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4.xml" ContentType="application/vnd.openxmlformats-officedocument.spreadsheetml.comments+xml"/>
  <Override PartName="/xl/drawings/drawing8.xml" ContentType="application/vnd.openxmlformats-officedocument.drawing+xml"/>
  <Override PartName="/xl/comments5.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omments6.xml" ContentType="application/vnd.openxmlformats-officedocument.spreadsheetml.comments+xml"/>
  <Override PartName="/xl/drawings/drawing12.xml" ContentType="application/vnd.openxmlformats-officedocument.drawing+xml"/>
  <Override PartName="/xl/drawings/drawing13.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4.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G:\My Drive\JUPAS CAL\"/>
    </mc:Choice>
  </mc:AlternateContent>
  <xr:revisionPtr revIDLastSave="0" documentId="13_ncr:1_{212EB854-91FF-4690-BAA0-AB4E49C4AC99}" xr6:coauthVersionLast="47" xr6:coauthVersionMax="47" xr10:uidLastSave="{00000000-0000-0000-0000-000000000000}"/>
  <bookViews>
    <workbookView xWindow="-108" yWindow="-108" windowWidth="41496" windowHeight="16776" xr2:uid="{C7FF833F-EA8C-412B-BCA8-81F105F6FA7E}"/>
    <workbookView xWindow="20544" yWindow="0" windowWidth="20832" windowHeight="16656" xr2:uid="{2DA980C9-44DC-4A2F-8BF7-A8E519EB724D}"/>
  </bookViews>
  <sheets>
    <sheet name="開始" sheetId="39" r:id="rId1"/>
    <sheet name="主頁" sheetId="1" r:id="rId2"/>
    <sheet name="A123" sheetId="17" state="hidden" r:id="rId3"/>
    <sheet name="All in One" sheetId="34" r:id="rId4"/>
    <sheet name="CityU" sheetId="12" r:id="rId5"/>
    <sheet name="HKBU" sheetId="16" r:id="rId6"/>
    <sheet name="PolyU" sheetId="9" r:id="rId7"/>
    <sheet name="CUHK" sheetId="21" r:id="rId8"/>
    <sheet name="HKUST" sheetId="10" r:id="rId9"/>
    <sheet name="HKU" sheetId="8" r:id="rId10"/>
    <sheet name="LingU" sheetId="15" r:id="rId11"/>
    <sheet name="EdUHK" sheetId="14" r:id="rId12"/>
    <sheet name="HKMU" sheetId="19" r:id="rId13"/>
    <sheet name="SSSDP" sheetId="20" r:id="rId14"/>
    <sheet name="計分版" sheetId="2" state="hidden" r:id="rId15"/>
    <sheet name="Programme List (2023 &amp; 2024)" sheetId="22" state="hidden" r:id="rId16"/>
    <sheet name="Reference Score Calculation" sheetId="33" state="hidden" r:id="rId17"/>
    <sheet name="CUHK Ref Soc Conversion 2 (Manu" sheetId="45" state="hidden" r:id="rId18"/>
    <sheet name="入學要求" sheetId="6" state="hidden" r:id="rId19"/>
    <sheet name="Offer Statistics" sheetId="26" state="hidden" r:id="rId20"/>
    <sheet name="Retake 扣分" sheetId="28" r:id="rId21"/>
    <sheet name="CUHK Ref Soc Conversion" sheetId="41" state="hidden" r:id="rId22"/>
    <sheet name="選單" sheetId="3" state="hidden" r:id="rId23"/>
  </sheets>
  <definedNames>
    <definedName name="_xlnm._FilterDatabase" localSheetId="21" hidden="1">'CUHK Ref Soc Conversion'!$A$1:$L$232</definedName>
    <definedName name="_xlnm._FilterDatabase" localSheetId="17" hidden="1">'CUHK Ref Soc Conversion 2 (Manu'!$A$1:$L$202</definedName>
    <definedName name="_xlnm._FilterDatabase" localSheetId="19" hidden="1">'Offer Statistics'!$B$1:$Q$151</definedName>
    <definedName name="_xlnm._FilterDatabase" localSheetId="16" hidden="1">'Reference Score Calculation'!$A$12:$S$12</definedName>
    <definedName name="all_in_one">'All in One'!$A$1:$W$77</definedName>
    <definedName name="cal_main">主頁!$A$1:$W$43</definedName>
    <definedName name="丙類科目等級">選單!$H$2:$H$8</definedName>
    <definedName name="丙類選修科">選單!$G$2:$G$8</definedName>
    <definedName name="公社科">選單!$I$2:$I$4</definedName>
    <definedName name="差">選單!$F$7:$F$9</definedName>
    <definedName name="差距ULM">選單!$F$7:$F$9</definedName>
    <definedName name="差距UML">選單!$F$7:$F$9</definedName>
    <definedName name="數學延伸部份" localSheetId="19">選單!#REF!</definedName>
    <definedName name="數學延伸部份">選單!#REF!</definedName>
    <definedName name="是否">選單!$L$2:$L$3</definedName>
    <definedName name="第一選修科">選單!#REF!</definedName>
    <definedName name="第三選修科">選單!$E$2:$E$25</definedName>
    <definedName name="第二選修科">選單!$D$2:$D$25</definedName>
    <definedName name="第四選修科">選單!$F$2:$F$6</definedName>
    <definedName name="等級">選單!$A$2:$A$10</definedName>
    <definedName name="選修科">選單!#REF!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6" i="2" l="1"/>
  <c r="A22" i="17"/>
  <c r="B22" i="17"/>
  <c r="C22" i="17"/>
  <c r="D22" i="17"/>
  <c r="E22" i="17"/>
  <c r="F22" i="17"/>
  <c r="G22" i="17"/>
  <c r="H22" i="17"/>
  <c r="I22" i="17"/>
  <c r="J22" i="17"/>
  <c r="K22" i="17"/>
  <c r="L22" i="17"/>
  <c r="M22" i="17"/>
  <c r="A23" i="17"/>
  <c r="B23" i="17"/>
  <c r="C23" i="17"/>
  <c r="D23" i="17"/>
  <c r="E23" i="17"/>
  <c r="F23" i="17"/>
  <c r="G23" i="17"/>
  <c r="H23" i="17"/>
  <c r="I23" i="17"/>
  <c r="J23" i="17"/>
  <c r="K23" i="17"/>
  <c r="L23" i="17"/>
  <c r="M23" i="17"/>
  <c r="A24" i="17"/>
  <c r="B24" i="17"/>
  <c r="C24" i="17"/>
  <c r="D24" i="17"/>
  <c r="E24" i="17"/>
  <c r="F24" i="17"/>
  <c r="G24" i="17"/>
  <c r="H24" i="17"/>
  <c r="I24" i="17"/>
  <c r="J24" i="17"/>
  <c r="K24" i="17"/>
  <c r="L24" i="17"/>
  <c r="M24" i="17"/>
  <c r="A25" i="17"/>
  <c r="B25" i="17"/>
  <c r="C25" i="17"/>
  <c r="D25" i="17"/>
  <c r="E25" i="17"/>
  <c r="F25" i="17"/>
  <c r="G25" i="17"/>
  <c r="H25" i="17"/>
  <c r="I25" i="17"/>
  <c r="J25" i="17"/>
  <c r="K25" i="17"/>
  <c r="L25" i="17"/>
  <c r="M25" i="17"/>
  <c r="A26" i="17"/>
  <c r="B26" i="17"/>
  <c r="C26" i="17"/>
  <c r="D26" i="17"/>
  <c r="E26" i="17"/>
  <c r="F26" i="17"/>
  <c r="G26" i="17"/>
  <c r="H26" i="17"/>
  <c r="I26" i="17"/>
  <c r="J26" i="17"/>
  <c r="K26" i="17"/>
  <c r="L26" i="17"/>
  <c r="M26" i="17"/>
  <c r="A27" i="17"/>
  <c r="B27" i="17"/>
  <c r="C27" i="17"/>
  <c r="D27" i="17"/>
  <c r="E27" i="17"/>
  <c r="F27" i="17"/>
  <c r="G27" i="17"/>
  <c r="H27" i="17"/>
  <c r="I27" i="17"/>
  <c r="J27" i="17"/>
  <c r="K27" i="17"/>
  <c r="L27" i="17"/>
  <c r="M27" i="17"/>
  <c r="A28" i="17"/>
  <c r="B28" i="17"/>
  <c r="C28" i="17"/>
  <c r="D28" i="17"/>
  <c r="E28" i="17"/>
  <c r="F28" i="17"/>
  <c r="G28" i="17"/>
  <c r="H28" i="17"/>
  <c r="I28" i="17"/>
  <c r="J28" i="17"/>
  <c r="K28" i="17"/>
  <c r="L28" i="17"/>
  <c r="M28" i="17"/>
  <c r="A29" i="17"/>
  <c r="B29" i="17"/>
  <c r="C29" i="17"/>
  <c r="D29" i="17"/>
  <c r="E29" i="17"/>
  <c r="F29" i="17"/>
  <c r="G29" i="17"/>
  <c r="H29" i="17"/>
  <c r="I29" i="17"/>
  <c r="J29" i="17"/>
  <c r="K29" i="17"/>
  <c r="L29" i="17"/>
  <c r="M29" i="17"/>
  <c r="A30" i="17"/>
  <c r="B30" i="17"/>
  <c r="C30" i="17"/>
  <c r="D30" i="17"/>
  <c r="E30" i="17"/>
  <c r="F30" i="17"/>
  <c r="G30" i="17"/>
  <c r="H30" i="17"/>
  <c r="I30" i="17"/>
  <c r="J30" i="17"/>
  <c r="K30" i="17"/>
  <c r="L30" i="17"/>
  <c r="M30" i="17"/>
  <c r="A31" i="17"/>
  <c r="B31" i="17"/>
  <c r="C31" i="17"/>
  <c r="D31" i="17"/>
  <c r="E31" i="17"/>
  <c r="F31" i="17"/>
  <c r="G31" i="17"/>
  <c r="H31" i="17"/>
  <c r="I31" i="17"/>
  <c r="J31" i="17"/>
  <c r="K31" i="17"/>
  <c r="L31" i="17"/>
  <c r="M31" i="17"/>
  <c r="A32" i="17"/>
  <c r="B32" i="17"/>
  <c r="C32" i="17"/>
  <c r="D32" i="17"/>
  <c r="E32" i="17"/>
  <c r="F32" i="17"/>
  <c r="G32" i="17"/>
  <c r="H32" i="17"/>
  <c r="I32" i="17"/>
  <c r="J32" i="17"/>
  <c r="K32" i="17"/>
  <c r="L32" i="17"/>
  <c r="M32" i="17"/>
  <c r="A33" i="17"/>
  <c r="B33" i="17"/>
  <c r="C33" i="17"/>
  <c r="D33" i="17"/>
  <c r="E33" i="17"/>
  <c r="F33" i="17"/>
  <c r="G33" i="17"/>
  <c r="H33" i="17"/>
  <c r="I33" i="17"/>
  <c r="J33" i="17"/>
  <c r="K33" i="17"/>
  <c r="L33" i="17"/>
  <c r="M33" i="17"/>
  <c r="A34" i="17"/>
  <c r="B34" i="17"/>
  <c r="C34" i="17"/>
  <c r="D34" i="17"/>
  <c r="E34" i="17"/>
  <c r="F34" i="17"/>
  <c r="G34" i="17"/>
  <c r="H34" i="17"/>
  <c r="I34" i="17"/>
  <c r="J34" i="17"/>
  <c r="K34" i="17"/>
  <c r="L34" i="17"/>
  <c r="M34" i="17"/>
  <c r="A35" i="17"/>
  <c r="B35" i="17"/>
  <c r="C35" i="17"/>
  <c r="D35" i="17"/>
  <c r="E35" i="17"/>
  <c r="F35" i="17"/>
  <c r="G35" i="17"/>
  <c r="H35" i="17"/>
  <c r="I35" i="17"/>
  <c r="J35" i="17"/>
  <c r="K35" i="17"/>
  <c r="L35" i="17"/>
  <c r="M35" i="17"/>
  <c r="A36" i="17"/>
  <c r="B36" i="17"/>
  <c r="C36" i="17"/>
  <c r="D36" i="17"/>
  <c r="E36" i="17"/>
  <c r="F36" i="17"/>
  <c r="G36" i="17"/>
  <c r="H36" i="17"/>
  <c r="I36" i="17"/>
  <c r="J36" i="17"/>
  <c r="K36" i="17"/>
  <c r="L36" i="17"/>
  <c r="M36" i="17"/>
  <c r="A37" i="17"/>
  <c r="B37" i="17"/>
  <c r="C37" i="17"/>
  <c r="D37" i="17"/>
  <c r="E37" i="17"/>
  <c r="F37" i="17"/>
  <c r="G37" i="17"/>
  <c r="H37" i="17"/>
  <c r="I37" i="17"/>
  <c r="J37" i="17"/>
  <c r="K37" i="17"/>
  <c r="L37" i="17"/>
  <c r="M37" i="17"/>
  <c r="A38" i="17"/>
  <c r="B38" i="17"/>
  <c r="C38" i="17"/>
  <c r="D38" i="17"/>
  <c r="E38" i="17"/>
  <c r="F38" i="17"/>
  <c r="G38" i="17"/>
  <c r="H38" i="17"/>
  <c r="I38" i="17"/>
  <c r="J38" i="17"/>
  <c r="K38" i="17"/>
  <c r="L38" i="17"/>
  <c r="M38" i="17"/>
  <c r="A39" i="17"/>
  <c r="B39" i="17"/>
  <c r="C39" i="17"/>
  <c r="D39" i="17"/>
  <c r="E39" i="17"/>
  <c r="F39" i="17"/>
  <c r="G39" i="17"/>
  <c r="H39" i="17"/>
  <c r="I39" i="17"/>
  <c r="J39" i="17"/>
  <c r="K39" i="17"/>
  <c r="L39" i="17"/>
  <c r="M39" i="17"/>
  <c r="A40" i="17"/>
  <c r="B40" i="17"/>
  <c r="C40" i="17"/>
  <c r="D40" i="17"/>
  <c r="E40" i="17"/>
  <c r="F40" i="17"/>
  <c r="G40" i="17"/>
  <c r="H40" i="17"/>
  <c r="I40" i="17"/>
  <c r="J40" i="17"/>
  <c r="K40" i="17"/>
  <c r="L40" i="17"/>
  <c r="M40" i="17"/>
  <c r="A41" i="17"/>
  <c r="B41" i="17"/>
  <c r="C41" i="17"/>
  <c r="D41" i="17"/>
  <c r="E41" i="17"/>
  <c r="F41" i="17"/>
  <c r="G41" i="17"/>
  <c r="H41" i="17"/>
  <c r="I41" i="17"/>
  <c r="J41" i="17"/>
  <c r="K41" i="17"/>
  <c r="L41" i="17"/>
  <c r="M41" i="17"/>
  <c r="A42" i="17"/>
  <c r="B42" i="17"/>
  <c r="C42" i="17"/>
  <c r="D42" i="17"/>
  <c r="E42" i="17"/>
  <c r="F42" i="17"/>
  <c r="G42" i="17"/>
  <c r="H42" i="17"/>
  <c r="I42" i="17"/>
  <c r="J42" i="17"/>
  <c r="K42" i="17"/>
  <c r="L42" i="17"/>
  <c r="M42" i="17"/>
  <c r="A43" i="17"/>
  <c r="B43" i="17"/>
  <c r="C43" i="17"/>
  <c r="D43" i="17"/>
  <c r="E43" i="17"/>
  <c r="F43" i="17"/>
  <c r="G43" i="17"/>
  <c r="H43" i="17"/>
  <c r="I43" i="17"/>
  <c r="J43" i="17"/>
  <c r="K43" i="17"/>
  <c r="L43" i="17"/>
  <c r="M43" i="17"/>
  <c r="A44" i="17"/>
  <c r="B44" i="17"/>
  <c r="C44" i="17"/>
  <c r="D44" i="17"/>
  <c r="E44" i="17"/>
  <c r="F44" i="17"/>
  <c r="G44" i="17"/>
  <c r="H44" i="17"/>
  <c r="I44" i="17"/>
  <c r="J44" i="17"/>
  <c r="K44" i="17"/>
  <c r="L44" i="17"/>
  <c r="M44" i="17"/>
  <c r="A45" i="17"/>
  <c r="B45" i="17"/>
  <c r="C45" i="17"/>
  <c r="D45" i="17"/>
  <c r="E45" i="17"/>
  <c r="F45" i="17"/>
  <c r="G45" i="17"/>
  <c r="H45" i="17"/>
  <c r="I45" i="17"/>
  <c r="J45" i="17"/>
  <c r="K45" i="17"/>
  <c r="L45" i="17"/>
  <c r="M45" i="17"/>
  <c r="A46" i="17"/>
  <c r="B46" i="17"/>
  <c r="C46" i="17"/>
  <c r="D46" i="17"/>
  <c r="E46" i="17"/>
  <c r="F46" i="17"/>
  <c r="G46" i="17"/>
  <c r="H46" i="17"/>
  <c r="I46" i="17"/>
  <c r="J46" i="17"/>
  <c r="K46" i="17"/>
  <c r="L46" i="17"/>
  <c r="M46" i="17"/>
  <c r="A47" i="17"/>
  <c r="B47" i="17"/>
  <c r="C47" i="17"/>
  <c r="D47" i="17"/>
  <c r="E47" i="17"/>
  <c r="F47" i="17"/>
  <c r="G47" i="17"/>
  <c r="H47" i="17"/>
  <c r="I47" i="17"/>
  <c r="J47" i="17"/>
  <c r="K47" i="17"/>
  <c r="L47" i="17"/>
  <c r="M47" i="17"/>
  <c r="A48" i="17"/>
  <c r="B48" i="17"/>
  <c r="C48" i="17"/>
  <c r="D48" i="17"/>
  <c r="E48" i="17"/>
  <c r="F48" i="17"/>
  <c r="G48" i="17"/>
  <c r="H48" i="17"/>
  <c r="I48" i="17"/>
  <c r="J48" i="17"/>
  <c r="K48" i="17"/>
  <c r="L48" i="17"/>
  <c r="M48" i="17"/>
  <c r="A49" i="17"/>
  <c r="B49" i="17"/>
  <c r="C49" i="17"/>
  <c r="D49" i="17"/>
  <c r="E49" i="17"/>
  <c r="F49" i="17"/>
  <c r="G49" i="17"/>
  <c r="H49" i="17"/>
  <c r="I49" i="17"/>
  <c r="J49" i="17"/>
  <c r="K49" i="17"/>
  <c r="L49" i="17"/>
  <c r="M49" i="17"/>
  <c r="A50" i="17"/>
  <c r="B50" i="17"/>
  <c r="C50" i="17"/>
  <c r="D50" i="17"/>
  <c r="E50" i="17"/>
  <c r="F50" i="17"/>
  <c r="G50" i="17"/>
  <c r="H50" i="17"/>
  <c r="I50" i="17"/>
  <c r="J50" i="17"/>
  <c r="K50" i="17"/>
  <c r="L50" i="17"/>
  <c r="M50" i="17"/>
  <c r="A51" i="17"/>
  <c r="B51" i="17"/>
  <c r="C51" i="17"/>
  <c r="D51" i="17"/>
  <c r="E51" i="17"/>
  <c r="F51" i="17"/>
  <c r="G51" i="17"/>
  <c r="H51" i="17"/>
  <c r="I51" i="17"/>
  <c r="J51" i="17"/>
  <c r="K51" i="17"/>
  <c r="L51" i="17"/>
  <c r="M51" i="17"/>
  <c r="A52" i="17"/>
  <c r="B52" i="17"/>
  <c r="C52" i="17"/>
  <c r="D52" i="17"/>
  <c r="E52" i="17"/>
  <c r="F52" i="17"/>
  <c r="G52" i="17"/>
  <c r="H52" i="17"/>
  <c r="I52" i="17"/>
  <c r="J52" i="17"/>
  <c r="K52" i="17"/>
  <c r="L52" i="17"/>
  <c r="M52" i="17"/>
  <c r="A53" i="17"/>
  <c r="B53" i="17"/>
  <c r="C53" i="17"/>
  <c r="D53" i="17"/>
  <c r="E53" i="17"/>
  <c r="F53" i="17"/>
  <c r="G53" i="17"/>
  <c r="H53" i="17"/>
  <c r="I53" i="17"/>
  <c r="J53" i="17"/>
  <c r="K53" i="17"/>
  <c r="L53" i="17"/>
  <c r="M53" i="17"/>
  <c r="A54" i="17"/>
  <c r="B54" i="17"/>
  <c r="C54" i="17"/>
  <c r="D54" i="17"/>
  <c r="E54" i="17"/>
  <c r="F54" i="17"/>
  <c r="G54" i="17"/>
  <c r="H54" i="17"/>
  <c r="I54" i="17"/>
  <c r="J54" i="17"/>
  <c r="K54" i="17"/>
  <c r="L54" i="17"/>
  <c r="M54" i="17"/>
  <c r="A55" i="17"/>
  <c r="B55" i="17"/>
  <c r="C55" i="17"/>
  <c r="D55" i="17"/>
  <c r="E55" i="17"/>
  <c r="F55" i="17"/>
  <c r="G55" i="17"/>
  <c r="H55" i="17"/>
  <c r="I55" i="17"/>
  <c r="J55" i="17"/>
  <c r="K55" i="17"/>
  <c r="L55" i="17"/>
  <c r="M55" i="17"/>
  <c r="A56" i="17"/>
  <c r="B56" i="17"/>
  <c r="C56" i="17"/>
  <c r="D56" i="17"/>
  <c r="E56" i="17"/>
  <c r="F56" i="17"/>
  <c r="G56" i="17"/>
  <c r="H56" i="17"/>
  <c r="I56" i="17"/>
  <c r="J56" i="17"/>
  <c r="K56" i="17"/>
  <c r="L56" i="17"/>
  <c r="M56" i="17"/>
  <c r="A57" i="17"/>
  <c r="B57" i="17"/>
  <c r="C57" i="17"/>
  <c r="D57" i="17"/>
  <c r="E57" i="17"/>
  <c r="F57" i="17"/>
  <c r="G57" i="17"/>
  <c r="H57" i="17"/>
  <c r="I57" i="17"/>
  <c r="J57" i="17"/>
  <c r="K57" i="17"/>
  <c r="L57" i="17"/>
  <c r="M57" i="17"/>
  <c r="A58" i="17"/>
  <c r="B58" i="17"/>
  <c r="C58" i="17"/>
  <c r="D58" i="17"/>
  <c r="E58" i="17"/>
  <c r="F58" i="17"/>
  <c r="G58" i="17"/>
  <c r="H58" i="17"/>
  <c r="I58" i="17"/>
  <c r="J58" i="17"/>
  <c r="K58" i="17"/>
  <c r="L58" i="17"/>
  <c r="M58" i="17"/>
  <c r="A59" i="17"/>
  <c r="B59" i="17"/>
  <c r="C59" i="17"/>
  <c r="D59" i="17"/>
  <c r="E59" i="17"/>
  <c r="F59" i="17"/>
  <c r="G59" i="17"/>
  <c r="H59" i="17"/>
  <c r="I59" i="17"/>
  <c r="J59" i="17"/>
  <c r="K59" i="17"/>
  <c r="L59" i="17"/>
  <c r="M59" i="17"/>
  <c r="A60" i="17"/>
  <c r="B60" i="17"/>
  <c r="C60" i="17"/>
  <c r="D60" i="17"/>
  <c r="E60" i="17"/>
  <c r="F60" i="17"/>
  <c r="G60" i="17"/>
  <c r="H60" i="17"/>
  <c r="I60" i="17"/>
  <c r="J60" i="17"/>
  <c r="K60" i="17"/>
  <c r="L60" i="17"/>
  <c r="M60" i="17"/>
  <c r="A61" i="17"/>
  <c r="B61" i="17"/>
  <c r="C61" i="17"/>
  <c r="D61" i="17"/>
  <c r="E61" i="17"/>
  <c r="F61" i="17"/>
  <c r="G61" i="17"/>
  <c r="H61" i="17"/>
  <c r="I61" i="17"/>
  <c r="J61" i="17"/>
  <c r="K61" i="17"/>
  <c r="L61" i="17"/>
  <c r="M61" i="17"/>
  <c r="A62" i="17"/>
  <c r="B62" i="17"/>
  <c r="C62" i="17"/>
  <c r="D62" i="17"/>
  <c r="E62" i="17"/>
  <c r="F62" i="17"/>
  <c r="G62" i="17"/>
  <c r="H62" i="17"/>
  <c r="I62" i="17"/>
  <c r="J62" i="17"/>
  <c r="K62" i="17"/>
  <c r="L62" i="17"/>
  <c r="M62" i="17"/>
  <c r="A63" i="17"/>
  <c r="B63" i="17"/>
  <c r="C63" i="17"/>
  <c r="D63" i="17"/>
  <c r="E63" i="17"/>
  <c r="F63" i="17"/>
  <c r="G63" i="17"/>
  <c r="H63" i="17"/>
  <c r="I63" i="17"/>
  <c r="J63" i="17"/>
  <c r="K63" i="17"/>
  <c r="L63" i="17"/>
  <c r="M63" i="17"/>
  <c r="A64" i="17"/>
  <c r="B64" i="17"/>
  <c r="C64" i="17"/>
  <c r="D64" i="17"/>
  <c r="E64" i="17"/>
  <c r="F64" i="17"/>
  <c r="G64" i="17"/>
  <c r="H64" i="17"/>
  <c r="I64" i="17"/>
  <c r="J64" i="17"/>
  <c r="K64" i="17"/>
  <c r="L64" i="17"/>
  <c r="M64" i="17"/>
  <c r="A65" i="17"/>
  <c r="B65" i="17"/>
  <c r="C65" i="17"/>
  <c r="D65" i="17"/>
  <c r="E65" i="17"/>
  <c r="F65" i="17"/>
  <c r="G65" i="17"/>
  <c r="H65" i="17"/>
  <c r="I65" i="17"/>
  <c r="J65" i="17"/>
  <c r="K65" i="17"/>
  <c r="L65" i="17"/>
  <c r="M65" i="17"/>
  <c r="A66" i="17"/>
  <c r="B66" i="17"/>
  <c r="C66" i="17"/>
  <c r="D66" i="17"/>
  <c r="E66" i="17"/>
  <c r="F66" i="17"/>
  <c r="G66" i="17"/>
  <c r="H66" i="17"/>
  <c r="I66" i="17"/>
  <c r="J66" i="17"/>
  <c r="K66" i="17"/>
  <c r="L66" i="17"/>
  <c r="M66" i="17"/>
  <c r="A67" i="17"/>
  <c r="B67" i="17"/>
  <c r="C67" i="17"/>
  <c r="D67" i="17"/>
  <c r="E67" i="17"/>
  <c r="F67" i="17"/>
  <c r="G67" i="17"/>
  <c r="H67" i="17"/>
  <c r="I67" i="17"/>
  <c r="J67" i="17"/>
  <c r="K67" i="17"/>
  <c r="L67" i="17"/>
  <c r="M67" i="17"/>
  <c r="A68" i="17"/>
  <c r="B68" i="17"/>
  <c r="C68" i="17"/>
  <c r="D68" i="17"/>
  <c r="E68" i="17"/>
  <c r="F68" i="17"/>
  <c r="G68" i="17"/>
  <c r="H68" i="17"/>
  <c r="I68" i="17"/>
  <c r="J68" i="17"/>
  <c r="K68" i="17"/>
  <c r="L68" i="17"/>
  <c r="M68" i="17"/>
  <c r="A69" i="17"/>
  <c r="B69" i="17"/>
  <c r="C69" i="17"/>
  <c r="D69" i="17"/>
  <c r="E69" i="17"/>
  <c r="F69" i="17"/>
  <c r="G69" i="17"/>
  <c r="H69" i="17"/>
  <c r="I69" i="17"/>
  <c r="J69" i="17"/>
  <c r="K69" i="17"/>
  <c r="L69" i="17"/>
  <c r="M69" i="17"/>
  <c r="A70" i="17"/>
  <c r="B70" i="17"/>
  <c r="C70" i="17"/>
  <c r="D70" i="17"/>
  <c r="E70" i="17"/>
  <c r="F70" i="17"/>
  <c r="G70" i="17"/>
  <c r="H70" i="17"/>
  <c r="I70" i="17"/>
  <c r="J70" i="17"/>
  <c r="K70" i="17"/>
  <c r="L70" i="17"/>
  <c r="M70" i="17"/>
  <c r="A71" i="17"/>
  <c r="B71" i="17"/>
  <c r="C71" i="17"/>
  <c r="D71" i="17"/>
  <c r="E71" i="17"/>
  <c r="F71" i="17"/>
  <c r="G71" i="17"/>
  <c r="H71" i="17"/>
  <c r="I71" i="17"/>
  <c r="J71" i="17"/>
  <c r="K71" i="17"/>
  <c r="L71" i="17"/>
  <c r="M71" i="17"/>
  <c r="A72" i="17"/>
  <c r="B72" i="17"/>
  <c r="C72" i="17"/>
  <c r="D72" i="17"/>
  <c r="E72" i="17"/>
  <c r="F72" i="17"/>
  <c r="G72" i="17"/>
  <c r="H72" i="17"/>
  <c r="I72" i="17"/>
  <c r="J72" i="17"/>
  <c r="K72" i="17"/>
  <c r="L72" i="17"/>
  <c r="M72" i="17"/>
  <c r="A73" i="17"/>
  <c r="B73" i="17"/>
  <c r="C73" i="17"/>
  <c r="D73" i="17"/>
  <c r="E73" i="17"/>
  <c r="F73" i="17"/>
  <c r="G73" i="17"/>
  <c r="H73" i="17"/>
  <c r="I73" i="17"/>
  <c r="J73" i="17"/>
  <c r="K73" i="17"/>
  <c r="L73" i="17"/>
  <c r="M73" i="17"/>
  <c r="A74" i="17"/>
  <c r="B74" i="17"/>
  <c r="C74" i="17"/>
  <c r="D74" i="17"/>
  <c r="E74" i="17"/>
  <c r="F74" i="17"/>
  <c r="G74" i="17"/>
  <c r="H74" i="17"/>
  <c r="I74" i="17"/>
  <c r="J74" i="17"/>
  <c r="K74" i="17"/>
  <c r="L74" i="17"/>
  <c r="M74" i="17"/>
  <c r="A75" i="17"/>
  <c r="B75" i="17"/>
  <c r="C75" i="17"/>
  <c r="D75" i="17"/>
  <c r="E75" i="17"/>
  <c r="F75" i="17"/>
  <c r="G75" i="17"/>
  <c r="H75" i="17"/>
  <c r="I75" i="17"/>
  <c r="J75" i="17"/>
  <c r="K75" i="17"/>
  <c r="L75" i="17"/>
  <c r="M75" i="17"/>
  <c r="A78" i="17"/>
  <c r="B78" i="17"/>
  <c r="C78" i="17"/>
  <c r="D78" i="17"/>
  <c r="E78" i="17"/>
  <c r="F78" i="17"/>
  <c r="G78" i="17"/>
  <c r="H78" i="17"/>
  <c r="I78" i="17"/>
  <c r="J78" i="17"/>
  <c r="K78" i="17"/>
  <c r="L78" i="17"/>
  <c r="M78" i="17"/>
  <c r="A79" i="17"/>
  <c r="B79" i="17"/>
  <c r="C79" i="17"/>
  <c r="D79" i="17"/>
  <c r="E79" i="17"/>
  <c r="F79" i="17"/>
  <c r="G79" i="17"/>
  <c r="H79" i="17"/>
  <c r="I79" i="17"/>
  <c r="J79" i="17"/>
  <c r="K79" i="17"/>
  <c r="L79" i="17"/>
  <c r="M79" i="17"/>
  <c r="A80" i="17"/>
  <c r="B80" i="17"/>
  <c r="C80" i="17"/>
  <c r="D80" i="17"/>
  <c r="E80" i="17"/>
  <c r="F80" i="17"/>
  <c r="G80" i="17"/>
  <c r="H80" i="17"/>
  <c r="I80" i="17"/>
  <c r="J80" i="17"/>
  <c r="K80" i="17"/>
  <c r="L80" i="17"/>
  <c r="M80" i="17"/>
  <c r="A81" i="17"/>
  <c r="B81" i="17"/>
  <c r="C81" i="17"/>
  <c r="D81" i="17"/>
  <c r="E81" i="17"/>
  <c r="F81" i="17"/>
  <c r="G81" i="17"/>
  <c r="H81" i="17"/>
  <c r="I81" i="17"/>
  <c r="J81" i="17"/>
  <c r="K81" i="17"/>
  <c r="L81" i="17"/>
  <c r="M81" i="17"/>
  <c r="A82" i="17"/>
  <c r="B82" i="17"/>
  <c r="C82" i="17"/>
  <c r="D82" i="17"/>
  <c r="E82" i="17"/>
  <c r="F82" i="17"/>
  <c r="G82" i="17"/>
  <c r="H82" i="17"/>
  <c r="I82" i="17"/>
  <c r="J82" i="17"/>
  <c r="K82" i="17"/>
  <c r="L82" i="17"/>
  <c r="M82" i="17"/>
  <c r="A83" i="17"/>
  <c r="B83" i="17"/>
  <c r="C83" i="17"/>
  <c r="D83" i="17"/>
  <c r="E83" i="17"/>
  <c r="F83" i="17"/>
  <c r="G83" i="17"/>
  <c r="H83" i="17"/>
  <c r="I83" i="17"/>
  <c r="J83" i="17"/>
  <c r="K83" i="17"/>
  <c r="L83" i="17"/>
  <c r="M83" i="17"/>
  <c r="A84" i="17"/>
  <c r="B84" i="17"/>
  <c r="C84" i="17"/>
  <c r="D84" i="17"/>
  <c r="E84" i="17"/>
  <c r="F84" i="17"/>
  <c r="G84" i="17"/>
  <c r="H84" i="17"/>
  <c r="I84" i="17"/>
  <c r="J84" i="17"/>
  <c r="K84" i="17"/>
  <c r="L84" i="17"/>
  <c r="M84" i="17"/>
  <c r="A85" i="17"/>
  <c r="B85" i="17"/>
  <c r="C85" i="17"/>
  <c r="D85" i="17"/>
  <c r="E85" i="17"/>
  <c r="F85" i="17"/>
  <c r="G85" i="17"/>
  <c r="H85" i="17"/>
  <c r="I85" i="17"/>
  <c r="J85" i="17"/>
  <c r="K85" i="17"/>
  <c r="L85" i="17"/>
  <c r="M85" i="17"/>
  <c r="A86" i="17"/>
  <c r="B86" i="17"/>
  <c r="C86" i="17"/>
  <c r="D86" i="17"/>
  <c r="E86" i="17"/>
  <c r="F86" i="17"/>
  <c r="G86" i="17"/>
  <c r="H86" i="17"/>
  <c r="I86" i="17"/>
  <c r="J86" i="17"/>
  <c r="K86" i="17"/>
  <c r="L86" i="17"/>
  <c r="M86" i="17"/>
  <c r="A87" i="17"/>
  <c r="B87" i="17"/>
  <c r="C87" i="17"/>
  <c r="D87" i="17"/>
  <c r="E87" i="17"/>
  <c r="F87" i="17"/>
  <c r="G87" i="17"/>
  <c r="H87" i="17"/>
  <c r="I87" i="17"/>
  <c r="J87" i="17"/>
  <c r="K87" i="17"/>
  <c r="L87" i="17"/>
  <c r="M87" i="17"/>
  <c r="A88" i="17"/>
  <c r="B88" i="17"/>
  <c r="C88" i="17"/>
  <c r="D88" i="17"/>
  <c r="E88" i="17"/>
  <c r="F88" i="17"/>
  <c r="G88" i="17"/>
  <c r="H88" i="17"/>
  <c r="I88" i="17"/>
  <c r="J88" i="17"/>
  <c r="K88" i="17"/>
  <c r="L88" i="17"/>
  <c r="M88" i="17"/>
  <c r="A89" i="17"/>
  <c r="B89" i="17"/>
  <c r="C89" i="17"/>
  <c r="D89" i="17"/>
  <c r="E89" i="17"/>
  <c r="F89" i="17"/>
  <c r="G89" i="17"/>
  <c r="H89" i="17"/>
  <c r="I89" i="17"/>
  <c r="J89" i="17"/>
  <c r="K89" i="17"/>
  <c r="L89" i="17"/>
  <c r="M89" i="17"/>
  <c r="A90" i="17"/>
  <c r="B90" i="17"/>
  <c r="C90" i="17"/>
  <c r="D90" i="17"/>
  <c r="E90" i="17"/>
  <c r="F90" i="17"/>
  <c r="G90" i="17"/>
  <c r="H90" i="17"/>
  <c r="I90" i="17"/>
  <c r="J90" i="17"/>
  <c r="K90" i="17"/>
  <c r="L90" i="17"/>
  <c r="M90" i="17"/>
  <c r="A91" i="17"/>
  <c r="B91" i="17"/>
  <c r="C91" i="17"/>
  <c r="D91" i="17"/>
  <c r="E91" i="17"/>
  <c r="F91" i="17"/>
  <c r="G91" i="17"/>
  <c r="H91" i="17"/>
  <c r="I91" i="17"/>
  <c r="J91" i="17"/>
  <c r="K91" i="17"/>
  <c r="L91" i="17"/>
  <c r="M91" i="17"/>
  <c r="A92" i="17"/>
  <c r="B92" i="17"/>
  <c r="C92" i="17"/>
  <c r="D92" i="17"/>
  <c r="E92" i="17"/>
  <c r="F92" i="17"/>
  <c r="G92" i="17"/>
  <c r="H92" i="17"/>
  <c r="I92" i="17"/>
  <c r="J92" i="17"/>
  <c r="K92" i="17"/>
  <c r="L92" i="17"/>
  <c r="M92" i="17"/>
  <c r="A93" i="17"/>
  <c r="B93" i="17"/>
  <c r="C93" i="17"/>
  <c r="D93" i="17"/>
  <c r="E93" i="17"/>
  <c r="F93" i="17"/>
  <c r="G93" i="17"/>
  <c r="H93" i="17"/>
  <c r="I93" i="17"/>
  <c r="J93" i="17"/>
  <c r="K93" i="17"/>
  <c r="L93" i="17"/>
  <c r="M93" i="17"/>
  <c r="A94" i="17"/>
  <c r="B94" i="17"/>
  <c r="C94" i="17"/>
  <c r="D94" i="17"/>
  <c r="E94" i="17"/>
  <c r="F94" i="17"/>
  <c r="G94" i="17"/>
  <c r="H94" i="17"/>
  <c r="I94" i="17"/>
  <c r="J94" i="17"/>
  <c r="K94" i="17"/>
  <c r="L94" i="17"/>
  <c r="M94" i="17"/>
  <c r="A95" i="17"/>
  <c r="B95" i="17"/>
  <c r="C95" i="17"/>
  <c r="D95" i="17"/>
  <c r="E95" i="17"/>
  <c r="F95" i="17"/>
  <c r="G95" i="17"/>
  <c r="H95" i="17"/>
  <c r="I95" i="17"/>
  <c r="J95" i="17"/>
  <c r="K95" i="17"/>
  <c r="L95" i="17"/>
  <c r="M95" i="17"/>
  <c r="A96" i="17"/>
  <c r="B96" i="17"/>
  <c r="C96" i="17"/>
  <c r="D96" i="17"/>
  <c r="E96" i="17"/>
  <c r="F96" i="17"/>
  <c r="G96" i="17"/>
  <c r="H96" i="17"/>
  <c r="I96" i="17"/>
  <c r="J96" i="17"/>
  <c r="K96" i="17"/>
  <c r="L96" i="17"/>
  <c r="M96" i="17"/>
  <c r="A97" i="17"/>
  <c r="B97" i="17"/>
  <c r="C97" i="17"/>
  <c r="D97" i="17"/>
  <c r="E97" i="17"/>
  <c r="F97" i="17"/>
  <c r="G97" i="17"/>
  <c r="H97" i="17"/>
  <c r="I97" i="17"/>
  <c r="J97" i="17"/>
  <c r="K97" i="17"/>
  <c r="L97" i="17"/>
  <c r="M97" i="17"/>
  <c r="A98" i="17"/>
  <c r="B98" i="17"/>
  <c r="C98" i="17"/>
  <c r="D98" i="17"/>
  <c r="E98" i="17"/>
  <c r="F98" i="17"/>
  <c r="G98" i="17"/>
  <c r="H98" i="17"/>
  <c r="I98" i="17"/>
  <c r="J98" i="17"/>
  <c r="K98" i="17"/>
  <c r="L98" i="17"/>
  <c r="M98" i="17"/>
  <c r="A101" i="17"/>
  <c r="B101" i="17"/>
  <c r="C101" i="17"/>
  <c r="D101" i="17"/>
  <c r="E101" i="17"/>
  <c r="F101" i="17"/>
  <c r="G101" i="17"/>
  <c r="H101" i="17"/>
  <c r="I101" i="17"/>
  <c r="J101" i="17"/>
  <c r="K101" i="17"/>
  <c r="L101" i="17"/>
  <c r="M101" i="17"/>
  <c r="A102" i="17"/>
  <c r="B102" i="17"/>
  <c r="C102" i="17"/>
  <c r="D102" i="17"/>
  <c r="E102" i="17"/>
  <c r="F102" i="17"/>
  <c r="G102" i="17"/>
  <c r="H102" i="17"/>
  <c r="I102" i="17"/>
  <c r="J102" i="17"/>
  <c r="K102" i="17"/>
  <c r="L102" i="17"/>
  <c r="M102" i="17"/>
  <c r="A103" i="17"/>
  <c r="B103" i="17"/>
  <c r="C103" i="17"/>
  <c r="D103" i="17"/>
  <c r="E103" i="17"/>
  <c r="F103" i="17"/>
  <c r="G103" i="17"/>
  <c r="H103" i="17"/>
  <c r="I103" i="17"/>
  <c r="J103" i="17"/>
  <c r="K103" i="17"/>
  <c r="L103" i="17"/>
  <c r="M103" i="17"/>
  <c r="A104" i="17"/>
  <c r="B104" i="17"/>
  <c r="C104" i="17"/>
  <c r="D104" i="17"/>
  <c r="E104" i="17"/>
  <c r="F104" i="17"/>
  <c r="G104" i="17"/>
  <c r="H104" i="17"/>
  <c r="I104" i="17"/>
  <c r="J104" i="17"/>
  <c r="K104" i="17"/>
  <c r="L104" i="17"/>
  <c r="M104" i="17"/>
  <c r="A105" i="17"/>
  <c r="B105" i="17"/>
  <c r="C105" i="17"/>
  <c r="D105" i="17"/>
  <c r="E105" i="17"/>
  <c r="F105" i="17"/>
  <c r="G105" i="17"/>
  <c r="H105" i="17"/>
  <c r="I105" i="17"/>
  <c r="J105" i="17"/>
  <c r="K105" i="17"/>
  <c r="L105" i="17"/>
  <c r="M105" i="17"/>
  <c r="A106" i="17"/>
  <c r="B106" i="17"/>
  <c r="C106" i="17"/>
  <c r="D106" i="17"/>
  <c r="E106" i="17"/>
  <c r="F106" i="17"/>
  <c r="G106" i="17"/>
  <c r="H106" i="17"/>
  <c r="I106" i="17"/>
  <c r="J106" i="17"/>
  <c r="K106" i="17"/>
  <c r="L106" i="17"/>
  <c r="M106" i="17"/>
  <c r="A107" i="17"/>
  <c r="B107" i="17"/>
  <c r="C107" i="17"/>
  <c r="D107" i="17"/>
  <c r="E107" i="17"/>
  <c r="F107" i="17"/>
  <c r="G107" i="17"/>
  <c r="H107" i="17"/>
  <c r="I107" i="17"/>
  <c r="J107" i="17"/>
  <c r="K107" i="17"/>
  <c r="L107" i="17"/>
  <c r="M107" i="17"/>
  <c r="A108" i="17"/>
  <c r="B108" i="17"/>
  <c r="C108" i="17"/>
  <c r="D108" i="17"/>
  <c r="E108" i="17"/>
  <c r="F108" i="17"/>
  <c r="G108" i="17"/>
  <c r="H108" i="17"/>
  <c r="I108" i="17"/>
  <c r="J108" i="17"/>
  <c r="K108" i="17"/>
  <c r="L108" i="17"/>
  <c r="M108" i="17"/>
  <c r="A109" i="17"/>
  <c r="B109" i="17"/>
  <c r="C109" i="17"/>
  <c r="D109" i="17"/>
  <c r="E109" i="17"/>
  <c r="F109" i="17"/>
  <c r="G109" i="17"/>
  <c r="H109" i="17"/>
  <c r="I109" i="17"/>
  <c r="J109" i="17"/>
  <c r="K109" i="17"/>
  <c r="L109" i="17"/>
  <c r="M109" i="17"/>
  <c r="A110" i="17"/>
  <c r="B110" i="17"/>
  <c r="C110" i="17"/>
  <c r="D110" i="17"/>
  <c r="E110" i="17"/>
  <c r="F110" i="17"/>
  <c r="G110" i="17"/>
  <c r="H110" i="17"/>
  <c r="I110" i="17"/>
  <c r="J110" i="17"/>
  <c r="K110" i="17"/>
  <c r="L110" i="17"/>
  <c r="M110" i="17"/>
  <c r="A111" i="17"/>
  <c r="B111" i="17"/>
  <c r="C111" i="17"/>
  <c r="D111" i="17"/>
  <c r="E111" i="17"/>
  <c r="F111" i="17"/>
  <c r="G111" i="17"/>
  <c r="H111" i="17"/>
  <c r="I111" i="17"/>
  <c r="J111" i="17"/>
  <c r="K111" i="17"/>
  <c r="L111" i="17"/>
  <c r="M111" i="17"/>
  <c r="A112" i="17"/>
  <c r="B112" i="17"/>
  <c r="C112" i="17"/>
  <c r="D112" i="17"/>
  <c r="E112" i="17"/>
  <c r="F112" i="17"/>
  <c r="G112" i="17"/>
  <c r="H112" i="17"/>
  <c r="I112" i="17"/>
  <c r="J112" i="17"/>
  <c r="K112" i="17"/>
  <c r="L112" i="17"/>
  <c r="M112" i="17"/>
  <c r="A113" i="17"/>
  <c r="B113" i="17"/>
  <c r="C113" i="17"/>
  <c r="D113" i="17"/>
  <c r="E113" i="17"/>
  <c r="F113" i="17"/>
  <c r="G113" i="17"/>
  <c r="H113" i="17"/>
  <c r="I113" i="17"/>
  <c r="J113" i="17"/>
  <c r="K113" i="17"/>
  <c r="L113" i="17"/>
  <c r="M113" i="17"/>
  <c r="A114" i="17"/>
  <c r="B114" i="17"/>
  <c r="C114" i="17"/>
  <c r="D114" i="17"/>
  <c r="E114" i="17"/>
  <c r="F114" i="17"/>
  <c r="G114" i="17"/>
  <c r="H114" i="17"/>
  <c r="I114" i="17"/>
  <c r="J114" i="17"/>
  <c r="K114" i="17"/>
  <c r="L114" i="17"/>
  <c r="M114" i="17"/>
  <c r="A115" i="17"/>
  <c r="B115" i="17"/>
  <c r="C115" i="17"/>
  <c r="D115" i="17"/>
  <c r="E115" i="17"/>
  <c r="F115" i="17"/>
  <c r="G115" i="17"/>
  <c r="H115" i="17"/>
  <c r="I115" i="17"/>
  <c r="J115" i="17"/>
  <c r="K115" i="17"/>
  <c r="L115" i="17"/>
  <c r="M115" i="17"/>
  <c r="A116" i="17"/>
  <c r="B116" i="17"/>
  <c r="C116" i="17"/>
  <c r="D116" i="17"/>
  <c r="E116" i="17"/>
  <c r="F116" i="17"/>
  <c r="G116" i="17"/>
  <c r="H116" i="17"/>
  <c r="I116" i="17"/>
  <c r="J116" i="17"/>
  <c r="K116" i="17"/>
  <c r="L116" i="17"/>
  <c r="M116" i="17"/>
  <c r="A117" i="17"/>
  <c r="B117" i="17"/>
  <c r="C117" i="17"/>
  <c r="D117" i="17"/>
  <c r="E117" i="17"/>
  <c r="F117" i="17"/>
  <c r="G117" i="17"/>
  <c r="H117" i="17"/>
  <c r="I117" i="17"/>
  <c r="J117" i="17"/>
  <c r="K117" i="17"/>
  <c r="L117" i="17"/>
  <c r="M117" i="17"/>
  <c r="A118" i="17"/>
  <c r="B118" i="17"/>
  <c r="C118" i="17"/>
  <c r="D118" i="17"/>
  <c r="E118" i="17"/>
  <c r="F118" i="17"/>
  <c r="G118" i="17"/>
  <c r="H118" i="17"/>
  <c r="I118" i="17"/>
  <c r="J118" i="17"/>
  <c r="K118" i="17"/>
  <c r="L118" i="17"/>
  <c r="M118" i="17"/>
  <c r="A119" i="17"/>
  <c r="B119" i="17"/>
  <c r="C119" i="17"/>
  <c r="D119" i="17"/>
  <c r="E119" i="17"/>
  <c r="F119" i="17"/>
  <c r="G119" i="17"/>
  <c r="H119" i="17"/>
  <c r="I119" i="17"/>
  <c r="J119" i="17"/>
  <c r="K119" i="17"/>
  <c r="L119" i="17"/>
  <c r="M119" i="17"/>
  <c r="A120" i="17"/>
  <c r="B120" i="17"/>
  <c r="C120" i="17"/>
  <c r="D120" i="17"/>
  <c r="E120" i="17"/>
  <c r="F120" i="17"/>
  <c r="G120" i="17"/>
  <c r="H120" i="17"/>
  <c r="I120" i="17"/>
  <c r="J120" i="17"/>
  <c r="K120" i="17"/>
  <c r="L120" i="17"/>
  <c r="M120" i="17"/>
  <c r="A121" i="17"/>
  <c r="B121" i="17"/>
  <c r="C121" i="17"/>
  <c r="D121" i="17"/>
  <c r="E121" i="17"/>
  <c r="F121" i="17"/>
  <c r="G121" i="17"/>
  <c r="H121" i="17"/>
  <c r="I121" i="17"/>
  <c r="J121" i="17"/>
  <c r="K121" i="17"/>
  <c r="L121" i="17"/>
  <c r="M121" i="17"/>
  <c r="A122" i="17"/>
  <c r="B122" i="17"/>
  <c r="C122" i="17"/>
  <c r="D122" i="17"/>
  <c r="E122" i="17"/>
  <c r="F122" i="17"/>
  <c r="G122" i="17"/>
  <c r="H122" i="17"/>
  <c r="I122" i="17"/>
  <c r="J122" i="17"/>
  <c r="K122" i="17"/>
  <c r="L122" i="17"/>
  <c r="M122" i="17"/>
  <c r="A123" i="17"/>
  <c r="B123" i="17"/>
  <c r="C123" i="17"/>
  <c r="D123" i="17"/>
  <c r="E123" i="17"/>
  <c r="F123" i="17"/>
  <c r="G123" i="17"/>
  <c r="H123" i="17"/>
  <c r="I123" i="17"/>
  <c r="J123" i="17"/>
  <c r="K123" i="17"/>
  <c r="L123" i="17"/>
  <c r="M123" i="17"/>
  <c r="A124" i="17"/>
  <c r="B124" i="17"/>
  <c r="C124" i="17"/>
  <c r="D124" i="17"/>
  <c r="E124" i="17"/>
  <c r="F124" i="17"/>
  <c r="G124" i="17"/>
  <c r="H124" i="17"/>
  <c r="I124" i="17"/>
  <c r="J124" i="17"/>
  <c r="K124" i="17"/>
  <c r="L124" i="17"/>
  <c r="M124" i="17"/>
  <c r="A125" i="17"/>
  <c r="B125" i="17"/>
  <c r="C125" i="17"/>
  <c r="D125" i="17"/>
  <c r="E125" i="17"/>
  <c r="F125" i="17"/>
  <c r="G125" i="17"/>
  <c r="H125" i="17"/>
  <c r="I125" i="17"/>
  <c r="J125" i="17"/>
  <c r="K125" i="17"/>
  <c r="L125" i="17"/>
  <c r="M125" i="17"/>
  <c r="A126" i="17"/>
  <c r="B126" i="17"/>
  <c r="C126" i="17"/>
  <c r="D126" i="17"/>
  <c r="E126" i="17"/>
  <c r="F126" i="17"/>
  <c r="G126" i="17"/>
  <c r="H126" i="17"/>
  <c r="I126" i="17"/>
  <c r="J126" i="17"/>
  <c r="K126" i="17"/>
  <c r="L126" i="17"/>
  <c r="M126" i="17"/>
  <c r="A127" i="17"/>
  <c r="B127" i="17"/>
  <c r="C127" i="17"/>
  <c r="D127" i="17"/>
  <c r="E127" i="17"/>
  <c r="F127" i="17"/>
  <c r="G127" i="17"/>
  <c r="H127" i="17"/>
  <c r="I127" i="17"/>
  <c r="J127" i="17"/>
  <c r="K127" i="17"/>
  <c r="L127" i="17"/>
  <c r="M127" i="17"/>
  <c r="A128" i="17"/>
  <c r="B128" i="17"/>
  <c r="C128" i="17"/>
  <c r="D128" i="17"/>
  <c r="E128" i="17"/>
  <c r="F128" i="17"/>
  <c r="G128" i="17"/>
  <c r="H128" i="17"/>
  <c r="I128" i="17"/>
  <c r="J128" i="17"/>
  <c r="K128" i="17"/>
  <c r="L128" i="17"/>
  <c r="M128" i="17"/>
  <c r="A129" i="17"/>
  <c r="B129" i="17"/>
  <c r="C129" i="17"/>
  <c r="D129" i="17"/>
  <c r="E129" i="17"/>
  <c r="F129" i="17"/>
  <c r="G129" i="17"/>
  <c r="H129" i="17"/>
  <c r="I129" i="17"/>
  <c r="J129" i="17"/>
  <c r="K129" i="17"/>
  <c r="L129" i="17"/>
  <c r="M129" i="17"/>
  <c r="A130" i="17"/>
  <c r="B130" i="17"/>
  <c r="C130" i="17"/>
  <c r="D130" i="17"/>
  <c r="E130" i="17"/>
  <c r="F130" i="17"/>
  <c r="G130" i="17"/>
  <c r="H130" i="17"/>
  <c r="I130" i="17"/>
  <c r="J130" i="17"/>
  <c r="K130" i="17"/>
  <c r="L130" i="17"/>
  <c r="M130" i="17"/>
  <c r="A131" i="17"/>
  <c r="B131" i="17"/>
  <c r="C131" i="17"/>
  <c r="D131" i="17"/>
  <c r="E131" i="17"/>
  <c r="F131" i="17"/>
  <c r="G131" i="17"/>
  <c r="H131" i="17"/>
  <c r="I131" i="17"/>
  <c r="J131" i="17"/>
  <c r="K131" i="17"/>
  <c r="L131" i="17"/>
  <c r="M131" i="17"/>
  <c r="A132" i="17"/>
  <c r="B132" i="17"/>
  <c r="C132" i="17"/>
  <c r="D132" i="17"/>
  <c r="E132" i="17"/>
  <c r="F132" i="17"/>
  <c r="G132" i="17"/>
  <c r="H132" i="17"/>
  <c r="I132" i="17"/>
  <c r="J132" i="17"/>
  <c r="K132" i="17"/>
  <c r="L132" i="17"/>
  <c r="M132" i="17"/>
  <c r="A133" i="17"/>
  <c r="B133" i="17"/>
  <c r="C133" i="17"/>
  <c r="D133" i="17"/>
  <c r="E133" i="17"/>
  <c r="F133" i="17"/>
  <c r="G133" i="17"/>
  <c r="H133" i="17"/>
  <c r="I133" i="17"/>
  <c r="J133" i="17"/>
  <c r="K133" i="17"/>
  <c r="L133" i="17"/>
  <c r="M133" i="17"/>
  <c r="A136" i="17"/>
  <c r="B136" i="17"/>
  <c r="C136" i="17"/>
  <c r="D136" i="17"/>
  <c r="E136" i="17"/>
  <c r="F136" i="17"/>
  <c r="G136" i="17"/>
  <c r="H136" i="17"/>
  <c r="J136" i="17"/>
  <c r="K136" i="17"/>
  <c r="L136" i="17"/>
  <c r="M136" i="17"/>
  <c r="A137" i="17"/>
  <c r="B137" i="17"/>
  <c r="C137" i="17"/>
  <c r="D137" i="17"/>
  <c r="E137" i="17"/>
  <c r="F137" i="17"/>
  <c r="G137" i="17"/>
  <c r="H137" i="17"/>
  <c r="J137" i="17"/>
  <c r="K137" i="17"/>
  <c r="L137" i="17"/>
  <c r="M137" i="17"/>
  <c r="A138" i="17"/>
  <c r="B138" i="17"/>
  <c r="C138" i="17"/>
  <c r="D138" i="17"/>
  <c r="E138" i="17"/>
  <c r="F138" i="17"/>
  <c r="G138" i="17"/>
  <c r="H138" i="17"/>
  <c r="J138" i="17"/>
  <c r="K138" i="17"/>
  <c r="L138" i="17"/>
  <c r="M138" i="17"/>
  <c r="A139" i="17"/>
  <c r="B139" i="17"/>
  <c r="C139" i="17"/>
  <c r="D139" i="17"/>
  <c r="E139" i="17"/>
  <c r="F139" i="17"/>
  <c r="G139" i="17"/>
  <c r="H139" i="17"/>
  <c r="J139" i="17"/>
  <c r="K139" i="17"/>
  <c r="L139" i="17"/>
  <c r="M139" i="17"/>
  <c r="A140" i="17"/>
  <c r="B140" i="17"/>
  <c r="C140" i="17"/>
  <c r="D140" i="17"/>
  <c r="E140" i="17"/>
  <c r="F140" i="17"/>
  <c r="G140" i="17"/>
  <c r="H140" i="17"/>
  <c r="J140" i="17"/>
  <c r="K140" i="17"/>
  <c r="L140" i="17"/>
  <c r="M140" i="17"/>
  <c r="A141" i="17"/>
  <c r="B141" i="17"/>
  <c r="C141" i="17"/>
  <c r="D141" i="17"/>
  <c r="E141" i="17"/>
  <c r="F141" i="17"/>
  <c r="G141" i="17"/>
  <c r="H141" i="17"/>
  <c r="J141" i="17"/>
  <c r="K141" i="17"/>
  <c r="L141" i="17"/>
  <c r="M141" i="17"/>
  <c r="A142" i="17"/>
  <c r="B142" i="17"/>
  <c r="C142" i="17"/>
  <c r="D142" i="17"/>
  <c r="E142" i="17"/>
  <c r="F142" i="17"/>
  <c r="G142" i="17"/>
  <c r="H142" i="17"/>
  <c r="J142" i="17"/>
  <c r="K142" i="17"/>
  <c r="L142" i="17"/>
  <c r="M142" i="17"/>
  <c r="A143" i="17"/>
  <c r="B143" i="17"/>
  <c r="C143" i="17"/>
  <c r="D143" i="17"/>
  <c r="E143" i="17"/>
  <c r="F143" i="17"/>
  <c r="G143" i="17"/>
  <c r="H143" i="17"/>
  <c r="J143" i="17"/>
  <c r="K143" i="17"/>
  <c r="L143" i="17"/>
  <c r="M143" i="17"/>
  <c r="A144" i="17"/>
  <c r="B144" i="17"/>
  <c r="C144" i="17"/>
  <c r="D144" i="17"/>
  <c r="E144" i="17"/>
  <c r="F144" i="17"/>
  <c r="G144" i="17"/>
  <c r="H144" i="17"/>
  <c r="J144" i="17"/>
  <c r="K144" i="17"/>
  <c r="L144" i="17"/>
  <c r="M144" i="17"/>
  <c r="A145" i="17"/>
  <c r="B145" i="17"/>
  <c r="C145" i="17"/>
  <c r="D145" i="17"/>
  <c r="E145" i="17"/>
  <c r="F145" i="17"/>
  <c r="G145" i="17"/>
  <c r="H145" i="17"/>
  <c r="J145" i="17"/>
  <c r="K145" i="17"/>
  <c r="L145" i="17"/>
  <c r="M145" i="17"/>
  <c r="A146" i="17"/>
  <c r="B146" i="17"/>
  <c r="C146" i="17"/>
  <c r="D146" i="17"/>
  <c r="E146" i="17"/>
  <c r="F146" i="17"/>
  <c r="G146" i="17"/>
  <c r="H146" i="17"/>
  <c r="J146" i="17"/>
  <c r="K146" i="17"/>
  <c r="L146" i="17"/>
  <c r="M146" i="17"/>
  <c r="A147" i="17"/>
  <c r="B147" i="17"/>
  <c r="C147" i="17"/>
  <c r="D147" i="17"/>
  <c r="E147" i="17"/>
  <c r="F147" i="17"/>
  <c r="G147" i="17"/>
  <c r="H147" i="17"/>
  <c r="J147" i="17"/>
  <c r="K147" i="17"/>
  <c r="L147" i="17"/>
  <c r="M147" i="17"/>
  <c r="A148" i="17"/>
  <c r="B148" i="17"/>
  <c r="C148" i="17"/>
  <c r="D148" i="17"/>
  <c r="E148" i="17"/>
  <c r="F148" i="17"/>
  <c r="G148" i="17"/>
  <c r="H148" i="17"/>
  <c r="I148" i="17"/>
  <c r="J148" i="17"/>
  <c r="K148" i="17"/>
  <c r="L148" i="17"/>
  <c r="M148" i="17"/>
  <c r="A149" i="17"/>
  <c r="B149" i="17"/>
  <c r="C149" i="17"/>
  <c r="D149" i="17"/>
  <c r="E149" i="17"/>
  <c r="F149" i="17"/>
  <c r="G149" i="17"/>
  <c r="H149" i="17"/>
  <c r="J149" i="17"/>
  <c r="K149" i="17"/>
  <c r="L149" i="17"/>
  <c r="M149" i="17"/>
  <c r="A150" i="17"/>
  <c r="B150" i="17"/>
  <c r="C150" i="17"/>
  <c r="D150" i="17"/>
  <c r="E150" i="17"/>
  <c r="F150" i="17"/>
  <c r="G150" i="17"/>
  <c r="H150" i="17"/>
  <c r="J150" i="17"/>
  <c r="K150" i="17"/>
  <c r="L150" i="17"/>
  <c r="M150" i="17"/>
  <c r="A151" i="17"/>
  <c r="B151" i="17"/>
  <c r="C151" i="17"/>
  <c r="D151" i="17"/>
  <c r="E151" i="17"/>
  <c r="F151" i="17"/>
  <c r="G151" i="17"/>
  <c r="H151" i="17"/>
  <c r="J151" i="17"/>
  <c r="K151" i="17"/>
  <c r="L151" i="17"/>
  <c r="M151" i="17"/>
  <c r="A152" i="17"/>
  <c r="B152" i="17"/>
  <c r="C152" i="17"/>
  <c r="D152" i="17"/>
  <c r="E152" i="17"/>
  <c r="F152" i="17"/>
  <c r="G152" i="17"/>
  <c r="H152" i="17"/>
  <c r="J152" i="17"/>
  <c r="K152" i="17"/>
  <c r="L152" i="17"/>
  <c r="M152" i="17"/>
  <c r="A153" i="17"/>
  <c r="B153" i="17"/>
  <c r="C153" i="17"/>
  <c r="D153" i="17"/>
  <c r="E153" i="17"/>
  <c r="F153" i="17"/>
  <c r="G153" i="17"/>
  <c r="H153" i="17"/>
  <c r="J153" i="17"/>
  <c r="K153" i="17"/>
  <c r="L153" i="17"/>
  <c r="M153" i="17"/>
  <c r="A154" i="17"/>
  <c r="B154" i="17"/>
  <c r="C154" i="17"/>
  <c r="D154" i="17"/>
  <c r="E154" i="17"/>
  <c r="F154" i="17"/>
  <c r="G154" i="17"/>
  <c r="H154" i="17"/>
  <c r="J154" i="17"/>
  <c r="K154" i="17"/>
  <c r="L154" i="17"/>
  <c r="M154" i="17"/>
  <c r="A155" i="17"/>
  <c r="B155" i="17"/>
  <c r="C155" i="17"/>
  <c r="D155" i="17"/>
  <c r="E155" i="17"/>
  <c r="F155" i="17"/>
  <c r="G155" i="17"/>
  <c r="H155" i="17"/>
  <c r="J155" i="17"/>
  <c r="K155" i="17"/>
  <c r="L155" i="17"/>
  <c r="M155" i="17"/>
  <c r="A156" i="17"/>
  <c r="B156" i="17"/>
  <c r="C156" i="17"/>
  <c r="D156" i="17"/>
  <c r="E156" i="17"/>
  <c r="F156" i="17"/>
  <c r="G156" i="17"/>
  <c r="H156" i="17"/>
  <c r="J156" i="17"/>
  <c r="K156" i="17"/>
  <c r="L156" i="17"/>
  <c r="M156" i="17"/>
  <c r="A157" i="17"/>
  <c r="B157" i="17"/>
  <c r="C157" i="17"/>
  <c r="D157" i="17"/>
  <c r="E157" i="17"/>
  <c r="F157" i="17"/>
  <c r="G157" i="17"/>
  <c r="H157" i="17"/>
  <c r="J157" i="17"/>
  <c r="K157" i="17"/>
  <c r="L157" i="17"/>
  <c r="M157" i="17"/>
  <c r="A158" i="17"/>
  <c r="B158" i="17"/>
  <c r="C158" i="17"/>
  <c r="D158" i="17"/>
  <c r="E158" i="17"/>
  <c r="F158" i="17"/>
  <c r="G158" i="17"/>
  <c r="H158" i="17"/>
  <c r="J158" i="17"/>
  <c r="K158" i="17"/>
  <c r="L158" i="17"/>
  <c r="M158" i="17"/>
  <c r="A159" i="17"/>
  <c r="B159" i="17"/>
  <c r="C159" i="17"/>
  <c r="D159" i="17"/>
  <c r="E159" i="17"/>
  <c r="F159" i="17"/>
  <c r="G159" i="17"/>
  <c r="H159" i="17"/>
  <c r="J159" i="17"/>
  <c r="K159" i="17"/>
  <c r="L159" i="17"/>
  <c r="M159" i="17"/>
  <c r="A160" i="17"/>
  <c r="B160" i="17"/>
  <c r="C160" i="17"/>
  <c r="D160" i="17"/>
  <c r="E160" i="17"/>
  <c r="F160" i="17"/>
  <c r="G160" i="17"/>
  <c r="H160" i="17"/>
  <c r="J160" i="17"/>
  <c r="K160" i="17"/>
  <c r="L160" i="17"/>
  <c r="M160" i="17"/>
  <c r="A161" i="17"/>
  <c r="B161" i="17"/>
  <c r="C161" i="17"/>
  <c r="D161" i="17"/>
  <c r="E161" i="17"/>
  <c r="F161" i="17"/>
  <c r="G161" i="17"/>
  <c r="H161" i="17"/>
  <c r="J161" i="17"/>
  <c r="K161" i="17"/>
  <c r="L161" i="17"/>
  <c r="M161" i="17"/>
  <c r="A162" i="17"/>
  <c r="B162" i="17"/>
  <c r="C162" i="17"/>
  <c r="D162" i="17"/>
  <c r="E162" i="17"/>
  <c r="F162" i="17"/>
  <c r="G162" i="17"/>
  <c r="H162" i="17"/>
  <c r="J162" i="17"/>
  <c r="K162" i="17"/>
  <c r="L162" i="17"/>
  <c r="M162" i="17"/>
  <c r="A163" i="17"/>
  <c r="B163" i="17"/>
  <c r="C163" i="17"/>
  <c r="D163" i="17"/>
  <c r="E163" i="17"/>
  <c r="F163" i="17"/>
  <c r="G163" i="17"/>
  <c r="H163" i="17"/>
  <c r="J163" i="17"/>
  <c r="K163" i="17"/>
  <c r="L163" i="17"/>
  <c r="M163" i="17"/>
  <c r="A164" i="17"/>
  <c r="B164" i="17"/>
  <c r="C164" i="17"/>
  <c r="D164" i="17"/>
  <c r="E164" i="17"/>
  <c r="F164" i="17"/>
  <c r="G164" i="17"/>
  <c r="H164" i="17"/>
  <c r="J164" i="17"/>
  <c r="K164" i="17"/>
  <c r="L164" i="17"/>
  <c r="M164" i="17"/>
  <c r="A165" i="17"/>
  <c r="B165" i="17"/>
  <c r="C165" i="17"/>
  <c r="D165" i="17"/>
  <c r="E165" i="17"/>
  <c r="F165" i="17"/>
  <c r="G165" i="17"/>
  <c r="H165" i="17"/>
  <c r="J165" i="17"/>
  <c r="K165" i="17"/>
  <c r="L165" i="17"/>
  <c r="M165" i="17"/>
  <c r="A166" i="17"/>
  <c r="B166" i="17"/>
  <c r="C166" i="17"/>
  <c r="D166" i="17"/>
  <c r="E166" i="17"/>
  <c r="F166" i="17"/>
  <c r="G166" i="17"/>
  <c r="H166" i="17"/>
  <c r="J166" i="17"/>
  <c r="K166" i="17"/>
  <c r="L166" i="17"/>
  <c r="M166" i="17"/>
  <c r="A167" i="17"/>
  <c r="B167" i="17"/>
  <c r="C167" i="17"/>
  <c r="D167" i="17"/>
  <c r="E167" i="17"/>
  <c r="F167" i="17"/>
  <c r="G167" i="17"/>
  <c r="H167" i="17"/>
  <c r="J167" i="17"/>
  <c r="K167" i="17"/>
  <c r="L167" i="17"/>
  <c r="M167" i="17"/>
  <c r="A168" i="17"/>
  <c r="B168" i="17"/>
  <c r="C168" i="17"/>
  <c r="D168" i="17"/>
  <c r="E168" i="17"/>
  <c r="F168" i="17"/>
  <c r="G168" i="17"/>
  <c r="H168" i="17"/>
  <c r="J168" i="17"/>
  <c r="K168" i="17"/>
  <c r="L168" i="17"/>
  <c r="M168" i="17"/>
  <c r="A169" i="17"/>
  <c r="B169" i="17"/>
  <c r="C169" i="17"/>
  <c r="D169" i="17"/>
  <c r="E169" i="17"/>
  <c r="F169" i="17"/>
  <c r="G169" i="17"/>
  <c r="H169" i="17"/>
  <c r="J169" i="17"/>
  <c r="K169" i="17"/>
  <c r="L169" i="17"/>
  <c r="M169" i="17"/>
  <c r="A170" i="17"/>
  <c r="B170" i="17"/>
  <c r="C170" i="17"/>
  <c r="D170" i="17"/>
  <c r="E170" i="17"/>
  <c r="F170" i="17"/>
  <c r="G170" i="17"/>
  <c r="H170" i="17"/>
  <c r="J170" i="17"/>
  <c r="K170" i="17"/>
  <c r="L170" i="17"/>
  <c r="M170" i="17"/>
  <c r="A171" i="17"/>
  <c r="B171" i="17"/>
  <c r="C171" i="17"/>
  <c r="D171" i="17"/>
  <c r="E171" i="17"/>
  <c r="F171" i="17"/>
  <c r="G171" i="17"/>
  <c r="H171" i="17"/>
  <c r="J171" i="17"/>
  <c r="K171" i="17"/>
  <c r="L171" i="17"/>
  <c r="M171" i="17"/>
  <c r="A172" i="17"/>
  <c r="B172" i="17"/>
  <c r="C172" i="17"/>
  <c r="D172" i="17"/>
  <c r="E172" i="17"/>
  <c r="F172" i="17"/>
  <c r="G172" i="17"/>
  <c r="H172" i="17"/>
  <c r="J172" i="17"/>
  <c r="K172" i="17"/>
  <c r="L172" i="17"/>
  <c r="M172" i="17"/>
  <c r="A173" i="17"/>
  <c r="B173" i="17"/>
  <c r="C173" i="17"/>
  <c r="D173" i="17"/>
  <c r="E173" i="17"/>
  <c r="F173" i="17"/>
  <c r="G173" i="17"/>
  <c r="H173" i="17"/>
  <c r="J173" i="17"/>
  <c r="K173" i="17"/>
  <c r="L173" i="17"/>
  <c r="M173" i="17"/>
  <c r="A174" i="17"/>
  <c r="B174" i="17"/>
  <c r="C174" i="17"/>
  <c r="D174" i="17"/>
  <c r="E174" i="17"/>
  <c r="F174" i="17"/>
  <c r="G174" i="17"/>
  <c r="H174" i="17"/>
  <c r="J174" i="17"/>
  <c r="K174" i="17"/>
  <c r="L174" i="17"/>
  <c r="M174" i="17"/>
  <c r="A175" i="17"/>
  <c r="B175" i="17"/>
  <c r="C175" i="17"/>
  <c r="D175" i="17"/>
  <c r="E175" i="17"/>
  <c r="F175" i="17"/>
  <c r="G175" i="17"/>
  <c r="H175" i="17"/>
  <c r="J175" i="17"/>
  <c r="K175" i="17"/>
  <c r="L175" i="17"/>
  <c r="M175" i="17"/>
  <c r="A176" i="17"/>
  <c r="B176" i="17"/>
  <c r="C176" i="17"/>
  <c r="D176" i="17"/>
  <c r="E176" i="17"/>
  <c r="F176" i="17"/>
  <c r="G176" i="17"/>
  <c r="H176" i="17"/>
  <c r="J176" i="17"/>
  <c r="K176" i="17"/>
  <c r="L176" i="17"/>
  <c r="M176" i="17"/>
  <c r="A177" i="17"/>
  <c r="B177" i="17"/>
  <c r="C177" i="17"/>
  <c r="D177" i="17"/>
  <c r="E177" i="17"/>
  <c r="F177" i="17"/>
  <c r="G177" i="17"/>
  <c r="H177" i="17"/>
  <c r="J177" i="17"/>
  <c r="K177" i="17"/>
  <c r="L177" i="17"/>
  <c r="M177" i="17"/>
  <c r="A178" i="17"/>
  <c r="B178" i="17"/>
  <c r="C178" i="17"/>
  <c r="D178" i="17"/>
  <c r="E178" i="17"/>
  <c r="F178" i="17"/>
  <c r="G178" i="17"/>
  <c r="H178" i="17"/>
  <c r="J178" i="17"/>
  <c r="K178" i="17"/>
  <c r="L178" i="17"/>
  <c r="M178" i="17"/>
  <c r="A179" i="17"/>
  <c r="B179" i="17"/>
  <c r="C179" i="17"/>
  <c r="D179" i="17"/>
  <c r="E179" i="17"/>
  <c r="F179" i="17"/>
  <c r="G179" i="17"/>
  <c r="H179" i="17"/>
  <c r="J179" i="17"/>
  <c r="K179" i="17"/>
  <c r="L179" i="17"/>
  <c r="M179" i="17"/>
  <c r="A180" i="17"/>
  <c r="B180" i="17"/>
  <c r="C180" i="17"/>
  <c r="D180" i="17"/>
  <c r="E180" i="17"/>
  <c r="F180" i="17"/>
  <c r="G180" i="17"/>
  <c r="H180" i="17"/>
  <c r="J180" i="17"/>
  <c r="K180" i="17"/>
  <c r="L180" i="17"/>
  <c r="M180" i="17"/>
  <c r="A181" i="17"/>
  <c r="B181" i="17"/>
  <c r="C181" i="17"/>
  <c r="D181" i="17"/>
  <c r="E181" i="17"/>
  <c r="F181" i="17"/>
  <c r="G181" i="17"/>
  <c r="H181" i="17"/>
  <c r="J181" i="17"/>
  <c r="K181" i="17"/>
  <c r="L181" i="17"/>
  <c r="M181" i="17"/>
  <c r="A182" i="17"/>
  <c r="B182" i="17"/>
  <c r="C182" i="17"/>
  <c r="D182" i="17"/>
  <c r="E182" i="17"/>
  <c r="F182" i="17"/>
  <c r="G182" i="17"/>
  <c r="H182" i="17"/>
  <c r="J182" i="17"/>
  <c r="K182" i="17"/>
  <c r="L182" i="17"/>
  <c r="M182" i="17"/>
  <c r="A183" i="17"/>
  <c r="B183" i="17"/>
  <c r="C183" i="17"/>
  <c r="D183" i="17"/>
  <c r="E183" i="17"/>
  <c r="F183" i="17"/>
  <c r="G183" i="17"/>
  <c r="H183" i="17"/>
  <c r="J183" i="17"/>
  <c r="K183" i="17"/>
  <c r="L183" i="17"/>
  <c r="M183" i="17"/>
  <c r="A184" i="17"/>
  <c r="B184" i="17"/>
  <c r="C184" i="17"/>
  <c r="D184" i="17"/>
  <c r="E184" i="17"/>
  <c r="F184" i="17"/>
  <c r="G184" i="17"/>
  <c r="H184" i="17"/>
  <c r="J184" i="17"/>
  <c r="K184" i="17"/>
  <c r="L184" i="17"/>
  <c r="M184" i="17"/>
  <c r="A185" i="17"/>
  <c r="B185" i="17"/>
  <c r="C185" i="17"/>
  <c r="D185" i="17"/>
  <c r="E185" i="17"/>
  <c r="F185" i="17"/>
  <c r="G185" i="17"/>
  <c r="H185" i="17"/>
  <c r="J185" i="17"/>
  <c r="K185" i="17"/>
  <c r="L185" i="17"/>
  <c r="M185" i="17"/>
  <c r="A186" i="17"/>
  <c r="B186" i="17"/>
  <c r="C186" i="17"/>
  <c r="D186" i="17"/>
  <c r="E186" i="17"/>
  <c r="F186" i="17"/>
  <c r="G186" i="17"/>
  <c r="H186" i="17"/>
  <c r="J186" i="17"/>
  <c r="K186" i="17"/>
  <c r="L186" i="17"/>
  <c r="M186" i="17"/>
  <c r="A187" i="17"/>
  <c r="B187" i="17"/>
  <c r="C187" i="17"/>
  <c r="D187" i="17"/>
  <c r="E187" i="17"/>
  <c r="F187" i="17"/>
  <c r="G187" i="17"/>
  <c r="H187" i="17"/>
  <c r="J187" i="17"/>
  <c r="K187" i="17"/>
  <c r="L187" i="17"/>
  <c r="M187" i="17"/>
  <c r="A188" i="17"/>
  <c r="B188" i="17"/>
  <c r="C188" i="17"/>
  <c r="D188" i="17"/>
  <c r="E188" i="17"/>
  <c r="F188" i="17"/>
  <c r="G188" i="17"/>
  <c r="H188" i="17"/>
  <c r="J188" i="17"/>
  <c r="K188" i="17"/>
  <c r="L188" i="17"/>
  <c r="M188" i="17"/>
  <c r="A189" i="17"/>
  <c r="B189" i="17"/>
  <c r="C189" i="17"/>
  <c r="D189" i="17"/>
  <c r="E189" i="17"/>
  <c r="F189" i="17"/>
  <c r="G189" i="17"/>
  <c r="H189" i="17"/>
  <c r="J189" i="17"/>
  <c r="K189" i="17"/>
  <c r="L189" i="17"/>
  <c r="M189" i="17"/>
  <c r="A190" i="17"/>
  <c r="B190" i="17"/>
  <c r="C190" i="17"/>
  <c r="D190" i="17"/>
  <c r="E190" i="17"/>
  <c r="F190" i="17"/>
  <c r="G190" i="17"/>
  <c r="H190" i="17"/>
  <c r="J190" i="17"/>
  <c r="K190" i="17"/>
  <c r="L190" i="17"/>
  <c r="M190" i="17"/>
  <c r="A191" i="17"/>
  <c r="B191" i="17"/>
  <c r="C191" i="17"/>
  <c r="D191" i="17"/>
  <c r="E191" i="17"/>
  <c r="F191" i="17"/>
  <c r="G191" i="17"/>
  <c r="H191" i="17"/>
  <c r="J191" i="17"/>
  <c r="K191" i="17"/>
  <c r="L191" i="17"/>
  <c r="M191" i="17"/>
  <c r="A192" i="17"/>
  <c r="B192" i="17"/>
  <c r="C192" i="17"/>
  <c r="D192" i="17"/>
  <c r="E192" i="17"/>
  <c r="F192" i="17"/>
  <c r="G192" i="17"/>
  <c r="H192" i="17"/>
  <c r="J192" i="17"/>
  <c r="K192" i="17"/>
  <c r="L192" i="17"/>
  <c r="M192" i="17"/>
  <c r="A193" i="17"/>
  <c r="B193" i="17"/>
  <c r="C193" i="17"/>
  <c r="D193" i="17"/>
  <c r="E193" i="17"/>
  <c r="F193" i="17"/>
  <c r="G193" i="17"/>
  <c r="H193" i="17"/>
  <c r="J193" i="17"/>
  <c r="K193" i="17"/>
  <c r="L193" i="17"/>
  <c r="M193" i="17"/>
  <c r="A194" i="17"/>
  <c r="B194" i="17"/>
  <c r="C194" i="17"/>
  <c r="D194" i="17"/>
  <c r="E194" i="17"/>
  <c r="F194" i="17"/>
  <c r="G194" i="17"/>
  <c r="H194" i="17"/>
  <c r="J194" i="17"/>
  <c r="K194" i="17"/>
  <c r="L194" i="17"/>
  <c r="M194" i="17"/>
  <c r="A195" i="17"/>
  <c r="B195" i="17"/>
  <c r="C195" i="17"/>
  <c r="D195" i="17"/>
  <c r="E195" i="17"/>
  <c r="F195" i="17"/>
  <c r="G195" i="17"/>
  <c r="H195" i="17"/>
  <c r="J195" i="17"/>
  <c r="K195" i="17"/>
  <c r="L195" i="17"/>
  <c r="M195" i="17"/>
  <c r="A196" i="17"/>
  <c r="B196" i="17"/>
  <c r="C196" i="17"/>
  <c r="D196" i="17"/>
  <c r="E196" i="17"/>
  <c r="F196" i="17"/>
  <c r="G196" i="17"/>
  <c r="H196" i="17"/>
  <c r="J196" i="17"/>
  <c r="K196" i="17"/>
  <c r="L196" i="17"/>
  <c r="M196" i="17"/>
  <c r="A197" i="17"/>
  <c r="B197" i="17"/>
  <c r="C197" i="17"/>
  <c r="D197" i="17"/>
  <c r="E197" i="17"/>
  <c r="F197" i="17"/>
  <c r="G197" i="17"/>
  <c r="H197" i="17"/>
  <c r="J197" i="17"/>
  <c r="K197" i="17"/>
  <c r="L197" i="17"/>
  <c r="M197" i="17"/>
  <c r="A198" i="17"/>
  <c r="B198" i="17"/>
  <c r="C198" i="17"/>
  <c r="D198" i="17"/>
  <c r="E198" i="17"/>
  <c r="F198" i="17"/>
  <c r="G198" i="17"/>
  <c r="H198" i="17"/>
  <c r="J198" i="17"/>
  <c r="K198" i="17"/>
  <c r="L198" i="17"/>
  <c r="M198" i="17"/>
  <c r="A199" i="17"/>
  <c r="B199" i="17"/>
  <c r="C199" i="17"/>
  <c r="D199" i="17"/>
  <c r="E199" i="17"/>
  <c r="F199" i="17"/>
  <c r="G199" i="17"/>
  <c r="H199" i="17"/>
  <c r="J199" i="17"/>
  <c r="K199" i="17"/>
  <c r="L199" i="17"/>
  <c r="M199" i="17"/>
  <c r="A200" i="17"/>
  <c r="B200" i="17"/>
  <c r="C200" i="17"/>
  <c r="D200" i="17"/>
  <c r="E200" i="17"/>
  <c r="F200" i="17"/>
  <c r="G200" i="17"/>
  <c r="H200" i="17"/>
  <c r="J200" i="17"/>
  <c r="K200" i="17"/>
  <c r="L200" i="17"/>
  <c r="M200" i="17"/>
  <c r="A201" i="17"/>
  <c r="B201" i="17"/>
  <c r="C201" i="17"/>
  <c r="D201" i="17"/>
  <c r="E201" i="17"/>
  <c r="F201" i="17"/>
  <c r="G201" i="17"/>
  <c r="H201" i="17"/>
  <c r="J201" i="17"/>
  <c r="K201" i="17"/>
  <c r="L201" i="17"/>
  <c r="M201" i="17"/>
  <c r="A202" i="17"/>
  <c r="B202" i="17"/>
  <c r="C202" i="17"/>
  <c r="D202" i="17"/>
  <c r="E202" i="17"/>
  <c r="F202" i="17"/>
  <c r="G202" i="17"/>
  <c r="H202" i="17"/>
  <c r="J202" i="17"/>
  <c r="K202" i="17"/>
  <c r="L202" i="17"/>
  <c r="M202" i="17"/>
  <c r="A203" i="17"/>
  <c r="B203" i="17"/>
  <c r="C203" i="17"/>
  <c r="D203" i="17"/>
  <c r="E203" i="17"/>
  <c r="F203" i="17"/>
  <c r="G203" i="17"/>
  <c r="H203" i="17"/>
  <c r="J203" i="17"/>
  <c r="K203" i="17"/>
  <c r="L203" i="17"/>
  <c r="M203" i="17"/>
  <c r="A204" i="17"/>
  <c r="B204" i="17"/>
  <c r="C204" i="17"/>
  <c r="D204" i="17"/>
  <c r="E204" i="17"/>
  <c r="F204" i="17"/>
  <c r="G204" i="17"/>
  <c r="H204" i="17"/>
  <c r="J204" i="17"/>
  <c r="K204" i="17"/>
  <c r="L204" i="17"/>
  <c r="M204" i="17"/>
  <c r="A205" i="17"/>
  <c r="B205" i="17"/>
  <c r="C205" i="17"/>
  <c r="D205" i="17"/>
  <c r="E205" i="17"/>
  <c r="F205" i="17"/>
  <c r="G205" i="17"/>
  <c r="H205" i="17"/>
  <c r="J205" i="17"/>
  <c r="K205" i="17"/>
  <c r="L205" i="17"/>
  <c r="M205" i="17"/>
  <c r="A208" i="17"/>
  <c r="B208" i="17"/>
  <c r="C208" i="17"/>
  <c r="D208" i="17"/>
  <c r="E208" i="17"/>
  <c r="F208" i="17"/>
  <c r="G208" i="17"/>
  <c r="H208" i="17"/>
  <c r="I208" i="17"/>
  <c r="J208" i="17"/>
  <c r="K208" i="17"/>
  <c r="L208" i="17"/>
  <c r="M208" i="17"/>
  <c r="A209" i="17"/>
  <c r="B209" i="17"/>
  <c r="C209" i="17"/>
  <c r="D209" i="17"/>
  <c r="E209" i="17"/>
  <c r="F209" i="17"/>
  <c r="G209" i="17"/>
  <c r="H209" i="17"/>
  <c r="I209" i="17"/>
  <c r="J209" i="17"/>
  <c r="K209" i="17"/>
  <c r="L209" i="17"/>
  <c r="M209" i="17"/>
  <c r="A210" i="17"/>
  <c r="B210" i="17"/>
  <c r="C210" i="17"/>
  <c r="D210" i="17"/>
  <c r="E210" i="17"/>
  <c r="F210" i="17"/>
  <c r="G210" i="17"/>
  <c r="H210" i="17"/>
  <c r="I210" i="17"/>
  <c r="J210" i="17"/>
  <c r="K210" i="17"/>
  <c r="L210" i="17"/>
  <c r="M210" i="17"/>
  <c r="A211" i="17"/>
  <c r="B211" i="17"/>
  <c r="C211" i="17"/>
  <c r="D211" i="17"/>
  <c r="E211" i="17"/>
  <c r="F211" i="17"/>
  <c r="G211" i="17"/>
  <c r="H211" i="17"/>
  <c r="I211" i="17"/>
  <c r="J211" i="17"/>
  <c r="K211" i="17"/>
  <c r="L211" i="17"/>
  <c r="M211" i="17"/>
  <c r="A212" i="17"/>
  <c r="B212" i="17"/>
  <c r="C212" i="17"/>
  <c r="D212" i="17"/>
  <c r="E212" i="17"/>
  <c r="F212" i="17"/>
  <c r="G212" i="17"/>
  <c r="H212" i="17"/>
  <c r="I212" i="17"/>
  <c r="J212" i="17"/>
  <c r="K212" i="17"/>
  <c r="L212" i="17"/>
  <c r="M212" i="17"/>
  <c r="A213" i="17"/>
  <c r="B213" i="17"/>
  <c r="C213" i="17"/>
  <c r="D213" i="17"/>
  <c r="E213" i="17"/>
  <c r="F213" i="17"/>
  <c r="G213" i="17"/>
  <c r="H213" i="17"/>
  <c r="I213" i="17"/>
  <c r="J213" i="17"/>
  <c r="K213" i="17"/>
  <c r="L213" i="17"/>
  <c r="M213" i="17"/>
  <c r="A214" i="17"/>
  <c r="B214" i="17"/>
  <c r="C214" i="17"/>
  <c r="D214" i="17"/>
  <c r="E214" i="17"/>
  <c r="F214" i="17"/>
  <c r="G214" i="17"/>
  <c r="H214" i="17"/>
  <c r="I214" i="17"/>
  <c r="J214" i="17"/>
  <c r="K214" i="17"/>
  <c r="L214" i="17"/>
  <c r="M214" i="17"/>
  <c r="A215" i="17"/>
  <c r="B215" i="17"/>
  <c r="C215" i="17"/>
  <c r="D215" i="17"/>
  <c r="E215" i="17"/>
  <c r="F215" i="17"/>
  <c r="G215" i="17"/>
  <c r="H215" i="17"/>
  <c r="I215" i="17"/>
  <c r="J215" i="17"/>
  <c r="K215" i="17"/>
  <c r="L215" i="17"/>
  <c r="M215" i="17"/>
  <c r="A216" i="17"/>
  <c r="B216" i="17"/>
  <c r="C216" i="17"/>
  <c r="D216" i="17"/>
  <c r="E216" i="17"/>
  <c r="F216" i="17"/>
  <c r="G216" i="17"/>
  <c r="H216" i="17"/>
  <c r="I216" i="17"/>
  <c r="J216" i="17"/>
  <c r="K216" i="17"/>
  <c r="L216" i="17"/>
  <c r="M216" i="17"/>
  <c r="A217" i="17"/>
  <c r="B217" i="17"/>
  <c r="C217" i="17"/>
  <c r="D217" i="17"/>
  <c r="E217" i="17"/>
  <c r="F217" i="17"/>
  <c r="G217" i="17"/>
  <c r="H217" i="17"/>
  <c r="I217" i="17"/>
  <c r="J217" i="17"/>
  <c r="K217" i="17"/>
  <c r="L217" i="17"/>
  <c r="M217" i="17"/>
  <c r="A218" i="17"/>
  <c r="B218" i="17"/>
  <c r="C218" i="17"/>
  <c r="D218" i="17"/>
  <c r="E218" i="17"/>
  <c r="F218" i="17"/>
  <c r="G218" i="17"/>
  <c r="H218" i="17"/>
  <c r="I218" i="17"/>
  <c r="J218" i="17"/>
  <c r="K218" i="17"/>
  <c r="L218" i="17"/>
  <c r="M218" i="17"/>
  <c r="A219" i="17"/>
  <c r="B219" i="17"/>
  <c r="C219" i="17"/>
  <c r="D219" i="17"/>
  <c r="E219" i="17"/>
  <c r="F219" i="17"/>
  <c r="G219" i="17"/>
  <c r="H219" i="17"/>
  <c r="I219" i="17"/>
  <c r="J219" i="17"/>
  <c r="K219" i="17"/>
  <c r="L219" i="17"/>
  <c r="M219" i="17"/>
  <c r="A220" i="17"/>
  <c r="B220" i="17"/>
  <c r="C220" i="17"/>
  <c r="D220" i="17"/>
  <c r="E220" i="17"/>
  <c r="F220" i="17"/>
  <c r="G220" i="17"/>
  <c r="H220" i="17"/>
  <c r="I220" i="17"/>
  <c r="J220" i="17"/>
  <c r="K220" i="17"/>
  <c r="L220" i="17"/>
  <c r="M220" i="17"/>
  <c r="A221" i="17"/>
  <c r="B221" i="17"/>
  <c r="C221" i="17"/>
  <c r="D221" i="17"/>
  <c r="E221" i="17"/>
  <c r="F221" i="17"/>
  <c r="G221" i="17"/>
  <c r="H221" i="17"/>
  <c r="I221" i="17"/>
  <c r="J221" i="17"/>
  <c r="K221" i="17"/>
  <c r="L221" i="17"/>
  <c r="M221" i="17"/>
  <c r="A222" i="17"/>
  <c r="B222" i="17"/>
  <c r="C222" i="17"/>
  <c r="D222" i="17"/>
  <c r="E222" i="17"/>
  <c r="F222" i="17"/>
  <c r="G222" i="17"/>
  <c r="H222" i="17"/>
  <c r="I222" i="17"/>
  <c r="J222" i="17"/>
  <c r="K222" i="17"/>
  <c r="L222" i="17"/>
  <c r="M222" i="17"/>
  <c r="A223" i="17"/>
  <c r="B223" i="17"/>
  <c r="C223" i="17"/>
  <c r="D223" i="17"/>
  <c r="E223" i="17"/>
  <c r="F223" i="17"/>
  <c r="G223" i="17"/>
  <c r="H223" i="17"/>
  <c r="I223" i="17"/>
  <c r="J223" i="17"/>
  <c r="K223" i="17"/>
  <c r="L223" i="17"/>
  <c r="M223" i="17"/>
  <c r="A224" i="17"/>
  <c r="B224" i="17"/>
  <c r="C224" i="17"/>
  <c r="D224" i="17"/>
  <c r="E224" i="17"/>
  <c r="F224" i="17"/>
  <c r="G224" i="17"/>
  <c r="H224" i="17"/>
  <c r="I224" i="17"/>
  <c r="J224" i="17"/>
  <c r="K224" i="17"/>
  <c r="L224" i="17"/>
  <c r="M224" i="17"/>
  <c r="A225" i="17"/>
  <c r="B225" i="17"/>
  <c r="C225" i="17"/>
  <c r="D225" i="17"/>
  <c r="E225" i="17"/>
  <c r="F225" i="17"/>
  <c r="G225" i="17"/>
  <c r="H225" i="17"/>
  <c r="I225" i="17"/>
  <c r="J225" i="17"/>
  <c r="K225" i="17"/>
  <c r="L225" i="17"/>
  <c r="M225" i="17"/>
  <c r="A226" i="17"/>
  <c r="B226" i="17"/>
  <c r="C226" i="17"/>
  <c r="D226" i="17"/>
  <c r="E226" i="17"/>
  <c r="F226" i="17"/>
  <c r="G226" i="17"/>
  <c r="H226" i="17"/>
  <c r="I226" i="17"/>
  <c r="J226" i="17"/>
  <c r="K226" i="17"/>
  <c r="L226" i="17"/>
  <c r="M226" i="17"/>
  <c r="A227" i="17"/>
  <c r="B227" i="17"/>
  <c r="C227" i="17"/>
  <c r="D227" i="17"/>
  <c r="E227" i="17"/>
  <c r="F227" i="17"/>
  <c r="G227" i="17"/>
  <c r="H227" i="17"/>
  <c r="I227" i="17"/>
  <c r="J227" i="17"/>
  <c r="K227" i="17"/>
  <c r="L227" i="17"/>
  <c r="M227" i="17"/>
  <c r="A228" i="17"/>
  <c r="B228" i="17"/>
  <c r="C228" i="17"/>
  <c r="D228" i="17"/>
  <c r="E228" i="17"/>
  <c r="F228" i="17"/>
  <c r="G228" i="17"/>
  <c r="H228" i="17"/>
  <c r="I228" i="17"/>
  <c r="J228" i="17"/>
  <c r="K228" i="17"/>
  <c r="L228" i="17"/>
  <c r="M228" i="17"/>
  <c r="A229" i="17"/>
  <c r="B229" i="17"/>
  <c r="C229" i="17"/>
  <c r="D229" i="17"/>
  <c r="E229" i="17"/>
  <c r="F229" i="17"/>
  <c r="G229" i="17"/>
  <c r="H229" i="17"/>
  <c r="I229" i="17"/>
  <c r="J229" i="17"/>
  <c r="K229" i="17"/>
  <c r="L229" i="17"/>
  <c r="M229" i="17"/>
  <c r="A230" i="17"/>
  <c r="B230" i="17"/>
  <c r="C230" i="17"/>
  <c r="D230" i="17"/>
  <c r="E230" i="17"/>
  <c r="F230" i="17"/>
  <c r="G230" i="17"/>
  <c r="H230" i="17"/>
  <c r="I230" i="17"/>
  <c r="J230" i="17"/>
  <c r="K230" i="17"/>
  <c r="L230" i="17"/>
  <c r="M230" i="17"/>
  <c r="A231" i="17"/>
  <c r="B231" i="17"/>
  <c r="C231" i="17"/>
  <c r="D231" i="17"/>
  <c r="E231" i="17"/>
  <c r="F231" i="17"/>
  <c r="G231" i="17"/>
  <c r="H231" i="17"/>
  <c r="I231" i="17"/>
  <c r="J231" i="17"/>
  <c r="K231" i="17"/>
  <c r="L231" i="17"/>
  <c r="M231" i="17"/>
  <c r="A232" i="17"/>
  <c r="B232" i="17"/>
  <c r="C232" i="17"/>
  <c r="D232" i="17"/>
  <c r="E232" i="17"/>
  <c r="F232" i="17"/>
  <c r="G232" i="17"/>
  <c r="H232" i="17"/>
  <c r="I232" i="17"/>
  <c r="J232" i="17"/>
  <c r="K232" i="17"/>
  <c r="L232" i="17"/>
  <c r="M232" i="17"/>
  <c r="A233" i="17"/>
  <c r="B233" i="17"/>
  <c r="C233" i="17"/>
  <c r="D233" i="17"/>
  <c r="E233" i="17"/>
  <c r="F233" i="17"/>
  <c r="G233" i="17"/>
  <c r="H233" i="17"/>
  <c r="I233" i="17"/>
  <c r="J233" i="17"/>
  <c r="K233" i="17"/>
  <c r="L233" i="17"/>
  <c r="M233" i="17"/>
  <c r="A236" i="17"/>
  <c r="B236" i="17"/>
  <c r="C236" i="17"/>
  <c r="D236" i="17"/>
  <c r="E236" i="17"/>
  <c r="F236" i="17"/>
  <c r="G236" i="17"/>
  <c r="H236" i="17"/>
  <c r="I236" i="17"/>
  <c r="J236" i="17"/>
  <c r="K236" i="17"/>
  <c r="L236" i="17"/>
  <c r="M236" i="17"/>
  <c r="A237" i="17"/>
  <c r="B237" i="17"/>
  <c r="C237" i="17"/>
  <c r="D237" i="17"/>
  <c r="E237" i="17"/>
  <c r="F237" i="17"/>
  <c r="G237" i="17"/>
  <c r="H237" i="17"/>
  <c r="I237" i="17"/>
  <c r="J237" i="17"/>
  <c r="K237" i="17"/>
  <c r="L237" i="17"/>
  <c r="M237" i="17"/>
  <c r="A238" i="17"/>
  <c r="B238" i="17"/>
  <c r="C238" i="17"/>
  <c r="D238" i="17"/>
  <c r="E238" i="17"/>
  <c r="F238" i="17"/>
  <c r="G238" i="17"/>
  <c r="H238" i="17"/>
  <c r="I238" i="17"/>
  <c r="J238" i="17"/>
  <c r="K238" i="17"/>
  <c r="L238" i="17"/>
  <c r="M238" i="17"/>
  <c r="A239" i="17"/>
  <c r="B239" i="17"/>
  <c r="C239" i="17"/>
  <c r="D239" i="17"/>
  <c r="E239" i="17"/>
  <c r="F239" i="17"/>
  <c r="G239" i="17"/>
  <c r="H239" i="17"/>
  <c r="I239" i="17"/>
  <c r="J239" i="17"/>
  <c r="K239" i="17"/>
  <c r="L239" i="17"/>
  <c r="M239" i="17"/>
  <c r="A240" i="17"/>
  <c r="B240" i="17"/>
  <c r="C240" i="17"/>
  <c r="D240" i="17"/>
  <c r="E240" i="17"/>
  <c r="F240" i="17"/>
  <c r="G240" i="17"/>
  <c r="H240" i="17"/>
  <c r="I240" i="17"/>
  <c r="J240" i="17"/>
  <c r="K240" i="17"/>
  <c r="L240" i="17"/>
  <c r="M240" i="17"/>
  <c r="A241" i="17"/>
  <c r="B241" i="17"/>
  <c r="C241" i="17"/>
  <c r="D241" i="17"/>
  <c r="E241" i="17"/>
  <c r="F241" i="17"/>
  <c r="G241" i="17"/>
  <c r="H241" i="17"/>
  <c r="I241" i="17"/>
  <c r="J241" i="17"/>
  <c r="K241" i="17"/>
  <c r="L241" i="17"/>
  <c r="M241" i="17"/>
  <c r="A242" i="17"/>
  <c r="B242" i="17"/>
  <c r="C242" i="17"/>
  <c r="D242" i="17"/>
  <c r="E242" i="17"/>
  <c r="F242" i="17"/>
  <c r="G242" i="17"/>
  <c r="H242" i="17"/>
  <c r="I242" i="17"/>
  <c r="J242" i="17"/>
  <c r="K242" i="17"/>
  <c r="L242" i="17"/>
  <c r="M242" i="17"/>
  <c r="A243" i="17"/>
  <c r="B243" i="17"/>
  <c r="C243" i="17"/>
  <c r="D243" i="17"/>
  <c r="E243" i="17"/>
  <c r="F243" i="17"/>
  <c r="G243" i="17"/>
  <c r="H243" i="17"/>
  <c r="I243" i="17"/>
  <c r="J243" i="17"/>
  <c r="K243" i="17"/>
  <c r="L243" i="17"/>
  <c r="M243" i="17"/>
  <c r="A244" i="17"/>
  <c r="B244" i="17"/>
  <c r="C244" i="17"/>
  <c r="D244" i="17"/>
  <c r="E244" i="17"/>
  <c r="F244" i="17"/>
  <c r="G244" i="17"/>
  <c r="H244" i="17"/>
  <c r="I244" i="17"/>
  <c r="J244" i="17"/>
  <c r="K244" i="17"/>
  <c r="L244" i="17"/>
  <c r="M244" i="17"/>
  <c r="A245" i="17"/>
  <c r="B245" i="17"/>
  <c r="C245" i="17"/>
  <c r="D245" i="17"/>
  <c r="E245" i="17"/>
  <c r="F245" i="17"/>
  <c r="G245" i="17"/>
  <c r="H245" i="17"/>
  <c r="I245" i="17"/>
  <c r="J245" i="17"/>
  <c r="K245" i="17"/>
  <c r="L245" i="17"/>
  <c r="M245" i="17"/>
  <c r="A246" i="17"/>
  <c r="B246" i="17"/>
  <c r="C246" i="17"/>
  <c r="D246" i="17"/>
  <c r="E246" i="17"/>
  <c r="F246" i="17"/>
  <c r="G246" i="17"/>
  <c r="H246" i="17"/>
  <c r="I246" i="17"/>
  <c r="J246" i="17"/>
  <c r="K246" i="17"/>
  <c r="L246" i="17"/>
  <c r="M246" i="17"/>
  <c r="A247" i="17"/>
  <c r="B247" i="17"/>
  <c r="C247" i="17"/>
  <c r="D247" i="17"/>
  <c r="E247" i="17"/>
  <c r="F247" i="17"/>
  <c r="G247" i="17"/>
  <c r="H247" i="17"/>
  <c r="I247" i="17"/>
  <c r="J247" i="17"/>
  <c r="K247" i="17"/>
  <c r="L247" i="17"/>
  <c r="M247" i="17"/>
  <c r="A248" i="17"/>
  <c r="B248" i="17"/>
  <c r="C248" i="17"/>
  <c r="D248" i="17"/>
  <c r="E248" i="17"/>
  <c r="F248" i="17"/>
  <c r="G248" i="17"/>
  <c r="H248" i="17"/>
  <c r="I248" i="17"/>
  <c r="J248" i="17"/>
  <c r="K248" i="17"/>
  <c r="L248" i="17"/>
  <c r="M248" i="17"/>
  <c r="A249" i="17"/>
  <c r="B249" i="17"/>
  <c r="C249" i="17"/>
  <c r="D249" i="17"/>
  <c r="E249" i="17"/>
  <c r="F249" i="17"/>
  <c r="G249" i="17"/>
  <c r="H249" i="17"/>
  <c r="I249" i="17"/>
  <c r="J249" i="17"/>
  <c r="K249" i="17"/>
  <c r="L249" i="17"/>
  <c r="M249" i="17"/>
  <c r="A250" i="17"/>
  <c r="B250" i="17"/>
  <c r="C250" i="17"/>
  <c r="D250" i="17"/>
  <c r="E250" i="17"/>
  <c r="F250" i="17"/>
  <c r="G250" i="17"/>
  <c r="H250" i="17"/>
  <c r="I250" i="17"/>
  <c r="J250" i="17"/>
  <c r="K250" i="17"/>
  <c r="L250" i="17"/>
  <c r="M250" i="17"/>
  <c r="A251" i="17"/>
  <c r="B251" i="17"/>
  <c r="C251" i="17"/>
  <c r="D251" i="17"/>
  <c r="E251" i="17"/>
  <c r="F251" i="17"/>
  <c r="G251" i="17"/>
  <c r="H251" i="17"/>
  <c r="I251" i="17"/>
  <c r="J251" i="17"/>
  <c r="K251" i="17"/>
  <c r="L251" i="17"/>
  <c r="M251" i="17"/>
  <c r="A252" i="17"/>
  <c r="B252" i="17"/>
  <c r="C252" i="17"/>
  <c r="D252" i="17"/>
  <c r="E252" i="17"/>
  <c r="F252" i="17"/>
  <c r="G252" i="17"/>
  <c r="H252" i="17"/>
  <c r="I252" i="17"/>
  <c r="J252" i="17"/>
  <c r="K252" i="17"/>
  <c r="L252" i="17"/>
  <c r="M252" i="17"/>
  <c r="A253" i="17"/>
  <c r="B253" i="17"/>
  <c r="C253" i="17"/>
  <c r="D253" i="17"/>
  <c r="E253" i="17"/>
  <c r="F253" i="17"/>
  <c r="G253" i="17"/>
  <c r="H253" i="17"/>
  <c r="I253" i="17"/>
  <c r="J253" i="17"/>
  <c r="K253" i="17"/>
  <c r="L253" i="17"/>
  <c r="M253" i="17"/>
  <c r="A254" i="17"/>
  <c r="B254" i="17"/>
  <c r="C254" i="17"/>
  <c r="D254" i="17"/>
  <c r="E254" i="17"/>
  <c r="F254" i="17"/>
  <c r="G254" i="17"/>
  <c r="H254" i="17"/>
  <c r="I254" i="17"/>
  <c r="J254" i="17"/>
  <c r="K254" i="17"/>
  <c r="L254" i="17"/>
  <c r="M254" i="17"/>
  <c r="A255" i="17"/>
  <c r="B255" i="17"/>
  <c r="C255" i="17"/>
  <c r="D255" i="17"/>
  <c r="E255" i="17"/>
  <c r="F255" i="17"/>
  <c r="G255" i="17"/>
  <c r="H255" i="17"/>
  <c r="I255" i="17"/>
  <c r="J255" i="17"/>
  <c r="K255" i="17"/>
  <c r="L255" i="17"/>
  <c r="M255" i="17"/>
  <c r="A256" i="17"/>
  <c r="B256" i="17"/>
  <c r="C256" i="17"/>
  <c r="D256" i="17"/>
  <c r="E256" i="17"/>
  <c r="F256" i="17"/>
  <c r="G256" i="17"/>
  <c r="H256" i="17"/>
  <c r="I256" i="17"/>
  <c r="J256" i="17"/>
  <c r="K256" i="17"/>
  <c r="L256" i="17"/>
  <c r="M256" i="17"/>
  <c r="A257" i="17"/>
  <c r="B257" i="17"/>
  <c r="C257" i="17"/>
  <c r="D257" i="17"/>
  <c r="E257" i="17"/>
  <c r="F257" i="17"/>
  <c r="G257" i="17"/>
  <c r="H257" i="17"/>
  <c r="I257" i="17"/>
  <c r="J257" i="17"/>
  <c r="K257" i="17"/>
  <c r="L257" i="17"/>
  <c r="M257" i="17"/>
  <c r="A258" i="17"/>
  <c r="B258" i="17"/>
  <c r="C258" i="17"/>
  <c r="D258" i="17"/>
  <c r="E258" i="17"/>
  <c r="F258" i="17"/>
  <c r="G258" i="17"/>
  <c r="H258" i="17"/>
  <c r="I258" i="17"/>
  <c r="J258" i="17"/>
  <c r="K258" i="17"/>
  <c r="L258" i="17"/>
  <c r="M258" i="17"/>
  <c r="A259" i="17"/>
  <c r="B259" i="17"/>
  <c r="C259" i="17"/>
  <c r="D259" i="17"/>
  <c r="E259" i="17"/>
  <c r="F259" i="17"/>
  <c r="G259" i="17"/>
  <c r="H259" i="17"/>
  <c r="I259" i="17"/>
  <c r="J259" i="17"/>
  <c r="K259" i="17"/>
  <c r="L259" i="17"/>
  <c r="M259" i="17"/>
  <c r="A260" i="17"/>
  <c r="B260" i="17"/>
  <c r="C260" i="17"/>
  <c r="D260" i="17"/>
  <c r="E260" i="17"/>
  <c r="F260" i="17"/>
  <c r="G260" i="17"/>
  <c r="H260" i="17"/>
  <c r="I260" i="17"/>
  <c r="J260" i="17"/>
  <c r="K260" i="17"/>
  <c r="L260" i="17"/>
  <c r="M260" i="17"/>
  <c r="A261" i="17"/>
  <c r="B261" i="17"/>
  <c r="C261" i="17"/>
  <c r="D261" i="17"/>
  <c r="E261" i="17"/>
  <c r="F261" i="17"/>
  <c r="G261" i="17"/>
  <c r="H261" i="17"/>
  <c r="I261" i="17"/>
  <c r="J261" i="17"/>
  <c r="K261" i="17"/>
  <c r="L261" i="17"/>
  <c r="M261" i="17"/>
  <c r="A262" i="17"/>
  <c r="B262" i="17"/>
  <c r="C262" i="17"/>
  <c r="D262" i="17"/>
  <c r="E262" i="17"/>
  <c r="F262" i="17"/>
  <c r="G262" i="17"/>
  <c r="H262" i="17"/>
  <c r="I262" i="17"/>
  <c r="J262" i="17"/>
  <c r="K262" i="17"/>
  <c r="L262" i="17"/>
  <c r="M262" i="17"/>
  <c r="A263" i="17"/>
  <c r="B263" i="17"/>
  <c r="C263" i="17"/>
  <c r="D263" i="17"/>
  <c r="E263" i="17"/>
  <c r="F263" i="17"/>
  <c r="G263" i="17"/>
  <c r="H263" i="17"/>
  <c r="I263" i="17"/>
  <c r="J263" i="17"/>
  <c r="K263" i="17"/>
  <c r="L263" i="17"/>
  <c r="M263" i="17"/>
  <c r="A264" i="17"/>
  <c r="B264" i="17"/>
  <c r="C264" i="17"/>
  <c r="D264" i="17"/>
  <c r="E264" i="17"/>
  <c r="F264" i="17"/>
  <c r="G264" i="17"/>
  <c r="H264" i="17"/>
  <c r="I264" i="17"/>
  <c r="J264" i="17"/>
  <c r="K264" i="17"/>
  <c r="L264" i="17"/>
  <c r="M264" i="17"/>
  <c r="A265" i="17"/>
  <c r="B265" i="17"/>
  <c r="C265" i="17"/>
  <c r="D265" i="17"/>
  <c r="E265" i="17"/>
  <c r="F265" i="17"/>
  <c r="G265" i="17"/>
  <c r="H265" i="17"/>
  <c r="I265" i="17"/>
  <c r="J265" i="17"/>
  <c r="K265" i="17"/>
  <c r="L265" i="17"/>
  <c r="M265" i="17"/>
  <c r="A266" i="17"/>
  <c r="B266" i="17"/>
  <c r="C266" i="17"/>
  <c r="D266" i="17"/>
  <c r="E266" i="17"/>
  <c r="F266" i="17"/>
  <c r="G266" i="17"/>
  <c r="H266" i="17"/>
  <c r="I266" i="17"/>
  <c r="J266" i="17"/>
  <c r="K266" i="17"/>
  <c r="L266" i="17"/>
  <c r="M266" i="17"/>
  <c r="A267" i="17"/>
  <c r="B267" i="17"/>
  <c r="C267" i="17"/>
  <c r="D267" i="17"/>
  <c r="E267" i="17"/>
  <c r="F267" i="17"/>
  <c r="G267" i="17"/>
  <c r="H267" i="17"/>
  <c r="I267" i="17"/>
  <c r="J267" i="17"/>
  <c r="K267" i="17"/>
  <c r="L267" i="17"/>
  <c r="M267" i="17"/>
  <c r="A268" i="17"/>
  <c r="B268" i="17"/>
  <c r="C268" i="17"/>
  <c r="D268" i="17"/>
  <c r="E268" i="17"/>
  <c r="F268" i="17"/>
  <c r="G268" i="17"/>
  <c r="H268" i="17"/>
  <c r="I268" i="17"/>
  <c r="J268" i="17"/>
  <c r="K268" i="17"/>
  <c r="L268" i="17"/>
  <c r="M268" i="17"/>
  <c r="A269" i="17"/>
  <c r="B269" i="17"/>
  <c r="C269" i="17"/>
  <c r="D269" i="17"/>
  <c r="E269" i="17"/>
  <c r="F269" i="17"/>
  <c r="G269" i="17"/>
  <c r="H269" i="17"/>
  <c r="I269" i="17"/>
  <c r="J269" i="17"/>
  <c r="K269" i="17"/>
  <c r="L269" i="17"/>
  <c r="M269" i="17"/>
  <c r="A270" i="17"/>
  <c r="B270" i="17"/>
  <c r="C270" i="17"/>
  <c r="D270" i="17"/>
  <c r="E270" i="17"/>
  <c r="F270" i="17"/>
  <c r="G270" i="17"/>
  <c r="H270" i="17"/>
  <c r="I270" i="17"/>
  <c r="J270" i="17"/>
  <c r="K270" i="17"/>
  <c r="L270" i="17"/>
  <c r="M270" i="17"/>
  <c r="A271" i="17"/>
  <c r="B271" i="17"/>
  <c r="C271" i="17"/>
  <c r="D271" i="17"/>
  <c r="E271" i="17"/>
  <c r="F271" i="17"/>
  <c r="G271" i="17"/>
  <c r="H271" i="17"/>
  <c r="I271" i="17"/>
  <c r="J271" i="17"/>
  <c r="K271" i="17"/>
  <c r="L271" i="17"/>
  <c r="M271" i="17"/>
  <c r="A272" i="17"/>
  <c r="B272" i="17"/>
  <c r="C272" i="17"/>
  <c r="D272" i="17"/>
  <c r="E272" i="17"/>
  <c r="F272" i="17"/>
  <c r="G272" i="17"/>
  <c r="H272" i="17"/>
  <c r="I272" i="17"/>
  <c r="J272" i="17"/>
  <c r="K272" i="17"/>
  <c r="L272" i="17"/>
  <c r="M272" i="17"/>
  <c r="A273" i="17"/>
  <c r="B273" i="17"/>
  <c r="C273" i="17"/>
  <c r="D273" i="17"/>
  <c r="E273" i="17"/>
  <c r="F273" i="17"/>
  <c r="G273" i="17"/>
  <c r="H273" i="17"/>
  <c r="I273" i="17"/>
  <c r="J273" i="17"/>
  <c r="K273" i="17"/>
  <c r="L273" i="17"/>
  <c r="M273" i="17"/>
  <c r="A274" i="17"/>
  <c r="B274" i="17"/>
  <c r="C274" i="17"/>
  <c r="D274" i="17"/>
  <c r="E274" i="17"/>
  <c r="F274" i="17"/>
  <c r="G274" i="17"/>
  <c r="H274" i="17"/>
  <c r="I274" i="17"/>
  <c r="J274" i="17"/>
  <c r="K274" i="17"/>
  <c r="L274" i="17"/>
  <c r="M274" i="17"/>
  <c r="A275" i="17"/>
  <c r="B275" i="17"/>
  <c r="C275" i="17"/>
  <c r="D275" i="17"/>
  <c r="E275" i="17"/>
  <c r="F275" i="17"/>
  <c r="G275" i="17"/>
  <c r="H275" i="17"/>
  <c r="I275" i="17"/>
  <c r="J275" i="17"/>
  <c r="K275" i="17"/>
  <c r="L275" i="17"/>
  <c r="M275" i="17"/>
  <c r="A276" i="17"/>
  <c r="B276" i="17"/>
  <c r="C276" i="17"/>
  <c r="D276" i="17"/>
  <c r="E276" i="17"/>
  <c r="F276" i="17"/>
  <c r="G276" i="17"/>
  <c r="H276" i="17"/>
  <c r="I276" i="17"/>
  <c r="J276" i="17"/>
  <c r="K276" i="17"/>
  <c r="L276" i="17"/>
  <c r="M276" i="17"/>
  <c r="A277" i="17"/>
  <c r="B277" i="17"/>
  <c r="C277" i="17"/>
  <c r="D277" i="17"/>
  <c r="E277" i="17"/>
  <c r="F277" i="17"/>
  <c r="G277" i="17"/>
  <c r="H277" i="17"/>
  <c r="I277" i="17"/>
  <c r="J277" i="17"/>
  <c r="K277" i="17"/>
  <c r="L277" i="17"/>
  <c r="M277" i="17"/>
  <c r="A278" i="17"/>
  <c r="B278" i="17"/>
  <c r="C278" i="17"/>
  <c r="D278" i="17"/>
  <c r="E278" i="17"/>
  <c r="F278" i="17"/>
  <c r="G278" i="17"/>
  <c r="H278" i="17"/>
  <c r="I278" i="17"/>
  <c r="J278" i="17"/>
  <c r="K278" i="17"/>
  <c r="L278" i="17"/>
  <c r="M278" i="17"/>
  <c r="A279" i="17"/>
  <c r="B279" i="17"/>
  <c r="C279" i="17"/>
  <c r="D279" i="17"/>
  <c r="E279" i="17"/>
  <c r="F279" i="17"/>
  <c r="G279" i="17"/>
  <c r="H279" i="17"/>
  <c r="I279" i="17"/>
  <c r="J279" i="17"/>
  <c r="K279" i="17"/>
  <c r="L279" i="17"/>
  <c r="M279" i="17"/>
  <c r="A280" i="17"/>
  <c r="B280" i="17"/>
  <c r="C280" i="17"/>
  <c r="D280" i="17"/>
  <c r="E280" i="17"/>
  <c r="F280" i="17"/>
  <c r="G280" i="17"/>
  <c r="H280" i="17"/>
  <c r="I280" i="17"/>
  <c r="J280" i="17"/>
  <c r="K280" i="17"/>
  <c r="L280" i="17"/>
  <c r="M280" i="17"/>
  <c r="A281" i="17"/>
  <c r="B281" i="17"/>
  <c r="C281" i="17"/>
  <c r="D281" i="17"/>
  <c r="E281" i="17"/>
  <c r="F281" i="17"/>
  <c r="G281" i="17"/>
  <c r="H281" i="17"/>
  <c r="I281" i="17"/>
  <c r="J281" i="17"/>
  <c r="K281" i="17"/>
  <c r="L281" i="17"/>
  <c r="M281" i="17"/>
  <c r="A282" i="17"/>
  <c r="B282" i="17"/>
  <c r="C282" i="17"/>
  <c r="D282" i="17"/>
  <c r="E282" i="17"/>
  <c r="F282" i="17"/>
  <c r="G282" i="17"/>
  <c r="H282" i="17"/>
  <c r="I282" i="17"/>
  <c r="J282" i="17"/>
  <c r="K282" i="17"/>
  <c r="L282" i="17"/>
  <c r="M282" i="17"/>
  <c r="A283" i="17"/>
  <c r="B283" i="17"/>
  <c r="C283" i="17"/>
  <c r="D283" i="17"/>
  <c r="E283" i="17"/>
  <c r="F283" i="17"/>
  <c r="G283" i="17"/>
  <c r="H283" i="17"/>
  <c r="I283" i="17"/>
  <c r="J283" i="17"/>
  <c r="K283" i="17"/>
  <c r="L283" i="17"/>
  <c r="M283" i="17"/>
  <c r="A284" i="17"/>
  <c r="B284" i="17"/>
  <c r="C284" i="17"/>
  <c r="D284" i="17"/>
  <c r="E284" i="17"/>
  <c r="F284" i="17"/>
  <c r="G284" i="17"/>
  <c r="H284" i="17"/>
  <c r="I284" i="17"/>
  <c r="J284" i="17"/>
  <c r="K284" i="17"/>
  <c r="L284" i="17"/>
  <c r="M284" i="17"/>
  <c r="A287" i="17"/>
  <c r="B287" i="17"/>
  <c r="C287" i="17"/>
  <c r="D287" i="17"/>
  <c r="E287" i="17"/>
  <c r="F287" i="17"/>
  <c r="G287" i="17"/>
  <c r="H287" i="17"/>
  <c r="I287" i="17"/>
  <c r="J287" i="17"/>
  <c r="K287" i="17"/>
  <c r="L287" i="17"/>
  <c r="M287" i="17"/>
  <c r="A288" i="17"/>
  <c r="B288" i="17"/>
  <c r="C288" i="17"/>
  <c r="D288" i="17"/>
  <c r="E288" i="17"/>
  <c r="F288" i="17"/>
  <c r="G288" i="17"/>
  <c r="H288" i="17"/>
  <c r="I288" i="17"/>
  <c r="J288" i="17"/>
  <c r="K288" i="17"/>
  <c r="L288" i="17"/>
  <c r="M288" i="17"/>
  <c r="A289" i="17"/>
  <c r="B289" i="17"/>
  <c r="C289" i="17"/>
  <c r="D289" i="17"/>
  <c r="E289" i="17"/>
  <c r="F289" i="17"/>
  <c r="G289" i="17"/>
  <c r="H289" i="17"/>
  <c r="I289" i="17"/>
  <c r="J289" i="17"/>
  <c r="K289" i="17"/>
  <c r="L289" i="17"/>
  <c r="M289" i="17"/>
  <c r="A290" i="17"/>
  <c r="B290" i="17"/>
  <c r="C290" i="17"/>
  <c r="D290" i="17"/>
  <c r="E290" i="17"/>
  <c r="F290" i="17"/>
  <c r="G290" i="17"/>
  <c r="H290" i="17"/>
  <c r="I290" i="17"/>
  <c r="J290" i="17"/>
  <c r="K290" i="17"/>
  <c r="L290" i="17"/>
  <c r="M290" i="17"/>
  <c r="A291" i="17"/>
  <c r="B291" i="17"/>
  <c r="C291" i="17"/>
  <c r="D291" i="17"/>
  <c r="E291" i="17"/>
  <c r="F291" i="17"/>
  <c r="G291" i="17"/>
  <c r="H291" i="17"/>
  <c r="I291" i="17"/>
  <c r="J291" i="17"/>
  <c r="K291" i="17"/>
  <c r="L291" i="17"/>
  <c r="M291" i="17"/>
  <c r="A292" i="17"/>
  <c r="B292" i="17"/>
  <c r="C292" i="17"/>
  <c r="D292" i="17"/>
  <c r="E292" i="17"/>
  <c r="F292" i="17"/>
  <c r="G292" i="17"/>
  <c r="H292" i="17"/>
  <c r="I292" i="17"/>
  <c r="J292" i="17"/>
  <c r="K292" i="17"/>
  <c r="L292" i="17"/>
  <c r="M292" i="17"/>
  <c r="A293" i="17"/>
  <c r="B293" i="17"/>
  <c r="C293" i="17"/>
  <c r="D293" i="17"/>
  <c r="E293" i="17"/>
  <c r="F293" i="17"/>
  <c r="G293" i="17"/>
  <c r="H293" i="17"/>
  <c r="I293" i="17"/>
  <c r="J293" i="17"/>
  <c r="K293" i="17"/>
  <c r="L293" i="17"/>
  <c r="M293" i="17"/>
  <c r="A294" i="17"/>
  <c r="B294" i="17"/>
  <c r="C294" i="17"/>
  <c r="D294" i="17"/>
  <c r="E294" i="17"/>
  <c r="F294" i="17"/>
  <c r="G294" i="17"/>
  <c r="H294" i="17"/>
  <c r="I294" i="17"/>
  <c r="J294" i="17"/>
  <c r="K294" i="17"/>
  <c r="L294" i="17"/>
  <c r="M294" i="17"/>
  <c r="A295" i="17"/>
  <c r="B295" i="17"/>
  <c r="C295" i="17"/>
  <c r="D295" i="17"/>
  <c r="E295" i="17"/>
  <c r="F295" i="17"/>
  <c r="G295" i="17"/>
  <c r="H295" i="17"/>
  <c r="I295" i="17"/>
  <c r="J295" i="17"/>
  <c r="K295" i="17"/>
  <c r="L295" i="17"/>
  <c r="M295" i="17"/>
  <c r="A296" i="17"/>
  <c r="B296" i="17"/>
  <c r="C296" i="17"/>
  <c r="D296" i="17"/>
  <c r="E296" i="17"/>
  <c r="F296" i="17"/>
  <c r="G296" i="17"/>
  <c r="H296" i="17"/>
  <c r="I296" i="17"/>
  <c r="J296" i="17"/>
  <c r="K296" i="17"/>
  <c r="L296" i="17"/>
  <c r="M296" i="17"/>
  <c r="A297" i="17"/>
  <c r="B297" i="17"/>
  <c r="C297" i="17"/>
  <c r="D297" i="17"/>
  <c r="E297" i="17"/>
  <c r="F297" i="17"/>
  <c r="G297" i="17"/>
  <c r="H297" i="17"/>
  <c r="I297" i="17"/>
  <c r="J297" i="17"/>
  <c r="K297" i="17"/>
  <c r="L297" i="17"/>
  <c r="M297" i="17"/>
  <c r="A298" i="17"/>
  <c r="B298" i="17"/>
  <c r="C298" i="17"/>
  <c r="D298" i="17"/>
  <c r="E298" i="17"/>
  <c r="F298" i="17"/>
  <c r="G298" i="17"/>
  <c r="H298" i="17"/>
  <c r="I298" i="17"/>
  <c r="J298" i="17"/>
  <c r="K298" i="17"/>
  <c r="L298" i="17"/>
  <c r="M298" i="17"/>
  <c r="A299" i="17"/>
  <c r="B299" i="17"/>
  <c r="C299" i="17"/>
  <c r="D299" i="17"/>
  <c r="E299" i="17"/>
  <c r="F299" i="17"/>
  <c r="G299" i="17"/>
  <c r="H299" i="17"/>
  <c r="I299" i="17"/>
  <c r="J299" i="17"/>
  <c r="K299" i="17"/>
  <c r="L299" i="17"/>
  <c r="M299" i="17"/>
  <c r="A300" i="17"/>
  <c r="B300" i="17"/>
  <c r="C300" i="17"/>
  <c r="D300" i="17"/>
  <c r="E300" i="17"/>
  <c r="F300" i="17"/>
  <c r="G300" i="17"/>
  <c r="H300" i="17"/>
  <c r="I300" i="17"/>
  <c r="J300" i="17"/>
  <c r="K300" i="17"/>
  <c r="L300" i="17"/>
  <c r="M300" i="17"/>
  <c r="A301" i="17"/>
  <c r="B301" i="17"/>
  <c r="C301" i="17"/>
  <c r="D301" i="17"/>
  <c r="E301" i="17"/>
  <c r="F301" i="17"/>
  <c r="G301" i="17"/>
  <c r="H301" i="17"/>
  <c r="I301" i="17"/>
  <c r="J301" i="17"/>
  <c r="K301" i="17"/>
  <c r="L301" i="17"/>
  <c r="M301" i="17"/>
  <c r="A302" i="17"/>
  <c r="B302" i="17"/>
  <c r="C302" i="17"/>
  <c r="D302" i="17"/>
  <c r="E302" i="17"/>
  <c r="F302" i="17"/>
  <c r="G302" i="17"/>
  <c r="H302" i="17"/>
  <c r="I302" i="17"/>
  <c r="J302" i="17"/>
  <c r="K302" i="17"/>
  <c r="L302" i="17"/>
  <c r="M302" i="17"/>
  <c r="A303" i="17"/>
  <c r="B303" i="17"/>
  <c r="C303" i="17"/>
  <c r="D303" i="17"/>
  <c r="E303" i="17"/>
  <c r="F303" i="17"/>
  <c r="G303" i="17"/>
  <c r="H303" i="17"/>
  <c r="I303" i="17"/>
  <c r="J303" i="17"/>
  <c r="K303" i="17"/>
  <c r="L303" i="17"/>
  <c r="M303" i="17"/>
  <c r="A304" i="17"/>
  <c r="B304" i="17"/>
  <c r="C304" i="17"/>
  <c r="D304" i="17"/>
  <c r="E304" i="17"/>
  <c r="F304" i="17"/>
  <c r="G304" i="17"/>
  <c r="H304" i="17"/>
  <c r="I304" i="17"/>
  <c r="J304" i="17"/>
  <c r="K304" i="17"/>
  <c r="L304" i="17"/>
  <c r="M304" i="17"/>
  <c r="A307" i="17"/>
  <c r="B307" i="17"/>
  <c r="C307" i="17"/>
  <c r="D307" i="17"/>
  <c r="E307" i="17"/>
  <c r="F307" i="17"/>
  <c r="G307" i="17"/>
  <c r="H307" i="17"/>
  <c r="I307" i="17"/>
  <c r="J307" i="17"/>
  <c r="K307" i="17"/>
  <c r="L307" i="17"/>
  <c r="M307" i="17"/>
  <c r="A308" i="17"/>
  <c r="B308" i="17"/>
  <c r="C308" i="17"/>
  <c r="D308" i="17"/>
  <c r="E308" i="17"/>
  <c r="F308" i="17"/>
  <c r="G308" i="17"/>
  <c r="H308" i="17"/>
  <c r="I308" i="17"/>
  <c r="J308" i="17"/>
  <c r="K308" i="17"/>
  <c r="L308" i="17"/>
  <c r="M308" i="17"/>
  <c r="A309" i="17"/>
  <c r="B309" i="17"/>
  <c r="C309" i="17"/>
  <c r="D309" i="17"/>
  <c r="E309" i="17"/>
  <c r="F309" i="17"/>
  <c r="G309" i="17"/>
  <c r="H309" i="17"/>
  <c r="I309" i="17"/>
  <c r="J309" i="17"/>
  <c r="K309" i="17"/>
  <c r="L309" i="17"/>
  <c r="M309" i="17"/>
  <c r="A310" i="17"/>
  <c r="B310" i="17"/>
  <c r="C310" i="17"/>
  <c r="D310" i="17"/>
  <c r="E310" i="17"/>
  <c r="F310" i="17"/>
  <c r="G310" i="17"/>
  <c r="H310" i="17"/>
  <c r="I310" i="17"/>
  <c r="J310" i="17"/>
  <c r="K310" i="17"/>
  <c r="L310" i="17"/>
  <c r="M310" i="17"/>
  <c r="A311" i="17"/>
  <c r="B311" i="17"/>
  <c r="C311" i="17"/>
  <c r="D311" i="17"/>
  <c r="E311" i="17"/>
  <c r="F311" i="17"/>
  <c r="G311" i="17"/>
  <c r="H311" i="17"/>
  <c r="I311" i="17"/>
  <c r="J311" i="17"/>
  <c r="K311" i="17"/>
  <c r="L311" i="17"/>
  <c r="M311" i="17"/>
  <c r="A312" i="17"/>
  <c r="B312" i="17"/>
  <c r="C312" i="17"/>
  <c r="D312" i="17"/>
  <c r="E312" i="17"/>
  <c r="F312" i="17"/>
  <c r="G312" i="17"/>
  <c r="H312" i="17"/>
  <c r="I312" i="17"/>
  <c r="J312" i="17"/>
  <c r="K312" i="17"/>
  <c r="L312" i="17"/>
  <c r="M312" i="17"/>
  <c r="A313" i="17"/>
  <c r="B313" i="17"/>
  <c r="C313" i="17"/>
  <c r="D313" i="17"/>
  <c r="E313" i="17"/>
  <c r="F313" i="17"/>
  <c r="G313" i="17"/>
  <c r="H313" i="17"/>
  <c r="I313" i="17"/>
  <c r="J313" i="17"/>
  <c r="K313" i="17"/>
  <c r="L313" i="17"/>
  <c r="M313" i="17"/>
  <c r="A314" i="17"/>
  <c r="B314" i="17"/>
  <c r="C314" i="17"/>
  <c r="D314" i="17"/>
  <c r="E314" i="17"/>
  <c r="F314" i="17"/>
  <c r="G314" i="17"/>
  <c r="H314" i="17"/>
  <c r="I314" i="17"/>
  <c r="J314" i="17"/>
  <c r="K314" i="17"/>
  <c r="L314" i="17"/>
  <c r="M314" i="17"/>
  <c r="A315" i="17"/>
  <c r="B315" i="17"/>
  <c r="C315" i="17"/>
  <c r="D315" i="17"/>
  <c r="E315" i="17"/>
  <c r="F315" i="17"/>
  <c r="G315" i="17"/>
  <c r="H315" i="17"/>
  <c r="I315" i="17"/>
  <c r="J315" i="17"/>
  <c r="K315" i="17"/>
  <c r="L315" i="17"/>
  <c r="M315" i="17"/>
  <c r="A316" i="17"/>
  <c r="B316" i="17"/>
  <c r="C316" i="17"/>
  <c r="D316" i="17"/>
  <c r="E316" i="17"/>
  <c r="F316" i="17"/>
  <c r="G316" i="17"/>
  <c r="H316" i="17"/>
  <c r="I316" i="17"/>
  <c r="J316" i="17"/>
  <c r="K316" i="17"/>
  <c r="L316" i="17"/>
  <c r="M316" i="17"/>
  <c r="A317" i="17"/>
  <c r="B317" i="17"/>
  <c r="C317" i="17"/>
  <c r="D317" i="17"/>
  <c r="E317" i="17"/>
  <c r="F317" i="17"/>
  <c r="G317" i="17"/>
  <c r="H317" i="17"/>
  <c r="I317" i="17"/>
  <c r="J317" i="17"/>
  <c r="K317" i="17"/>
  <c r="L317" i="17"/>
  <c r="M317" i="17"/>
  <c r="A318" i="17"/>
  <c r="B318" i="17"/>
  <c r="C318" i="17"/>
  <c r="D318" i="17"/>
  <c r="E318" i="17"/>
  <c r="F318" i="17"/>
  <c r="G318" i="17"/>
  <c r="H318" i="17"/>
  <c r="I318" i="17"/>
  <c r="J318" i="17"/>
  <c r="K318" i="17"/>
  <c r="L318" i="17"/>
  <c r="M318" i="17"/>
  <c r="A319" i="17"/>
  <c r="B319" i="17"/>
  <c r="C319" i="17"/>
  <c r="D319" i="17"/>
  <c r="E319" i="17"/>
  <c r="F319" i="17"/>
  <c r="G319" i="17"/>
  <c r="H319" i="17"/>
  <c r="I319" i="17"/>
  <c r="J319" i="17"/>
  <c r="K319" i="17"/>
  <c r="L319" i="17"/>
  <c r="M319" i="17"/>
  <c r="A320" i="17"/>
  <c r="B320" i="17"/>
  <c r="C320" i="17"/>
  <c r="D320" i="17"/>
  <c r="E320" i="17"/>
  <c r="F320" i="17"/>
  <c r="G320" i="17"/>
  <c r="H320" i="17"/>
  <c r="I320" i="17"/>
  <c r="J320" i="17"/>
  <c r="K320" i="17"/>
  <c r="L320" i="17"/>
  <c r="M320" i="17"/>
  <c r="A321" i="17"/>
  <c r="B321" i="17"/>
  <c r="C321" i="17"/>
  <c r="D321" i="17"/>
  <c r="E321" i="17"/>
  <c r="F321" i="17"/>
  <c r="G321" i="17"/>
  <c r="H321" i="17"/>
  <c r="I321" i="17"/>
  <c r="J321" i="17"/>
  <c r="K321" i="17"/>
  <c r="L321" i="17"/>
  <c r="M321" i="17"/>
  <c r="A322" i="17"/>
  <c r="B322" i="17"/>
  <c r="C322" i="17"/>
  <c r="D322" i="17"/>
  <c r="E322" i="17"/>
  <c r="F322" i="17"/>
  <c r="G322" i="17"/>
  <c r="H322" i="17"/>
  <c r="I322" i="17"/>
  <c r="J322" i="17"/>
  <c r="K322" i="17"/>
  <c r="L322" i="17"/>
  <c r="M322" i="17"/>
  <c r="A323" i="17"/>
  <c r="B323" i="17"/>
  <c r="C323" i="17"/>
  <c r="D323" i="17"/>
  <c r="E323" i="17"/>
  <c r="F323" i="17"/>
  <c r="G323" i="17"/>
  <c r="H323" i="17"/>
  <c r="I323" i="17"/>
  <c r="J323" i="17"/>
  <c r="K323" i="17"/>
  <c r="L323" i="17"/>
  <c r="M323" i="17"/>
  <c r="A324" i="17"/>
  <c r="B324" i="17"/>
  <c r="C324" i="17"/>
  <c r="D324" i="17"/>
  <c r="E324" i="17"/>
  <c r="F324" i="17"/>
  <c r="G324" i="17"/>
  <c r="H324" i="17"/>
  <c r="I324" i="17"/>
  <c r="J324" i="17"/>
  <c r="K324" i="17"/>
  <c r="L324" i="17"/>
  <c r="M324" i="17"/>
  <c r="A325" i="17"/>
  <c r="B325" i="17"/>
  <c r="C325" i="17"/>
  <c r="D325" i="17"/>
  <c r="E325" i="17"/>
  <c r="F325" i="17"/>
  <c r="G325" i="17"/>
  <c r="H325" i="17"/>
  <c r="I325" i="17"/>
  <c r="J325" i="17"/>
  <c r="K325" i="17"/>
  <c r="L325" i="17"/>
  <c r="M325" i="17"/>
  <c r="A326" i="17"/>
  <c r="B326" i="17"/>
  <c r="C326" i="17"/>
  <c r="D326" i="17"/>
  <c r="E326" i="17"/>
  <c r="F326" i="17"/>
  <c r="G326" i="17"/>
  <c r="H326" i="17"/>
  <c r="I326" i="17"/>
  <c r="J326" i="17"/>
  <c r="K326" i="17"/>
  <c r="L326" i="17"/>
  <c r="M326" i="17"/>
  <c r="A327" i="17"/>
  <c r="B327" i="17"/>
  <c r="C327" i="17"/>
  <c r="D327" i="17"/>
  <c r="E327" i="17"/>
  <c r="F327" i="17"/>
  <c r="G327" i="17"/>
  <c r="H327" i="17"/>
  <c r="I327" i="17"/>
  <c r="J327" i="17"/>
  <c r="K327" i="17"/>
  <c r="L327" i="17"/>
  <c r="M327" i="17"/>
  <c r="A328" i="17"/>
  <c r="B328" i="17"/>
  <c r="C328" i="17"/>
  <c r="D328" i="17"/>
  <c r="E328" i="17"/>
  <c r="F328" i="17"/>
  <c r="G328" i="17"/>
  <c r="H328" i="17"/>
  <c r="I328" i="17"/>
  <c r="J328" i="17"/>
  <c r="K328" i="17"/>
  <c r="L328" i="17"/>
  <c r="M328" i="17"/>
  <c r="A329" i="17"/>
  <c r="B329" i="17"/>
  <c r="C329" i="17"/>
  <c r="D329" i="17"/>
  <c r="E329" i="17"/>
  <c r="F329" i="17"/>
  <c r="G329" i="17"/>
  <c r="H329" i="17"/>
  <c r="I329" i="17"/>
  <c r="J329" i="17"/>
  <c r="K329" i="17"/>
  <c r="L329" i="17"/>
  <c r="M329" i="17"/>
  <c r="A330" i="17"/>
  <c r="B330" i="17"/>
  <c r="C330" i="17"/>
  <c r="D330" i="17"/>
  <c r="E330" i="17"/>
  <c r="F330" i="17"/>
  <c r="G330" i="17"/>
  <c r="H330" i="17"/>
  <c r="I330" i="17"/>
  <c r="J330" i="17"/>
  <c r="K330" i="17"/>
  <c r="L330" i="17"/>
  <c r="M330" i="17"/>
  <c r="A331" i="17"/>
  <c r="B331" i="17"/>
  <c r="C331" i="17"/>
  <c r="D331" i="17"/>
  <c r="E331" i="17"/>
  <c r="F331" i="17"/>
  <c r="G331" i="17"/>
  <c r="H331" i="17"/>
  <c r="I331" i="17"/>
  <c r="J331" i="17"/>
  <c r="K331" i="17"/>
  <c r="L331" i="17"/>
  <c r="M331" i="17"/>
  <c r="A332" i="17"/>
  <c r="B332" i="17"/>
  <c r="C332" i="17"/>
  <c r="D332" i="17"/>
  <c r="E332" i="17"/>
  <c r="F332" i="17"/>
  <c r="G332" i="17"/>
  <c r="H332" i="17"/>
  <c r="I332" i="17"/>
  <c r="J332" i="17"/>
  <c r="K332" i="17"/>
  <c r="L332" i="17"/>
  <c r="M332" i="17"/>
  <c r="A333" i="17"/>
  <c r="B333" i="17"/>
  <c r="C333" i="17"/>
  <c r="D333" i="17"/>
  <c r="E333" i="17"/>
  <c r="F333" i="17"/>
  <c r="G333" i="17"/>
  <c r="H333" i="17"/>
  <c r="I333" i="17"/>
  <c r="J333" i="17"/>
  <c r="K333" i="17"/>
  <c r="L333" i="17"/>
  <c r="M333" i="17"/>
  <c r="A336" i="17"/>
  <c r="B336" i="17"/>
  <c r="C336" i="17"/>
  <c r="D336" i="17"/>
  <c r="E336" i="17"/>
  <c r="F336" i="17"/>
  <c r="G336" i="17"/>
  <c r="H336" i="17"/>
  <c r="I336" i="17"/>
  <c r="J336" i="17"/>
  <c r="K336" i="17"/>
  <c r="L336" i="17"/>
  <c r="M336" i="17"/>
  <c r="A337" i="17"/>
  <c r="B337" i="17"/>
  <c r="C337" i="17"/>
  <c r="D337" i="17"/>
  <c r="E337" i="17"/>
  <c r="F337" i="17"/>
  <c r="G337" i="17"/>
  <c r="H337" i="17"/>
  <c r="I337" i="17"/>
  <c r="J337" i="17"/>
  <c r="K337" i="17"/>
  <c r="L337" i="17"/>
  <c r="M337" i="17"/>
  <c r="A338" i="17"/>
  <c r="B338" i="17"/>
  <c r="C338" i="17"/>
  <c r="D338" i="17"/>
  <c r="E338" i="17"/>
  <c r="F338" i="17"/>
  <c r="G338" i="17"/>
  <c r="H338" i="17"/>
  <c r="I338" i="17"/>
  <c r="J338" i="17"/>
  <c r="K338" i="17"/>
  <c r="L338" i="17"/>
  <c r="M338" i="17"/>
  <c r="A339" i="17"/>
  <c r="B339" i="17"/>
  <c r="C339" i="17"/>
  <c r="D339" i="17"/>
  <c r="E339" i="17"/>
  <c r="F339" i="17"/>
  <c r="G339" i="17"/>
  <c r="H339" i="17"/>
  <c r="I339" i="17"/>
  <c r="J339" i="17"/>
  <c r="K339" i="17"/>
  <c r="L339" i="17"/>
  <c r="M339" i="17"/>
  <c r="A340" i="17"/>
  <c r="B340" i="17"/>
  <c r="C340" i="17"/>
  <c r="D340" i="17"/>
  <c r="E340" i="17"/>
  <c r="F340" i="17"/>
  <c r="G340" i="17"/>
  <c r="H340" i="17"/>
  <c r="I340" i="17"/>
  <c r="J340" i="17"/>
  <c r="K340" i="17"/>
  <c r="L340" i="17"/>
  <c r="M340" i="17"/>
  <c r="A341" i="17"/>
  <c r="B341" i="17"/>
  <c r="C341" i="17"/>
  <c r="D341" i="17"/>
  <c r="E341" i="17"/>
  <c r="F341" i="17"/>
  <c r="G341" i="17"/>
  <c r="H341" i="17"/>
  <c r="I341" i="17"/>
  <c r="J341" i="17"/>
  <c r="K341" i="17"/>
  <c r="L341" i="17"/>
  <c r="M341" i="17"/>
  <c r="A342" i="17"/>
  <c r="B342" i="17"/>
  <c r="C342" i="17"/>
  <c r="D342" i="17"/>
  <c r="E342" i="17"/>
  <c r="F342" i="17"/>
  <c r="G342" i="17"/>
  <c r="H342" i="17"/>
  <c r="I342" i="17"/>
  <c r="J342" i="17"/>
  <c r="K342" i="17"/>
  <c r="L342" i="17"/>
  <c r="M342" i="17"/>
  <c r="A343" i="17"/>
  <c r="B343" i="17"/>
  <c r="C343" i="17"/>
  <c r="D343" i="17"/>
  <c r="E343" i="17"/>
  <c r="F343" i="17"/>
  <c r="G343" i="17"/>
  <c r="H343" i="17"/>
  <c r="I343" i="17"/>
  <c r="J343" i="17"/>
  <c r="K343" i="17"/>
  <c r="L343" i="17"/>
  <c r="M343" i="17"/>
  <c r="A344" i="17"/>
  <c r="B344" i="17"/>
  <c r="C344" i="17"/>
  <c r="D344" i="17"/>
  <c r="E344" i="17"/>
  <c r="F344" i="17"/>
  <c r="G344" i="17"/>
  <c r="H344" i="17"/>
  <c r="I344" i="17"/>
  <c r="J344" i="17"/>
  <c r="K344" i="17"/>
  <c r="L344" i="17"/>
  <c r="M344" i="17"/>
  <c r="A345" i="17"/>
  <c r="B345" i="17"/>
  <c r="C345" i="17"/>
  <c r="D345" i="17"/>
  <c r="E345" i="17"/>
  <c r="F345" i="17"/>
  <c r="G345" i="17"/>
  <c r="H345" i="17"/>
  <c r="I345" i="17"/>
  <c r="J345" i="17"/>
  <c r="K345" i="17"/>
  <c r="L345" i="17"/>
  <c r="M345" i="17"/>
  <c r="A346" i="17"/>
  <c r="B346" i="17"/>
  <c r="C346" i="17"/>
  <c r="D346" i="17"/>
  <c r="E346" i="17"/>
  <c r="F346" i="17"/>
  <c r="G346" i="17"/>
  <c r="H346" i="17"/>
  <c r="I346" i="17"/>
  <c r="J346" i="17"/>
  <c r="K346" i="17"/>
  <c r="L346" i="17"/>
  <c r="M346" i="17"/>
  <c r="A347" i="17"/>
  <c r="B347" i="17"/>
  <c r="C347" i="17"/>
  <c r="D347" i="17"/>
  <c r="E347" i="17"/>
  <c r="F347" i="17"/>
  <c r="G347" i="17"/>
  <c r="H347" i="17"/>
  <c r="I347" i="17"/>
  <c r="J347" i="17"/>
  <c r="K347" i="17"/>
  <c r="L347" i="17"/>
  <c r="M347" i="17"/>
  <c r="A348" i="17"/>
  <c r="B348" i="17"/>
  <c r="C348" i="17"/>
  <c r="D348" i="17"/>
  <c r="E348" i="17"/>
  <c r="F348" i="17"/>
  <c r="G348" i="17"/>
  <c r="H348" i="17"/>
  <c r="I348" i="17"/>
  <c r="J348" i="17"/>
  <c r="K348" i="17"/>
  <c r="L348" i="17"/>
  <c r="M348" i="17"/>
  <c r="A349" i="17"/>
  <c r="B349" i="17"/>
  <c r="C349" i="17"/>
  <c r="D349" i="17"/>
  <c r="E349" i="17"/>
  <c r="F349" i="17"/>
  <c r="G349" i="17"/>
  <c r="H349" i="17"/>
  <c r="I349" i="17"/>
  <c r="J349" i="17"/>
  <c r="K349" i="17"/>
  <c r="L349" i="17"/>
  <c r="M349" i="17"/>
  <c r="A350" i="17"/>
  <c r="B350" i="17"/>
  <c r="C350" i="17"/>
  <c r="D350" i="17"/>
  <c r="E350" i="17"/>
  <c r="F350" i="17"/>
  <c r="G350" i="17"/>
  <c r="H350" i="17"/>
  <c r="I350" i="17"/>
  <c r="J350" i="17"/>
  <c r="K350" i="17"/>
  <c r="L350" i="17"/>
  <c r="M350" i="17"/>
  <c r="A351" i="17"/>
  <c r="B351" i="17"/>
  <c r="C351" i="17"/>
  <c r="D351" i="17"/>
  <c r="E351" i="17"/>
  <c r="F351" i="17"/>
  <c r="G351" i="17"/>
  <c r="H351" i="17"/>
  <c r="I351" i="17"/>
  <c r="J351" i="17"/>
  <c r="K351" i="17"/>
  <c r="L351" i="17"/>
  <c r="M351" i="17"/>
  <c r="A352" i="17"/>
  <c r="B352" i="17"/>
  <c r="C352" i="17"/>
  <c r="D352" i="17"/>
  <c r="E352" i="17"/>
  <c r="F352" i="17"/>
  <c r="G352" i="17"/>
  <c r="H352" i="17"/>
  <c r="I352" i="17"/>
  <c r="J352" i="17"/>
  <c r="K352" i="17"/>
  <c r="L352" i="17"/>
  <c r="M352" i="17"/>
  <c r="A353" i="17"/>
  <c r="B353" i="17"/>
  <c r="C353" i="17"/>
  <c r="D353" i="17"/>
  <c r="E353" i="17"/>
  <c r="F353" i="17"/>
  <c r="G353" i="17"/>
  <c r="H353" i="17"/>
  <c r="I353" i="17"/>
  <c r="J353" i="17"/>
  <c r="K353" i="17"/>
  <c r="L353" i="17"/>
  <c r="M353" i="17"/>
  <c r="A354" i="17"/>
  <c r="B354" i="17"/>
  <c r="C354" i="17"/>
  <c r="D354" i="17"/>
  <c r="E354" i="17"/>
  <c r="F354" i="17"/>
  <c r="G354" i="17"/>
  <c r="H354" i="17"/>
  <c r="I354" i="17"/>
  <c r="J354" i="17"/>
  <c r="K354" i="17"/>
  <c r="L354" i="17"/>
  <c r="M354" i="17"/>
  <c r="A355" i="17"/>
  <c r="B355" i="17"/>
  <c r="C355" i="17"/>
  <c r="D355" i="17"/>
  <c r="E355" i="17"/>
  <c r="F355" i="17"/>
  <c r="G355" i="17"/>
  <c r="H355" i="17"/>
  <c r="I355" i="17"/>
  <c r="J355" i="17"/>
  <c r="K355" i="17"/>
  <c r="L355" i="17"/>
  <c r="M355" i="17"/>
  <c r="A356" i="17"/>
  <c r="B356" i="17"/>
  <c r="C356" i="17"/>
  <c r="D356" i="17"/>
  <c r="E356" i="17"/>
  <c r="F356" i="17"/>
  <c r="G356" i="17"/>
  <c r="H356" i="17"/>
  <c r="I356" i="17"/>
  <c r="J356" i="17"/>
  <c r="K356" i="17"/>
  <c r="L356" i="17"/>
  <c r="M356" i="17"/>
  <c r="A357" i="17"/>
  <c r="B357" i="17"/>
  <c r="C357" i="17"/>
  <c r="D357" i="17"/>
  <c r="E357" i="17"/>
  <c r="F357" i="17"/>
  <c r="G357" i="17"/>
  <c r="H357" i="17"/>
  <c r="I357" i="17"/>
  <c r="J357" i="17"/>
  <c r="K357" i="17"/>
  <c r="L357" i="17"/>
  <c r="M357" i="17"/>
  <c r="A358" i="17"/>
  <c r="B358" i="17"/>
  <c r="C358" i="17"/>
  <c r="D358" i="17"/>
  <c r="E358" i="17"/>
  <c r="F358" i="17"/>
  <c r="G358" i="17"/>
  <c r="H358" i="17"/>
  <c r="I358" i="17"/>
  <c r="J358" i="17"/>
  <c r="K358" i="17"/>
  <c r="L358" i="17"/>
  <c r="M358" i="17"/>
  <c r="A359" i="17"/>
  <c r="B359" i="17"/>
  <c r="C359" i="17"/>
  <c r="D359" i="17"/>
  <c r="E359" i="17"/>
  <c r="F359" i="17"/>
  <c r="G359" i="17"/>
  <c r="H359" i="17"/>
  <c r="I359" i="17"/>
  <c r="J359" i="17"/>
  <c r="K359" i="17"/>
  <c r="L359" i="17"/>
  <c r="M359" i="17"/>
  <c r="A360" i="17"/>
  <c r="B360" i="17"/>
  <c r="C360" i="17"/>
  <c r="D360" i="17"/>
  <c r="E360" i="17"/>
  <c r="F360" i="17"/>
  <c r="G360" i="17"/>
  <c r="H360" i="17"/>
  <c r="I360" i="17"/>
  <c r="J360" i="17"/>
  <c r="K360" i="17"/>
  <c r="L360" i="17"/>
  <c r="M360" i="17"/>
  <c r="A361" i="17"/>
  <c r="B361" i="17"/>
  <c r="C361" i="17"/>
  <c r="D361" i="17"/>
  <c r="E361" i="17"/>
  <c r="F361" i="17"/>
  <c r="G361" i="17"/>
  <c r="H361" i="17"/>
  <c r="I361" i="17"/>
  <c r="J361" i="17"/>
  <c r="K361" i="17"/>
  <c r="L361" i="17"/>
  <c r="M361" i="17"/>
  <c r="A364" i="17"/>
  <c r="B364" i="17"/>
  <c r="C364" i="17"/>
  <c r="D364" i="17"/>
  <c r="E364" i="17"/>
  <c r="F364" i="17"/>
  <c r="G364" i="17"/>
  <c r="H364" i="17"/>
  <c r="I364" i="17"/>
  <c r="J364" i="17"/>
  <c r="K364" i="17"/>
  <c r="L364" i="17"/>
  <c r="M364" i="17"/>
  <c r="A365" i="17"/>
  <c r="B365" i="17"/>
  <c r="C365" i="17"/>
  <c r="D365" i="17"/>
  <c r="E365" i="17"/>
  <c r="F365" i="17"/>
  <c r="G365" i="17"/>
  <c r="H365" i="17"/>
  <c r="I365" i="17"/>
  <c r="J365" i="17"/>
  <c r="K365" i="17"/>
  <c r="L365" i="17"/>
  <c r="M365" i="17"/>
  <c r="A366" i="17"/>
  <c r="B366" i="17"/>
  <c r="C366" i="17"/>
  <c r="D366" i="17"/>
  <c r="E366" i="17"/>
  <c r="F366" i="17"/>
  <c r="G366" i="17"/>
  <c r="H366" i="17"/>
  <c r="I366" i="17"/>
  <c r="J366" i="17"/>
  <c r="K366" i="17"/>
  <c r="L366" i="17"/>
  <c r="M366" i="17"/>
  <c r="A367" i="17"/>
  <c r="B367" i="17"/>
  <c r="C367" i="17"/>
  <c r="D367" i="17"/>
  <c r="E367" i="17"/>
  <c r="F367" i="17"/>
  <c r="G367" i="17"/>
  <c r="H367" i="17"/>
  <c r="I367" i="17"/>
  <c r="J367" i="17"/>
  <c r="K367" i="17"/>
  <c r="L367" i="17"/>
  <c r="M367" i="17"/>
  <c r="A368" i="17"/>
  <c r="B368" i="17"/>
  <c r="C368" i="17"/>
  <c r="D368" i="17"/>
  <c r="E368" i="17"/>
  <c r="F368" i="17"/>
  <c r="G368" i="17"/>
  <c r="H368" i="17"/>
  <c r="I368" i="17"/>
  <c r="J368" i="17"/>
  <c r="K368" i="17"/>
  <c r="L368" i="17"/>
  <c r="M368" i="17"/>
  <c r="A369" i="17"/>
  <c r="B369" i="17"/>
  <c r="C369" i="17"/>
  <c r="D369" i="17"/>
  <c r="E369" i="17"/>
  <c r="F369" i="17"/>
  <c r="G369" i="17"/>
  <c r="H369" i="17"/>
  <c r="I369" i="17"/>
  <c r="J369" i="17"/>
  <c r="K369" i="17"/>
  <c r="L369" i="17"/>
  <c r="M369" i="17"/>
  <c r="A370" i="17"/>
  <c r="B370" i="17"/>
  <c r="C370" i="17"/>
  <c r="D370" i="17"/>
  <c r="E370" i="17"/>
  <c r="F370" i="17"/>
  <c r="G370" i="17"/>
  <c r="H370" i="17"/>
  <c r="I370" i="17"/>
  <c r="J370" i="17"/>
  <c r="K370" i="17"/>
  <c r="L370" i="17"/>
  <c r="M370" i="17"/>
  <c r="A371" i="17"/>
  <c r="B371" i="17"/>
  <c r="C371" i="17"/>
  <c r="D371" i="17"/>
  <c r="E371" i="17"/>
  <c r="F371" i="17"/>
  <c r="G371" i="17"/>
  <c r="H371" i="17"/>
  <c r="I371" i="17"/>
  <c r="J371" i="17"/>
  <c r="K371" i="17"/>
  <c r="L371" i="17"/>
  <c r="M371" i="17"/>
  <c r="A372" i="17"/>
  <c r="B372" i="17"/>
  <c r="C372" i="17"/>
  <c r="D372" i="17"/>
  <c r="E372" i="17"/>
  <c r="F372" i="17"/>
  <c r="G372" i="17"/>
  <c r="H372" i="17"/>
  <c r="I372" i="17"/>
  <c r="J372" i="17"/>
  <c r="K372" i="17"/>
  <c r="L372" i="17"/>
  <c r="M372" i="17"/>
  <c r="A373" i="17"/>
  <c r="B373" i="17"/>
  <c r="C373" i="17"/>
  <c r="D373" i="17"/>
  <c r="E373" i="17"/>
  <c r="F373" i="17"/>
  <c r="G373" i="17"/>
  <c r="H373" i="17"/>
  <c r="I373" i="17"/>
  <c r="J373" i="17"/>
  <c r="K373" i="17"/>
  <c r="L373" i="17"/>
  <c r="M373" i="17"/>
  <c r="A374" i="17"/>
  <c r="B374" i="17"/>
  <c r="C374" i="17"/>
  <c r="D374" i="17"/>
  <c r="E374" i="17"/>
  <c r="F374" i="17"/>
  <c r="G374" i="17"/>
  <c r="H374" i="17"/>
  <c r="I374" i="17"/>
  <c r="J374" i="17"/>
  <c r="K374" i="17"/>
  <c r="L374" i="17"/>
  <c r="M374" i="17"/>
  <c r="A375" i="17"/>
  <c r="B375" i="17"/>
  <c r="C375" i="17"/>
  <c r="D375" i="17"/>
  <c r="E375" i="17"/>
  <c r="F375" i="17"/>
  <c r="G375" i="17"/>
  <c r="H375" i="17"/>
  <c r="I375" i="17"/>
  <c r="J375" i="17"/>
  <c r="K375" i="17"/>
  <c r="L375" i="17"/>
  <c r="M375" i="17"/>
  <c r="A376" i="17"/>
  <c r="B376" i="17"/>
  <c r="C376" i="17"/>
  <c r="D376" i="17"/>
  <c r="E376" i="17"/>
  <c r="F376" i="17"/>
  <c r="G376" i="17"/>
  <c r="H376" i="17"/>
  <c r="I376" i="17"/>
  <c r="J376" i="17"/>
  <c r="K376" i="17"/>
  <c r="L376" i="17"/>
  <c r="M376" i="17"/>
  <c r="A377" i="17"/>
  <c r="B377" i="17"/>
  <c r="C377" i="17"/>
  <c r="D377" i="17"/>
  <c r="E377" i="17"/>
  <c r="F377" i="17"/>
  <c r="G377" i="17"/>
  <c r="H377" i="17"/>
  <c r="I377" i="17"/>
  <c r="J377" i="17"/>
  <c r="K377" i="17"/>
  <c r="L377" i="17"/>
  <c r="M377" i="17"/>
  <c r="A378" i="17"/>
  <c r="B378" i="17"/>
  <c r="C378" i="17"/>
  <c r="D378" i="17"/>
  <c r="E378" i="17"/>
  <c r="F378" i="17"/>
  <c r="G378" i="17"/>
  <c r="H378" i="17"/>
  <c r="I378" i="17"/>
  <c r="J378" i="17"/>
  <c r="K378" i="17"/>
  <c r="L378" i="17"/>
  <c r="M378" i="17"/>
  <c r="A379" i="17"/>
  <c r="B379" i="17"/>
  <c r="C379" i="17"/>
  <c r="D379" i="17"/>
  <c r="E379" i="17"/>
  <c r="F379" i="17"/>
  <c r="G379" i="17"/>
  <c r="H379" i="17"/>
  <c r="I379" i="17"/>
  <c r="J379" i="17"/>
  <c r="K379" i="17"/>
  <c r="L379" i="17"/>
  <c r="M379" i="17"/>
  <c r="A380" i="17"/>
  <c r="B380" i="17"/>
  <c r="C380" i="17"/>
  <c r="D380" i="17"/>
  <c r="E380" i="17"/>
  <c r="F380" i="17"/>
  <c r="G380" i="17"/>
  <c r="H380" i="17"/>
  <c r="I380" i="17"/>
  <c r="J380" i="17"/>
  <c r="K380" i="17"/>
  <c r="L380" i="17"/>
  <c r="M380" i="17"/>
  <c r="A381" i="17"/>
  <c r="B381" i="17"/>
  <c r="C381" i="17"/>
  <c r="D381" i="17"/>
  <c r="E381" i="17"/>
  <c r="F381" i="17"/>
  <c r="G381" i="17"/>
  <c r="H381" i="17"/>
  <c r="I381" i="17"/>
  <c r="J381" i="17"/>
  <c r="K381" i="17"/>
  <c r="L381" i="17"/>
  <c r="M381" i="17"/>
  <c r="A382" i="17"/>
  <c r="B382" i="17"/>
  <c r="C382" i="17"/>
  <c r="D382" i="17"/>
  <c r="E382" i="17"/>
  <c r="F382" i="17"/>
  <c r="G382" i="17"/>
  <c r="H382" i="17"/>
  <c r="I382" i="17"/>
  <c r="J382" i="17"/>
  <c r="K382" i="17"/>
  <c r="L382" i="17"/>
  <c r="M382" i="17"/>
  <c r="A383" i="17"/>
  <c r="B383" i="17"/>
  <c r="C383" i="17"/>
  <c r="D383" i="17"/>
  <c r="E383" i="17"/>
  <c r="F383" i="17"/>
  <c r="G383" i="17"/>
  <c r="H383" i="17"/>
  <c r="I383" i="17"/>
  <c r="J383" i="17"/>
  <c r="K383" i="17"/>
  <c r="L383" i="17"/>
  <c r="M383" i="17"/>
  <c r="A384" i="17"/>
  <c r="B384" i="17"/>
  <c r="C384" i="17"/>
  <c r="D384" i="17"/>
  <c r="E384" i="17"/>
  <c r="F384" i="17"/>
  <c r="G384" i="17"/>
  <c r="H384" i="17"/>
  <c r="I384" i="17"/>
  <c r="J384" i="17"/>
  <c r="K384" i="17"/>
  <c r="L384" i="17"/>
  <c r="M384" i="17"/>
  <c r="A385" i="17"/>
  <c r="B385" i="17"/>
  <c r="C385" i="17"/>
  <c r="D385" i="17"/>
  <c r="E385" i="17"/>
  <c r="F385" i="17"/>
  <c r="G385" i="17"/>
  <c r="H385" i="17"/>
  <c r="I385" i="17"/>
  <c r="J385" i="17"/>
  <c r="K385" i="17"/>
  <c r="L385" i="17"/>
  <c r="M385" i="17"/>
  <c r="A386" i="17"/>
  <c r="B386" i="17"/>
  <c r="C386" i="17"/>
  <c r="D386" i="17"/>
  <c r="E386" i="17"/>
  <c r="F386" i="17"/>
  <c r="G386" i="17"/>
  <c r="H386" i="17"/>
  <c r="I386" i="17"/>
  <c r="J386" i="17"/>
  <c r="K386" i="17"/>
  <c r="L386" i="17"/>
  <c r="M386" i="17"/>
  <c r="A387" i="17"/>
  <c r="B387" i="17"/>
  <c r="C387" i="17"/>
  <c r="D387" i="17"/>
  <c r="E387" i="17"/>
  <c r="F387" i="17"/>
  <c r="G387" i="17"/>
  <c r="H387" i="17"/>
  <c r="I387" i="17"/>
  <c r="J387" i="17"/>
  <c r="K387" i="17"/>
  <c r="L387" i="17"/>
  <c r="M387" i="17"/>
  <c r="A388" i="17"/>
  <c r="B388" i="17"/>
  <c r="C388" i="17"/>
  <c r="D388" i="17"/>
  <c r="E388" i="17"/>
  <c r="F388" i="17"/>
  <c r="G388" i="17"/>
  <c r="H388" i="17"/>
  <c r="I388" i="17"/>
  <c r="J388" i="17"/>
  <c r="K388" i="17"/>
  <c r="L388" i="17"/>
  <c r="M388" i="17"/>
  <c r="A389" i="17"/>
  <c r="B389" i="17"/>
  <c r="C389" i="17"/>
  <c r="D389" i="17"/>
  <c r="E389" i="17"/>
  <c r="F389" i="17"/>
  <c r="G389" i="17"/>
  <c r="H389" i="17"/>
  <c r="I389" i="17"/>
  <c r="J389" i="17"/>
  <c r="K389" i="17"/>
  <c r="L389" i="17"/>
  <c r="M389" i="17"/>
  <c r="A390" i="17"/>
  <c r="B390" i="17"/>
  <c r="C390" i="17"/>
  <c r="D390" i="17"/>
  <c r="E390" i="17"/>
  <c r="F390" i="17"/>
  <c r="G390" i="17"/>
  <c r="H390" i="17"/>
  <c r="I390" i="17"/>
  <c r="J390" i="17"/>
  <c r="K390" i="17"/>
  <c r="L390" i="17"/>
  <c r="M390" i="17"/>
  <c r="A391" i="17"/>
  <c r="B391" i="17"/>
  <c r="C391" i="17"/>
  <c r="D391" i="17"/>
  <c r="E391" i="17"/>
  <c r="F391" i="17"/>
  <c r="G391" i="17"/>
  <c r="H391" i="17"/>
  <c r="I391" i="17"/>
  <c r="J391" i="17"/>
  <c r="K391" i="17"/>
  <c r="L391" i="17"/>
  <c r="M391" i="17"/>
  <c r="A392" i="17"/>
  <c r="B392" i="17"/>
  <c r="C392" i="17"/>
  <c r="D392" i="17"/>
  <c r="E392" i="17"/>
  <c r="F392" i="17"/>
  <c r="G392" i="17"/>
  <c r="H392" i="17"/>
  <c r="I392" i="17"/>
  <c r="J392" i="17"/>
  <c r="K392" i="17"/>
  <c r="L392" i="17"/>
  <c r="M392" i="17"/>
  <c r="A393" i="17"/>
  <c r="B393" i="17"/>
  <c r="C393" i="17"/>
  <c r="D393" i="17"/>
  <c r="E393" i="17"/>
  <c r="F393" i="17"/>
  <c r="G393" i="17"/>
  <c r="H393" i="17"/>
  <c r="I393" i="17"/>
  <c r="J393" i="17"/>
  <c r="K393" i="17"/>
  <c r="L393" i="17"/>
  <c r="M393" i="17"/>
  <c r="A394" i="17"/>
  <c r="B394" i="17"/>
  <c r="C394" i="17"/>
  <c r="D394" i="17"/>
  <c r="E394" i="17"/>
  <c r="F394" i="17"/>
  <c r="G394" i="17"/>
  <c r="H394" i="17"/>
  <c r="I394" i="17"/>
  <c r="J394" i="17"/>
  <c r="K394" i="17"/>
  <c r="L394" i="17"/>
  <c r="M394" i="17"/>
  <c r="A395" i="17"/>
  <c r="B395" i="17"/>
  <c r="C395" i="17"/>
  <c r="D395" i="17"/>
  <c r="E395" i="17"/>
  <c r="F395" i="17"/>
  <c r="G395" i="17"/>
  <c r="H395" i="17"/>
  <c r="I395" i="17"/>
  <c r="J395" i="17"/>
  <c r="K395" i="17"/>
  <c r="L395" i="17"/>
  <c r="M395" i="17"/>
  <c r="A396" i="17"/>
  <c r="B396" i="17"/>
  <c r="C396" i="17"/>
  <c r="D396" i="17"/>
  <c r="E396" i="17"/>
  <c r="F396" i="17"/>
  <c r="G396" i="17"/>
  <c r="H396" i="17"/>
  <c r="I396" i="17"/>
  <c r="J396" i="17"/>
  <c r="K396" i="17"/>
  <c r="L396" i="17"/>
  <c r="M396" i="17"/>
  <c r="A397" i="17"/>
  <c r="B397" i="17"/>
  <c r="C397" i="17"/>
  <c r="D397" i="17"/>
  <c r="E397" i="17"/>
  <c r="F397" i="17"/>
  <c r="G397" i="17"/>
  <c r="H397" i="17"/>
  <c r="I397" i="17"/>
  <c r="J397" i="17"/>
  <c r="K397" i="17"/>
  <c r="L397" i="17"/>
  <c r="M397" i="17"/>
  <c r="A398" i="17"/>
  <c r="B398" i="17"/>
  <c r="C398" i="17"/>
  <c r="D398" i="17"/>
  <c r="E398" i="17"/>
  <c r="F398" i="17"/>
  <c r="G398" i="17"/>
  <c r="H398" i="17"/>
  <c r="I398" i="17"/>
  <c r="J398" i="17"/>
  <c r="K398" i="17"/>
  <c r="L398" i="17"/>
  <c r="M398" i="17"/>
  <c r="A399" i="17"/>
  <c r="B399" i="17"/>
  <c r="C399" i="17"/>
  <c r="D399" i="17"/>
  <c r="E399" i="17"/>
  <c r="F399" i="17"/>
  <c r="G399" i="17"/>
  <c r="H399" i="17"/>
  <c r="I399" i="17"/>
  <c r="J399" i="17"/>
  <c r="K399" i="17"/>
  <c r="L399" i="17"/>
  <c r="M399" i="17"/>
  <c r="A400" i="17"/>
  <c r="B400" i="17"/>
  <c r="C400" i="17"/>
  <c r="D400" i="17"/>
  <c r="E400" i="17"/>
  <c r="F400" i="17"/>
  <c r="G400" i="17"/>
  <c r="H400" i="17"/>
  <c r="I400" i="17"/>
  <c r="J400" i="17"/>
  <c r="K400" i="17"/>
  <c r="L400" i="17"/>
  <c r="M400" i="17"/>
  <c r="A401" i="17"/>
  <c r="B401" i="17"/>
  <c r="C401" i="17"/>
  <c r="D401" i="17"/>
  <c r="E401" i="17"/>
  <c r="F401" i="17"/>
  <c r="G401" i="17"/>
  <c r="H401" i="17"/>
  <c r="I401" i="17"/>
  <c r="J401" i="17"/>
  <c r="K401" i="17"/>
  <c r="L401" i="17"/>
  <c r="M401" i="17"/>
  <c r="A402" i="17"/>
  <c r="B402" i="17"/>
  <c r="C402" i="17"/>
  <c r="D402" i="17"/>
  <c r="E402" i="17"/>
  <c r="F402" i="17"/>
  <c r="G402" i="17"/>
  <c r="H402" i="17"/>
  <c r="I402" i="17"/>
  <c r="J402" i="17"/>
  <c r="K402" i="17"/>
  <c r="L402" i="17"/>
  <c r="M402" i="17"/>
  <c r="A403" i="17"/>
  <c r="B403" i="17"/>
  <c r="C403" i="17"/>
  <c r="D403" i="17"/>
  <c r="E403" i="17"/>
  <c r="F403" i="17"/>
  <c r="G403" i="17"/>
  <c r="H403" i="17"/>
  <c r="I403" i="17"/>
  <c r="J403" i="17"/>
  <c r="K403" i="17"/>
  <c r="L403" i="17"/>
  <c r="M403" i="17"/>
  <c r="A404" i="17"/>
  <c r="B404" i="17"/>
  <c r="C404" i="17"/>
  <c r="D404" i="17"/>
  <c r="E404" i="17"/>
  <c r="F404" i="17"/>
  <c r="G404" i="17"/>
  <c r="H404" i="17"/>
  <c r="I404" i="17"/>
  <c r="J404" i="17"/>
  <c r="K404" i="17"/>
  <c r="L404" i="17"/>
  <c r="M404" i="17"/>
  <c r="A405" i="17"/>
  <c r="B405" i="17"/>
  <c r="C405" i="17"/>
  <c r="D405" i="17"/>
  <c r="E405" i="17"/>
  <c r="F405" i="17"/>
  <c r="G405" i="17"/>
  <c r="H405" i="17"/>
  <c r="I405" i="17"/>
  <c r="J405" i="17"/>
  <c r="K405" i="17"/>
  <c r="L405" i="17"/>
  <c r="M405" i="17"/>
  <c r="A406" i="17"/>
  <c r="B406" i="17"/>
  <c r="C406" i="17"/>
  <c r="D406" i="17"/>
  <c r="E406" i="17"/>
  <c r="F406" i="17"/>
  <c r="G406" i="17"/>
  <c r="H406" i="17"/>
  <c r="I406" i="17"/>
  <c r="J406" i="17"/>
  <c r="K406" i="17"/>
  <c r="L406" i="17"/>
  <c r="M406" i="17"/>
  <c r="A407" i="17"/>
  <c r="B407" i="17"/>
  <c r="C407" i="17"/>
  <c r="D407" i="17"/>
  <c r="E407" i="17"/>
  <c r="F407" i="17"/>
  <c r="G407" i="17"/>
  <c r="H407" i="17"/>
  <c r="I407" i="17"/>
  <c r="J407" i="17"/>
  <c r="K407" i="17"/>
  <c r="L407" i="17"/>
  <c r="M407" i="17"/>
  <c r="A408" i="17"/>
  <c r="B408" i="17"/>
  <c r="C408" i="17"/>
  <c r="D408" i="17"/>
  <c r="E408" i="17"/>
  <c r="F408" i="17"/>
  <c r="G408" i="17"/>
  <c r="H408" i="17"/>
  <c r="I408" i="17"/>
  <c r="J408" i="17"/>
  <c r="K408" i="17"/>
  <c r="L408" i="17"/>
  <c r="M408" i="17"/>
  <c r="A409" i="17"/>
  <c r="B409" i="17"/>
  <c r="C409" i="17"/>
  <c r="D409" i="17"/>
  <c r="E409" i="17"/>
  <c r="F409" i="17"/>
  <c r="G409" i="17"/>
  <c r="H409" i="17"/>
  <c r="I409" i="17"/>
  <c r="J409" i="17"/>
  <c r="K409" i="17"/>
  <c r="L409" i="17"/>
  <c r="M409" i="17"/>
  <c r="A410" i="17"/>
  <c r="B410" i="17"/>
  <c r="C410" i="17"/>
  <c r="D410" i="17"/>
  <c r="E410" i="17"/>
  <c r="F410" i="17"/>
  <c r="G410" i="17"/>
  <c r="H410" i="17"/>
  <c r="I410" i="17"/>
  <c r="J410" i="17"/>
  <c r="K410" i="17"/>
  <c r="L410" i="17"/>
  <c r="M410" i="17"/>
  <c r="A411" i="17"/>
  <c r="B411" i="17"/>
  <c r="C411" i="17"/>
  <c r="D411" i="17"/>
  <c r="E411" i="17"/>
  <c r="F411" i="17"/>
  <c r="G411" i="17"/>
  <c r="H411" i="17"/>
  <c r="I411" i="17"/>
  <c r="J411" i="17"/>
  <c r="K411" i="17"/>
  <c r="L411" i="17"/>
  <c r="M411" i="17"/>
  <c r="A412" i="17"/>
  <c r="B412" i="17"/>
  <c r="C412" i="17"/>
  <c r="D412" i="17"/>
  <c r="E412" i="17"/>
  <c r="F412" i="17"/>
  <c r="G412" i="17"/>
  <c r="H412" i="17"/>
  <c r="I412" i="17"/>
  <c r="J412" i="17"/>
  <c r="K412" i="17"/>
  <c r="L412" i="17"/>
  <c r="M412" i="17"/>
  <c r="A413" i="17"/>
  <c r="B413" i="17"/>
  <c r="C413" i="17"/>
  <c r="D413" i="17"/>
  <c r="E413" i="17"/>
  <c r="F413" i="17"/>
  <c r="G413" i="17"/>
  <c r="H413" i="17"/>
  <c r="I413" i="17"/>
  <c r="J413" i="17"/>
  <c r="K413" i="17"/>
  <c r="L413" i="17"/>
  <c r="M413" i="17"/>
  <c r="A414" i="17"/>
  <c r="B414" i="17"/>
  <c r="C414" i="17"/>
  <c r="D414" i="17"/>
  <c r="E414" i="17"/>
  <c r="F414" i="17"/>
  <c r="G414" i="17"/>
  <c r="H414" i="17"/>
  <c r="I414" i="17"/>
  <c r="J414" i="17"/>
  <c r="K414" i="17"/>
  <c r="L414" i="17"/>
  <c r="M414" i="17"/>
  <c r="A415" i="17"/>
  <c r="B415" i="17"/>
  <c r="C415" i="17"/>
  <c r="D415" i="17"/>
  <c r="E415" i="17"/>
  <c r="F415" i="17"/>
  <c r="G415" i="17"/>
  <c r="H415" i="17"/>
  <c r="I415" i="17"/>
  <c r="J415" i="17"/>
  <c r="K415" i="17"/>
  <c r="L415" i="17"/>
  <c r="M415" i="17"/>
  <c r="BI241" i="2"/>
  <c r="BI243" i="2"/>
  <c r="BI246" i="2"/>
  <c r="AI225" i="2"/>
  <c r="T3" i="15"/>
  <c r="T4" i="15"/>
  <c r="T5" i="15"/>
  <c r="T6" i="15"/>
  <c r="T7" i="15"/>
  <c r="T8" i="15"/>
  <c r="T9" i="15"/>
  <c r="T10" i="15"/>
  <c r="T11" i="15"/>
  <c r="T12" i="15"/>
  <c r="T13" i="15"/>
  <c r="T14" i="15"/>
  <c r="T15" i="15"/>
  <c r="T16" i="15"/>
  <c r="T17" i="15"/>
  <c r="T18" i="15"/>
  <c r="T19" i="15"/>
  <c r="T2" i="15"/>
  <c r="M25" i="8"/>
  <c r="A25" i="8"/>
  <c r="M50" i="8"/>
  <c r="M49" i="8"/>
  <c r="M48" i="8"/>
  <c r="M47" i="8"/>
  <c r="M46" i="8"/>
  <c r="M45" i="8"/>
  <c r="M44" i="8"/>
  <c r="M43" i="8"/>
  <c r="M42" i="8"/>
  <c r="M41" i="8"/>
  <c r="M40" i="8"/>
  <c r="M39" i="8"/>
  <c r="M38" i="8"/>
  <c r="M37" i="8"/>
  <c r="M36" i="8"/>
  <c r="M35" i="8"/>
  <c r="M34" i="8"/>
  <c r="M33" i="8"/>
  <c r="M32" i="8"/>
  <c r="M31" i="8"/>
  <c r="M30" i="8"/>
  <c r="M29" i="8"/>
  <c r="M28" i="8"/>
  <c r="M27" i="8"/>
  <c r="M26" i="8"/>
  <c r="M24" i="8"/>
  <c r="M23" i="8"/>
  <c r="M22" i="8"/>
  <c r="M21" i="8"/>
  <c r="M20" i="8"/>
  <c r="M19" i="8"/>
  <c r="M18" i="8"/>
  <c r="M17" i="8"/>
  <c r="M16" i="8"/>
  <c r="M15" i="8"/>
  <c r="M14" i="8"/>
  <c r="M13" i="8"/>
  <c r="M12" i="8"/>
  <c r="M11" i="8"/>
  <c r="M8" i="8"/>
  <c r="M7" i="8"/>
  <c r="M6" i="8"/>
  <c r="M5" i="8"/>
  <c r="M4" i="8"/>
  <c r="M3" i="8"/>
  <c r="L3" i="10"/>
  <c r="L5" i="10"/>
  <c r="L6" i="10"/>
  <c r="L7" i="10"/>
  <c r="L8" i="10"/>
  <c r="L9" i="10"/>
  <c r="L10" i="10"/>
  <c r="L11" i="10"/>
  <c r="L12" i="10"/>
  <c r="L16" i="10"/>
  <c r="L17" i="10"/>
  <c r="L18" i="10"/>
  <c r="L19" i="10"/>
  <c r="L20" i="10"/>
  <c r="L21" i="10"/>
  <c r="L22" i="10"/>
  <c r="L23" i="10"/>
  <c r="L24" i="10"/>
  <c r="L25" i="10"/>
  <c r="L26" i="10"/>
  <c r="L27" i="10"/>
  <c r="M3" i="21"/>
  <c r="M4" i="21"/>
  <c r="M5" i="21"/>
  <c r="M6" i="21"/>
  <c r="M7" i="21"/>
  <c r="M8" i="21"/>
  <c r="M9" i="21"/>
  <c r="M10" i="21"/>
  <c r="M11" i="21"/>
  <c r="M12" i="21"/>
  <c r="M13" i="21"/>
  <c r="M15" i="21"/>
  <c r="M16" i="21"/>
  <c r="M17" i="21"/>
  <c r="M18" i="21"/>
  <c r="M19" i="21"/>
  <c r="M20" i="21"/>
  <c r="M21" i="21"/>
  <c r="M22" i="21"/>
  <c r="M23" i="21"/>
  <c r="M24" i="21"/>
  <c r="M25" i="21"/>
  <c r="M26" i="21"/>
  <c r="M27" i="21"/>
  <c r="M28" i="21"/>
  <c r="M29" i="21"/>
  <c r="M30" i="21"/>
  <c r="M31" i="21"/>
  <c r="M32" i="21"/>
  <c r="M33" i="21"/>
  <c r="M34" i="21"/>
  <c r="M35" i="21"/>
  <c r="M36" i="21"/>
  <c r="M37" i="21"/>
  <c r="M38" i="21"/>
  <c r="M39" i="21"/>
  <c r="M40" i="21"/>
  <c r="M41" i="21"/>
  <c r="M42" i="21"/>
  <c r="M43" i="21"/>
  <c r="M44" i="21"/>
  <c r="M45" i="21"/>
  <c r="M46" i="21"/>
  <c r="M47" i="21"/>
  <c r="M48" i="21"/>
  <c r="M49" i="21"/>
  <c r="M50" i="21"/>
  <c r="M51" i="21"/>
  <c r="M52" i="21"/>
  <c r="M53" i="21"/>
  <c r="M54" i="21"/>
  <c r="M55" i="21"/>
  <c r="M56" i="21"/>
  <c r="M57" i="21"/>
  <c r="M58" i="21"/>
  <c r="M59" i="21"/>
  <c r="M60" i="21"/>
  <c r="M61" i="21"/>
  <c r="M62" i="21"/>
  <c r="M63" i="21"/>
  <c r="M64" i="21"/>
  <c r="M65" i="21"/>
  <c r="M66" i="21"/>
  <c r="M67" i="21"/>
  <c r="M68" i="21"/>
  <c r="M69" i="21"/>
  <c r="M70" i="21"/>
  <c r="M71" i="21"/>
  <c r="U13" i="33" a="1"/>
  <c r="U13" i="33" s="1"/>
  <c r="U14" i="33" a="1"/>
  <c r="U14" i="33"/>
  <c r="U15" i="33" a="1"/>
  <c r="U15" i="33"/>
  <c r="U16" i="33" a="1"/>
  <c r="U16" i="33"/>
  <c r="U17" i="33" a="1"/>
  <c r="U17" i="33"/>
  <c r="U18" i="33" a="1"/>
  <c r="U18" i="33"/>
  <c r="U19" i="33" a="1"/>
  <c r="U19" i="33"/>
  <c r="U20" i="33" a="1"/>
  <c r="U20" i="33"/>
  <c r="U21" i="33" a="1"/>
  <c r="U21" i="33"/>
  <c r="U22" i="33" a="1"/>
  <c r="U22" i="33"/>
  <c r="U23" i="33" a="1"/>
  <c r="U23" i="33"/>
  <c r="U24" i="33" a="1"/>
  <c r="U24" i="33"/>
  <c r="U25" i="33" a="1"/>
  <c r="U25" i="33"/>
  <c r="U26" i="33" a="1"/>
  <c r="U26" i="33"/>
  <c r="U27" i="33" a="1"/>
  <c r="U27" i="33"/>
  <c r="U28" i="33" a="1"/>
  <c r="U28" i="33"/>
  <c r="U29" i="33" a="1"/>
  <c r="U29" i="33" s="1"/>
  <c r="U30" i="33" a="1"/>
  <c r="U30" i="33" s="1"/>
  <c r="U31" i="33" a="1"/>
  <c r="U31" i="33"/>
  <c r="U32" i="33" a="1"/>
  <c r="U32" i="33"/>
  <c r="U33" i="33" a="1"/>
  <c r="U33" i="33"/>
  <c r="U34" i="33" a="1"/>
  <c r="U34" i="33"/>
  <c r="U35" i="33" a="1"/>
  <c r="U35" i="33"/>
  <c r="U36" i="33" a="1"/>
  <c r="U36" i="33"/>
  <c r="U37" i="33" a="1"/>
  <c r="U37" i="33"/>
  <c r="U38" i="33" a="1"/>
  <c r="U38" i="33"/>
  <c r="U39" i="33" a="1"/>
  <c r="U39" i="33"/>
  <c r="U40" i="33" a="1"/>
  <c r="U40" i="33" s="1"/>
  <c r="U41" i="33" a="1"/>
  <c r="U41" i="33"/>
  <c r="U42" i="33" a="1"/>
  <c r="U42" i="33"/>
  <c r="U43" i="33" a="1"/>
  <c r="U43" i="33"/>
  <c r="U44" i="33" a="1"/>
  <c r="U44" i="33"/>
  <c r="U45" i="33" a="1"/>
  <c r="U45" i="33" s="1"/>
  <c r="U46" i="33" a="1"/>
  <c r="U46" i="33" s="1"/>
  <c r="U47" i="33" a="1"/>
  <c r="U47" i="33" s="1"/>
  <c r="U48" i="33" a="1"/>
  <c r="U48" i="33"/>
  <c r="U49" i="33" a="1"/>
  <c r="U49" i="33"/>
  <c r="U50" i="33" a="1"/>
  <c r="U50" i="33"/>
  <c r="U51" i="33" a="1"/>
  <c r="U51" i="33"/>
  <c r="U52" i="33" a="1"/>
  <c r="U52" i="33"/>
  <c r="U53" i="33" a="1"/>
  <c r="U53" i="33"/>
  <c r="U54" i="33" a="1"/>
  <c r="U54" i="33"/>
  <c r="U55" i="33" a="1"/>
  <c r="U55" i="33"/>
  <c r="U56" i="33" a="1"/>
  <c r="U56" i="33"/>
  <c r="U57" i="33" a="1"/>
  <c r="U57" i="33"/>
  <c r="U58" i="33" a="1"/>
  <c r="U58" i="33"/>
  <c r="U59" i="33" a="1"/>
  <c r="U59" i="33" s="1"/>
  <c r="U60" i="33" a="1"/>
  <c r="U60" i="33"/>
  <c r="U61" i="33" a="1"/>
  <c r="U61" i="33" s="1"/>
  <c r="U62" i="33" a="1"/>
  <c r="U62" i="33" s="1"/>
  <c r="U63" i="33" a="1"/>
  <c r="U63" i="33" s="1"/>
  <c r="U64" i="33" a="1"/>
  <c r="U64" i="33" s="1"/>
  <c r="U65" i="33" a="1"/>
  <c r="U65" i="33" s="1"/>
  <c r="U66" i="33" a="1"/>
  <c r="U66" i="33" s="1"/>
  <c r="U67" i="33" a="1"/>
  <c r="U67" i="33"/>
  <c r="L3" i="20"/>
  <c r="L4" i="20"/>
  <c r="L5" i="20"/>
  <c r="L6" i="20"/>
  <c r="L7" i="20"/>
  <c r="L8" i="20"/>
  <c r="L9" i="20"/>
  <c r="L10" i="20"/>
  <c r="L11" i="20"/>
  <c r="L12" i="20"/>
  <c r="L13" i="20"/>
  <c r="L14" i="20"/>
  <c r="L15" i="20"/>
  <c r="L16" i="20"/>
  <c r="L17" i="20"/>
  <c r="L18" i="20"/>
  <c r="L19" i="20"/>
  <c r="L20" i="20"/>
  <c r="L21" i="20"/>
  <c r="L22" i="20"/>
  <c r="L23" i="20"/>
  <c r="L24" i="20"/>
  <c r="L25" i="20"/>
  <c r="L26" i="20"/>
  <c r="L27" i="20"/>
  <c r="L28" i="20"/>
  <c r="L29" i="20"/>
  <c r="L30" i="20"/>
  <c r="L31" i="20"/>
  <c r="L32" i="20"/>
  <c r="L33" i="20"/>
  <c r="L34" i="20"/>
  <c r="L35" i="20"/>
  <c r="L36" i="20"/>
  <c r="L37" i="20"/>
  <c r="L38" i="20"/>
  <c r="L39" i="20"/>
  <c r="L40" i="20"/>
  <c r="L41" i="20"/>
  <c r="L42" i="20"/>
  <c r="L43" i="20"/>
  <c r="L44" i="20"/>
  <c r="L45" i="20"/>
  <c r="L46" i="20"/>
  <c r="L47" i="20"/>
  <c r="L48" i="20"/>
  <c r="L49" i="20"/>
  <c r="L50" i="20"/>
  <c r="L51" i="20"/>
  <c r="L52" i="20"/>
  <c r="L53" i="20"/>
  <c r="Z3" i="20"/>
  <c r="Z4" i="20"/>
  <c r="Z5" i="20"/>
  <c r="Z6" i="20"/>
  <c r="Z7" i="20"/>
  <c r="Z8" i="20"/>
  <c r="Z9" i="20"/>
  <c r="Z10" i="20"/>
  <c r="Z11" i="20"/>
  <c r="Z12" i="20"/>
  <c r="Z13" i="20"/>
  <c r="Z14" i="20"/>
  <c r="Z15" i="20"/>
  <c r="Z16" i="20"/>
  <c r="Z17" i="20"/>
  <c r="Z18" i="20"/>
  <c r="Z19" i="20"/>
  <c r="Z20" i="20"/>
  <c r="Z21" i="20"/>
  <c r="Z42" i="20"/>
  <c r="Z43" i="20"/>
  <c r="Z44" i="20"/>
  <c r="Z45" i="20"/>
  <c r="Z46" i="20"/>
  <c r="Z47" i="20"/>
  <c r="Z48" i="20"/>
  <c r="Z49" i="20"/>
  <c r="Z50" i="20"/>
  <c r="Z51" i="20"/>
  <c r="Z52" i="20"/>
  <c r="Z53" i="20"/>
  <c r="Z2" i="20"/>
  <c r="A3" i="20" l="1"/>
  <c r="AQ3" i="20" s="1"/>
  <c r="B3" i="20"/>
  <c r="C3" i="20"/>
  <c r="D3" i="20"/>
  <c r="E3" i="20"/>
  <c r="F3" i="20"/>
  <c r="G3" i="20"/>
  <c r="H3" i="20"/>
  <c r="A4" i="20"/>
  <c r="AQ4" i="20" s="1"/>
  <c r="B4" i="20"/>
  <c r="C4" i="20"/>
  <c r="D4" i="20"/>
  <c r="E4" i="20"/>
  <c r="F4" i="20"/>
  <c r="G4" i="20"/>
  <c r="H4" i="20"/>
  <c r="A5" i="20"/>
  <c r="AQ5" i="20" s="1"/>
  <c r="B5" i="20"/>
  <c r="C5" i="20"/>
  <c r="D5" i="20"/>
  <c r="E5" i="20"/>
  <c r="F5" i="20"/>
  <c r="G5" i="20"/>
  <c r="H5" i="20"/>
  <c r="A6" i="20"/>
  <c r="AQ6" i="20" s="1"/>
  <c r="B6" i="20"/>
  <c r="C6" i="20"/>
  <c r="D6" i="20"/>
  <c r="E6" i="20"/>
  <c r="F6" i="20"/>
  <c r="G6" i="20"/>
  <c r="H6" i="20"/>
  <c r="A7" i="20"/>
  <c r="AQ7" i="20" s="1"/>
  <c r="B7" i="20"/>
  <c r="C7" i="20"/>
  <c r="D7" i="20"/>
  <c r="E7" i="20"/>
  <c r="F7" i="20"/>
  <c r="G7" i="20"/>
  <c r="H7" i="20"/>
  <c r="A8" i="20"/>
  <c r="AQ8" i="20" s="1"/>
  <c r="B8" i="20"/>
  <c r="C8" i="20"/>
  <c r="D8" i="20"/>
  <c r="E8" i="20"/>
  <c r="F8" i="20"/>
  <c r="G8" i="20"/>
  <c r="H8" i="20"/>
  <c r="A9" i="20"/>
  <c r="AQ9" i="20" s="1"/>
  <c r="B9" i="20"/>
  <c r="C9" i="20"/>
  <c r="D9" i="20"/>
  <c r="E9" i="20"/>
  <c r="F9" i="20"/>
  <c r="G9" i="20"/>
  <c r="H9" i="20"/>
  <c r="A10" i="20"/>
  <c r="AQ10" i="20" s="1"/>
  <c r="B10" i="20"/>
  <c r="C10" i="20"/>
  <c r="D10" i="20"/>
  <c r="E10" i="20"/>
  <c r="F10" i="20"/>
  <c r="G10" i="20"/>
  <c r="H10" i="20"/>
  <c r="A11" i="20"/>
  <c r="AQ11" i="20" s="1"/>
  <c r="B11" i="20"/>
  <c r="C11" i="20"/>
  <c r="D11" i="20"/>
  <c r="E11" i="20"/>
  <c r="F11" i="20"/>
  <c r="G11" i="20"/>
  <c r="H11" i="20"/>
  <c r="A12" i="20"/>
  <c r="AQ12" i="20" s="1"/>
  <c r="B12" i="20"/>
  <c r="C12" i="20"/>
  <c r="D12" i="20"/>
  <c r="E12" i="20"/>
  <c r="F12" i="20"/>
  <c r="G12" i="20"/>
  <c r="H12" i="20"/>
  <c r="A13" i="20"/>
  <c r="AQ13" i="20" s="1"/>
  <c r="B13" i="20"/>
  <c r="C13" i="20"/>
  <c r="D13" i="20"/>
  <c r="E13" i="20"/>
  <c r="F13" i="20"/>
  <c r="G13" i="20"/>
  <c r="H13" i="20"/>
  <c r="A14" i="20"/>
  <c r="AQ14" i="20" s="1"/>
  <c r="B14" i="20"/>
  <c r="C14" i="20"/>
  <c r="D14" i="20"/>
  <c r="E14" i="20"/>
  <c r="F14" i="20"/>
  <c r="G14" i="20"/>
  <c r="H14" i="20"/>
  <c r="A15" i="20"/>
  <c r="AQ15" i="20" s="1"/>
  <c r="B15" i="20"/>
  <c r="C15" i="20"/>
  <c r="D15" i="20"/>
  <c r="E15" i="20"/>
  <c r="F15" i="20"/>
  <c r="G15" i="20"/>
  <c r="H15" i="20"/>
  <c r="A16" i="20"/>
  <c r="AQ16" i="20" s="1"/>
  <c r="B16" i="20"/>
  <c r="C16" i="20"/>
  <c r="D16" i="20"/>
  <c r="E16" i="20"/>
  <c r="F16" i="20"/>
  <c r="G16" i="20"/>
  <c r="H16" i="20"/>
  <c r="A17" i="20"/>
  <c r="AQ17" i="20" s="1"/>
  <c r="B17" i="20"/>
  <c r="C17" i="20"/>
  <c r="D17" i="20"/>
  <c r="E17" i="20"/>
  <c r="F17" i="20"/>
  <c r="G17" i="20"/>
  <c r="H17" i="20"/>
  <c r="A18" i="20"/>
  <c r="AQ18" i="20" s="1"/>
  <c r="B18" i="20"/>
  <c r="C18" i="20"/>
  <c r="D18" i="20"/>
  <c r="E18" i="20"/>
  <c r="F18" i="20"/>
  <c r="G18" i="20"/>
  <c r="H18" i="20"/>
  <c r="A19" i="20"/>
  <c r="AQ19" i="20" s="1"/>
  <c r="B19" i="20"/>
  <c r="C19" i="20"/>
  <c r="D19" i="20"/>
  <c r="E19" i="20"/>
  <c r="F19" i="20"/>
  <c r="G19" i="20"/>
  <c r="H19" i="20"/>
  <c r="A20" i="20"/>
  <c r="AQ20" i="20" s="1"/>
  <c r="B20" i="20"/>
  <c r="C20" i="20"/>
  <c r="D20" i="20"/>
  <c r="E20" i="20"/>
  <c r="F20" i="20"/>
  <c r="G20" i="20"/>
  <c r="H20" i="20"/>
  <c r="A21" i="20"/>
  <c r="AQ21" i="20" s="1"/>
  <c r="B21" i="20"/>
  <c r="C21" i="20"/>
  <c r="D21" i="20"/>
  <c r="E21" i="20"/>
  <c r="F21" i="20"/>
  <c r="G21" i="20"/>
  <c r="H21" i="20"/>
  <c r="A22" i="20"/>
  <c r="AQ22" i="20" s="1"/>
  <c r="B22" i="20"/>
  <c r="C22" i="20"/>
  <c r="D22" i="20"/>
  <c r="E22" i="20"/>
  <c r="F22" i="20"/>
  <c r="G22" i="20"/>
  <c r="H22" i="20"/>
  <c r="A23" i="20"/>
  <c r="AQ23" i="20" s="1"/>
  <c r="B23" i="20"/>
  <c r="C23" i="20"/>
  <c r="D23" i="20"/>
  <c r="E23" i="20"/>
  <c r="F23" i="20"/>
  <c r="G23" i="20"/>
  <c r="H23" i="20"/>
  <c r="A24" i="20"/>
  <c r="AQ24" i="20" s="1"/>
  <c r="B24" i="20"/>
  <c r="C24" i="20"/>
  <c r="D24" i="20"/>
  <c r="E24" i="20"/>
  <c r="F24" i="20"/>
  <c r="G24" i="20"/>
  <c r="H24" i="20"/>
  <c r="A25" i="20"/>
  <c r="AQ25" i="20" s="1"/>
  <c r="B25" i="20"/>
  <c r="C25" i="20"/>
  <c r="D25" i="20"/>
  <c r="E25" i="20"/>
  <c r="F25" i="20"/>
  <c r="G25" i="20"/>
  <c r="H25" i="20"/>
  <c r="A26" i="20"/>
  <c r="AQ26" i="20" s="1"/>
  <c r="B26" i="20"/>
  <c r="C26" i="20"/>
  <c r="D26" i="20"/>
  <c r="E26" i="20"/>
  <c r="F26" i="20"/>
  <c r="G26" i="20"/>
  <c r="H26" i="20"/>
  <c r="A27" i="20"/>
  <c r="AQ27" i="20" s="1"/>
  <c r="B27" i="20"/>
  <c r="C27" i="20"/>
  <c r="D27" i="20"/>
  <c r="E27" i="20"/>
  <c r="F27" i="20"/>
  <c r="G27" i="20"/>
  <c r="H27" i="20"/>
  <c r="A28" i="20"/>
  <c r="AQ28" i="20" s="1"/>
  <c r="B28" i="20"/>
  <c r="C28" i="20"/>
  <c r="D28" i="20"/>
  <c r="E28" i="20"/>
  <c r="F28" i="20"/>
  <c r="G28" i="20"/>
  <c r="H28" i="20"/>
  <c r="A29" i="20"/>
  <c r="AQ29" i="20" s="1"/>
  <c r="B29" i="20"/>
  <c r="C29" i="20"/>
  <c r="D29" i="20"/>
  <c r="E29" i="20"/>
  <c r="F29" i="20"/>
  <c r="G29" i="20"/>
  <c r="H29" i="20"/>
  <c r="A30" i="20"/>
  <c r="AQ30" i="20" s="1"/>
  <c r="B30" i="20"/>
  <c r="C30" i="20"/>
  <c r="D30" i="20"/>
  <c r="E30" i="20"/>
  <c r="F30" i="20"/>
  <c r="G30" i="20"/>
  <c r="H30" i="20"/>
  <c r="A31" i="20"/>
  <c r="AQ31" i="20" s="1"/>
  <c r="B31" i="20"/>
  <c r="C31" i="20"/>
  <c r="D31" i="20"/>
  <c r="E31" i="20"/>
  <c r="F31" i="20"/>
  <c r="G31" i="20"/>
  <c r="H31" i="20"/>
  <c r="A32" i="20"/>
  <c r="AQ32" i="20" s="1"/>
  <c r="B32" i="20"/>
  <c r="C32" i="20"/>
  <c r="D32" i="20"/>
  <c r="E32" i="20"/>
  <c r="F32" i="20"/>
  <c r="G32" i="20"/>
  <c r="H32" i="20"/>
  <c r="A33" i="20"/>
  <c r="AQ33" i="20" s="1"/>
  <c r="B33" i="20"/>
  <c r="C33" i="20"/>
  <c r="D33" i="20"/>
  <c r="E33" i="20"/>
  <c r="F33" i="20"/>
  <c r="G33" i="20"/>
  <c r="H33" i="20"/>
  <c r="A34" i="20"/>
  <c r="AQ34" i="20" s="1"/>
  <c r="B34" i="20"/>
  <c r="C34" i="20"/>
  <c r="D34" i="20"/>
  <c r="E34" i="20"/>
  <c r="F34" i="20"/>
  <c r="G34" i="20"/>
  <c r="H34" i="20"/>
  <c r="A35" i="20"/>
  <c r="AQ35" i="20" s="1"/>
  <c r="B35" i="20"/>
  <c r="C35" i="20"/>
  <c r="D35" i="20"/>
  <c r="E35" i="20"/>
  <c r="F35" i="20"/>
  <c r="G35" i="20"/>
  <c r="H35" i="20"/>
  <c r="A36" i="20"/>
  <c r="AQ36" i="20" s="1"/>
  <c r="B36" i="20"/>
  <c r="C36" i="20"/>
  <c r="D36" i="20"/>
  <c r="E36" i="20"/>
  <c r="F36" i="20"/>
  <c r="G36" i="20"/>
  <c r="H36" i="20"/>
  <c r="A37" i="20"/>
  <c r="AQ37" i="20" s="1"/>
  <c r="B37" i="20"/>
  <c r="C37" i="20"/>
  <c r="D37" i="20"/>
  <c r="E37" i="20"/>
  <c r="F37" i="20"/>
  <c r="G37" i="20"/>
  <c r="H37" i="20"/>
  <c r="A38" i="20"/>
  <c r="AQ38" i="20" s="1"/>
  <c r="B38" i="20"/>
  <c r="C38" i="20"/>
  <c r="D38" i="20"/>
  <c r="E38" i="20"/>
  <c r="F38" i="20"/>
  <c r="G38" i="20"/>
  <c r="H38" i="20"/>
  <c r="A39" i="20"/>
  <c r="AQ39" i="20" s="1"/>
  <c r="B39" i="20"/>
  <c r="C39" i="20"/>
  <c r="D39" i="20"/>
  <c r="E39" i="20"/>
  <c r="F39" i="20"/>
  <c r="G39" i="20"/>
  <c r="H39" i="20"/>
  <c r="A40" i="20"/>
  <c r="AQ40" i="20" s="1"/>
  <c r="B40" i="20"/>
  <c r="C40" i="20"/>
  <c r="D40" i="20"/>
  <c r="E40" i="20"/>
  <c r="F40" i="20"/>
  <c r="G40" i="20"/>
  <c r="H40" i="20"/>
  <c r="A41" i="20"/>
  <c r="AQ41" i="20" s="1"/>
  <c r="B41" i="20"/>
  <c r="C41" i="20"/>
  <c r="D41" i="20"/>
  <c r="E41" i="20"/>
  <c r="F41" i="20"/>
  <c r="G41" i="20"/>
  <c r="H41" i="20"/>
  <c r="A42" i="20"/>
  <c r="AQ42" i="20" s="1"/>
  <c r="B42" i="20"/>
  <c r="C42" i="20"/>
  <c r="D42" i="20"/>
  <c r="E42" i="20"/>
  <c r="F42" i="20"/>
  <c r="G42" i="20"/>
  <c r="H42" i="20"/>
  <c r="A43" i="20"/>
  <c r="AQ43" i="20" s="1"/>
  <c r="B43" i="20"/>
  <c r="C43" i="20"/>
  <c r="D43" i="20"/>
  <c r="E43" i="20"/>
  <c r="F43" i="20"/>
  <c r="G43" i="20"/>
  <c r="H43" i="20"/>
  <c r="A44" i="20"/>
  <c r="AQ44" i="20" s="1"/>
  <c r="B44" i="20"/>
  <c r="C44" i="20"/>
  <c r="D44" i="20"/>
  <c r="E44" i="20"/>
  <c r="F44" i="20"/>
  <c r="G44" i="20"/>
  <c r="H44" i="20"/>
  <c r="A45" i="20"/>
  <c r="AQ45" i="20" s="1"/>
  <c r="B45" i="20"/>
  <c r="C45" i="20"/>
  <c r="D45" i="20"/>
  <c r="E45" i="20"/>
  <c r="F45" i="20"/>
  <c r="G45" i="20"/>
  <c r="H45" i="20"/>
  <c r="A46" i="20"/>
  <c r="AQ46" i="20" s="1"/>
  <c r="B46" i="20"/>
  <c r="C46" i="20"/>
  <c r="D46" i="20"/>
  <c r="E46" i="20"/>
  <c r="F46" i="20"/>
  <c r="G46" i="20"/>
  <c r="H46" i="20"/>
  <c r="A47" i="20"/>
  <c r="AQ47" i="20" s="1"/>
  <c r="B47" i="20"/>
  <c r="C47" i="20"/>
  <c r="D47" i="20"/>
  <c r="E47" i="20"/>
  <c r="F47" i="20"/>
  <c r="G47" i="20"/>
  <c r="H47" i="20"/>
  <c r="A48" i="20"/>
  <c r="AQ48" i="20" s="1"/>
  <c r="B48" i="20"/>
  <c r="C48" i="20"/>
  <c r="D48" i="20"/>
  <c r="E48" i="20"/>
  <c r="F48" i="20"/>
  <c r="G48" i="20"/>
  <c r="H48" i="20"/>
  <c r="A49" i="20"/>
  <c r="AQ49" i="20" s="1"/>
  <c r="B49" i="20"/>
  <c r="C49" i="20"/>
  <c r="D49" i="20"/>
  <c r="E49" i="20"/>
  <c r="F49" i="20"/>
  <c r="G49" i="20"/>
  <c r="H49" i="20"/>
  <c r="A50" i="20"/>
  <c r="AQ50" i="20" s="1"/>
  <c r="B50" i="20"/>
  <c r="C50" i="20"/>
  <c r="D50" i="20"/>
  <c r="E50" i="20"/>
  <c r="F50" i="20"/>
  <c r="G50" i="20"/>
  <c r="H50" i="20"/>
  <c r="A51" i="20"/>
  <c r="AQ51" i="20" s="1"/>
  <c r="B51" i="20"/>
  <c r="C51" i="20"/>
  <c r="D51" i="20"/>
  <c r="E51" i="20"/>
  <c r="F51" i="20"/>
  <c r="G51" i="20"/>
  <c r="H51" i="20"/>
  <c r="A52" i="20"/>
  <c r="AQ52" i="20" s="1"/>
  <c r="B52" i="20"/>
  <c r="C52" i="20"/>
  <c r="D52" i="20"/>
  <c r="E52" i="20"/>
  <c r="F52" i="20"/>
  <c r="G52" i="20"/>
  <c r="H52" i="20"/>
  <c r="A53" i="20"/>
  <c r="AQ53" i="20" s="1"/>
  <c r="B53" i="20"/>
  <c r="C53" i="20"/>
  <c r="D53" i="20"/>
  <c r="E53" i="20"/>
  <c r="F53" i="20"/>
  <c r="G53" i="20"/>
  <c r="H53" i="20"/>
  <c r="B34" i="28"/>
  <c r="B35" i="28"/>
  <c r="B36" i="28"/>
  <c r="B37" i="28"/>
  <c r="B38" i="28"/>
  <c r="B39" i="28"/>
  <c r="B40" i="28"/>
  <c r="B41" i="28"/>
  <c r="B42" i="28"/>
  <c r="B43" i="28"/>
  <c r="B44" i="28"/>
  <c r="B45" i="28"/>
  <c r="B46" i="28"/>
  <c r="B47" i="28"/>
  <c r="B48" i="28"/>
  <c r="B49" i="28"/>
  <c r="B50" i="28"/>
  <c r="B51" i="28"/>
  <c r="B52" i="28"/>
  <c r="B53" i="28"/>
  <c r="B54" i="28"/>
  <c r="B55" i="28"/>
  <c r="B56" i="28"/>
  <c r="B57" i="28"/>
  <c r="B58" i="28"/>
  <c r="B59" i="28"/>
  <c r="B60" i="28"/>
  <c r="B61" i="28"/>
  <c r="B62" i="28"/>
  <c r="B63" i="28"/>
  <c r="B64" i="28"/>
  <c r="B65" i="28"/>
  <c r="B66" i="28"/>
  <c r="B67" i="28"/>
  <c r="B68" i="28"/>
  <c r="B69" i="28"/>
  <c r="B70" i="28"/>
  <c r="B71" i="28"/>
  <c r="B72" i="28"/>
  <c r="B73" i="28"/>
  <c r="B74" i="28"/>
  <c r="B75" i="28"/>
  <c r="B76" i="28"/>
  <c r="B77" i="28"/>
  <c r="B78" i="28"/>
  <c r="B79" i="28"/>
  <c r="B80" i="28"/>
  <c r="B81" i="28"/>
  <c r="AE17" i="19" a="1"/>
  <c r="AE17" i="19" s="1"/>
  <c r="AF17" i="19" a="1"/>
  <c r="AF17" i="19" s="1"/>
  <c r="AG17" i="19" a="1"/>
  <c r="AG17" i="19" s="1"/>
  <c r="F2" i="19"/>
  <c r="N3" i="19"/>
  <c r="O3" i="19"/>
  <c r="P3" i="19"/>
  <c r="Q3" i="19"/>
  <c r="R3" i="19"/>
  <c r="S3" i="19"/>
  <c r="N4" i="19"/>
  <c r="O4" i="19"/>
  <c r="P4" i="19"/>
  <c r="Q4" i="19"/>
  <c r="R4" i="19"/>
  <c r="S4" i="19"/>
  <c r="N5" i="19"/>
  <c r="O5" i="19"/>
  <c r="P5" i="19"/>
  <c r="Q5" i="19"/>
  <c r="R5" i="19"/>
  <c r="S5" i="19"/>
  <c r="N6" i="19"/>
  <c r="O6" i="19"/>
  <c r="P6" i="19"/>
  <c r="Q6" i="19"/>
  <c r="R6" i="19"/>
  <c r="S6" i="19"/>
  <c r="N7" i="19"/>
  <c r="O7" i="19"/>
  <c r="P7" i="19"/>
  <c r="Q7" i="19"/>
  <c r="R7" i="19"/>
  <c r="S7" i="19"/>
  <c r="N8" i="19"/>
  <c r="O8" i="19"/>
  <c r="P8" i="19"/>
  <c r="Q8" i="19"/>
  <c r="R8" i="19"/>
  <c r="S8" i="19"/>
  <c r="N9" i="19"/>
  <c r="O9" i="19"/>
  <c r="P9" i="19"/>
  <c r="Q9" i="19"/>
  <c r="R9" i="19"/>
  <c r="S9" i="19"/>
  <c r="N10" i="19"/>
  <c r="O10" i="19"/>
  <c r="P10" i="19"/>
  <c r="Q10" i="19"/>
  <c r="R10" i="19"/>
  <c r="S10" i="19"/>
  <c r="N11" i="19"/>
  <c r="O11" i="19"/>
  <c r="P11" i="19"/>
  <c r="Q11" i="19"/>
  <c r="R11" i="19"/>
  <c r="S11" i="19"/>
  <c r="N12" i="19"/>
  <c r="O12" i="19"/>
  <c r="P12" i="19"/>
  <c r="Q12" i="19"/>
  <c r="R12" i="19"/>
  <c r="S12" i="19"/>
  <c r="N13" i="19"/>
  <c r="O13" i="19"/>
  <c r="P13" i="19"/>
  <c r="Q13" i="19"/>
  <c r="R13" i="19"/>
  <c r="S13" i="19"/>
  <c r="N14" i="19"/>
  <c r="O14" i="19"/>
  <c r="P14" i="19"/>
  <c r="Q14" i="19"/>
  <c r="R14" i="19"/>
  <c r="S14" i="19"/>
  <c r="N15" i="19"/>
  <c r="O15" i="19"/>
  <c r="P15" i="19"/>
  <c r="Q15" i="19"/>
  <c r="R15" i="19"/>
  <c r="S15" i="19"/>
  <c r="N16" i="19"/>
  <c r="O16" i="19"/>
  <c r="P16" i="19"/>
  <c r="Q16" i="19"/>
  <c r="R16" i="19"/>
  <c r="S16" i="19"/>
  <c r="N17" i="19"/>
  <c r="O17" i="19"/>
  <c r="P17" i="19"/>
  <c r="Q17" i="19"/>
  <c r="R17" i="19"/>
  <c r="S17" i="19"/>
  <c r="N18" i="19"/>
  <c r="O18" i="19"/>
  <c r="P18" i="19"/>
  <c r="Q18" i="19"/>
  <c r="R18" i="19"/>
  <c r="S18" i="19"/>
  <c r="N19" i="19"/>
  <c r="O19" i="19"/>
  <c r="P19" i="19"/>
  <c r="Q19" i="19"/>
  <c r="R19" i="19"/>
  <c r="S19" i="19"/>
  <c r="N20" i="19"/>
  <c r="O20" i="19"/>
  <c r="P20" i="19"/>
  <c r="Q20" i="19"/>
  <c r="R20" i="19"/>
  <c r="S20" i="19"/>
  <c r="N21" i="19"/>
  <c r="O21" i="19"/>
  <c r="P21" i="19"/>
  <c r="Q21" i="19"/>
  <c r="R21" i="19"/>
  <c r="S21" i="19"/>
  <c r="N22" i="19"/>
  <c r="O22" i="19"/>
  <c r="P22" i="19"/>
  <c r="Q22" i="19"/>
  <c r="R22" i="19"/>
  <c r="S22" i="19"/>
  <c r="N23" i="19"/>
  <c r="O23" i="19"/>
  <c r="P23" i="19"/>
  <c r="Q23" i="19"/>
  <c r="R23" i="19"/>
  <c r="S23" i="19"/>
  <c r="N24" i="19"/>
  <c r="O24" i="19"/>
  <c r="P24" i="19"/>
  <c r="Q24" i="19"/>
  <c r="R24" i="19"/>
  <c r="S24" i="19"/>
  <c r="N25" i="19"/>
  <c r="O25" i="19"/>
  <c r="P25" i="19"/>
  <c r="Q25" i="19"/>
  <c r="R25" i="19"/>
  <c r="S25" i="19"/>
  <c r="N26" i="19"/>
  <c r="O26" i="19"/>
  <c r="P26" i="19"/>
  <c r="Q26" i="19"/>
  <c r="R26" i="19"/>
  <c r="S26" i="19"/>
  <c r="N27" i="19"/>
  <c r="O27" i="19"/>
  <c r="P27" i="19"/>
  <c r="Q27" i="19"/>
  <c r="R27" i="19"/>
  <c r="S27" i="19"/>
  <c r="S2" i="19"/>
  <c r="B3" i="19"/>
  <c r="C3" i="19"/>
  <c r="D3" i="19"/>
  <c r="E3" i="19"/>
  <c r="F3" i="19"/>
  <c r="G3" i="19"/>
  <c r="K3" i="19"/>
  <c r="B4" i="19"/>
  <c r="C4" i="19"/>
  <c r="D4" i="19"/>
  <c r="E4" i="19"/>
  <c r="F4" i="19"/>
  <c r="G4" i="19"/>
  <c r="K4" i="19"/>
  <c r="B5" i="19"/>
  <c r="C5" i="19"/>
  <c r="D5" i="19"/>
  <c r="E5" i="19"/>
  <c r="F5" i="19"/>
  <c r="G5" i="19"/>
  <c r="K5" i="19"/>
  <c r="B6" i="19"/>
  <c r="C6" i="19"/>
  <c r="D6" i="19"/>
  <c r="E6" i="19"/>
  <c r="F6" i="19"/>
  <c r="G6" i="19"/>
  <c r="K6" i="19"/>
  <c r="B7" i="19"/>
  <c r="C7" i="19"/>
  <c r="D7" i="19"/>
  <c r="E7" i="19"/>
  <c r="F7" i="19"/>
  <c r="G7" i="19"/>
  <c r="K7" i="19"/>
  <c r="B8" i="19"/>
  <c r="C8" i="19"/>
  <c r="D8" i="19"/>
  <c r="E8" i="19"/>
  <c r="F8" i="19"/>
  <c r="G8" i="19"/>
  <c r="K8" i="19"/>
  <c r="B9" i="19"/>
  <c r="C9" i="19"/>
  <c r="D9" i="19"/>
  <c r="E9" i="19"/>
  <c r="F9" i="19"/>
  <c r="G9" i="19"/>
  <c r="K9" i="19"/>
  <c r="B10" i="19"/>
  <c r="C10" i="19"/>
  <c r="D10" i="19"/>
  <c r="E10" i="19"/>
  <c r="F10" i="19"/>
  <c r="G10" i="19"/>
  <c r="K10" i="19"/>
  <c r="B11" i="19"/>
  <c r="C11" i="19"/>
  <c r="D11" i="19"/>
  <c r="E11" i="19"/>
  <c r="F11" i="19"/>
  <c r="G11" i="19"/>
  <c r="K11" i="19"/>
  <c r="B12" i="19"/>
  <c r="C12" i="19"/>
  <c r="D12" i="19"/>
  <c r="E12" i="19"/>
  <c r="F12" i="19"/>
  <c r="G12" i="19"/>
  <c r="K12" i="19"/>
  <c r="B13" i="19"/>
  <c r="C13" i="19"/>
  <c r="D13" i="19"/>
  <c r="E13" i="19"/>
  <c r="F13" i="19"/>
  <c r="G13" i="19"/>
  <c r="K13" i="19"/>
  <c r="B14" i="19"/>
  <c r="C14" i="19"/>
  <c r="D14" i="19"/>
  <c r="E14" i="19"/>
  <c r="F14" i="19"/>
  <c r="G14" i="19"/>
  <c r="K14" i="19"/>
  <c r="B15" i="19"/>
  <c r="C15" i="19"/>
  <c r="D15" i="19"/>
  <c r="E15" i="19"/>
  <c r="F15" i="19"/>
  <c r="G15" i="19"/>
  <c r="K15" i="19"/>
  <c r="B16" i="19"/>
  <c r="C16" i="19"/>
  <c r="D16" i="19"/>
  <c r="E16" i="19"/>
  <c r="F16" i="19"/>
  <c r="G16" i="19"/>
  <c r="K16" i="19"/>
  <c r="B17" i="19"/>
  <c r="C17" i="19"/>
  <c r="D17" i="19"/>
  <c r="E17" i="19"/>
  <c r="F17" i="19"/>
  <c r="G17" i="19"/>
  <c r="K17" i="19"/>
  <c r="B18" i="19"/>
  <c r="C18" i="19"/>
  <c r="D18" i="19"/>
  <c r="E18" i="19"/>
  <c r="F18" i="19"/>
  <c r="G18" i="19"/>
  <c r="K18" i="19"/>
  <c r="B19" i="19"/>
  <c r="C19" i="19"/>
  <c r="D19" i="19"/>
  <c r="E19" i="19"/>
  <c r="F19" i="19"/>
  <c r="G19" i="19"/>
  <c r="K19" i="19"/>
  <c r="B20" i="19"/>
  <c r="C20" i="19"/>
  <c r="D20" i="19"/>
  <c r="E20" i="19"/>
  <c r="F20" i="19"/>
  <c r="G20" i="19"/>
  <c r="K20" i="19"/>
  <c r="B21" i="19"/>
  <c r="C21" i="19"/>
  <c r="D21" i="19"/>
  <c r="E21" i="19"/>
  <c r="F21" i="19"/>
  <c r="G21" i="19"/>
  <c r="K21" i="19"/>
  <c r="B22" i="19"/>
  <c r="C22" i="19"/>
  <c r="D22" i="19"/>
  <c r="E22" i="19"/>
  <c r="F22" i="19"/>
  <c r="G22" i="19"/>
  <c r="K22" i="19"/>
  <c r="B23" i="19"/>
  <c r="C23" i="19"/>
  <c r="D23" i="19"/>
  <c r="E23" i="19"/>
  <c r="F23" i="19"/>
  <c r="G23" i="19"/>
  <c r="K23" i="19"/>
  <c r="B24" i="19"/>
  <c r="C24" i="19"/>
  <c r="D24" i="19"/>
  <c r="E24" i="19"/>
  <c r="F24" i="19"/>
  <c r="G24" i="19"/>
  <c r="K24" i="19"/>
  <c r="B25" i="19"/>
  <c r="C25" i="19"/>
  <c r="D25" i="19"/>
  <c r="E25" i="19"/>
  <c r="F25" i="19"/>
  <c r="G25" i="19"/>
  <c r="K25" i="19"/>
  <c r="B26" i="19"/>
  <c r="C26" i="19"/>
  <c r="D26" i="19"/>
  <c r="E26" i="19"/>
  <c r="F26" i="19"/>
  <c r="G26" i="19"/>
  <c r="K26" i="19"/>
  <c r="B27" i="19"/>
  <c r="C27" i="19"/>
  <c r="D27" i="19"/>
  <c r="E27" i="19"/>
  <c r="F27" i="19"/>
  <c r="G27" i="19"/>
  <c r="K27" i="19"/>
  <c r="A3" i="19"/>
  <c r="A4" i="19"/>
  <c r="A5" i="19"/>
  <c r="A6" i="19"/>
  <c r="A7" i="19"/>
  <c r="A8" i="19"/>
  <c r="A9" i="19"/>
  <c r="A10" i="19"/>
  <c r="A11" i="19"/>
  <c r="A12" i="19"/>
  <c r="A13" i="19"/>
  <c r="A14" i="19"/>
  <c r="A15" i="19"/>
  <c r="A16" i="19"/>
  <c r="A17" i="19"/>
  <c r="AP17" i="19" s="1"/>
  <c r="A18" i="19"/>
  <c r="A19" i="19"/>
  <c r="A20" i="19"/>
  <c r="A21" i="19"/>
  <c r="A22" i="19"/>
  <c r="A23" i="19"/>
  <c r="A24" i="19"/>
  <c r="A25" i="19"/>
  <c r="A26" i="19"/>
  <c r="A27" i="19"/>
  <c r="AO384" i="2"/>
  <c r="AI412" i="2"/>
  <c r="G380" i="2"/>
  <c r="H380" i="2"/>
  <c r="I380" i="2"/>
  <c r="G381" i="2"/>
  <c r="H381" i="2"/>
  <c r="I381" i="2"/>
  <c r="G382" i="2"/>
  <c r="H382" i="2"/>
  <c r="I382" i="2"/>
  <c r="G383" i="2"/>
  <c r="H383" i="2"/>
  <c r="I383" i="2"/>
  <c r="G384" i="2"/>
  <c r="H384" i="2"/>
  <c r="I384" i="2"/>
  <c r="G385" i="2"/>
  <c r="H385" i="2"/>
  <c r="I385" i="2"/>
  <c r="G386" i="2"/>
  <c r="H386" i="2"/>
  <c r="I386" i="2"/>
  <c r="G387" i="2"/>
  <c r="H387" i="2"/>
  <c r="I387" i="2"/>
  <c r="G388" i="2"/>
  <c r="H388" i="2"/>
  <c r="I388" i="2"/>
  <c r="G389" i="2"/>
  <c r="H389" i="2"/>
  <c r="I389" i="2"/>
  <c r="G390" i="2"/>
  <c r="H390" i="2"/>
  <c r="I390" i="2"/>
  <c r="G391" i="2"/>
  <c r="H391" i="2"/>
  <c r="I391" i="2"/>
  <c r="G392" i="2"/>
  <c r="H392" i="2"/>
  <c r="I392" i="2"/>
  <c r="G393" i="2"/>
  <c r="H393" i="2"/>
  <c r="I393" i="2"/>
  <c r="G394" i="2"/>
  <c r="H394" i="2"/>
  <c r="I394" i="2"/>
  <c r="G395" i="2"/>
  <c r="H395" i="2"/>
  <c r="I395" i="2"/>
  <c r="G396" i="2"/>
  <c r="H396" i="2"/>
  <c r="I396" i="2"/>
  <c r="G397" i="2"/>
  <c r="H397" i="2"/>
  <c r="I397" i="2"/>
  <c r="G398" i="2"/>
  <c r="Z398" i="2" s="1"/>
  <c r="H398" i="2"/>
  <c r="I398" i="2"/>
  <c r="G399" i="2"/>
  <c r="H399" i="2"/>
  <c r="I399" i="2"/>
  <c r="G400" i="2"/>
  <c r="H400" i="2"/>
  <c r="I400" i="2"/>
  <c r="G401" i="2"/>
  <c r="H401" i="2"/>
  <c r="I401" i="2"/>
  <c r="G402" i="2"/>
  <c r="H402" i="2"/>
  <c r="I402" i="2"/>
  <c r="G403" i="2"/>
  <c r="H403" i="2"/>
  <c r="I403" i="2"/>
  <c r="G404" i="2"/>
  <c r="H404" i="2"/>
  <c r="I404" i="2"/>
  <c r="G405" i="2"/>
  <c r="H405" i="2"/>
  <c r="I405" i="2"/>
  <c r="G406" i="2"/>
  <c r="H406" i="2"/>
  <c r="I406" i="2"/>
  <c r="G407" i="2"/>
  <c r="H407" i="2"/>
  <c r="I407" i="2"/>
  <c r="G408" i="2"/>
  <c r="H408" i="2"/>
  <c r="I408" i="2"/>
  <c r="G409" i="2"/>
  <c r="H409" i="2"/>
  <c r="I409" i="2"/>
  <c r="G410" i="2"/>
  <c r="H410" i="2"/>
  <c r="I410" i="2"/>
  <c r="G411" i="2"/>
  <c r="H411" i="2"/>
  <c r="I411" i="2"/>
  <c r="G412" i="2"/>
  <c r="H412" i="2"/>
  <c r="I412" i="2"/>
  <c r="G413" i="2"/>
  <c r="H413" i="2"/>
  <c r="I413" i="2"/>
  <c r="G414" i="2"/>
  <c r="H414" i="2"/>
  <c r="I414" i="2"/>
  <c r="G415" i="2"/>
  <c r="H415" i="2"/>
  <c r="I415" i="2"/>
  <c r="G416" i="2"/>
  <c r="H416" i="2"/>
  <c r="I416" i="2"/>
  <c r="G417" i="2"/>
  <c r="H417" i="2"/>
  <c r="I417" i="2"/>
  <c r="G418" i="2"/>
  <c r="H418" i="2"/>
  <c r="I418" i="2"/>
  <c r="G419" i="2"/>
  <c r="H419" i="2"/>
  <c r="I419" i="2"/>
  <c r="G420" i="2"/>
  <c r="H420" i="2"/>
  <c r="I420" i="2"/>
  <c r="G421" i="2"/>
  <c r="H421" i="2"/>
  <c r="I421" i="2"/>
  <c r="G422" i="2"/>
  <c r="Z422" i="2" s="1"/>
  <c r="H422" i="2"/>
  <c r="AE422" i="2" s="1"/>
  <c r="I422" i="2"/>
  <c r="G423" i="2"/>
  <c r="H423" i="2"/>
  <c r="I423" i="2"/>
  <c r="G424" i="2"/>
  <c r="H424" i="2"/>
  <c r="I424" i="2"/>
  <c r="G425" i="2"/>
  <c r="H425" i="2"/>
  <c r="I425" i="2"/>
  <c r="G426" i="2"/>
  <c r="H426" i="2"/>
  <c r="I426" i="2"/>
  <c r="G427" i="2"/>
  <c r="H427" i="2"/>
  <c r="I427" i="2"/>
  <c r="G428" i="2"/>
  <c r="H428" i="2"/>
  <c r="I428" i="2"/>
  <c r="G429" i="2"/>
  <c r="Z429" i="2" s="1"/>
  <c r="H429" i="2"/>
  <c r="AE429" i="2" s="1"/>
  <c r="I429" i="2"/>
  <c r="G430" i="2"/>
  <c r="H430" i="2"/>
  <c r="I430" i="2"/>
  <c r="E380" i="2"/>
  <c r="E381" i="2"/>
  <c r="E382" i="2"/>
  <c r="E383" i="2"/>
  <c r="E384" i="2"/>
  <c r="AF384" i="2" s="1"/>
  <c r="E385" i="2"/>
  <c r="AF385" i="2" s="1"/>
  <c r="E386" i="2"/>
  <c r="AF386" i="2" s="1"/>
  <c r="E387" i="2"/>
  <c r="AI387" i="2" s="1"/>
  <c r="E388" i="2"/>
  <c r="AH388" i="2" s="1"/>
  <c r="E389" i="2"/>
  <c r="AF389" i="2" s="1"/>
  <c r="E390" i="2"/>
  <c r="AF390" i="2" s="1"/>
  <c r="E391" i="2"/>
  <c r="AG391" i="2" s="1"/>
  <c r="E392" i="2"/>
  <c r="E393" i="2"/>
  <c r="E394" i="2"/>
  <c r="E395" i="2"/>
  <c r="E396" i="2"/>
  <c r="E397" i="2"/>
  <c r="E398" i="2"/>
  <c r="AJ398" i="2" s="1"/>
  <c r="E399" i="2"/>
  <c r="E400" i="2"/>
  <c r="E401" i="2"/>
  <c r="E402" i="2"/>
  <c r="E403" i="2"/>
  <c r="E404" i="2"/>
  <c r="E405" i="2"/>
  <c r="E406" i="2"/>
  <c r="E407" i="2"/>
  <c r="E408" i="2"/>
  <c r="E409" i="2"/>
  <c r="E410" i="2"/>
  <c r="E411" i="2"/>
  <c r="E412" i="2"/>
  <c r="AK412" i="2" s="1"/>
  <c r="E413" i="2"/>
  <c r="E414" i="2"/>
  <c r="E415" i="2"/>
  <c r="E416" i="2"/>
  <c r="E417" i="2"/>
  <c r="E418" i="2"/>
  <c r="E419" i="2"/>
  <c r="E420" i="2"/>
  <c r="E421" i="2"/>
  <c r="E422" i="2"/>
  <c r="E423" i="2"/>
  <c r="E424" i="2"/>
  <c r="E425" i="2"/>
  <c r="E426" i="2"/>
  <c r="E427" i="2"/>
  <c r="E428" i="2"/>
  <c r="E429" i="2"/>
  <c r="AF429" i="2" s="1"/>
  <c r="E430" i="2"/>
  <c r="U357" i="33" a="1"/>
  <c r="U357" i="33" s="1"/>
  <c r="V357" i="33" a="1"/>
  <c r="V357" i="33" s="1"/>
  <c r="W357" i="33" a="1"/>
  <c r="W357" i="33" s="1"/>
  <c r="U358" i="33" a="1"/>
  <c r="U358" i="33" s="1"/>
  <c r="V358" i="33" a="1"/>
  <c r="V358" i="33" s="1"/>
  <c r="W358" i="33" a="1"/>
  <c r="W358" i="33" s="1"/>
  <c r="U359" i="33" a="1"/>
  <c r="U359" i="33" s="1"/>
  <c r="V359" i="33" a="1"/>
  <c r="V359" i="33" s="1"/>
  <c r="W359" i="33" a="1"/>
  <c r="W359" i="33"/>
  <c r="U360" i="33" a="1"/>
  <c r="U360" i="33"/>
  <c r="V360" i="33" a="1"/>
  <c r="V360" i="33" s="1"/>
  <c r="W360" i="33" a="1"/>
  <c r="W360" i="33" s="1"/>
  <c r="U361" i="33" a="1"/>
  <c r="U361" i="33" s="1"/>
  <c r="V361" i="33" a="1"/>
  <c r="V361" i="33"/>
  <c r="W361" i="33" a="1"/>
  <c r="W361" i="33" s="1"/>
  <c r="U362" i="33" a="1"/>
  <c r="U362" i="33"/>
  <c r="V362" i="33" a="1"/>
  <c r="V362" i="33" s="1"/>
  <c r="W362" i="33" a="1"/>
  <c r="W362" i="33" s="1"/>
  <c r="U363" i="33" a="1"/>
  <c r="U363" i="33"/>
  <c r="V363" i="33" a="1"/>
  <c r="V363" i="33" s="1"/>
  <c r="W363" i="33" a="1"/>
  <c r="W363" i="33" s="1"/>
  <c r="U364" i="33" a="1"/>
  <c r="U364" i="33" s="1"/>
  <c r="V364" i="33" a="1"/>
  <c r="V364" i="33" s="1"/>
  <c r="W364" i="33" a="1"/>
  <c r="W364" i="33" s="1"/>
  <c r="U365" i="33" a="1"/>
  <c r="U365" i="33"/>
  <c r="V365" i="33" a="1"/>
  <c r="V365" i="33" s="1"/>
  <c r="X365" i="33" s="1"/>
  <c r="W365" i="33" a="1"/>
  <c r="W365" i="33" s="1"/>
  <c r="U366" i="33" a="1"/>
  <c r="U366" i="33"/>
  <c r="V366" i="33" a="1"/>
  <c r="V366" i="33"/>
  <c r="W366" i="33" a="1"/>
  <c r="W366" i="33" s="1"/>
  <c r="U367" i="33" a="1"/>
  <c r="U367" i="33" s="1"/>
  <c r="V367" i="33" a="1"/>
  <c r="V367" i="33" s="1"/>
  <c r="W367" i="33" a="1"/>
  <c r="W367" i="33" s="1"/>
  <c r="U368" i="33" a="1"/>
  <c r="U368" i="33" s="1"/>
  <c r="V368" i="33" a="1"/>
  <c r="V368" i="33" s="1"/>
  <c r="W368" i="33" a="1"/>
  <c r="W368" i="33" s="1"/>
  <c r="U369" i="33" a="1"/>
  <c r="U369" i="33" s="1"/>
  <c r="V369" i="33" a="1"/>
  <c r="V369" i="33" s="1"/>
  <c r="W369" i="33" a="1"/>
  <c r="W369" i="33" s="1"/>
  <c r="U370" i="33" a="1"/>
  <c r="U370" i="33" s="1"/>
  <c r="V370" i="33" a="1"/>
  <c r="V370" i="33"/>
  <c r="W370" i="33" a="1"/>
  <c r="W370" i="33"/>
  <c r="U371" i="33" a="1"/>
  <c r="U371" i="33"/>
  <c r="V371" i="33" a="1"/>
  <c r="V371" i="33"/>
  <c r="W371" i="33" a="1"/>
  <c r="W371" i="33"/>
  <c r="U372" i="33" a="1"/>
  <c r="U372" i="33"/>
  <c r="V372" i="33" a="1"/>
  <c r="V372" i="33" s="1"/>
  <c r="W372" i="33" a="1"/>
  <c r="W372" i="33" s="1"/>
  <c r="U373" i="33" a="1"/>
  <c r="U373" i="33" s="1"/>
  <c r="V373" i="33" a="1"/>
  <c r="V373" i="33" s="1"/>
  <c r="W373" i="33" a="1"/>
  <c r="W373" i="33"/>
  <c r="U374" i="33" a="1"/>
  <c r="U374" i="33" s="1"/>
  <c r="V374" i="33" a="1"/>
  <c r="V374" i="33" s="1"/>
  <c r="W374" i="33" a="1"/>
  <c r="W374" i="33" s="1"/>
  <c r="U375" i="33" a="1"/>
  <c r="U375" i="33" s="1"/>
  <c r="V375" i="33" a="1"/>
  <c r="V375" i="33" s="1"/>
  <c r="X375" i="33" s="1"/>
  <c r="W375" i="33" a="1"/>
  <c r="W375" i="33"/>
  <c r="U376" i="33" a="1"/>
  <c r="U376" i="33"/>
  <c r="V376" i="33" a="1"/>
  <c r="V376" i="33"/>
  <c r="W376" i="33" a="1"/>
  <c r="W376" i="33"/>
  <c r="U377" i="33" a="1"/>
  <c r="U377" i="33"/>
  <c r="V377" i="33" a="1"/>
  <c r="V377" i="33"/>
  <c r="W377" i="33" a="1"/>
  <c r="W377" i="33" s="1"/>
  <c r="U378" i="33" a="1"/>
  <c r="U378" i="33"/>
  <c r="V378" i="33" a="1"/>
  <c r="V378" i="33" s="1"/>
  <c r="W378" i="33" a="1"/>
  <c r="W378" i="33" s="1"/>
  <c r="U379" i="33" a="1"/>
  <c r="U379" i="33" s="1"/>
  <c r="V379" i="33" a="1"/>
  <c r="V379" i="33" s="1"/>
  <c r="W379" i="33" a="1"/>
  <c r="W379" i="33" s="1"/>
  <c r="U380" i="33" a="1"/>
  <c r="U380" i="33" s="1"/>
  <c r="V380" i="33" a="1"/>
  <c r="V380" i="33" s="1"/>
  <c r="W380" i="33" a="1"/>
  <c r="W380" i="33" s="1"/>
  <c r="U381" i="33" a="1"/>
  <c r="U381" i="33"/>
  <c r="V381" i="33" a="1"/>
  <c r="V381" i="33"/>
  <c r="W381" i="33" a="1"/>
  <c r="W381" i="33" s="1"/>
  <c r="U382" i="33" a="1"/>
  <c r="U382" i="33"/>
  <c r="V382" i="33" a="1"/>
  <c r="V382" i="33"/>
  <c r="W382" i="33" a="1"/>
  <c r="W382" i="33" s="1"/>
  <c r="U383" i="33" a="1"/>
  <c r="U383" i="33" s="1"/>
  <c r="V383" i="33" a="1"/>
  <c r="V383" i="33" s="1"/>
  <c r="W383" i="33" a="1"/>
  <c r="W383" i="33" s="1"/>
  <c r="U384" i="33" a="1"/>
  <c r="U384" i="33" s="1"/>
  <c r="V384" i="33" a="1"/>
  <c r="V384" i="33"/>
  <c r="W384" i="33" a="1"/>
  <c r="W384" i="33" s="1"/>
  <c r="U385" i="33" a="1"/>
  <c r="U385" i="33" s="1"/>
  <c r="V385" i="33" a="1"/>
  <c r="V385" i="33" s="1"/>
  <c r="W385" i="33" a="1"/>
  <c r="W385" i="33" s="1"/>
  <c r="U386" i="33" a="1"/>
  <c r="U386" i="33" s="1"/>
  <c r="V386" i="33" a="1"/>
  <c r="V386" i="33"/>
  <c r="W386" i="33" a="1"/>
  <c r="W386" i="33" s="1"/>
  <c r="U387" i="33" a="1"/>
  <c r="U387" i="33"/>
  <c r="V387" i="33" a="1"/>
  <c r="V387" i="33" s="1"/>
  <c r="W387" i="33" a="1"/>
  <c r="W387" i="33" s="1"/>
  <c r="U388" i="33" a="1"/>
  <c r="U388" i="33"/>
  <c r="V388" i="33" a="1"/>
  <c r="V388" i="33" s="1"/>
  <c r="W388" i="33" a="1"/>
  <c r="W388" i="33"/>
  <c r="U389" i="33" a="1"/>
  <c r="U389" i="33" s="1"/>
  <c r="V389" i="33" a="1"/>
  <c r="V389" i="33" s="1"/>
  <c r="W389" i="33" a="1"/>
  <c r="W389" i="33"/>
  <c r="U390" i="33" a="1"/>
  <c r="U390" i="33" s="1"/>
  <c r="V390" i="33" a="1"/>
  <c r="V390" i="33" s="1"/>
  <c r="W390" i="33" a="1"/>
  <c r="W390" i="33" s="1"/>
  <c r="U391" i="33" a="1"/>
  <c r="U391" i="33" s="1"/>
  <c r="V391" i="33" a="1"/>
  <c r="V391" i="33" s="1"/>
  <c r="W391" i="33" a="1"/>
  <c r="W391" i="33"/>
  <c r="U392" i="33" a="1"/>
  <c r="U392" i="33"/>
  <c r="V392" i="33" a="1"/>
  <c r="V392" i="33"/>
  <c r="W392" i="33" a="1"/>
  <c r="W392" i="33"/>
  <c r="U393" i="33" a="1"/>
  <c r="U393" i="33" s="1"/>
  <c r="V393" i="33" a="1"/>
  <c r="V393" i="33"/>
  <c r="W393" i="33" a="1"/>
  <c r="W393" i="33"/>
  <c r="U394" i="33" a="1"/>
  <c r="U394" i="33"/>
  <c r="V394" i="33" a="1"/>
  <c r="V394" i="33" s="1"/>
  <c r="W394" i="33" a="1"/>
  <c r="W394" i="33" s="1"/>
  <c r="U395" i="33" a="1"/>
  <c r="U395" i="33" s="1"/>
  <c r="V395" i="33" a="1"/>
  <c r="V395" i="33" s="1"/>
  <c r="W395" i="33" a="1"/>
  <c r="W395" i="33" s="1"/>
  <c r="U396" i="33" a="1"/>
  <c r="U396" i="33" s="1"/>
  <c r="V396" i="33" a="1"/>
  <c r="V396" i="33" s="1"/>
  <c r="W396" i="33" a="1"/>
  <c r="W396" i="33" s="1"/>
  <c r="U397" i="33" a="1"/>
  <c r="U397" i="33"/>
  <c r="V397" i="33" a="1"/>
  <c r="V397" i="33" s="1"/>
  <c r="W397" i="33" a="1"/>
  <c r="W397" i="33" s="1"/>
  <c r="U398" i="33" a="1"/>
  <c r="U398" i="33"/>
  <c r="V398" i="33" a="1"/>
  <c r="V398" i="33" s="1"/>
  <c r="W398" i="33" a="1"/>
  <c r="W398" i="33"/>
  <c r="U399" i="33" a="1"/>
  <c r="U399" i="33" s="1"/>
  <c r="V399" i="33" a="1"/>
  <c r="V399" i="33"/>
  <c r="W399" i="33" a="1"/>
  <c r="W399" i="33" s="1"/>
  <c r="U400" i="33" a="1"/>
  <c r="U400" i="33" s="1"/>
  <c r="V400" i="33" a="1"/>
  <c r="V400" i="33" s="1"/>
  <c r="W400" i="33" a="1"/>
  <c r="W400" i="33" s="1"/>
  <c r="U401" i="33" a="1"/>
  <c r="U401" i="33" s="1"/>
  <c r="V401" i="33" a="1"/>
  <c r="V401" i="33" s="1"/>
  <c r="W401" i="33" a="1"/>
  <c r="W401" i="33" s="1"/>
  <c r="U402" i="33" a="1"/>
  <c r="U402" i="33" s="1"/>
  <c r="V402" i="33" a="1"/>
  <c r="V402" i="33"/>
  <c r="W402" i="33" a="1"/>
  <c r="W402" i="33" s="1"/>
  <c r="U403" i="33" a="1"/>
  <c r="U403" i="33" s="1"/>
  <c r="V403" i="33" a="1"/>
  <c r="V403" i="33"/>
  <c r="W403" i="33" a="1"/>
  <c r="W403" i="33" s="1"/>
  <c r="U404" i="33" a="1"/>
  <c r="U404" i="33"/>
  <c r="V404" i="33" a="1"/>
  <c r="V404" i="33" s="1"/>
  <c r="W404" i="33" a="1"/>
  <c r="W404" i="33" s="1"/>
  <c r="U405" i="33" a="1"/>
  <c r="U405" i="33" s="1"/>
  <c r="V405" i="33" a="1"/>
  <c r="V405" i="33" s="1"/>
  <c r="W405" i="33" a="1"/>
  <c r="W405" i="33" s="1"/>
  <c r="U406" i="33" a="1"/>
  <c r="U406" i="33" s="1"/>
  <c r="V406" i="33" a="1"/>
  <c r="V406" i="33" s="1"/>
  <c r="W406" i="33" a="1"/>
  <c r="W406" i="33" s="1"/>
  <c r="U407" i="33" a="1"/>
  <c r="U407" i="33" s="1"/>
  <c r="V407" i="33" a="1"/>
  <c r="V407" i="33" s="1"/>
  <c r="W407" i="33" a="1"/>
  <c r="W407" i="33"/>
  <c r="W356" i="33" a="1"/>
  <c r="W356" i="33"/>
  <c r="V356" i="33" a="1"/>
  <c r="V356" i="33"/>
  <c r="U356" i="33" a="1"/>
  <c r="U356" i="33" s="1"/>
  <c r="Z361" i="33"/>
  <c r="AA361" i="33"/>
  <c r="Z362" i="33"/>
  <c r="AA362" i="33"/>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366" i="6"/>
  <c r="C366" i="6"/>
  <c r="D366" i="6"/>
  <c r="B367" i="6"/>
  <c r="C367" i="6"/>
  <c r="D367" i="6"/>
  <c r="B368" i="6"/>
  <c r="C368" i="6"/>
  <c r="D368" i="6"/>
  <c r="B369" i="6"/>
  <c r="C369" i="6"/>
  <c r="D369" i="6"/>
  <c r="B370" i="6"/>
  <c r="C370" i="6"/>
  <c r="D370" i="6"/>
  <c r="B371" i="6"/>
  <c r="C371" i="6"/>
  <c r="D371" i="6"/>
  <c r="B372" i="6"/>
  <c r="C372" i="6"/>
  <c r="D372" i="6"/>
  <c r="B373" i="6"/>
  <c r="C373" i="6"/>
  <c r="D373" i="6"/>
  <c r="B374" i="6"/>
  <c r="C374" i="6"/>
  <c r="D374" i="6"/>
  <c r="B375" i="6"/>
  <c r="C375" i="6"/>
  <c r="D375" i="6"/>
  <c r="B376" i="6"/>
  <c r="C376" i="6"/>
  <c r="D376" i="6"/>
  <c r="B377" i="6"/>
  <c r="C377" i="6"/>
  <c r="D377" i="6"/>
  <c r="B378" i="6"/>
  <c r="C378" i="6"/>
  <c r="D378" i="6"/>
  <c r="B379" i="6"/>
  <c r="C379" i="6"/>
  <c r="D379" i="6"/>
  <c r="B380" i="6"/>
  <c r="C380" i="6"/>
  <c r="D380" i="6"/>
  <c r="B381" i="6"/>
  <c r="C381" i="6"/>
  <c r="D381" i="6"/>
  <c r="B382" i="6"/>
  <c r="C382" i="6"/>
  <c r="D382" i="6"/>
  <c r="B383" i="6"/>
  <c r="C383" i="6"/>
  <c r="D383" i="6"/>
  <c r="B384" i="6"/>
  <c r="C384" i="6"/>
  <c r="D384" i="6"/>
  <c r="B385" i="6"/>
  <c r="C385" i="6"/>
  <c r="D385" i="6"/>
  <c r="B386" i="6"/>
  <c r="C386" i="6"/>
  <c r="D386" i="6"/>
  <c r="B387" i="6"/>
  <c r="C387" i="6"/>
  <c r="D387" i="6"/>
  <c r="B388" i="6"/>
  <c r="C388" i="6"/>
  <c r="D388" i="6"/>
  <c r="B389" i="6"/>
  <c r="C389" i="6"/>
  <c r="D389" i="6"/>
  <c r="B390" i="6"/>
  <c r="C390" i="6"/>
  <c r="D390" i="6"/>
  <c r="B391" i="6"/>
  <c r="C391" i="6"/>
  <c r="D391" i="6"/>
  <c r="B392" i="6"/>
  <c r="C392" i="6"/>
  <c r="D392" i="6"/>
  <c r="B393" i="6"/>
  <c r="C393" i="6"/>
  <c r="D393" i="6"/>
  <c r="B394" i="6"/>
  <c r="C394" i="6"/>
  <c r="D394" i="6"/>
  <c r="B395" i="6"/>
  <c r="C395" i="6"/>
  <c r="D395" i="6"/>
  <c r="B396" i="6"/>
  <c r="C396" i="6"/>
  <c r="D396" i="6"/>
  <c r="B397" i="6"/>
  <c r="C397" i="6"/>
  <c r="D397" i="6"/>
  <c r="B398" i="6"/>
  <c r="C398" i="6"/>
  <c r="D398" i="6"/>
  <c r="B399" i="6"/>
  <c r="C399" i="6"/>
  <c r="D399" i="6"/>
  <c r="B400" i="6"/>
  <c r="C400" i="6"/>
  <c r="D400" i="6"/>
  <c r="B401" i="6"/>
  <c r="C401" i="6"/>
  <c r="D401" i="6"/>
  <c r="B402" i="6"/>
  <c r="C402" i="6"/>
  <c r="D402" i="6"/>
  <c r="B403" i="6"/>
  <c r="C403" i="6"/>
  <c r="D403" i="6"/>
  <c r="B404" i="6"/>
  <c r="C404" i="6"/>
  <c r="D404" i="6"/>
  <c r="B405" i="6"/>
  <c r="C405" i="6"/>
  <c r="D405" i="6"/>
  <c r="B406" i="6"/>
  <c r="C406" i="6"/>
  <c r="D406" i="6"/>
  <c r="B407" i="6"/>
  <c r="C407" i="6"/>
  <c r="D407" i="6"/>
  <c r="B408" i="6"/>
  <c r="C408" i="6"/>
  <c r="D408" i="6"/>
  <c r="B409" i="6"/>
  <c r="C409" i="6"/>
  <c r="D409" i="6"/>
  <c r="B410" i="6"/>
  <c r="C410" i="6"/>
  <c r="D410" i="6"/>
  <c r="B411" i="6"/>
  <c r="C411" i="6"/>
  <c r="D411" i="6"/>
  <c r="B412" i="6"/>
  <c r="C412" i="6"/>
  <c r="D412" i="6"/>
  <c r="B413" i="6"/>
  <c r="C413" i="6"/>
  <c r="D413" i="6"/>
  <c r="B414" i="6"/>
  <c r="C414" i="6"/>
  <c r="D414" i="6"/>
  <c r="B415" i="6"/>
  <c r="C415" i="6"/>
  <c r="D415" i="6"/>
  <c r="B416" i="6"/>
  <c r="C416" i="6"/>
  <c r="D416" i="6"/>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Z357" i="33"/>
  <c r="AA357" i="33"/>
  <c r="Z358" i="33"/>
  <c r="AA358" i="33"/>
  <c r="Z359" i="33"/>
  <c r="AA359" i="33"/>
  <c r="Z360" i="33"/>
  <c r="AA360" i="33"/>
  <c r="Z363" i="33"/>
  <c r="AA363" i="33"/>
  <c r="Z364" i="33"/>
  <c r="AA364" i="33"/>
  <c r="Z365" i="33"/>
  <c r="AA365" i="33"/>
  <c r="Z366" i="33"/>
  <c r="AA366" i="33"/>
  <c r="Z367" i="33"/>
  <c r="AA367" i="33"/>
  <c r="Z368" i="33"/>
  <c r="AA368" i="33"/>
  <c r="Z369" i="33"/>
  <c r="AA369" i="33"/>
  <c r="Z370" i="33"/>
  <c r="AA370" i="33"/>
  <c r="Z371" i="33"/>
  <c r="AA371" i="33"/>
  <c r="Z372" i="33"/>
  <c r="AA372" i="33"/>
  <c r="Z373" i="33"/>
  <c r="AA373" i="33"/>
  <c r="Z374" i="33"/>
  <c r="AA374" i="33"/>
  <c r="Z375" i="33"/>
  <c r="AA375" i="33"/>
  <c r="Z376" i="33"/>
  <c r="AA376" i="33"/>
  <c r="Z377" i="33"/>
  <c r="AA377" i="33"/>
  <c r="Z378" i="33"/>
  <c r="AA378" i="33"/>
  <c r="Z379" i="33"/>
  <c r="AA379" i="33"/>
  <c r="Z380" i="33"/>
  <c r="AA380" i="33"/>
  <c r="Z381" i="33"/>
  <c r="AA381" i="33"/>
  <c r="Z382" i="33"/>
  <c r="AA382" i="33"/>
  <c r="Z383" i="33"/>
  <c r="AA383" i="33"/>
  <c r="Z384" i="33"/>
  <c r="AA384" i="33"/>
  <c r="Z385" i="33"/>
  <c r="AA385" i="33"/>
  <c r="Z386" i="33"/>
  <c r="AA386" i="33"/>
  <c r="Z387" i="33"/>
  <c r="AA387" i="33"/>
  <c r="Z388" i="33"/>
  <c r="AA388" i="33"/>
  <c r="Z389" i="33"/>
  <c r="AA389" i="33"/>
  <c r="Z390" i="33"/>
  <c r="AA390" i="33"/>
  <c r="Z391" i="33"/>
  <c r="AA391" i="33"/>
  <c r="Z392" i="33"/>
  <c r="AA392" i="33"/>
  <c r="Z393" i="33"/>
  <c r="AA393" i="33"/>
  <c r="Z394" i="33"/>
  <c r="AA394" i="33"/>
  <c r="Z395" i="33"/>
  <c r="AA395" i="33"/>
  <c r="Z396" i="33"/>
  <c r="AA396" i="33"/>
  <c r="Z397" i="33"/>
  <c r="AA397" i="33"/>
  <c r="Z398" i="33"/>
  <c r="AA398" i="33"/>
  <c r="Z399" i="33"/>
  <c r="AA399" i="33"/>
  <c r="Z400" i="33"/>
  <c r="AA400" i="33"/>
  <c r="Z401" i="33"/>
  <c r="AA401" i="33"/>
  <c r="Z402" i="33"/>
  <c r="AA402" i="33"/>
  <c r="Z403" i="33"/>
  <c r="AA403" i="33"/>
  <c r="Z404" i="33"/>
  <c r="AA404" i="33"/>
  <c r="Z405" i="33"/>
  <c r="AA405" i="33"/>
  <c r="Z406" i="33"/>
  <c r="AA406" i="33"/>
  <c r="Z407" i="33"/>
  <c r="AA407" i="33"/>
  <c r="A412" i="6"/>
  <c r="A413" i="6"/>
  <c r="A414" i="6"/>
  <c r="A415" i="6"/>
  <c r="A416" i="6"/>
  <c r="A366" i="6"/>
  <c r="A367" i="6"/>
  <c r="A368" i="6"/>
  <c r="A369" i="6"/>
  <c r="A370" i="6"/>
  <c r="A371" i="6"/>
  <c r="A372" i="6"/>
  <c r="A373" i="6"/>
  <c r="A374" i="6"/>
  <c r="A375" i="6"/>
  <c r="A376" i="6"/>
  <c r="A377" i="6"/>
  <c r="A378" i="6"/>
  <c r="A379" i="6"/>
  <c r="A380" i="6"/>
  <c r="A381" i="6"/>
  <c r="A382" i="6"/>
  <c r="A383" i="6"/>
  <c r="A384" i="6"/>
  <c r="A385" i="6"/>
  <c r="A386" i="6"/>
  <c r="A387" i="6"/>
  <c r="A388" i="6"/>
  <c r="A389" i="6"/>
  <c r="A390" i="6"/>
  <c r="A391" i="6"/>
  <c r="A392" i="6"/>
  <c r="A393" i="6"/>
  <c r="A394" i="6"/>
  <c r="A395" i="6"/>
  <c r="A396" i="6"/>
  <c r="A397" i="6"/>
  <c r="A398" i="6"/>
  <c r="A399" i="6"/>
  <c r="A400" i="6"/>
  <c r="A401" i="6"/>
  <c r="A402" i="6"/>
  <c r="A403" i="6"/>
  <c r="A404" i="6"/>
  <c r="A405" i="6"/>
  <c r="A406" i="6"/>
  <c r="A407" i="6"/>
  <c r="A408" i="6"/>
  <c r="A409" i="6"/>
  <c r="A410" i="6"/>
  <c r="A411" i="6"/>
  <c r="Z356" i="33"/>
  <c r="B366" i="2"/>
  <c r="C366" i="2"/>
  <c r="E366" i="2"/>
  <c r="G366" i="2"/>
  <c r="H366" i="2"/>
  <c r="I366" i="2"/>
  <c r="Z366"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B347" i="6"/>
  <c r="C347" i="6"/>
  <c r="D347" i="6"/>
  <c r="B348" i="6"/>
  <c r="C348" i="6"/>
  <c r="D348" i="6"/>
  <c r="B349" i="6"/>
  <c r="C349" i="6"/>
  <c r="D349" i="6"/>
  <c r="B350" i="6"/>
  <c r="C350" i="6"/>
  <c r="D350" i="6"/>
  <c r="B351" i="6"/>
  <c r="C351" i="6"/>
  <c r="D351" i="6"/>
  <c r="B352" i="6"/>
  <c r="C352" i="6"/>
  <c r="D352" i="6"/>
  <c r="B353" i="6"/>
  <c r="C353" i="6"/>
  <c r="D353" i="6"/>
  <c r="B354" i="6"/>
  <c r="C354" i="6"/>
  <c r="D354" i="6"/>
  <c r="B355" i="6"/>
  <c r="C355" i="6"/>
  <c r="D355" i="6"/>
  <c r="B356" i="6"/>
  <c r="C356" i="6"/>
  <c r="D356" i="6"/>
  <c r="B357" i="6"/>
  <c r="C357" i="6"/>
  <c r="D357" i="6"/>
  <c r="B358" i="6"/>
  <c r="C358" i="6"/>
  <c r="D358" i="6"/>
  <c r="B359" i="6"/>
  <c r="C359" i="6"/>
  <c r="D359" i="6"/>
  <c r="B360" i="6"/>
  <c r="C360" i="6"/>
  <c r="D360" i="6"/>
  <c r="B361" i="6"/>
  <c r="C361" i="6"/>
  <c r="D361" i="6"/>
  <c r="B362" i="6"/>
  <c r="C362" i="6"/>
  <c r="D362" i="6"/>
  <c r="A347" i="6"/>
  <c r="AB343" i="33"/>
  <c r="Z329" i="33"/>
  <c r="AA329" i="33"/>
  <c r="Z330" i="33"/>
  <c r="AA330" i="33"/>
  <c r="Z331" i="33"/>
  <c r="AA331" i="33"/>
  <c r="Z332" i="33"/>
  <c r="AA332" i="33"/>
  <c r="Z333" i="33"/>
  <c r="AA333" i="33"/>
  <c r="Z334" i="33"/>
  <c r="AA334" i="33"/>
  <c r="Z335" i="33"/>
  <c r="AA335" i="33"/>
  <c r="Z336" i="33"/>
  <c r="AA336" i="33"/>
  <c r="Z337" i="33"/>
  <c r="AA337" i="33"/>
  <c r="Z338" i="33"/>
  <c r="AA338" i="33"/>
  <c r="Z339" i="33"/>
  <c r="AA339" i="33"/>
  <c r="Z340" i="33"/>
  <c r="AA340" i="33"/>
  <c r="Z341" i="33"/>
  <c r="AA341" i="33"/>
  <c r="Z342" i="33"/>
  <c r="AA342" i="33"/>
  <c r="Z343" i="33"/>
  <c r="AA343" i="33"/>
  <c r="Z344" i="33"/>
  <c r="AA344" i="33"/>
  <c r="Z345" i="33"/>
  <c r="AA345" i="33"/>
  <c r="Z346" i="33"/>
  <c r="AA346" i="33"/>
  <c r="Z347" i="33"/>
  <c r="AA347" i="33"/>
  <c r="Z348" i="33"/>
  <c r="AA348" i="33"/>
  <c r="Z349" i="33"/>
  <c r="AA349" i="33"/>
  <c r="Z350" i="33"/>
  <c r="AA350" i="33"/>
  <c r="Z351" i="33"/>
  <c r="AA351" i="33"/>
  <c r="Z352" i="33"/>
  <c r="AA352" i="33"/>
  <c r="Z353" i="33"/>
  <c r="AA353" i="33"/>
  <c r="U329" i="33" a="1"/>
  <c r="U329" i="33" s="1"/>
  <c r="V329" i="33" a="1"/>
  <c r="V329" i="33"/>
  <c r="W329" i="33" a="1"/>
  <c r="W329" i="33" s="1"/>
  <c r="U330" i="33" a="1"/>
  <c r="U330" i="33" s="1"/>
  <c r="V330" i="33" a="1"/>
  <c r="V330" i="33" s="1"/>
  <c r="W330" i="33" a="1"/>
  <c r="W330" i="33" s="1"/>
  <c r="U331" i="33" a="1"/>
  <c r="U331" i="33" s="1"/>
  <c r="V331" i="33" a="1"/>
  <c r="V331" i="33" s="1"/>
  <c r="W331" i="33" a="1"/>
  <c r="W331" i="33" s="1"/>
  <c r="U332" i="33" a="1"/>
  <c r="U332" i="33"/>
  <c r="V332" i="33" a="1"/>
  <c r="V332" i="33"/>
  <c r="W332" i="33" a="1"/>
  <c r="W332" i="33"/>
  <c r="X332" i="33"/>
  <c r="U333" i="33" a="1"/>
  <c r="U333" i="33" s="1"/>
  <c r="V333" i="33" a="1"/>
  <c r="V333" i="33" s="1"/>
  <c r="W333" i="33" a="1"/>
  <c r="W333" i="33" s="1"/>
  <c r="U334" i="33" a="1"/>
  <c r="U334" i="33" s="1"/>
  <c r="V334" i="33" a="1"/>
  <c r="V334" i="33" s="1"/>
  <c r="W334" i="33" a="1"/>
  <c r="W334" i="33"/>
  <c r="U335" i="33" a="1"/>
  <c r="U335" i="33"/>
  <c r="V335" i="33" a="1"/>
  <c r="V335" i="33"/>
  <c r="W335" i="33" a="1"/>
  <c r="W335" i="33" s="1"/>
  <c r="X335" i="33" s="1"/>
  <c r="U336" i="33" a="1"/>
  <c r="U336" i="33" s="1"/>
  <c r="V336" i="33" a="1"/>
  <c r="V336" i="33" s="1"/>
  <c r="W336" i="33" a="1"/>
  <c r="W336" i="33"/>
  <c r="U337" i="33" a="1"/>
  <c r="U337" i="33"/>
  <c r="V337" i="33" a="1"/>
  <c r="V337" i="33" s="1"/>
  <c r="W337" i="33" a="1"/>
  <c r="W337" i="33" s="1"/>
  <c r="U338" i="33" a="1"/>
  <c r="U338" i="33" s="1"/>
  <c r="V338" i="33" a="1"/>
  <c r="V338" i="33"/>
  <c r="W338" i="33" a="1"/>
  <c r="W338" i="33"/>
  <c r="X338" i="33"/>
  <c r="U339" i="33" a="1"/>
  <c r="U339" i="33"/>
  <c r="V339" i="33" a="1"/>
  <c r="V339" i="33" s="1"/>
  <c r="W339" i="33" a="1"/>
  <c r="W339" i="33"/>
  <c r="U340" i="33" a="1"/>
  <c r="U340" i="33" s="1"/>
  <c r="V340" i="33" a="1"/>
  <c r="V340" i="33" s="1"/>
  <c r="W340" i="33" a="1"/>
  <c r="W340" i="33" s="1"/>
  <c r="U341" i="33" a="1"/>
  <c r="U341" i="33"/>
  <c r="V341" i="33" a="1"/>
  <c r="V341" i="33"/>
  <c r="W341" i="33" a="1"/>
  <c r="W341" i="33"/>
  <c r="X341" i="33"/>
  <c r="U342" i="33" a="1"/>
  <c r="U342" i="33"/>
  <c r="V342" i="33" a="1"/>
  <c r="V342" i="33" s="1"/>
  <c r="W342" i="33" a="1"/>
  <c r="W342" i="33" s="1"/>
  <c r="U343" i="33" a="1"/>
  <c r="U343" i="33"/>
  <c r="V343" i="33" a="1"/>
  <c r="V343" i="33"/>
  <c r="W343" i="33" a="1"/>
  <c r="W343" i="33" s="1"/>
  <c r="U344" i="33" a="1"/>
  <c r="U344" i="33" s="1"/>
  <c r="V344" i="33" a="1"/>
  <c r="V344" i="33" s="1"/>
  <c r="W344" i="33" a="1"/>
  <c r="W344" i="33" s="1"/>
  <c r="U345" i="33" a="1"/>
  <c r="U345" i="33" s="1"/>
  <c r="V345" i="33" a="1"/>
  <c r="V345" i="33" s="1"/>
  <c r="W345" i="33" a="1"/>
  <c r="W345" i="33"/>
  <c r="U346" i="33" a="1"/>
  <c r="U346" i="33"/>
  <c r="V346" i="33" a="1"/>
  <c r="V346" i="33"/>
  <c r="W346" i="33" a="1"/>
  <c r="W346" i="33"/>
  <c r="U347" i="33" a="1"/>
  <c r="U347" i="33"/>
  <c r="V347" i="33" a="1"/>
  <c r="V347" i="33" s="1"/>
  <c r="W347" i="33" a="1"/>
  <c r="W347" i="33" s="1"/>
  <c r="U348" i="33" a="1"/>
  <c r="U348" i="33" s="1"/>
  <c r="V348" i="33" a="1"/>
  <c r="V348" i="33"/>
  <c r="W348" i="33" a="1"/>
  <c r="W348" i="33"/>
  <c r="X348" i="33"/>
  <c r="U349" i="33" a="1"/>
  <c r="U349" i="33" s="1"/>
  <c r="V349" i="33" a="1"/>
  <c r="V349" i="33" s="1"/>
  <c r="W349" i="33" a="1"/>
  <c r="W349" i="33" s="1"/>
  <c r="U350" i="33" a="1"/>
  <c r="U350" i="33" s="1"/>
  <c r="V350" i="33" a="1"/>
  <c r="V350" i="33"/>
  <c r="W350" i="33" a="1"/>
  <c r="W350" i="33" s="1"/>
  <c r="U351" i="33" a="1"/>
  <c r="U351" i="33"/>
  <c r="V351" i="33" a="1"/>
  <c r="V351" i="33" s="1"/>
  <c r="W351" i="33" a="1"/>
  <c r="W351" i="33" s="1"/>
  <c r="U352" i="33" a="1"/>
  <c r="U352" i="33"/>
  <c r="V352" i="33" a="1"/>
  <c r="V352" i="33"/>
  <c r="W352" i="33" a="1"/>
  <c r="W352" i="33" s="1"/>
  <c r="U353" i="33" a="1"/>
  <c r="U353" i="33" s="1"/>
  <c r="V353" i="33" a="1"/>
  <c r="V353" i="33"/>
  <c r="W353" i="33" a="1"/>
  <c r="W353" i="33"/>
  <c r="E3" i="14"/>
  <c r="E4" i="14"/>
  <c r="E5" i="14"/>
  <c r="E6" i="14"/>
  <c r="E7" i="14"/>
  <c r="E8" i="14"/>
  <c r="E9" i="14"/>
  <c r="E10" i="14"/>
  <c r="E11" i="14"/>
  <c r="E12" i="14"/>
  <c r="E13" i="14"/>
  <c r="E14" i="14"/>
  <c r="E15" i="14"/>
  <c r="E16" i="14"/>
  <c r="E17" i="14"/>
  <c r="E18" i="14"/>
  <c r="E19" i="14"/>
  <c r="E20" i="14"/>
  <c r="E21" i="14"/>
  <c r="E22" i="14"/>
  <c r="E23" i="14"/>
  <c r="E24" i="14"/>
  <c r="E25" i="14"/>
  <c r="E26" i="14"/>
  <c r="E27" i="14"/>
  <c r="E28" i="14"/>
  <c r="E2" i="14"/>
  <c r="E3" i="15"/>
  <c r="E4" i="15"/>
  <c r="E5" i="15"/>
  <c r="E6" i="15"/>
  <c r="E7" i="15"/>
  <c r="E8" i="15"/>
  <c r="E9" i="15"/>
  <c r="E10" i="15"/>
  <c r="E11" i="15"/>
  <c r="E12" i="15"/>
  <c r="E13" i="15"/>
  <c r="E14" i="15"/>
  <c r="E15" i="15"/>
  <c r="E16" i="15"/>
  <c r="E17" i="15"/>
  <c r="E18" i="15"/>
  <c r="E19" i="15"/>
  <c r="E2" i="15"/>
  <c r="Y14" i="14"/>
  <c r="N16" i="14"/>
  <c r="O16" i="14"/>
  <c r="P16" i="14"/>
  <c r="Q16" i="14"/>
  <c r="R16" i="14"/>
  <c r="S16" i="14"/>
  <c r="N17" i="14"/>
  <c r="O17" i="14"/>
  <c r="P17" i="14"/>
  <c r="Q17" i="14"/>
  <c r="R17" i="14"/>
  <c r="S17" i="14"/>
  <c r="N18" i="14"/>
  <c r="O18" i="14"/>
  <c r="P18" i="14"/>
  <c r="Q18" i="14"/>
  <c r="R18" i="14"/>
  <c r="S18" i="14"/>
  <c r="N19" i="14"/>
  <c r="O19" i="14"/>
  <c r="P19" i="14"/>
  <c r="Q19" i="14"/>
  <c r="R19" i="14"/>
  <c r="S19" i="14"/>
  <c r="N20" i="14"/>
  <c r="O20" i="14"/>
  <c r="P20" i="14"/>
  <c r="Q20" i="14"/>
  <c r="R20" i="14"/>
  <c r="S20" i="14"/>
  <c r="N21" i="14"/>
  <c r="O21" i="14"/>
  <c r="P21" i="14"/>
  <c r="Q21" i="14"/>
  <c r="R21" i="14"/>
  <c r="S21" i="14"/>
  <c r="N22" i="14"/>
  <c r="O22" i="14"/>
  <c r="P22" i="14"/>
  <c r="Q22" i="14"/>
  <c r="R22" i="14"/>
  <c r="S22" i="14"/>
  <c r="N23" i="14"/>
  <c r="O23" i="14"/>
  <c r="P23" i="14"/>
  <c r="Q23" i="14"/>
  <c r="R23" i="14"/>
  <c r="S23" i="14"/>
  <c r="N24" i="14"/>
  <c r="O24" i="14"/>
  <c r="P24" i="14"/>
  <c r="Q24" i="14"/>
  <c r="R24" i="14"/>
  <c r="S24" i="14"/>
  <c r="N25" i="14"/>
  <c r="O25" i="14"/>
  <c r="P25" i="14"/>
  <c r="Q25" i="14"/>
  <c r="R25" i="14"/>
  <c r="S25" i="14"/>
  <c r="N26" i="14"/>
  <c r="O26" i="14"/>
  <c r="P26" i="14"/>
  <c r="Q26" i="14"/>
  <c r="R26" i="14"/>
  <c r="S26" i="14"/>
  <c r="N27" i="14"/>
  <c r="O27" i="14"/>
  <c r="P27" i="14"/>
  <c r="Q27" i="14"/>
  <c r="R27" i="14"/>
  <c r="S27" i="14"/>
  <c r="N28" i="14"/>
  <c r="O28" i="14"/>
  <c r="P28" i="14"/>
  <c r="Q28" i="14"/>
  <c r="R28" i="14"/>
  <c r="S28" i="14"/>
  <c r="B327" i="6"/>
  <c r="C327" i="6"/>
  <c r="D327"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S3" i="14"/>
  <c r="S4" i="14"/>
  <c r="S5" i="14"/>
  <c r="S6" i="14"/>
  <c r="S7" i="14"/>
  <c r="S8" i="14"/>
  <c r="S9" i="14"/>
  <c r="S10" i="14"/>
  <c r="S11" i="14"/>
  <c r="S12" i="14"/>
  <c r="S13" i="14"/>
  <c r="S15" i="14"/>
  <c r="S2" i="14"/>
  <c r="K3" i="14"/>
  <c r="K4" i="14"/>
  <c r="K5" i="14"/>
  <c r="K6" i="14"/>
  <c r="K7" i="14"/>
  <c r="K8" i="14"/>
  <c r="K9" i="14"/>
  <c r="K10" i="14"/>
  <c r="K11" i="14"/>
  <c r="K12" i="14"/>
  <c r="K13" i="14"/>
  <c r="K14" i="14"/>
  <c r="K15" i="14"/>
  <c r="K16" i="14"/>
  <c r="K17" i="14"/>
  <c r="K18" i="14"/>
  <c r="K19" i="14"/>
  <c r="K20" i="14"/>
  <c r="K21" i="14"/>
  <c r="K22" i="14"/>
  <c r="K23" i="14"/>
  <c r="K24" i="14"/>
  <c r="K25" i="14"/>
  <c r="K26" i="14"/>
  <c r="K27" i="14"/>
  <c r="K28" i="14"/>
  <c r="B3" i="14"/>
  <c r="C3" i="14"/>
  <c r="D3" i="14"/>
  <c r="F3" i="14"/>
  <c r="G3" i="14"/>
  <c r="B4" i="14"/>
  <c r="C4" i="14"/>
  <c r="D4" i="14"/>
  <c r="F4" i="14"/>
  <c r="G4" i="14"/>
  <c r="B5" i="14"/>
  <c r="C5" i="14"/>
  <c r="D5" i="14"/>
  <c r="F5" i="14"/>
  <c r="G5" i="14"/>
  <c r="B6" i="14"/>
  <c r="C6" i="14"/>
  <c r="D6" i="14"/>
  <c r="F6" i="14"/>
  <c r="G6" i="14"/>
  <c r="B7" i="14"/>
  <c r="C7" i="14"/>
  <c r="D7" i="14"/>
  <c r="F7" i="14"/>
  <c r="G7" i="14"/>
  <c r="B8" i="14"/>
  <c r="C8" i="14"/>
  <c r="D8" i="14"/>
  <c r="F8" i="14"/>
  <c r="G8" i="14"/>
  <c r="B9" i="14"/>
  <c r="C9" i="14"/>
  <c r="D9" i="14"/>
  <c r="F9" i="14"/>
  <c r="G9" i="14"/>
  <c r="B10" i="14"/>
  <c r="C10" i="14"/>
  <c r="D10" i="14"/>
  <c r="F10" i="14"/>
  <c r="G10" i="14"/>
  <c r="B11" i="14"/>
  <c r="C11" i="14"/>
  <c r="D11" i="14"/>
  <c r="F11" i="14"/>
  <c r="G11" i="14"/>
  <c r="B12" i="14"/>
  <c r="C12" i="14"/>
  <c r="D12" i="14"/>
  <c r="F12" i="14"/>
  <c r="G12" i="14"/>
  <c r="B13" i="14"/>
  <c r="C13" i="14"/>
  <c r="D13" i="14"/>
  <c r="F13" i="14"/>
  <c r="G13" i="14"/>
  <c r="B14" i="14"/>
  <c r="C14" i="14"/>
  <c r="D14" i="14"/>
  <c r="F14" i="14"/>
  <c r="G14" i="14"/>
  <c r="B15" i="14"/>
  <c r="C15" i="14"/>
  <c r="D15" i="14"/>
  <c r="F15" i="14"/>
  <c r="G15" i="14"/>
  <c r="B16" i="14"/>
  <c r="C16" i="14"/>
  <c r="D16" i="14"/>
  <c r="F16" i="14"/>
  <c r="G16" i="14"/>
  <c r="B17" i="14"/>
  <c r="C17" i="14"/>
  <c r="D17" i="14"/>
  <c r="F17" i="14"/>
  <c r="G17" i="14"/>
  <c r="B18" i="14"/>
  <c r="C18" i="14"/>
  <c r="D18" i="14"/>
  <c r="F18" i="14"/>
  <c r="G18" i="14"/>
  <c r="B19" i="14"/>
  <c r="C19" i="14"/>
  <c r="D19" i="14"/>
  <c r="F19" i="14"/>
  <c r="G19" i="14"/>
  <c r="B20" i="14"/>
  <c r="C20" i="14"/>
  <c r="D20" i="14"/>
  <c r="F20" i="14"/>
  <c r="G20" i="14"/>
  <c r="B21" i="14"/>
  <c r="C21" i="14"/>
  <c r="D21" i="14"/>
  <c r="F21" i="14"/>
  <c r="G21" i="14"/>
  <c r="B22" i="14"/>
  <c r="C22" i="14"/>
  <c r="D22" i="14"/>
  <c r="F22" i="14"/>
  <c r="G22" i="14"/>
  <c r="B23" i="14"/>
  <c r="C23" i="14"/>
  <c r="D23" i="14"/>
  <c r="F23" i="14"/>
  <c r="G23" i="14"/>
  <c r="B24" i="14"/>
  <c r="C24" i="14"/>
  <c r="D24" i="14"/>
  <c r="F24" i="14"/>
  <c r="G24" i="14"/>
  <c r="B25" i="14"/>
  <c r="C25" i="14"/>
  <c r="D25" i="14"/>
  <c r="F25" i="14"/>
  <c r="G25" i="14"/>
  <c r="B26" i="14"/>
  <c r="C26" i="14"/>
  <c r="D26" i="14"/>
  <c r="F26" i="14"/>
  <c r="G26" i="14"/>
  <c r="B27" i="14"/>
  <c r="C27" i="14"/>
  <c r="D27" i="14"/>
  <c r="F27" i="14"/>
  <c r="G27" i="14"/>
  <c r="B28" i="14"/>
  <c r="C28" i="14"/>
  <c r="D28" i="14"/>
  <c r="F28" i="14"/>
  <c r="G28" i="14"/>
  <c r="A3" i="14"/>
  <c r="A4" i="14"/>
  <c r="A5" i="14"/>
  <c r="A6" i="14"/>
  <c r="A7" i="14"/>
  <c r="A8" i="14"/>
  <c r="A9" i="14"/>
  <c r="A10" i="14"/>
  <c r="A11" i="14"/>
  <c r="A12" i="14"/>
  <c r="A13" i="14"/>
  <c r="A14" i="14"/>
  <c r="A15" i="14"/>
  <c r="A16" i="14"/>
  <c r="A17" i="14"/>
  <c r="A18" i="14"/>
  <c r="A19" i="14"/>
  <c r="A20" i="14"/>
  <c r="A21" i="14"/>
  <c r="AG21" i="14" s="1" a="1"/>
  <c r="AG21" i="14" s="1"/>
  <c r="A22" i="14"/>
  <c r="A23" i="14"/>
  <c r="A24" i="14"/>
  <c r="A25" i="14"/>
  <c r="A26" i="14"/>
  <c r="A27" i="14"/>
  <c r="A28" i="14"/>
  <c r="F2" i="15"/>
  <c r="G2" i="15"/>
  <c r="H2" i="15"/>
  <c r="L2" i="15"/>
  <c r="O2" i="15"/>
  <c r="P2" i="15"/>
  <c r="Q2" i="15"/>
  <c r="R2" i="15"/>
  <c r="S2" i="15"/>
  <c r="F3" i="15"/>
  <c r="G3" i="15"/>
  <c r="H3" i="15"/>
  <c r="L3" i="15"/>
  <c r="O3" i="15"/>
  <c r="P3" i="15"/>
  <c r="Q3" i="15"/>
  <c r="R3" i="15"/>
  <c r="S3" i="15"/>
  <c r="F4" i="15"/>
  <c r="G4" i="15"/>
  <c r="H4" i="15"/>
  <c r="L4" i="15"/>
  <c r="O4" i="15"/>
  <c r="P4" i="15"/>
  <c r="Q4" i="15"/>
  <c r="R4" i="15"/>
  <c r="S4" i="15"/>
  <c r="F5" i="15"/>
  <c r="G5" i="15"/>
  <c r="H5" i="15"/>
  <c r="L5" i="15"/>
  <c r="O5" i="15"/>
  <c r="P5" i="15"/>
  <c r="Q5" i="15"/>
  <c r="R5" i="15"/>
  <c r="S5" i="15"/>
  <c r="F6" i="15"/>
  <c r="G6" i="15"/>
  <c r="H6" i="15"/>
  <c r="L6" i="15"/>
  <c r="O6" i="15"/>
  <c r="P6" i="15"/>
  <c r="Q6" i="15"/>
  <c r="R6" i="15"/>
  <c r="S6" i="15"/>
  <c r="F7" i="15"/>
  <c r="G7" i="15"/>
  <c r="H7" i="15"/>
  <c r="L7" i="15"/>
  <c r="O7" i="15"/>
  <c r="P7" i="15"/>
  <c r="Q7" i="15"/>
  <c r="R7" i="15"/>
  <c r="S7" i="15"/>
  <c r="F8" i="15"/>
  <c r="G8" i="15"/>
  <c r="H8" i="15"/>
  <c r="L8" i="15"/>
  <c r="O8" i="15"/>
  <c r="P8" i="15"/>
  <c r="Q8" i="15"/>
  <c r="R8" i="15"/>
  <c r="S8" i="15"/>
  <c r="F9" i="15"/>
  <c r="G9" i="15"/>
  <c r="H9" i="15"/>
  <c r="L9" i="15"/>
  <c r="O9" i="15"/>
  <c r="P9" i="15"/>
  <c r="Q9" i="15"/>
  <c r="R9" i="15"/>
  <c r="S9" i="15"/>
  <c r="F10" i="15"/>
  <c r="G10" i="15"/>
  <c r="H10" i="15"/>
  <c r="L10" i="15"/>
  <c r="O10" i="15"/>
  <c r="P10" i="15"/>
  <c r="Q10" i="15"/>
  <c r="R10" i="15"/>
  <c r="S10" i="15"/>
  <c r="F11" i="15"/>
  <c r="G11" i="15"/>
  <c r="H11" i="15"/>
  <c r="L11" i="15"/>
  <c r="O11" i="15"/>
  <c r="P11" i="15"/>
  <c r="Q11" i="15"/>
  <c r="R11" i="15"/>
  <c r="S11" i="15"/>
  <c r="F12" i="15"/>
  <c r="G12" i="15"/>
  <c r="H12" i="15"/>
  <c r="L12" i="15"/>
  <c r="O12" i="15"/>
  <c r="P12" i="15"/>
  <c r="Q12" i="15"/>
  <c r="R12" i="15"/>
  <c r="S12" i="15"/>
  <c r="F13" i="15"/>
  <c r="G13" i="15"/>
  <c r="H13" i="15"/>
  <c r="L13" i="15"/>
  <c r="O13" i="15"/>
  <c r="P13" i="15"/>
  <c r="Q13" i="15"/>
  <c r="R13" i="15"/>
  <c r="S13" i="15"/>
  <c r="F14" i="15"/>
  <c r="G14" i="15"/>
  <c r="H14" i="15"/>
  <c r="L14" i="15"/>
  <c r="O14" i="15"/>
  <c r="P14" i="15"/>
  <c r="Q14" i="15"/>
  <c r="R14" i="15"/>
  <c r="S14" i="15"/>
  <c r="F15" i="15"/>
  <c r="G15" i="15"/>
  <c r="H15" i="15"/>
  <c r="L15" i="15"/>
  <c r="O15" i="15"/>
  <c r="P15" i="15"/>
  <c r="Q15" i="15"/>
  <c r="R15" i="15"/>
  <c r="S15" i="15"/>
  <c r="F16" i="15"/>
  <c r="G16" i="15"/>
  <c r="H16" i="15"/>
  <c r="L16" i="15"/>
  <c r="O16" i="15"/>
  <c r="P16" i="15"/>
  <c r="Q16" i="15"/>
  <c r="R16" i="15"/>
  <c r="S16" i="15"/>
  <c r="F17" i="15"/>
  <c r="G17" i="15"/>
  <c r="H17" i="15"/>
  <c r="L17" i="15"/>
  <c r="O17" i="15"/>
  <c r="P17" i="15"/>
  <c r="Q17" i="15"/>
  <c r="R17" i="15"/>
  <c r="S17" i="15"/>
  <c r="F18" i="15"/>
  <c r="G18" i="15"/>
  <c r="H18" i="15"/>
  <c r="L18" i="15"/>
  <c r="O18" i="15"/>
  <c r="P18" i="15"/>
  <c r="Q18" i="15"/>
  <c r="R18" i="15"/>
  <c r="S18" i="15"/>
  <c r="F19" i="15"/>
  <c r="G19" i="15"/>
  <c r="H19" i="15"/>
  <c r="L19" i="15"/>
  <c r="O19" i="15"/>
  <c r="P19" i="15"/>
  <c r="Q19" i="15"/>
  <c r="R19" i="15"/>
  <c r="S19" i="15"/>
  <c r="A3" i="15"/>
  <c r="A4" i="15"/>
  <c r="A5" i="15"/>
  <c r="A6" i="15"/>
  <c r="A7" i="15"/>
  <c r="A8" i="15"/>
  <c r="A9" i="15"/>
  <c r="A10" i="15"/>
  <c r="A11" i="15"/>
  <c r="A12" i="15"/>
  <c r="A13" i="15"/>
  <c r="A14" i="15"/>
  <c r="A15" i="15"/>
  <c r="A16" i="15"/>
  <c r="A17" i="15"/>
  <c r="A18" i="15"/>
  <c r="A19" i="15"/>
  <c r="F2" i="8"/>
  <c r="G2" i="8"/>
  <c r="H2" i="8"/>
  <c r="I2" i="8"/>
  <c r="M2" i="8"/>
  <c r="P2" i="8"/>
  <c r="Q2" i="8"/>
  <c r="R2" i="8"/>
  <c r="S2" i="8"/>
  <c r="T2" i="8"/>
  <c r="U2" i="8"/>
  <c r="AJ2" i="8"/>
  <c r="F3" i="8"/>
  <c r="G3" i="8"/>
  <c r="H3" i="8"/>
  <c r="I3" i="8"/>
  <c r="P3" i="8"/>
  <c r="Q3" i="8"/>
  <c r="R3" i="8"/>
  <c r="S3" i="8"/>
  <c r="T3" i="8"/>
  <c r="U3" i="8"/>
  <c r="F4" i="8"/>
  <c r="G4" i="8"/>
  <c r="H4" i="8"/>
  <c r="I4" i="8"/>
  <c r="P4" i="8"/>
  <c r="Q4" i="8"/>
  <c r="R4" i="8"/>
  <c r="S4" i="8"/>
  <c r="T4" i="8"/>
  <c r="U4" i="8"/>
  <c r="F5" i="8"/>
  <c r="G5" i="8"/>
  <c r="H5" i="8"/>
  <c r="I5" i="8"/>
  <c r="P5" i="8"/>
  <c r="Q5" i="8"/>
  <c r="R5" i="8"/>
  <c r="S5" i="8"/>
  <c r="T5" i="8"/>
  <c r="U5" i="8"/>
  <c r="F6" i="8"/>
  <c r="G6" i="8"/>
  <c r="H6" i="8"/>
  <c r="I6" i="8"/>
  <c r="P6" i="8"/>
  <c r="Q6" i="8"/>
  <c r="R6" i="8"/>
  <c r="S6" i="8"/>
  <c r="T6" i="8"/>
  <c r="U6" i="8"/>
  <c r="F7" i="8"/>
  <c r="G7" i="8"/>
  <c r="H7" i="8"/>
  <c r="I7" i="8"/>
  <c r="P7" i="8"/>
  <c r="Q7" i="8"/>
  <c r="R7" i="8"/>
  <c r="S7" i="8"/>
  <c r="T7" i="8"/>
  <c r="U7" i="8"/>
  <c r="F8" i="8"/>
  <c r="G8" i="8"/>
  <c r="H8" i="8"/>
  <c r="I8" i="8"/>
  <c r="P8" i="8"/>
  <c r="Q8" i="8"/>
  <c r="R8" i="8"/>
  <c r="S8" i="8"/>
  <c r="T8" i="8"/>
  <c r="U8" i="8"/>
  <c r="F9" i="8"/>
  <c r="G9" i="8"/>
  <c r="H9" i="8"/>
  <c r="I9" i="8"/>
  <c r="P9" i="8"/>
  <c r="Q9" i="8"/>
  <c r="R9" i="8"/>
  <c r="S9" i="8"/>
  <c r="T9" i="8"/>
  <c r="U9" i="8"/>
  <c r="F10" i="8"/>
  <c r="G10" i="8"/>
  <c r="H10" i="8"/>
  <c r="I10" i="8"/>
  <c r="P10" i="8"/>
  <c r="Q10" i="8"/>
  <c r="R10" i="8"/>
  <c r="S10" i="8"/>
  <c r="T10" i="8"/>
  <c r="U10" i="8"/>
  <c r="F11" i="8"/>
  <c r="G11" i="8"/>
  <c r="H11" i="8"/>
  <c r="I11" i="8"/>
  <c r="P11" i="8"/>
  <c r="Q11" i="8"/>
  <c r="R11" i="8"/>
  <c r="S11" i="8"/>
  <c r="T11" i="8"/>
  <c r="U11" i="8"/>
  <c r="F12" i="8"/>
  <c r="G12" i="8"/>
  <c r="H12" i="8"/>
  <c r="I12" i="8"/>
  <c r="P12" i="8"/>
  <c r="Q12" i="8"/>
  <c r="R12" i="8"/>
  <c r="S12" i="8"/>
  <c r="T12" i="8"/>
  <c r="U12" i="8"/>
  <c r="AP12" i="8" a="1"/>
  <c r="AP12" i="8" s="1"/>
  <c r="AR12" i="8"/>
  <c r="F13" i="8"/>
  <c r="G13" i="8"/>
  <c r="H13" i="8"/>
  <c r="I13" i="8"/>
  <c r="P13" i="8"/>
  <c r="Q13" i="8"/>
  <c r="R13" i="8"/>
  <c r="S13" i="8"/>
  <c r="T13" i="8"/>
  <c r="U13" i="8"/>
  <c r="F14" i="8"/>
  <c r="G14" i="8"/>
  <c r="H14" i="8"/>
  <c r="I14" i="8"/>
  <c r="P14" i="8"/>
  <c r="Q14" i="8"/>
  <c r="R14" i="8"/>
  <c r="S14" i="8"/>
  <c r="T14" i="8"/>
  <c r="U14" i="8"/>
  <c r="F15" i="8"/>
  <c r="G15" i="8"/>
  <c r="H15" i="8"/>
  <c r="I15" i="8"/>
  <c r="P15" i="8"/>
  <c r="Q15" i="8"/>
  <c r="R15" i="8"/>
  <c r="S15" i="8"/>
  <c r="T15" i="8"/>
  <c r="U15" i="8"/>
  <c r="F16" i="8"/>
  <c r="G16" i="8"/>
  <c r="H16" i="8"/>
  <c r="I16" i="8"/>
  <c r="P16" i="8"/>
  <c r="Q16" i="8"/>
  <c r="R16" i="8"/>
  <c r="S16" i="8"/>
  <c r="T16" i="8"/>
  <c r="U16" i="8"/>
  <c r="F17" i="8"/>
  <c r="G17" i="8"/>
  <c r="H17" i="8"/>
  <c r="I17" i="8"/>
  <c r="P17" i="8"/>
  <c r="Q17" i="8"/>
  <c r="R17" i="8"/>
  <c r="S17" i="8"/>
  <c r="T17" i="8"/>
  <c r="U17" i="8"/>
  <c r="F18" i="8"/>
  <c r="G18" i="8"/>
  <c r="H18" i="8"/>
  <c r="I18" i="8"/>
  <c r="P18" i="8"/>
  <c r="Q18" i="8"/>
  <c r="R18" i="8"/>
  <c r="S18" i="8"/>
  <c r="T18" i="8"/>
  <c r="U18" i="8"/>
  <c r="F19" i="8"/>
  <c r="G19" i="8"/>
  <c r="H19" i="8"/>
  <c r="I19" i="8"/>
  <c r="P19" i="8"/>
  <c r="Q19" i="8"/>
  <c r="R19" i="8"/>
  <c r="S19" i="8"/>
  <c r="T19" i="8"/>
  <c r="U19" i="8"/>
  <c r="F20" i="8"/>
  <c r="G20" i="8"/>
  <c r="H20" i="8"/>
  <c r="I20" i="8"/>
  <c r="P20" i="8"/>
  <c r="Q20" i="8"/>
  <c r="R20" i="8"/>
  <c r="S20" i="8"/>
  <c r="T20" i="8"/>
  <c r="U20" i="8"/>
  <c r="F21" i="8"/>
  <c r="G21" i="8"/>
  <c r="H21" i="8"/>
  <c r="I21" i="8"/>
  <c r="P21" i="8"/>
  <c r="Q21" i="8"/>
  <c r="R21" i="8"/>
  <c r="S21" i="8"/>
  <c r="T21" i="8"/>
  <c r="U21" i="8"/>
  <c r="F22" i="8"/>
  <c r="G22" i="8"/>
  <c r="H22" i="8"/>
  <c r="I22" i="8"/>
  <c r="P22" i="8"/>
  <c r="Q22" i="8"/>
  <c r="R22" i="8"/>
  <c r="S22" i="8"/>
  <c r="T22" i="8"/>
  <c r="U22" i="8"/>
  <c r="F23" i="8"/>
  <c r="G23" i="8"/>
  <c r="H23" i="8"/>
  <c r="I23" i="8"/>
  <c r="P23" i="8"/>
  <c r="Q23" i="8"/>
  <c r="R23" i="8"/>
  <c r="S23" i="8"/>
  <c r="T23" i="8"/>
  <c r="U23" i="8"/>
  <c r="F24" i="8"/>
  <c r="G24" i="8"/>
  <c r="H24" i="8"/>
  <c r="I24" i="8"/>
  <c r="P24" i="8"/>
  <c r="Q24" i="8"/>
  <c r="R24" i="8"/>
  <c r="S24" i="8"/>
  <c r="T24" i="8"/>
  <c r="U24" i="8"/>
  <c r="F25" i="8"/>
  <c r="G25" i="8"/>
  <c r="H25" i="8"/>
  <c r="I25" i="8"/>
  <c r="P25" i="8"/>
  <c r="Q25" i="8"/>
  <c r="R25" i="8"/>
  <c r="S25" i="8"/>
  <c r="T25" i="8"/>
  <c r="U25" i="8"/>
  <c r="F26" i="8"/>
  <c r="G26" i="8"/>
  <c r="H26" i="8"/>
  <c r="I26" i="8"/>
  <c r="P26" i="8"/>
  <c r="Q26" i="8"/>
  <c r="R26" i="8"/>
  <c r="S26" i="8"/>
  <c r="T26" i="8"/>
  <c r="U26" i="8"/>
  <c r="F27" i="8"/>
  <c r="G27" i="8"/>
  <c r="H27" i="8"/>
  <c r="I27" i="8"/>
  <c r="P27" i="8"/>
  <c r="Q27" i="8"/>
  <c r="R27" i="8"/>
  <c r="S27" i="8"/>
  <c r="T27" i="8"/>
  <c r="U27" i="8"/>
  <c r="F28" i="8"/>
  <c r="G28" i="8"/>
  <c r="H28" i="8"/>
  <c r="I28" i="8"/>
  <c r="P28" i="8"/>
  <c r="Q28" i="8"/>
  <c r="R28" i="8"/>
  <c r="S28" i="8"/>
  <c r="T28" i="8"/>
  <c r="U28" i="8"/>
  <c r="F29" i="8"/>
  <c r="G29" i="8"/>
  <c r="H29" i="8"/>
  <c r="I29" i="8"/>
  <c r="P29" i="8"/>
  <c r="Q29" i="8"/>
  <c r="R29" i="8"/>
  <c r="S29" i="8"/>
  <c r="T29" i="8"/>
  <c r="U29" i="8"/>
  <c r="F30" i="8"/>
  <c r="G30" i="8"/>
  <c r="H30" i="8"/>
  <c r="I30" i="8"/>
  <c r="P30" i="8"/>
  <c r="Q30" i="8"/>
  <c r="R30" i="8"/>
  <c r="S30" i="8"/>
  <c r="T30" i="8"/>
  <c r="U30" i="8"/>
  <c r="F31" i="8"/>
  <c r="G31" i="8"/>
  <c r="H31" i="8"/>
  <c r="I31" i="8"/>
  <c r="P31" i="8"/>
  <c r="Q31" i="8"/>
  <c r="R31" i="8"/>
  <c r="S31" i="8"/>
  <c r="T31" i="8"/>
  <c r="U31" i="8"/>
  <c r="F32" i="8"/>
  <c r="G32" i="8"/>
  <c r="H32" i="8"/>
  <c r="I32" i="8"/>
  <c r="P32" i="8"/>
  <c r="Q32" i="8"/>
  <c r="R32" i="8"/>
  <c r="S32" i="8"/>
  <c r="T32" i="8"/>
  <c r="U32" i="8"/>
  <c r="F33" i="8"/>
  <c r="G33" i="8"/>
  <c r="H33" i="8"/>
  <c r="I33" i="8"/>
  <c r="P33" i="8"/>
  <c r="Q33" i="8"/>
  <c r="R33" i="8"/>
  <c r="S33" i="8"/>
  <c r="T33" i="8"/>
  <c r="U33" i="8"/>
  <c r="F34" i="8"/>
  <c r="G34" i="8"/>
  <c r="H34" i="8"/>
  <c r="I34" i="8"/>
  <c r="P34" i="8"/>
  <c r="Q34" i="8"/>
  <c r="R34" i="8"/>
  <c r="S34" i="8"/>
  <c r="T34" i="8"/>
  <c r="U34" i="8"/>
  <c r="F35" i="8"/>
  <c r="G35" i="8"/>
  <c r="H35" i="8"/>
  <c r="I35" i="8"/>
  <c r="P35" i="8"/>
  <c r="Q35" i="8"/>
  <c r="R35" i="8"/>
  <c r="S35" i="8"/>
  <c r="T35" i="8"/>
  <c r="U35" i="8"/>
  <c r="F36" i="8"/>
  <c r="G36" i="8"/>
  <c r="H36" i="8"/>
  <c r="I36" i="8"/>
  <c r="P36" i="8"/>
  <c r="Q36" i="8"/>
  <c r="R36" i="8"/>
  <c r="S36" i="8"/>
  <c r="T36" i="8"/>
  <c r="U36" i="8"/>
  <c r="F37" i="8"/>
  <c r="G37" i="8"/>
  <c r="H37" i="8"/>
  <c r="I37" i="8"/>
  <c r="P37" i="8"/>
  <c r="Q37" i="8"/>
  <c r="R37" i="8"/>
  <c r="S37" i="8"/>
  <c r="T37" i="8"/>
  <c r="U37" i="8"/>
  <c r="F38" i="8"/>
  <c r="G38" i="8"/>
  <c r="H38" i="8"/>
  <c r="I38" i="8"/>
  <c r="P38" i="8"/>
  <c r="Q38" i="8"/>
  <c r="R38" i="8"/>
  <c r="S38" i="8"/>
  <c r="T38" i="8"/>
  <c r="U38" i="8"/>
  <c r="F39" i="8"/>
  <c r="G39" i="8"/>
  <c r="H39" i="8"/>
  <c r="I39" i="8"/>
  <c r="P39" i="8"/>
  <c r="Q39" i="8"/>
  <c r="R39" i="8"/>
  <c r="S39" i="8"/>
  <c r="T39" i="8"/>
  <c r="U39" i="8"/>
  <c r="F40" i="8"/>
  <c r="G40" i="8"/>
  <c r="H40" i="8"/>
  <c r="I40" i="8"/>
  <c r="P40" i="8"/>
  <c r="Q40" i="8"/>
  <c r="R40" i="8"/>
  <c r="S40" i="8"/>
  <c r="T40" i="8"/>
  <c r="U40" i="8"/>
  <c r="F41" i="8"/>
  <c r="G41" i="8"/>
  <c r="H41" i="8"/>
  <c r="I41" i="8"/>
  <c r="P41" i="8"/>
  <c r="Q41" i="8"/>
  <c r="R41" i="8"/>
  <c r="S41" i="8"/>
  <c r="T41" i="8"/>
  <c r="U41" i="8"/>
  <c r="F42" i="8"/>
  <c r="G42" i="8"/>
  <c r="H42" i="8"/>
  <c r="I42" i="8"/>
  <c r="P42" i="8"/>
  <c r="Q42" i="8"/>
  <c r="R42" i="8"/>
  <c r="S42" i="8"/>
  <c r="T42" i="8"/>
  <c r="U42" i="8"/>
  <c r="F43" i="8"/>
  <c r="G43" i="8"/>
  <c r="H43" i="8"/>
  <c r="I43" i="8"/>
  <c r="P43" i="8"/>
  <c r="Q43" i="8"/>
  <c r="R43" i="8"/>
  <c r="S43" i="8"/>
  <c r="T43" i="8"/>
  <c r="U43" i="8"/>
  <c r="F44" i="8"/>
  <c r="G44" i="8"/>
  <c r="H44" i="8"/>
  <c r="I44" i="8"/>
  <c r="P44" i="8"/>
  <c r="Q44" i="8"/>
  <c r="R44" i="8"/>
  <c r="S44" i="8"/>
  <c r="T44" i="8"/>
  <c r="U44" i="8"/>
  <c r="F45" i="8"/>
  <c r="G45" i="8"/>
  <c r="H45" i="8"/>
  <c r="I45" i="8"/>
  <c r="P45" i="8"/>
  <c r="Q45" i="8"/>
  <c r="R45" i="8"/>
  <c r="S45" i="8"/>
  <c r="T45" i="8"/>
  <c r="U45" i="8"/>
  <c r="F46" i="8"/>
  <c r="G46" i="8"/>
  <c r="H46" i="8"/>
  <c r="I46" i="8"/>
  <c r="P46" i="8"/>
  <c r="Q46" i="8"/>
  <c r="R46" i="8"/>
  <c r="S46" i="8"/>
  <c r="T46" i="8"/>
  <c r="U46" i="8"/>
  <c r="F47" i="8"/>
  <c r="G47" i="8"/>
  <c r="H47" i="8"/>
  <c r="I47" i="8"/>
  <c r="P47" i="8"/>
  <c r="Q47" i="8"/>
  <c r="R47" i="8"/>
  <c r="S47" i="8"/>
  <c r="T47" i="8"/>
  <c r="U47" i="8"/>
  <c r="F48" i="8"/>
  <c r="G48" i="8"/>
  <c r="H48" i="8"/>
  <c r="I48" i="8"/>
  <c r="P48" i="8"/>
  <c r="Q48" i="8"/>
  <c r="R48" i="8"/>
  <c r="S48" i="8"/>
  <c r="T48" i="8"/>
  <c r="U48" i="8"/>
  <c r="F49" i="8"/>
  <c r="G49" i="8"/>
  <c r="H49" i="8"/>
  <c r="I49" i="8"/>
  <c r="P49" i="8"/>
  <c r="Q49" i="8"/>
  <c r="R49" i="8"/>
  <c r="S49" i="8"/>
  <c r="T49" i="8"/>
  <c r="U49" i="8"/>
  <c r="F50" i="8"/>
  <c r="G50" i="8"/>
  <c r="H50" i="8"/>
  <c r="I50" i="8"/>
  <c r="P50" i="8"/>
  <c r="Q50" i="8"/>
  <c r="R50" i="8"/>
  <c r="S50" i="8"/>
  <c r="T50" i="8"/>
  <c r="U50" i="8"/>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2" i="8"/>
  <c r="A3" i="8"/>
  <c r="AK3" i="8" s="1" a="1"/>
  <c r="AK3" i="8" s="1"/>
  <c r="A4" i="8"/>
  <c r="AE4" i="8" s="1" a="1"/>
  <c r="AE4" i="8" s="1"/>
  <c r="A5" i="8"/>
  <c r="AP5" i="8" s="1" a="1"/>
  <c r="AP5" i="8" s="1"/>
  <c r="A6" i="8"/>
  <c r="AI6" i="8" s="1" a="1"/>
  <c r="AI6" i="8" s="1"/>
  <c r="A7" i="8"/>
  <c r="AL7" i="8" s="1" a="1"/>
  <c r="AL7" i="8" s="1"/>
  <c r="A8" i="8"/>
  <c r="AG8" i="8" s="1" a="1"/>
  <c r="AG8" i="8" s="1"/>
  <c r="A9" i="8"/>
  <c r="AF9" i="8" s="1" a="1"/>
  <c r="AF9" i="8" s="1"/>
  <c r="A10" i="8"/>
  <c r="A11" i="8"/>
  <c r="AF11" i="8" s="1" a="1"/>
  <c r="AF11" i="8" s="1"/>
  <c r="A12" i="8"/>
  <c r="AD12" i="8" s="1" a="1"/>
  <c r="AD12" i="8" s="1"/>
  <c r="A13" i="8"/>
  <c r="AK13" i="8" s="1" a="1"/>
  <c r="AK13" i="8" s="1"/>
  <c r="A14" i="8"/>
  <c r="AI14" i="8" s="1" a="1"/>
  <c r="AI14" i="8" s="1"/>
  <c r="A15" i="8"/>
  <c r="AF15" i="8" s="1" a="1"/>
  <c r="AF15" i="8" s="1"/>
  <c r="A16" i="8"/>
  <c r="AG16" i="8" s="1" a="1"/>
  <c r="AG16" i="8" s="1"/>
  <c r="A17" i="8"/>
  <c r="AE17" i="8" s="1" a="1"/>
  <c r="AE17" i="8" s="1"/>
  <c r="A18" i="8"/>
  <c r="AF18" i="8" s="1" a="1"/>
  <c r="AF18" i="8" s="1"/>
  <c r="A19" i="8"/>
  <c r="AG19" i="8" s="1" a="1"/>
  <c r="AG19" i="8" s="1"/>
  <c r="A20" i="8"/>
  <c r="AN20" i="8" s="1" a="1"/>
  <c r="AN20" i="8" s="1"/>
  <c r="A21" i="8"/>
  <c r="AR21" i="8" s="1"/>
  <c r="A22" i="8"/>
  <c r="AL22" i="8" s="1" a="1"/>
  <c r="AL22" i="8" s="1"/>
  <c r="A23" i="8"/>
  <c r="AE23" i="8" s="1" a="1"/>
  <c r="AE23" i="8" s="1"/>
  <c r="A24" i="8"/>
  <c r="AK24" i="8" s="1" a="1"/>
  <c r="AK24" i="8" s="1"/>
  <c r="AG25" i="8" a="1"/>
  <c r="AG25" i="8" s="1"/>
  <c r="A26" i="8"/>
  <c r="AR26" i="8" s="1"/>
  <c r="A27" i="8"/>
  <c r="AR27" i="8" s="1"/>
  <c r="A28" i="8"/>
  <c r="AL28" i="8" s="1" a="1"/>
  <c r="AL28" i="8" s="1"/>
  <c r="A29" i="8"/>
  <c r="AR29" i="8" s="1"/>
  <c r="A30" i="8"/>
  <c r="AN30" i="8" s="1" a="1"/>
  <c r="AN30" i="8" s="1"/>
  <c r="A31" i="8"/>
  <c r="AF31" i="8" s="1" a="1"/>
  <c r="AF31" i="8" s="1"/>
  <c r="A32" i="8"/>
  <c r="AR32" i="8" s="1"/>
  <c r="A33" i="8"/>
  <c r="AN33" i="8" s="1" a="1"/>
  <c r="AN33" i="8" s="1"/>
  <c r="A34" i="8"/>
  <c r="AH34" i="8" s="1" a="1"/>
  <c r="AH34" i="8" s="1"/>
  <c r="A35" i="8"/>
  <c r="AI35" i="8" s="1" a="1"/>
  <c r="AI35" i="8" s="1"/>
  <c r="A36" i="8"/>
  <c r="AE36" i="8" s="1" a="1"/>
  <c r="AE36" i="8" s="1"/>
  <c r="A37" i="8"/>
  <c r="AD37" i="8" s="1" a="1"/>
  <c r="AD37" i="8" s="1"/>
  <c r="A38" i="8"/>
  <c r="AD38" i="8" s="1" a="1"/>
  <c r="AD38" i="8" s="1"/>
  <c r="A39" i="8"/>
  <c r="AO39" i="8" s="1" a="1"/>
  <c r="AO39" i="8" s="1"/>
  <c r="A40" i="8"/>
  <c r="AH40" i="8" s="1" a="1"/>
  <c r="AH40" i="8" s="1"/>
  <c r="A41" i="8"/>
  <c r="AH41" i="8" s="1" a="1"/>
  <c r="AH41" i="8" s="1"/>
  <c r="A42" i="8"/>
  <c r="A43" i="8"/>
  <c r="AG43" i="8" s="1" a="1"/>
  <c r="AG43" i="8" s="1"/>
  <c r="A44" i="8"/>
  <c r="AF44" i="8" s="1" a="1"/>
  <c r="AF44" i="8" s="1"/>
  <c r="A45" i="8"/>
  <c r="AR45" i="8" s="1"/>
  <c r="A46" i="8"/>
  <c r="AO46" i="8" s="1" a="1"/>
  <c r="AO46" i="8" s="1"/>
  <c r="A47" i="8"/>
  <c r="AR47" i="8" s="1"/>
  <c r="A48" i="8"/>
  <c r="AM48" i="8" s="1" a="1"/>
  <c r="AM48" i="8" s="1"/>
  <c r="A49" i="8"/>
  <c r="AK49" i="8" s="1" a="1"/>
  <c r="AK49" i="8" s="1"/>
  <c r="A50" i="8"/>
  <c r="AR50" i="8" s="1"/>
  <c r="B341" i="2"/>
  <c r="C341" i="2"/>
  <c r="E341" i="2"/>
  <c r="G341" i="2"/>
  <c r="H341" i="2"/>
  <c r="I341"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L326" i="6"/>
  <c r="AK326" i="6"/>
  <c r="AJ326" i="6"/>
  <c r="U308" i="33" a="1"/>
  <c r="U308" i="33"/>
  <c r="U300" i="33" a="1"/>
  <c r="U300" i="33" s="1"/>
  <c r="V300" i="33" a="1"/>
  <c r="V300" i="33"/>
  <c r="W300" i="33" a="1"/>
  <c r="W300" i="33"/>
  <c r="U301" i="33" a="1"/>
  <c r="U301" i="33" s="1"/>
  <c r="V301" i="33" a="1"/>
  <c r="V301" i="33"/>
  <c r="W301" i="33" a="1"/>
  <c r="W301" i="33"/>
  <c r="U302" i="33" a="1"/>
  <c r="U302" i="33"/>
  <c r="V302" i="33" a="1"/>
  <c r="V302" i="33"/>
  <c r="W302" i="33" a="1"/>
  <c r="W302" i="33"/>
  <c r="U303" i="33" a="1"/>
  <c r="U303" i="33" s="1"/>
  <c r="V303" i="33" a="1"/>
  <c r="V303" i="33" s="1"/>
  <c r="W303" i="33" a="1"/>
  <c r="W303" i="33" s="1"/>
  <c r="U304" i="33" a="1"/>
  <c r="U304" i="33"/>
  <c r="V304" i="33" a="1"/>
  <c r="V304" i="33" s="1"/>
  <c r="W304" i="33" a="1"/>
  <c r="W304" i="33" s="1"/>
  <c r="U305" i="33" a="1"/>
  <c r="U305" i="33"/>
  <c r="V305" i="33" a="1"/>
  <c r="V305" i="33"/>
  <c r="W305" i="33" a="1"/>
  <c r="W305" i="33"/>
  <c r="U306" i="33" a="1"/>
  <c r="U306" i="33"/>
  <c r="V306" i="33" a="1"/>
  <c r="V306" i="33" s="1"/>
  <c r="W306" i="33" a="1"/>
  <c r="W306" i="33"/>
  <c r="U307" i="33" a="1"/>
  <c r="U307" i="33"/>
  <c r="V307" i="33" a="1"/>
  <c r="V307" i="33"/>
  <c r="W307" i="33" a="1"/>
  <c r="W307" i="33" s="1"/>
  <c r="V308" i="33" a="1"/>
  <c r="V308" i="33"/>
  <c r="W308" i="33" a="1"/>
  <c r="W308" i="33"/>
  <c r="X308" i="33"/>
  <c r="U309" i="33" a="1"/>
  <c r="U309" i="33" s="1"/>
  <c r="V309" i="33" a="1"/>
  <c r="V309" i="33"/>
  <c r="X309" i="33" s="1"/>
  <c r="W309" i="33" a="1"/>
  <c r="W309" i="33"/>
  <c r="U310" i="33" a="1"/>
  <c r="U310" i="33"/>
  <c r="V310" i="33" a="1"/>
  <c r="V310" i="33"/>
  <c r="W310" i="33" a="1"/>
  <c r="W310" i="33" s="1"/>
  <c r="U311" i="33" a="1"/>
  <c r="U311" i="33"/>
  <c r="V311" i="33" a="1"/>
  <c r="V311" i="33" s="1"/>
  <c r="W311" i="33" a="1"/>
  <c r="W311" i="33"/>
  <c r="U312" i="33" a="1"/>
  <c r="U312" i="33" s="1"/>
  <c r="V312" i="33" a="1"/>
  <c r="V312" i="33" s="1"/>
  <c r="W312" i="33" a="1"/>
  <c r="W312" i="33"/>
  <c r="U313" i="33" a="1"/>
  <c r="U313" i="33"/>
  <c r="V313" i="33" a="1"/>
  <c r="V313" i="33"/>
  <c r="W313" i="33" a="1"/>
  <c r="W313" i="33" s="1"/>
  <c r="U314" i="33" a="1"/>
  <c r="U314" i="33"/>
  <c r="V314" i="33" a="1"/>
  <c r="V314" i="33"/>
  <c r="W314" i="33" a="1"/>
  <c r="W314" i="33"/>
  <c r="X314" i="33"/>
  <c r="U315" i="33" a="1"/>
  <c r="U315" i="33"/>
  <c r="V315" i="33" a="1"/>
  <c r="V315" i="33"/>
  <c r="W315" i="33" a="1"/>
  <c r="W315" i="33"/>
  <c r="U316" i="33" a="1"/>
  <c r="U316" i="33" s="1"/>
  <c r="V316" i="33" a="1"/>
  <c r="V316" i="33"/>
  <c r="W316" i="33" a="1"/>
  <c r="W316" i="33" s="1"/>
  <c r="U317" i="33" a="1"/>
  <c r="U317" i="33"/>
  <c r="V317" i="33" a="1"/>
  <c r="V317" i="33"/>
  <c r="W317" i="33" a="1"/>
  <c r="W317" i="33"/>
  <c r="U318" i="33" a="1"/>
  <c r="U318" i="33" s="1"/>
  <c r="V318" i="33" a="1"/>
  <c r="V318" i="33" s="1"/>
  <c r="W318" i="33" a="1"/>
  <c r="W318" i="33"/>
  <c r="U319" i="33" a="1"/>
  <c r="U319" i="33"/>
  <c r="V319" i="33" a="1"/>
  <c r="V319" i="33"/>
  <c r="W319" i="33" a="1"/>
  <c r="W319" i="33" s="1"/>
  <c r="U320" i="33" a="1"/>
  <c r="U320" i="33"/>
  <c r="V320" i="33" a="1"/>
  <c r="V320" i="33"/>
  <c r="W320" i="33" a="1"/>
  <c r="W320" i="33" s="1"/>
  <c r="U321" i="33" a="1"/>
  <c r="U321" i="33"/>
  <c r="V321" i="33" a="1"/>
  <c r="V321" i="33"/>
  <c r="W321" i="33" a="1"/>
  <c r="W321" i="33" s="1"/>
  <c r="U322" i="33" a="1"/>
  <c r="U322" i="33" s="1"/>
  <c r="V322" i="33" a="1"/>
  <c r="V322" i="33"/>
  <c r="W322" i="33" a="1"/>
  <c r="W322" i="33" s="1"/>
  <c r="U323" i="33" a="1"/>
  <c r="U323" i="33"/>
  <c r="V323" i="33" a="1"/>
  <c r="V323" i="33"/>
  <c r="W323" i="33" a="1"/>
  <c r="W323" i="33"/>
  <c r="U324" i="33" a="1"/>
  <c r="U324" i="33" s="1"/>
  <c r="V324" i="33" a="1"/>
  <c r="V324" i="33" s="1"/>
  <c r="X324" i="33" s="1"/>
  <c r="W324" i="33" a="1"/>
  <c r="W324" i="33"/>
  <c r="U325" i="33" a="1"/>
  <c r="U325" i="33" s="1"/>
  <c r="V325" i="33" a="1"/>
  <c r="V325" i="33" s="1"/>
  <c r="W325" i="33" a="1"/>
  <c r="W325" i="33" s="1"/>
  <c r="V299" i="33" a="1"/>
  <c r="V299" i="33"/>
  <c r="W299" i="33" a="1"/>
  <c r="W299" i="33"/>
  <c r="X299" i="33"/>
  <c r="B269" i="6"/>
  <c r="AI76" i="2"/>
  <c r="BH258" i="2"/>
  <c r="BF258" i="2"/>
  <c r="BE258" i="2"/>
  <c r="BD258" i="2"/>
  <c r="BG253"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251" i="2"/>
  <c r="B252" i="2"/>
  <c r="C252" i="2"/>
  <c r="E252" i="2"/>
  <c r="G252" i="2"/>
  <c r="H252" i="2"/>
  <c r="I252" i="2"/>
  <c r="B253" i="2"/>
  <c r="C253" i="2"/>
  <c r="E253" i="2"/>
  <c r="G253" i="2"/>
  <c r="H253" i="2"/>
  <c r="I253" i="2"/>
  <c r="B254" i="2"/>
  <c r="C254" i="2"/>
  <c r="E254" i="2"/>
  <c r="G254" i="2"/>
  <c r="H254" i="2"/>
  <c r="I254" i="2"/>
  <c r="B255" i="2"/>
  <c r="C255" i="2"/>
  <c r="E255" i="2"/>
  <c r="G255" i="2"/>
  <c r="H255" i="2"/>
  <c r="I255" i="2"/>
  <c r="B256" i="2"/>
  <c r="C256" i="2"/>
  <c r="E256" i="2"/>
  <c r="G256" i="2"/>
  <c r="H256" i="2"/>
  <c r="I256" i="2"/>
  <c r="B257" i="2"/>
  <c r="C257" i="2"/>
  <c r="E257" i="2"/>
  <c r="G257" i="2"/>
  <c r="H257" i="2"/>
  <c r="AE257" i="2" s="1"/>
  <c r="I257" i="2"/>
  <c r="B258" i="2"/>
  <c r="C258" i="2"/>
  <c r="E258" i="2"/>
  <c r="G258" i="2"/>
  <c r="H258" i="2"/>
  <c r="I258" i="2"/>
  <c r="B259" i="2"/>
  <c r="C259" i="2"/>
  <c r="E259" i="2"/>
  <c r="G259" i="2"/>
  <c r="H259" i="2"/>
  <c r="I259" i="2"/>
  <c r="B260" i="2"/>
  <c r="C260" i="2"/>
  <c r="E260" i="2"/>
  <c r="G260" i="2"/>
  <c r="H260" i="2"/>
  <c r="I260" i="2"/>
  <c r="B261" i="2"/>
  <c r="C261" i="2"/>
  <c r="E261" i="2"/>
  <c r="G261" i="2"/>
  <c r="H261" i="2"/>
  <c r="I261" i="2"/>
  <c r="B262" i="2"/>
  <c r="C262" i="2"/>
  <c r="E262" i="2"/>
  <c r="G262" i="2"/>
  <c r="H262" i="2"/>
  <c r="I262" i="2"/>
  <c r="B263" i="2"/>
  <c r="C263" i="2"/>
  <c r="E263" i="2"/>
  <c r="G263" i="2"/>
  <c r="H263" i="2"/>
  <c r="I263" i="2"/>
  <c r="B264" i="2"/>
  <c r="C264" i="2"/>
  <c r="E264" i="2"/>
  <c r="G264" i="2"/>
  <c r="H264" i="2"/>
  <c r="I264" i="2"/>
  <c r="B265" i="2"/>
  <c r="C265" i="2"/>
  <c r="E265" i="2"/>
  <c r="G265" i="2"/>
  <c r="H265" i="2"/>
  <c r="I265" i="2"/>
  <c r="B266" i="2"/>
  <c r="C266" i="2"/>
  <c r="E266" i="2"/>
  <c r="G266" i="2"/>
  <c r="H266" i="2"/>
  <c r="I266" i="2"/>
  <c r="B267" i="2"/>
  <c r="C267" i="2"/>
  <c r="E267" i="2"/>
  <c r="G267" i="2"/>
  <c r="H267" i="2"/>
  <c r="I267" i="2"/>
  <c r="B268" i="2"/>
  <c r="C268" i="2"/>
  <c r="E268" i="2"/>
  <c r="G268" i="2"/>
  <c r="H268" i="2"/>
  <c r="I268" i="2"/>
  <c r="B269" i="2"/>
  <c r="C269" i="2"/>
  <c r="E269" i="2"/>
  <c r="G269" i="2"/>
  <c r="H269" i="2"/>
  <c r="I269" i="2"/>
  <c r="B270" i="2"/>
  <c r="C270" i="2"/>
  <c r="E270" i="2"/>
  <c r="G270" i="2"/>
  <c r="H270" i="2"/>
  <c r="I270" i="2"/>
  <c r="B271" i="2"/>
  <c r="C271" i="2"/>
  <c r="E271" i="2"/>
  <c r="G271" i="2"/>
  <c r="H271" i="2"/>
  <c r="I271" i="2"/>
  <c r="B272" i="2"/>
  <c r="C272" i="2"/>
  <c r="E272" i="2"/>
  <c r="G272" i="2"/>
  <c r="H272" i="2"/>
  <c r="I272" i="2"/>
  <c r="B273" i="2"/>
  <c r="C273" i="2"/>
  <c r="E273" i="2"/>
  <c r="G273" i="2"/>
  <c r="H273" i="2"/>
  <c r="I273" i="2"/>
  <c r="B274" i="2"/>
  <c r="C274" i="2"/>
  <c r="E274" i="2"/>
  <c r="G274" i="2"/>
  <c r="H274" i="2"/>
  <c r="I274" i="2"/>
  <c r="B275" i="2"/>
  <c r="C275" i="2"/>
  <c r="E275" i="2"/>
  <c r="G275" i="2"/>
  <c r="H275" i="2"/>
  <c r="I275" i="2"/>
  <c r="B276" i="2"/>
  <c r="C276" i="2"/>
  <c r="E276" i="2"/>
  <c r="G276" i="2"/>
  <c r="H276" i="2"/>
  <c r="I276" i="2"/>
  <c r="B277" i="2"/>
  <c r="C277" i="2"/>
  <c r="E277" i="2"/>
  <c r="G277" i="2"/>
  <c r="H277" i="2"/>
  <c r="I277" i="2"/>
  <c r="B278" i="2"/>
  <c r="C278" i="2"/>
  <c r="E278" i="2"/>
  <c r="G278" i="2"/>
  <c r="H278" i="2"/>
  <c r="I278" i="2"/>
  <c r="B279" i="2"/>
  <c r="C279" i="2"/>
  <c r="E279" i="2"/>
  <c r="G279" i="2"/>
  <c r="H279" i="2"/>
  <c r="I279" i="2"/>
  <c r="B280" i="2"/>
  <c r="C280" i="2"/>
  <c r="E280" i="2"/>
  <c r="G280" i="2"/>
  <c r="H280" i="2"/>
  <c r="I280" i="2"/>
  <c r="B281" i="2"/>
  <c r="C281" i="2"/>
  <c r="E281" i="2"/>
  <c r="G281" i="2"/>
  <c r="H281" i="2"/>
  <c r="I281" i="2"/>
  <c r="B282" i="2"/>
  <c r="C282" i="2"/>
  <c r="E282" i="2"/>
  <c r="G282" i="2"/>
  <c r="H282" i="2"/>
  <c r="I282" i="2"/>
  <c r="B283" i="2"/>
  <c r="C283" i="2"/>
  <c r="E283" i="2"/>
  <c r="G283" i="2"/>
  <c r="H283" i="2"/>
  <c r="I283" i="2"/>
  <c r="B284" i="2"/>
  <c r="C284" i="2"/>
  <c r="E284" i="2"/>
  <c r="G284" i="2"/>
  <c r="H284" i="2"/>
  <c r="I284" i="2"/>
  <c r="B285" i="2"/>
  <c r="C285" i="2"/>
  <c r="E285" i="2"/>
  <c r="G285" i="2"/>
  <c r="H285" i="2"/>
  <c r="I285" i="2"/>
  <c r="B286" i="2"/>
  <c r="C286" i="2"/>
  <c r="E286" i="2"/>
  <c r="G286" i="2"/>
  <c r="H286" i="2"/>
  <c r="I286" i="2"/>
  <c r="B287" i="2"/>
  <c r="C287" i="2"/>
  <c r="E287" i="2"/>
  <c r="G287" i="2"/>
  <c r="H287" i="2"/>
  <c r="I287" i="2"/>
  <c r="B288" i="2"/>
  <c r="C288" i="2"/>
  <c r="E288" i="2"/>
  <c r="G288" i="2"/>
  <c r="H288" i="2"/>
  <c r="I288" i="2"/>
  <c r="B289" i="2"/>
  <c r="C289" i="2"/>
  <c r="E289" i="2"/>
  <c r="G289" i="2"/>
  <c r="H289" i="2"/>
  <c r="I289" i="2"/>
  <c r="B290" i="2"/>
  <c r="C290" i="2"/>
  <c r="E290" i="2"/>
  <c r="G290" i="2"/>
  <c r="H290" i="2"/>
  <c r="I290" i="2"/>
  <c r="B291" i="2"/>
  <c r="C291" i="2"/>
  <c r="E291" i="2"/>
  <c r="G291" i="2"/>
  <c r="H291" i="2"/>
  <c r="I291" i="2"/>
  <c r="B292" i="2"/>
  <c r="C292" i="2"/>
  <c r="E292" i="2"/>
  <c r="G292" i="2"/>
  <c r="H292" i="2"/>
  <c r="I292" i="2"/>
  <c r="B293" i="2"/>
  <c r="C293" i="2"/>
  <c r="E293" i="2"/>
  <c r="G293" i="2"/>
  <c r="H293" i="2"/>
  <c r="I293" i="2"/>
  <c r="B294" i="2"/>
  <c r="C294" i="2"/>
  <c r="E294" i="2"/>
  <c r="G294" i="2"/>
  <c r="H294" i="2"/>
  <c r="I294" i="2"/>
  <c r="B295" i="2"/>
  <c r="C295" i="2"/>
  <c r="E295" i="2"/>
  <c r="G295" i="2"/>
  <c r="H295" i="2"/>
  <c r="I295" i="2"/>
  <c r="B296" i="2"/>
  <c r="C296" i="2"/>
  <c r="E296" i="2"/>
  <c r="G296" i="2"/>
  <c r="H296" i="2"/>
  <c r="I296" i="2"/>
  <c r="B297" i="2"/>
  <c r="C297" i="2"/>
  <c r="E297" i="2"/>
  <c r="G297" i="2"/>
  <c r="H297" i="2"/>
  <c r="I297" i="2"/>
  <c r="B298" i="2"/>
  <c r="C298" i="2"/>
  <c r="E298" i="2"/>
  <c r="G298" i="2"/>
  <c r="H298" i="2"/>
  <c r="I298" i="2"/>
  <c r="B299" i="2"/>
  <c r="C299" i="2"/>
  <c r="E299" i="2"/>
  <c r="G299" i="2"/>
  <c r="H299" i="2"/>
  <c r="I299" i="2"/>
  <c r="E251" i="2"/>
  <c r="AN384" i="2" l="1"/>
  <c r="AK384" i="2"/>
  <c r="AM384" i="2"/>
  <c r="AL384" i="2"/>
  <c r="AF391" i="2"/>
  <c r="AI390" i="2"/>
  <c r="AH390" i="2"/>
  <c r="AG390" i="2"/>
  <c r="X366" i="33"/>
  <c r="X360" i="33"/>
  <c r="X303" i="33"/>
  <c r="X301" i="33"/>
  <c r="AL429" i="2"/>
  <c r="AK429" i="2"/>
  <c r="X389" i="33"/>
  <c r="AJ412" i="2"/>
  <c r="X392" i="33"/>
  <c r="X381" i="33"/>
  <c r="AF398" i="2"/>
  <c r="AI391" i="2"/>
  <c r="X386" i="33"/>
  <c r="X353" i="33"/>
  <c r="AI398" i="2"/>
  <c r="AG398" i="2"/>
  <c r="AH391" i="2"/>
  <c r="X357" i="33"/>
  <c r="X371" i="33"/>
  <c r="AH398" i="2"/>
  <c r="X372" i="33"/>
  <c r="X376" i="33"/>
  <c r="X407" i="33"/>
  <c r="X398" i="33"/>
  <c r="AO429" i="2"/>
  <c r="AN429" i="2"/>
  <c r="AM429" i="2"/>
  <c r="AH387" i="2"/>
  <c r="AG387" i="2"/>
  <c r="AH412" i="2"/>
  <c r="AF387" i="2"/>
  <c r="AG412" i="2"/>
  <c r="AI386" i="2"/>
  <c r="AF412" i="2"/>
  <c r="AH386" i="2"/>
  <c r="AO398" i="2"/>
  <c r="AG386" i="2"/>
  <c r="AN398" i="2"/>
  <c r="AM398" i="2"/>
  <c r="AI385" i="2"/>
  <c r="AL398" i="2"/>
  <c r="AH385" i="2"/>
  <c r="AK398" i="2"/>
  <c r="AG385" i="2"/>
  <c r="AH429" i="2"/>
  <c r="AH389" i="2"/>
  <c r="AO412" i="2"/>
  <c r="AM412" i="2"/>
  <c r="AG388" i="2"/>
  <c r="AL412" i="2"/>
  <c r="AF388" i="2"/>
  <c r="AJ384" i="2"/>
  <c r="AI384" i="2"/>
  <c r="AH384" i="2"/>
  <c r="AG384" i="2"/>
  <c r="AJ429" i="2"/>
  <c r="AI429" i="2"/>
  <c r="AI389" i="2"/>
  <c r="AG429" i="2"/>
  <c r="AG389" i="2"/>
  <c r="AI388" i="2"/>
  <c r="AN412" i="2"/>
  <c r="AB17" i="19" a="1"/>
  <c r="AB17" i="19" s="1"/>
  <c r="AN17" i="19" a="1"/>
  <c r="AN17" i="19" s="1"/>
  <c r="AM17" i="19" a="1"/>
  <c r="AM17" i="19" s="1"/>
  <c r="AD17" i="19" a="1"/>
  <c r="AD17" i="19" s="1"/>
  <c r="AC17" i="19" a="1"/>
  <c r="AC17" i="19" s="1"/>
  <c r="AL17" i="19" a="1"/>
  <c r="AL17" i="19" s="1"/>
  <c r="AK17" i="19" a="1"/>
  <c r="AK17" i="19" s="1"/>
  <c r="AI17" i="19" a="1"/>
  <c r="AI17" i="19" s="1"/>
  <c r="AJ17" i="19" a="1"/>
  <c r="AJ17" i="19" s="1"/>
  <c r="Z17" i="19" s="1"/>
  <c r="AK52" i="20" a="1"/>
  <c r="AK52" i="20" s="1"/>
  <c r="AC52" i="20" a="1"/>
  <c r="AC52" i="20" s="1"/>
  <c r="AJ52" i="20" a="1"/>
  <c r="AJ52" i="20" s="1"/>
  <c r="AL52" i="20" a="1"/>
  <c r="AL52" i="20" s="1"/>
  <c r="AM52" i="20" a="1"/>
  <c r="AM52" i="20" s="1"/>
  <c r="AN52" i="20" a="1"/>
  <c r="AN52" i="20" s="1"/>
  <c r="AO52" i="20" a="1"/>
  <c r="AO52" i="20" s="1"/>
  <c r="AG52" i="20" a="1"/>
  <c r="AG52" i="20" s="1"/>
  <c r="AD52" i="20" a="1"/>
  <c r="AD52" i="20" s="1"/>
  <c r="AE52" i="20" a="1"/>
  <c r="AE52" i="20" s="1"/>
  <c r="AF52" i="20" a="1"/>
  <c r="AF52" i="20" s="1"/>
  <c r="AH52" i="20" a="1"/>
  <c r="AH52" i="20" s="1"/>
  <c r="AG27" i="20" a="1"/>
  <c r="AG27" i="20" s="1"/>
  <c r="AH27" i="20" a="1"/>
  <c r="AH27" i="20" s="1"/>
  <c r="AO27" i="20" a="1"/>
  <c r="AO27" i="20" s="1"/>
  <c r="AC27" i="20" a="1"/>
  <c r="AC27" i="20" s="1"/>
  <c r="AF27" i="20" a="1"/>
  <c r="AF27" i="20" s="1"/>
  <c r="AJ27" i="20" a="1"/>
  <c r="AJ27" i="20" s="1"/>
  <c r="AK27" i="20" a="1"/>
  <c r="AK27" i="20" s="1"/>
  <c r="AL27" i="20" a="1"/>
  <c r="AL27" i="20" s="1"/>
  <c r="AN27" i="20" a="1"/>
  <c r="AN27" i="20" s="1"/>
  <c r="AM27" i="20" a="1"/>
  <c r="AM27" i="20" s="1"/>
  <c r="AD27" i="20" a="1"/>
  <c r="AD27" i="20" s="1"/>
  <c r="AE27" i="20" a="1"/>
  <c r="AE27" i="20" s="1"/>
  <c r="AO34" i="20" a="1"/>
  <c r="AO34" i="20" s="1"/>
  <c r="AF34" i="20" a="1"/>
  <c r="AF34" i="20" s="1"/>
  <c r="AK34" i="20" a="1"/>
  <c r="AK34" i="20" s="1"/>
  <c r="AM34" i="20" a="1"/>
  <c r="AM34" i="20" s="1"/>
  <c r="AH34" i="20" a="1"/>
  <c r="AH34" i="20" s="1"/>
  <c r="AL34" i="20" a="1"/>
  <c r="AL34" i="20" s="1"/>
  <c r="AJ34" i="20" a="1"/>
  <c r="AJ34" i="20" s="1"/>
  <c r="AN34" i="20" a="1"/>
  <c r="AN34" i="20" s="1"/>
  <c r="AD34" i="20" a="1"/>
  <c r="AD34" i="20" s="1"/>
  <c r="AC34" i="20" a="1"/>
  <c r="AC34" i="20" s="1"/>
  <c r="AE34" i="20" a="1"/>
  <c r="AE34" i="20" s="1"/>
  <c r="AG34" i="20" a="1"/>
  <c r="AG34" i="20" s="1"/>
  <c r="AE9" i="20" a="1"/>
  <c r="AE9" i="20" s="1"/>
  <c r="AL9" i="20" a="1"/>
  <c r="AL9" i="20" s="1"/>
  <c r="AM9" i="20" a="1"/>
  <c r="AM9" i="20" s="1"/>
  <c r="AN9" i="20" a="1"/>
  <c r="AN9" i="20" s="1"/>
  <c r="AO9" i="20" a="1"/>
  <c r="AO9" i="20" s="1"/>
  <c r="AH9" i="20" a="1"/>
  <c r="AH9" i="20" s="1"/>
  <c r="AC9" i="20" a="1"/>
  <c r="AC9" i="20" s="1"/>
  <c r="AD9" i="20" a="1"/>
  <c r="AD9" i="20" s="1"/>
  <c r="AJ9" i="20" a="1"/>
  <c r="AJ9" i="20" s="1"/>
  <c r="AG9" i="20" a="1"/>
  <c r="AG9" i="20" s="1"/>
  <c r="AK9" i="20" a="1"/>
  <c r="AK9" i="20" s="1"/>
  <c r="AF9" i="20" a="1"/>
  <c r="AF9" i="20" s="1"/>
  <c r="AF13" i="20" a="1"/>
  <c r="AF13" i="20" s="1"/>
  <c r="AJ13" i="20" a="1"/>
  <c r="AJ13" i="20" s="1"/>
  <c r="AG13" i="20" a="1"/>
  <c r="AG13" i="20" s="1"/>
  <c r="AL13" i="20" a="1"/>
  <c r="AL13" i="20" s="1"/>
  <c r="AM13" i="20" a="1"/>
  <c r="AM13" i="20" s="1"/>
  <c r="AN13" i="20" a="1"/>
  <c r="AN13" i="20" s="1"/>
  <c r="AO13" i="20" a="1"/>
  <c r="AO13" i="20" s="1"/>
  <c r="AK13" i="20" a="1"/>
  <c r="AK13" i="20" s="1"/>
  <c r="AC13" i="20" a="1"/>
  <c r="AC13" i="20" s="1"/>
  <c r="AD13" i="20" a="1"/>
  <c r="AD13" i="20" s="1"/>
  <c r="AH13" i="20" a="1"/>
  <c r="AH13" i="20" s="1"/>
  <c r="AE13" i="20" a="1"/>
  <c r="AE13" i="20" s="1"/>
  <c r="AD45" i="20" a="1"/>
  <c r="AD45" i="20" s="1"/>
  <c r="AJ45" i="20" a="1"/>
  <c r="AJ45" i="20" s="1"/>
  <c r="AF45" i="20" a="1"/>
  <c r="AF45" i="20" s="1"/>
  <c r="AE45" i="20" a="1"/>
  <c r="AE45" i="20" s="1"/>
  <c r="AC45" i="20" a="1"/>
  <c r="AC45" i="20" s="1"/>
  <c r="AK45" i="20" a="1"/>
  <c r="AK45" i="20" s="1"/>
  <c r="AL45" i="20" a="1"/>
  <c r="AL45" i="20" s="1"/>
  <c r="AM45" i="20" a="1"/>
  <c r="AM45" i="20" s="1"/>
  <c r="AG45" i="20" a="1"/>
  <c r="AG45" i="20" s="1"/>
  <c r="AH45" i="20" a="1"/>
  <c r="AH45" i="20" s="1"/>
  <c r="AN45" i="20" a="1"/>
  <c r="AN45" i="20" s="1"/>
  <c r="AO45" i="20" a="1"/>
  <c r="AO45" i="20" s="1"/>
  <c r="AN20" i="20" a="1"/>
  <c r="AN20" i="20" s="1"/>
  <c r="AO20" i="20" a="1"/>
  <c r="AO20" i="20" s="1"/>
  <c r="AG20" i="20" a="1"/>
  <c r="AG20" i="20" s="1"/>
  <c r="AM20" i="20" a="1"/>
  <c r="AM20" i="20" s="1"/>
  <c r="AD20" i="20" a="1"/>
  <c r="AD20" i="20" s="1"/>
  <c r="AH20" i="20" a="1"/>
  <c r="AH20" i="20" s="1"/>
  <c r="AE20" i="20" a="1"/>
  <c r="AE20" i="20" s="1"/>
  <c r="AF20" i="20" a="1"/>
  <c r="AF20" i="20" s="1"/>
  <c r="AL20" i="20" a="1"/>
  <c r="AL20" i="20" s="1"/>
  <c r="AK20" i="20" a="1"/>
  <c r="AK20" i="20" s="1"/>
  <c r="AJ20" i="20" a="1"/>
  <c r="AJ20" i="20" s="1"/>
  <c r="AC20" i="20" a="1"/>
  <c r="AC20" i="20" s="1"/>
  <c r="AC41" i="20" a="1"/>
  <c r="AC41" i="20" s="1"/>
  <c r="AD41" i="20" a="1"/>
  <c r="AD41" i="20" s="1"/>
  <c r="AE41" i="20" a="1"/>
  <c r="AE41" i="20" s="1"/>
  <c r="AJ41" i="20" a="1"/>
  <c r="AJ41" i="20" s="1"/>
  <c r="AO41" i="20" a="1"/>
  <c r="AO41" i="20" s="1"/>
  <c r="AH41" i="20" a="1"/>
  <c r="AH41" i="20" s="1"/>
  <c r="AL41" i="20" a="1"/>
  <c r="AL41" i="20" s="1"/>
  <c r="AM41" i="20" a="1"/>
  <c r="AM41" i="20" s="1"/>
  <c r="AN41" i="20" a="1"/>
  <c r="AN41" i="20" s="1"/>
  <c r="AK41" i="20" a="1"/>
  <c r="AK41" i="20" s="1"/>
  <c r="AF41" i="20" a="1"/>
  <c r="AF41" i="20" s="1"/>
  <c r="AG41" i="20" a="1"/>
  <c r="AG41" i="20" s="1"/>
  <c r="AE16" i="20" a="1"/>
  <c r="AE16" i="20" s="1"/>
  <c r="AF16" i="20" a="1"/>
  <c r="AF16" i="20" s="1"/>
  <c r="AO16" i="20" a="1"/>
  <c r="AO16" i="20" s="1"/>
  <c r="AD16" i="20" a="1"/>
  <c r="AD16" i="20" s="1"/>
  <c r="AK16" i="20" a="1"/>
  <c r="AK16" i="20" s="1"/>
  <c r="AC16" i="20" a="1"/>
  <c r="AC16" i="20" s="1"/>
  <c r="AG16" i="20" a="1"/>
  <c r="AG16" i="20" s="1"/>
  <c r="AJ16" i="20" a="1"/>
  <c r="AJ16" i="20" s="1"/>
  <c r="AM16" i="20" a="1"/>
  <c r="AM16" i="20" s="1"/>
  <c r="AL16" i="20" a="1"/>
  <c r="AL16" i="20" s="1"/>
  <c r="AN16" i="20" a="1"/>
  <c r="AN16" i="20" s="1"/>
  <c r="AH16" i="20" a="1"/>
  <c r="AH16" i="20" s="1"/>
  <c r="AK48" i="20" a="1"/>
  <c r="AK48" i="20" s="1"/>
  <c r="AL48" i="20" a="1"/>
  <c r="AL48" i="20" s="1"/>
  <c r="AM48" i="20" a="1"/>
  <c r="AM48" i="20" s="1"/>
  <c r="AH48" i="20" a="1"/>
  <c r="AH48" i="20" s="1"/>
  <c r="AC48" i="20" a="1"/>
  <c r="AC48" i="20" s="1"/>
  <c r="AN48" i="20" a="1"/>
  <c r="AN48" i="20" s="1"/>
  <c r="AE48" i="20" a="1"/>
  <c r="AE48" i="20" s="1"/>
  <c r="AF48" i="20" a="1"/>
  <c r="AF48" i="20" s="1"/>
  <c r="AJ48" i="20" a="1"/>
  <c r="AJ48" i="20" s="1"/>
  <c r="AO48" i="20" a="1"/>
  <c r="AO48" i="20" s="1"/>
  <c r="AD48" i="20" a="1"/>
  <c r="AD48" i="20" s="1"/>
  <c r="AG48" i="20" a="1"/>
  <c r="AG48" i="20" s="1"/>
  <c r="AL23" i="20" a="1"/>
  <c r="AL23" i="20" s="1"/>
  <c r="AM23" i="20" a="1"/>
  <c r="AM23" i="20" s="1"/>
  <c r="AO23" i="20" a="1"/>
  <c r="AO23" i="20" s="1"/>
  <c r="AN23" i="20" a="1"/>
  <c r="AN23" i="20" s="1"/>
  <c r="AF23" i="20" a="1"/>
  <c r="AF23" i="20" s="1"/>
  <c r="AH23" i="20" a="1"/>
  <c r="AH23" i="20" s="1"/>
  <c r="AJ23" i="20" a="1"/>
  <c r="AJ23" i="20" s="1"/>
  <c r="AK23" i="20" a="1"/>
  <c r="AK23" i="20" s="1"/>
  <c r="AD23" i="20" a="1"/>
  <c r="AD23" i="20" s="1"/>
  <c r="AE23" i="20" a="1"/>
  <c r="AE23" i="20" s="1"/>
  <c r="AG23" i="20" a="1"/>
  <c r="AG23" i="20" s="1"/>
  <c r="AC23" i="20" a="1"/>
  <c r="AC23" i="20" s="1"/>
  <c r="AE30" i="20" a="1"/>
  <c r="AE30" i="20" s="1"/>
  <c r="AG30" i="20" a="1"/>
  <c r="AG30" i="20" s="1"/>
  <c r="AF30" i="20" a="1"/>
  <c r="AF30" i="20" s="1"/>
  <c r="AN30" i="20" a="1"/>
  <c r="AN30" i="20" s="1"/>
  <c r="AM30" i="20" a="1"/>
  <c r="AM30" i="20" s="1"/>
  <c r="AH30" i="20" a="1"/>
  <c r="AH30" i="20" s="1"/>
  <c r="AK30" i="20" a="1"/>
  <c r="AK30" i="20" s="1"/>
  <c r="AO30" i="20" a="1"/>
  <c r="AO30" i="20" s="1"/>
  <c r="AL30" i="20" a="1"/>
  <c r="AL30" i="20" s="1"/>
  <c r="AJ30" i="20" a="1"/>
  <c r="AJ30" i="20" s="1"/>
  <c r="AC30" i="20" a="1"/>
  <c r="AC30" i="20" s="1"/>
  <c r="AD30" i="20" a="1"/>
  <c r="AD30" i="20" s="1"/>
  <c r="AJ5" i="20" a="1"/>
  <c r="AJ5" i="20" s="1"/>
  <c r="AD5" i="20" a="1"/>
  <c r="AD5" i="20" s="1"/>
  <c r="AE5" i="20" a="1"/>
  <c r="AE5" i="20" s="1"/>
  <c r="AC5" i="20" a="1"/>
  <c r="AC5" i="20" s="1"/>
  <c r="AO5" i="20" a="1"/>
  <c r="AO5" i="20" s="1"/>
  <c r="AH5" i="20" a="1"/>
  <c r="AH5" i="20" s="1"/>
  <c r="AF5" i="20" a="1"/>
  <c r="AF5" i="20" s="1"/>
  <c r="AG5" i="20" a="1"/>
  <c r="AG5" i="20" s="1"/>
  <c r="AM5" i="20" a="1"/>
  <c r="AM5" i="20" s="1"/>
  <c r="AN5" i="20" a="1"/>
  <c r="AN5" i="20" s="1"/>
  <c r="AK5" i="20" a="1"/>
  <c r="AK5" i="20" s="1"/>
  <c r="AL5" i="20" a="1"/>
  <c r="AL5" i="20" s="1"/>
  <c r="AJ49" i="20" a="1"/>
  <c r="AJ49" i="20" s="1"/>
  <c r="AC49" i="20" a="1"/>
  <c r="AC49" i="20" s="1"/>
  <c r="AE49" i="20" a="1"/>
  <c r="AE49" i="20" s="1"/>
  <c r="AL49" i="20" a="1"/>
  <c r="AL49" i="20" s="1"/>
  <c r="AK49" i="20" a="1"/>
  <c r="AK49" i="20" s="1"/>
  <c r="AD49" i="20" a="1"/>
  <c r="AD49" i="20" s="1"/>
  <c r="AH49" i="20" a="1"/>
  <c r="AH49" i="20" s="1"/>
  <c r="AN49" i="20" a="1"/>
  <c r="AN49" i="20" s="1"/>
  <c r="AF49" i="20" a="1"/>
  <c r="AF49" i="20" s="1"/>
  <c r="AO49" i="20" a="1"/>
  <c r="AO49" i="20" s="1"/>
  <c r="AG49" i="20" a="1"/>
  <c r="AG49" i="20" s="1"/>
  <c r="AM49" i="20" a="1"/>
  <c r="AM49" i="20" s="1"/>
  <c r="AH24" i="20" a="1"/>
  <c r="AH24" i="20" s="1"/>
  <c r="AD24" i="20" a="1"/>
  <c r="AD24" i="20" s="1"/>
  <c r="AM24" i="20" a="1"/>
  <c r="AM24" i="20" s="1"/>
  <c r="AN24" i="20" a="1"/>
  <c r="AN24" i="20" s="1"/>
  <c r="AO24" i="20" a="1"/>
  <c r="AO24" i="20" s="1"/>
  <c r="AF24" i="20" a="1"/>
  <c r="AF24" i="20" s="1"/>
  <c r="AJ24" i="20" a="1"/>
  <c r="AJ24" i="20" s="1"/>
  <c r="AK24" i="20" a="1"/>
  <c r="AK24" i="20" s="1"/>
  <c r="AE24" i="20" a="1"/>
  <c r="AE24" i="20" s="1"/>
  <c r="AC24" i="20" a="1"/>
  <c r="AC24" i="20" s="1"/>
  <c r="AG24" i="20" a="1"/>
  <c r="AG24" i="20" s="1"/>
  <c r="AL24" i="20" a="1"/>
  <c r="AL24" i="20" s="1"/>
  <c r="AH31" i="20" a="1"/>
  <c r="AH31" i="20" s="1"/>
  <c r="AE31" i="20" a="1"/>
  <c r="AE31" i="20" s="1"/>
  <c r="AL31" i="20" a="1"/>
  <c r="AL31" i="20" s="1"/>
  <c r="AD31" i="20" a="1"/>
  <c r="AD31" i="20" s="1"/>
  <c r="AC31" i="20" a="1"/>
  <c r="AC31" i="20" s="1"/>
  <c r="AF31" i="20" a="1"/>
  <c r="AF31" i="20" s="1"/>
  <c r="AK31" i="20" a="1"/>
  <c r="AK31" i="20" s="1"/>
  <c r="AM31" i="20" a="1"/>
  <c r="AM31" i="20" s="1"/>
  <c r="AO31" i="20" a="1"/>
  <c r="AO31" i="20" s="1"/>
  <c r="AN31" i="20" a="1"/>
  <c r="AN31" i="20" s="1"/>
  <c r="AJ31" i="20" a="1"/>
  <c r="AJ31" i="20" s="1"/>
  <c r="AG31" i="20" a="1"/>
  <c r="AG31" i="20" s="1"/>
  <c r="AK6" i="20" a="1"/>
  <c r="AK6" i="20" s="1"/>
  <c r="AF6" i="20" a="1"/>
  <c r="AF6" i="20" s="1"/>
  <c r="AD6" i="20" a="1"/>
  <c r="AD6" i="20" s="1"/>
  <c r="AJ6" i="20" a="1"/>
  <c r="AJ6" i="20" s="1"/>
  <c r="AE6" i="20" a="1"/>
  <c r="AE6" i="20" s="1"/>
  <c r="AG6" i="20" a="1"/>
  <c r="AG6" i="20" s="1"/>
  <c r="AL6" i="20" a="1"/>
  <c r="AL6" i="20" s="1"/>
  <c r="AC6" i="20" a="1"/>
  <c r="AC6" i="20" s="1"/>
  <c r="AN6" i="20" a="1"/>
  <c r="AN6" i="20" s="1"/>
  <c r="AO6" i="20" a="1"/>
  <c r="AO6" i="20" s="1"/>
  <c r="AM6" i="20" a="1"/>
  <c r="AM6" i="20" s="1"/>
  <c r="AH6" i="20" a="1"/>
  <c r="AH6" i="20" s="1"/>
  <c r="AE38" i="20" a="1"/>
  <c r="AE38" i="20" s="1"/>
  <c r="AJ38" i="20" a="1"/>
  <c r="AJ38" i="20" s="1"/>
  <c r="AG38" i="20" a="1"/>
  <c r="AG38" i="20" s="1"/>
  <c r="AF38" i="20" a="1"/>
  <c r="AF38" i="20" s="1"/>
  <c r="AD38" i="20" a="1"/>
  <c r="AD38" i="20" s="1"/>
  <c r="AN38" i="20" a="1"/>
  <c r="AN38" i="20" s="1"/>
  <c r="AO38" i="20" a="1"/>
  <c r="AO38" i="20" s="1"/>
  <c r="AC38" i="20" a="1"/>
  <c r="AC38" i="20" s="1"/>
  <c r="AK38" i="20" a="1"/>
  <c r="AK38" i="20" s="1"/>
  <c r="AL38" i="20" a="1"/>
  <c r="AL38" i="20" s="1"/>
  <c r="AM38" i="20" a="1"/>
  <c r="AM38" i="20" s="1"/>
  <c r="AH38" i="20" a="1"/>
  <c r="AH38" i="20" s="1"/>
  <c r="AN37" i="20" a="1"/>
  <c r="AN37" i="20" s="1"/>
  <c r="AO37" i="20" a="1"/>
  <c r="AO37" i="20" s="1"/>
  <c r="AD37" i="20" a="1"/>
  <c r="AD37" i="20" s="1"/>
  <c r="AG37" i="20" a="1"/>
  <c r="AG37" i="20" s="1"/>
  <c r="AJ37" i="20" a="1"/>
  <c r="AJ37" i="20" s="1"/>
  <c r="AH37" i="20" a="1"/>
  <c r="AH37" i="20" s="1"/>
  <c r="AK37" i="20" a="1"/>
  <c r="AK37" i="20" s="1"/>
  <c r="AL37" i="20" a="1"/>
  <c r="AL37" i="20" s="1"/>
  <c r="AM37" i="20" a="1"/>
  <c r="AM37" i="20" s="1"/>
  <c r="AC37" i="20" a="1"/>
  <c r="AC37" i="20" s="1"/>
  <c r="AE37" i="20" a="1"/>
  <c r="AE37" i="20" s="1"/>
  <c r="AF37" i="20" a="1"/>
  <c r="AF37" i="20" s="1"/>
  <c r="AN12" i="20" a="1"/>
  <c r="AN12" i="20" s="1"/>
  <c r="AO12" i="20" a="1"/>
  <c r="AO12" i="20" s="1"/>
  <c r="AD12" i="20" a="1"/>
  <c r="AD12" i="20" s="1"/>
  <c r="AF12" i="20" a="1"/>
  <c r="AF12" i="20" s="1"/>
  <c r="AL12" i="20" a="1"/>
  <c r="AL12" i="20" s="1"/>
  <c r="AM12" i="20" a="1"/>
  <c r="AM12" i="20" s="1"/>
  <c r="AG12" i="20" a="1"/>
  <c r="AG12" i="20" s="1"/>
  <c r="AH12" i="20" a="1"/>
  <c r="AH12" i="20" s="1"/>
  <c r="AE12" i="20" a="1"/>
  <c r="AE12" i="20" s="1"/>
  <c r="AC12" i="20" a="1"/>
  <c r="AC12" i="20" s="1"/>
  <c r="AJ12" i="20" a="1"/>
  <c r="AJ12" i="20" s="1"/>
  <c r="AK12" i="20" a="1"/>
  <c r="AK12" i="20" s="1"/>
  <c r="AC44" i="20" a="1"/>
  <c r="AC44" i="20" s="1"/>
  <c r="AL44" i="20" a="1"/>
  <c r="AL44" i="20" s="1"/>
  <c r="AM44" i="20" a="1"/>
  <c r="AM44" i="20" s="1"/>
  <c r="AG44" i="20" a="1"/>
  <c r="AG44" i="20" s="1"/>
  <c r="AK44" i="20" a="1"/>
  <c r="AK44" i="20" s="1"/>
  <c r="AN44" i="20" a="1"/>
  <c r="AN44" i="20" s="1"/>
  <c r="AH44" i="20" a="1"/>
  <c r="AH44" i="20" s="1"/>
  <c r="AO44" i="20" a="1"/>
  <c r="AO44" i="20" s="1"/>
  <c r="AD44" i="20" a="1"/>
  <c r="AD44" i="20" s="1"/>
  <c r="AF44" i="20" a="1"/>
  <c r="AF44" i="20" s="1"/>
  <c r="AE44" i="20" a="1"/>
  <c r="AE44" i="20" s="1"/>
  <c r="AJ44" i="20" a="1"/>
  <c r="AJ44" i="20" s="1"/>
  <c r="AD19" i="20" a="1"/>
  <c r="AD19" i="20" s="1"/>
  <c r="AE19" i="20" a="1"/>
  <c r="AE19" i="20" s="1"/>
  <c r="AM19" i="20" a="1"/>
  <c r="AM19" i="20" s="1"/>
  <c r="AJ19" i="20" a="1"/>
  <c r="AJ19" i="20" s="1"/>
  <c r="AF19" i="20" a="1"/>
  <c r="AF19" i="20" s="1"/>
  <c r="AG19" i="20" a="1"/>
  <c r="AG19" i="20" s="1"/>
  <c r="AK19" i="20" a="1"/>
  <c r="AK19" i="20" s="1"/>
  <c r="AL19" i="20" a="1"/>
  <c r="AL19" i="20" s="1"/>
  <c r="AN19" i="20" a="1"/>
  <c r="AN19" i="20" s="1"/>
  <c r="AO19" i="20" a="1"/>
  <c r="AO19" i="20" s="1"/>
  <c r="AC19" i="20" a="1"/>
  <c r="AC19" i="20" s="1"/>
  <c r="AH19" i="20" a="1"/>
  <c r="AH19" i="20" s="1"/>
  <c r="AO51" i="20" a="1"/>
  <c r="AO51" i="20" s="1"/>
  <c r="AG51" i="20" a="1"/>
  <c r="AG51" i="20" s="1"/>
  <c r="AH51" i="20" a="1"/>
  <c r="AH51" i="20" s="1"/>
  <c r="AK51" i="20" a="1"/>
  <c r="AK51" i="20" s="1"/>
  <c r="AM51" i="20" a="1"/>
  <c r="AM51" i="20" s="1"/>
  <c r="AN51" i="20" a="1"/>
  <c r="AN51" i="20" s="1"/>
  <c r="AJ51" i="20" a="1"/>
  <c r="AJ51" i="20" s="1"/>
  <c r="AL51" i="20" a="1"/>
  <c r="AL51" i="20" s="1"/>
  <c r="AF51" i="20" a="1"/>
  <c r="AF51" i="20" s="1"/>
  <c r="AC51" i="20" a="1"/>
  <c r="AC51" i="20" s="1"/>
  <c r="AD51" i="20" a="1"/>
  <c r="AD51" i="20" s="1"/>
  <c r="AE51" i="20" a="1"/>
  <c r="AE51" i="20" s="1"/>
  <c r="AL26" i="20" a="1"/>
  <c r="AL26" i="20" s="1"/>
  <c r="AN26" i="20" a="1"/>
  <c r="AN26" i="20" s="1"/>
  <c r="AM26" i="20" a="1"/>
  <c r="AM26" i="20" s="1"/>
  <c r="AE26" i="20" a="1"/>
  <c r="AE26" i="20" s="1"/>
  <c r="AO26" i="20" a="1"/>
  <c r="AO26" i="20" s="1"/>
  <c r="AF26" i="20" a="1"/>
  <c r="AF26" i="20" s="1"/>
  <c r="AC26" i="20" a="1"/>
  <c r="AC26" i="20" s="1"/>
  <c r="AD26" i="20" a="1"/>
  <c r="AD26" i="20" s="1"/>
  <c r="AG26" i="20" a="1"/>
  <c r="AG26" i="20" s="1"/>
  <c r="AJ26" i="20" a="1"/>
  <c r="AJ26" i="20" s="1"/>
  <c r="AK26" i="20" a="1"/>
  <c r="AK26" i="20" s="1"/>
  <c r="AH26" i="20" a="1"/>
  <c r="AH26" i="20" s="1"/>
  <c r="AO47" i="20" a="1"/>
  <c r="AO47" i="20" s="1"/>
  <c r="AH47" i="20" a="1"/>
  <c r="AH47" i="20" s="1"/>
  <c r="AD47" i="20" a="1"/>
  <c r="AD47" i="20" s="1"/>
  <c r="AE47" i="20" a="1"/>
  <c r="AE47" i="20" s="1"/>
  <c r="AL47" i="20" a="1"/>
  <c r="AL47" i="20" s="1"/>
  <c r="AK47" i="20" a="1"/>
  <c r="AK47" i="20" s="1"/>
  <c r="AA47" i="20" s="1"/>
  <c r="AF47" i="20" a="1"/>
  <c r="AF47" i="20" s="1"/>
  <c r="AM47" i="20" a="1"/>
  <c r="AM47" i="20" s="1"/>
  <c r="AG47" i="20" a="1"/>
  <c r="AG47" i="20" s="1"/>
  <c r="AN47" i="20" a="1"/>
  <c r="AN47" i="20" s="1"/>
  <c r="AC47" i="20" a="1"/>
  <c r="AC47" i="20" s="1"/>
  <c r="AJ47" i="20" a="1"/>
  <c r="AJ47" i="20" s="1"/>
  <c r="AL43" i="20" a="1"/>
  <c r="AL43" i="20" s="1"/>
  <c r="AG43" i="20" a="1"/>
  <c r="AG43" i="20" s="1"/>
  <c r="AN43" i="20" a="1"/>
  <c r="AN43" i="20" s="1"/>
  <c r="AM43" i="20" a="1"/>
  <c r="AM43" i="20" s="1"/>
  <c r="AH43" i="20" a="1"/>
  <c r="AH43" i="20" s="1"/>
  <c r="AE43" i="20" a="1"/>
  <c r="AE43" i="20" s="1"/>
  <c r="AF43" i="20" a="1"/>
  <c r="AF43" i="20" s="1"/>
  <c r="AK43" i="20" a="1"/>
  <c r="AK43" i="20" s="1"/>
  <c r="AJ43" i="20" a="1"/>
  <c r="AJ43" i="20" s="1"/>
  <c r="AD43" i="20" a="1"/>
  <c r="AD43" i="20" s="1"/>
  <c r="AC43" i="20" a="1"/>
  <c r="AC43" i="20" s="1"/>
  <c r="AO43" i="20" a="1"/>
  <c r="AO43" i="20" s="1"/>
  <c r="AF50" i="20" a="1"/>
  <c r="AF50" i="20" s="1"/>
  <c r="AN50" i="20" a="1"/>
  <c r="AN50" i="20" s="1"/>
  <c r="AG50" i="20" a="1"/>
  <c r="AG50" i="20" s="1"/>
  <c r="AH50" i="20" a="1"/>
  <c r="AH50" i="20" s="1"/>
  <c r="AL50" i="20" a="1"/>
  <c r="AL50" i="20" s="1"/>
  <c r="AJ50" i="20" a="1"/>
  <c r="AJ50" i="20" s="1"/>
  <c r="AK50" i="20" a="1"/>
  <c r="AK50" i="20" s="1"/>
  <c r="AC50" i="20" a="1"/>
  <c r="AC50" i="20" s="1"/>
  <c r="AM50" i="20" a="1"/>
  <c r="AM50" i="20" s="1"/>
  <c r="AD50" i="20" a="1"/>
  <c r="AD50" i="20" s="1"/>
  <c r="AO50" i="20" a="1"/>
  <c r="AO50" i="20" s="1"/>
  <c r="AE50" i="20" a="1"/>
  <c r="AE50" i="20" s="1"/>
  <c r="AD25" i="20" a="1"/>
  <c r="AD25" i="20" s="1"/>
  <c r="AC25" i="20" a="1"/>
  <c r="AC25" i="20" s="1"/>
  <c r="AJ25" i="20" a="1"/>
  <c r="AJ25" i="20" s="1"/>
  <c r="AG25" i="20" a="1"/>
  <c r="AG25" i="20" s="1"/>
  <c r="AH25" i="20" a="1"/>
  <c r="AH25" i="20" s="1"/>
  <c r="AF25" i="20" a="1"/>
  <c r="AF25" i="20" s="1"/>
  <c r="AO25" i="20" a="1"/>
  <c r="AO25" i="20" s="1"/>
  <c r="AM25" i="20" a="1"/>
  <c r="AM25" i="20" s="1"/>
  <c r="AE25" i="20" a="1"/>
  <c r="AE25" i="20" s="1"/>
  <c r="AN25" i="20" a="1"/>
  <c r="AN25" i="20" s="1"/>
  <c r="AK25" i="20" a="1"/>
  <c r="AK25" i="20" s="1"/>
  <c r="AL25" i="20" a="1"/>
  <c r="AL25" i="20" s="1"/>
  <c r="AJ32" i="20" a="1"/>
  <c r="AJ32" i="20" s="1"/>
  <c r="AL32" i="20" a="1"/>
  <c r="AL32" i="20" s="1"/>
  <c r="AK32" i="20" a="1"/>
  <c r="AK32" i="20" s="1"/>
  <c r="AG32" i="20" a="1"/>
  <c r="AG32" i="20" s="1"/>
  <c r="AN32" i="20" a="1"/>
  <c r="AN32" i="20" s="1"/>
  <c r="AH32" i="20" a="1"/>
  <c r="AH32" i="20" s="1"/>
  <c r="AO32" i="20" a="1"/>
  <c r="AO32" i="20" s="1"/>
  <c r="AC32" i="20" a="1"/>
  <c r="AC32" i="20" s="1"/>
  <c r="AM32" i="20" a="1"/>
  <c r="AM32" i="20" s="1"/>
  <c r="AD32" i="20" a="1"/>
  <c r="AD32" i="20" s="1"/>
  <c r="AE32" i="20" a="1"/>
  <c r="AE32" i="20" s="1"/>
  <c r="AF32" i="20" a="1"/>
  <c r="AF32" i="20" s="1"/>
  <c r="AL7" i="20" a="1"/>
  <c r="AL7" i="20" s="1"/>
  <c r="AG7" i="20" a="1"/>
  <c r="AG7" i="20" s="1"/>
  <c r="AM7" i="20" a="1"/>
  <c r="AM7" i="20" s="1"/>
  <c r="AH7" i="20" a="1"/>
  <c r="AH7" i="20" s="1"/>
  <c r="AN7" i="20" a="1"/>
  <c r="AN7" i="20" s="1"/>
  <c r="AO7" i="20" a="1"/>
  <c r="AO7" i="20" s="1"/>
  <c r="AJ7" i="20" a="1"/>
  <c r="AJ7" i="20" s="1"/>
  <c r="AK7" i="20" a="1"/>
  <c r="AK7" i="20" s="1"/>
  <c r="AC7" i="20" a="1"/>
  <c r="AC7" i="20" s="1"/>
  <c r="AD7" i="20" a="1"/>
  <c r="AD7" i="20" s="1"/>
  <c r="AF7" i="20" a="1"/>
  <c r="AF7" i="20" s="1"/>
  <c r="AE7" i="20" a="1"/>
  <c r="AE7" i="20" s="1"/>
  <c r="AK39" i="20" a="1"/>
  <c r="AK39" i="20" s="1"/>
  <c r="AH39" i="20" a="1"/>
  <c r="AH39" i="20" s="1"/>
  <c r="AO39" i="20" a="1"/>
  <c r="AO39" i="20" s="1"/>
  <c r="AL39" i="20" a="1"/>
  <c r="AL39" i="20" s="1"/>
  <c r="AD39" i="20" a="1"/>
  <c r="AD39" i="20" s="1"/>
  <c r="AG39" i="20" a="1"/>
  <c r="AG39" i="20" s="1"/>
  <c r="AJ39" i="20" a="1"/>
  <c r="AJ39" i="20" s="1"/>
  <c r="AM39" i="20" a="1"/>
  <c r="AM39" i="20" s="1"/>
  <c r="AN39" i="20" a="1"/>
  <c r="AN39" i="20" s="1"/>
  <c r="AC39" i="20" a="1"/>
  <c r="AC39" i="20" s="1"/>
  <c r="AF39" i="20" a="1"/>
  <c r="AF39" i="20" s="1"/>
  <c r="AE39" i="20" a="1"/>
  <c r="AE39" i="20" s="1"/>
  <c r="AK14" i="20" a="1"/>
  <c r="AK14" i="20" s="1"/>
  <c r="AD14" i="20" a="1"/>
  <c r="AD14" i="20" s="1"/>
  <c r="AA14" i="20" s="1"/>
  <c r="AE14" i="20" a="1"/>
  <c r="AE14" i="20" s="1"/>
  <c r="AF14" i="20" a="1"/>
  <c r="AF14" i="20" s="1"/>
  <c r="AJ14" i="20" a="1"/>
  <c r="AJ14" i="20" s="1"/>
  <c r="AG14" i="20" a="1"/>
  <c r="AG14" i="20" s="1"/>
  <c r="AC14" i="20" a="1"/>
  <c r="AC14" i="20" s="1"/>
  <c r="AH14" i="20" a="1"/>
  <c r="AH14" i="20" s="1"/>
  <c r="AM14" i="20" a="1"/>
  <c r="AM14" i="20" s="1"/>
  <c r="AN14" i="20" a="1"/>
  <c r="AN14" i="20" s="1"/>
  <c r="AO14" i="20" a="1"/>
  <c r="AO14" i="20" s="1"/>
  <c r="AL14" i="20" a="1"/>
  <c r="AL14" i="20" s="1"/>
  <c r="AK46" i="20" a="1"/>
  <c r="AK46" i="20" s="1"/>
  <c r="AE46" i="20" a="1"/>
  <c r="AE46" i="20" s="1"/>
  <c r="AM46" i="20" a="1"/>
  <c r="AM46" i="20" s="1"/>
  <c r="AG46" i="20" a="1"/>
  <c r="AG46" i="20" s="1"/>
  <c r="AL46" i="20" a="1"/>
  <c r="AL46" i="20" s="1"/>
  <c r="AF46" i="20" a="1"/>
  <c r="AF46" i="20" s="1"/>
  <c r="AN46" i="20" a="1"/>
  <c r="AN46" i="20" s="1"/>
  <c r="AC46" i="20" a="1"/>
  <c r="AC46" i="20" s="1"/>
  <c r="AD46" i="20" a="1"/>
  <c r="AD46" i="20" s="1"/>
  <c r="AH46" i="20" a="1"/>
  <c r="AH46" i="20" s="1"/>
  <c r="AO46" i="20" a="1"/>
  <c r="AO46" i="20" s="1"/>
  <c r="AJ46" i="20" a="1"/>
  <c r="AJ46" i="20" s="1"/>
  <c r="AJ21" i="20" a="1"/>
  <c r="AJ21" i="20" s="1"/>
  <c r="AE21" i="20" a="1"/>
  <c r="AE21" i="20" s="1"/>
  <c r="AG21" i="20" a="1"/>
  <c r="AG21" i="20" s="1"/>
  <c r="AK21" i="20" a="1"/>
  <c r="AK21" i="20" s="1"/>
  <c r="AH21" i="20" a="1"/>
  <c r="AH21" i="20" s="1"/>
  <c r="AL21" i="20" a="1"/>
  <c r="AL21" i="20" s="1"/>
  <c r="AC21" i="20" a="1"/>
  <c r="AC21" i="20" s="1"/>
  <c r="AD21" i="20" a="1"/>
  <c r="AD21" i="20" s="1"/>
  <c r="AA21" i="20" s="1"/>
  <c r="AN21" i="20" a="1"/>
  <c r="AN21" i="20" s="1"/>
  <c r="AM21" i="20" a="1"/>
  <c r="AM21" i="20" s="1"/>
  <c r="AO21" i="20" a="1"/>
  <c r="AO21" i="20" s="1"/>
  <c r="AF21" i="20" a="1"/>
  <c r="AF21" i="20" s="1"/>
  <c r="AC22" i="20" a="1"/>
  <c r="AC22" i="20" s="1"/>
  <c r="AD22" i="20" a="1"/>
  <c r="AD22" i="20" s="1"/>
  <c r="AK22" i="20" a="1"/>
  <c r="AK22" i="20" s="1"/>
  <c r="AE22" i="20" a="1"/>
  <c r="AE22" i="20" s="1"/>
  <c r="AN22" i="20" a="1"/>
  <c r="AN22" i="20" s="1"/>
  <c r="AO22" i="20" a="1"/>
  <c r="AO22" i="20" s="1"/>
  <c r="AJ22" i="20" a="1"/>
  <c r="AJ22" i="20" s="1"/>
  <c r="AF22" i="20" a="1"/>
  <c r="AF22" i="20" s="1"/>
  <c r="AG22" i="20" a="1"/>
  <c r="AG22" i="20" s="1"/>
  <c r="AH22" i="20" a="1"/>
  <c r="AH22" i="20" s="1"/>
  <c r="AL22" i="20" a="1"/>
  <c r="AL22" i="20" s="1"/>
  <c r="AM22" i="20" a="1"/>
  <c r="AM22" i="20" s="1"/>
  <c r="AC11" i="20" a="1"/>
  <c r="AC11" i="20" s="1"/>
  <c r="AM11" i="20" a="1"/>
  <c r="AM11" i="20" s="1"/>
  <c r="AN11" i="20" a="1"/>
  <c r="AN11" i="20" s="1"/>
  <c r="AD11" i="20" a="1"/>
  <c r="AD11" i="20" s="1"/>
  <c r="AE11" i="20" a="1"/>
  <c r="AE11" i="20" s="1"/>
  <c r="AF11" i="20" a="1"/>
  <c r="AF11" i="20" s="1"/>
  <c r="AJ11" i="20" a="1"/>
  <c r="AJ11" i="20" s="1"/>
  <c r="AL11" i="20" a="1"/>
  <c r="AL11" i="20" s="1"/>
  <c r="AG11" i="20" a="1"/>
  <c r="AG11" i="20" s="1"/>
  <c r="AH11" i="20" a="1"/>
  <c r="AH11" i="20" s="1"/>
  <c r="AO11" i="20" a="1"/>
  <c r="AO11" i="20" s="1"/>
  <c r="AK11" i="20" a="1"/>
  <c r="AK11" i="20" s="1"/>
  <c r="AJ18" i="20" a="1"/>
  <c r="AJ18" i="20" s="1"/>
  <c r="AL18" i="20" a="1"/>
  <c r="AL18" i="20" s="1"/>
  <c r="AK18" i="20" a="1"/>
  <c r="AK18" i="20" s="1"/>
  <c r="AC18" i="20" a="1"/>
  <c r="AC18" i="20" s="1"/>
  <c r="AD18" i="20" a="1"/>
  <c r="AD18" i="20" s="1"/>
  <c r="AM18" i="20" a="1"/>
  <c r="AM18" i="20" s="1"/>
  <c r="AN18" i="20" a="1"/>
  <c r="AN18" i="20" s="1"/>
  <c r="AO18" i="20" a="1"/>
  <c r="AO18" i="20" s="1"/>
  <c r="AE18" i="20" a="1"/>
  <c r="AE18" i="20" s="1"/>
  <c r="AF18" i="20" a="1"/>
  <c r="AF18" i="20" s="1"/>
  <c r="AG18" i="20" a="1"/>
  <c r="AG18" i="20" s="1"/>
  <c r="AH18" i="20" a="1"/>
  <c r="AH18" i="20" s="1"/>
  <c r="AD8" i="20" a="1"/>
  <c r="AD8" i="20" s="1"/>
  <c r="AC8" i="20" a="1"/>
  <c r="AC8" i="20" s="1"/>
  <c r="AO8" i="20" a="1"/>
  <c r="AO8" i="20" s="1"/>
  <c r="AJ8" i="20" a="1"/>
  <c r="AJ8" i="20" s="1"/>
  <c r="AG8" i="20" a="1"/>
  <c r="AG8" i="20" s="1"/>
  <c r="AK8" i="20" a="1"/>
  <c r="AK8" i="20" s="1"/>
  <c r="AL8" i="20" a="1"/>
  <c r="AL8" i="20" s="1"/>
  <c r="AM8" i="20" a="1"/>
  <c r="AM8" i="20" s="1"/>
  <c r="AE8" i="20" a="1"/>
  <c r="AE8" i="20" s="1"/>
  <c r="AF8" i="20" a="1"/>
  <c r="AF8" i="20" s="1"/>
  <c r="AN8" i="20" a="1"/>
  <c r="AN8" i="20" s="1"/>
  <c r="AH8" i="20" a="1"/>
  <c r="AH8" i="20" s="1"/>
  <c r="AC36" i="20" a="1"/>
  <c r="AC36" i="20" s="1"/>
  <c r="AM36" i="20" a="1"/>
  <c r="AM36" i="20" s="1"/>
  <c r="AL36" i="20" a="1"/>
  <c r="AL36" i="20" s="1"/>
  <c r="AF36" i="20" a="1"/>
  <c r="AF36" i="20" s="1"/>
  <c r="AN36" i="20" a="1"/>
  <c r="AN36" i="20" s="1"/>
  <c r="AG36" i="20" a="1"/>
  <c r="AG36" i="20" s="1"/>
  <c r="AO36" i="20" a="1"/>
  <c r="AO36" i="20" s="1"/>
  <c r="AD36" i="20" a="1"/>
  <c r="AD36" i="20" s="1"/>
  <c r="AE36" i="20" a="1"/>
  <c r="AE36" i="20" s="1"/>
  <c r="AH36" i="20" a="1"/>
  <c r="AH36" i="20" s="1"/>
  <c r="AK36" i="20" a="1"/>
  <c r="AK36" i="20" s="1"/>
  <c r="AA36" i="20" s="1"/>
  <c r="AJ36" i="20" a="1"/>
  <c r="AJ36" i="20" s="1"/>
  <c r="AD53" i="20" a="1"/>
  <c r="AD53" i="20" s="1"/>
  <c r="AE53" i="20" a="1"/>
  <c r="AE53" i="20" s="1"/>
  <c r="AH53" i="20" a="1"/>
  <c r="AH53" i="20" s="1"/>
  <c r="AC53" i="20" a="1"/>
  <c r="AC53" i="20" s="1"/>
  <c r="AG53" i="20" a="1"/>
  <c r="AG53" i="20" s="1"/>
  <c r="AF53" i="20" a="1"/>
  <c r="AF53" i="20" s="1"/>
  <c r="AC28" i="20" a="1"/>
  <c r="AC28" i="20" s="1"/>
  <c r="AL28" i="20" a="1"/>
  <c r="AL28" i="20" s="1"/>
  <c r="AK28" i="20" a="1"/>
  <c r="AK28" i="20" s="1"/>
  <c r="AM28" i="20" a="1"/>
  <c r="AM28" i="20" s="1"/>
  <c r="AF28" i="20" a="1"/>
  <c r="AF28" i="20" s="1"/>
  <c r="AJ28" i="20" a="1"/>
  <c r="AJ28" i="20" s="1"/>
  <c r="AN28" i="20" a="1"/>
  <c r="AN28" i="20" s="1"/>
  <c r="AO28" i="20" a="1"/>
  <c r="AO28" i="20" s="1"/>
  <c r="AE28" i="20" a="1"/>
  <c r="AE28" i="20" s="1"/>
  <c r="AG28" i="20" a="1"/>
  <c r="AG28" i="20" s="1"/>
  <c r="AD28" i="20" a="1"/>
  <c r="AD28" i="20" s="1"/>
  <c r="AH28" i="20" a="1"/>
  <c r="AH28" i="20" s="1"/>
  <c r="AM3" i="20" a="1"/>
  <c r="AM3" i="20" s="1"/>
  <c r="AG3" i="20" a="1"/>
  <c r="AG3" i="20" s="1"/>
  <c r="AJ3" i="20" a="1"/>
  <c r="AJ3" i="20" s="1"/>
  <c r="AK3" i="20" a="1"/>
  <c r="AK3" i="20" s="1"/>
  <c r="AL3" i="20" a="1"/>
  <c r="AL3" i="20" s="1"/>
  <c r="AN3" i="20" a="1"/>
  <c r="AN3" i="20" s="1"/>
  <c r="AO3" i="20" a="1"/>
  <c r="AO3" i="20" s="1"/>
  <c r="AC3" i="20" a="1"/>
  <c r="AC3" i="20" s="1"/>
  <c r="AD3" i="20" a="1"/>
  <c r="AD3" i="20" s="1"/>
  <c r="AE3" i="20" a="1"/>
  <c r="AE3" i="20" s="1"/>
  <c r="AH3" i="20" a="1"/>
  <c r="AH3" i="20" s="1"/>
  <c r="AF3" i="20" a="1"/>
  <c r="AF3" i="20" s="1"/>
  <c r="AL15" i="20" a="1"/>
  <c r="AL15" i="20" s="1"/>
  <c r="AN15" i="20" a="1"/>
  <c r="AN15" i="20" s="1"/>
  <c r="AM15" i="20" a="1"/>
  <c r="AM15" i="20" s="1"/>
  <c r="AC15" i="20" a="1"/>
  <c r="AC15" i="20" s="1"/>
  <c r="AK15" i="20" a="1"/>
  <c r="AK15" i="20" s="1"/>
  <c r="AE15" i="20" a="1"/>
  <c r="AE15" i="20" s="1"/>
  <c r="AF15" i="20" a="1"/>
  <c r="AF15" i="20" s="1"/>
  <c r="AG15" i="20" a="1"/>
  <c r="AG15" i="20" s="1"/>
  <c r="AH15" i="20" a="1"/>
  <c r="AH15" i="20" s="1"/>
  <c r="AO15" i="20" a="1"/>
  <c r="AO15" i="20" s="1"/>
  <c r="AD15" i="20" a="1"/>
  <c r="AD15" i="20" s="1"/>
  <c r="AJ15" i="20" a="1"/>
  <c r="AJ15" i="20" s="1"/>
  <c r="AG35" i="20" a="1"/>
  <c r="AG35" i="20" s="1"/>
  <c r="AK35" i="20" a="1"/>
  <c r="AK35" i="20" s="1"/>
  <c r="AJ35" i="20" a="1"/>
  <c r="AJ35" i="20" s="1"/>
  <c r="AH35" i="20" a="1"/>
  <c r="AH35" i="20" s="1"/>
  <c r="AC35" i="20" a="1"/>
  <c r="AC35" i="20" s="1"/>
  <c r="AD35" i="20" a="1"/>
  <c r="AD35" i="20" s="1"/>
  <c r="AE35" i="20" a="1"/>
  <c r="AE35" i="20" s="1"/>
  <c r="AF35" i="20" a="1"/>
  <c r="AF35" i="20" s="1"/>
  <c r="AN35" i="20" a="1"/>
  <c r="AN35" i="20" s="1"/>
  <c r="AL35" i="20" a="1"/>
  <c r="AL35" i="20" s="1"/>
  <c r="AO35" i="20" a="1"/>
  <c r="AO35" i="20" s="1"/>
  <c r="AM35" i="20" a="1"/>
  <c r="AM35" i="20" s="1"/>
  <c r="AJ10" i="20" a="1"/>
  <c r="AJ10" i="20" s="1"/>
  <c r="AF10" i="20" a="1"/>
  <c r="AF10" i="20" s="1"/>
  <c r="AL10" i="20" a="1"/>
  <c r="AL10" i="20" s="1"/>
  <c r="AG10" i="20" a="1"/>
  <c r="AG10" i="20" s="1"/>
  <c r="AK10" i="20" a="1"/>
  <c r="AK10" i="20" s="1"/>
  <c r="AH10" i="20" a="1"/>
  <c r="AH10" i="20" s="1"/>
  <c r="AD10" i="20" a="1"/>
  <c r="AD10" i="20" s="1"/>
  <c r="AA10" i="20" s="1"/>
  <c r="AE10" i="20" a="1"/>
  <c r="AE10" i="20" s="1"/>
  <c r="AC10" i="20" a="1"/>
  <c r="AC10" i="20" s="1"/>
  <c r="AN10" i="20" a="1"/>
  <c r="AN10" i="20" s="1"/>
  <c r="AO10" i="20" a="1"/>
  <c r="AO10" i="20" s="1"/>
  <c r="AM10" i="20" a="1"/>
  <c r="AM10" i="20" s="1"/>
  <c r="AC33" i="20" a="1"/>
  <c r="AC33" i="20" s="1"/>
  <c r="AE33" i="20" a="1"/>
  <c r="AE33" i="20" s="1"/>
  <c r="AD33" i="20" a="1"/>
  <c r="AD33" i="20" s="1"/>
  <c r="AM33" i="20" a="1"/>
  <c r="AM33" i="20" s="1"/>
  <c r="AN33" i="20" a="1"/>
  <c r="AN33" i="20" s="1"/>
  <c r="AO33" i="20" a="1"/>
  <c r="AO33" i="20" s="1"/>
  <c r="AF33" i="20" a="1"/>
  <c r="AF33" i="20" s="1"/>
  <c r="AG33" i="20" a="1"/>
  <c r="AG33" i="20" s="1"/>
  <c r="AH33" i="20" a="1"/>
  <c r="AH33" i="20" s="1"/>
  <c r="AJ33" i="20" a="1"/>
  <c r="AJ33" i="20" s="1"/>
  <c r="AK33" i="20" a="1"/>
  <c r="AK33" i="20" s="1"/>
  <c r="AL33" i="20" a="1"/>
  <c r="AL33" i="20" s="1"/>
  <c r="AM40" i="20" a="1"/>
  <c r="AM40" i="20" s="1"/>
  <c r="AO40" i="20" a="1"/>
  <c r="AO40" i="20" s="1"/>
  <c r="AN40" i="20" a="1"/>
  <c r="AN40" i="20" s="1"/>
  <c r="AK40" i="20" a="1"/>
  <c r="AK40" i="20" s="1"/>
  <c r="AC40" i="20" a="1"/>
  <c r="AC40" i="20" s="1"/>
  <c r="AL40" i="20" a="1"/>
  <c r="AL40" i="20" s="1"/>
  <c r="AD40" i="20" a="1"/>
  <c r="AD40" i="20" s="1"/>
  <c r="AE40" i="20" a="1"/>
  <c r="AE40" i="20" s="1"/>
  <c r="AF40" i="20" a="1"/>
  <c r="AF40" i="20" s="1"/>
  <c r="AG40" i="20" a="1"/>
  <c r="AG40" i="20" s="1"/>
  <c r="AH40" i="20" a="1"/>
  <c r="AH40" i="20" s="1"/>
  <c r="AJ40" i="20" a="1"/>
  <c r="AJ40" i="20" s="1"/>
  <c r="AK29" i="20" a="1"/>
  <c r="AK29" i="20" s="1"/>
  <c r="AM29" i="20" a="1"/>
  <c r="AM29" i="20" s="1"/>
  <c r="AL29" i="20" a="1"/>
  <c r="AL29" i="20" s="1"/>
  <c r="AD29" i="20" a="1"/>
  <c r="AD29" i="20" s="1"/>
  <c r="AE29" i="20" a="1"/>
  <c r="AE29" i="20" s="1"/>
  <c r="AF29" i="20" a="1"/>
  <c r="AF29" i="20" s="1"/>
  <c r="AN29" i="20" a="1"/>
  <c r="AN29" i="20" s="1"/>
  <c r="AJ29" i="20" a="1"/>
  <c r="AJ29" i="20" s="1"/>
  <c r="AO29" i="20" a="1"/>
  <c r="AO29" i="20" s="1"/>
  <c r="AC29" i="20" a="1"/>
  <c r="AC29" i="20" s="1"/>
  <c r="AG29" i="20" a="1"/>
  <c r="AG29" i="20" s="1"/>
  <c r="AH29" i="20" a="1"/>
  <c r="AH29" i="20" s="1"/>
  <c r="AN4" i="20" a="1"/>
  <c r="AN4" i="20" s="1"/>
  <c r="AH4" i="20" a="1"/>
  <c r="AH4" i="20" s="1"/>
  <c r="AO4" i="20" a="1"/>
  <c r="AO4" i="20" s="1"/>
  <c r="AL4" i="20" a="1"/>
  <c r="AL4" i="20" s="1"/>
  <c r="AF4" i="20" a="1"/>
  <c r="AF4" i="20" s="1"/>
  <c r="AG4" i="20" a="1"/>
  <c r="AG4" i="20" s="1"/>
  <c r="AC4" i="20" a="1"/>
  <c r="AC4" i="20" s="1"/>
  <c r="AD4" i="20" a="1"/>
  <c r="AD4" i="20" s="1"/>
  <c r="AJ4" i="20" a="1"/>
  <c r="AJ4" i="20" s="1"/>
  <c r="AK4" i="20" a="1"/>
  <c r="AK4" i="20" s="1"/>
  <c r="AA4" i="20" s="1"/>
  <c r="AM4" i="20" a="1"/>
  <c r="AM4" i="20" s="1"/>
  <c r="AE4" i="20" a="1"/>
  <c r="AE4" i="20" s="1"/>
  <c r="AK42" i="20" a="1"/>
  <c r="AK42" i="20" s="1"/>
  <c r="AF42" i="20" a="1"/>
  <c r="AF42" i="20" s="1"/>
  <c r="AM42" i="20" a="1"/>
  <c r="AM42" i="20" s="1"/>
  <c r="AC42" i="20" a="1"/>
  <c r="AC42" i="20" s="1"/>
  <c r="AG42" i="20" a="1"/>
  <c r="AG42" i="20" s="1"/>
  <c r="AE42" i="20" a="1"/>
  <c r="AE42" i="20" s="1"/>
  <c r="AJ42" i="20" a="1"/>
  <c r="AJ42" i="20" s="1"/>
  <c r="AL42" i="20" a="1"/>
  <c r="AL42" i="20" s="1"/>
  <c r="AH42" i="20" a="1"/>
  <c r="AH42" i="20" s="1"/>
  <c r="AN42" i="20" a="1"/>
  <c r="AN42" i="20" s="1"/>
  <c r="AO42" i="20" a="1"/>
  <c r="AO42" i="20" s="1"/>
  <c r="AD42" i="20" a="1"/>
  <c r="AD42" i="20" s="1"/>
  <c r="AH17" i="20" a="1"/>
  <c r="AH17" i="20" s="1"/>
  <c r="AJ17" i="20" a="1"/>
  <c r="AJ17" i="20" s="1"/>
  <c r="AK17" i="20" a="1"/>
  <c r="AK17" i="20" s="1"/>
  <c r="AL17" i="20" a="1"/>
  <c r="AL17" i="20" s="1"/>
  <c r="AD17" i="20" a="1"/>
  <c r="AD17" i="20" s="1"/>
  <c r="AO17" i="20" a="1"/>
  <c r="AO17" i="20" s="1"/>
  <c r="AM17" i="20" a="1"/>
  <c r="AM17" i="20" s="1"/>
  <c r="AN17" i="20" a="1"/>
  <c r="AN17" i="20" s="1"/>
  <c r="AC17" i="20" a="1"/>
  <c r="AC17" i="20" s="1"/>
  <c r="AE17" i="20" a="1"/>
  <c r="AE17" i="20" s="1"/>
  <c r="AF17" i="20" a="1"/>
  <c r="AF17" i="20" s="1"/>
  <c r="AG17" i="20" a="1"/>
  <c r="AG17" i="20" s="1"/>
  <c r="X400" i="33"/>
  <c r="X363" i="33"/>
  <c r="X406" i="33"/>
  <c r="X380" i="33"/>
  <c r="X358" i="33"/>
  <c r="X378" i="33"/>
  <c r="X368" i="33"/>
  <c r="X387" i="33"/>
  <c r="X401" i="33"/>
  <c r="X394" i="33"/>
  <c r="X385" i="33"/>
  <c r="X377" i="33"/>
  <c r="X399" i="33"/>
  <c r="X369" i="33"/>
  <c r="X374" i="33"/>
  <c r="X404" i="33"/>
  <c r="X395" i="33"/>
  <c r="X383" i="33"/>
  <c r="X390" i="33"/>
  <c r="X397" i="33"/>
  <c r="X362" i="33"/>
  <c r="X367" i="33"/>
  <c r="X388" i="33"/>
  <c r="X403" i="33"/>
  <c r="X393" i="33"/>
  <c r="X373" i="33"/>
  <c r="X396" i="33"/>
  <c r="X391" i="33"/>
  <c r="X405" i="33"/>
  <c r="X361" i="33"/>
  <c r="X379" i="33"/>
  <c r="X364" i="33"/>
  <c r="X359" i="33"/>
  <c r="X384" i="33"/>
  <c r="X370" i="33"/>
  <c r="X402" i="33"/>
  <c r="X382" i="33"/>
  <c r="X319" i="33"/>
  <c r="X346" i="33"/>
  <c r="X323" i="33"/>
  <c r="X330" i="33"/>
  <c r="X337" i="33"/>
  <c r="X350" i="33"/>
  <c r="X321" i="33"/>
  <c r="X343" i="33"/>
  <c r="X342" i="33"/>
  <c r="X339" i="33"/>
  <c r="X311" i="33"/>
  <c r="X305" i="33"/>
  <c r="X345" i="33"/>
  <c r="X349" i="33"/>
  <c r="X336" i="33"/>
  <c r="X347" i="33"/>
  <c r="X334" i="33"/>
  <c r="X351" i="33"/>
  <c r="X344" i="33"/>
  <c r="X331" i="33"/>
  <c r="X333" i="33"/>
  <c r="X329" i="33"/>
  <c r="X340" i="33"/>
  <c r="X352" i="33"/>
  <c r="X316" i="33"/>
  <c r="X315" i="33"/>
  <c r="X317" i="33"/>
  <c r="X300" i="33"/>
  <c r="X325" i="33"/>
  <c r="X302" i="33"/>
  <c r="X307" i="33"/>
  <c r="X320" i="33"/>
  <c r="X310" i="33"/>
  <c r="AK21" i="14" a="1"/>
  <c r="AK21" i="14" s="1"/>
  <c r="X322" i="33"/>
  <c r="AJ21" i="14" a="1"/>
  <c r="AJ21" i="14" s="1"/>
  <c r="X312" i="33"/>
  <c r="AI21" i="14" a="1"/>
  <c r="AI21" i="14" s="1"/>
  <c r="AP21" i="14"/>
  <c r="AF21" i="14" a="1"/>
  <c r="AF21" i="14" s="1"/>
  <c r="AE21" i="14" a="1"/>
  <c r="AE21" i="14" s="1"/>
  <c r="AD21" i="14" a="1"/>
  <c r="AD21" i="14" s="1"/>
  <c r="X318" i="33"/>
  <c r="AC21" i="14" a="1"/>
  <c r="AC21" i="14" s="1"/>
  <c r="AB21" i="14" a="1"/>
  <c r="AB21" i="14" s="1"/>
  <c r="AN21" i="14" a="1"/>
  <c r="AN21" i="14" s="1"/>
  <c r="AM21" i="14" a="1"/>
  <c r="AM21" i="14" s="1"/>
  <c r="AL21" i="14" a="1"/>
  <c r="AL21" i="14" s="1"/>
  <c r="AO12" i="8" a="1"/>
  <c r="AO12" i="8" s="1"/>
  <c r="AN12" i="8" a="1"/>
  <c r="AN12" i="8" s="1"/>
  <c r="AE46" i="8" a="1"/>
  <c r="AE46" i="8" s="1"/>
  <c r="AD46" i="8" a="1"/>
  <c r="AD46" i="8" s="1"/>
  <c r="AO13" i="8" a="1"/>
  <c r="AO13" i="8" s="1"/>
  <c r="AR13" i="8"/>
  <c r="AP13" i="8" a="1"/>
  <c r="AP13" i="8" s="1"/>
  <c r="AI13" i="8" a="1"/>
  <c r="AI13" i="8" s="1"/>
  <c r="AO44" i="8" a="1"/>
  <c r="AO44" i="8" s="1"/>
  <c r="AE48" i="8" a="1"/>
  <c r="AE48" i="8" s="1"/>
  <c r="AP45" i="8" a="1"/>
  <c r="AP45" i="8" s="1"/>
  <c r="AD48" i="8" a="1"/>
  <c r="AD48" i="8" s="1"/>
  <c r="AM45" i="8" a="1"/>
  <c r="AM45" i="8" s="1"/>
  <c r="AK45" i="8" a="1"/>
  <c r="AK45" i="8" s="1"/>
  <c r="AI45" i="8" a="1"/>
  <c r="AI45" i="8" s="1"/>
  <c r="AI49" i="8" a="1"/>
  <c r="AI49" i="8" s="1"/>
  <c r="AH45" i="8" a="1"/>
  <c r="AH45" i="8" s="1"/>
  <c r="AF49" i="8" a="1"/>
  <c r="AF49" i="8" s="1"/>
  <c r="AG45" i="8" a="1"/>
  <c r="AG45" i="8" s="1"/>
  <c r="AE49" i="8" a="1"/>
  <c r="AE49" i="8" s="1"/>
  <c r="AF45" i="8" a="1"/>
  <c r="AF45" i="8" s="1"/>
  <c r="AN46" i="8" a="1"/>
  <c r="AN46" i="8" s="1"/>
  <c r="AD45" i="8" a="1"/>
  <c r="AD45" i="8" s="1"/>
  <c r="AF46" i="8" a="1"/>
  <c r="AF46" i="8" s="1"/>
  <c r="AI19" i="8" a="1"/>
  <c r="AI19" i="8" s="1"/>
  <c r="AF19" i="8" a="1"/>
  <c r="AF19" i="8" s="1"/>
  <c r="AE22" i="8" a="1"/>
  <c r="AE22" i="8" s="1"/>
  <c r="AR17" i="8"/>
  <c r="AF28" i="8" a="1"/>
  <c r="AF28" i="8" s="1"/>
  <c r="AR19" i="8"/>
  <c r="AP14" i="8" a="1"/>
  <c r="AP14" i="8" s="1"/>
  <c r="AF22" i="8" a="1"/>
  <c r="AF22" i="8" s="1"/>
  <c r="AD22" i="8" a="1"/>
  <c r="AD22" i="8" s="1"/>
  <c r="AP28" i="8" a="1"/>
  <c r="AP28" i="8" s="1"/>
  <c r="AO28" i="8" a="1"/>
  <c r="AO28" i="8" s="1"/>
  <c r="AP23" i="8" a="1"/>
  <c r="AP23" i="8" s="1"/>
  <c r="AG30" i="8" a="1"/>
  <c r="AG30" i="8" s="1"/>
  <c r="AI17" i="8" a="1"/>
  <c r="AI17" i="8" s="1"/>
  <c r="AO32" i="8" a="1"/>
  <c r="AO32" i="8" s="1"/>
  <c r="AD17" i="8" a="1"/>
  <c r="AD17" i="8" s="1"/>
  <c r="AN47" i="8" a="1"/>
  <c r="AN47" i="8" s="1"/>
  <c r="AH31" i="8" a="1"/>
  <c r="AH31" i="8" s="1"/>
  <c r="AE32" i="8" a="1"/>
  <c r="AE32" i="8" s="1"/>
  <c r="AK21" i="8" a="1"/>
  <c r="AK21" i="8" s="1"/>
  <c r="AD32" i="8" a="1"/>
  <c r="AD32" i="8" s="1"/>
  <c r="AL15" i="8" a="1"/>
  <c r="AL15" i="8" s="1"/>
  <c r="AR30" i="8"/>
  <c r="AR23" i="8"/>
  <c r="AP30" i="8" a="1"/>
  <c r="AP30" i="8" s="1"/>
  <c r="AO30" i="8" a="1"/>
  <c r="AO30" i="8" s="1"/>
  <c r="AI31" i="8" a="1"/>
  <c r="AI31" i="8" s="1"/>
  <c r="AL14" i="8" a="1"/>
  <c r="AL14" i="8" s="1"/>
  <c r="AE31" i="8" a="1"/>
  <c r="AE31" i="8" s="1"/>
  <c r="AN32" i="8" a="1"/>
  <c r="AN32" i="8" s="1"/>
  <c r="AF21" i="8" a="1"/>
  <c r="AF21" i="8" s="1"/>
  <c r="AI15" i="8" a="1"/>
  <c r="AI15" i="8" s="1"/>
  <c r="AF33" i="8" a="1"/>
  <c r="AF33" i="8" s="1"/>
  <c r="AE28" i="8" a="1"/>
  <c r="AE28" i="8" s="1"/>
  <c r="AP29" i="8" a="1"/>
  <c r="AP29" i="8" s="1"/>
  <c r="AO29" i="8" a="1"/>
  <c r="AO29" i="8" s="1"/>
  <c r="AP34" i="8" a="1"/>
  <c r="AP34" i="8" s="1"/>
  <c r="AI29" i="8" a="1"/>
  <c r="AI29" i="8" s="1"/>
  <c r="AH29" i="8" a="1"/>
  <c r="AH29" i="8" s="1"/>
  <c r="AI30" i="8" a="1"/>
  <c r="AI30" i="8" s="1"/>
  <c r="AR31" i="8"/>
  <c r="AH30" i="8" a="1"/>
  <c r="AH30" i="8" s="1"/>
  <c r="AP17" i="8" a="1"/>
  <c r="AP17" i="8" s="1"/>
  <c r="AP31" i="8" a="1"/>
  <c r="AP31" i="8" s="1"/>
  <c r="AF30" i="8" a="1"/>
  <c r="AF30" i="8" s="1"/>
  <c r="AM14" i="8" a="1"/>
  <c r="AM14" i="8" s="1"/>
  <c r="AO31" i="8" a="1"/>
  <c r="AO31" i="8" s="1"/>
  <c r="AG21" i="8" a="1"/>
  <c r="AG21" i="8" s="1"/>
  <c r="AK18" i="8" a="1"/>
  <c r="AK18" i="8" s="1"/>
  <c r="AF48" i="8" a="1"/>
  <c r="AF48" i="8" s="1"/>
  <c r="AE15" i="8" a="1"/>
  <c r="AE15" i="8" s="1"/>
  <c r="AD21" i="8" a="1"/>
  <c r="AD21" i="8" s="1"/>
  <c r="AK26" i="8" a="1"/>
  <c r="AK26" i="8" s="1"/>
  <c r="AF23" i="8" a="1"/>
  <c r="AF23" i="8" s="1"/>
  <c r="AD23" i="8" a="1"/>
  <c r="AD23" i="8" s="1"/>
  <c r="AE21" i="8" a="1"/>
  <c r="AE21" i="8" s="1"/>
  <c r="AH50" i="8" a="1"/>
  <c r="AH50" i="8" s="1"/>
  <c r="AE50" i="8" a="1"/>
  <c r="AE50" i="8" s="1"/>
  <c r="AO24" i="8" a="1"/>
  <c r="AO24" i="8" s="1"/>
  <c r="AD50" i="8" a="1"/>
  <c r="AD50" i="8" s="1"/>
  <c r="AN24" i="8" a="1"/>
  <c r="AN24" i="8" s="1"/>
  <c r="AR18" i="8"/>
  <c r="AR14" i="8"/>
  <c r="AL19" i="8" a="1"/>
  <c r="AL19" i="8" s="1"/>
  <c r="AR44" i="8"/>
  <c r="AK28" i="8" a="1"/>
  <c r="AK28" i="8" s="1"/>
  <c r="AK19" i="8" a="1"/>
  <c r="AK19" i="8" s="1"/>
  <c r="AO15" i="8" a="1"/>
  <c r="AO15" i="8" s="1"/>
  <c r="AH14" i="8" a="1"/>
  <c r="AH14" i="8" s="1"/>
  <c r="AL45" i="8" a="1"/>
  <c r="AL45" i="8" s="1"/>
  <c r="AP44" i="8" a="1"/>
  <c r="AP44" i="8" s="1"/>
  <c r="AG28" i="8" a="1"/>
  <c r="AG28" i="8" s="1"/>
  <c r="AM15" i="8" a="1"/>
  <c r="AM15" i="8" s="1"/>
  <c r="AL48" i="8" a="1"/>
  <c r="AL48" i="8" s="1"/>
  <c r="AM32" i="8" a="1"/>
  <c r="AM32" i="8" s="1"/>
  <c r="AL31" i="8" a="1"/>
  <c r="AL31" i="8" s="1"/>
  <c r="AE45" i="8" a="1"/>
  <c r="AE45" i="8" s="1"/>
  <c r="AH33" i="8" a="1"/>
  <c r="AH33" i="8" s="1"/>
  <c r="AL32" i="8" a="1"/>
  <c r="AL32" i="8" s="1"/>
  <c r="AM30" i="8" a="1"/>
  <c r="AM30" i="8" s="1"/>
  <c r="AH22" i="8" a="1"/>
  <c r="AH22" i="8" s="1"/>
  <c r="AE16" i="8" a="1"/>
  <c r="AE16" i="8" s="1"/>
  <c r="AN44" i="8" a="1"/>
  <c r="AN44" i="8" s="1"/>
  <c r="AP21" i="8" a="1"/>
  <c r="AP21" i="8" s="1"/>
  <c r="AL44" i="8" a="1"/>
  <c r="AL44" i="8" s="1"/>
  <c r="AL33" i="8" a="1"/>
  <c r="AL33" i="8" s="1"/>
  <c r="AK22" i="8" a="1"/>
  <c r="AK22" i="8" s="1"/>
  <c r="AR20" i="8"/>
  <c r="AM47" i="8" a="1"/>
  <c r="AM47" i="8" s="1"/>
  <c r="AI22" i="8" a="1"/>
  <c r="AI22" i="8" s="1"/>
  <c r="AN21" i="8" a="1"/>
  <c r="AN21" i="8" s="1"/>
  <c r="AI48" i="8" a="1"/>
  <c r="AI48" i="8" s="1"/>
  <c r="AL47" i="8" a="1"/>
  <c r="AL47" i="8" s="1"/>
  <c r="AK32" i="8" a="1"/>
  <c r="AK32" i="8" s="1"/>
  <c r="AK31" i="8" a="1"/>
  <c r="AK31" i="8" s="1"/>
  <c r="AK30" i="8" a="1"/>
  <c r="AK30" i="8" s="1"/>
  <c r="AM21" i="8" a="1"/>
  <c r="AM21" i="8" s="1"/>
  <c r="AL25" i="8" a="1"/>
  <c r="AL25" i="8" s="1"/>
  <c r="AE19" i="8" a="1"/>
  <c r="AE19" i="8" s="1"/>
  <c r="AM44" i="8" a="1"/>
  <c r="AM44" i="8" s="1"/>
  <c r="AO21" i="8" a="1"/>
  <c r="AO21" i="8" s="1"/>
  <c r="AD19" i="8" a="1"/>
  <c r="AD19" i="8" s="1"/>
  <c r="AD15" i="8" a="1"/>
  <c r="AD15" i="8" s="1"/>
  <c r="AD47" i="8" a="1"/>
  <c r="AD47" i="8" s="1"/>
  <c r="AG33" i="8" a="1"/>
  <c r="AG33" i="8" s="1"/>
  <c r="AI32" i="8" a="1"/>
  <c r="AI32" i="8" s="1"/>
  <c r="AG22" i="8" a="1"/>
  <c r="AG22" i="8" s="1"/>
  <c r="AL21" i="8" a="1"/>
  <c r="AL21" i="8" s="1"/>
  <c r="AD16" i="8" a="1"/>
  <c r="AD16" i="8" s="1"/>
  <c r="AR40" i="8"/>
  <c r="AP40" i="8" a="1"/>
  <c r="AP40" i="8" s="1"/>
  <c r="AP35" i="8" a="1"/>
  <c r="AP35" i="8" s="1"/>
  <c r="AD33" i="8" a="1"/>
  <c r="AD33" i="8" s="1"/>
  <c r="AR25" i="8"/>
  <c r="AL5" i="8" a="1"/>
  <c r="AL5" i="8" s="1"/>
  <c r="AH32" i="8" a="1"/>
  <c r="AH32" i="8" s="1"/>
  <c r="AN26" i="8" a="1"/>
  <c r="AN26" i="8" s="1"/>
  <c r="AP25" i="8" a="1"/>
  <c r="AP25" i="8" s="1"/>
  <c r="AP20" i="8" a="1"/>
  <c r="AP20" i="8" s="1"/>
  <c r="AO40" i="8" a="1"/>
  <c r="AO40" i="8" s="1"/>
  <c r="AM35" i="8" a="1"/>
  <c r="AM35" i="8" s="1"/>
  <c r="AL27" i="8" a="1"/>
  <c r="AL27" i="8" s="1"/>
  <c r="AO25" i="8" a="1"/>
  <c r="AO25" i="8" s="1"/>
  <c r="AI21" i="8" a="1"/>
  <c r="AI21" i="8" s="1"/>
  <c r="AI18" i="8" a="1"/>
  <c r="AI18" i="8" s="1"/>
  <c r="AK5" i="8" a="1"/>
  <c r="AK5" i="8" s="1"/>
  <c r="AN40" i="8" a="1"/>
  <c r="AN40" i="8" s="1"/>
  <c r="AG32" i="8" a="1"/>
  <c r="AG32" i="8" s="1"/>
  <c r="AN31" i="8" a="1"/>
  <c r="AN31" i="8" s="1"/>
  <c r="AM26" i="8" a="1"/>
  <c r="AM26" i="8" s="1"/>
  <c r="AO20" i="8" a="1"/>
  <c r="AO20" i="8" s="1"/>
  <c r="AH19" i="8" a="1"/>
  <c r="AH19" i="8" s="1"/>
  <c r="AE18" i="8" a="1"/>
  <c r="AE18" i="8" s="1"/>
  <c r="AR6" i="8"/>
  <c r="AK44" i="8" a="1"/>
  <c r="AK44" i="8" s="1"/>
  <c r="AM41" i="8" a="1"/>
  <c r="AM41" i="8" s="1"/>
  <c r="AM40" i="8" a="1"/>
  <c r="AM40" i="8" s="1"/>
  <c r="AN36" i="8" a="1"/>
  <c r="AN36" i="8" s="1"/>
  <c r="AK35" i="8" a="1"/>
  <c r="AK35" i="8" s="1"/>
  <c r="AF32" i="8" a="1"/>
  <c r="AF32" i="8" s="1"/>
  <c r="AK27" i="8" a="1"/>
  <c r="AK27" i="8" s="1"/>
  <c r="AL26" i="8" a="1"/>
  <c r="AL26" i="8" s="1"/>
  <c r="AM25" i="8" a="1"/>
  <c r="AM25" i="8" s="1"/>
  <c r="AH21" i="8" a="1"/>
  <c r="AH21" i="8" s="1"/>
  <c r="AL41" i="8" a="1"/>
  <c r="AL41" i="8" s="1"/>
  <c r="AM31" i="8" a="1"/>
  <c r="AM31" i="8" s="1"/>
  <c r="AR28" i="8"/>
  <c r="AG27" i="8" a="1"/>
  <c r="AG27" i="8" s="1"/>
  <c r="AP24" i="8" a="1"/>
  <c r="AP24" i="8" s="1"/>
  <c r="AP6" i="8" a="1"/>
  <c r="AP6" i="8" s="1"/>
  <c r="AH39" i="8" a="1"/>
  <c r="AH39" i="8" s="1"/>
  <c r="AM5" i="8" a="1"/>
  <c r="AM5" i="8" s="1"/>
  <c r="AK36" i="8" a="1"/>
  <c r="AK36" i="8" s="1"/>
  <c r="AN7" i="8" a="1"/>
  <c r="AN7" i="8" s="1"/>
  <c r="AG37" i="8" a="1"/>
  <c r="AG37" i="8" s="1"/>
  <c r="AE25" i="8" a="1"/>
  <c r="AE25" i="8" s="1"/>
  <c r="AD25" i="8" a="1"/>
  <c r="AD25" i="8" s="1"/>
  <c r="AL23" i="8" a="1"/>
  <c r="AL23" i="8" s="1"/>
  <c r="AR22" i="8"/>
  <c r="AI26" i="8" a="1"/>
  <c r="AI26" i="8" s="1"/>
  <c r="AH25" i="8" a="1"/>
  <c r="AH25" i="8" s="1"/>
  <c r="AF26" i="8" a="1"/>
  <c r="AF26" i="8" s="1"/>
  <c r="AF25" i="8" a="1"/>
  <c r="AF25" i="8" s="1"/>
  <c r="AO23" i="8" a="1"/>
  <c r="AO23" i="8" s="1"/>
  <c r="AF37" i="8" a="1"/>
  <c r="AF37" i="8" s="1"/>
  <c r="AR49" i="8"/>
  <c r="AM12" i="8" a="1"/>
  <c r="AM12" i="8" s="1"/>
  <c r="AE8" i="8" a="1"/>
  <c r="AE8" i="8" s="1"/>
  <c r="AL50" i="8" a="1"/>
  <c r="AL50" i="8" s="1"/>
  <c r="AP49" i="8" a="1"/>
  <c r="AP49" i="8" s="1"/>
  <c r="AR48" i="8"/>
  <c r="AI16" i="8" a="1"/>
  <c r="AI16" i="8" s="1"/>
  <c r="AO49" i="8" a="1"/>
  <c r="AO49" i="8" s="1"/>
  <c r="AR46" i="8"/>
  <c r="AE38" i="8" a="1"/>
  <c r="AE38" i="8" s="1"/>
  <c r="AR33" i="8"/>
  <c r="AE30" i="8" a="1"/>
  <c r="AE30" i="8" s="1"/>
  <c r="AI23" i="8" a="1"/>
  <c r="AI23" i="8" s="1"/>
  <c r="AO22" i="8" a="1"/>
  <c r="AO22" i="8" s="1"/>
  <c r="AK15" i="8" a="1"/>
  <c r="AK15" i="8" s="1"/>
  <c r="AF12" i="8" a="1"/>
  <c r="AF12" i="8" s="1"/>
  <c r="AD8" i="8" a="1"/>
  <c r="AD8" i="8" s="1"/>
  <c r="AI41" i="8" a="1"/>
  <c r="AI41" i="8" s="1"/>
  <c r="AO6" i="8" a="1"/>
  <c r="AO6" i="8" s="1"/>
  <c r="AM7" i="8" a="1"/>
  <c r="AM7" i="8" s="1"/>
  <c r="AH8" i="8" a="1"/>
  <c r="AH8" i="8" s="1"/>
  <c r="AH7" i="8" a="1"/>
  <c r="AH7" i="8" s="1"/>
  <c r="AD24" i="8" a="1"/>
  <c r="AD24" i="8" s="1"/>
  <c r="AB24" i="8" s="1"/>
  <c r="AK23" i="8" a="1"/>
  <c r="AK23" i="8" s="1"/>
  <c r="AP22" i="8" a="1"/>
  <c r="AP22" i="8" s="1"/>
  <c r="AK50" i="8" a="1"/>
  <c r="AK50" i="8" s="1"/>
  <c r="AL49" i="8" a="1"/>
  <c r="AL49" i="8" s="1"/>
  <c r="AN48" i="8" a="1"/>
  <c r="AN48" i="8" s="1"/>
  <c r="AP46" i="8" a="1"/>
  <c r="AP46" i="8" s="1"/>
  <c r="AH16" i="8" a="1"/>
  <c r="AH16" i="8" s="1"/>
  <c r="AK14" i="8" a="1"/>
  <c r="AK14" i="8" s="1"/>
  <c r="AP39" i="8" a="1"/>
  <c r="AP39" i="8" s="1"/>
  <c r="AE27" i="8" a="1"/>
  <c r="AE27" i="8" s="1"/>
  <c r="AK6" i="8" a="1"/>
  <c r="AK6" i="8" s="1"/>
  <c r="AF36" i="8" a="1"/>
  <c r="AF36" i="8" s="1"/>
  <c r="AE26" i="8" a="1"/>
  <c r="AE26" i="8" s="1"/>
  <c r="AN23" i="8" a="1"/>
  <c r="AN23" i="8" s="1"/>
  <c r="AI7" i="8" a="1"/>
  <c r="AI7" i="8" s="1"/>
  <c r="AE37" i="8" a="1"/>
  <c r="AE37" i="8" s="1"/>
  <c r="AI24" i="8" a="1"/>
  <c r="AI24" i="8" s="1"/>
  <c r="AF27" i="8" a="1"/>
  <c r="AF27" i="8" s="1"/>
  <c r="AO7" i="8" a="1"/>
  <c r="AO7" i="8" s="1"/>
  <c r="AR37" i="8"/>
  <c r="AL6" i="8" a="1"/>
  <c r="AL6" i="8" s="1"/>
  <c r="AK37" i="8" a="1"/>
  <c r="AK37" i="8" s="1"/>
  <c r="AB37" i="8" s="1"/>
  <c r="AD27" i="8" a="1"/>
  <c r="AD27" i="8" s="1"/>
  <c r="AG26" i="8" a="1"/>
  <c r="AG26" i="8" s="1"/>
  <c r="AM24" i="8" a="1"/>
  <c r="AM24" i="8" s="1"/>
  <c r="AI8" i="8" a="1"/>
  <c r="AI8" i="8" s="1"/>
  <c r="AK7" i="8" a="1"/>
  <c r="AK7" i="8" s="1"/>
  <c r="AF8" i="8" a="1"/>
  <c r="AF8" i="8" s="1"/>
  <c r="AD31" i="8" a="1"/>
  <c r="AD31" i="8" s="1"/>
  <c r="AP33" i="8" a="1"/>
  <c r="AP33" i="8" s="1"/>
  <c r="AD30" i="8" a="1"/>
  <c r="AD30" i="8" s="1"/>
  <c r="AN22" i="8" a="1"/>
  <c r="AN22" i="8" s="1"/>
  <c r="AE12" i="8" a="1"/>
  <c r="AE12" i="8" s="1"/>
  <c r="AG9" i="8" a="1"/>
  <c r="AG9" i="8" s="1"/>
  <c r="AI50" i="8" a="1"/>
  <c r="AI50" i="8" s="1"/>
  <c r="AN45" i="8" a="1"/>
  <c r="AN45" i="8" s="1"/>
  <c r="AM22" i="8" a="1"/>
  <c r="AM22" i="8" s="1"/>
  <c r="AR4" i="8"/>
  <c r="AM36" i="8" a="1"/>
  <c r="AM36" i="8" s="1"/>
  <c r="AL36" i="8" a="1"/>
  <c r="AL36" i="8" s="1"/>
  <c r="AI36" i="8" a="1"/>
  <c r="AI36" i="8" s="1"/>
  <c r="AL24" i="8" a="1"/>
  <c r="AL24" i="8" s="1"/>
  <c r="AM23" i="8" a="1"/>
  <c r="AM23" i="8" s="1"/>
  <c r="AM50" i="8" a="1"/>
  <c r="AM50" i="8" s="1"/>
  <c r="AH23" i="8" a="1"/>
  <c r="AH23" i="8" s="1"/>
  <c r="AO33" i="8" a="1"/>
  <c r="AO33" i="8" s="1"/>
  <c r="AP32" i="8" a="1"/>
  <c r="AP32" i="8" s="1"/>
  <c r="AG23" i="8" a="1"/>
  <c r="AG23" i="8" s="1"/>
  <c r="AD42" i="8" a="1"/>
  <c r="AD42" i="8" s="1"/>
  <c r="AR42" i="8"/>
  <c r="AN42" i="8" a="1"/>
  <c r="AN42" i="8" s="1"/>
  <c r="AO42" i="8" a="1"/>
  <c r="AO42" i="8" s="1"/>
  <c r="AP42" i="8" a="1"/>
  <c r="AP42" i="8" s="1"/>
  <c r="AG42" i="8" a="1"/>
  <c r="AG42" i="8" s="1"/>
  <c r="AH42" i="8" a="1"/>
  <c r="AH42" i="8" s="1"/>
  <c r="AI42" i="8" a="1"/>
  <c r="AI42" i="8" s="1"/>
  <c r="AK42" i="8" a="1"/>
  <c r="AK42" i="8" s="1"/>
  <c r="AL42" i="8" a="1"/>
  <c r="AL42" i="8" s="1"/>
  <c r="AM42" i="8" a="1"/>
  <c r="AM42" i="8" s="1"/>
  <c r="AE10" i="8" a="1"/>
  <c r="AE10" i="8" s="1"/>
  <c r="AF10" i="8" a="1"/>
  <c r="AF10" i="8" s="1"/>
  <c r="AI10" i="8" a="1"/>
  <c r="AI10" i="8" s="1"/>
  <c r="AK10" i="8" a="1"/>
  <c r="AK10" i="8" s="1"/>
  <c r="AL10" i="8" a="1"/>
  <c r="AL10" i="8" s="1"/>
  <c r="AH10" i="8" a="1"/>
  <c r="AH10" i="8" s="1"/>
  <c r="AM10" i="8" a="1"/>
  <c r="AM10" i="8" s="1"/>
  <c r="AN10" i="8" a="1"/>
  <c r="AN10" i="8" s="1"/>
  <c r="AO10" i="8" a="1"/>
  <c r="AO10" i="8" s="1"/>
  <c r="AP10" i="8" a="1"/>
  <c r="AP10" i="8" s="1"/>
  <c r="AR10" i="8"/>
  <c r="AK41" i="8" a="1"/>
  <c r="AK41" i="8" s="1"/>
  <c r="AD41" i="8" a="1"/>
  <c r="AD41" i="8" s="1"/>
  <c r="AN41" i="8" a="1"/>
  <c r="AN41" i="8" s="1"/>
  <c r="AO41" i="8" a="1"/>
  <c r="AO41" i="8" s="1"/>
  <c r="AP41" i="8" a="1"/>
  <c r="AP41" i="8" s="1"/>
  <c r="AR41" i="8"/>
  <c r="AF39" i="8" a="1"/>
  <c r="AF39" i="8" s="1"/>
  <c r="AG39" i="8" a="1"/>
  <c r="AG39" i="8" s="1"/>
  <c r="AR39" i="8"/>
  <c r="AI39" i="8" a="1"/>
  <c r="AI39" i="8" s="1"/>
  <c r="AL39" i="8" a="1"/>
  <c r="AL39" i="8" s="1"/>
  <c r="AK39" i="8" a="1"/>
  <c r="AK39" i="8" s="1"/>
  <c r="AM39" i="8" a="1"/>
  <c r="AM39" i="8" s="1"/>
  <c r="AN39" i="8" a="1"/>
  <c r="AN39" i="8" s="1"/>
  <c r="AD39" i="8" a="1"/>
  <c r="AD39" i="8" s="1"/>
  <c r="AE39" i="8" a="1"/>
  <c r="AE39" i="8" s="1"/>
  <c r="AE7" i="8" a="1"/>
  <c r="AE7" i="8" s="1"/>
  <c r="AF7" i="8" a="1"/>
  <c r="AF7" i="8" s="1"/>
  <c r="AD7" i="8" a="1"/>
  <c r="AD7" i="8" s="1"/>
  <c r="AR7" i="8"/>
  <c r="AG7" i="8" a="1"/>
  <c r="AG7" i="8" s="1"/>
  <c r="AP7" i="8" a="1"/>
  <c r="AP7" i="8" s="1"/>
  <c r="AF42" i="8" a="1"/>
  <c r="AF42" i="8" s="1"/>
  <c r="AG40" i="8" a="1"/>
  <c r="AG40" i="8" s="1"/>
  <c r="AF41" i="8" a="1"/>
  <c r="AF41" i="8" s="1"/>
  <c r="AL40" i="8" a="1"/>
  <c r="AL40" i="8" s="1"/>
  <c r="AN38" i="8" a="1"/>
  <c r="AN38" i="8" s="1"/>
  <c r="AO38" i="8" a="1"/>
  <c r="AO38" i="8" s="1"/>
  <c r="AL38" i="8" a="1"/>
  <c r="AL38" i="8" s="1"/>
  <c r="AM38" i="8" a="1"/>
  <c r="AM38" i="8" s="1"/>
  <c r="AP38" i="8" a="1"/>
  <c r="AP38" i="8" s="1"/>
  <c r="AR38" i="8"/>
  <c r="AF38" i="8" a="1"/>
  <c r="AF38" i="8" s="1"/>
  <c r="AG38" i="8" a="1"/>
  <c r="AG38" i="8" s="1"/>
  <c r="AH38" i="8" a="1"/>
  <c r="AH38" i="8" s="1"/>
  <c r="AI38" i="8" a="1"/>
  <c r="AI38" i="8" s="1"/>
  <c r="AK38" i="8" a="1"/>
  <c r="AK38" i="8" s="1"/>
  <c r="AB38" i="8" s="1"/>
  <c r="AM6" i="8" a="1"/>
  <c r="AM6" i="8" s="1"/>
  <c r="AN6" i="8" a="1"/>
  <c r="AN6" i="8" s="1"/>
  <c r="AG6" i="8" a="1"/>
  <c r="AG6" i="8" s="1"/>
  <c r="AH6" i="8" a="1"/>
  <c r="AH6" i="8" s="1"/>
  <c r="AD6" i="8" a="1"/>
  <c r="AD6" i="8" s="1"/>
  <c r="AE6" i="8" a="1"/>
  <c r="AE6" i="8" s="1"/>
  <c r="AF6" i="8" a="1"/>
  <c r="AF6" i="8" s="1"/>
  <c r="AH37" i="8" a="1"/>
  <c r="AH37" i="8" s="1"/>
  <c r="AI37" i="8" a="1"/>
  <c r="AI37" i="8" s="1"/>
  <c r="AL37" i="8" a="1"/>
  <c r="AL37" i="8" s="1"/>
  <c r="AM37" i="8" a="1"/>
  <c r="AM37" i="8" s="1"/>
  <c r="AN37" i="8" a="1"/>
  <c r="AN37" i="8" s="1"/>
  <c r="AP37" i="8" a="1"/>
  <c r="AP37" i="8" s="1"/>
  <c r="AO37" i="8" a="1"/>
  <c r="AO37" i="8" s="1"/>
  <c r="AN5" i="8" a="1"/>
  <c r="AN5" i="8" s="1"/>
  <c r="AO5" i="8" a="1"/>
  <c r="AO5" i="8" s="1"/>
  <c r="AG5" i="8" a="1"/>
  <c r="AG5" i="8" s="1"/>
  <c r="AD5" i="8" a="1"/>
  <c r="AD5" i="8" s="1"/>
  <c r="AE5" i="8" a="1"/>
  <c r="AE5" i="8" s="1"/>
  <c r="AF5" i="8" a="1"/>
  <c r="AF5" i="8" s="1"/>
  <c r="AH5" i="8" a="1"/>
  <c r="AH5" i="8" s="1"/>
  <c r="AI5" i="8" a="1"/>
  <c r="AI5" i="8" s="1"/>
  <c r="AG36" i="8" a="1"/>
  <c r="AG36" i="8" s="1"/>
  <c r="AH36" i="8" a="1"/>
  <c r="AH36" i="8" s="1"/>
  <c r="AR36" i="8"/>
  <c r="AP36" i="8" a="1"/>
  <c r="AP36" i="8" s="1"/>
  <c r="AD36" i="8" a="1"/>
  <c r="AD36" i="8" s="1"/>
  <c r="AO36" i="8" a="1"/>
  <c r="AO36" i="8" s="1"/>
  <c r="AF4" i="8" a="1"/>
  <c r="AF4" i="8" s="1"/>
  <c r="AG4" i="8" a="1"/>
  <c r="AG4" i="8" s="1"/>
  <c r="AO4" i="8" a="1"/>
  <c r="AO4" i="8" s="1"/>
  <c r="AK4" i="8" a="1"/>
  <c r="AK4" i="8" s="1"/>
  <c r="AL4" i="8" a="1"/>
  <c r="AL4" i="8" s="1"/>
  <c r="AH4" i="8" a="1"/>
  <c r="AH4" i="8" s="1"/>
  <c r="AI4" i="8" a="1"/>
  <c r="AI4" i="8" s="1"/>
  <c r="AM4" i="8" a="1"/>
  <c r="AM4" i="8" s="1"/>
  <c r="AN4" i="8" a="1"/>
  <c r="AN4" i="8" s="1"/>
  <c r="AD4" i="8" a="1"/>
  <c r="AD4" i="8" s="1"/>
  <c r="AN35" i="8" a="1"/>
  <c r="AN35" i="8" s="1"/>
  <c r="AO35" i="8" a="1"/>
  <c r="AO35" i="8" s="1"/>
  <c r="AL35" i="8" a="1"/>
  <c r="AL35" i="8" s="1"/>
  <c r="AD35" i="8" a="1"/>
  <c r="AD35" i="8" s="1"/>
  <c r="AE35" i="8" a="1"/>
  <c r="AE35" i="8" s="1"/>
  <c r="AG35" i="8" a="1"/>
  <c r="AG35" i="8" s="1"/>
  <c r="AH35" i="8" a="1"/>
  <c r="AH35" i="8" s="1"/>
  <c r="AF35" i="8" a="1"/>
  <c r="AF35" i="8" s="1"/>
  <c r="AN3" i="8" a="1"/>
  <c r="AN3" i="8" s="1"/>
  <c r="AO3" i="8" a="1"/>
  <c r="AO3" i="8" s="1"/>
  <c r="AE3" i="8" a="1"/>
  <c r="AE3" i="8" s="1"/>
  <c r="AF3" i="8" a="1"/>
  <c r="AF3" i="8" s="1"/>
  <c r="AL3" i="8" a="1"/>
  <c r="AL3" i="8" s="1"/>
  <c r="AM3" i="8" a="1"/>
  <c r="AM3" i="8" s="1"/>
  <c r="AP3" i="8" a="1"/>
  <c r="AP3" i="8" s="1"/>
  <c r="AR3" i="8"/>
  <c r="AH3" i="8" a="1"/>
  <c r="AH3" i="8" s="1"/>
  <c r="AD3" i="8" a="1"/>
  <c r="AD3" i="8" s="1"/>
  <c r="AB3" i="8" s="1"/>
  <c r="AG3" i="8" a="1"/>
  <c r="AG3" i="8" s="1"/>
  <c r="AI3" i="8" a="1"/>
  <c r="AI3" i="8" s="1"/>
  <c r="AR5" i="8"/>
  <c r="AP43" i="8" a="1"/>
  <c r="AP43" i="8" s="1"/>
  <c r="AO43" i="8" a="1"/>
  <c r="AO43" i="8" s="1"/>
  <c r="AI43" i="8" a="1"/>
  <c r="AI43" i="8" s="1"/>
  <c r="AK43" i="8" a="1"/>
  <c r="AK43" i="8" s="1"/>
  <c r="AH43" i="8" a="1"/>
  <c r="AH43" i="8" s="1"/>
  <c r="AL43" i="8" a="1"/>
  <c r="AL43" i="8" s="1"/>
  <c r="AM43" i="8" a="1"/>
  <c r="AM43" i="8" s="1"/>
  <c r="AN43" i="8" a="1"/>
  <c r="AN43" i="8" s="1"/>
  <c r="AD43" i="8" a="1"/>
  <c r="AD43" i="8" s="1"/>
  <c r="AF43" i="8" a="1"/>
  <c r="AF43" i="8" s="1"/>
  <c r="AE43" i="8" a="1"/>
  <c r="AE43" i="8" s="1"/>
  <c r="AR11" i="8"/>
  <c r="AE11" i="8" a="1"/>
  <c r="AE11" i="8" s="1"/>
  <c r="AD11" i="8" a="1"/>
  <c r="AD11" i="8" s="1"/>
  <c r="AO11" i="8" a="1"/>
  <c r="AO11" i="8" s="1"/>
  <c r="AM11" i="8" a="1"/>
  <c r="AM11" i="8" s="1"/>
  <c r="AN11" i="8" a="1"/>
  <c r="AN11" i="8" s="1"/>
  <c r="AP11" i="8" a="1"/>
  <c r="AP11" i="8" s="1"/>
  <c r="AH11" i="8" a="1"/>
  <c r="AH11" i="8" s="1"/>
  <c r="AI11" i="8" a="1"/>
  <c r="AI11" i="8" s="1"/>
  <c r="AK11" i="8" a="1"/>
  <c r="AK11" i="8" s="1"/>
  <c r="AG11" i="8" a="1"/>
  <c r="AG11" i="8" s="1"/>
  <c r="AL11" i="8" a="1"/>
  <c r="AL11" i="8" s="1"/>
  <c r="AN9" i="8" a="1"/>
  <c r="AN9" i="8" s="1"/>
  <c r="AM9" i="8" a="1"/>
  <c r="AM9" i="8" s="1"/>
  <c r="AL9" i="8" a="1"/>
  <c r="AL9" i="8" s="1"/>
  <c r="AP9" i="8" a="1"/>
  <c r="AP9" i="8" s="1"/>
  <c r="AO9" i="8" a="1"/>
  <c r="AO9" i="8" s="1"/>
  <c r="AD9" i="8" a="1"/>
  <c r="AD9" i="8" s="1"/>
  <c r="AE9" i="8" a="1"/>
  <c r="AE9" i="8" s="1"/>
  <c r="AK9" i="8" a="1"/>
  <c r="AK9" i="8" s="1"/>
  <c r="AR9" i="8"/>
  <c r="AH9" i="8" a="1"/>
  <c r="AH9" i="8" s="1"/>
  <c r="AI9" i="8" a="1"/>
  <c r="AI9" i="8" s="1"/>
  <c r="AG41" i="8" a="1"/>
  <c r="AG41" i="8" s="1"/>
  <c r="AI40" i="8" a="1"/>
  <c r="AI40" i="8" s="1"/>
  <c r="AK40" i="8" a="1"/>
  <c r="AK40" i="8" s="1"/>
  <c r="AF40" i="8" a="1"/>
  <c r="AF40" i="8" s="1"/>
  <c r="AD40" i="8" a="1"/>
  <c r="AD40" i="8" s="1"/>
  <c r="AE40" i="8" a="1"/>
  <c r="AE40" i="8" s="1"/>
  <c r="AR8" i="8"/>
  <c r="AK8" i="8" a="1"/>
  <c r="AK8" i="8" s="1"/>
  <c r="AM8" i="8" a="1"/>
  <c r="AM8" i="8" s="1"/>
  <c r="AN8" i="8" a="1"/>
  <c r="AN8" i="8" s="1"/>
  <c r="AO8" i="8" a="1"/>
  <c r="AO8" i="8" s="1"/>
  <c r="AP8" i="8" a="1"/>
  <c r="AP8" i="8" s="1"/>
  <c r="AL8" i="8" a="1"/>
  <c r="AL8" i="8" s="1"/>
  <c r="AE41" i="8" a="1"/>
  <c r="AE41" i="8" s="1"/>
  <c r="AG10" i="8" a="1"/>
  <c r="AG10" i="8" s="1"/>
  <c r="AE42" i="8" a="1"/>
  <c r="AE42" i="8" s="1"/>
  <c r="AD10" i="8" a="1"/>
  <c r="AD10" i="8" s="1"/>
  <c r="AP4" i="8" a="1"/>
  <c r="AP4" i="8" s="1"/>
  <c r="AE34" i="8" a="1"/>
  <c r="AE34" i="8" s="1"/>
  <c r="AF34" i="8" a="1"/>
  <c r="AF34" i="8" s="1"/>
  <c r="AI34" i="8" a="1"/>
  <c r="AI34" i="8" s="1"/>
  <c r="AL34" i="8" a="1"/>
  <c r="AL34" i="8" s="1"/>
  <c r="AO34" i="8" a="1"/>
  <c r="AO34" i="8" s="1"/>
  <c r="AK34" i="8" a="1"/>
  <c r="AK34" i="8" s="1"/>
  <c r="AM34" i="8" a="1"/>
  <c r="AM34" i="8" s="1"/>
  <c r="AN34" i="8" a="1"/>
  <c r="AN34" i="8" s="1"/>
  <c r="AG34" i="8" a="1"/>
  <c r="AG34" i="8" s="1"/>
  <c r="AD34" i="8" a="1"/>
  <c r="AD34" i="8" s="1"/>
  <c r="AR43" i="8"/>
  <c r="AR35" i="8"/>
  <c r="AR34" i="8"/>
  <c r="AG29" i="8" a="1"/>
  <c r="AG29" i="8" s="1"/>
  <c r="AG49" i="8" a="1"/>
  <c r="AG49" i="8" s="1"/>
  <c r="AH49" i="8" a="1"/>
  <c r="AH49" i="8" s="1"/>
  <c r="AM49" i="8" a="1"/>
  <c r="AM49" i="8" s="1"/>
  <c r="AN49" i="8" a="1"/>
  <c r="AN49" i="8" s="1"/>
  <c r="AL17" i="8" a="1"/>
  <c r="AL17" i="8" s="1"/>
  <c r="AK17" i="8" a="1"/>
  <c r="AK17" i="8" s="1"/>
  <c r="AF17" i="8" a="1"/>
  <c r="AF17" i="8" s="1"/>
  <c r="AH17" i="8" a="1"/>
  <c r="AH17" i="8" s="1"/>
  <c r="AG17" i="8" a="1"/>
  <c r="AG17" i="8" s="1"/>
  <c r="AN28" i="8" a="1"/>
  <c r="AN28" i="8" s="1"/>
  <c r="AH18" i="8" a="1"/>
  <c r="AH18" i="8" s="1"/>
  <c r="AO17" i="8" a="1"/>
  <c r="AO17" i="8" s="1"/>
  <c r="AM28" i="8" a="1"/>
  <c r="AM28" i="8" s="1"/>
  <c r="AN27" i="8" a="1"/>
  <c r="AN27" i="8" s="1"/>
  <c r="AG18" i="8" a="1"/>
  <c r="AG18" i="8" s="1"/>
  <c r="AL46" i="8" a="1"/>
  <c r="AL46" i="8" s="1"/>
  <c r="AM46" i="8" a="1"/>
  <c r="AM46" i="8" s="1"/>
  <c r="AI46" i="8" a="1"/>
  <c r="AI46" i="8" s="1"/>
  <c r="AK46" i="8" a="1"/>
  <c r="AK46" i="8" s="1"/>
  <c r="AE29" i="8" a="1"/>
  <c r="AE29" i="8" s="1"/>
  <c r="AM27" i="8" a="1"/>
  <c r="AM27" i="8" s="1"/>
  <c r="AM17" i="8" a="1"/>
  <c r="AM17" i="8" s="1"/>
  <c r="AH20" i="8" a="1"/>
  <c r="AH20" i="8" s="1"/>
  <c r="AG20" i="8" a="1"/>
  <c r="AG20" i="8" s="1"/>
  <c r="AK20" i="8" a="1"/>
  <c r="AK20" i="8" s="1"/>
  <c r="AL20" i="8" a="1"/>
  <c r="AL20" i="8" s="1"/>
  <c r="AM20" i="8" a="1"/>
  <c r="AM20" i="8" s="1"/>
  <c r="AG50" i="8" a="1"/>
  <c r="AG50" i="8" s="1"/>
  <c r="AF50" i="8" a="1"/>
  <c r="AF50" i="8" s="1"/>
  <c r="AD18" i="8" a="1"/>
  <c r="AD18" i="8" s="1"/>
  <c r="AM18" i="8" a="1"/>
  <c r="AM18" i="8" s="1"/>
  <c r="AO48" i="8" a="1"/>
  <c r="AO48" i="8" s="1"/>
  <c r="AP48" i="8" a="1"/>
  <c r="AP48" i="8" s="1"/>
  <c r="AK48" i="8" a="1"/>
  <c r="AK48" i="8" s="1"/>
  <c r="AR16" i="8"/>
  <c r="AM16" i="8" a="1"/>
  <c r="AM16" i="8" s="1"/>
  <c r="AO16" i="8" a="1"/>
  <c r="AO16" i="8" s="1"/>
  <c r="AN16" i="8" a="1"/>
  <c r="AN16" i="8" s="1"/>
  <c r="AF16" i="8" a="1"/>
  <c r="AF16" i="8" s="1"/>
  <c r="AP50" i="8" a="1"/>
  <c r="AP50" i="8" s="1"/>
  <c r="AF29" i="8" a="1"/>
  <c r="AF29" i="8" s="1"/>
  <c r="AP16" i="8" a="1"/>
  <c r="AP16" i="8" s="1"/>
  <c r="AE47" i="8" a="1"/>
  <c r="AE47" i="8" s="1"/>
  <c r="AF47" i="8" a="1"/>
  <c r="AF47" i="8" s="1"/>
  <c r="AG47" i="8" a="1"/>
  <c r="AG47" i="8" s="1"/>
  <c r="AH15" i="8" a="1"/>
  <c r="AH15" i="8" s="1"/>
  <c r="AG15" i="8" a="1"/>
  <c r="AG15" i="8" s="1"/>
  <c r="AN15" i="8" a="1"/>
  <c r="AN15" i="8" s="1"/>
  <c r="AK47" i="8" a="1"/>
  <c r="AK47" i="8" s="1"/>
  <c r="AN17" i="8" a="1"/>
  <c r="AN17" i="8" s="1"/>
  <c r="AO14" i="8" a="1"/>
  <c r="AO14" i="8" s="1"/>
  <c r="AN14" i="8" a="1"/>
  <c r="AN14" i="8" s="1"/>
  <c r="AE14" i="8" a="1"/>
  <c r="AE14" i="8" s="1"/>
  <c r="AF14" i="8" a="1"/>
  <c r="AF14" i="8" s="1"/>
  <c r="AO50" i="8" a="1"/>
  <c r="AO50" i="8" s="1"/>
  <c r="AI47" i="8" a="1"/>
  <c r="AI47" i="8" s="1"/>
  <c r="AH46" i="8" a="1"/>
  <c r="AH46" i="8" s="1"/>
  <c r="AL16" i="8" a="1"/>
  <c r="AL16" i="8" s="1"/>
  <c r="AR15" i="8"/>
  <c r="AD13" i="8" a="1"/>
  <c r="AD13" i="8" s="1"/>
  <c r="AB13" i="8" s="1"/>
  <c r="AL13" i="8" a="1"/>
  <c r="AL13" i="8" s="1"/>
  <c r="AM13" i="8" a="1"/>
  <c r="AM13" i="8" s="1"/>
  <c r="AN13" i="8" a="1"/>
  <c r="AN13" i="8" s="1"/>
  <c r="AE13" i="8" a="1"/>
  <c r="AE13" i="8" s="1"/>
  <c r="AF13" i="8" a="1"/>
  <c r="AF13" i="8" s="1"/>
  <c r="AO45" i="8" a="1"/>
  <c r="AO45" i="8" s="1"/>
  <c r="AG44" i="8" a="1"/>
  <c r="AG44" i="8" s="1"/>
  <c r="AH44" i="8" a="1"/>
  <c r="AH44" i="8" s="1"/>
  <c r="AD44" i="8" a="1"/>
  <c r="AD44" i="8" s="1"/>
  <c r="AE44" i="8" a="1"/>
  <c r="AE44" i="8" s="1"/>
  <c r="AK12" i="8" a="1"/>
  <c r="AK12" i="8" s="1"/>
  <c r="AB12" i="8" s="1"/>
  <c r="AI12" i="8" a="1"/>
  <c r="AI12" i="8" s="1"/>
  <c r="AH12" i="8" a="1"/>
  <c r="AH12" i="8" s="1"/>
  <c r="AN50" i="8" a="1"/>
  <c r="AN50" i="8" s="1"/>
  <c r="AH47" i="8" a="1"/>
  <c r="AH47" i="8" s="1"/>
  <c r="AG46" i="8" a="1"/>
  <c r="AG46" i="8" s="1"/>
  <c r="AD29" i="8" a="1"/>
  <c r="AD29" i="8" s="1"/>
  <c r="AK16" i="8" a="1"/>
  <c r="AK16" i="8" s="1"/>
  <c r="AP15" i="8" a="1"/>
  <c r="AP15" i="8" s="1"/>
  <c r="AI20" i="8" a="1"/>
  <c r="AI20" i="8" s="1"/>
  <c r="AP18" i="8" a="1"/>
  <c r="AP18" i="8" s="1"/>
  <c r="AI25" i="8" a="1"/>
  <c r="AI25" i="8" s="1"/>
  <c r="AK25" i="8" a="1"/>
  <c r="AK25" i="8" s="1"/>
  <c r="AN25" i="8" a="1"/>
  <c r="AN25" i="8" s="1"/>
  <c r="AH48" i="8" a="1"/>
  <c r="AH48" i="8" s="1"/>
  <c r="AP47" i="8" a="1"/>
  <c r="AP47" i="8" s="1"/>
  <c r="AE20" i="8" a="1"/>
  <c r="AE20" i="8" s="1"/>
  <c r="AN29" i="8" a="1"/>
  <c r="AN29" i="8" s="1"/>
  <c r="AH28" i="8" a="1"/>
  <c r="AH28" i="8" s="1"/>
  <c r="AI28" i="8" a="1"/>
  <c r="AI28" i="8" s="1"/>
  <c r="AD28" i="8" a="1"/>
  <c r="AD28" i="8" s="1"/>
  <c r="AP27" i="8" a="1"/>
  <c r="AP27" i="8" s="1"/>
  <c r="AO27" i="8" a="1"/>
  <c r="AO27" i="8" s="1"/>
  <c r="AI27" i="8" a="1"/>
  <c r="AI27" i="8" s="1"/>
  <c r="AH27" i="8" a="1"/>
  <c r="AH27" i="8" s="1"/>
  <c r="AD49" i="8" a="1"/>
  <c r="AD49" i="8" s="1"/>
  <c r="AB49" i="8" s="1"/>
  <c r="AM29" i="8" a="1"/>
  <c r="AM29" i="8" s="1"/>
  <c r="AD26" i="8" a="1"/>
  <c r="AD26" i="8" s="1"/>
  <c r="AO26" i="8" a="1"/>
  <c r="AO26" i="8" s="1"/>
  <c r="AP26" i="8" a="1"/>
  <c r="AP26" i="8" s="1"/>
  <c r="AH26" i="8" a="1"/>
  <c r="AH26" i="8" s="1"/>
  <c r="AF20" i="8" a="1"/>
  <c r="AF20" i="8" s="1"/>
  <c r="AO18" i="8" a="1"/>
  <c r="AO18" i="8" s="1"/>
  <c r="AG14" i="8" a="1"/>
  <c r="AG14" i="8" s="1"/>
  <c r="AL29" i="8" a="1"/>
  <c r="AL29" i="8" s="1"/>
  <c r="AN18" i="8" a="1"/>
  <c r="AN18" i="8" s="1"/>
  <c r="AD14" i="8" a="1"/>
  <c r="AD14" i="8" s="1"/>
  <c r="AH13" i="8" a="1"/>
  <c r="AH13" i="8" s="1"/>
  <c r="AL12" i="8" a="1"/>
  <c r="AL12" i="8" s="1"/>
  <c r="AR24" i="8"/>
  <c r="AE24" i="8" a="1"/>
  <c r="AE24" i="8" s="1"/>
  <c r="AG24" i="8" a="1"/>
  <c r="AG24" i="8" s="1"/>
  <c r="AF24" i="8" a="1"/>
  <c r="AF24" i="8" s="1"/>
  <c r="AI44" i="8" a="1"/>
  <c r="AI44" i="8" s="1"/>
  <c r="AG48" i="8" a="1"/>
  <c r="AG48" i="8" s="1"/>
  <c r="AO47" i="8" a="1"/>
  <c r="AO47" i="8" s="1"/>
  <c r="AK29" i="8" a="1"/>
  <c r="AK29" i="8" s="1"/>
  <c r="AH24" i="8" a="1"/>
  <c r="AH24" i="8" s="1"/>
  <c r="AD20" i="8" a="1"/>
  <c r="AD20" i="8" s="1"/>
  <c r="AL18" i="8" a="1"/>
  <c r="AL18" i="8" s="1"/>
  <c r="AG13" i="8" a="1"/>
  <c r="AG13" i="8" s="1"/>
  <c r="AG12" i="8" a="1"/>
  <c r="AG12" i="8" s="1"/>
  <c r="AN19" i="8" a="1"/>
  <c r="AN19" i="8" s="1"/>
  <c r="AO19" i="8" a="1"/>
  <c r="AO19" i="8" s="1"/>
  <c r="AE33" i="8" a="1"/>
  <c r="AE33" i="8" s="1"/>
  <c r="AG31" i="8" a="1"/>
  <c r="AG31" i="8" s="1"/>
  <c r="AL30" i="8" a="1"/>
  <c r="AL30" i="8" s="1"/>
  <c r="AP19" i="8" a="1"/>
  <c r="AP19" i="8" s="1"/>
  <c r="AI33" i="8" a="1"/>
  <c r="AI33" i="8" s="1"/>
  <c r="AK33" i="8" a="1"/>
  <c r="AK33" i="8" s="1"/>
  <c r="AM33" i="8" a="1"/>
  <c r="AM33" i="8" s="1"/>
  <c r="AM19" i="8" a="1"/>
  <c r="AM19" i="8" s="1"/>
  <c r="X304" i="33"/>
  <c r="X313" i="33"/>
  <c r="U234" i="33" a="1"/>
  <c r="U234" i="33" s="1"/>
  <c r="U229" i="33" a="1"/>
  <c r="U229" i="33" s="1"/>
  <c r="V229" i="33" a="1"/>
  <c r="V229" i="33" s="1"/>
  <c r="W229" i="33" a="1"/>
  <c r="W229" i="33" s="1"/>
  <c r="U230" i="33" a="1"/>
  <c r="U230" i="33" s="1"/>
  <c r="V230" i="33" a="1"/>
  <c r="V230" i="33"/>
  <c r="W230" i="33" a="1"/>
  <c r="W230" i="33"/>
  <c r="U231" i="33" a="1"/>
  <c r="U231" i="33" s="1"/>
  <c r="V231" i="33" a="1"/>
  <c r="V231" i="33" s="1"/>
  <c r="W231" i="33" a="1"/>
  <c r="W231" i="33" s="1"/>
  <c r="U232" i="33" a="1"/>
  <c r="U232" i="33" s="1"/>
  <c r="V232" i="33" a="1"/>
  <c r="V232" i="33" s="1"/>
  <c r="W232" i="33" a="1"/>
  <c r="W232" i="33" s="1"/>
  <c r="U233" i="33" a="1"/>
  <c r="U233" i="33" s="1"/>
  <c r="V233" i="33" a="1"/>
  <c r="V233" i="33" s="1"/>
  <c r="W233" i="33" a="1"/>
  <c r="W233" i="33"/>
  <c r="V234" i="33" a="1"/>
  <c r="V234" i="33" s="1"/>
  <c r="W234" i="33" a="1"/>
  <c r="W234" i="33" s="1"/>
  <c r="U235" i="33" a="1"/>
  <c r="U235" i="33" s="1"/>
  <c r="V235" i="33" a="1"/>
  <c r="V235" i="33"/>
  <c r="W235" i="33" a="1"/>
  <c r="W235" i="33"/>
  <c r="U236" i="33" a="1"/>
  <c r="U236" i="33"/>
  <c r="V236" i="33" a="1"/>
  <c r="V236" i="33" s="1"/>
  <c r="W236" i="33" a="1"/>
  <c r="W236" i="33"/>
  <c r="U237" i="33" a="1"/>
  <c r="U237" i="33"/>
  <c r="V237" i="33" a="1"/>
  <c r="V237" i="33" s="1"/>
  <c r="W237" i="33" a="1"/>
  <c r="W237" i="33"/>
  <c r="U238" i="33" a="1"/>
  <c r="U238" i="33"/>
  <c r="V238" i="33" a="1"/>
  <c r="V238" i="33" s="1"/>
  <c r="W238" i="33" a="1"/>
  <c r="W238" i="33" s="1"/>
  <c r="U239" i="33" a="1"/>
  <c r="U239" i="33" s="1"/>
  <c r="V239" i="33" a="1"/>
  <c r="V239" i="33"/>
  <c r="W239" i="33" a="1"/>
  <c r="W239" i="33" s="1"/>
  <c r="U240" i="33" a="1"/>
  <c r="U240" i="33" s="1"/>
  <c r="V240" i="33" a="1"/>
  <c r="V240" i="33" s="1"/>
  <c r="W240" i="33" a="1"/>
  <c r="W240" i="33"/>
  <c r="U241" i="33" a="1"/>
  <c r="U241" i="33" s="1"/>
  <c r="V241" i="33" a="1"/>
  <c r="V241" i="33"/>
  <c r="W241" i="33" a="1"/>
  <c r="W241" i="33"/>
  <c r="U242" i="33" a="1"/>
  <c r="U242" i="33" s="1"/>
  <c r="V242" i="33" a="1"/>
  <c r="V242" i="33"/>
  <c r="W242" i="33" a="1"/>
  <c r="W242" i="33" s="1"/>
  <c r="U243" i="33" a="1"/>
  <c r="U243" i="33" s="1"/>
  <c r="V243" i="33" a="1"/>
  <c r="V243" i="33" s="1"/>
  <c r="W243" i="33" a="1"/>
  <c r="W243" i="33"/>
  <c r="U244" i="33" a="1"/>
  <c r="U244" i="33" s="1"/>
  <c r="V244" i="33" a="1"/>
  <c r="V244" i="33" s="1"/>
  <c r="W244" i="33" a="1"/>
  <c r="W244" i="33"/>
  <c r="U245" i="33" a="1"/>
  <c r="U245" i="33" s="1"/>
  <c r="V245" i="33" a="1"/>
  <c r="V245" i="33" s="1"/>
  <c r="W245" i="33" a="1"/>
  <c r="W245" i="33" s="1"/>
  <c r="U246" i="33" a="1"/>
  <c r="U246" i="33" s="1"/>
  <c r="V246" i="33" a="1"/>
  <c r="V246" i="33" s="1"/>
  <c r="W246" i="33" a="1"/>
  <c r="W246" i="33" s="1"/>
  <c r="U247" i="33" a="1"/>
  <c r="U247" i="33" s="1"/>
  <c r="V247" i="33" a="1"/>
  <c r="V247" i="33" s="1"/>
  <c r="W247" i="33" a="1"/>
  <c r="W247" i="33" s="1"/>
  <c r="U248" i="33" a="1"/>
  <c r="U248" i="33" s="1"/>
  <c r="V248" i="33" a="1"/>
  <c r="V248" i="33" s="1"/>
  <c r="W248" i="33" a="1"/>
  <c r="W248" i="33"/>
  <c r="U249" i="33" a="1"/>
  <c r="U249" i="33"/>
  <c r="V249" i="33" a="1"/>
  <c r="V249" i="33"/>
  <c r="W249" i="33" a="1"/>
  <c r="W249" i="33"/>
  <c r="U250" i="33" a="1"/>
  <c r="U250" i="33" s="1"/>
  <c r="V250" i="33" a="1"/>
  <c r="V250" i="33" s="1"/>
  <c r="W250" i="33" a="1"/>
  <c r="W250" i="33" s="1"/>
  <c r="U251" i="33" a="1"/>
  <c r="U251" i="33"/>
  <c r="V251" i="33" a="1"/>
  <c r="V251" i="33"/>
  <c r="W251" i="33" a="1"/>
  <c r="W251" i="33"/>
  <c r="U252" i="33" a="1"/>
  <c r="U252" i="33"/>
  <c r="V252" i="33" a="1"/>
  <c r="V252" i="33"/>
  <c r="W252" i="33" a="1"/>
  <c r="W252" i="33" s="1"/>
  <c r="U253" i="33" a="1"/>
  <c r="U253" i="33" s="1"/>
  <c r="V253" i="33" a="1"/>
  <c r="V253" i="33" s="1"/>
  <c r="W253" i="33" a="1"/>
  <c r="W253" i="33" s="1"/>
  <c r="U254" i="33" a="1"/>
  <c r="U254" i="33" s="1"/>
  <c r="V254" i="33" a="1"/>
  <c r="V254" i="33"/>
  <c r="W254" i="33" a="1"/>
  <c r="W254" i="33" s="1"/>
  <c r="U255" i="33" a="1"/>
  <c r="U255" i="33"/>
  <c r="V255" i="33" a="1"/>
  <c r="V255" i="33"/>
  <c r="W255" i="33" a="1"/>
  <c r="W255" i="33" s="1"/>
  <c r="U256" i="33" a="1"/>
  <c r="U256" i="33" s="1"/>
  <c r="V256" i="33" a="1"/>
  <c r="V256" i="33" s="1"/>
  <c r="W256" i="33" a="1"/>
  <c r="W256" i="33"/>
  <c r="U257" i="33" a="1"/>
  <c r="U257" i="33"/>
  <c r="V257" i="33" a="1"/>
  <c r="V257" i="33" s="1"/>
  <c r="W257" i="33" a="1"/>
  <c r="W257" i="33" s="1"/>
  <c r="U258" i="33" a="1"/>
  <c r="U258" i="33"/>
  <c r="V258" i="33" a="1"/>
  <c r="V258" i="33" s="1"/>
  <c r="W258" i="33" a="1"/>
  <c r="W258" i="33" s="1"/>
  <c r="U259" i="33" a="1"/>
  <c r="U259" i="33" s="1"/>
  <c r="V259" i="33" a="1"/>
  <c r="V259" i="33" s="1"/>
  <c r="W259" i="33" a="1"/>
  <c r="W259" i="33" s="1"/>
  <c r="U260" i="33" a="1"/>
  <c r="U260" i="33" s="1"/>
  <c r="V260" i="33" a="1"/>
  <c r="V260" i="33" s="1"/>
  <c r="W260" i="33" a="1"/>
  <c r="W260" i="33"/>
  <c r="U261" i="33" a="1"/>
  <c r="U261" i="33" s="1"/>
  <c r="V261" i="33" a="1"/>
  <c r="V261" i="33" s="1"/>
  <c r="W261" i="33" a="1"/>
  <c r="W261" i="33"/>
  <c r="U262" i="33" a="1"/>
  <c r="U262" i="33"/>
  <c r="V262" i="33" a="1"/>
  <c r="V262" i="33" s="1"/>
  <c r="W262" i="33" a="1"/>
  <c r="W262" i="33"/>
  <c r="U263" i="33" a="1"/>
  <c r="U263" i="33"/>
  <c r="V263" i="33" a="1"/>
  <c r="V263" i="33"/>
  <c r="W263" i="33" a="1"/>
  <c r="W263" i="33" s="1"/>
  <c r="U264" i="33" a="1"/>
  <c r="U264" i="33" s="1"/>
  <c r="V264" i="33" a="1"/>
  <c r="V264" i="33" s="1"/>
  <c r="W264" i="33" a="1"/>
  <c r="W264" i="33"/>
  <c r="U265" i="33" a="1"/>
  <c r="U265" i="33" s="1"/>
  <c r="V265" i="33" a="1"/>
  <c r="V265" i="33"/>
  <c r="W265" i="33" a="1"/>
  <c r="W265" i="33"/>
  <c r="U266" i="33" a="1"/>
  <c r="U266" i="33" s="1"/>
  <c r="V266" i="33" a="1"/>
  <c r="V266" i="33" s="1"/>
  <c r="W266" i="33" a="1"/>
  <c r="W266" i="33" s="1"/>
  <c r="U267" i="33" a="1"/>
  <c r="U267" i="33" s="1"/>
  <c r="V267" i="33" a="1"/>
  <c r="V267" i="33"/>
  <c r="W267" i="33" a="1"/>
  <c r="W267" i="33" s="1"/>
  <c r="U268" i="33" a="1"/>
  <c r="U268" i="33"/>
  <c r="V268" i="33" a="1"/>
  <c r="V268" i="33" s="1"/>
  <c r="W268" i="33" a="1"/>
  <c r="W268" i="33"/>
  <c r="U269" i="33" a="1"/>
  <c r="U269" i="33"/>
  <c r="V269" i="33" a="1"/>
  <c r="V269" i="33" s="1"/>
  <c r="W269" i="33" a="1"/>
  <c r="W269" i="33"/>
  <c r="U270" i="33" a="1"/>
  <c r="U270" i="33" s="1"/>
  <c r="V270" i="33" a="1"/>
  <c r="V270" i="33" s="1"/>
  <c r="W270" i="33" a="1"/>
  <c r="W270" i="33"/>
  <c r="U271" i="33" a="1"/>
  <c r="U271" i="33"/>
  <c r="V271" i="33" a="1"/>
  <c r="V271" i="33" s="1"/>
  <c r="W271" i="33" a="1"/>
  <c r="W271" i="33" s="1"/>
  <c r="U272" i="33" a="1"/>
  <c r="U272" i="33" s="1"/>
  <c r="V272" i="33" a="1"/>
  <c r="V272" i="33" s="1"/>
  <c r="W272" i="33" a="1"/>
  <c r="W272" i="33" s="1"/>
  <c r="U273" i="33" a="1"/>
  <c r="U273" i="33"/>
  <c r="V273" i="33" a="1"/>
  <c r="V273" i="33"/>
  <c r="W273" i="33" a="1"/>
  <c r="W273" i="33"/>
  <c r="U274" i="33" a="1"/>
  <c r="U274" i="33" s="1"/>
  <c r="V274" i="33" a="1"/>
  <c r="V274" i="33" s="1"/>
  <c r="W274" i="33" a="1"/>
  <c r="W274" i="33" s="1"/>
  <c r="U275" i="33" a="1"/>
  <c r="U275" i="33" s="1"/>
  <c r="V275" i="33" a="1"/>
  <c r="V275" i="33"/>
  <c r="W275" i="33" a="1"/>
  <c r="W275" i="33" s="1"/>
  <c r="U276" i="33" a="1"/>
  <c r="U276" i="33"/>
  <c r="V276" i="33" a="1"/>
  <c r="V276" i="33" s="1"/>
  <c r="W276" i="33" a="1"/>
  <c r="W276" i="33" s="1"/>
  <c r="W228" i="33" a="1"/>
  <c r="W228" i="33" s="1"/>
  <c r="V228" i="33" a="1"/>
  <c r="V228" i="33" s="1"/>
  <c r="U228" i="33" a="1"/>
  <c r="U228" i="33" s="1"/>
  <c r="E3" i="10"/>
  <c r="E4" i="10"/>
  <c r="E5" i="10"/>
  <c r="E6" i="10"/>
  <c r="E7" i="10"/>
  <c r="E8" i="10"/>
  <c r="E9" i="10"/>
  <c r="E10" i="10"/>
  <c r="E11" i="10"/>
  <c r="E12" i="10"/>
  <c r="E13" i="10"/>
  <c r="E14" i="10"/>
  <c r="E15" i="10"/>
  <c r="E16" i="10"/>
  <c r="E17" i="10"/>
  <c r="E18" i="10"/>
  <c r="E19" i="10"/>
  <c r="E20" i="10"/>
  <c r="E21" i="10"/>
  <c r="E22" i="10"/>
  <c r="E23" i="10"/>
  <c r="E24" i="10"/>
  <c r="E25" i="10"/>
  <c r="E26" i="10"/>
  <c r="E27" i="10"/>
  <c r="E2" i="10"/>
  <c r="D3" i="10"/>
  <c r="D4" i="10"/>
  <c r="D5" i="10"/>
  <c r="D6" i="10"/>
  <c r="D7" i="10"/>
  <c r="D8" i="10"/>
  <c r="D9" i="10"/>
  <c r="D10" i="10"/>
  <c r="D11" i="10"/>
  <c r="D12" i="10"/>
  <c r="D13" i="10"/>
  <c r="D14" i="10"/>
  <c r="D15" i="10"/>
  <c r="D16" i="10"/>
  <c r="D17" i="10"/>
  <c r="D18" i="10"/>
  <c r="D19" i="10"/>
  <c r="D20" i="10"/>
  <c r="D21" i="10"/>
  <c r="D22" i="10"/>
  <c r="D23" i="10"/>
  <c r="D24" i="10"/>
  <c r="D25" i="10"/>
  <c r="D26" i="10"/>
  <c r="D27" i="10"/>
  <c r="D2" i="10"/>
  <c r="A3" i="10"/>
  <c r="B3" i="10"/>
  <c r="C3" i="10"/>
  <c r="A4" i="10"/>
  <c r="B4" i="10"/>
  <c r="C4" i="10"/>
  <c r="A5" i="10"/>
  <c r="B5" i="10"/>
  <c r="C5" i="10"/>
  <c r="A6" i="10"/>
  <c r="B6" i="10"/>
  <c r="C6" i="10"/>
  <c r="A7" i="10"/>
  <c r="B7" i="10"/>
  <c r="C7" i="10"/>
  <c r="A8" i="10"/>
  <c r="B8" i="10"/>
  <c r="C8" i="10"/>
  <c r="A9" i="10"/>
  <c r="B9" i="10"/>
  <c r="C9" i="10"/>
  <c r="A10" i="10"/>
  <c r="B10" i="10"/>
  <c r="C10" i="10"/>
  <c r="A11" i="10"/>
  <c r="B11" i="10"/>
  <c r="C11" i="10"/>
  <c r="A12" i="10"/>
  <c r="B12" i="10"/>
  <c r="C12" i="10"/>
  <c r="A13" i="10"/>
  <c r="B13" i="10"/>
  <c r="C13" i="10"/>
  <c r="A14" i="10"/>
  <c r="B14" i="10"/>
  <c r="C14" i="10"/>
  <c r="A15" i="10"/>
  <c r="B15" i="10"/>
  <c r="C15" i="10"/>
  <c r="A16" i="10"/>
  <c r="B16" i="10"/>
  <c r="C16" i="10"/>
  <c r="A17" i="10"/>
  <c r="B17" i="10"/>
  <c r="C17" i="10"/>
  <c r="A18" i="10"/>
  <c r="B18" i="10"/>
  <c r="C18" i="10"/>
  <c r="A19" i="10"/>
  <c r="B19" i="10"/>
  <c r="C19" i="10"/>
  <c r="A20" i="10"/>
  <c r="B20" i="10"/>
  <c r="C20" i="10"/>
  <c r="A21" i="10"/>
  <c r="B21" i="10"/>
  <c r="C21" i="10"/>
  <c r="A22" i="10"/>
  <c r="B22" i="10"/>
  <c r="C22" i="10"/>
  <c r="A23" i="10"/>
  <c r="B23" i="10"/>
  <c r="C23" i="10"/>
  <c r="A24" i="10"/>
  <c r="B24" i="10"/>
  <c r="C24" i="10"/>
  <c r="A25" i="10"/>
  <c r="B25" i="10"/>
  <c r="C25" i="10"/>
  <c r="A26" i="10"/>
  <c r="B26" i="10"/>
  <c r="C26" i="10"/>
  <c r="A27" i="10"/>
  <c r="B27" i="10"/>
  <c r="C27" i="10"/>
  <c r="F2" i="21"/>
  <c r="G2" i="21"/>
  <c r="H2" i="21"/>
  <c r="I2" i="21"/>
  <c r="M2" i="21"/>
  <c r="P2" i="21"/>
  <c r="Q2" i="21"/>
  <c r="R2" i="21"/>
  <c r="S2" i="21"/>
  <c r="T2" i="21"/>
  <c r="U2" i="21"/>
  <c r="AJ2" i="21"/>
  <c r="F3" i="21"/>
  <c r="G3" i="21"/>
  <c r="H3" i="21"/>
  <c r="I3" i="21"/>
  <c r="P3" i="21"/>
  <c r="Q3" i="21"/>
  <c r="R3" i="21"/>
  <c r="S3" i="21"/>
  <c r="T3" i="21"/>
  <c r="U3" i="21"/>
  <c r="F4" i="21"/>
  <c r="G4" i="21"/>
  <c r="H4" i="21"/>
  <c r="I4" i="21"/>
  <c r="P4" i="21"/>
  <c r="Q4" i="21"/>
  <c r="R4" i="21"/>
  <c r="S4" i="21"/>
  <c r="T4" i="21"/>
  <c r="U4" i="21"/>
  <c r="F5" i="21"/>
  <c r="G5" i="21"/>
  <c r="H5" i="21"/>
  <c r="I5" i="21"/>
  <c r="P5" i="21"/>
  <c r="Q5" i="21"/>
  <c r="R5" i="21"/>
  <c r="S5" i="21"/>
  <c r="T5" i="21"/>
  <c r="U5" i="21"/>
  <c r="F6" i="21"/>
  <c r="G6" i="21"/>
  <c r="H6" i="21"/>
  <c r="I6" i="21"/>
  <c r="P6" i="21"/>
  <c r="Q6" i="21"/>
  <c r="R6" i="21"/>
  <c r="S6" i="21"/>
  <c r="T6" i="21"/>
  <c r="U6" i="21"/>
  <c r="F7" i="21"/>
  <c r="G7" i="21"/>
  <c r="H7" i="21"/>
  <c r="I7" i="21"/>
  <c r="P7" i="21"/>
  <c r="Q7" i="21"/>
  <c r="R7" i="21"/>
  <c r="S7" i="21"/>
  <c r="T7" i="21"/>
  <c r="U7" i="21"/>
  <c r="F8" i="21"/>
  <c r="G8" i="21"/>
  <c r="H8" i="21"/>
  <c r="I8" i="21"/>
  <c r="P8" i="21"/>
  <c r="Q8" i="21"/>
  <c r="R8" i="21"/>
  <c r="S8" i="21"/>
  <c r="T8" i="21"/>
  <c r="U8" i="21"/>
  <c r="F9" i="21"/>
  <c r="G9" i="21"/>
  <c r="H9" i="21"/>
  <c r="I9" i="21"/>
  <c r="P9" i="21"/>
  <c r="Q9" i="21"/>
  <c r="R9" i="21"/>
  <c r="S9" i="21"/>
  <c r="T9" i="21"/>
  <c r="U9" i="21"/>
  <c r="F10" i="21"/>
  <c r="G10" i="21"/>
  <c r="H10" i="21"/>
  <c r="I10" i="21"/>
  <c r="P10" i="21"/>
  <c r="Q10" i="21"/>
  <c r="R10" i="21"/>
  <c r="S10" i="21"/>
  <c r="T10" i="21"/>
  <c r="U10" i="21"/>
  <c r="F11" i="21"/>
  <c r="G11" i="21"/>
  <c r="H11" i="21"/>
  <c r="I11" i="21"/>
  <c r="P11" i="21"/>
  <c r="Q11" i="21"/>
  <c r="R11" i="21"/>
  <c r="S11" i="21"/>
  <c r="T11" i="21"/>
  <c r="U11" i="21"/>
  <c r="F12" i="21"/>
  <c r="G12" i="21"/>
  <c r="H12" i="21"/>
  <c r="I12" i="21"/>
  <c r="P12" i="21"/>
  <c r="Q12" i="21"/>
  <c r="R12" i="21"/>
  <c r="S12" i="21"/>
  <c r="T12" i="21"/>
  <c r="U12" i="21"/>
  <c r="F13" i="21"/>
  <c r="G13" i="21"/>
  <c r="H13" i="21"/>
  <c r="I13" i="21"/>
  <c r="P13" i="21"/>
  <c r="Q13" i="21"/>
  <c r="R13" i="21"/>
  <c r="S13" i="21"/>
  <c r="T13" i="21"/>
  <c r="U13" i="21"/>
  <c r="F14" i="21"/>
  <c r="G14" i="21"/>
  <c r="H14" i="21"/>
  <c r="I14" i="21"/>
  <c r="J14" i="21"/>
  <c r="P14" i="21"/>
  <c r="Q14" i="21"/>
  <c r="R14" i="21"/>
  <c r="S14" i="21"/>
  <c r="T14" i="21"/>
  <c r="U14" i="21"/>
  <c r="F15" i="21"/>
  <c r="G15" i="21"/>
  <c r="H15" i="21"/>
  <c r="I15" i="21"/>
  <c r="P15" i="21"/>
  <c r="Q15" i="21"/>
  <c r="R15" i="21"/>
  <c r="S15" i="21"/>
  <c r="T15" i="21"/>
  <c r="U15" i="21"/>
  <c r="F16" i="21"/>
  <c r="G16" i="21"/>
  <c r="H16" i="21"/>
  <c r="I16" i="21"/>
  <c r="P16" i="21"/>
  <c r="Q16" i="21"/>
  <c r="R16" i="21"/>
  <c r="S16" i="21"/>
  <c r="T16" i="21"/>
  <c r="U16" i="21"/>
  <c r="F17" i="21"/>
  <c r="G17" i="21"/>
  <c r="H17" i="21"/>
  <c r="I17" i="21"/>
  <c r="P17" i="21"/>
  <c r="Q17" i="21"/>
  <c r="R17" i="21"/>
  <c r="S17" i="21"/>
  <c r="T17" i="21"/>
  <c r="U17" i="21"/>
  <c r="F18" i="21"/>
  <c r="G18" i="21"/>
  <c r="H18" i="21"/>
  <c r="I18" i="21"/>
  <c r="P18" i="21"/>
  <c r="Q18" i="21"/>
  <c r="R18" i="21"/>
  <c r="S18" i="21"/>
  <c r="T18" i="21"/>
  <c r="U18" i="21"/>
  <c r="F19" i="21"/>
  <c r="G19" i="21"/>
  <c r="H19" i="21"/>
  <c r="I19" i="21"/>
  <c r="P19" i="21"/>
  <c r="Q19" i="21"/>
  <c r="R19" i="21"/>
  <c r="S19" i="21"/>
  <c r="T19" i="21"/>
  <c r="U19" i="21"/>
  <c r="F20" i="21"/>
  <c r="G20" i="21"/>
  <c r="H20" i="21"/>
  <c r="I20" i="21"/>
  <c r="P20" i="21"/>
  <c r="Q20" i="21"/>
  <c r="R20" i="21"/>
  <c r="S20" i="21"/>
  <c r="T20" i="21"/>
  <c r="U20" i="21"/>
  <c r="F21" i="21"/>
  <c r="G21" i="21"/>
  <c r="H21" i="21"/>
  <c r="I21" i="21"/>
  <c r="P21" i="21"/>
  <c r="Q21" i="21"/>
  <c r="R21" i="21"/>
  <c r="S21" i="21"/>
  <c r="T21" i="21"/>
  <c r="U21" i="21"/>
  <c r="F22" i="21"/>
  <c r="G22" i="21"/>
  <c r="H22" i="21"/>
  <c r="I22" i="21"/>
  <c r="P22" i="21"/>
  <c r="Q22" i="21"/>
  <c r="R22" i="21"/>
  <c r="S22" i="21"/>
  <c r="T22" i="21"/>
  <c r="U22" i="21"/>
  <c r="F23" i="21"/>
  <c r="G23" i="21"/>
  <c r="H23" i="21"/>
  <c r="I23" i="21"/>
  <c r="P23" i="21"/>
  <c r="Q23" i="21"/>
  <c r="R23" i="21"/>
  <c r="S23" i="21"/>
  <c r="T23" i="21"/>
  <c r="U23" i="21"/>
  <c r="F24" i="21"/>
  <c r="G24" i="21"/>
  <c r="H24" i="21"/>
  <c r="I24" i="21"/>
  <c r="P24" i="21"/>
  <c r="Q24" i="21"/>
  <c r="R24" i="21"/>
  <c r="S24" i="21"/>
  <c r="T24" i="21"/>
  <c r="U24" i="21"/>
  <c r="F25" i="21"/>
  <c r="G25" i="21"/>
  <c r="H25" i="21"/>
  <c r="I25" i="21"/>
  <c r="P25" i="21"/>
  <c r="Q25" i="21"/>
  <c r="R25" i="21"/>
  <c r="S25" i="21"/>
  <c r="T25" i="21"/>
  <c r="U25" i="21"/>
  <c r="F26" i="21"/>
  <c r="G26" i="21"/>
  <c r="H26" i="21"/>
  <c r="I26" i="21"/>
  <c r="P26" i="21"/>
  <c r="Q26" i="21"/>
  <c r="R26" i="21"/>
  <c r="S26" i="21"/>
  <c r="T26" i="21"/>
  <c r="U26" i="21"/>
  <c r="F27" i="21"/>
  <c r="G27" i="21"/>
  <c r="H27" i="21"/>
  <c r="I27" i="21"/>
  <c r="P27" i="21"/>
  <c r="Q27" i="21"/>
  <c r="R27" i="21"/>
  <c r="S27" i="21"/>
  <c r="T27" i="21"/>
  <c r="U27" i="21"/>
  <c r="F28" i="21"/>
  <c r="G28" i="21"/>
  <c r="H28" i="21"/>
  <c r="I28" i="21"/>
  <c r="P28" i="21"/>
  <c r="Q28" i="21"/>
  <c r="R28" i="21"/>
  <c r="S28" i="21"/>
  <c r="T28" i="21"/>
  <c r="U28" i="21"/>
  <c r="F29" i="21"/>
  <c r="G29" i="21"/>
  <c r="H29" i="21"/>
  <c r="I29" i="21"/>
  <c r="P29" i="21"/>
  <c r="Q29" i="21"/>
  <c r="R29" i="21"/>
  <c r="S29" i="21"/>
  <c r="T29" i="21"/>
  <c r="U29" i="21"/>
  <c r="F30" i="21"/>
  <c r="G30" i="21"/>
  <c r="H30" i="21"/>
  <c r="I30" i="21"/>
  <c r="P30" i="21"/>
  <c r="Q30" i="21"/>
  <c r="R30" i="21"/>
  <c r="S30" i="21"/>
  <c r="T30" i="21"/>
  <c r="U30" i="21"/>
  <c r="F31" i="21"/>
  <c r="G31" i="21"/>
  <c r="H31" i="21"/>
  <c r="I31" i="21"/>
  <c r="P31" i="21"/>
  <c r="Q31" i="21"/>
  <c r="R31" i="21"/>
  <c r="S31" i="21"/>
  <c r="T31" i="21"/>
  <c r="U31" i="21"/>
  <c r="F32" i="21"/>
  <c r="G32" i="21"/>
  <c r="H32" i="21"/>
  <c r="I32" i="21"/>
  <c r="P32" i="21"/>
  <c r="Q32" i="21"/>
  <c r="R32" i="21"/>
  <c r="S32" i="21"/>
  <c r="T32" i="21"/>
  <c r="U32" i="21"/>
  <c r="F33" i="21"/>
  <c r="G33" i="21"/>
  <c r="H33" i="21"/>
  <c r="I33" i="21"/>
  <c r="P33" i="21"/>
  <c r="Q33" i="21"/>
  <c r="R33" i="21"/>
  <c r="S33" i="21"/>
  <c r="T33" i="21"/>
  <c r="U33" i="21"/>
  <c r="F34" i="21"/>
  <c r="G34" i="21"/>
  <c r="H34" i="21"/>
  <c r="I34" i="21"/>
  <c r="P34" i="21"/>
  <c r="Q34" i="21"/>
  <c r="R34" i="21"/>
  <c r="S34" i="21"/>
  <c r="T34" i="21"/>
  <c r="U34" i="21"/>
  <c r="F35" i="21"/>
  <c r="G35" i="21"/>
  <c r="H35" i="21"/>
  <c r="I35" i="21"/>
  <c r="P35" i="21"/>
  <c r="Q35" i="21"/>
  <c r="R35" i="21"/>
  <c r="S35" i="21"/>
  <c r="T35" i="21"/>
  <c r="U35" i="21"/>
  <c r="F36" i="21"/>
  <c r="G36" i="21"/>
  <c r="H36" i="21"/>
  <c r="I36" i="21"/>
  <c r="P36" i="21"/>
  <c r="Q36" i="21"/>
  <c r="R36" i="21"/>
  <c r="S36" i="21"/>
  <c r="T36" i="21"/>
  <c r="U36" i="21"/>
  <c r="F37" i="21"/>
  <c r="G37" i="21"/>
  <c r="H37" i="21"/>
  <c r="I37" i="21"/>
  <c r="P37" i="21"/>
  <c r="Q37" i="21"/>
  <c r="R37" i="21"/>
  <c r="S37" i="21"/>
  <c r="T37" i="21"/>
  <c r="U37" i="21"/>
  <c r="F38" i="21"/>
  <c r="G38" i="21"/>
  <c r="H38" i="21"/>
  <c r="I38" i="21"/>
  <c r="P38" i="21"/>
  <c r="Q38" i="21"/>
  <c r="R38" i="21"/>
  <c r="S38" i="21"/>
  <c r="T38" i="21"/>
  <c r="U38" i="21"/>
  <c r="F39" i="21"/>
  <c r="G39" i="21"/>
  <c r="H39" i="21"/>
  <c r="I39" i="21"/>
  <c r="P39" i="21"/>
  <c r="Q39" i="21"/>
  <c r="R39" i="21"/>
  <c r="S39" i="21"/>
  <c r="T39" i="21"/>
  <c r="U39" i="21"/>
  <c r="F40" i="21"/>
  <c r="G40" i="21"/>
  <c r="H40" i="21"/>
  <c r="I40" i="21"/>
  <c r="P40" i="21"/>
  <c r="Q40" i="21"/>
  <c r="R40" i="21"/>
  <c r="S40" i="21"/>
  <c r="T40" i="21"/>
  <c r="U40" i="21"/>
  <c r="F41" i="21"/>
  <c r="G41" i="21"/>
  <c r="H41" i="21"/>
  <c r="I41" i="21"/>
  <c r="P41" i="21"/>
  <c r="Q41" i="21"/>
  <c r="R41" i="21"/>
  <c r="S41" i="21"/>
  <c r="T41" i="21"/>
  <c r="U41" i="21"/>
  <c r="F42" i="21"/>
  <c r="G42" i="21"/>
  <c r="H42" i="21"/>
  <c r="I42" i="21"/>
  <c r="P42" i="21"/>
  <c r="Q42" i="21"/>
  <c r="R42" i="21"/>
  <c r="S42" i="21"/>
  <c r="T42" i="21"/>
  <c r="U42" i="21"/>
  <c r="F43" i="21"/>
  <c r="G43" i="21"/>
  <c r="H43" i="21"/>
  <c r="I43" i="21"/>
  <c r="P43" i="21"/>
  <c r="Q43" i="21"/>
  <c r="R43" i="21"/>
  <c r="S43" i="21"/>
  <c r="T43" i="21"/>
  <c r="U43" i="21"/>
  <c r="F44" i="21"/>
  <c r="G44" i="21"/>
  <c r="H44" i="21"/>
  <c r="I44" i="21"/>
  <c r="P44" i="21"/>
  <c r="Q44" i="21"/>
  <c r="R44" i="21"/>
  <c r="S44" i="21"/>
  <c r="T44" i="21"/>
  <c r="U44" i="21"/>
  <c r="F45" i="21"/>
  <c r="G45" i="21"/>
  <c r="H45" i="21"/>
  <c r="I45" i="21"/>
  <c r="P45" i="21"/>
  <c r="Q45" i="21"/>
  <c r="R45" i="21"/>
  <c r="S45" i="21"/>
  <c r="T45" i="21"/>
  <c r="U45" i="21"/>
  <c r="F46" i="21"/>
  <c r="G46" i="21"/>
  <c r="H46" i="21"/>
  <c r="I46" i="21"/>
  <c r="P46" i="21"/>
  <c r="Q46" i="21"/>
  <c r="R46" i="21"/>
  <c r="S46" i="21"/>
  <c r="T46" i="21"/>
  <c r="U46" i="21"/>
  <c r="F47" i="21"/>
  <c r="G47" i="21"/>
  <c r="H47" i="21"/>
  <c r="I47" i="21"/>
  <c r="P47" i="21"/>
  <c r="Q47" i="21"/>
  <c r="R47" i="21"/>
  <c r="S47" i="21"/>
  <c r="T47" i="21"/>
  <c r="U47" i="21"/>
  <c r="F48" i="21"/>
  <c r="G48" i="21"/>
  <c r="H48" i="21"/>
  <c r="I48" i="21"/>
  <c r="P48" i="21"/>
  <c r="Q48" i="21"/>
  <c r="R48" i="21"/>
  <c r="S48" i="21"/>
  <c r="T48" i="21"/>
  <c r="U48" i="21"/>
  <c r="F49" i="21"/>
  <c r="G49" i="21"/>
  <c r="H49" i="21"/>
  <c r="I49" i="21"/>
  <c r="P49" i="21"/>
  <c r="Q49" i="21"/>
  <c r="R49" i="21"/>
  <c r="S49" i="21"/>
  <c r="T49" i="21"/>
  <c r="U49" i="21"/>
  <c r="F50" i="21"/>
  <c r="G50" i="21"/>
  <c r="H50" i="21"/>
  <c r="I50" i="21"/>
  <c r="P50" i="21"/>
  <c r="Q50" i="21"/>
  <c r="R50" i="21"/>
  <c r="S50" i="21"/>
  <c r="T50" i="21"/>
  <c r="U50" i="21"/>
  <c r="F51" i="21"/>
  <c r="G51" i="21"/>
  <c r="H51" i="21"/>
  <c r="I51" i="21"/>
  <c r="P51" i="21"/>
  <c r="Q51" i="21"/>
  <c r="R51" i="21"/>
  <c r="S51" i="21"/>
  <c r="T51" i="21"/>
  <c r="U51" i="21"/>
  <c r="F52" i="21"/>
  <c r="G52" i="21"/>
  <c r="H52" i="21"/>
  <c r="I52" i="21"/>
  <c r="P52" i="21"/>
  <c r="Q52" i="21"/>
  <c r="R52" i="21"/>
  <c r="S52" i="21"/>
  <c r="T52" i="21"/>
  <c r="U52" i="21"/>
  <c r="F53" i="21"/>
  <c r="G53" i="21"/>
  <c r="H53" i="21"/>
  <c r="I53" i="21"/>
  <c r="P53" i="21"/>
  <c r="Q53" i="21"/>
  <c r="R53" i="21"/>
  <c r="S53" i="21"/>
  <c r="T53" i="21"/>
  <c r="U53" i="21"/>
  <c r="F54" i="21"/>
  <c r="G54" i="21"/>
  <c r="H54" i="21"/>
  <c r="I54" i="21"/>
  <c r="P54" i="21"/>
  <c r="Q54" i="21"/>
  <c r="R54" i="21"/>
  <c r="S54" i="21"/>
  <c r="T54" i="21"/>
  <c r="U54" i="21"/>
  <c r="F55" i="21"/>
  <c r="G55" i="21"/>
  <c r="H55" i="21"/>
  <c r="I55" i="21"/>
  <c r="P55" i="21"/>
  <c r="Q55" i="21"/>
  <c r="R55" i="21"/>
  <c r="S55" i="21"/>
  <c r="T55" i="21"/>
  <c r="U55" i="21"/>
  <c r="F56" i="21"/>
  <c r="G56" i="21"/>
  <c r="H56" i="21"/>
  <c r="I56" i="21"/>
  <c r="P56" i="21"/>
  <c r="Q56" i="21"/>
  <c r="R56" i="21"/>
  <c r="S56" i="21"/>
  <c r="T56" i="21"/>
  <c r="U56" i="21"/>
  <c r="F57" i="21"/>
  <c r="G57" i="21"/>
  <c r="H57" i="21"/>
  <c r="I57" i="21"/>
  <c r="P57" i="21"/>
  <c r="Q57" i="21"/>
  <c r="R57" i="21"/>
  <c r="S57" i="21"/>
  <c r="T57" i="21"/>
  <c r="U57" i="21"/>
  <c r="F58" i="21"/>
  <c r="G58" i="21"/>
  <c r="H58" i="21"/>
  <c r="I58" i="21"/>
  <c r="P58" i="21"/>
  <c r="Q58" i="21"/>
  <c r="R58" i="21"/>
  <c r="S58" i="21"/>
  <c r="T58" i="21"/>
  <c r="U58" i="21"/>
  <c r="F59" i="21"/>
  <c r="G59" i="21"/>
  <c r="H59" i="21"/>
  <c r="I59" i="21"/>
  <c r="P59" i="21"/>
  <c r="Q59" i="21"/>
  <c r="R59" i="21"/>
  <c r="S59" i="21"/>
  <c r="T59" i="21"/>
  <c r="U59" i="21"/>
  <c r="F60" i="21"/>
  <c r="G60" i="21"/>
  <c r="H60" i="21"/>
  <c r="I60" i="21"/>
  <c r="P60" i="21"/>
  <c r="Q60" i="21"/>
  <c r="R60" i="21"/>
  <c r="S60" i="21"/>
  <c r="T60" i="21"/>
  <c r="U60" i="21"/>
  <c r="F61" i="21"/>
  <c r="G61" i="21"/>
  <c r="H61" i="21"/>
  <c r="I61" i="21"/>
  <c r="P61" i="21"/>
  <c r="Q61" i="21"/>
  <c r="R61" i="21"/>
  <c r="S61" i="21"/>
  <c r="T61" i="21"/>
  <c r="U61" i="21"/>
  <c r="F62" i="21"/>
  <c r="G62" i="21"/>
  <c r="H62" i="21"/>
  <c r="I62" i="21"/>
  <c r="P62" i="21"/>
  <c r="Q62" i="21"/>
  <c r="R62" i="21"/>
  <c r="S62" i="21"/>
  <c r="T62" i="21"/>
  <c r="U62" i="21"/>
  <c r="F63" i="21"/>
  <c r="G63" i="21"/>
  <c r="H63" i="21"/>
  <c r="I63" i="21"/>
  <c r="P63" i="21"/>
  <c r="Q63" i="21"/>
  <c r="R63" i="21"/>
  <c r="S63" i="21"/>
  <c r="T63" i="21"/>
  <c r="U63" i="21"/>
  <c r="F64" i="21"/>
  <c r="G64" i="21"/>
  <c r="H64" i="21"/>
  <c r="I64" i="21"/>
  <c r="P64" i="21"/>
  <c r="Q64" i="21"/>
  <c r="R64" i="21"/>
  <c r="S64" i="21"/>
  <c r="T64" i="21"/>
  <c r="U64" i="21"/>
  <c r="F65" i="21"/>
  <c r="G65" i="21"/>
  <c r="H65" i="21"/>
  <c r="I65" i="21"/>
  <c r="P65" i="21"/>
  <c r="Q65" i="21"/>
  <c r="R65" i="21"/>
  <c r="S65" i="21"/>
  <c r="T65" i="21"/>
  <c r="U65" i="21"/>
  <c r="F66" i="21"/>
  <c r="G66" i="21"/>
  <c r="H66" i="21"/>
  <c r="I66" i="21"/>
  <c r="P66" i="21"/>
  <c r="Q66" i="21"/>
  <c r="R66" i="21"/>
  <c r="S66" i="21"/>
  <c r="T66" i="21"/>
  <c r="U66" i="21"/>
  <c r="F67" i="21"/>
  <c r="G67" i="21"/>
  <c r="H67" i="21"/>
  <c r="I67" i="21"/>
  <c r="P67" i="21"/>
  <c r="Q67" i="21"/>
  <c r="R67" i="21"/>
  <c r="S67" i="21"/>
  <c r="T67" i="21"/>
  <c r="U67" i="21"/>
  <c r="F68" i="21"/>
  <c r="G68" i="21"/>
  <c r="H68" i="21"/>
  <c r="I68" i="21"/>
  <c r="P68" i="21"/>
  <c r="Q68" i="21"/>
  <c r="R68" i="21"/>
  <c r="S68" i="21"/>
  <c r="T68" i="21"/>
  <c r="U68" i="21"/>
  <c r="F69" i="21"/>
  <c r="G69" i="21"/>
  <c r="H69" i="21"/>
  <c r="I69" i="21"/>
  <c r="P69" i="21"/>
  <c r="Q69" i="21"/>
  <c r="R69" i="21"/>
  <c r="S69" i="21"/>
  <c r="T69" i="21"/>
  <c r="U69" i="21"/>
  <c r="F70" i="21"/>
  <c r="G70" i="21"/>
  <c r="H70" i="21"/>
  <c r="I70" i="21"/>
  <c r="P70" i="21"/>
  <c r="Q70" i="21"/>
  <c r="R70" i="21"/>
  <c r="S70" i="21"/>
  <c r="T70" i="21"/>
  <c r="U70" i="21"/>
  <c r="F71" i="21"/>
  <c r="G71" i="21"/>
  <c r="H71" i="21"/>
  <c r="I71" i="21"/>
  <c r="P71" i="21"/>
  <c r="Q71" i="21"/>
  <c r="R71" i="21"/>
  <c r="S71" i="21"/>
  <c r="T71" i="21"/>
  <c r="U71" i="21"/>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AO205" i="2" s="1"/>
  <c r="E206" i="2"/>
  <c r="E207" i="2"/>
  <c r="E208" i="2"/>
  <c r="E209" i="2"/>
  <c r="E210" i="2"/>
  <c r="E211" i="2"/>
  <c r="E212" i="2"/>
  <c r="E213" i="2"/>
  <c r="E214" i="2"/>
  <c r="E215" i="2"/>
  <c r="E216" i="2"/>
  <c r="E217" i="2"/>
  <c r="E218" i="2"/>
  <c r="E219" i="2"/>
  <c r="E220" i="2"/>
  <c r="C205" i="2"/>
  <c r="G205" i="2"/>
  <c r="H205" i="2"/>
  <c r="I205" i="2"/>
  <c r="B205" i="2"/>
  <c r="A205" i="2"/>
  <c r="A3" i="21"/>
  <c r="AD3" i="21" s="1" a="1"/>
  <c r="AD3" i="21" s="1"/>
  <c r="B3" i="21"/>
  <c r="C3" i="21"/>
  <c r="D3" i="21"/>
  <c r="A4" i="21"/>
  <c r="B4" i="21"/>
  <c r="C4" i="21"/>
  <c r="D4" i="21"/>
  <c r="A5" i="21"/>
  <c r="B5" i="21"/>
  <c r="C5" i="21"/>
  <c r="D5" i="21"/>
  <c r="A6" i="21"/>
  <c r="AG6" i="21" s="1" a="1"/>
  <c r="AG6" i="21" s="1"/>
  <c r="B6" i="21"/>
  <c r="C6" i="21"/>
  <c r="D6" i="21"/>
  <c r="A7" i="21"/>
  <c r="AK7" i="21" s="1" a="1"/>
  <c r="AK7" i="21" s="1"/>
  <c r="B7" i="21"/>
  <c r="C7" i="21"/>
  <c r="D7" i="21"/>
  <c r="A8" i="21"/>
  <c r="AE8" i="21" s="1" a="1"/>
  <c r="AE8" i="21" s="1"/>
  <c r="B8" i="21"/>
  <c r="C8" i="21"/>
  <c r="D8" i="21"/>
  <c r="A9" i="21"/>
  <c r="AE9" i="21" s="1" a="1"/>
  <c r="AE9" i="21" s="1"/>
  <c r="B9" i="21"/>
  <c r="C9" i="21"/>
  <c r="D9" i="21"/>
  <c r="A10" i="21"/>
  <c r="AE10" i="21" s="1" a="1"/>
  <c r="AE10" i="21" s="1"/>
  <c r="B10" i="21"/>
  <c r="C10" i="21"/>
  <c r="D10" i="21"/>
  <c r="A11" i="21"/>
  <c r="AM11" i="21" s="1" a="1"/>
  <c r="AM11" i="21" s="1"/>
  <c r="B11" i="21"/>
  <c r="C11" i="21"/>
  <c r="D11" i="21"/>
  <c r="A12" i="21"/>
  <c r="B12" i="21"/>
  <c r="C12" i="21"/>
  <c r="D12" i="21"/>
  <c r="A13" i="21"/>
  <c r="AG13" i="21" s="1" a="1"/>
  <c r="AG13" i="21" s="1"/>
  <c r="B13" i="21"/>
  <c r="C13" i="21"/>
  <c r="D13" i="21"/>
  <c r="A14" i="21"/>
  <c r="AH14" i="21" s="1" a="1"/>
  <c r="AH14" i="21" s="1"/>
  <c r="B14" i="21"/>
  <c r="C14" i="21"/>
  <c r="D14" i="21"/>
  <c r="A15" i="21"/>
  <c r="AL15" i="21" s="1" a="1"/>
  <c r="AL15" i="21" s="1"/>
  <c r="B15" i="21"/>
  <c r="C15" i="21"/>
  <c r="D15" i="21"/>
  <c r="A16" i="21"/>
  <c r="AL16" i="21" s="1" a="1"/>
  <c r="AL16" i="21" s="1"/>
  <c r="B16" i="21"/>
  <c r="C16" i="21"/>
  <c r="D16" i="21"/>
  <c r="A17" i="21"/>
  <c r="AP17" i="21" s="1" a="1"/>
  <c r="AP17" i="21" s="1"/>
  <c r="B17" i="21"/>
  <c r="C17" i="21"/>
  <c r="D17" i="21"/>
  <c r="A18" i="21"/>
  <c r="AP18" i="21" s="1" a="1"/>
  <c r="AP18" i="21" s="1"/>
  <c r="B18" i="21"/>
  <c r="C18" i="21"/>
  <c r="D18" i="21"/>
  <c r="A19" i="21"/>
  <c r="AD19" i="21" s="1" a="1"/>
  <c r="AD19" i="21" s="1"/>
  <c r="B19" i="21"/>
  <c r="C19" i="21"/>
  <c r="D19" i="21"/>
  <c r="A20" i="21"/>
  <c r="AH20" i="21" s="1" a="1"/>
  <c r="AH20" i="21" s="1"/>
  <c r="B20" i="21"/>
  <c r="C20" i="21"/>
  <c r="D20" i="21"/>
  <c r="A21" i="21"/>
  <c r="AF21" i="21" s="1" a="1"/>
  <c r="AF21" i="21" s="1"/>
  <c r="B21" i="21"/>
  <c r="C21" i="21"/>
  <c r="D21" i="21"/>
  <c r="A22" i="21"/>
  <c r="AD22" i="21" s="1" a="1"/>
  <c r="AD22" i="21" s="1"/>
  <c r="B22" i="21"/>
  <c r="C22" i="21"/>
  <c r="D22" i="21"/>
  <c r="A23" i="21"/>
  <c r="AD23" i="21" s="1" a="1"/>
  <c r="AD23" i="21" s="1"/>
  <c r="B23" i="21"/>
  <c r="C23" i="21"/>
  <c r="D23" i="21"/>
  <c r="A24" i="21"/>
  <c r="AG24" i="21" s="1" a="1"/>
  <c r="AG24" i="21" s="1"/>
  <c r="B24" i="21"/>
  <c r="C24" i="21"/>
  <c r="D24" i="21"/>
  <c r="A25" i="21"/>
  <c r="AE25" i="21" s="1" a="1"/>
  <c r="AE25" i="21" s="1"/>
  <c r="B25" i="21"/>
  <c r="C25" i="21"/>
  <c r="D25" i="21"/>
  <c r="A26" i="21"/>
  <c r="AF26" i="21" s="1" a="1"/>
  <c r="AF26" i="21" s="1"/>
  <c r="B26" i="21"/>
  <c r="C26" i="21"/>
  <c r="D26" i="21"/>
  <c r="A27" i="21"/>
  <c r="AN27" i="21" s="1" a="1"/>
  <c r="AN27" i="21" s="1"/>
  <c r="B27" i="21"/>
  <c r="C27" i="21"/>
  <c r="D27" i="21"/>
  <c r="A28" i="21"/>
  <c r="B28" i="21"/>
  <c r="C28" i="21"/>
  <c r="D28" i="21"/>
  <c r="A29" i="21"/>
  <c r="AD29" i="21" s="1" a="1"/>
  <c r="AD29" i="21" s="1"/>
  <c r="B29" i="21"/>
  <c r="C29" i="21"/>
  <c r="D29" i="21"/>
  <c r="A30" i="21"/>
  <c r="AE30" i="21" s="1" a="1"/>
  <c r="AE30" i="21" s="1"/>
  <c r="B30" i="21"/>
  <c r="C30" i="21"/>
  <c r="D30" i="21"/>
  <c r="A31" i="21"/>
  <c r="AD31" i="21" s="1" a="1"/>
  <c r="AD31" i="21" s="1"/>
  <c r="B31" i="21"/>
  <c r="C31" i="21"/>
  <c r="D31" i="21"/>
  <c r="A32" i="21"/>
  <c r="AN32" i="21" s="1" a="1"/>
  <c r="AN32" i="21" s="1"/>
  <c r="B32" i="21"/>
  <c r="C32" i="21"/>
  <c r="D32" i="21"/>
  <c r="A33" i="21"/>
  <c r="AR33" i="21" s="1"/>
  <c r="B33" i="21"/>
  <c r="C33" i="21"/>
  <c r="D33" i="21"/>
  <c r="A34" i="21"/>
  <c r="AR34" i="21" s="1"/>
  <c r="B34" i="21"/>
  <c r="C34" i="21"/>
  <c r="D34" i="21"/>
  <c r="A35" i="21"/>
  <c r="AG35" i="21" s="1" a="1"/>
  <c r="AG35" i="21" s="1"/>
  <c r="B35" i="21"/>
  <c r="C35" i="21"/>
  <c r="D35" i="21"/>
  <c r="A36" i="21"/>
  <c r="B36" i="21"/>
  <c r="C36" i="21"/>
  <c r="D36" i="21"/>
  <c r="A37" i="21"/>
  <c r="AL37" i="21" s="1" a="1"/>
  <c r="AL37" i="21" s="1"/>
  <c r="B37" i="21"/>
  <c r="C37" i="21"/>
  <c r="D37" i="21"/>
  <c r="A38" i="21"/>
  <c r="AH38" i="21" s="1" a="1"/>
  <c r="AH38" i="21" s="1"/>
  <c r="B38" i="21"/>
  <c r="C38" i="21"/>
  <c r="D38" i="21"/>
  <c r="A39" i="21"/>
  <c r="B39" i="21"/>
  <c r="C39" i="21"/>
  <c r="D39" i="21"/>
  <c r="A40" i="21"/>
  <c r="AG40" i="21" s="1" a="1"/>
  <c r="AG40" i="21" s="1"/>
  <c r="B40" i="21"/>
  <c r="C40" i="21"/>
  <c r="D40" i="21"/>
  <c r="A41" i="21"/>
  <c r="AG41" i="21" s="1" a="1"/>
  <c r="AG41" i="21" s="1"/>
  <c r="B41" i="21"/>
  <c r="C41" i="21"/>
  <c r="D41" i="21"/>
  <c r="A42" i="21"/>
  <c r="AF42" i="21" s="1" a="1"/>
  <c r="AF42" i="21" s="1"/>
  <c r="B42" i="21"/>
  <c r="C42" i="21"/>
  <c r="D42" i="21"/>
  <c r="A43" i="21"/>
  <c r="AH43" i="21" s="1" a="1"/>
  <c r="AH43" i="21" s="1"/>
  <c r="B43" i="21"/>
  <c r="C43" i="21"/>
  <c r="D43" i="21"/>
  <c r="A44" i="21"/>
  <c r="B44" i="21"/>
  <c r="C44" i="21"/>
  <c r="D44" i="21"/>
  <c r="A45" i="21"/>
  <c r="B45" i="21"/>
  <c r="C45" i="21"/>
  <c r="D45" i="21"/>
  <c r="A46" i="21"/>
  <c r="AR46" i="21" s="1"/>
  <c r="B46" i="21"/>
  <c r="C46" i="21"/>
  <c r="D46" i="21"/>
  <c r="A47" i="21"/>
  <c r="AI47" i="21" s="1" a="1"/>
  <c r="AI47" i="21" s="1"/>
  <c r="B47" i="21"/>
  <c r="C47" i="21"/>
  <c r="D47" i="21"/>
  <c r="A48" i="21"/>
  <c r="AF48" i="21" s="1" a="1"/>
  <c r="AF48" i="21" s="1"/>
  <c r="B48" i="21"/>
  <c r="C48" i="21"/>
  <c r="D48" i="21"/>
  <c r="A49" i="21"/>
  <c r="AF49" i="21" s="1" a="1"/>
  <c r="AF49" i="21" s="1"/>
  <c r="B49" i="21"/>
  <c r="C49" i="21"/>
  <c r="D49" i="21"/>
  <c r="A50" i="21"/>
  <c r="AD50" i="21" s="1" a="1"/>
  <c r="AD50" i="21" s="1"/>
  <c r="B50" i="21"/>
  <c r="C50" i="21"/>
  <c r="D50" i="21"/>
  <c r="A51" i="21"/>
  <c r="AK51" i="21" s="1" a="1"/>
  <c r="AK51" i="21" s="1"/>
  <c r="B51" i="21"/>
  <c r="C51" i="21"/>
  <c r="D51" i="21"/>
  <c r="A52" i="21"/>
  <c r="B52" i="21"/>
  <c r="C52" i="21"/>
  <c r="D52" i="21"/>
  <c r="A53" i="21"/>
  <c r="AG53" i="21" s="1" a="1"/>
  <c r="AG53" i="21" s="1"/>
  <c r="B53" i="21"/>
  <c r="C53" i="21"/>
  <c r="D53" i="21"/>
  <c r="A54" i="21"/>
  <c r="AD54" i="21" s="1" a="1"/>
  <c r="AD54" i="21" s="1"/>
  <c r="B54" i="21"/>
  <c r="C54" i="21"/>
  <c r="D54" i="21"/>
  <c r="A55" i="21"/>
  <c r="AR55" i="21" s="1"/>
  <c r="B55" i="21"/>
  <c r="C55" i="21"/>
  <c r="D55" i="21"/>
  <c r="A56" i="21"/>
  <c r="AI56" i="21" s="1" a="1"/>
  <c r="AI56" i="21" s="1"/>
  <c r="B56" i="21"/>
  <c r="C56" i="21"/>
  <c r="D56" i="21"/>
  <c r="A57" i="21"/>
  <c r="AH57" i="21" s="1" a="1"/>
  <c r="AH57" i="21" s="1"/>
  <c r="B57" i="21"/>
  <c r="C57" i="21"/>
  <c r="D57" i="21"/>
  <c r="A58" i="21"/>
  <c r="AM58" i="21" s="1" a="1"/>
  <c r="AM58" i="21" s="1"/>
  <c r="B58" i="21"/>
  <c r="C58" i="21"/>
  <c r="D58" i="21"/>
  <c r="A59" i="21"/>
  <c r="AP59" i="21" s="1" a="1"/>
  <c r="AP59" i="21" s="1"/>
  <c r="B59" i="21"/>
  <c r="C59" i="21"/>
  <c r="D59" i="21"/>
  <c r="A60" i="21"/>
  <c r="AF60" i="21" s="1" a="1"/>
  <c r="AF60" i="21" s="1"/>
  <c r="B60" i="21"/>
  <c r="C60" i="21"/>
  <c r="D60" i="21"/>
  <c r="A61" i="21"/>
  <c r="B61" i="21"/>
  <c r="C61" i="21"/>
  <c r="D61" i="21"/>
  <c r="A62" i="21"/>
  <c r="AE62" i="21" s="1" a="1"/>
  <c r="AE62" i="21" s="1"/>
  <c r="B62" i="21"/>
  <c r="C62" i="21"/>
  <c r="D62" i="21"/>
  <c r="A63" i="21"/>
  <c r="AR63" i="21" s="1"/>
  <c r="B63" i="21"/>
  <c r="C63" i="21"/>
  <c r="D63" i="21"/>
  <c r="A64" i="21"/>
  <c r="AG64" i="21" s="1" a="1"/>
  <c r="AG64" i="21" s="1"/>
  <c r="B64" i="21"/>
  <c r="C64" i="21"/>
  <c r="D64" i="21"/>
  <c r="A65" i="21"/>
  <c r="AI65" i="21" s="1" a="1"/>
  <c r="AI65" i="21" s="1"/>
  <c r="B65" i="21"/>
  <c r="C65" i="21"/>
  <c r="D65" i="21"/>
  <c r="A66" i="21"/>
  <c r="AH66" i="21" s="1" a="1"/>
  <c r="AH66" i="21" s="1"/>
  <c r="B66" i="21"/>
  <c r="C66" i="21"/>
  <c r="D66" i="21"/>
  <c r="A67" i="21"/>
  <c r="B67" i="21"/>
  <c r="C67" i="21"/>
  <c r="D67" i="21"/>
  <c r="A68" i="21"/>
  <c r="AE68" i="21" s="1" a="1"/>
  <c r="AE68" i="21" s="1"/>
  <c r="B68" i="21"/>
  <c r="C68" i="21"/>
  <c r="D68" i="21"/>
  <c r="A69" i="21"/>
  <c r="AG69" i="21" s="1" a="1"/>
  <c r="AG69" i="21" s="1"/>
  <c r="B69" i="21"/>
  <c r="C69" i="21"/>
  <c r="D69" i="21"/>
  <c r="A70" i="21"/>
  <c r="AE70" i="21" s="1" a="1"/>
  <c r="AE70" i="21" s="1"/>
  <c r="B70" i="21"/>
  <c r="C70" i="21"/>
  <c r="D70" i="21"/>
  <c r="A71" i="21"/>
  <c r="AE71" i="21" s="1" a="1"/>
  <c r="AE71" i="21" s="1"/>
  <c r="B71" i="21"/>
  <c r="C71" i="21"/>
  <c r="D71" i="21"/>
  <c r="E3" i="21"/>
  <c r="E4" i="21"/>
  <c r="E5" i="21"/>
  <c r="E6" i="21"/>
  <c r="E7" i="21"/>
  <c r="E8" i="21"/>
  <c r="E9" i="21"/>
  <c r="E10" i="21"/>
  <c r="E11" i="21"/>
  <c r="E12" i="21"/>
  <c r="E13" i="21"/>
  <c r="E14" i="21"/>
  <c r="E15" i="21"/>
  <c r="E16" i="21"/>
  <c r="E17" i="21"/>
  <c r="E18" i="21"/>
  <c r="E19" i="21"/>
  <c r="E20" i="21"/>
  <c r="E21" i="21"/>
  <c r="E22" i="21"/>
  <c r="E23" i="21"/>
  <c r="E24" i="21"/>
  <c r="E25" i="21"/>
  <c r="E26" i="21"/>
  <c r="E27" i="21"/>
  <c r="E28" i="21"/>
  <c r="E29" i="21"/>
  <c r="E30" i="21"/>
  <c r="E31" i="21"/>
  <c r="E32" i="21"/>
  <c r="E33" i="21"/>
  <c r="E34" i="21"/>
  <c r="E35" i="21"/>
  <c r="E36" i="21"/>
  <c r="E37" i="21"/>
  <c r="E38" i="21"/>
  <c r="E39" i="21"/>
  <c r="E40" i="21"/>
  <c r="E41" i="21"/>
  <c r="E42" i="21"/>
  <c r="E43" i="21"/>
  <c r="E44" i="21"/>
  <c r="E45" i="21"/>
  <c r="E46" i="21"/>
  <c r="E47" i="21"/>
  <c r="E48" i="21"/>
  <c r="E49" i="21"/>
  <c r="E50" i="21"/>
  <c r="E51" i="21"/>
  <c r="E52" i="21"/>
  <c r="E53" i="21"/>
  <c r="E54" i="21"/>
  <c r="E55" i="21"/>
  <c r="E56" i="21"/>
  <c r="E57" i="21"/>
  <c r="E58" i="21"/>
  <c r="E59" i="21"/>
  <c r="E60" i="21"/>
  <c r="E61" i="21"/>
  <c r="E62" i="21"/>
  <c r="E63" i="21"/>
  <c r="E64" i="21"/>
  <c r="E65" i="21"/>
  <c r="E66" i="21"/>
  <c r="E67" i="21"/>
  <c r="E68" i="21"/>
  <c r="E69" i="21"/>
  <c r="E70" i="21"/>
  <c r="E71" i="21"/>
  <c r="E2" i="21"/>
  <c r="AQ220" i="2"/>
  <c r="AQ221" i="2"/>
  <c r="AQ222" i="2"/>
  <c r="AQ223" i="2"/>
  <c r="AQ224" i="2"/>
  <c r="AQ225" i="2"/>
  <c r="AQ226" i="2"/>
  <c r="AQ227" i="2"/>
  <c r="AQ228" i="2"/>
  <c r="AQ229" i="2"/>
  <c r="AQ230" i="2"/>
  <c r="AQ231" i="2"/>
  <c r="AQ232" i="2"/>
  <c r="AQ233" i="2"/>
  <c r="AQ234" i="2"/>
  <c r="AQ235" i="2"/>
  <c r="AQ236" i="2"/>
  <c r="AQ237" i="2"/>
  <c r="AQ238" i="2"/>
  <c r="AQ239" i="2"/>
  <c r="AQ240" i="2"/>
  <c r="AQ241" i="2"/>
  <c r="AQ242" i="2"/>
  <c r="AQ243" i="2"/>
  <c r="AQ244" i="2"/>
  <c r="AQ245" i="2"/>
  <c r="AQ246" i="2"/>
  <c r="AQ247" i="2"/>
  <c r="AQ248" i="2"/>
  <c r="AQ249" i="2"/>
  <c r="AQ250" i="2"/>
  <c r="AQ251" i="2"/>
  <c r="AG223" i="2"/>
  <c r="E224" i="2"/>
  <c r="E225" i="2"/>
  <c r="E226" i="2"/>
  <c r="E227" i="2"/>
  <c r="E242" i="2"/>
  <c r="E228" i="2"/>
  <c r="E229" i="2"/>
  <c r="E230" i="2"/>
  <c r="E231" i="2"/>
  <c r="E232" i="2"/>
  <c r="E233" i="2"/>
  <c r="E234" i="2"/>
  <c r="E235" i="2"/>
  <c r="E236" i="2"/>
  <c r="E237" i="2"/>
  <c r="E238" i="2"/>
  <c r="E239" i="2"/>
  <c r="E240" i="2"/>
  <c r="E241" i="2"/>
  <c r="E243" i="2"/>
  <c r="E244" i="2"/>
  <c r="E245" i="2"/>
  <c r="E246" i="2"/>
  <c r="E247" i="2"/>
  <c r="E248" i="2"/>
  <c r="Z201" i="33"/>
  <c r="AA201" i="33"/>
  <c r="Z202" i="33"/>
  <c r="AA202" i="33"/>
  <c r="Z203" i="33"/>
  <c r="AA203" i="33"/>
  <c r="Z204" i="33"/>
  <c r="AA204" i="33"/>
  <c r="Z205" i="33"/>
  <c r="AA205" i="33"/>
  <c r="Z206" i="33"/>
  <c r="AA206" i="33"/>
  <c r="Z207" i="33"/>
  <c r="AA207" i="33"/>
  <c r="Z208" i="33"/>
  <c r="AA208" i="33"/>
  <c r="Z209" i="33"/>
  <c r="AA209" i="33"/>
  <c r="Z210" i="33"/>
  <c r="AA210" i="33"/>
  <c r="Z211" i="33"/>
  <c r="AA211" i="33"/>
  <c r="Z212" i="33"/>
  <c r="AA212" i="33"/>
  <c r="Z213" i="33"/>
  <c r="AA213" i="33"/>
  <c r="Z214" i="33"/>
  <c r="AA214" i="33"/>
  <c r="Z215" i="33"/>
  <c r="AA215" i="33"/>
  <c r="Z216" i="33"/>
  <c r="AA216" i="33"/>
  <c r="Z217" i="33"/>
  <c r="AA217" i="33"/>
  <c r="Z218" i="33"/>
  <c r="AA218" i="33"/>
  <c r="Z219" i="33"/>
  <c r="AA219" i="33"/>
  <c r="Z220" i="33"/>
  <c r="AA220" i="33"/>
  <c r="Z221" i="33"/>
  <c r="AA221" i="33"/>
  <c r="Z222" i="33"/>
  <c r="AA222" i="33"/>
  <c r="Z223" i="33"/>
  <c r="AA223" i="33"/>
  <c r="Z224" i="33"/>
  <c r="AA224" i="33"/>
  <c r="Z225" i="33"/>
  <c r="AA225" i="33"/>
  <c r="U201" i="33" a="1"/>
  <c r="U201" i="33" s="1"/>
  <c r="V201" i="33" a="1"/>
  <c r="V201" i="33" s="1"/>
  <c r="W201" i="33" a="1"/>
  <c r="W201" i="33" s="1"/>
  <c r="U202" i="33" a="1"/>
  <c r="U202" i="33" s="1"/>
  <c r="V202" i="33" a="1"/>
  <c r="V202" i="33" s="1"/>
  <c r="W202" i="33" a="1"/>
  <c r="W202" i="33" s="1"/>
  <c r="U203" i="33" a="1"/>
  <c r="U203" i="33" s="1"/>
  <c r="V203" i="33" a="1"/>
  <c r="V203" i="33" s="1"/>
  <c r="W203" i="33" a="1"/>
  <c r="W203" i="33"/>
  <c r="U204" i="33" a="1"/>
  <c r="U204" i="33" s="1"/>
  <c r="V204" i="33" a="1"/>
  <c r="V204" i="33" s="1"/>
  <c r="W204" i="33" a="1"/>
  <c r="W204" i="33" s="1"/>
  <c r="U205" i="33" a="1"/>
  <c r="U205" i="33"/>
  <c r="V205" i="33" a="1"/>
  <c r="V205" i="33"/>
  <c r="W205" i="33" a="1"/>
  <c r="W205" i="33" s="1"/>
  <c r="U206" i="33" a="1"/>
  <c r="U206" i="33" s="1"/>
  <c r="V206" i="33" a="1"/>
  <c r="V206" i="33"/>
  <c r="W206" i="33" a="1"/>
  <c r="W206" i="33" s="1"/>
  <c r="U207" i="33" a="1"/>
  <c r="U207" i="33"/>
  <c r="V207" i="33" a="1"/>
  <c r="V207" i="33" s="1"/>
  <c r="W207" i="33" a="1"/>
  <c r="W207" i="33" s="1"/>
  <c r="U208" i="33" a="1"/>
  <c r="U208" i="33" s="1"/>
  <c r="V208" i="33" a="1"/>
  <c r="V208" i="33" s="1"/>
  <c r="W208" i="33" a="1"/>
  <c r="W208" i="33" s="1"/>
  <c r="U209" i="33" a="1"/>
  <c r="U209" i="33"/>
  <c r="V209" i="33" a="1"/>
  <c r="V209" i="33"/>
  <c r="W209" i="33" a="1"/>
  <c r="W209" i="33"/>
  <c r="U210" i="33" a="1"/>
  <c r="U210" i="33" s="1"/>
  <c r="V210" i="33" a="1"/>
  <c r="V210" i="33" s="1"/>
  <c r="W210" i="33" a="1"/>
  <c r="W210" i="33" s="1"/>
  <c r="U211" i="33" a="1"/>
  <c r="U211" i="33" s="1"/>
  <c r="V211" i="33" a="1"/>
  <c r="V211" i="33" s="1"/>
  <c r="W211" i="33" a="1"/>
  <c r="W211" i="33"/>
  <c r="U212" i="33" a="1"/>
  <c r="U212" i="33" s="1"/>
  <c r="V212" i="33" a="1"/>
  <c r="V212" i="33" s="1"/>
  <c r="W212" i="33" a="1"/>
  <c r="W212" i="33"/>
  <c r="U213" i="33" a="1"/>
  <c r="U213" i="33" s="1"/>
  <c r="V213" i="33" a="1"/>
  <c r="V213" i="33" s="1"/>
  <c r="W213" i="33" a="1"/>
  <c r="W213" i="33" s="1"/>
  <c r="U214" i="33" a="1"/>
  <c r="U214" i="33"/>
  <c r="V214" i="33" a="1"/>
  <c r="V214" i="33" s="1"/>
  <c r="W214" i="33" a="1"/>
  <c r="W214" i="33" s="1"/>
  <c r="U215" i="33" a="1"/>
  <c r="U215" i="33" s="1"/>
  <c r="V215" i="33" a="1"/>
  <c r="V215" i="33" s="1"/>
  <c r="W215" i="33" a="1"/>
  <c r="W215" i="33" s="1"/>
  <c r="U216" i="33" a="1"/>
  <c r="U216" i="33" s="1"/>
  <c r="V216" i="33" a="1"/>
  <c r="V216" i="33" s="1"/>
  <c r="W216" i="33" a="1"/>
  <c r="W216" i="33" s="1"/>
  <c r="U217" i="33" a="1"/>
  <c r="U217" i="33" s="1"/>
  <c r="V217" i="33" a="1"/>
  <c r="V217" i="33"/>
  <c r="W217" i="33" a="1"/>
  <c r="W217" i="33"/>
  <c r="U218" i="33" a="1"/>
  <c r="U218" i="33" s="1"/>
  <c r="V218" i="33" a="1"/>
  <c r="V218" i="33" s="1"/>
  <c r="W218" i="33" a="1"/>
  <c r="W218" i="33" s="1"/>
  <c r="U219" i="33" a="1"/>
  <c r="U219" i="33" s="1"/>
  <c r="V219" i="33" a="1"/>
  <c r="V219" i="33" s="1"/>
  <c r="W219" i="33" a="1"/>
  <c r="W219" i="33" s="1"/>
  <c r="U220" i="33" a="1"/>
  <c r="U220" i="33" s="1"/>
  <c r="V220" i="33" a="1"/>
  <c r="V220" i="33"/>
  <c r="W220" i="33" a="1"/>
  <c r="W220" i="33" s="1"/>
  <c r="X220" i="33" s="1"/>
  <c r="U221" i="33" a="1"/>
  <c r="U221" i="33"/>
  <c r="V221" i="33" a="1"/>
  <c r="V221" i="33" s="1"/>
  <c r="W221" i="33" a="1"/>
  <c r="W221" i="33"/>
  <c r="U222" i="33" a="1"/>
  <c r="U222" i="33" s="1"/>
  <c r="V222" i="33" a="1"/>
  <c r="V222" i="33" s="1"/>
  <c r="W222" i="33" a="1"/>
  <c r="W222" i="33" s="1"/>
  <c r="U223" i="33" a="1"/>
  <c r="U223" i="33" s="1"/>
  <c r="V223" i="33" a="1"/>
  <c r="V223" i="33"/>
  <c r="W223" i="33" a="1"/>
  <c r="W223" i="33" s="1"/>
  <c r="U224" i="33" a="1"/>
  <c r="U224" i="33"/>
  <c r="V224" i="33" a="1"/>
  <c r="V224" i="33" s="1"/>
  <c r="W224" i="33" a="1"/>
  <c r="W224" i="33"/>
  <c r="U225" i="33" a="1"/>
  <c r="U225" i="33" s="1"/>
  <c r="V225" i="33" a="1"/>
  <c r="V225" i="33" s="1"/>
  <c r="W225" i="33" a="1"/>
  <c r="W225" i="33" s="1"/>
  <c r="V200" i="33" a="1"/>
  <c r="V200" i="33" s="1"/>
  <c r="W200" i="33" a="1"/>
  <c r="W200" i="33" s="1"/>
  <c r="U200" i="33" a="1"/>
  <c r="U200" i="33"/>
  <c r="J384" i="2" l="1"/>
  <c r="J429" i="2"/>
  <c r="AA9" i="20"/>
  <c r="J412" i="2"/>
  <c r="J398" i="2"/>
  <c r="AA6" i="20"/>
  <c r="AA31" i="20"/>
  <c r="AA41" i="20"/>
  <c r="AB19" i="8"/>
  <c r="AA18" i="20"/>
  <c r="AA50" i="20"/>
  <c r="AA8" i="20"/>
  <c r="AA26" i="20"/>
  <c r="AA15" i="20"/>
  <c r="AA37" i="20"/>
  <c r="AA51" i="20"/>
  <c r="AA38" i="20"/>
  <c r="AA39" i="20"/>
  <c r="AA30" i="20"/>
  <c r="AA33" i="20"/>
  <c r="AA43" i="20"/>
  <c r="AA13" i="20"/>
  <c r="AA32" i="20"/>
  <c r="AA11" i="20"/>
  <c r="AA44" i="20"/>
  <c r="AA29" i="20"/>
  <c r="AA5" i="20"/>
  <c r="AA20" i="20"/>
  <c r="AA27" i="20"/>
  <c r="AA12" i="20"/>
  <c r="AA24" i="20"/>
  <c r="AA3" i="20"/>
  <c r="AA46" i="20"/>
  <c r="AA25" i="20"/>
  <c r="AA16" i="20"/>
  <c r="AA19" i="20"/>
  <c r="AA42" i="20"/>
  <c r="AA35" i="20"/>
  <c r="AA28" i="20"/>
  <c r="AA48" i="20"/>
  <c r="AA40" i="20"/>
  <c r="AA49" i="20"/>
  <c r="AA45" i="20"/>
  <c r="AA17" i="20"/>
  <c r="AA7" i="20"/>
  <c r="AA22" i="20"/>
  <c r="AA23" i="20"/>
  <c r="AA34" i="20"/>
  <c r="AA52" i="20"/>
  <c r="AB32" i="8"/>
  <c r="X222" i="33"/>
  <c r="X204" i="33"/>
  <c r="AB33" i="8"/>
  <c r="AB48" i="8"/>
  <c r="AB26" i="8"/>
  <c r="AB22" i="8"/>
  <c r="AB23" i="8"/>
  <c r="AB30" i="8"/>
  <c r="X225" i="33"/>
  <c r="AN51" i="21" a="1"/>
  <c r="AN51" i="21" s="1"/>
  <c r="Z21" i="14"/>
  <c r="AB31" i="8"/>
  <c r="AB45" i="8"/>
  <c r="X219" i="33"/>
  <c r="AH42" i="21" a="1"/>
  <c r="AH42" i="21" s="1"/>
  <c r="AB18" i="8"/>
  <c r="X209" i="33"/>
  <c r="X213" i="33"/>
  <c r="X206" i="33"/>
  <c r="AB17" i="8"/>
  <c r="AB25" i="8"/>
  <c r="AB46" i="8"/>
  <c r="AB27" i="8"/>
  <c r="AB4" i="8"/>
  <c r="AB36" i="8"/>
  <c r="AB50" i="8"/>
  <c r="AB14" i="8"/>
  <c r="AB21" i="8"/>
  <c r="AB29" i="8"/>
  <c r="AB41" i="8"/>
  <c r="AB16" i="8"/>
  <c r="AB5" i="8"/>
  <c r="AB28" i="8"/>
  <c r="AB7" i="8"/>
  <c r="AB6" i="8"/>
  <c r="AB15" i="8"/>
  <c r="AB47" i="8"/>
  <c r="AB10" i="8"/>
  <c r="AB44" i="8"/>
  <c r="AB11" i="8"/>
  <c r="AB42" i="8"/>
  <c r="AB35" i="8"/>
  <c r="AB8" i="8"/>
  <c r="AB43" i="8"/>
  <c r="AB39" i="8"/>
  <c r="AB40" i="8"/>
  <c r="AB20" i="8"/>
  <c r="AB9" i="8"/>
  <c r="AB34" i="8"/>
  <c r="AK54" i="21" a="1"/>
  <c r="AK54" i="21" s="1"/>
  <c r="AN14" i="21" a="1"/>
  <c r="AN14" i="21" s="1"/>
  <c r="AM62" i="21" a="1"/>
  <c r="AM62" i="21" s="1"/>
  <c r="AL51" i="21" a="1"/>
  <c r="AL51" i="21" s="1"/>
  <c r="AL6" i="21" a="1"/>
  <c r="AL6" i="21" s="1"/>
  <c r="AD46" i="21" a="1"/>
  <c r="AD46" i="21" s="1"/>
  <c r="AE27" i="21" a="1"/>
  <c r="AE27" i="21" s="1"/>
  <c r="AD27" i="21" a="1"/>
  <c r="AD27" i="21" s="1"/>
  <c r="AP70" i="21" a="1"/>
  <c r="AP70" i="21" s="1"/>
  <c r="AL54" i="21" a="1"/>
  <c r="AL54" i="21" s="1"/>
  <c r="AO70" i="21" a="1"/>
  <c r="AO70" i="21" s="1"/>
  <c r="AN70" i="21" a="1"/>
  <c r="AN70" i="21" s="1"/>
  <c r="AE14" i="21" a="1"/>
  <c r="AE14" i="21" s="1"/>
  <c r="AM70" i="21" a="1"/>
  <c r="AM70" i="21" s="1"/>
  <c r="AL62" i="21" a="1"/>
  <c r="AL62" i="21" s="1"/>
  <c r="AB62" i="21" s="1"/>
  <c r="AI54" i="21" a="1"/>
  <c r="AI54" i="21" s="1"/>
  <c r="AM46" i="21" a="1"/>
  <c r="AM46" i="21" s="1"/>
  <c r="AR6" i="21"/>
  <c r="AG46" i="21" a="1"/>
  <c r="AG46" i="21" s="1"/>
  <c r="AD14" i="21" a="1"/>
  <c r="AD14" i="21" s="1"/>
  <c r="AM51" i="21" a="1"/>
  <c r="AM51" i="21" s="1"/>
  <c r="AE46" i="21" a="1"/>
  <c r="AE46" i="21" s="1"/>
  <c r="AR27" i="21"/>
  <c r="AR38" i="21"/>
  <c r="AP27" i="21" a="1"/>
  <c r="AP27" i="21" s="1"/>
  <c r="AI22" i="21" a="1"/>
  <c r="AI22" i="21" s="1"/>
  <c r="AP38" i="21" a="1"/>
  <c r="AP38" i="21" s="1"/>
  <c r="AP10" i="21" a="1"/>
  <c r="AP10" i="21" s="1"/>
  <c r="AG66" i="21" a="1"/>
  <c r="AG66" i="21" s="1"/>
  <c r="AO10" i="21" a="1"/>
  <c r="AO10" i="21" s="1"/>
  <c r="AF66" i="21" a="1"/>
  <c r="AF66" i="21" s="1"/>
  <c r="AK10" i="21" a="1"/>
  <c r="AK10" i="21" s="1"/>
  <c r="AL42" i="21" a="1"/>
  <c r="AL42" i="21" s="1"/>
  <c r="AO34" i="21" a="1"/>
  <c r="AO34" i="21" s="1"/>
  <c r="AE26" i="21" a="1"/>
  <c r="AE26" i="21" s="1"/>
  <c r="AR70" i="21"/>
  <c r="AL70" i="21" a="1"/>
  <c r="AL70" i="21" s="1"/>
  <c r="AB70" i="21" s="1"/>
  <c r="AK62" i="21" a="1"/>
  <c r="AK62" i="21" s="1"/>
  <c r="AF46" i="21" a="1"/>
  <c r="AF46" i="21" s="1"/>
  <c r="AR30" i="21"/>
  <c r="AP6" i="21" a="1"/>
  <c r="AP6" i="21" s="1"/>
  <c r="AP22" i="21" a="1"/>
  <c r="AP22" i="21" s="1"/>
  <c r="AM6" i="21" a="1"/>
  <c r="AM6" i="21" s="1"/>
  <c r="AD62" i="21" a="1"/>
  <c r="AD62" i="21" s="1"/>
  <c r="AN22" i="21" a="1"/>
  <c r="AN22" i="21" s="1"/>
  <c r="AO38" i="21" a="1"/>
  <c r="AO38" i="21" s="1"/>
  <c r="X212" i="33"/>
  <c r="AR10" i="21"/>
  <c r="X224" i="33"/>
  <c r="AE66" i="21" a="1"/>
  <c r="AE66" i="21" s="1"/>
  <c r="AH50" i="21" a="1"/>
  <c r="AH50" i="21" s="1"/>
  <c r="AO42" i="21" a="1"/>
  <c r="AO42" i="21" s="1"/>
  <c r="AN10" i="21" a="1"/>
  <c r="AN10" i="21" s="1"/>
  <c r="AN42" i="21" a="1"/>
  <c r="AN42" i="21" s="1"/>
  <c r="AK42" i="21" a="1"/>
  <c r="AK42" i="21" s="1"/>
  <c r="AR59" i="21"/>
  <c r="AO59" i="21" a="1"/>
  <c r="AO59" i="21" s="1"/>
  <c r="AE18" i="21" a="1"/>
  <c r="AE18" i="21" s="1"/>
  <c r="AF13" i="21" a="1"/>
  <c r="AF13" i="21" s="1"/>
  <c r="AR3" i="21"/>
  <c r="AO3" i="21" a="1"/>
  <c r="AO3" i="21" s="1"/>
  <c r="AM34" i="21" a="1"/>
  <c r="AM34" i="21" s="1"/>
  <c r="AE3" i="21" a="1"/>
  <c r="AE3" i="21" s="1"/>
  <c r="AG34" i="21" a="1"/>
  <c r="AG34" i="21" s="1"/>
  <c r="AO51" i="21" a="1"/>
  <c r="AO51" i="21" s="1"/>
  <c r="AI58" i="21" a="1"/>
  <c r="AI58" i="21" s="1"/>
  <c r="AL38" i="21" a="1"/>
  <c r="AL38" i="21" s="1"/>
  <c r="AP30" i="21" a="1"/>
  <c r="AP30" i="21" s="1"/>
  <c r="AL48" i="21" a="1"/>
  <c r="AL48" i="21" s="1"/>
  <c r="AK48" i="21" a="1"/>
  <c r="AK48" i="21" s="1"/>
  <c r="AG48" i="21" a="1"/>
  <c r="AG48" i="21" s="1"/>
  <c r="AE43" i="21" a="1"/>
  <c r="AE43" i="21" s="1"/>
  <c r="AL58" i="21" a="1"/>
  <c r="AL58" i="21" s="1"/>
  <c r="AD43" i="21" a="1"/>
  <c r="AD43" i="21" s="1"/>
  <c r="AK58" i="21" a="1"/>
  <c r="AK58" i="21" s="1"/>
  <c r="AH58" i="21" a="1"/>
  <c r="AH58" i="21" s="1"/>
  <c r="AG38" i="21" a="1"/>
  <c r="AG38" i="21" s="1"/>
  <c r="AR22" i="21"/>
  <c r="AM14" i="21" a="1"/>
  <c r="AM14" i="21" s="1"/>
  <c r="X218" i="33"/>
  <c r="X217" i="33"/>
  <c r="AP64" i="21" a="1"/>
  <c r="AP64" i="21" s="1"/>
  <c r="AK64" i="21" a="1"/>
  <c r="AK64" i="21" s="1"/>
  <c r="AH41" i="21" a="1"/>
  <c r="AH41" i="21" s="1"/>
  <c r="AM32" i="21" a="1"/>
  <c r="AM32" i="21" s="1"/>
  <c r="AI64" i="21" a="1"/>
  <c r="AI64" i="21" s="1"/>
  <c r="AL32" i="21" a="1"/>
  <c r="AL32" i="21" s="1"/>
  <c r="AO17" i="21" a="1"/>
  <c r="AO17" i="21" s="1"/>
  <c r="AP57" i="21" a="1"/>
  <c r="AP57" i="21" s="1"/>
  <c r="AF41" i="21" a="1"/>
  <c r="AF41" i="21" s="1"/>
  <c r="AM17" i="21" a="1"/>
  <c r="AM17" i="21" s="1"/>
  <c r="AK8" i="21" a="1"/>
  <c r="AK8" i="21" s="1"/>
  <c r="AG57" i="21" a="1"/>
  <c r="AG57" i="21" s="1"/>
  <c r="AK32" i="21" a="1"/>
  <c r="AK32" i="21" s="1"/>
  <c r="AL17" i="21" a="1"/>
  <c r="AL17" i="21" s="1"/>
  <c r="AH8" i="21" a="1"/>
  <c r="AH8" i="21" s="1"/>
  <c r="AE41" i="21" a="1"/>
  <c r="AE41" i="21" s="1"/>
  <c r="AI32" i="21" a="1"/>
  <c r="AI32" i="21" s="1"/>
  <c r="AK17" i="21" a="1"/>
  <c r="AK17" i="21" s="1"/>
  <c r="X216" i="33"/>
  <c r="X203" i="33"/>
  <c r="AD41" i="21" a="1"/>
  <c r="AD41" i="21" s="1"/>
  <c r="AF8" i="21" a="1"/>
  <c r="AF8" i="21" s="1"/>
  <c r="AO54" i="21" a="1"/>
  <c r="AO54" i="21" s="1"/>
  <c r="AN34" i="21" a="1"/>
  <c r="AN34" i="21" s="1"/>
  <c r="AH22" i="21" a="1"/>
  <c r="AH22" i="21" s="1"/>
  <c r="AM10" i="21" a="1"/>
  <c r="AM10" i="21" s="1"/>
  <c r="AP3" i="21" a="1"/>
  <c r="AP3" i="21" s="1"/>
  <c r="X211" i="33"/>
  <c r="X214" i="33"/>
  <c r="AO40" i="21" a="1"/>
  <c r="AO40" i="21" s="1"/>
  <c r="AK16" i="21" a="1"/>
  <c r="AK16" i="21" s="1"/>
  <c r="AI51" i="21" a="1"/>
  <c r="AI51" i="21" s="1"/>
  <c r="AG58" i="21" a="1"/>
  <c r="AG58" i="21" s="1"/>
  <c r="AI16" i="21" a="1"/>
  <c r="AI16" i="21" s="1"/>
  <c r="AI9" i="21" a="1"/>
  <c r="AI9" i="21" s="1"/>
  <c r="X202" i="33"/>
  <c r="AG49" i="21" a="1"/>
  <c r="AG49" i="21" s="1"/>
  <c r="X200" i="33"/>
  <c r="AH56" i="21" a="1"/>
  <c r="AH56" i="21" s="1"/>
  <c r="AM16" i="21" a="1"/>
  <c r="AM16" i="21" s="1"/>
  <c r="AE65" i="21" a="1"/>
  <c r="AE65" i="21" s="1"/>
  <c r="AN40" i="21" a="1"/>
  <c r="AN40" i="21" s="1"/>
  <c r="AD65" i="21" a="1"/>
  <c r="AD65" i="21" s="1"/>
  <c r="AI40" i="21" a="1"/>
  <c r="AI40" i="21" s="1"/>
  <c r="AF58" i="21" a="1"/>
  <c r="AF58" i="21" s="1"/>
  <c r="AP46" i="21" a="1"/>
  <c r="AP46" i="21" s="1"/>
  <c r="AH40" i="21" a="1"/>
  <c r="AH40" i="21" s="1"/>
  <c r="AE38" i="21" a="1"/>
  <c r="AE38" i="21" s="1"/>
  <c r="AD18" i="21" a="1"/>
  <c r="AD18" i="21" s="1"/>
  <c r="AH9" i="21" a="1"/>
  <c r="AH9" i="21" s="1"/>
  <c r="AL24" i="21" a="1"/>
  <c r="AL24" i="21" s="1"/>
  <c r="X221" i="33"/>
  <c r="X208" i="33"/>
  <c r="AK65" i="21" a="1"/>
  <c r="AK65" i="21" s="1"/>
  <c r="AO46" i="21" a="1"/>
  <c r="AO46" i="21" s="1"/>
  <c r="AD38" i="21" a="1"/>
  <c r="AD38" i="21" s="1"/>
  <c r="AH47" i="21" a="1"/>
  <c r="AH47" i="21" s="1"/>
  <c r="AK28" i="21" a="1"/>
  <c r="AK28" i="21" s="1"/>
  <c r="AI28" i="21" a="1"/>
  <c r="AI28" i="21" s="1"/>
  <c r="AL28" i="21" a="1"/>
  <c r="AL28" i="21" s="1"/>
  <c r="AP55" i="21" a="1"/>
  <c r="AP55" i="21" s="1"/>
  <c r="AP19" i="21" a="1"/>
  <c r="AP19" i="21" s="1"/>
  <c r="AF15" i="21" a="1"/>
  <c r="AF15" i="21" s="1"/>
  <c r="AE15" i="21" a="1"/>
  <c r="AE15" i="21" s="1"/>
  <c r="AB15" i="21" s="1"/>
  <c r="AE23" i="21" a="1"/>
  <c r="AE23" i="21" s="1"/>
  <c r="AE67" i="21" a="1"/>
  <c r="AE67" i="21" s="1"/>
  <c r="AD67" i="21" a="1"/>
  <c r="AD67" i="21" s="1"/>
  <c r="AF67" i="21" a="1"/>
  <c r="AF67" i="21" s="1"/>
  <c r="AG67" i="21" a="1"/>
  <c r="AG67" i="21" s="1"/>
  <c r="AH67" i="21" a="1"/>
  <c r="AH67" i="21" s="1"/>
  <c r="AI67" i="21" a="1"/>
  <c r="AI67" i="21" s="1"/>
  <c r="AF59" i="21" a="1"/>
  <c r="AF59" i="21" s="1"/>
  <c r="AE59" i="21" a="1"/>
  <c r="AE59" i="21" s="1"/>
  <c r="AG59" i="21" a="1"/>
  <c r="AG59" i="21" s="1"/>
  <c r="AK59" i="21" a="1"/>
  <c r="AK59" i="21" s="1"/>
  <c r="AM59" i="21" a="1"/>
  <c r="AM59" i="21" s="1"/>
  <c r="AH59" i="21" a="1"/>
  <c r="AH59" i="21" s="1"/>
  <c r="AI59" i="21" a="1"/>
  <c r="AI59" i="21" s="1"/>
  <c r="AL59" i="21" a="1"/>
  <c r="AL59" i="21" s="1"/>
  <c r="AF51" i="21" a="1"/>
  <c r="AF51" i="21" s="1"/>
  <c r="AE51" i="21" a="1"/>
  <c r="AE51" i="21" s="1"/>
  <c r="AG51" i="21" a="1"/>
  <c r="AG51" i="21" s="1"/>
  <c r="AH51" i="21" a="1"/>
  <c r="AH51" i="21" s="1"/>
  <c r="AI43" i="21" a="1"/>
  <c r="AI43" i="21" s="1"/>
  <c r="AM43" i="21" a="1"/>
  <c r="AM43" i="21" s="1"/>
  <c r="AK43" i="21" a="1"/>
  <c r="AK43" i="21" s="1"/>
  <c r="AL43" i="21" a="1"/>
  <c r="AL43" i="21" s="1"/>
  <c r="AP43" i="21" a="1"/>
  <c r="AP43" i="21" s="1"/>
  <c r="AN43" i="21" a="1"/>
  <c r="AN43" i="21" s="1"/>
  <c r="AO43" i="21" a="1"/>
  <c r="AO43" i="21" s="1"/>
  <c r="AR43" i="21"/>
  <c r="AK35" i="21" a="1"/>
  <c r="AK35" i="21" s="1"/>
  <c r="AH35" i="21" a="1"/>
  <c r="AH35" i="21" s="1"/>
  <c r="AL35" i="21" a="1"/>
  <c r="AL35" i="21" s="1"/>
  <c r="AP35" i="21" a="1"/>
  <c r="AP35" i="21" s="1"/>
  <c r="AI35" i="21" a="1"/>
  <c r="AI35" i="21" s="1"/>
  <c r="AO35" i="21" a="1"/>
  <c r="AO35" i="21" s="1"/>
  <c r="AN35" i="21" a="1"/>
  <c r="AN35" i="21" s="1"/>
  <c r="AR35" i="21"/>
  <c r="AL27" i="21" a="1"/>
  <c r="AL27" i="21" s="1"/>
  <c r="AF27" i="21" a="1"/>
  <c r="AF27" i="21" s="1"/>
  <c r="AI27" i="21" a="1"/>
  <c r="AI27" i="21" s="1"/>
  <c r="AK27" i="21" a="1"/>
  <c r="AK27" i="21" s="1"/>
  <c r="AM27" i="21" a="1"/>
  <c r="AM27" i="21" s="1"/>
  <c r="AI19" i="21" a="1"/>
  <c r="AI19" i="21" s="1"/>
  <c r="AE19" i="21" a="1"/>
  <c r="AE19" i="21" s="1"/>
  <c r="AF19" i="21" a="1"/>
  <c r="AF19" i="21" s="1"/>
  <c r="AO19" i="21" a="1"/>
  <c r="AO19" i="21" s="1"/>
  <c r="AG19" i="21" a="1"/>
  <c r="AG19" i="21" s="1"/>
  <c r="AK19" i="21" a="1"/>
  <c r="AK19" i="21" s="1"/>
  <c r="AN19" i="21" a="1"/>
  <c r="AN19" i="21" s="1"/>
  <c r="AF11" i="21" a="1"/>
  <c r="AF11" i="21" s="1"/>
  <c r="AD11" i="21" a="1"/>
  <c r="AD11" i="21" s="1"/>
  <c r="AE11" i="21" a="1"/>
  <c r="AE11" i="21" s="1"/>
  <c r="AN11" i="21" a="1"/>
  <c r="AN11" i="21" s="1"/>
  <c r="AO11" i="21" a="1"/>
  <c r="AO11" i="21" s="1"/>
  <c r="AP11" i="21" a="1"/>
  <c r="AP11" i="21" s="1"/>
  <c r="AR11" i="21"/>
  <c r="AL3" i="21" a="1"/>
  <c r="AL3" i="21" s="1"/>
  <c r="AF3" i="21" a="1"/>
  <c r="AF3" i="21" s="1"/>
  <c r="AG3" i="21" a="1"/>
  <c r="AG3" i="21" s="1"/>
  <c r="AK3" i="21" a="1"/>
  <c r="AK3" i="21" s="1"/>
  <c r="AM3" i="21" a="1"/>
  <c r="AM3" i="21" s="1"/>
  <c r="AN3" i="21" a="1"/>
  <c r="AN3" i="21" s="1"/>
  <c r="AK31" i="21" a="1"/>
  <c r="AK31" i="21" s="1"/>
  <c r="AM7" i="21" a="1"/>
  <c r="AM7" i="21" s="1"/>
  <c r="AG11" i="21" a="1"/>
  <c r="AG11" i="21" s="1"/>
  <c r="AL7" i="21" a="1"/>
  <c r="AL7" i="21" s="1"/>
  <c r="AR67" i="21"/>
  <c r="AM15" i="21" a="1"/>
  <c r="AM15" i="21" s="1"/>
  <c r="AD7" i="21" a="1"/>
  <c r="AD7" i="21" s="1"/>
  <c r="AO67" i="21" a="1"/>
  <c r="AO67" i="21" s="1"/>
  <c r="AR19" i="21"/>
  <c r="AH64" i="21" a="1"/>
  <c r="AH64" i="21" s="1"/>
  <c r="AF64" i="21" a="1"/>
  <c r="AF64" i="21" s="1"/>
  <c r="AE56" i="21" a="1"/>
  <c r="AE56" i="21" s="1"/>
  <c r="AD56" i="21" a="1"/>
  <c r="AD56" i="21" s="1"/>
  <c r="AG56" i="21" a="1"/>
  <c r="AG56" i="21" s="1"/>
  <c r="AI48" i="21" a="1"/>
  <c r="AI48" i="21" s="1"/>
  <c r="AM48" i="21" a="1"/>
  <c r="AM48" i="21" s="1"/>
  <c r="AN48" i="21" a="1"/>
  <c r="AN48" i="21" s="1"/>
  <c r="AK40" i="21" a="1"/>
  <c r="AK40" i="21" s="1"/>
  <c r="AP40" i="21" a="1"/>
  <c r="AP40" i="21" s="1"/>
  <c r="AR40" i="21"/>
  <c r="AD40" i="21" a="1"/>
  <c r="AD40" i="21" s="1"/>
  <c r="AF40" i="21" a="1"/>
  <c r="AF40" i="21" s="1"/>
  <c r="AE32" i="21" a="1"/>
  <c r="AE32" i="21" s="1"/>
  <c r="AG32" i="21" a="1"/>
  <c r="AG32" i="21" s="1"/>
  <c r="AO32" i="21" a="1"/>
  <c r="AO32" i="21" s="1"/>
  <c r="AP32" i="21" a="1"/>
  <c r="AP32" i="21" s="1"/>
  <c r="AR32" i="21"/>
  <c r="AM24" i="21" a="1"/>
  <c r="AM24" i="21" s="1"/>
  <c r="AN24" i="21" a="1"/>
  <c r="AN24" i="21" s="1"/>
  <c r="AO24" i="21" a="1"/>
  <c r="AO24" i="21" s="1"/>
  <c r="AP24" i="21" a="1"/>
  <c r="AP24" i="21" s="1"/>
  <c r="AR24" i="21"/>
  <c r="AF16" i="21" a="1"/>
  <c r="AF16" i="21" s="1"/>
  <c r="AG16" i="21" a="1"/>
  <c r="AG16" i="21" s="1"/>
  <c r="AH16" i="21" a="1"/>
  <c r="AH16" i="21" s="1"/>
  <c r="AN8" i="21" a="1"/>
  <c r="AN8" i="21" s="1"/>
  <c r="AD8" i="21" a="1"/>
  <c r="AD8" i="21" s="1"/>
  <c r="AL8" i="21" a="1"/>
  <c r="AL8" i="21" s="1"/>
  <c r="AB8" i="21" s="1"/>
  <c r="AO8" i="21" a="1"/>
  <c r="AO8" i="21" s="1"/>
  <c r="AP8" i="21" a="1"/>
  <c r="AP8" i="21" s="1"/>
  <c r="AO71" i="21" a="1"/>
  <c r="AO71" i="21" s="1"/>
  <c r="AR56" i="21"/>
  <c r="AG43" i="21" a="1"/>
  <c r="AG43" i="21" s="1"/>
  <c r="AF47" i="21" a="1"/>
  <c r="AF47" i="21" s="1"/>
  <c r="AG47" i="21" a="1"/>
  <c r="AG47" i="21" s="1"/>
  <c r="AE39" i="21" a="1"/>
  <c r="AE39" i="21" s="1"/>
  <c r="AD39" i="21" a="1"/>
  <c r="AD39" i="21" s="1"/>
  <c r="AG39" i="21" a="1"/>
  <c r="AG39" i="21" s="1"/>
  <c r="AH23" i="21" a="1"/>
  <c r="AH23" i="21" s="1"/>
  <c r="AG55" i="21" a="1"/>
  <c r="AG55" i="21" s="1"/>
  <c r="AK11" i="21" a="1"/>
  <c r="AK11" i="21" s="1"/>
  <c r="AI11" i="21" a="1"/>
  <c r="AI11" i="21" s="1"/>
  <c r="AI31" i="21" a="1"/>
  <c r="AI31" i="21" s="1"/>
  <c r="AH31" i="21" a="1"/>
  <c r="AH31" i="21" s="1"/>
  <c r="AE31" i="21" a="1"/>
  <c r="AE31" i="21" s="1"/>
  <c r="AM56" i="21" a="1"/>
  <c r="AM56" i="21" s="1"/>
  <c r="AP23" i="21" a="1"/>
  <c r="AP23" i="21" s="1"/>
  <c r="AM47" i="21" a="1"/>
  <c r="AM47" i="21" s="1"/>
  <c r="AL47" i="21" a="1"/>
  <c r="AL47" i="21" s="1"/>
  <c r="AH11" i="21" a="1"/>
  <c r="AH11" i="21" s="1"/>
  <c r="AP67" i="21" a="1"/>
  <c r="AP67" i="21" s="1"/>
  <c r="AD35" i="21" a="1"/>
  <c r="AD35" i="21" s="1"/>
  <c r="AI71" i="21" a="1"/>
  <c r="AI71" i="21" s="1"/>
  <c r="AF43" i="21" a="1"/>
  <c r="AF43" i="21" s="1"/>
  <c r="AO23" i="21" a="1"/>
  <c r="AO23" i="21" s="1"/>
  <c r="AD63" i="21" a="1"/>
  <c r="AD63" i="21" s="1"/>
  <c r="AG63" i="21" a="1"/>
  <c r="AG63" i="21" s="1"/>
  <c r="AO63" i="21" a="1"/>
  <c r="AO63" i="21" s="1"/>
  <c r="AP63" i="21" a="1"/>
  <c r="AP63" i="21" s="1"/>
  <c r="AF23" i="21" a="1"/>
  <c r="AF23" i="21" s="1"/>
  <c r="AM20" i="21" a="1"/>
  <c r="AM20" i="21" s="1"/>
  <c r="AK15" i="21" a="1"/>
  <c r="AK15" i="21" s="1"/>
  <c r="AN67" i="21" a="1"/>
  <c r="AN67" i="21" s="1"/>
  <c r="AM67" i="21" a="1"/>
  <c r="AM67" i="21" s="1"/>
  <c r="AK56" i="21" a="1"/>
  <c r="AK56" i="21" s="1"/>
  <c r="AN47" i="21" a="1"/>
  <c r="AN47" i="21" s="1"/>
  <c r="AN23" i="21" a="1"/>
  <c r="AN23" i="21" s="1"/>
  <c r="AR58" i="21"/>
  <c r="AI62" i="21" a="1"/>
  <c r="AI62" i="21" s="1"/>
  <c r="AL46" i="21" a="1"/>
  <c r="AL46" i="21" s="1"/>
  <c r="AG22" i="21" a="1"/>
  <c r="AG22" i="21" s="1"/>
  <c r="AK38" i="21" a="1"/>
  <c r="AK38" i="21" s="1"/>
  <c r="AG62" i="21" a="1"/>
  <c r="AG62" i="21" s="1"/>
  <c r="AK46" i="21" a="1"/>
  <c r="AK46" i="21" s="1"/>
  <c r="AI38" i="21" a="1"/>
  <c r="AI38" i="21" s="1"/>
  <c r="AF22" i="21" a="1"/>
  <c r="AF22" i="21" s="1"/>
  <c r="AI46" i="21" a="1"/>
  <c r="AI46" i="21" s="1"/>
  <c r="AE22" i="21" a="1"/>
  <c r="AE22" i="21" s="1"/>
  <c r="AI10" i="21" a="1"/>
  <c r="AI10" i="21" s="1"/>
  <c r="AF62" i="21" a="1"/>
  <c r="AF62" i="21" s="1"/>
  <c r="AP58" i="21" a="1"/>
  <c r="AP58" i="21" s="1"/>
  <c r="AH46" i="21" a="1"/>
  <c r="AH46" i="21" s="1"/>
  <c r="AO18" i="21" a="1"/>
  <c r="AO18" i="21" s="1"/>
  <c r="AD10" i="21" a="1"/>
  <c r="AD10" i="21" s="1"/>
  <c r="AG70" i="21" a="1"/>
  <c r="AG70" i="21" s="1"/>
  <c r="AN30" i="21" a="1"/>
  <c r="AN30" i="21" s="1"/>
  <c r="AR66" i="21"/>
  <c r="AG54" i="21" a="1"/>
  <c r="AG54" i="21" s="1"/>
  <c r="AO50" i="21" a="1"/>
  <c r="AO50" i="21" s="1"/>
  <c r="AI14" i="21" a="1"/>
  <c r="AI14" i="21" s="1"/>
  <c r="AF54" i="21" a="1"/>
  <c r="AF54" i="21" s="1"/>
  <c r="AN50" i="21" a="1"/>
  <c r="AN50" i="21" s="1"/>
  <c r="AM30" i="21" a="1"/>
  <c r="AM30" i="21" s="1"/>
  <c r="AO30" i="21" a="1"/>
  <c r="AO30" i="21" s="1"/>
  <c r="AH54" i="21" a="1"/>
  <c r="AH54" i="21" s="1"/>
  <c r="AG42" i="21" a="1"/>
  <c r="AG42" i="21" s="1"/>
  <c r="AI6" i="21" a="1"/>
  <c r="AI6" i="21" s="1"/>
  <c r="AE54" i="21" a="1"/>
  <c r="AE54" i="21" s="1"/>
  <c r="AM50" i="21" a="1"/>
  <c r="AM50" i="21" s="1"/>
  <c r="AR26" i="21"/>
  <c r="AR17" i="21"/>
  <c r="AD70" i="21" a="1"/>
  <c r="AD70" i="21" s="1"/>
  <c r="AI66" i="21" a="1"/>
  <c r="AI66" i="21" s="1"/>
  <c r="AL50" i="21" a="1"/>
  <c r="AL50" i="21" s="1"/>
  <c r="AE42" i="21" a="1"/>
  <c r="AE42" i="21" s="1"/>
  <c r="AI30" i="21" a="1"/>
  <c r="AI30" i="21" s="1"/>
  <c r="AO26" i="21" a="1"/>
  <c r="AO26" i="21" s="1"/>
  <c r="AG14" i="21" a="1"/>
  <c r="AG14" i="21" s="1"/>
  <c r="AF9" i="21" a="1"/>
  <c r="AF9" i="21" s="1"/>
  <c r="AF6" i="21" a="1"/>
  <c r="AF6" i="21" s="1"/>
  <c r="AH6" i="21" a="1"/>
  <c r="AH6" i="21" s="1"/>
  <c r="AD42" i="21" a="1"/>
  <c r="AD42" i="21" s="1"/>
  <c r="AH30" i="21" a="1"/>
  <c r="AH30" i="21" s="1"/>
  <c r="AF14" i="21" a="1"/>
  <c r="AF14" i="21" s="1"/>
  <c r="AE6" i="21" a="1"/>
  <c r="AE6" i="21" s="1"/>
  <c r="AL14" i="21" a="1"/>
  <c r="AL14" i="21" s="1"/>
  <c r="AK6" i="21" a="1"/>
  <c r="AK6" i="21" s="1"/>
  <c r="AF70" i="21" a="1"/>
  <c r="AF70" i="21" s="1"/>
  <c r="AM66" i="21" a="1"/>
  <c r="AM66" i="21" s="1"/>
  <c r="AK30" i="21" a="1"/>
  <c r="AK30" i="21" s="1"/>
  <c r="AK50" i="21" a="1"/>
  <c r="AK50" i="21" s="1"/>
  <c r="AD6" i="21" a="1"/>
  <c r="AD6" i="21" s="1"/>
  <c r="AK68" i="21" a="1"/>
  <c r="AK68" i="21" s="1"/>
  <c r="AH68" i="21" a="1"/>
  <c r="AH68" i="21" s="1"/>
  <c r="AF68" i="21" a="1"/>
  <c r="AF68" i="21" s="1"/>
  <c r="AG68" i="21" a="1"/>
  <c r="AG68" i="21" s="1"/>
  <c r="AD68" i="21" a="1"/>
  <c r="AD68" i="21" s="1"/>
  <c r="AL68" i="21" a="1"/>
  <c r="AL68" i="21" s="1"/>
  <c r="AB68" i="21" s="1"/>
  <c r="AM68" i="21" a="1"/>
  <c r="AM68" i="21" s="1"/>
  <c r="AO52" i="21" a="1"/>
  <c r="AO52" i="21" s="1"/>
  <c r="AP52" i="21" a="1"/>
  <c r="AP52" i="21" s="1"/>
  <c r="AL52" i="21" a="1"/>
  <c r="AL52" i="21" s="1"/>
  <c r="AI52" i="21" a="1"/>
  <c r="AI52" i="21" s="1"/>
  <c r="AK52" i="21" a="1"/>
  <c r="AK52" i="21" s="1"/>
  <c r="AD52" i="21" a="1"/>
  <c r="AD52" i="21" s="1"/>
  <c r="AM52" i="21" a="1"/>
  <c r="AM52" i="21" s="1"/>
  <c r="AH44" i="21" a="1"/>
  <c r="AH44" i="21" s="1"/>
  <c r="AN44" i="21" a="1"/>
  <c r="AN44" i="21" s="1"/>
  <c r="AF44" i="21" a="1"/>
  <c r="AF44" i="21" s="1"/>
  <c r="AG44" i="21" a="1"/>
  <c r="AG44" i="21" s="1"/>
  <c r="AD36" i="21" a="1"/>
  <c r="AD36" i="21" s="1"/>
  <c r="AN36" i="21" a="1"/>
  <c r="AN36" i="21" s="1"/>
  <c r="AF36" i="21" a="1"/>
  <c r="AF36" i="21" s="1"/>
  <c r="AG36" i="21" a="1"/>
  <c r="AG36" i="21" s="1"/>
  <c r="AO36" i="21" a="1"/>
  <c r="AO36" i="21" s="1"/>
  <c r="AP36" i="21" a="1"/>
  <c r="AP36" i="21" s="1"/>
  <c r="AR36" i="21"/>
  <c r="AE36" i="21" a="1"/>
  <c r="AE36" i="21" s="1"/>
  <c r="AG28" i="21" a="1"/>
  <c r="AG28" i="21" s="1"/>
  <c r="AH28" i="21" a="1"/>
  <c r="AH28" i="21" s="1"/>
  <c r="AE28" i="21" a="1"/>
  <c r="AE28" i="21" s="1"/>
  <c r="AF28" i="21" a="1"/>
  <c r="AF28" i="21" s="1"/>
  <c r="AN28" i="21" a="1"/>
  <c r="AN28" i="21" s="1"/>
  <c r="AO28" i="21" a="1"/>
  <c r="AO28" i="21" s="1"/>
  <c r="AP28" i="21" a="1"/>
  <c r="AP28" i="21" s="1"/>
  <c r="AR28" i="21"/>
  <c r="AD28" i="21" a="1"/>
  <c r="AD28" i="21" s="1"/>
  <c r="AL20" i="21" a="1"/>
  <c r="AL20" i="21" s="1"/>
  <c r="AI20" i="21" a="1"/>
  <c r="AI20" i="21" s="1"/>
  <c r="AK20" i="21" a="1"/>
  <c r="AK20" i="21" s="1"/>
  <c r="AD20" i="21" a="1"/>
  <c r="AD20" i="21" s="1"/>
  <c r="AE20" i="21" a="1"/>
  <c r="AE20" i="21" s="1"/>
  <c r="AN20" i="21" a="1"/>
  <c r="AN20" i="21" s="1"/>
  <c r="AO20" i="21" a="1"/>
  <c r="AO20" i="21" s="1"/>
  <c r="AP20" i="21" a="1"/>
  <c r="AP20" i="21" s="1"/>
  <c r="AR20" i="21"/>
  <c r="AE12" i="21" a="1"/>
  <c r="AE12" i="21" s="1"/>
  <c r="AL12" i="21" a="1"/>
  <c r="AL12" i="21" s="1"/>
  <c r="AM12" i="21" a="1"/>
  <c r="AM12" i="21" s="1"/>
  <c r="AG12" i="21" a="1"/>
  <c r="AG12" i="21" s="1"/>
  <c r="AK12" i="21" a="1"/>
  <c r="AK12" i="21" s="1"/>
  <c r="AG4" i="21" a="1"/>
  <c r="AG4" i="21" s="1"/>
  <c r="AD4" i="21" a="1"/>
  <c r="AD4" i="21" s="1"/>
  <c r="AL4" i="21" a="1"/>
  <c r="AL4" i="21" s="1"/>
  <c r="AM4" i="21" a="1"/>
  <c r="AM4" i="21" s="1"/>
  <c r="AN4" i="21" a="1"/>
  <c r="AN4" i="21" s="1"/>
  <c r="AO4" i="21" a="1"/>
  <c r="AO4" i="21" s="1"/>
  <c r="AK4" i="21" a="1"/>
  <c r="AK4" i="21" s="1"/>
  <c r="AR4" i="21"/>
  <c r="AP4" i="21" a="1"/>
  <c r="AP4" i="21" s="1"/>
  <c r="AO69" i="21" a="1"/>
  <c r="AO69" i="21" s="1"/>
  <c r="AM69" i="21" a="1"/>
  <c r="AM69" i="21" s="1"/>
  <c r="AH4" i="21" a="1"/>
  <c r="AH4" i="21" s="1"/>
  <c r="AR44" i="21"/>
  <c r="AO29" i="21" a="1"/>
  <c r="AO29" i="21" s="1"/>
  <c r="AF4" i="21" a="1"/>
  <c r="AF4" i="21" s="1"/>
  <c r="AF69" i="21" a="1"/>
  <c r="AF69" i="21" s="1"/>
  <c r="AD60" i="21" a="1"/>
  <c r="AD60" i="21" s="1"/>
  <c r="AM57" i="21" a="1"/>
  <c r="AM57" i="21" s="1"/>
  <c r="AP44" i="21" a="1"/>
  <c r="AP44" i="21" s="1"/>
  <c r="AL29" i="21" a="1"/>
  <c r="AL29" i="21" s="1"/>
  <c r="AE4" i="21" a="1"/>
  <c r="AE4" i="21" s="1"/>
  <c r="AE69" i="21" a="1"/>
  <c r="AE69" i="21" s="1"/>
  <c r="AO44" i="21" a="1"/>
  <c r="AO44" i="21" s="1"/>
  <c r="AK29" i="21" a="1"/>
  <c r="AK29" i="21" s="1"/>
  <c r="AR12" i="21"/>
  <c r="AI57" i="21" a="1"/>
  <c r="AI57" i="21" s="1"/>
  <c r="AM44" i="21" a="1"/>
  <c r="AM44" i="21" s="1"/>
  <c r="AO39" i="21" a="1"/>
  <c r="AO39" i="21" s="1"/>
  <c r="AE29" i="21" a="1"/>
  <c r="AE29" i="21" s="1"/>
  <c r="AP12" i="21" a="1"/>
  <c r="AP12" i="21" s="1"/>
  <c r="AF63" i="21" a="1"/>
  <c r="AF63" i="21" s="1"/>
  <c r="AN39" i="21" a="1"/>
  <c r="AN39" i="21" s="1"/>
  <c r="AL44" i="21" a="1"/>
  <c r="AL44" i="21" s="1"/>
  <c r="AK39" i="21" a="1"/>
  <c r="AK39" i="21" s="1"/>
  <c r="AO12" i="21" a="1"/>
  <c r="AO12" i="21" s="1"/>
  <c r="AN61" i="21" a="1"/>
  <c r="AN61" i="21" s="1"/>
  <c r="AG61" i="21" a="1"/>
  <c r="AG61" i="21" s="1"/>
  <c r="AD61" i="21" a="1"/>
  <c r="AD61" i="21" s="1"/>
  <c r="AE61" i="21" a="1"/>
  <c r="AE61" i="21" s="1"/>
  <c r="AL61" i="21" a="1"/>
  <c r="AL61" i="21" s="1"/>
  <c r="AM61" i="21" a="1"/>
  <c r="AM61" i="21" s="1"/>
  <c r="AO61" i="21" a="1"/>
  <c r="AO61" i="21" s="1"/>
  <c r="AK61" i="21" a="1"/>
  <c r="AK61" i="21" s="1"/>
  <c r="AI61" i="21" a="1"/>
  <c r="AI61" i="21" s="1"/>
  <c r="AN53" i="21" a="1"/>
  <c r="AN53" i="21" s="1"/>
  <c r="AO53" i="21" a="1"/>
  <c r="AO53" i="21" s="1"/>
  <c r="AF53" i="21" a="1"/>
  <c r="AF53" i="21" s="1"/>
  <c r="AM53" i="21" a="1"/>
  <c r="AM53" i="21" s="1"/>
  <c r="AD53" i="21" a="1"/>
  <c r="AD53" i="21" s="1"/>
  <c r="AE53" i="21" a="1"/>
  <c r="AE53" i="21" s="1"/>
  <c r="AK53" i="21" a="1"/>
  <c r="AK53" i="21" s="1"/>
  <c r="AL53" i="21" a="1"/>
  <c r="AL53" i="21" s="1"/>
  <c r="AP53" i="21" a="1"/>
  <c r="AP53" i="21" s="1"/>
  <c r="AR53" i="21"/>
  <c r="AN45" i="21" a="1"/>
  <c r="AN45" i="21" s="1"/>
  <c r="AO45" i="21" a="1"/>
  <c r="AO45" i="21" s="1"/>
  <c r="AE45" i="21" a="1"/>
  <c r="AE45" i="21" s="1"/>
  <c r="AG45" i="21" a="1"/>
  <c r="AG45" i="21" s="1"/>
  <c r="AH45" i="21" a="1"/>
  <c r="AH45" i="21" s="1"/>
  <c r="AI45" i="21" a="1"/>
  <c r="AI45" i="21" s="1"/>
  <c r="AD37" i="21" a="1"/>
  <c r="AD37" i="21" s="1"/>
  <c r="AG37" i="21" a="1"/>
  <c r="AG37" i="21" s="1"/>
  <c r="AN37" i="21" a="1"/>
  <c r="AN37" i="21" s="1"/>
  <c r="AI37" i="21" a="1"/>
  <c r="AI37" i="21" s="1"/>
  <c r="AR37" i="21"/>
  <c r="AH37" i="21" a="1"/>
  <c r="AH37" i="21" s="1"/>
  <c r="AM37" i="21" a="1"/>
  <c r="AM37" i="21" s="1"/>
  <c r="AO37" i="21" a="1"/>
  <c r="AO37" i="21" s="1"/>
  <c r="AP37" i="21" a="1"/>
  <c r="AP37" i="21" s="1"/>
  <c r="AG29" i="21" a="1"/>
  <c r="AG29" i="21" s="1"/>
  <c r="AH29" i="21" a="1"/>
  <c r="AH29" i="21" s="1"/>
  <c r="AI29" i="21" a="1"/>
  <c r="AI29" i="21" s="1"/>
  <c r="AP29" i="21" a="1"/>
  <c r="AP29" i="21" s="1"/>
  <c r="AR29" i="21"/>
  <c r="AF29" i="21" a="1"/>
  <c r="AF29" i="21" s="1"/>
  <c r="AM29" i="21" a="1"/>
  <c r="AM29" i="21" s="1"/>
  <c r="AN29" i="21" a="1"/>
  <c r="AN29" i="21" s="1"/>
  <c r="AR13" i="21"/>
  <c r="AE13" i="21" a="1"/>
  <c r="AE13" i="21" s="1"/>
  <c r="AM13" i="21" a="1"/>
  <c r="AM13" i="21" s="1"/>
  <c r="AD13" i="21" a="1"/>
  <c r="AD13" i="21" s="1"/>
  <c r="AI13" i="21" a="1"/>
  <c r="AI13" i="21" s="1"/>
  <c r="AN13" i="21" a="1"/>
  <c r="AN13" i="21" s="1"/>
  <c r="AO13" i="21" a="1"/>
  <c r="AO13" i="21" s="1"/>
  <c r="AP13" i="21" a="1"/>
  <c r="AP13" i="21" s="1"/>
  <c r="AH5" i="21" a="1"/>
  <c r="AH5" i="21" s="1"/>
  <c r="AE5" i="21" a="1"/>
  <c r="AE5" i="21" s="1"/>
  <c r="AM5" i="21" a="1"/>
  <c r="AM5" i="21" s="1"/>
  <c r="AN5" i="21" a="1"/>
  <c r="AN5" i="21" s="1"/>
  <c r="AO5" i="21" a="1"/>
  <c r="AO5" i="21" s="1"/>
  <c r="AP5" i="21" a="1"/>
  <c r="AP5" i="21" s="1"/>
  <c r="AD5" i="21" a="1"/>
  <c r="AD5" i="21" s="1"/>
  <c r="AF5" i="21" a="1"/>
  <c r="AF5" i="21" s="1"/>
  <c r="AG5" i="21" a="1"/>
  <c r="AG5" i="21" s="1"/>
  <c r="AP69" i="21" a="1"/>
  <c r="AP69" i="21" s="1"/>
  <c r="AK44" i="21" a="1"/>
  <c r="AK44" i="21" s="1"/>
  <c r="AR21" i="21"/>
  <c r="AN12" i="21" a="1"/>
  <c r="AN12" i="21" s="1"/>
  <c r="AL65" i="21" a="1"/>
  <c r="AL65" i="21" s="1"/>
  <c r="AM65" i="21" a="1"/>
  <c r="AM65" i="21" s="1"/>
  <c r="AF65" i="21" a="1"/>
  <c r="AF65" i="21" s="1"/>
  <c r="AO65" i="21" a="1"/>
  <c r="AO65" i="21" s="1"/>
  <c r="AP65" i="21" a="1"/>
  <c r="AP65" i="21" s="1"/>
  <c r="AR65" i="21"/>
  <c r="AG65" i="21" a="1"/>
  <c r="AG65" i="21" s="1"/>
  <c r="AH65" i="21" a="1"/>
  <c r="AH65" i="21" s="1"/>
  <c r="AN57" i="21" a="1"/>
  <c r="AN57" i="21" s="1"/>
  <c r="AO57" i="21" a="1"/>
  <c r="AO57" i="21" s="1"/>
  <c r="AR57" i="21"/>
  <c r="AD57" i="21" a="1"/>
  <c r="AD57" i="21" s="1"/>
  <c r="AK57" i="21" a="1"/>
  <c r="AK57" i="21" s="1"/>
  <c r="AL57" i="21" a="1"/>
  <c r="AL57" i="21" s="1"/>
  <c r="AR49" i="21"/>
  <c r="AH49" i="21" a="1"/>
  <c r="AH49" i="21" s="1"/>
  <c r="AD49" i="21" a="1"/>
  <c r="AD49" i="21" s="1"/>
  <c r="AE49" i="21" a="1"/>
  <c r="AE49" i="21" s="1"/>
  <c r="AO49" i="21" a="1"/>
  <c r="AO49" i="21" s="1"/>
  <c r="AP49" i="21" a="1"/>
  <c r="AP49" i="21" s="1"/>
  <c r="AM41" i="21" a="1"/>
  <c r="AM41" i="21" s="1"/>
  <c r="AN41" i="21" a="1"/>
  <c r="AN41" i="21" s="1"/>
  <c r="AO41" i="21" a="1"/>
  <c r="AO41" i="21" s="1"/>
  <c r="AP41" i="21" a="1"/>
  <c r="AP41" i="21" s="1"/>
  <c r="AF33" i="21" a="1"/>
  <c r="AF33" i="21" s="1"/>
  <c r="AK33" i="21" a="1"/>
  <c r="AK33" i="21" s="1"/>
  <c r="AD33" i="21" a="1"/>
  <c r="AD33" i="21" s="1"/>
  <c r="AE33" i="21" a="1"/>
  <c r="AE33" i="21" s="1"/>
  <c r="AG33" i="21" a="1"/>
  <c r="AG33" i="21" s="1"/>
  <c r="AH33" i="21" a="1"/>
  <c r="AH33" i="21" s="1"/>
  <c r="AM33" i="21" a="1"/>
  <c r="AM33" i="21" s="1"/>
  <c r="AN33" i="21" a="1"/>
  <c r="AN33" i="21" s="1"/>
  <c r="AI25" i="21" a="1"/>
  <c r="AI25" i="21" s="1"/>
  <c r="AL25" i="21" a="1"/>
  <c r="AL25" i="21" s="1"/>
  <c r="AB25" i="21" s="1"/>
  <c r="AF25" i="21" a="1"/>
  <c r="AF25" i="21" s="1"/>
  <c r="AG25" i="21" a="1"/>
  <c r="AG25" i="21" s="1"/>
  <c r="AH25" i="21" a="1"/>
  <c r="AH25" i="21" s="1"/>
  <c r="AK25" i="21" a="1"/>
  <c r="AK25" i="21" s="1"/>
  <c r="AD25" i="21" a="1"/>
  <c r="AD25" i="21" s="1"/>
  <c r="AM25" i="21" a="1"/>
  <c r="AM25" i="21" s="1"/>
  <c r="AN25" i="21" a="1"/>
  <c r="AN25" i="21" s="1"/>
  <c r="AN17" i="21" a="1"/>
  <c r="AN17" i="21" s="1"/>
  <c r="AF17" i="21" a="1"/>
  <c r="AF17" i="21" s="1"/>
  <c r="AD17" i="21" a="1"/>
  <c r="AD17" i="21" s="1"/>
  <c r="AE17" i="21" a="1"/>
  <c r="AE17" i="21" s="1"/>
  <c r="AG17" i="21" a="1"/>
  <c r="AG17" i="21" s="1"/>
  <c r="AH17" i="21" a="1"/>
  <c r="AH17" i="21" s="1"/>
  <c r="AI17" i="21" a="1"/>
  <c r="AI17" i="21" s="1"/>
  <c r="AG9" i="21" a="1"/>
  <c r="AG9" i="21" s="1"/>
  <c r="AK9" i="21" a="1"/>
  <c r="AK9" i="21" s="1"/>
  <c r="AL9" i="21" a="1"/>
  <c r="AL9" i="21" s="1"/>
  <c r="AB9" i="21" s="1"/>
  <c r="AR9" i="21"/>
  <c r="AD9" i="21" a="1"/>
  <c r="AD9" i="21" s="1"/>
  <c r="AM36" i="21" a="1"/>
  <c r="AM36" i="21" s="1"/>
  <c r="AP33" i="21" a="1"/>
  <c r="AP33" i="21" s="1"/>
  <c r="AI12" i="21" a="1"/>
  <c r="AI12" i="21" s="1"/>
  <c r="AF57" i="21" a="1"/>
  <c r="AF57" i="21" s="1"/>
  <c r="AI44" i="21" a="1"/>
  <c r="AI44" i="21" s="1"/>
  <c r="AL36" i="21" a="1"/>
  <c r="AL36" i="21" s="1"/>
  <c r="AP21" i="21" a="1"/>
  <c r="AP21" i="21" s="1"/>
  <c r="AR5" i="21"/>
  <c r="AR61" i="21"/>
  <c r="AR45" i="21"/>
  <c r="AO33" i="21" a="1"/>
  <c r="AO33" i="21" s="1"/>
  <c r="AH12" i="21" a="1"/>
  <c r="AH12" i="21" s="1"/>
  <c r="AP61" i="21" a="1"/>
  <c r="AP61" i="21" s="1"/>
  <c r="AE57" i="21" a="1"/>
  <c r="AE57" i="21" s="1"/>
  <c r="AR52" i="21"/>
  <c r="AE44" i="21" a="1"/>
  <c r="AE44" i="21" s="1"/>
  <c r="AK36" i="21" a="1"/>
  <c r="AK36" i="21" s="1"/>
  <c r="AL33" i="21" a="1"/>
  <c r="AL33" i="21" s="1"/>
  <c r="AF12" i="21" a="1"/>
  <c r="AF12" i="21" s="1"/>
  <c r="AK37" i="21" a="1"/>
  <c r="AK37" i="21" s="1"/>
  <c r="AM60" i="21" a="1"/>
  <c r="AM60" i="21" s="1"/>
  <c r="AL5" i="21" a="1"/>
  <c r="AL5" i="21" s="1"/>
  <c r="AI36" i="21" a="1"/>
  <c r="AI36" i="21" s="1"/>
  <c r="AI5" i="21" a="1"/>
  <c r="AI5" i="21" s="1"/>
  <c r="AH71" i="21" a="1"/>
  <c r="AH71" i="21" s="1"/>
  <c r="AD71" i="21" a="1"/>
  <c r="AD71" i="21" s="1"/>
  <c r="AK71" i="21" a="1"/>
  <c r="AK71" i="21" s="1"/>
  <c r="AL71" i="21" a="1"/>
  <c r="AL71" i="21" s="1"/>
  <c r="AB71" i="21" s="1"/>
  <c r="AM71" i="21" a="1"/>
  <c r="AM71" i="21" s="1"/>
  <c r="AN71" i="21" a="1"/>
  <c r="AN71" i="21" s="1"/>
  <c r="AP71" i="21" a="1"/>
  <c r="AP71" i="21" s="1"/>
  <c r="AR71" i="21"/>
  <c r="AM63" i="21" a="1"/>
  <c r="AM63" i="21" s="1"/>
  <c r="AN63" i="21" a="1"/>
  <c r="AN63" i="21" s="1"/>
  <c r="AK63" i="21" a="1"/>
  <c r="AK63" i="21" s="1"/>
  <c r="AI63" i="21" a="1"/>
  <c r="AI63" i="21" s="1"/>
  <c r="AE63" i="21" a="1"/>
  <c r="AE63" i="21" s="1"/>
  <c r="AH63" i="21" a="1"/>
  <c r="AH63" i="21" s="1"/>
  <c r="AL63" i="21" a="1"/>
  <c r="AL63" i="21" s="1"/>
  <c r="AL55" i="21" a="1"/>
  <c r="AL55" i="21" s="1"/>
  <c r="AM55" i="21" a="1"/>
  <c r="AM55" i="21" s="1"/>
  <c r="AH55" i="21" a="1"/>
  <c r="AH55" i="21" s="1"/>
  <c r="AI55" i="21" a="1"/>
  <c r="AI55" i="21" s="1"/>
  <c r="AF55" i="21" a="1"/>
  <c r="AF55" i="21" s="1"/>
  <c r="AK55" i="21" a="1"/>
  <c r="AK55" i="21" s="1"/>
  <c r="AN55" i="21" a="1"/>
  <c r="AN55" i="21" s="1"/>
  <c r="AO55" i="21" a="1"/>
  <c r="AO55" i="21" s="1"/>
  <c r="AF39" i="21" a="1"/>
  <c r="AF39" i="21" s="1"/>
  <c r="AM39" i="21" a="1"/>
  <c r="AM39" i="21" s="1"/>
  <c r="AL39" i="21" a="1"/>
  <c r="AL39" i="21" s="1"/>
  <c r="AH39" i="21" a="1"/>
  <c r="AH39" i="21" s="1"/>
  <c r="AI39" i="21" a="1"/>
  <c r="AI39" i="21" s="1"/>
  <c r="AP39" i="21" a="1"/>
  <c r="AP39" i="21" s="1"/>
  <c r="AR39" i="21"/>
  <c r="AF31" i="21" a="1"/>
  <c r="AF31" i="21" s="1"/>
  <c r="AG31" i="21" a="1"/>
  <c r="AG31" i="21" s="1"/>
  <c r="AO31" i="21" a="1"/>
  <c r="AO31" i="21" s="1"/>
  <c r="AL31" i="21" a="1"/>
  <c r="AL31" i="21" s="1"/>
  <c r="AN31" i="21" a="1"/>
  <c r="AN31" i="21" s="1"/>
  <c r="AM31" i="21" a="1"/>
  <c r="AM31" i="21" s="1"/>
  <c r="AI23" i="21" a="1"/>
  <c r="AI23" i="21" s="1"/>
  <c r="AK23" i="21" a="1"/>
  <c r="AK23" i="21" s="1"/>
  <c r="AG23" i="21" a="1"/>
  <c r="AG23" i="21" s="1"/>
  <c r="AR23" i="21"/>
  <c r="AL23" i="21" a="1"/>
  <c r="AL23" i="21" s="1"/>
  <c r="AM23" i="21" a="1"/>
  <c r="AM23" i="21" s="1"/>
  <c r="AO15" i="21" a="1"/>
  <c r="AO15" i="21" s="1"/>
  <c r="AD15" i="21" a="1"/>
  <c r="AD15" i="21" s="1"/>
  <c r="AN15" i="21" a="1"/>
  <c r="AN15" i="21" s="1"/>
  <c r="AP15" i="21" a="1"/>
  <c r="AP15" i="21" s="1"/>
  <c r="AG15" i="21" a="1"/>
  <c r="AG15" i="21" s="1"/>
  <c r="AI15" i="21" a="1"/>
  <c r="AI15" i="21" s="1"/>
  <c r="AH15" i="21" a="1"/>
  <c r="AH15" i="21" s="1"/>
  <c r="AR15" i="21"/>
  <c r="AG7" i="21" a="1"/>
  <c r="AG7" i="21" s="1"/>
  <c r="AH7" i="21" a="1"/>
  <c r="AH7" i="21" s="1"/>
  <c r="AI7" i="21" a="1"/>
  <c r="AI7" i="21" s="1"/>
  <c r="AO7" i="21" a="1"/>
  <c r="AO7" i="21" s="1"/>
  <c r="AP7" i="21" a="1"/>
  <c r="AP7" i="21" s="1"/>
  <c r="AR7" i="21"/>
  <c r="AF7" i="21" a="1"/>
  <c r="AF7" i="21" s="1"/>
  <c r="AE7" i="21" a="1"/>
  <c r="AE7" i="21" s="1"/>
  <c r="AN7" i="21" a="1"/>
  <c r="AN7" i="21" s="1"/>
  <c r="AP68" i="21" a="1"/>
  <c r="AP68" i="21" s="1"/>
  <c r="AG52" i="21" a="1"/>
  <c r="AG52" i="21" s="1"/>
  <c r="AM49" i="21" a="1"/>
  <c r="AM49" i="21" s="1"/>
  <c r="AK45" i="21" a="1"/>
  <c r="AK45" i="21" s="1"/>
  <c r="AE55" i="21" a="1"/>
  <c r="AE55" i="21" s="1"/>
  <c r="AL49" i="21" a="1"/>
  <c r="AL49" i="21" s="1"/>
  <c r="AL41" i="21" a="1"/>
  <c r="AL41" i="21" s="1"/>
  <c r="AR25" i="21"/>
  <c r="AK13" i="21" a="1"/>
  <c r="AK13" i="21" s="1"/>
  <c r="AF52" i="21" a="1"/>
  <c r="AF52" i="21" s="1"/>
  <c r="AK49" i="21" a="1"/>
  <c r="AK49" i="21" s="1"/>
  <c r="AF45" i="21" a="1"/>
  <c r="AF45" i="21" s="1"/>
  <c r="AR31" i="21"/>
  <c r="AP25" i="21" a="1"/>
  <c r="AP25" i="21" s="1"/>
  <c r="AN9" i="21" a="1"/>
  <c r="AN9" i="21" s="1"/>
  <c r="AI53" i="21" a="1"/>
  <c r="AI53" i="21" s="1"/>
  <c r="AF37" i="21" a="1"/>
  <c r="AF37" i="21" s="1"/>
  <c r="AH53" i="21" a="1"/>
  <c r="AH53" i="21" s="1"/>
  <c r="AE37" i="21" a="1"/>
  <c r="AE37" i="21" s="1"/>
  <c r="AB37" i="21" s="1"/>
  <c r="AI4" i="21" a="1"/>
  <c r="AI4" i="21" s="1"/>
  <c r="AG20" i="21" a="1"/>
  <c r="AG20" i="21" s="1"/>
  <c r="AF20" i="21" a="1"/>
  <c r="AF20" i="21" s="1"/>
  <c r="AH61" i="21" a="1"/>
  <c r="AH61" i="21" s="1"/>
  <c r="AP45" i="21" a="1"/>
  <c r="AP45" i="21" s="1"/>
  <c r="K14" i="21"/>
  <c r="L14" i="21"/>
  <c r="AD12" i="21" a="1"/>
  <c r="AD12" i="21" s="1"/>
  <c r="AM45" i="21" a="1"/>
  <c r="AM45" i="21" s="1"/>
  <c r="AK5" i="21" a="1"/>
  <c r="AK5" i="21" s="1"/>
  <c r="AR68" i="21"/>
  <c r="AF61" i="21" a="1"/>
  <c r="AF61" i="21" s="1"/>
  <c r="AL13" i="21" a="1"/>
  <c r="AL13" i="21" s="1"/>
  <c r="AO9" i="21" a="1"/>
  <c r="AO9" i="21" s="1"/>
  <c r="AG71" i="21" a="1"/>
  <c r="AG71" i="21" s="1"/>
  <c r="AO68" i="21" a="1"/>
  <c r="AO68" i="21" s="1"/>
  <c r="AF71" i="21" a="1"/>
  <c r="AF71" i="21" s="1"/>
  <c r="AN68" i="21" a="1"/>
  <c r="AN68" i="21" s="1"/>
  <c r="AN65" i="21" a="1"/>
  <c r="AN65" i="21" s="1"/>
  <c r="AD55" i="21" a="1"/>
  <c r="AD55" i="21" s="1"/>
  <c r="AE52" i="21" a="1"/>
  <c r="AE52" i="21" s="1"/>
  <c r="AI49" i="21" a="1"/>
  <c r="AI49" i="21" s="1"/>
  <c r="AK41" i="21" a="1"/>
  <c r="AK41" i="21" s="1"/>
  <c r="AP31" i="21" a="1"/>
  <c r="AP31" i="21" s="1"/>
  <c r="AM28" i="21" a="1"/>
  <c r="AM28" i="21" s="1"/>
  <c r="AO25" i="21" a="1"/>
  <c r="AO25" i="21" s="1"/>
  <c r="AH13" i="21" a="1"/>
  <c r="AH13" i="21" s="1"/>
  <c r="AK69" i="21" a="1"/>
  <c r="AK69" i="21" s="1"/>
  <c r="AI69" i="21" a="1"/>
  <c r="AI69" i="21" s="1"/>
  <c r="AH69" i="21" a="1"/>
  <c r="AH69" i="21" s="1"/>
  <c r="AL69" i="21" a="1"/>
  <c r="AL69" i="21" s="1"/>
  <c r="AD69" i="21" a="1"/>
  <c r="AD69" i="21" s="1"/>
  <c r="AN69" i="21" a="1"/>
  <c r="AN69" i="21" s="1"/>
  <c r="AR69" i="21"/>
  <c r="AK21" i="21" a="1"/>
  <c r="AK21" i="21" s="1"/>
  <c r="AL21" i="21" a="1"/>
  <c r="AL21" i="21" s="1"/>
  <c r="AD21" i="21" a="1"/>
  <c r="AD21" i="21" s="1"/>
  <c r="AM21" i="21" a="1"/>
  <c r="AM21" i="21" s="1"/>
  <c r="AN21" i="21" a="1"/>
  <c r="AN21" i="21" s="1"/>
  <c r="AG21" i="21" a="1"/>
  <c r="AG21" i="21" s="1"/>
  <c r="AH21" i="21" a="1"/>
  <c r="AH21" i="21" s="1"/>
  <c r="AE21" i="21" a="1"/>
  <c r="AE21" i="21" s="1"/>
  <c r="AI21" i="21" a="1"/>
  <c r="AI21" i="21" s="1"/>
  <c r="AO21" i="21" a="1"/>
  <c r="AO21" i="21" s="1"/>
  <c r="AN60" i="21" a="1"/>
  <c r="AN60" i="21" s="1"/>
  <c r="AO60" i="21" a="1"/>
  <c r="AO60" i="21" s="1"/>
  <c r="AE60" i="21" a="1"/>
  <c r="AE60" i="21" s="1"/>
  <c r="AH60" i="21" a="1"/>
  <c r="AH60" i="21" s="1"/>
  <c r="AI60" i="21" a="1"/>
  <c r="AI60" i="21" s="1"/>
  <c r="AK60" i="21" a="1"/>
  <c r="AK60" i="21" s="1"/>
  <c r="AL60" i="21" a="1"/>
  <c r="AL60" i="21" s="1"/>
  <c r="AG60" i="21" a="1"/>
  <c r="AG60" i="21" s="1"/>
  <c r="AR60" i="21"/>
  <c r="AP60" i="21" a="1"/>
  <c r="AP60" i="21" s="1"/>
  <c r="AI33" i="21" a="1"/>
  <c r="AI33" i="21" s="1"/>
  <c r="AN52" i="21" a="1"/>
  <c r="AN52" i="21" s="1"/>
  <c r="AD44" i="21" a="1"/>
  <c r="AD44" i="21" s="1"/>
  <c r="AH52" i="21" a="1"/>
  <c r="AH52" i="21" s="1"/>
  <c r="AP9" i="21" a="1"/>
  <c r="AP9" i="21" s="1"/>
  <c r="AN49" i="21" a="1"/>
  <c r="AN49" i="21" s="1"/>
  <c r="AL45" i="21" a="1"/>
  <c r="AL45" i="21" s="1"/>
  <c r="AR41" i="21"/>
  <c r="AH36" i="21" a="1"/>
  <c r="AH36" i="21" s="1"/>
  <c r="AP47" i="21" a="1"/>
  <c r="AP47" i="21" s="1"/>
  <c r="AR47" i="21"/>
  <c r="AD47" i="21" a="1"/>
  <c r="AD47" i="21" s="1"/>
  <c r="AE47" i="21" a="1"/>
  <c r="AE47" i="21" s="1"/>
  <c r="AK47" i="21" a="1"/>
  <c r="AK47" i="21" s="1"/>
  <c r="AO47" i="21" a="1"/>
  <c r="AO47" i="21" s="1"/>
  <c r="AI68" i="21" a="1"/>
  <c r="AI68" i="21" s="1"/>
  <c r="AD45" i="21" a="1"/>
  <c r="AD45" i="21" s="1"/>
  <c r="AI41" i="21" a="1"/>
  <c r="AI41" i="21" s="1"/>
  <c r="AM9" i="21" a="1"/>
  <c r="AM9" i="21" s="1"/>
  <c r="AH10" i="21" a="1"/>
  <c r="AH10" i="21" s="1"/>
  <c r="AG50" i="21" a="1"/>
  <c r="AG50" i="21" s="1"/>
  <c r="AR18" i="21"/>
  <c r="AF10" i="21" a="1"/>
  <c r="AF10" i="21" s="1"/>
  <c r="AR64" i="21"/>
  <c r="AK66" i="21" a="1"/>
  <c r="AK66" i="21" s="1"/>
  <c r="AL66" i="21" a="1"/>
  <c r="AL66" i="21" s="1"/>
  <c r="AP66" i="21" a="1"/>
  <c r="AP66" i="21" s="1"/>
  <c r="AD66" i="21" a="1"/>
  <c r="AD66" i="21" s="1"/>
  <c r="AN58" i="21" a="1"/>
  <c r="AN58" i="21" s="1"/>
  <c r="AO58" i="21" a="1"/>
  <c r="AO58" i="21" s="1"/>
  <c r="AD58" i="21" a="1"/>
  <c r="AD58" i="21" s="1"/>
  <c r="AE58" i="21" a="1"/>
  <c r="AE58" i="21" s="1"/>
  <c r="AP50" i="21" a="1"/>
  <c r="AP50" i="21" s="1"/>
  <c r="AR50" i="21"/>
  <c r="AI50" i="21" a="1"/>
  <c r="AI50" i="21" s="1"/>
  <c r="AE50" i="21" a="1"/>
  <c r="AE50" i="21" s="1"/>
  <c r="AF50" i="21" a="1"/>
  <c r="AF50" i="21" s="1"/>
  <c r="AI42" i="21" a="1"/>
  <c r="AI42" i="21" s="1"/>
  <c r="AM42" i="21" a="1"/>
  <c r="AM42" i="21" s="1"/>
  <c r="AE34" i="21" a="1"/>
  <c r="AE34" i="21" s="1"/>
  <c r="AF34" i="21" a="1"/>
  <c r="AF34" i="21" s="1"/>
  <c r="AL34" i="21" a="1"/>
  <c r="AL34" i="21" s="1"/>
  <c r="AH34" i="21" a="1"/>
  <c r="AH34" i="21" s="1"/>
  <c r="AI34" i="21" a="1"/>
  <c r="AI34" i="21" s="1"/>
  <c r="AK34" i="21" a="1"/>
  <c r="AK34" i="21" s="1"/>
  <c r="AH26" i="21" a="1"/>
  <c r="AH26" i="21" s="1"/>
  <c r="AI26" i="21" a="1"/>
  <c r="AI26" i="21" s="1"/>
  <c r="AN26" i="21" a="1"/>
  <c r="AN26" i="21" s="1"/>
  <c r="AG26" i="21" a="1"/>
  <c r="AG26" i="21" s="1"/>
  <c r="AK26" i="21" a="1"/>
  <c r="AK26" i="21" s="1"/>
  <c r="AL26" i="21" a="1"/>
  <c r="AL26" i="21" s="1"/>
  <c r="AM26" i="21" a="1"/>
  <c r="AM26" i="21" s="1"/>
  <c r="AM18" i="21" a="1"/>
  <c r="AM18" i="21" s="1"/>
  <c r="AN18" i="21" a="1"/>
  <c r="AN18" i="21" s="1"/>
  <c r="AG18" i="21" a="1"/>
  <c r="AG18" i="21" s="1"/>
  <c r="AF18" i="21" a="1"/>
  <c r="AF18" i="21" s="1"/>
  <c r="AH18" i="21" a="1"/>
  <c r="AH18" i="21" s="1"/>
  <c r="AI18" i="21" a="1"/>
  <c r="AI18" i="21" s="1"/>
  <c r="AK18" i="21" a="1"/>
  <c r="AK18" i="21" s="1"/>
  <c r="AG10" i="21" a="1"/>
  <c r="AG10" i="21" s="1"/>
  <c r="AL10" i="21" a="1"/>
  <c r="AL10" i="21" s="1"/>
  <c r="AB10" i="21" s="1"/>
  <c r="AP26" i="21" a="1"/>
  <c r="AP26" i="21" s="1"/>
  <c r="AL18" i="21" a="1"/>
  <c r="AL18" i="21" s="1"/>
  <c r="AL56" i="21" a="1"/>
  <c r="AL56" i="21" s="1"/>
  <c r="AO48" i="21" a="1"/>
  <c r="AO48" i="21" s="1"/>
  <c r="AP34" i="21" a="1"/>
  <c r="AP34" i="21" s="1"/>
  <c r="AD34" i="21" a="1"/>
  <c r="AD34" i="21" s="1"/>
  <c r="AO66" i="21" a="1"/>
  <c r="AO66" i="21" s="1"/>
  <c r="AD26" i="21" a="1"/>
  <c r="AD26" i="21" s="1"/>
  <c r="AM64" i="21" a="1"/>
  <c r="AM64" i="21" s="1"/>
  <c r="AE64" i="21" a="1"/>
  <c r="AE64" i="21" s="1"/>
  <c r="AN64" i="21" a="1"/>
  <c r="AN64" i="21" s="1"/>
  <c r="AL64" i="21" a="1"/>
  <c r="AL64" i="21" s="1"/>
  <c r="AO64" i="21" a="1"/>
  <c r="AO64" i="21" s="1"/>
  <c r="AO56" i="21" a="1"/>
  <c r="AO56" i="21" s="1"/>
  <c r="AN56" i="21" a="1"/>
  <c r="AN56" i="21" s="1"/>
  <c r="AP56" i="21" a="1"/>
  <c r="AP56" i="21" s="1"/>
  <c r="AR48" i="21"/>
  <c r="AH48" i="21" a="1"/>
  <c r="AH48" i="21" s="1"/>
  <c r="AP48" i="21" a="1"/>
  <c r="AP48" i="21" s="1"/>
  <c r="AD48" i="21" a="1"/>
  <c r="AD48" i="21" s="1"/>
  <c r="AE48" i="21" a="1"/>
  <c r="AE48" i="21" s="1"/>
  <c r="AE40" i="21" a="1"/>
  <c r="AE40" i="21" s="1"/>
  <c r="AM40" i="21" a="1"/>
  <c r="AM40" i="21" s="1"/>
  <c r="AF32" i="21" a="1"/>
  <c r="AF32" i="21" s="1"/>
  <c r="AH32" i="21" a="1"/>
  <c r="AH32" i="21" s="1"/>
  <c r="AD32" i="21" a="1"/>
  <c r="AD32" i="21" s="1"/>
  <c r="AI24" i="21" a="1"/>
  <c r="AI24" i="21" s="1"/>
  <c r="AK24" i="21" a="1"/>
  <c r="AK24" i="21" s="1"/>
  <c r="AH24" i="21" a="1"/>
  <c r="AH24" i="21" s="1"/>
  <c r="AD24" i="21" a="1"/>
  <c r="AD24" i="21" s="1"/>
  <c r="AE24" i="21" a="1"/>
  <c r="AE24" i="21" s="1"/>
  <c r="AF24" i="21" a="1"/>
  <c r="AF24" i="21" s="1"/>
  <c r="AN16" i="21" a="1"/>
  <c r="AN16" i="21" s="1"/>
  <c r="AO16" i="21" a="1"/>
  <c r="AO16" i="21" s="1"/>
  <c r="AE16" i="21" a="1"/>
  <c r="AE16" i="21" s="1"/>
  <c r="AB16" i="21" s="1"/>
  <c r="AR16" i="21"/>
  <c r="AD16" i="21" a="1"/>
  <c r="AD16" i="21" s="1"/>
  <c r="AG8" i="21" a="1"/>
  <c r="AG8" i="21" s="1"/>
  <c r="AI8" i="21" a="1"/>
  <c r="AI8" i="21" s="1"/>
  <c r="AR8" i="21"/>
  <c r="AD64" i="21" a="1"/>
  <c r="AD64" i="21" s="1"/>
  <c r="AF56" i="21" a="1"/>
  <c r="AF56" i="21" s="1"/>
  <c r="AR42" i="21"/>
  <c r="AL40" i="21" a="1"/>
  <c r="AL40" i="21" s="1"/>
  <c r="AP16" i="21" a="1"/>
  <c r="AP16" i="21" s="1"/>
  <c r="AN66" i="21" a="1"/>
  <c r="AN66" i="21" s="1"/>
  <c r="AP42" i="21" a="1"/>
  <c r="AP42" i="21" s="1"/>
  <c r="AM8" i="21" a="1"/>
  <c r="AM8" i="21" s="1"/>
  <c r="AI70" i="21" a="1"/>
  <c r="AI70" i="21" s="1"/>
  <c r="AK70" i="21" a="1"/>
  <c r="AK70" i="21" s="1"/>
  <c r="AN62" i="21" a="1"/>
  <c r="AN62" i="21" s="1"/>
  <c r="AO62" i="21" a="1"/>
  <c r="AO62" i="21" s="1"/>
  <c r="AH62" i="21" a="1"/>
  <c r="AH62" i="21" s="1"/>
  <c r="AM54" i="21" a="1"/>
  <c r="AM54" i="21" s="1"/>
  <c r="AN54" i="21" a="1"/>
  <c r="AN54" i="21" s="1"/>
  <c r="AP54" i="21" a="1"/>
  <c r="AP54" i="21" s="1"/>
  <c r="AF38" i="21" a="1"/>
  <c r="AF38" i="21" s="1"/>
  <c r="AM38" i="21" a="1"/>
  <c r="AM38" i="21" s="1"/>
  <c r="AN38" i="21" a="1"/>
  <c r="AN38" i="21" s="1"/>
  <c r="AF30" i="21" a="1"/>
  <c r="AF30" i="21" s="1"/>
  <c r="AG30" i="21" a="1"/>
  <c r="AG30" i="21" s="1"/>
  <c r="AD30" i="21" a="1"/>
  <c r="AD30" i="21" s="1"/>
  <c r="AK22" i="21" a="1"/>
  <c r="AK22" i="21" s="1"/>
  <c r="AL22" i="21" a="1"/>
  <c r="AL22" i="21" s="1"/>
  <c r="AO22" i="21" a="1"/>
  <c r="AO22" i="21" s="1"/>
  <c r="AO14" i="21" a="1"/>
  <c r="AO14" i="21" s="1"/>
  <c r="AP14" i="21" a="1"/>
  <c r="AP14" i="21" s="1"/>
  <c r="AR14" i="21"/>
  <c r="AR62" i="21"/>
  <c r="AR54" i="21"/>
  <c r="AO6" i="21" a="1"/>
  <c r="AO6" i="21" s="1"/>
  <c r="AH70" i="21" a="1"/>
  <c r="AH70" i="21" s="1"/>
  <c r="AP62" i="21" a="1"/>
  <c r="AP62" i="21" s="1"/>
  <c r="AN6" i="21" a="1"/>
  <c r="AN6" i="21" s="1"/>
  <c r="AK67" i="21" a="1"/>
  <c r="AK67" i="21" s="1"/>
  <c r="AL67" i="21" a="1"/>
  <c r="AL67" i="21" s="1"/>
  <c r="AN59" i="21" a="1"/>
  <c r="AN59" i="21" s="1"/>
  <c r="AD59" i="21" a="1"/>
  <c r="AD59" i="21" s="1"/>
  <c r="AP51" i="21" a="1"/>
  <c r="AP51" i="21" s="1"/>
  <c r="AR51" i="21"/>
  <c r="AD51" i="21" a="1"/>
  <c r="AD51" i="21" s="1"/>
  <c r="AE35" i="21" a="1"/>
  <c r="AE35" i="21" s="1"/>
  <c r="AF35" i="21" a="1"/>
  <c r="AF35" i="21" s="1"/>
  <c r="AM35" i="21" a="1"/>
  <c r="AM35" i="21" s="1"/>
  <c r="AG27" i="21" a="1"/>
  <c r="AG27" i="21" s="1"/>
  <c r="AH27" i="21" a="1"/>
  <c r="AH27" i="21" s="1"/>
  <c r="AO27" i="21" a="1"/>
  <c r="AO27" i="21" s="1"/>
  <c r="AL19" i="21" a="1"/>
  <c r="AL19" i="21" s="1"/>
  <c r="AM19" i="21" a="1"/>
  <c r="AM19" i="21" s="1"/>
  <c r="AH19" i="21" a="1"/>
  <c r="AH19" i="21" s="1"/>
  <c r="AH3" i="21" a="1"/>
  <c r="AH3" i="21" s="1"/>
  <c r="AI3" i="21" a="1"/>
  <c r="AI3" i="21" s="1"/>
  <c r="AN46" i="21" a="1"/>
  <c r="AN46" i="21" s="1"/>
  <c r="AL30" i="21" a="1"/>
  <c r="AL30" i="21" s="1"/>
  <c r="AB30" i="21" s="1"/>
  <c r="AM22" i="21" a="1"/>
  <c r="AM22" i="21" s="1"/>
  <c r="AK14" i="21" a="1"/>
  <c r="AK14" i="21" s="1"/>
  <c r="AL11" i="21" a="1"/>
  <c r="AL11" i="21" s="1"/>
  <c r="AN205" i="2"/>
  <c r="AM205" i="2"/>
  <c r="AL205" i="2"/>
  <c r="AK205" i="2"/>
  <c r="AJ205" i="2"/>
  <c r="AI205" i="2"/>
  <c r="AH205" i="2"/>
  <c r="AG205" i="2"/>
  <c r="AF205" i="2"/>
  <c r="X205" i="33"/>
  <c r="X210" i="33"/>
  <c r="X223" i="33"/>
  <c r="X207" i="33"/>
  <c r="X215" i="33"/>
  <c r="X201" i="33"/>
  <c r="I52" i="20" l="1"/>
  <c r="J52" i="20" s="1"/>
  <c r="I21" i="20"/>
  <c r="I35" i="20"/>
  <c r="J35" i="20" s="1"/>
  <c r="I7" i="20"/>
  <c r="K7" i="20" s="1"/>
  <c r="J21" i="20"/>
  <c r="K21" i="20"/>
  <c r="AB26" i="21"/>
  <c r="AB60" i="21"/>
  <c r="AB45" i="21"/>
  <c r="AB6" i="21"/>
  <c r="AB53" i="21"/>
  <c r="AB42" i="21"/>
  <c r="AB51" i="21"/>
  <c r="AB54" i="21"/>
  <c r="AB58" i="21"/>
  <c r="AB27" i="21"/>
  <c r="AB28" i="21"/>
  <c r="AB61" i="21"/>
  <c r="AB36" i="21"/>
  <c r="AB12" i="21"/>
  <c r="AB50" i="21"/>
  <c r="AB43" i="21"/>
  <c r="AB69" i="21"/>
  <c r="AB46" i="21"/>
  <c r="AB56" i="21"/>
  <c r="AB18" i="21"/>
  <c r="AB65" i="21"/>
  <c r="AB14" i="21"/>
  <c r="AB66" i="21"/>
  <c r="AB48" i="21"/>
  <c r="AB3" i="21"/>
  <c r="AB38" i="21"/>
  <c r="AB23" i="21"/>
  <c r="AB32" i="21"/>
  <c r="AB4" i="21"/>
  <c r="AB35" i="21"/>
  <c r="AB47" i="21"/>
  <c r="AB63" i="21"/>
  <c r="AB41" i="21"/>
  <c r="AB17" i="21"/>
  <c r="AB5" i="21"/>
  <c r="AB24" i="21"/>
  <c r="AB59" i="21"/>
  <c r="AB22" i="21"/>
  <c r="AB52" i="21"/>
  <c r="AB7" i="21"/>
  <c r="AB11" i="21"/>
  <c r="AB67" i="21"/>
  <c r="AB31" i="21"/>
  <c r="AB49" i="21"/>
  <c r="AB39" i="21"/>
  <c r="AB19" i="21"/>
  <c r="AB33" i="21"/>
  <c r="AB21" i="21"/>
  <c r="AB40" i="21"/>
  <c r="AB64" i="21"/>
  <c r="AB34" i="21"/>
  <c r="AB55" i="21"/>
  <c r="AB44" i="21"/>
  <c r="AB29" i="21"/>
  <c r="AB20" i="21"/>
  <c r="AB57" i="21"/>
  <c r="AB13" i="21"/>
  <c r="J205" i="2"/>
  <c r="I190" i="17" s="1"/>
  <c r="K52" i="20" l="1"/>
  <c r="J7" i="20"/>
  <c r="K35" i="20"/>
  <c r="J56" i="21"/>
  <c r="L56" i="21" s="1"/>
  <c r="K56" i="21" l="1"/>
  <c r="B210" i="6" l="1"/>
  <c r="C210" i="6"/>
  <c r="D210" i="6"/>
  <c r="B211" i="6"/>
  <c r="C211" i="6"/>
  <c r="D211" i="6"/>
  <c r="B212" i="6"/>
  <c r="C212" i="6"/>
  <c r="D212" i="6"/>
  <c r="B213" i="6"/>
  <c r="C213" i="6"/>
  <c r="D213" i="6"/>
  <c r="B214" i="6"/>
  <c r="C214" i="6"/>
  <c r="D214" i="6"/>
  <c r="B215" i="6"/>
  <c r="C215" i="6"/>
  <c r="D215" i="6"/>
  <c r="B216" i="6"/>
  <c r="C216" i="6"/>
  <c r="D216" i="6"/>
  <c r="B217" i="6"/>
  <c r="C217" i="6"/>
  <c r="D217" i="6"/>
  <c r="B218" i="6"/>
  <c r="C218" i="6"/>
  <c r="D218" i="6"/>
  <c r="B219" i="6"/>
  <c r="C219" i="6"/>
  <c r="D219" i="6"/>
  <c r="B220" i="6"/>
  <c r="C220" i="6"/>
  <c r="D220" i="6"/>
  <c r="B221" i="6"/>
  <c r="C221" i="6"/>
  <c r="D221" i="6"/>
  <c r="B222" i="6"/>
  <c r="C222" i="6"/>
  <c r="D222" i="6"/>
  <c r="B223" i="6"/>
  <c r="C223" i="6"/>
  <c r="D223" i="6"/>
  <c r="B224" i="6"/>
  <c r="C224" i="6"/>
  <c r="D224" i="6"/>
  <c r="B225" i="6"/>
  <c r="C225" i="6"/>
  <c r="D225" i="6"/>
  <c r="B226" i="6"/>
  <c r="C226" i="6"/>
  <c r="D226" i="6"/>
  <c r="B227" i="6"/>
  <c r="C227" i="6"/>
  <c r="D227" i="6"/>
  <c r="B228" i="6"/>
  <c r="C228" i="6"/>
  <c r="D228" i="6"/>
  <c r="B229" i="6"/>
  <c r="C229" i="6"/>
  <c r="D229" i="6"/>
  <c r="B230" i="6"/>
  <c r="C230" i="6"/>
  <c r="D230" i="6"/>
  <c r="B231" i="6"/>
  <c r="C231" i="6"/>
  <c r="D231" i="6"/>
  <c r="B232" i="6"/>
  <c r="C232" i="6"/>
  <c r="D232" i="6"/>
  <c r="B233" i="6"/>
  <c r="C233" i="6"/>
  <c r="D233" i="6"/>
  <c r="B234" i="6"/>
  <c r="C234" i="6"/>
  <c r="D234"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Z129" i="33"/>
  <c r="AA129" i="33"/>
  <c r="Z130" i="33"/>
  <c r="AA130" i="33"/>
  <c r="Z131" i="33"/>
  <c r="AA131" i="33"/>
  <c r="Z132" i="33"/>
  <c r="AA132" i="33"/>
  <c r="Z133" i="33"/>
  <c r="AA133" i="33"/>
  <c r="Z134" i="33"/>
  <c r="AA134" i="33"/>
  <c r="Z135" i="33"/>
  <c r="AA135" i="33"/>
  <c r="Z136" i="33"/>
  <c r="AA136" i="33"/>
  <c r="Z137" i="33"/>
  <c r="AA137" i="33"/>
  <c r="Z138" i="33"/>
  <c r="AA138" i="33"/>
  <c r="Z139" i="33"/>
  <c r="AA139" i="33"/>
  <c r="Z140" i="33"/>
  <c r="AA140" i="33"/>
  <c r="Z141" i="33"/>
  <c r="AA141" i="33"/>
  <c r="Z142" i="33"/>
  <c r="AA142" i="33"/>
  <c r="Z143" i="33"/>
  <c r="AA143" i="33"/>
  <c r="Z144" i="33"/>
  <c r="AA144" i="33"/>
  <c r="Z145" i="33"/>
  <c r="AA145" i="33"/>
  <c r="Z146" i="33"/>
  <c r="AA146" i="33"/>
  <c r="Z147" i="33"/>
  <c r="AA147" i="33"/>
  <c r="Z148" i="33"/>
  <c r="AA148" i="33"/>
  <c r="Z149" i="33"/>
  <c r="AA149" i="33"/>
  <c r="Z150" i="33"/>
  <c r="AA150" i="33"/>
  <c r="Z151" i="33"/>
  <c r="AA151" i="33"/>
  <c r="Z152" i="33"/>
  <c r="AA152" i="33"/>
  <c r="Z153" i="33"/>
  <c r="AA153" i="33"/>
  <c r="Z154" i="33"/>
  <c r="AA154" i="33"/>
  <c r="Z155" i="33"/>
  <c r="AA155" i="33"/>
  <c r="Z156" i="33"/>
  <c r="AA156" i="33"/>
  <c r="Z157" i="33"/>
  <c r="AA157" i="33"/>
  <c r="Z158" i="33"/>
  <c r="AA158" i="33"/>
  <c r="Z159" i="33"/>
  <c r="AA159" i="33"/>
  <c r="Z160" i="33"/>
  <c r="AA160" i="33"/>
  <c r="Z161" i="33"/>
  <c r="AA161" i="33"/>
  <c r="Z162" i="33"/>
  <c r="AA162" i="33"/>
  <c r="Z163" i="33"/>
  <c r="AA163" i="33"/>
  <c r="Z164" i="33"/>
  <c r="AA164" i="33"/>
  <c r="Z165" i="33"/>
  <c r="AA165" i="33"/>
  <c r="Z166" i="33"/>
  <c r="AA166" i="33"/>
  <c r="Z167" i="33"/>
  <c r="AA167" i="33"/>
  <c r="Z168" i="33"/>
  <c r="AA168" i="33"/>
  <c r="Z169" i="33"/>
  <c r="AA169" i="33"/>
  <c r="Z170" i="33"/>
  <c r="AA170" i="33"/>
  <c r="Z171" i="33"/>
  <c r="AA171" i="33"/>
  <c r="Z172" i="33"/>
  <c r="AA172" i="33"/>
  <c r="Z173" i="33"/>
  <c r="AA173" i="33"/>
  <c r="Z174" i="33"/>
  <c r="AA174" i="33"/>
  <c r="Z175" i="33"/>
  <c r="AA175" i="33"/>
  <c r="Z176" i="33"/>
  <c r="AA176" i="33"/>
  <c r="Z177" i="33"/>
  <c r="AA177" i="33"/>
  <c r="Z178" i="33"/>
  <c r="AA178" i="33"/>
  <c r="Z179" i="33"/>
  <c r="AA179" i="33"/>
  <c r="Z180" i="33"/>
  <c r="AA180" i="33"/>
  <c r="Z181" i="33"/>
  <c r="AA181" i="33"/>
  <c r="Z182" i="33"/>
  <c r="AA182" i="33"/>
  <c r="Z183" i="33"/>
  <c r="AA183" i="33"/>
  <c r="Z184" i="33"/>
  <c r="AA184" i="33"/>
  <c r="Z185" i="33"/>
  <c r="AA185" i="33"/>
  <c r="Z186" i="33"/>
  <c r="AA186" i="33"/>
  <c r="Z187" i="33"/>
  <c r="AA187" i="33"/>
  <c r="Z188" i="33"/>
  <c r="AA188" i="33"/>
  <c r="Z189" i="33"/>
  <c r="AA189" i="33"/>
  <c r="Z190" i="33"/>
  <c r="AA190" i="33"/>
  <c r="Z191" i="33"/>
  <c r="AA191" i="33"/>
  <c r="Z192" i="33"/>
  <c r="AA192" i="33"/>
  <c r="Z193" i="33"/>
  <c r="AA193" i="33"/>
  <c r="Z194" i="33"/>
  <c r="AA194" i="33"/>
  <c r="Z195" i="33"/>
  <c r="AA195" i="33"/>
  <c r="Z196" i="33"/>
  <c r="AA196" i="33"/>
  <c r="Z197" i="33"/>
  <c r="AA197" i="33"/>
  <c r="B186" i="6"/>
  <c r="D194" i="6"/>
  <c r="D195" i="6"/>
  <c r="D196" i="6"/>
  <c r="D197" i="6"/>
  <c r="D198" i="6"/>
  <c r="D199" i="6"/>
  <c r="D200" i="6"/>
  <c r="D201" i="6"/>
  <c r="D202" i="6"/>
  <c r="D203" i="6"/>
  <c r="D204" i="6"/>
  <c r="D205" i="6"/>
  <c r="D206" i="6"/>
  <c r="B191" i="6"/>
  <c r="C191" i="6"/>
  <c r="D191" i="6"/>
  <c r="A206"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137" i="6"/>
  <c r="AV173" i="2"/>
  <c r="AW173" i="2"/>
  <c r="AX173" i="2"/>
  <c r="AY173" i="2"/>
  <c r="AU173" i="2"/>
  <c r="U151" i="33" a="1"/>
  <c r="U151" i="33" s="1"/>
  <c r="ES181" i="33"/>
  <c r="ES182" i="33"/>
  <c r="CF182" i="33"/>
  <c r="CG182" i="33"/>
  <c r="CH182" i="33"/>
  <c r="CI182" i="33"/>
  <c r="CJ182" i="33"/>
  <c r="CK182" i="33"/>
  <c r="CL182" i="33"/>
  <c r="CM182" i="33"/>
  <c r="DU182" i="33"/>
  <c r="DV182" i="33"/>
  <c r="DW182" i="33"/>
  <c r="DX182" i="33"/>
  <c r="DY182" i="33"/>
  <c r="DZ182" i="33"/>
  <c r="EA182" i="33"/>
  <c r="EB182" i="33"/>
  <c r="DE141" i="33"/>
  <c r="DF141" i="33"/>
  <c r="DE142" i="33"/>
  <c r="DF142" i="33"/>
  <c r="DE143" i="33"/>
  <c r="DF143" i="33"/>
  <c r="DE144" i="33"/>
  <c r="DF144" i="33"/>
  <c r="DE145" i="33"/>
  <c r="DF145" i="33"/>
  <c r="DE146" i="33"/>
  <c r="DF146" i="33"/>
  <c r="DE147" i="33"/>
  <c r="DF147" i="33"/>
  <c r="DE148" i="33"/>
  <c r="DF148" i="33"/>
  <c r="DE149" i="33"/>
  <c r="DF149" i="33"/>
  <c r="DE150" i="33"/>
  <c r="DF150" i="33"/>
  <c r="DE151" i="33"/>
  <c r="DF151" i="33"/>
  <c r="DE152" i="33"/>
  <c r="DF152" i="33"/>
  <c r="DE153" i="33"/>
  <c r="DF153" i="33"/>
  <c r="DE154" i="33"/>
  <c r="DF154" i="33"/>
  <c r="DE155" i="33"/>
  <c r="DF155" i="33"/>
  <c r="DE156" i="33"/>
  <c r="DF156" i="33"/>
  <c r="DE157" i="33"/>
  <c r="DF157" i="33"/>
  <c r="DE158" i="33"/>
  <c r="DF158" i="33"/>
  <c r="DE159" i="33"/>
  <c r="DF159" i="33"/>
  <c r="DE160" i="33"/>
  <c r="DF160" i="33"/>
  <c r="DE161" i="33"/>
  <c r="DF161" i="33"/>
  <c r="DE162" i="33"/>
  <c r="DF162" i="33"/>
  <c r="DE163" i="33"/>
  <c r="DF163" i="33"/>
  <c r="DE164" i="33"/>
  <c r="DF164" i="33"/>
  <c r="DE165" i="33"/>
  <c r="DF165" i="33"/>
  <c r="DE166" i="33"/>
  <c r="DF166" i="33"/>
  <c r="DE167" i="33"/>
  <c r="DF167" i="33"/>
  <c r="DE170" i="33"/>
  <c r="DF170" i="33"/>
  <c r="DE171" i="33"/>
  <c r="DF171" i="33"/>
  <c r="DE172" i="33"/>
  <c r="DF172" i="33"/>
  <c r="DE173" i="33"/>
  <c r="DF173" i="33"/>
  <c r="DE174" i="33"/>
  <c r="DF174" i="33"/>
  <c r="DE175" i="33"/>
  <c r="DF175" i="33"/>
  <c r="DE176" i="33"/>
  <c r="DF176" i="33"/>
  <c r="DE177" i="33"/>
  <c r="DF177" i="33"/>
  <c r="DE178" i="33"/>
  <c r="DF178" i="33"/>
  <c r="DE179" i="33"/>
  <c r="DF179" i="33"/>
  <c r="DE180" i="33"/>
  <c r="DF180" i="33"/>
  <c r="DE181" i="33"/>
  <c r="DF181" i="33"/>
  <c r="DE182" i="33"/>
  <c r="DM182" i="33" s="1"/>
  <c r="DF182" i="33"/>
  <c r="DN182" i="33" s="1"/>
  <c r="DE183" i="33"/>
  <c r="DF183" i="33"/>
  <c r="DE184" i="33"/>
  <c r="DF184" i="33"/>
  <c r="DE185" i="33"/>
  <c r="DF185" i="33"/>
  <c r="DE186" i="33"/>
  <c r="DF186" i="33"/>
  <c r="DE187" i="33"/>
  <c r="DF187" i="33"/>
  <c r="DE188" i="33"/>
  <c r="DF188" i="33"/>
  <c r="DE189" i="33"/>
  <c r="DF189" i="33"/>
  <c r="DE190" i="33"/>
  <c r="DF190" i="33"/>
  <c r="DE191" i="33"/>
  <c r="DF191" i="33"/>
  <c r="DE192" i="33"/>
  <c r="DF192" i="33"/>
  <c r="DE193" i="33"/>
  <c r="DF193" i="33"/>
  <c r="DE194" i="33"/>
  <c r="DF194" i="33"/>
  <c r="DE195" i="33"/>
  <c r="DF195" i="33"/>
  <c r="DE197" i="33"/>
  <c r="DE196" i="33"/>
  <c r="DE168" i="33"/>
  <c r="DF168" i="33"/>
  <c r="DE169" i="33"/>
  <c r="DF169" i="33"/>
  <c r="BR61" i="33"/>
  <c r="BP14" i="33"/>
  <c r="BQ14" i="33"/>
  <c r="BR14" i="33"/>
  <c r="BS14" i="33"/>
  <c r="BT14" i="33"/>
  <c r="BU14" i="33"/>
  <c r="BV14" i="33"/>
  <c r="BW14" i="33"/>
  <c r="BP15" i="33"/>
  <c r="BQ15" i="33"/>
  <c r="BR15" i="33"/>
  <c r="BS15" i="33"/>
  <c r="BT15" i="33"/>
  <c r="BU15" i="33"/>
  <c r="BV15" i="33"/>
  <c r="BW15" i="33"/>
  <c r="BP16" i="33"/>
  <c r="BQ16" i="33"/>
  <c r="BR16" i="33"/>
  <c r="BS16" i="33"/>
  <c r="BT16" i="33"/>
  <c r="BU16" i="33"/>
  <c r="BV16" i="33"/>
  <c r="BW16" i="33"/>
  <c r="BP17" i="33"/>
  <c r="BQ17" i="33"/>
  <c r="BR17" i="33"/>
  <c r="BS17" i="33"/>
  <c r="BT17" i="33"/>
  <c r="BU17" i="33"/>
  <c r="BV17" i="33"/>
  <c r="BW17" i="33"/>
  <c r="BP18" i="33"/>
  <c r="BQ18" i="33"/>
  <c r="BR18" i="33"/>
  <c r="BS18" i="33"/>
  <c r="BT18" i="33"/>
  <c r="BU18" i="33"/>
  <c r="BV18" i="33"/>
  <c r="BW18" i="33"/>
  <c r="BP19" i="33"/>
  <c r="BQ19" i="33"/>
  <c r="BR19" i="33"/>
  <c r="BS19" i="33"/>
  <c r="BT19" i="33"/>
  <c r="BU19" i="33"/>
  <c r="BV19" i="33"/>
  <c r="BW19" i="33"/>
  <c r="BP20" i="33"/>
  <c r="BQ20" i="33"/>
  <c r="BR20" i="33"/>
  <c r="BS20" i="33"/>
  <c r="BT20" i="33"/>
  <c r="BU20" i="33"/>
  <c r="BV20" i="33"/>
  <c r="BW20" i="33"/>
  <c r="BP21" i="33"/>
  <c r="BQ21" i="33"/>
  <c r="BR21" i="33"/>
  <c r="BS21" i="33"/>
  <c r="BT21" i="33"/>
  <c r="BU21" i="33"/>
  <c r="BV21" i="33"/>
  <c r="BW21" i="33"/>
  <c r="BP22" i="33"/>
  <c r="BQ22" i="33"/>
  <c r="BR22" i="33"/>
  <c r="BS22" i="33"/>
  <c r="BT22" i="33"/>
  <c r="BU22" i="33"/>
  <c r="BV22" i="33"/>
  <c r="BW22" i="33"/>
  <c r="BP23" i="33"/>
  <c r="BQ23" i="33"/>
  <c r="BR23" i="33"/>
  <c r="BS23" i="33"/>
  <c r="BT23" i="33"/>
  <c r="BU23" i="33"/>
  <c r="BV23" i="33"/>
  <c r="BW23" i="33"/>
  <c r="BP24" i="33"/>
  <c r="BQ24" i="33"/>
  <c r="BR24" i="33"/>
  <c r="BS24" i="33"/>
  <c r="BT24" i="33"/>
  <c r="BU24" i="33"/>
  <c r="BV24" i="33"/>
  <c r="BW24" i="33"/>
  <c r="BP25" i="33"/>
  <c r="BQ25" i="33"/>
  <c r="BR25" i="33"/>
  <c r="BS25" i="33"/>
  <c r="BT25" i="33"/>
  <c r="BU25" i="33"/>
  <c r="BV25" i="33"/>
  <c r="BW25" i="33"/>
  <c r="BP26" i="33"/>
  <c r="BQ26" i="33"/>
  <c r="BR26" i="33"/>
  <c r="BS26" i="33"/>
  <c r="BT26" i="33"/>
  <c r="BU26" i="33"/>
  <c r="BV26" i="33"/>
  <c r="BW26" i="33"/>
  <c r="BP27" i="33"/>
  <c r="BQ27" i="33"/>
  <c r="BR27" i="33"/>
  <c r="BS27" i="33"/>
  <c r="BT27" i="33"/>
  <c r="BU27" i="33"/>
  <c r="BV27" i="33"/>
  <c r="BW27" i="33"/>
  <c r="BP28" i="33"/>
  <c r="BQ28" i="33"/>
  <c r="BR28" i="33"/>
  <c r="BS28" i="33"/>
  <c r="BT28" i="33"/>
  <c r="BU28" i="33"/>
  <c r="BV28" i="33"/>
  <c r="BW28" i="33"/>
  <c r="BP29" i="33"/>
  <c r="BQ29" i="33"/>
  <c r="BR29" i="33"/>
  <c r="BS29" i="33"/>
  <c r="BT29" i="33"/>
  <c r="BU29" i="33"/>
  <c r="BV29" i="33"/>
  <c r="BW29" i="33"/>
  <c r="BP30" i="33"/>
  <c r="BQ30" i="33"/>
  <c r="BR30" i="33"/>
  <c r="BS30" i="33"/>
  <c r="BT30" i="33"/>
  <c r="BU30" i="33"/>
  <c r="BV30" i="33"/>
  <c r="BW30" i="33"/>
  <c r="BP31" i="33"/>
  <c r="BQ31" i="33"/>
  <c r="BR31" i="33"/>
  <c r="BS31" i="33"/>
  <c r="BT31" i="33"/>
  <c r="BU31" i="33"/>
  <c r="BV31" i="33"/>
  <c r="BW31" i="33"/>
  <c r="BP32" i="33"/>
  <c r="BQ32" i="33"/>
  <c r="BR32" i="33"/>
  <c r="BS32" i="33"/>
  <c r="BT32" i="33"/>
  <c r="BU32" i="33"/>
  <c r="BV32" i="33"/>
  <c r="BW32" i="33"/>
  <c r="BP33" i="33"/>
  <c r="BQ33" i="33"/>
  <c r="BR33" i="33"/>
  <c r="BS33" i="33"/>
  <c r="BT33" i="33"/>
  <c r="BU33" i="33"/>
  <c r="BV33" i="33"/>
  <c r="BW33" i="33"/>
  <c r="BP34" i="33"/>
  <c r="BQ34" i="33"/>
  <c r="BR34" i="33"/>
  <c r="BS34" i="33"/>
  <c r="BT34" i="33"/>
  <c r="BU34" i="33"/>
  <c r="BV34" i="33"/>
  <c r="BW34" i="33"/>
  <c r="BP35" i="33"/>
  <c r="BQ35" i="33"/>
  <c r="BR35" i="33"/>
  <c r="BS35" i="33"/>
  <c r="BT35" i="33"/>
  <c r="BU35" i="33"/>
  <c r="BV35" i="33"/>
  <c r="BW35" i="33"/>
  <c r="BP36" i="33"/>
  <c r="BQ36" i="33"/>
  <c r="BR36" i="33"/>
  <c r="BS36" i="33"/>
  <c r="BT36" i="33"/>
  <c r="BU36" i="33"/>
  <c r="BV36" i="33"/>
  <c r="BW36" i="33"/>
  <c r="BP37" i="33"/>
  <c r="BQ37" i="33"/>
  <c r="BR37" i="33"/>
  <c r="BS37" i="33"/>
  <c r="BT37" i="33"/>
  <c r="BU37" i="33"/>
  <c r="BV37" i="33"/>
  <c r="BW37" i="33"/>
  <c r="BP38" i="33"/>
  <c r="BQ38" i="33"/>
  <c r="BR38" i="33"/>
  <c r="BS38" i="33"/>
  <c r="BT38" i="33"/>
  <c r="BU38" i="33"/>
  <c r="BV38" i="33"/>
  <c r="BW38" i="33"/>
  <c r="BP39" i="33"/>
  <c r="BQ39" i="33"/>
  <c r="BR39" i="33"/>
  <c r="BS39" i="33"/>
  <c r="BT39" i="33"/>
  <c r="BU39" i="33"/>
  <c r="BV39" i="33"/>
  <c r="BW39" i="33"/>
  <c r="BP40" i="33"/>
  <c r="BQ40" i="33"/>
  <c r="BR40" i="33"/>
  <c r="BS40" i="33"/>
  <c r="BT40" i="33"/>
  <c r="BU40" i="33"/>
  <c r="BV40" i="33"/>
  <c r="BW40" i="33"/>
  <c r="BP41" i="33"/>
  <c r="BQ41" i="33"/>
  <c r="BR41" i="33"/>
  <c r="BS41" i="33"/>
  <c r="BT41" i="33"/>
  <c r="BU41" i="33"/>
  <c r="BV41" i="33"/>
  <c r="BW41" i="33"/>
  <c r="BP42" i="33"/>
  <c r="BQ42" i="33"/>
  <c r="BR42" i="33"/>
  <c r="BS42" i="33"/>
  <c r="BT42" i="33"/>
  <c r="BU42" i="33"/>
  <c r="BV42" i="33"/>
  <c r="BW42" i="33"/>
  <c r="BP43" i="33"/>
  <c r="BQ43" i="33"/>
  <c r="BR43" i="33"/>
  <c r="BS43" i="33"/>
  <c r="BT43" i="33"/>
  <c r="BU43" i="33"/>
  <c r="BV43" i="33"/>
  <c r="BW43" i="33"/>
  <c r="BP44" i="33"/>
  <c r="BQ44" i="33"/>
  <c r="BR44" i="33"/>
  <c r="BS44" i="33"/>
  <c r="BT44" i="33"/>
  <c r="BU44" i="33"/>
  <c r="BV44" i="33"/>
  <c r="BW44" i="33"/>
  <c r="BP45" i="33"/>
  <c r="BQ45" i="33"/>
  <c r="BR45" i="33"/>
  <c r="BS45" i="33"/>
  <c r="BT45" i="33"/>
  <c r="BU45" i="33"/>
  <c r="BV45" i="33"/>
  <c r="BW45" i="33"/>
  <c r="BP46" i="33"/>
  <c r="BQ46" i="33"/>
  <c r="BR46" i="33"/>
  <c r="BS46" i="33"/>
  <c r="BT46" i="33"/>
  <c r="BU46" i="33"/>
  <c r="BV46" i="33"/>
  <c r="BW46" i="33"/>
  <c r="BP47" i="33"/>
  <c r="BQ47" i="33"/>
  <c r="BR47" i="33"/>
  <c r="BS47" i="33"/>
  <c r="BT47" i="33"/>
  <c r="BU47" i="33"/>
  <c r="BV47" i="33"/>
  <c r="BW47" i="33"/>
  <c r="BP48" i="33"/>
  <c r="BQ48" i="33"/>
  <c r="BR48" i="33"/>
  <c r="BS48" i="33"/>
  <c r="BT48" i="33"/>
  <c r="BU48" i="33"/>
  <c r="BV48" i="33"/>
  <c r="BW48" i="33"/>
  <c r="BP49" i="33"/>
  <c r="BQ49" i="33"/>
  <c r="BR49" i="33"/>
  <c r="BS49" i="33"/>
  <c r="BT49" i="33"/>
  <c r="BU49" i="33"/>
  <c r="BV49" i="33"/>
  <c r="BW49" i="33"/>
  <c r="BP50" i="33"/>
  <c r="BQ50" i="33"/>
  <c r="BR50" i="33"/>
  <c r="BS50" i="33"/>
  <c r="BT50" i="33"/>
  <c r="BU50" i="33"/>
  <c r="BV50" i="33"/>
  <c r="BW50" i="33"/>
  <c r="BP51" i="33"/>
  <c r="BQ51" i="33"/>
  <c r="BR51" i="33"/>
  <c r="BS51" i="33"/>
  <c r="BT51" i="33"/>
  <c r="BU51" i="33"/>
  <c r="BV51" i="33"/>
  <c r="BW51" i="33"/>
  <c r="BP52" i="33"/>
  <c r="BQ52" i="33"/>
  <c r="BR52" i="33"/>
  <c r="BS52" i="33"/>
  <c r="BT52" i="33"/>
  <c r="BU52" i="33"/>
  <c r="BV52" i="33"/>
  <c r="BW52" i="33"/>
  <c r="BP53" i="33"/>
  <c r="BQ53" i="33"/>
  <c r="BR53" i="33"/>
  <c r="BS53" i="33"/>
  <c r="BT53" i="33"/>
  <c r="BU53" i="33"/>
  <c r="BV53" i="33"/>
  <c r="BW53" i="33"/>
  <c r="BP54" i="33"/>
  <c r="BQ54" i="33"/>
  <c r="BR54" i="33"/>
  <c r="BS54" i="33"/>
  <c r="BT54" i="33"/>
  <c r="BU54" i="33"/>
  <c r="BV54" i="33"/>
  <c r="BW54" i="33"/>
  <c r="BP55" i="33"/>
  <c r="BQ55" i="33"/>
  <c r="BR55" i="33"/>
  <c r="BS55" i="33"/>
  <c r="BT55" i="33"/>
  <c r="BU55" i="33"/>
  <c r="BV55" i="33"/>
  <c r="BW55" i="33"/>
  <c r="BP56" i="33"/>
  <c r="BQ56" i="33"/>
  <c r="BR56" i="33"/>
  <c r="BS56" i="33"/>
  <c r="BT56" i="33"/>
  <c r="BU56" i="33"/>
  <c r="BV56" i="33"/>
  <c r="BW56" i="33"/>
  <c r="BP57" i="33"/>
  <c r="BQ57" i="33"/>
  <c r="BR57" i="33"/>
  <c r="BS57" i="33"/>
  <c r="BT57" i="33"/>
  <c r="BU57" i="33"/>
  <c r="BV57" i="33"/>
  <c r="BW57" i="33"/>
  <c r="BP58" i="33"/>
  <c r="BQ58" i="33"/>
  <c r="BR58" i="33"/>
  <c r="BS58" i="33"/>
  <c r="BT58" i="33"/>
  <c r="BU58" i="33"/>
  <c r="BV58" i="33"/>
  <c r="BW58" i="33"/>
  <c r="BP59" i="33"/>
  <c r="BQ59" i="33"/>
  <c r="BR59" i="33"/>
  <c r="BS59" i="33"/>
  <c r="BT59" i="33"/>
  <c r="BU59" i="33"/>
  <c r="BV59" i="33"/>
  <c r="BW59" i="33"/>
  <c r="BP60" i="33"/>
  <c r="BQ60" i="33"/>
  <c r="BR60" i="33"/>
  <c r="BS60" i="33"/>
  <c r="BT60" i="33"/>
  <c r="BU60" i="33"/>
  <c r="BV60" i="33"/>
  <c r="BW60" i="33"/>
  <c r="BP61" i="33"/>
  <c r="BQ61" i="33"/>
  <c r="BS61" i="33"/>
  <c r="BT61" i="33"/>
  <c r="BU61" i="33"/>
  <c r="BV61" i="33"/>
  <c r="BW61" i="33"/>
  <c r="BP62" i="33"/>
  <c r="BQ62" i="33"/>
  <c r="BR62" i="33"/>
  <c r="BS62" i="33"/>
  <c r="BT62" i="33"/>
  <c r="BU62" i="33"/>
  <c r="BV62" i="33"/>
  <c r="BW62" i="33"/>
  <c r="BP63" i="33"/>
  <c r="BQ63" i="33"/>
  <c r="BR63" i="33"/>
  <c r="BS63" i="33"/>
  <c r="BT63" i="33"/>
  <c r="BU63" i="33"/>
  <c r="BV63" i="33"/>
  <c r="BW63" i="33"/>
  <c r="BP64" i="33"/>
  <c r="BQ64" i="33"/>
  <c r="BR64" i="33"/>
  <c r="BS64" i="33"/>
  <c r="BT64" i="33"/>
  <c r="BU64" i="33"/>
  <c r="BV64" i="33"/>
  <c r="BW64" i="33"/>
  <c r="BP65" i="33"/>
  <c r="BQ65" i="33"/>
  <c r="BR65" i="33"/>
  <c r="BS65" i="33"/>
  <c r="BT65" i="33"/>
  <c r="BU65" i="33"/>
  <c r="BV65" i="33"/>
  <c r="BW65" i="33"/>
  <c r="BP66" i="33"/>
  <c r="BQ66" i="33"/>
  <c r="BR66" i="33"/>
  <c r="BS66" i="33"/>
  <c r="BT66" i="33"/>
  <c r="BU66" i="33"/>
  <c r="BV66" i="33"/>
  <c r="BW66" i="33"/>
  <c r="BP67" i="33"/>
  <c r="BQ67" i="33"/>
  <c r="BR67" i="33"/>
  <c r="BS67" i="33"/>
  <c r="BT67" i="33"/>
  <c r="BU67" i="33"/>
  <c r="BV67" i="33"/>
  <c r="BW67" i="33"/>
  <c r="BP70" i="33"/>
  <c r="BQ70" i="33"/>
  <c r="BR70" i="33"/>
  <c r="BS70" i="33"/>
  <c r="BT70" i="33"/>
  <c r="BU70" i="33"/>
  <c r="BV70" i="33"/>
  <c r="BW70" i="33"/>
  <c r="BP71" i="33"/>
  <c r="BQ71" i="33"/>
  <c r="BR71" i="33"/>
  <c r="BS71" i="33"/>
  <c r="BT71" i="33"/>
  <c r="BU71" i="33"/>
  <c r="BV71" i="33"/>
  <c r="BW71" i="33"/>
  <c r="BP72" i="33"/>
  <c r="BQ72" i="33"/>
  <c r="BR72" i="33"/>
  <c r="BS72" i="33"/>
  <c r="BT72" i="33"/>
  <c r="BU72" i="33"/>
  <c r="BV72" i="33"/>
  <c r="BW72" i="33"/>
  <c r="BP73" i="33"/>
  <c r="BQ73" i="33"/>
  <c r="BR73" i="33"/>
  <c r="BS73" i="33"/>
  <c r="BT73" i="33"/>
  <c r="BU73" i="33"/>
  <c r="BV73" i="33"/>
  <c r="BW73" i="33"/>
  <c r="BP74" i="33"/>
  <c r="BQ74" i="33"/>
  <c r="BR74" i="33"/>
  <c r="BS74" i="33"/>
  <c r="BT74" i="33"/>
  <c r="BU74" i="33"/>
  <c r="BV74" i="33"/>
  <c r="BW74" i="33"/>
  <c r="BP75" i="33"/>
  <c r="BQ75" i="33"/>
  <c r="BR75" i="33"/>
  <c r="BS75" i="33"/>
  <c r="BT75" i="33"/>
  <c r="BU75" i="33"/>
  <c r="BV75" i="33"/>
  <c r="BW75" i="33"/>
  <c r="BP76" i="33"/>
  <c r="BQ76" i="33"/>
  <c r="BR76" i="33"/>
  <c r="BS76" i="33"/>
  <c r="BT76" i="33"/>
  <c r="BU76" i="33"/>
  <c r="BV76" i="33"/>
  <c r="BW76" i="33"/>
  <c r="BP77" i="33"/>
  <c r="BQ77" i="33"/>
  <c r="BR77" i="33"/>
  <c r="BS77" i="33"/>
  <c r="BT77" i="33"/>
  <c r="BU77" i="33"/>
  <c r="BV77" i="33"/>
  <c r="BW77" i="33"/>
  <c r="BP78" i="33"/>
  <c r="BQ78" i="33"/>
  <c r="BR78" i="33"/>
  <c r="BS78" i="33"/>
  <c r="BT78" i="33"/>
  <c r="BU78" i="33"/>
  <c r="BV78" i="33"/>
  <c r="BW78" i="33"/>
  <c r="BP79" i="33"/>
  <c r="BQ79" i="33"/>
  <c r="BR79" i="33"/>
  <c r="BS79" i="33"/>
  <c r="BT79" i="33"/>
  <c r="BU79" i="33"/>
  <c r="BV79" i="33"/>
  <c r="BW79" i="33"/>
  <c r="BP80" i="33"/>
  <c r="BQ80" i="33"/>
  <c r="BR80" i="33"/>
  <c r="BS80" i="33"/>
  <c r="BT80" i="33"/>
  <c r="BU80" i="33"/>
  <c r="BV80" i="33"/>
  <c r="BW80" i="33"/>
  <c r="BP81" i="33"/>
  <c r="BQ81" i="33"/>
  <c r="BR81" i="33"/>
  <c r="BS81" i="33"/>
  <c r="BT81" i="33"/>
  <c r="BU81" i="33"/>
  <c r="BV81" i="33"/>
  <c r="BW81" i="33"/>
  <c r="BP82" i="33"/>
  <c r="BQ82" i="33"/>
  <c r="BR82" i="33"/>
  <c r="BS82" i="33"/>
  <c r="BT82" i="33"/>
  <c r="BU82" i="33"/>
  <c r="BV82" i="33"/>
  <c r="BW82" i="33"/>
  <c r="BP83" i="33"/>
  <c r="BQ83" i="33"/>
  <c r="BR83" i="33"/>
  <c r="BS83" i="33"/>
  <c r="BT83" i="33"/>
  <c r="BU83" i="33"/>
  <c r="BV83" i="33"/>
  <c r="BW83" i="33"/>
  <c r="BP84" i="33"/>
  <c r="BQ84" i="33"/>
  <c r="BR84" i="33"/>
  <c r="BS84" i="33"/>
  <c r="BT84" i="33"/>
  <c r="BU84" i="33"/>
  <c r="BV84" i="33"/>
  <c r="BW84" i="33"/>
  <c r="BP85" i="33"/>
  <c r="BQ85" i="33"/>
  <c r="BR85" i="33"/>
  <c r="BS85" i="33"/>
  <c r="BT85" i="33"/>
  <c r="BU85" i="33"/>
  <c r="BV85" i="33"/>
  <c r="BW85" i="33"/>
  <c r="BP86" i="33"/>
  <c r="BQ86" i="33"/>
  <c r="BR86" i="33"/>
  <c r="BS86" i="33"/>
  <c r="BT86" i="33"/>
  <c r="BU86" i="33"/>
  <c r="BV86" i="33"/>
  <c r="BW86" i="33"/>
  <c r="BP87" i="33"/>
  <c r="BQ87" i="33"/>
  <c r="BR87" i="33"/>
  <c r="BS87" i="33"/>
  <c r="BT87" i="33"/>
  <c r="BU87" i="33"/>
  <c r="BV87" i="33"/>
  <c r="BW87" i="33"/>
  <c r="BP88" i="33"/>
  <c r="BQ88" i="33"/>
  <c r="BR88" i="33"/>
  <c r="BS88" i="33"/>
  <c r="BT88" i="33"/>
  <c r="BU88" i="33"/>
  <c r="BV88" i="33"/>
  <c r="BW88" i="33"/>
  <c r="BP89" i="33"/>
  <c r="BQ89" i="33"/>
  <c r="BR89" i="33"/>
  <c r="BS89" i="33"/>
  <c r="BT89" i="33"/>
  <c r="BU89" i="33"/>
  <c r="BV89" i="33"/>
  <c r="BW89" i="33"/>
  <c r="BP90" i="33"/>
  <c r="BQ90" i="33"/>
  <c r="BR90" i="33"/>
  <c r="BS90" i="33"/>
  <c r="BT90" i="33"/>
  <c r="BU90" i="33"/>
  <c r="BV90" i="33"/>
  <c r="BW90" i="33"/>
  <c r="BS13" i="33"/>
  <c r="BP13" i="33"/>
  <c r="DE14" i="33"/>
  <c r="DF14" i="33"/>
  <c r="DG14" i="33"/>
  <c r="DH14" i="33"/>
  <c r="DI14" i="33"/>
  <c r="DJ14" i="33"/>
  <c r="DK14" i="33"/>
  <c r="DL14" i="33"/>
  <c r="DE15" i="33"/>
  <c r="DF15" i="33"/>
  <c r="DG15" i="33"/>
  <c r="DH15" i="33"/>
  <c r="DI15" i="33"/>
  <c r="DJ15" i="33"/>
  <c r="DK15" i="33"/>
  <c r="DL15" i="33"/>
  <c r="DE16" i="33"/>
  <c r="DF16" i="33"/>
  <c r="DG16" i="33"/>
  <c r="DH16" i="33"/>
  <c r="DI16" i="33"/>
  <c r="DJ16" i="33"/>
  <c r="DK16" i="33"/>
  <c r="DL16" i="33"/>
  <c r="DE17" i="33"/>
  <c r="DF17" i="33"/>
  <c r="DG17" i="33"/>
  <c r="DH17" i="33"/>
  <c r="DI17" i="33"/>
  <c r="DJ17" i="33"/>
  <c r="DK17" i="33"/>
  <c r="DL17" i="33"/>
  <c r="DE18" i="33"/>
  <c r="DF18" i="33"/>
  <c r="DG18" i="33"/>
  <c r="DH18" i="33"/>
  <c r="DI18" i="33"/>
  <c r="DJ18" i="33"/>
  <c r="DK18" i="33"/>
  <c r="DL18" i="33"/>
  <c r="DE19" i="33"/>
  <c r="DF19" i="33"/>
  <c r="DG19" i="33"/>
  <c r="DH19" i="33"/>
  <c r="DI19" i="33"/>
  <c r="DJ19" i="33"/>
  <c r="DK19" i="33"/>
  <c r="DL19" i="33"/>
  <c r="DE20" i="33"/>
  <c r="DF20" i="33"/>
  <c r="DG20" i="33"/>
  <c r="DH20" i="33"/>
  <c r="DI20" i="33"/>
  <c r="DJ20" i="33"/>
  <c r="DK20" i="33"/>
  <c r="DL20" i="33"/>
  <c r="DE21" i="33"/>
  <c r="DF21" i="33"/>
  <c r="DG21" i="33"/>
  <c r="DH21" i="33"/>
  <c r="DI21" i="33"/>
  <c r="DJ21" i="33"/>
  <c r="DK21" i="33"/>
  <c r="DL21" i="33"/>
  <c r="DE22" i="33"/>
  <c r="DF22" i="33"/>
  <c r="DG22" i="33"/>
  <c r="DH22" i="33"/>
  <c r="DI22" i="33"/>
  <c r="DJ22" i="33"/>
  <c r="DK22" i="33"/>
  <c r="DL22" i="33"/>
  <c r="DE23" i="33"/>
  <c r="DF23" i="33"/>
  <c r="DG23" i="33"/>
  <c r="DH23" i="33"/>
  <c r="DI23" i="33"/>
  <c r="DJ23" i="33"/>
  <c r="DK23" i="33"/>
  <c r="DL23" i="33"/>
  <c r="DE24" i="33"/>
  <c r="DF24" i="33"/>
  <c r="DG24" i="33"/>
  <c r="DH24" i="33"/>
  <c r="DI24" i="33"/>
  <c r="DJ24" i="33"/>
  <c r="DK24" i="33"/>
  <c r="DL24" i="33"/>
  <c r="DE25" i="33"/>
  <c r="DF25" i="33"/>
  <c r="DG25" i="33"/>
  <c r="DH25" i="33"/>
  <c r="DI25" i="33"/>
  <c r="DJ25" i="33"/>
  <c r="DK25" i="33"/>
  <c r="DL25" i="33"/>
  <c r="DE26" i="33"/>
  <c r="DF26" i="33"/>
  <c r="DG26" i="33"/>
  <c r="DH26" i="33"/>
  <c r="DI26" i="33"/>
  <c r="DJ26" i="33"/>
  <c r="DK26" i="33"/>
  <c r="DL26" i="33"/>
  <c r="DE27" i="33"/>
  <c r="DF27" i="33"/>
  <c r="DG27" i="33"/>
  <c r="DH27" i="33"/>
  <c r="DI27" i="33"/>
  <c r="DJ27" i="33"/>
  <c r="DK27" i="33"/>
  <c r="DL27" i="33"/>
  <c r="DE28" i="33"/>
  <c r="DF28" i="33"/>
  <c r="DG28" i="33"/>
  <c r="DH28" i="33"/>
  <c r="DI28" i="33"/>
  <c r="DJ28" i="33"/>
  <c r="DK28" i="33"/>
  <c r="DL28" i="33"/>
  <c r="DE29" i="33"/>
  <c r="DF29" i="33"/>
  <c r="DG29" i="33"/>
  <c r="DH29" i="33"/>
  <c r="DI29" i="33"/>
  <c r="DJ29" i="33"/>
  <c r="DK29" i="33"/>
  <c r="DL29" i="33"/>
  <c r="DE30" i="33"/>
  <c r="DF30" i="33"/>
  <c r="DG30" i="33"/>
  <c r="DH30" i="33"/>
  <c r="DI30" i="33"/>
  <c r="DJ30" i="33"/>
  <c r="DK30" i="33"/>
  <c r="DL30" i="33"/>
  <c r="DE31" i="33"/>
  <c r="DF31" i="33"/>
  <c r="DG31" i="33"/>
  <c r="DH31" i="33"/>
  <c r="DI31" i="33"/>
  <c r="DJ31" i="33"/>
  <c r="DK31" i="33"/>
  <c r="DL31" i="33"/>
  <c r="DE32" i="33"/>
  <c r="DF32" i="33"/>
  <c r="DG32" i="33"/>
  <c r="DH32" i="33"/>
  <c r="DI32" i="33"/>
  <c r="DJ32" i="33"/>
  <c r="DK32" i="33"/>
  <c r="DL32" i="33"/>
  <c r="DE33" i="33"/>
  <c r="DF33" i="33"/>
  <c r="DG33" i="33"/>
  <c r="DH33" i="33"/>
  <c r="DI33" i="33"/>
  <c r="DJ33" i="33"/>
  <c r="DK33" i="33"/>
  <c r="DL33" i="33"/>
  <c r="DE34" i="33"/>
  <c r="DF34" i="33"/>
  <c r="DG34" i="33"/>
  <c r="DH34" i="33"/>
  <c r="DI34" i="33"/>
  <c r="DJ34" i="33"/>
  <c r="DK34" i="33"/>
  <c r="DL34" i="33"/>
  <c r="DE35" i="33"/>
  <c r="DF35" i="33"/>
  <c r="DG35" i="33"/>
  <c r="DH35" i="33"/>
  <c r="DI35" i="33"/>
  <c r="DJ35" i="33"/>
  <c r="DK35" i="33"/>
  <c r="DL35" i="33"/>
  <c r="DE36" i="33"/>
  <c r="DF36" i="33"/>
  <c r="DG36" i="33"/>
  <c r="DH36" i="33"/>
  <c r="DI36" i="33"/>
  <c r="DJ36" i="33"/>
  <c r="DK36" i="33"/>
  <c r="DL36" i="33"/>
  <c r="DE37" i="33"/>
  <c r="DF37" i="33"/>
  <c r="DG37" i="33"/>
  <c r="DH37" i="33"/>
  <c r="DI37" i="33"/>
  <c r="DJ37" i="33"/>
  <c r="DK37" i="33"/>
  <c r="DL37" i="33"/>
  <c r="DE38" i="33"/>
  <c r="DF38" i="33"/>
  <c r="DG38" i="33"/>
  <c r="DH38" i="33"/>
  <c r="DI38" i="33"/>
  <c r="DJ38" i="33"/>
  <c r="DK38" i="33"/>
  <c r="DL38" i="33"/>
  <c r="DE39" i="33"/>
  <c r="DF39" i="33"/>
  <c r="DG39" i="33"/>
  <c r="DH39" i="33"/>
  <c r="DI39" i="33"/>
  <c r="DJ39" i="33"/>
  <c r="DK39" i="33"/>
  <c r="DL39" i="33"/>
  <c r="DE40" i="33"/>
  <c r="DF40" i="33"/>
  <c r="DG40" i="33"/>
  <c r="DH40" i="33"/>
  <c r="DI40" i="33"/>
  <c r="DJ40" i="33"/>
  <c r="DK40" i="33"/>
  <c r="DL40" i="33"/>
  <c r="DE41" i="33"/>
  <c r="DF41" i="33"/>
  <c r="DG41" i="33"/>
  <c r="DH41" i="33"/>
  <c r="DI41" i="33"/>
  <c r="DJ41" i="33"/>
  <c r="DK41" i="33"/>
  <c r="DL41" i="33"/>
  <c r="DE42" i="33"/>
  <c r="DF42" i="33"/>
  <c r="DG42" i="33"/>
  <c r="DH42" i="33"/>
  <c r="DI42" i="33"/>
  <c r="DJ42" i="33"/>
  <c r="DK42" i="33"/>
  <c r="DL42" i="33"/>
  <c r="DE43" i="33"/>
  <c r="DF43" i="33"/>
  <c r="DG43" i="33"/>
  <c r="DH43" i="33"/>
  <c r="DI43" i="33"/>
  <c r="DJ43" i="33"/>
  <c r="DK43" i="33"/>
  <c r="DL43" i="33"/>
  <c r="DE44" i="33"/>
  <c r="DF44" i="33"/>
  <c r="DG44" i="33"/>
  <c r="DH44" i="33"/>
  <c r="DI44" i="33"/>
  <c r="DJ44" i="33"/>
  <c r="DK44" i="33"/>
  <c r="DL44" i="33"/>
  <c r="DE45" i="33"/>
  <c r="DF45" i="33"/>
  <c r="DG45" i="33"/>
  <c r="DH45" i="33"/>
  <c r="DI45" i="33"/>
  <c r="DJ45" i="33"/>
  <c r="DK45" i="33"/>
  <c r="DL45" i="33"/>
  <c r="DE46" i="33"/>
  <c r="DF46" i="33"/>
  <c r="DG46" i="33"/>
  <c r="DH46" i="33"/>
  <c r="DI46" i="33"/>
  <c r="DJ46" i="33"/>
  <c r="DK46" i="33"/>
  <c r="DL46" i="33"/>
  <c r="DE47" i="33"/>
  <c r="DF47" i="33"/>
  <c r="DG47" i="33"/>
  <c r="DH47" i="33"/>
  <c r="DI47" i="33"/>
  <c r="DJ47" i="33"/>
  <c r="DK47" i="33"/>
  <c r="DL47" i="33"/>
  <c r="DE48" i="33"/>
  <c r="DF48" i="33"/>
  <c r="DG48" i="33"/>
  <c r="DH48" i="33"/>
  <c r="DI48" i="33"/>
  <c r="DJ48" i="33"/>
  <c r="DK48" i="33"/>
  <c r="DL48" i="33"/>
  <c r="DE49" i="33"/>
  <c r="DF49" i="33"/>
  <c r="DG49" i="33"/>
  <c r="DH49" i="33"/>
  <c r="DI49" i="33"/>
  <c r="DJ49" i="33"/>
  <c r="DK49" i="33"/>
  <c r="DL49" i="33"/>
  <c r="DE50" i="33"/>
  <c r="DF50" i="33"/>
  <c r="DG50" i="33"/>
  <c r="DH50" i="33"/>
  <c r="DI50" i="33"/>
  <c r="DJ50" i="33"/>
  <c r="DK50" i="33"/>
  <c r="DL50" i="33"/>
  <c r="DE51" i="33"/>
  <c r="DF51" i="33"/>
  <c r="DG51" i="33"/>
  <c r="DH51" i="33"/>
  <c r="DI51" i="33"/>
  <c r="DJ51" i="33"/>
  <c r="DK51" i="33"/>
  <c r="DL51" i="33"/>
  <c r="DE52" i="33"/>
  <c r="DF52" i="33"/>
  <c r="DG52" i="33"/>
  <c r="DH52" i="33"/>
  <c r="DI52" i="33"/>
  <c r="DJ52" i="33"/>
  <c r="DK52" i="33"/>
  <c r="DL52" i="33"/>
  <c r="DE53" i="33"/>
  <c r="DF53" i="33"/>
  <c r="DG53" i="33"/>
  <c r="DH53" i="33"/>
  <c r="DI53" i="33"/>
  <c r="DJ53" i="33"/>
  <c r="DK53" i="33"/>
  <c r="DL53" i="33"/>
  <c r="DE54" i="33"/>
  <c r="DF54" i="33"/>
  <c r="DG54" i="33"/>
  <c r="DH54" i="33"/>
  <c r="DI54" i="33"/>
  <c r="DJ54" i="33"/>
  <c r="DK54" i="33"/>
  <c r="DL54" i="33"/>
  <c r="DE55" i="33"/>
  <c r="DF55" i="33"/>
  <c r="DG55" i="33"/>
  <c r="DH55" i="33"/>
  <c r="DI55" i="33"/>
  <c r="DJ55" i="33"/>
  <c r="DK55" i="33"/>
  <c r="DL55" i="33"/>
  <c r="DE56" i="33"/>
  <c r="DF56" i="33"/>
  <c r="DG56" i="33"/>
  <c r="DH56" i="33"/>
  <c r="DI56" i="33"/>
  <c r="DJ56" i="33"/>
  <c r="DK56" i="33"/>
  <c r="DL56" i="33"/>
  <c r="DE57" i="33"/>
  <c r="DF57" i="33"/>
  <c r="DG57" i="33"/>
  <c r="DH57" i="33"/>
  <c r="DI57" i="33"/>
  <c r="DJ57" i="33"/>
  <c r="DK57" i="33"/>
  <c r="DL57" i="33"/>
  <c r="DE58" i="33"/>
  <c r="DF58" i="33"/>
  <c r="DG58" i="33"/>
  <c r="DH58" i="33"/>
  <c r="DI58" i="33"/>
  <c r="DJ58" i="33"/>
  <c r="DK58" i="33"/>
  <c r="DL58" i="33"/>
  <c r="DE59" i="33"/>
  <c r="DF59" i="33"/>
  <c r="DG59" i="33"/>
  <c r="DH59" i="33"/>
  <c r="DI59" i="33"/>
  <c r="DJ59" i="33"/>
  <c r="DK59" i="33"/>
  <c r="DL59" i="33"/>
  <c r="DE60" i="33"/>
  <c r="DF60" i="33"/>
  <c r="DG60" i="33"/>
  <c r="DH60" i="33"/>
  <c r="DI60" i="33"/>
  <c r="DJ60" i="33"/>
  <c r="DK60" i="33"/>
  <c r="DL60" i="33"/>
  <c r="DE61" i="33"/>
  <c r="DF61" i="33"/>
  <c r="DG61" i="33"/>
  <c r="DH61" i="33"/>
  <c r="DI61" i="33"/>
  <c r="DJ61" i="33"/>
  <c r="DK61" i="33"/>
  <c r="DL61" i="33"/>
  <c r="DE62" i="33"/>
  <c r="DF62" i="33"/>
  <c r="DG62" i="33"/>
  <c r="DH62" i="33"/>
  <c r="DI62" i="33"/>
  <c r="DJ62" i="33"/>
  <c r="DK62" i="33"/>
  <c r="DL62" i="33"/>
  <c r="DE63" i="33"/>
  <c r="DF63" i="33"/>
  <c r="DG63" i="33"/>
  <c r="DH63" i="33"/>
  <c r="DI63" i="33"/>
  <c r="DJ63" i="33"/>
  <c r="DK63" i="33"/>
  <c r="DL63" i="33"/>
  <c r="DE64" i="33"/>
  <c r="DF64" i="33"/>
  <c r="DG64" i="33"/>
  <c r="DH64" i="33"/>
  <c r="DI64" i="33"/>
  <c r="DJ64" i="33"/>
  <c r="DK64" i="33"/>
  <c r="DL64" i="33"/>
  <c r="DE65" i="33"/>
  <c r="DF65" i="33"/>
  <c r="DG65" i="33"/>
  <c r="DH65" i="33"/>
  <c r="DI65" i="33"/>
  <c r="DJ65" i="33"/>
  <c r="DK65" i="33"/>
  <c r="DL65" i="33"/>
  <c r="DE66" i="33"/>
  <c r="DF66" i="33"/>
  <c r="DG66" i="33"/>
  <c r="DH66" i="33"/>
  <c r="DI66" i="33"/>
  <c r="DJ66" i="33"/>
  <c r="DK66" i="33"/>
  <c r="DL66" i="33"/>
  <c r="DE67" i="33"/>
  <c r="DF67" i="33"/>
  <c r="DG67" i="33"/>
  <c r="DH67" i="33"/>
  <c r="DI67" i="33"/>
  <c r="DJ67" i="33"/>
  <c r="DK67" i="33"/>
  <c r="DL67" i="33"/>
  <c r="DL13" i="33"/>
  <c r="DK13" i="33"/>
  <c r="DJ13" i="33"/>
  <c r="DI13" i="33"/>
  <c r="DG13" i="33"/>
  <c r="DF13" i="33"/>
  <c r="DE13" i="33"/>
  <c r="DE71" i="33"/>
  <c r="DF71" i="33"/>
  <c r="DG71" i="33"/>
  <c r="DH71" i="33"/>
  <c r="DI71" i="33"/>
  <c r="DJ71" i="33"/>
  <c r="DK71" i="33"/>
  <c r="DL71" i="33"/>
  <c r="DE72" i="33"/>
  <c r="DF72" i="33"/>
  <c r="DG72" i="33"/>
  <c r="DH72" i="33"/>
  <c r="DI72" i="33"/>
  <c r="DJ72" i="33"/>
  <c r="DK72" i="33"/>
  <c r="DL72" i="33"/>
  <c r="DE73" i="33"/>
  <c r="DF73" i="33"/>
  <c r="DG73" i="33"/>
  <c r="DH73" i="33"/>
  <c r="DI73" i="33"/>
  <c r="DJ73" i="33"/>
  <c r="DK73" i="33"/>
  <c r="DL73" i="33"/>
  <c r="DE74" i="33"/>
  <c r="DF74" i="33"/>
  <c r="DG74" i="33"/>
  <c r="DH74" i="33"/>
  <c r="DI74" i="33"/>
  <c r="DJ74" i="33"/>
  <c r="DK74" i="33"/>
  <c r="DL74" i="33"/>
  <c r="DE75" i="33"/>
  <c r="DF75" i="33"/>
  <c r="DG75" i="33"/>
  <c r="DH75" i="33"/>
  <c r="DI75" i="33"/>
  <c r="DJ75" i="33"/>
  <c r="DK75" i="33"/>
  <c r="DL75" i="33"/>
  <c r="DE76" i="33"/>
  <c r="DF76" i="33"/>
  <c r="DG76" i="33"/>
  <c r="DH76" i="33"/>
  <c r="DI76" i="33"/>
  <c r="DJ76" i="33"/>
  <c r="DK76" i="33"/>
  <c r="DL76" i="33"/>
  <c r="DE77" i="33"/>
  <c r="DF77" i="33"/>
  <c r="DG77" i="33"/>
  <c r="DH77" i="33"/>
  <c r="DI77" i="33"/>
  <c r="DJ77" i="33"/>
  <c r="DK77" i="33"/>
  <c r="DL77" i="33"/>
  <c r="DE78" i="33"/>
  <c r="DF78" i="33"/>
  <c r="DG78" i="33"/>
  <c r="DH78" i="33"/>
  <c r="DI78" i="33"/>
  <c r="DJ78" i="33"/>
  <c r="DK78" i="33"/>
  <c r="DL78" i="33"/>
  <c r="DE79" i="33"/>
  <c r="DF79" i="33"/>
  <c r="DG79" i="33"/>
  <c r="DH79" i="33"/>
  <c r="DI79" i="33"/>
  <c r="DJ79" i="33"/>
  <c r="DK79" i="33"/>
  <c r="DL79" i="33"/>
  <c r="DE80" i="33"/>
  <c r="DF80" i="33"/>
  <c r="DG80" i="33"/>
  <c r="DH80" i="33"/>
  <c r="DI80" i="33"/>
  <c r="DJ80" i="33"/>
  <c r="DK80" i="33"/>
  <c r="DL80" i="33"/>
  <c r="DE81" i="33"/>
  <c r="DF81" i="33"/>
  <c r="DG81" i="33"/>
  <c r="DH81" i="33"/>
  <c r="DI81" i="33"/>
  <c r="DJ81" i="33"/>
  <c r="DK81" i="33"/>
  <c r="DL81" i="33"/>
  <c r="DE82" i="33"/>
  <c r="DF82" i="33"/>
  <c r="DG82" i="33"/>
  <c r="DH82" i="33"/>
  <c r="DI82" i="33"/>
  <c r="DJ82" i="33"/>
  <c r="DK82" i="33"/>
  <c r="DL82" i="33"/>
  <c r="DE83" i="33"/>
  <c r="DF83" i="33"/>
  <c r="DG83" i="33"/>
  <c r="DH83" i="33"/>
  <c r="DI83" i="33"/>
  <c r="DJ83" i="33"/>
  <c r="DK83" i="33"/>
  <c r="DL83" i="33"/>
  <c r="DE84" i="33"/>
  <c r="DF84" i="33"/>
  <c r="DG84" i="33"/>
  <c r="DH84" i="33"/>
  <c r="DI84" i="33"/>
  <c r="DJ84" i="33"/>
  <c r="DK84" i="33"/>
  <c r="DL84" i="33"/>
  <c r="DE85" i="33"/>
  <c r="DF85" i="33"/>
  <c r="DG85" i="33"/>
  <c r="DH85" i="33"/>
  <c r="DI85" i="33"/>
  <c r="DJ85" i="33"/>
  <c r="DK85" i="33"/>
  <c r="DL85" i="33"/>
  <c r="DE86" i="33"/>
  <c r="DF86" i="33"/>
  <c r="DG86" i="33"/>
  <c r="DH86" i="33"/>
  <c r="DI86" i="33"/>
  <c r="DJ86" i="33"/>
  <c r="DK86" i="33"/>
  <c r="DL86" i="33"/>
  <c r="DE87" i="33"/>
  <c r="DF87" i="33"/>
  <c r="DG87" i="33"/>
  <c r="DH87" i="33"/>
  <c r="DI87" i="33"/>
  <c r="DJ87" i="33"/>
  <c r="DK87" i="33"/>
  <c r="DL87" i="33"/>
  <c r="DE88" i="33"/>
  <c r="DF88" i="33"/>
  <c r="DG88" i="33"/>
  <c r="DH88" i="33"/>
  <c r="DI88" i="33"/>
  <c r="DJ88" i="33"/>
  <c r="DK88" i="33"/>
  <c r="DL88" i="33"/>
  <c r="DE89" i="33"/>
  <c r="DF89" i="33"/>
  <c r="DG89" i="33"/>
  <c r="DH89" i="33"/>
  <c r="DI89" i="33"/>
  <c r="DJ89" i="33"/>
  <c r="DK89" i="33"/>
  <c r="DL89" i="33"/>
  <c r="DE90" i="33"/>
  <c r="DF90" i="33"/>
  <c r="DG90" i="33"/>
  <c r="DH90" i="33"/>
  <c r="DI90" i="33"/>
  <c r="DJ90" i="33"/>
  <c r="DK90" i="33"/>
  <c r="DL90" i="33"/>
  <c r="DH70" i="33"/>
  <c r="DE70" i="33"/>
  <c r="BP94" i="33"/>
  <c r="BQ94" i="33"/>
  <c r="BR94" i="33"/>
  <c r="BS94" i="33"/>
  <c r="BT94" i="33"/>
  <c r="BU94" i="33"/>
  <c r="BV94" i="33"/>
  <c r="BW94" i="33"/>
  <c r="BP95" i="33"/>
  <c r="BQ95" i="33"/>
  <c r="BR95" i="33"/>
  <c r="BS95" i="33"/>
  <c r="BT95" i="33"/>
  <c r="BU95" i="33"/>
  <c r="BV95" i="33"/>
  <c r="BW95" i="33"/>
  <c r="BP96" i="33"/>
  <c r="BQ96" i="33"/>
  <c r="BR96" i="33"/>
  <c r="BS96" i="33"/>
  <c r="BT96" i="33"/>
  <c r="BU96" i="33"/>
  <c r="BV96" i="33"/>
  <c r="BW96" i="33"/>
  <c r="BP97" i="33"/>
  <c r="BQ97" i="33"/>
  <c r="BR97" i="33"/>
  <c r="BS97" i="33"/>
  <c r="BT97" i="33"/>
  <c r="BU97" i="33"/>
  <c r="BV97" i="33"/>
  <c r="BW97" i="33"/>
  <c r="BP98" i="33"/>
  <c r="BQ98" i="33"/>
  <c r="BR98" i="33"/>
  <c r="BS98" i="33"/>
  <c r="BT98" i="33"/>
  <c r="BU98" i="33"/>
  <c r="BV98" i="33"/>
  <c r="BW98" i="33"/>
  <c r="BP99" i="33"/>
  <c r="BQ99" i="33"/>
  <c r="BR99" i="33"/>
  <c r="BS99" i="33"/>
  <c r="BT99" i="33"/>
  <c r="BU99" i="33"/>
  <c r="BV99" i="33"/>
  <c r="BW99" i="33"/>
  <c r="BP100" i="33"/>
  <c r="BQ100" i="33"/>
  <c r="BR100" i="33"/>
  <c r="BS100" i="33"/>
  <c r="BT100" i="33"/>
  <c r="BU100" i="33"/>
  <c r="BV100" i="33"/>
  <c r="BW100" i="33"/>
  <c r="BP101" i="33"/>
  <c r="BQ101" i="33"/>
  <c r="BR101" i="33"/>
  <c r="BS101" i="33"/>
  <c r="BT101" i="33"/>
  <c r="BU101" i="33"/>
  <c r="BV101" i="33"/>
  <c r="BW101" i="33"/>
  <c r="BP102" i="33"/>
  <c r="BQ102" i="33"/>
  <c r="BR102" i="33"/>
  <c r="BS102" i="33"/>
  <c r="BT102" i="33"/>
  <c r="BU102" i="33"/>
  <c r="BV102" i="33"/>
  <c r="BW102" i="33"/>
  <c r="BP103" i="33"/>
  <c r="BQ103" i="33"/>
  <c r="BR103" i="33"/>
  <c r="BS103" i="33"/>
  <c r="BT103" i="33"/>
  <c r="BU103" i="33"/>
  <c r="BV103" i="33"/>
  <c r="BW103" i="33"/>
  <c r="BP104" i="33"/>
  <c r="BQ104" i="33"/>
  <c r="BR104" i="33"/>
  <c r="BS104" i="33"/>
  <c r="BT104" i="33"/>
  <c r="BU104" i="33"/>
  <c r="BV104" i="33"/>
  <c r="BW104" i="33"/>
  <c r="BP105" i="33"/>
  <c r="BQ105" i="33"/>
  <c r="BR105" i="33"/>
  <c r="BS105" i="33"/>
  <c r="BT105" i="33"/>
  <c r="BU105" i="33"/>
  <c r="BV105" i="33"/>
  <c r="BW105" i="33"/>
  <c r="BP106" i="33"/>
  <c r="BQ106" i="33"/>
  <c r="BR106" i="33"/>
  <c r="BS106" i="33"/>
  <c r="BT106" i="33"/>
  <c r="BU106" i="33"/>
  <c r="BV106" i="33"/>
  <c r="BW106" i="33"/>
  <c r="BP107" i="33"/>
  <c r="BQ107" i="33"/>
  <c r="BR107" i="33"/>
  <c r="BS107" i="33"/>
  <c r="BT107" i="33"/>
  <c r="BU107" i="33"/>
  <c r="BV107" i="33"/>
  <c r="BW107" i="33"/>
  <c r="BP108" i="33"/>
  <c r="BQ108" i="33"/>
  <c r="BR108" i="33"/>
  <c r="BS108" i="33"/>
  <c r="BT108" i="33"/>
  <c r="BU108" i="33"/>
  <c r="BV108" i="33"/>
  <c r="BW108" i="33"/>
  <c r="BP109" i="33"/>
  <c r="BQ109" i="33"/>
  <c r="BR109" i="33"/>
  <c r="BS109" i="33"/>
  <c r="BT109" i="33"/>
  <c r="BU109" i="33"/>
  <c r="BV109" i="33"/>
  <c r="BW109" i="33"/>
  <c r="BP110" i="33"/>
  <c r="BQ110" i="33"/>
  <c r="BR110" i="33"/>
  <c r="BS110" i="33"/>
  <c r="BT110" i="33"/>
  <c r="BU110" i="33"/>
  <c r="BV110" i="33"/>
  <c r="BW110" i="33"/>
  <c r="BP111" i="33"/>
  <c r="BQ111" i="33"/>
  <c r="BR111" i="33"/>
  <c r="BS111" i="33"/>
  <c r="BT111" i="33"/>
  <c r="BU111" i="33"/>
  <c r="BV111" i="33"/>
  <c r="BW111" i="33"/>
  <c r="BP112" i="33"/>
  <c r="BQ112" i="33"/>
  <c r="BR112" i="33"/>
  <c r="BS112" i="33"/>
  <c r="BT112" i="33"/>
  <c r="BU112" i="33"/>
  <c r="BV112" i="33"/>
  <c r="BW112" i="33"/>
  <c r="BP113" i="33"/>
  <c r="BQ113" i="33"/>
  <c r="BR113" i="33"/>
  <c r="BS113" i="33"/>
  <c r="BT113" i="33"/>
  <c r="BU113" i="33"/>
  <c r="BV113" i="33"/>
  <c r="BW113" i="33"/>
  <c r="BP114" i="33"/>
  <c r="BQ114" i="33"/>
  <c r="BR114" i="33"/>
  <c r="BS114" i="33"/>
  <c r="BT114" i="33"/>
  <c r="BU114" i="33"/>
  <c r="BV114" i="33"/>
  <c r="BW114" i="33"/>
  <c r="BP115" i="33"/>
  <c r="BQ115" i="33"/>
  <c r="BR115" i="33"/>
  <c r="BS115" i="33"/>
  <c r="BT115" i="33"/>
  <c r="BU115" i="33"/>
  <c r="BV115" i="33"/>
  <c r="BW115" i="33"/>
  <c r="BP116" i="33"/>
  <c r="BQ116" i="33"/>
  <c r="BR116" i="33"/>
  <c r="BS116" i="33"/>
  <c r="BT116" i="33"/>
  <c r="BU116" i="33"/>
  <c r="BV116" i="33"/>
  <c r="BW116" i="33"/>
  <c r="BP117" i="33"/>
  <c r="BQ117" i="33"/>
  <c r="BR117" i="33"/>
  <c r="BS117" i="33"/>
  <c r="BT117" i="33"/>
  <c r="BU117" i="33"/>
  <c r="BV117" i="33"/>
  <c r="BW117" i="33"/>
  <c r="BP118" i="33"/>
  <c r="BQ118" i="33"/>
  <c r="BR118" i="33"/>
  <c r="BS118" i="33"/>
  <c r="BT118" i="33"/>
  <c r="BU118" i="33"/>
  <c r="BV118" i="33"/>
  <c r="BW118" i="33"/>
  <c r="BP119" i="33"/>
  <c r="BQ119" i="33"/>
  <c r="BR119" i="33"/>
  <c r="BS119" i="33"/>
  <c r="BT119" i="33"/>
  <c r="BU119" i="33"/>
  <c r="BV119" i="33"/>
  <c r="BW119" i="33"/>
  <c r="BP120" i="33"/>
  <c r="BQ120" i="33"/>
  <c r="BR120" i="33"/>
  <c r="BS120" i="33"/>
  <c r="BT120" i="33"/>
  <c r="BU120" i="33"/>
  <c r="BV120" i="33"/>
  <c r="BW120" i="33"/>
  <c r="BP121" i="33"/>
  <c r="BQ121" i="33"/>
  <c r="BR121" i="33"/>
  <c r="BS121" i="33"/>
  <c r="BT121" i="33"/>
  <c r="BU121" i="33"/>
  <c r="BV121" i="33"/>
  <c r="BW121" i="33"/>
  <c r="BP122" i="33"/>
  <c r="BQ122" i="33"/>
  <c r="BR122" i="33"/>
  <c r="BS122" i="33"/>
  <c r="BT122" i="33"/>
  <c r="BU122" i="33"/>
  <c r="BV122" i="33"/>
  <c r="BW122" i="33"/>
  <c r="BP123" i="33"/>
  <c r="BQ123" i="33"/>
  <c r="BR123" i="33"/>
  <c r="BS123" i="33"/>
  <c r="BT123" i="33"/>
  <c r="BU123" i="33"/>
  <c r="BV123" i="33"/>
  <c r="BW123" i="33"/>
  <c r="BP124" i="33"/>
  <c r="BQ124" i="33"/>
  <c r="BR124" i="33"/>
  <c r="BS124" i="33"/>
  <c r="BT124" i="33"/>
  <c r="BU124" i="33"/>
  <c r="BV124" i="33"/>
  <c r="BW124" i="33"/>
  <c r="BS93" i="33"/>
  <c r="BP93" i="33"/>
  <c r="BP129" i="33"/>
  <c r="BQ129" i="33"/>
  <c r="BR129" i="33"/>
  <c r="BS129" i="33"/>
  <c r="BT129" i="33"/>
  <c r="BU129" i="33"/>
  <c r="BV129" i="33"/>
  <c r="BW129" i="33"/>
  <c r="BP130" i="33"/>
  <c r="BQ130" i="33"/>
  <c r="BR130" i="33"/>
  <c r="BS130" i="33"/>
  <c r="BT130" i="33"/>
  <c r="BU130" i="33"/>
  <c r="BV130" i="33"/>
  <c r="BW130" i="33"/>
  <c r="BP131" i="33"/>
  <c r="BQ131" i="33"/>
  <c r="BR131" i="33"/>
  <c r="BS131" i="33"/>
  <c r="BT131" i="33"/>
  <c r="BU131" i="33"/>
  <c r="BV131" i="33"/>
  <c r="BW131" i="33"/>
  <c r="BP132" i="33"/>
  <c r="BQ132" i="33"/>
  <c r="BR132" i="33"/>
  <c r="BS132" i="33"/>
  <c r="BT132" i="33"/>
  <c r="BU132" i="33"/>
  <c r="BV132" i="33"/>
  <c r="BW132" i="33"/>
  <c r="BP133" i="33"/>
  <c r="BQ133" i="33"/>
  <c r="BR133" i="33"/>
  <c r="BS133" i="33"/>
  <c r="BT133" i="33"/>
  <c r="BU133" i="33"/>
  <c r="BV133" i="33"/>
  <c r="BW133" i="33"/>
  <c r="BP134" i="33"/>
  <c r="BQ134" i="33"/>
  <c r="BR134" i="33"/>
  <c r="BS134" i="33"/>
  <c r="BT134" i="33"/>
  <c r="BU134" i="33"/>
  <c r="BV134" i="33"/>
  <c r="BW134" i="33"/>
  <c r="BP135" i="33"/>
  <c r="BQ135" i="33"/>
  <c r="BR135" i="33"/>
  <c r="BS135" i="33"/>
  <c r="BT135" i="33"/>
  <c r="BU135" i="33"/>
  <c r="BV135" i="33"/>
  <c r="BW135" i="33"/>
  <c r="BP136" i="33"/>
  <c r="BQ136" i="33"/>
  <c r="BR136" i="33"/>
  <c r="BS136" i="33"/>
  <c r="BT136" i="33"/>
  <c r="BU136" i="33"/>
  <c r="BV136" i="33"/>
  <c r="BW136" i="33"/>
  <c r="BP137" i="33"/>
  <c r="BQ137" i="33"/>
  <c r="BR137" i="33"/>
  <c r="BS137" i="33"/>
  <c r="BT137" i="33"/>
  <c r="BU137" i="33"/>
  <c r="BV137" i="33"/>
  <c r="BW137" i="33"/>
  <c r="BP138" i="33"/>
  <c r="BQ138" i="33"/>
  <c r="BR138" i="33"/>
  <c r="BS138" i="33"/>
  <c r="BT138" i="33"/>
  <c r="BU138" i="33"/>
  <c r="BV138" i="33"/>
  <c r="BW138" i="33"/>
  <c r="BP139" i="33"/>
  <c r="BQ139" i="33"/>
  <c r="BR139" i="33"/>
  <c r="BS139" i="33"/>
  <c r="BT139" i="33"/>
  <c r="BU139" i="33"/>
  <c r="BV139" i="33"/>
  <c r="BW139" i="33"/>
  <c r="BP140" i="33"/>
  <c r="BQ140" i="33"/>
  <c r="BR140" i="33"/>
  <c r="BS140" i="33"/>
  <c r="BT140" i="33"/>
  <c r="BU140" i="33"/>
  <c r="BV140" i="33"/>
  <c r="BW140" i="33"/>
  <c r="BP141" i="33"/>
  <c r="BQ141" i="33"/>
  <c r="BR141" i="33"/>
  <c r="BS141" i="33"/>
  <c r="BT141" i="33"/>
  <c r="BU141" i="33"/>
  <c r="BV141" i="33"/>
  <c r="BW141" i="33"/>
  <c r="BP142" i="33"/>
  <c r="BQ142" i="33"/>
  <c r="BR142" i="33"/>
  <c r="BS142" i="33"/>
  <c r="BT142" i="33"/>
  <c r="BU142" i="33"/>
  <c r="BV142" i="33"/>
  <c r="BW142" i="33"/>
  <c r="BP143" i="33"/>
  <c r="BQ143" i="33"/>
  <c r="BR143" i="33"/>
  <c r="BS143" i="33"/>
  <c r="BT143" i="33"/>
  <c r="BU143" i="33"/>
  <c r="BV143" i="33"/>
  <c r="BW143" i="33"/>
  <c r="BP144" i="33"/>
  <c r="BQ144" i="33"/>
  <c r="BR144" i="33"/>
  <c r="BS144" i="33"/>
  <c r="BT144" i="33"/>
  <c r="BU144" i="33"/>
  <c r="BV144" i="33"/>
  <c r="BW144" i="33"/>
  <c r="BP145" i="33"/>
  <c r="BQ145" i="33"/>
  <c r="BR145" i="33"/>
  <c r="BS145" i="33"/>
  <c r="BT145" i="33"/>
  <c r="BU145" i="33"/>
  <c r="BV145" i="33"/>
  <c r="BW145" i="33"/>
  <c r="BP146" i="33"/>
  <c r="BQ146" i="33"/>
  <c r="BR146" i="33"/>
  <c r="BS146" i="33"/>
  <c r="BT146" i="33"/>
  <c r="BU146" i="33"/>
  <c r="BV146" i="33"/>
  <c r="BW146" i="33"/>
  <c r="BP147" i="33"/>
  <c r="BQ147" i="33"/>
  <c r="BR147" i="33"/>
  <c r="BS147" i="33"/>
  <c r="BT147" i="33"/>
  <c r="BU147" i="33"/>
  <c r="BV147" i="33"/>
  <c r="BW147" i="33"/>
  <c r="BP148" i="33"/>
  <c r="BQ148" i="33"/>
  <c r="BR148" i="33"/>
  <c r="BS148" i="33"/>
  <c r="BT148" i="33"/>
  <c r="BU148" i="33"/>
  <c r="BV148" i="33"/>
  <c r="BW148" i="33"/>
  <c r="BP149" i="33"/>
  <c r="BQ149" i="33"/>
  <c r="BR149" i="33"/>
  <c r="BS149" i="33"/>
  <c r="BT149" i="33"/>
  <c r="BU149" i="33"/>
  <c r="BV149" i="33"/>
  <c r="BW149" i="33"/>
  <c r="BP150" i="33"/>
  <c r="BQ150" i="33"/>
  <c r="BR150" i="33"/>
  <c r="BS150" i="33"/>
  <c r="BT150" i="33"/>
  <c r="BU150" i="33"/>
  <c r="BV150" i="33"/>
  <c r="BW150" i="33"/>
  <c r="BP151" i="33"/>
  <c r="BQ151" i="33"/>
  <c r="BR151" i="33"/>
  <c r="BS151" i="33"/>
  <c r="BT151" i="33"/>
  <c r="BU151" i="33"/>
  <c r="BV151" i="33"/>
  <c r="BW151" i="33"/>
  <c r="BP152" i="33"/>
  <c r="BQ152" i="33"/>
  <c r="BR152" i="33"/>
  <c r="BS152" i="33"/>
  <c r="BT152" i="33"/>
  <c r="BU152" i="33"/>
  <c r="BV152" i="33"/>
  <c r="BW152" i="33"/>
  <c r="BP153" i="33"/>
  <c r="BQ153" i="33"/>
  <c r="BR153" i="33"/>
  <c r="BS153" i="33"/>
  <c r="BT153" i="33"/>
  <c r="BU153" i="33"/>
  <c r="BV153" i="33"/>
  <c r="BW153" i="33"/>
  <c r="BP154" i="33"/>
  <c r="BQ154" i="33"/>
  <c r="BR154" i="33"/>
  <c r="BS154" i="33"/>
  <c r="BT154" i="33"/>
  <c r="BU154" i="33"/>
  <c r="BV154" i="33"/>
  <c r="BW154" i="33"/>
  <c r="BP155" i="33"/>
  <c r="BQ155" i="33"/>
  <c r="BR155" i="33"/>
  <c r="BS155" i="33"/>
  <c r="BT155" i="33"/>
  <c r="BU155" i="33"/>
  <c r="BV155" i="33"/>
  <c r="BW155" i="33"/>
  <c r="BP156" i="33"/>
  <c r="BQ156" i="33"/>
  <c r="BR156" i="33"/>
  <c r="BS156" i="33"/>
  <c r="BT156" i="33"/>
  <c r="BU156" i="33"/>
  <c r="BV156" i="33"/>
  <c r="BW156" i="33"/>
  <c r="BP157" i="33"/>
  <c r="BQ157" i="33"/>
  <c r="BR157" i="33"/>
  <c r="BS157" i="33"/>
  <c r="BT157" i="33"/>
  <c r="BU157" i="33"/>
  <c r="BV157" i="33"/>
  <c r="BW157" i="33"/>
  <c r="BP158" i="33"/>
  <c r="BQ158" i="33"/>
  <c r="BR158" i="33"/>
  <c r="BS158" i="33"/>
  <c r="BT158" i="33"/>
  <c r="BU158" i="33"/>
  <c r="BV158" i="33"/>
  <c r="BW158" i="33"/>
  <c r="BP159" i="33"/>
  <c r="BQ159" i="33"/>
  <c r="BR159" i="33"/>
  <c r="BS159" i="33"/>
  <c r="BT159" i="33"/>
  <c r="BU159" i="33"/>
  <c r="BV159" i="33"/>
  <c r="BW159" i="33"/>
  <c r="BP160" i="33"/>
  <c r="BQ160" i="33"/>
  <c r="BR160" i="33"/>
  <c r="BS160" i="33"/>
  <c r="BT160" i="33"/>
  <c r="BU160" i="33"/>
  <c r="BV160" i="33"/>
  <c r="BW160" i="33"/>
  <c r="BP161" i="33"/>
  <c r="BQ161" i="33"/>
  <c r="BR161" i="33"/>
  <c r="BS161" i="33"/>
  <c r="BT161" i="33"/>
  <c r="BU161" i="33"/>
  <c r="BV161" i="33"/>
  <c r="BW161" i="33"/>
  <c r="BP162" i="33"/>
  <c r="BQ162" i="33"/>
  <c r="BR162" i="33"/>
  <c r="BS162" i="33"/>
  <c r="BT162" i="33"/>
  <c r="BU162" i="33"/>
  <c r="BV162" i="33"/>
  <c r="BW162" i="33"/>
  <c r="BP163" i="33"/>
  <c r="BQ163" i="33"/>
  <c r="BR163" i="33"/>
  <c r="BS163" i="33"/>
  <c r="BT163" i="33"/>
  <c r="BU163" i="33"/>
  <c r="BV163" i="33"/>
  <c r="BW163" i="33"/>
  <c r="BP164" i="33"/>
  <c r="BQ164" i="33"/>
  <c r="BR164" i="33"/>
  <c r="BS164" i="33"/>
  <c r="BT164" i="33"/>
  <c r="BU164" i="33"/>
  <c r="BV164" i="33"/>
  <c r="BW164" i="33"/>
  <c r="BP165" i="33"/>
  <c r="BQ165" i="33"/>
  <c r="BR165" i="33"/>
  <c r="BS165" i="33"/>
  <c r="BT165" i="33"/>
  <c r="BU165" i="33"/>
  <c r="BV165" i="33"/>
  <c r="BW165" i="33"/>
  <c r="BP166" i="33"/>
  <c r="BQ166" i="33"/>
  <c r="BR166" i="33"/>
  <c r="BS166" i="33"/>
  <c r="BT166" i="33"/>
  <c r="BU166" i="33"/>
  <c r="BV166" i="33"/>
  <c r="BW166" i="33"/>
  <c r="BP167" i="33"/>
  <c r="BQ167" i="33"/>
  <c r="BR167" i="33"/>
  <c r="BS167" i="33"/>
  <c r="BT167" i="33"/>
  <c r="BU167" i="33"/>
  <c r="BV167" i="33"/>
  <c r="BW167" i="33"/>
  <c r="BP168" i="33"/>
  <c r="BQ168" i="33"/>
  <c r="BR168" i="33"/>
  <c r="BS168" i="33"/>
  <c r="BT168" i="33"/>
  <c r="BU168" i="33"/>
  <c r="BV168" i="33"/>
  <c r="BW168" i="33"/>
  <c r="BP169" i="33"/>
  <c r="BQ169" i="33"/>
  <c r="BR169" i="33"/>
  <c r="BS169" i="33"/>
  <c r="BT169" i="33"/>
  <c r="BU169" i="33"/>
  <c r="BV169" i="33"/>
  <c r="BW169" i="33"/>
  <c r="BP170" i="33"/>
  <c r="BQ170" i="33"/>
  <c r="BR170" i="33"/>
  <c r="BS170" i="33"/>
  <c r="BT170" i="33"/>
  <c r="BU170" i="33"/>
  <c r="BV170" i="33"/>
  <c r="BW170" i="33"/>
  <c r="BP171" i="33"/>
  <c r="BQ171" i="33"/>
  <c r="BR171" i="33"/>
  <c r="BS171" i="33"/>
  <c r="BT171" i="33"/>
  <c r="BU171" i="33"/>
  <c r="BV171" i="33"/>
  <c r="BW171" i="33"/>
  <c r="BP172" i="33"/>
  <c r="BQ172" i="33"/>
  <c r="BR172" i="33"/>
  <c r="BS172" i="33"/>
  <c r="BT172" i="33"/>
  <c r="BU172" i="33"/>
  <c r="BV172" i="33"/>
  <c r="BW172" i="33"/>
  <c r="BP173" i="33"/>
  <c r="BQ173" i="33"/>
  <c r="BR173" i="33"/>
  <c r="BS173" i="33"/>
  <c r="BT173" i="33"/>
  <c r="BU173" i="33"/>
  <c r="BV173" i="33"/>
  <c r="BW173" i="33"/>
  <c r="BP174" i="33"/>
  <c r="BQ174" i="33"/>
  <c r="BR174" i="33"/>
  <c r="BS174" i="33"/>
  <c r="BT174" i="33"/>
  <c r="BU174" i="33"/>
  <c r="BV174" i="33"/>
  <c r="BW174" i="33"/>
  <c r="BP175" i="33"/>
  <c r="BQ175" i="33"/>
  <c r="BR175" i="33"/>
  <c r="BS175" i="33"/>
  <c r="BT175" i="33"/>
  <c r="BU175" i="33"/>
  <c r="BV175" i="33"/>
  <c r="BW175" i="33"/>
  <c r="BP176" i="33"/>
  <c r="BQ176" i="33"/>
  <c r="BR176" i="33"/>
  <c r="BS176" i="33"/>
  <c r="BT176" i="33"/>
  <c r="BU176" i="33"/>
  <c r="BV176" i="33"/>
  <c r="BW176" i="33"/>
  <c r="BP177" i="33"/>
  <c r="BQ177" i="33"/>
  <c r="BR177" i="33"/>
  <c r="BS177" i="33"/>
  <c r="BT177" i="33"/>
  <c r="BU177" i="33"/>
  <c r="BV177" i="33"/>
  <c r="BW177" i="33"/>
  <c r="BP178" i="33"/>
  <c r="BQ178" i="33"/>
  <c r="BR178" i="33"/>
  <c r="BS178" i="33"/>
  <c r="BT178" i="33"/>
  <c r="BU178" i="33"/>
  <c r="BV178" i="33"/>
  <c r="BW178" i="33"/>
  <c r="BP179" i="33"/>
  <c r="BQ179" i="33"/>
  <c r="BR179" i="33"/>
  <c r="BS179" i="33"/>
  <c r="BT179" i="33"/>
  <c r="BU179" i="33"/>
  <c r="BV179" i="33"/>
  <c r="BW179" i="33"/>
  <c r="BP180" i="33"/>
  <c r="BQ180" i="33"/>
  <c r="BR180" i="33"/>
  <c r="BS180" i="33"/>
  <c r="BT180" i="33"/>
  <c r="BU180" i="33"/>
  <c r="BV180" i="33"/>
  <c r="BW180" i="33"/>
  <c r="BP181" i="33"/>
  <c r="BQ181" i="33"/>
  <c r="BR181" i="33"/>
  <c r="BS181" i="33"/>
  <c r="BT181" i="33"/>
  <c r="BU181" i="33"/>
  <c r="BV181" i="33"/>
  <c r="BW181" i="33"/>
  <c r="BP182" i="33"/>
  <c r="BX182" i="33" s="1"/>
  <c r="BQ182" i="33"/>
  <c r="BY182" i="33" s="1"/>
  <c r="BR182" i="33"/>
  <c r="BZ182" i="33" s="1"/>
  <c r="BS182" i="33"/>
  <c r="CA182" i="33" s="1"/>
  <c r="BT182" i="33"/>
  <c r="CB182" i="33" s="1"/>
  <c r="BU182" i="33"/>
  <c r="CC182" i="33" s="1"/>
  <c r="BV182" i="33"/>
  <c r="CD182" i="33" s="1"/>
  <c r="BW182" i="33"/>
  <c r="CE182" i="33" s="1"/>
  <c r="BP183" i="33"/>
  <c r="BQ183" i="33"/>
  <c r="BR183" i="33"/>
  <c r="BS183" i="33"/>
  <c r="BT183" i="33"/>
  <c r="BU183" i="33"/>
  <c r="BV183" i="33"/>
  <c r="BW183" i="33"/>
  <c r="BP184" i="33"/>
  <c r="BQ184" i="33"/>
  <c r="BR184" i="33"/>
  <c r="BS184" i="33"/>
  <c r="BT184" i="33"/>
  <c r="BU184" i="33"/>
  <c r="BV184" i="33"/>
  <c r="BW184" i="33"/>
  <c r="BP185" i="33"/>
  <c r="BQ185" i="33"/>
  <c r="BR185" i="33"/>
  <c r="BS185" i="33"/>
  <c r="BT185" i="33"/>
  <c r="BU185" i="33"/>
  <c r="BV185" i="33"/>
  <c r="BW185" i="33"/>
  <c r="BP186" i="33"/>
  <c r="BQ186" i="33"/>
  <c r="BR186" i="33"/>
  <c r="BS186" i="33"/>
  <c r="BT186" i="33"/>
  <c r="BU186" i="33"/>
  <c r="BV186" i="33"/>
  <c r="BW186" i="33"/>
  <c r="BP187" i="33"/>
  <c r="BQ187" i="33"/>
  <c r="BR187" i="33"/>
  <c r="BS187" i="33"/>
  <c r="BT187" i="33"/>
  <c r="BU187" i="33"/>
  <c r="BV187" i="33"/>
  <c r="BW187" i="33"/>
  <c r="BP188" i="33"/>
  <c r="BQ188" i="33"/>
  <c r="BR188" i="33"/>
  <c r="BS188" i="33"/>
  <c r="BT188" i="33"/>
  <c r="BU188" i="33"/>
  <c r="BV188" i="33"/>
  <c r="BW188" i="33"/>
  <c r="BP189" i="33"/>
  <c r="BQ189" i="33"/>
  <c r="BR189" i="33"/>
  <c r="BS189" i="33"/>
  <c r="BT189" i="33"/>
  <c r="BU189" i="33"/>
  <c r="BV189" i="33"/>
  <c r="BW189" i="33"/>
  <c r="BP190" i="33"/>
  <c r="BQ190" i="33"/>
  <c r="BR190" i="33"/>
  <c r="BS190" i="33"/>
  <c r="BT190" i="33"/>
  <c r="BU190" i="33"/>
  <c r="BV190" i="33"/>
  <c r="BW190" i="33"/>
  <c r="BP191" i="33"/>
  <c r="BQ191" i="33"/>
  <c r="BR191" i="33"/>
  <c r="BS191" i="33"/>
  <c r="BT191" i="33"/>
  <c r="BU191" i="33"/>
  <c r="BV191" i="33"/>
  <c r="BW191" i="33"/>
  <c r="BP192" i="33"/>
  <c r="BQ192" i="33"/>
  <c r="BR192" i="33"/>
  <c r="BS192" i="33"/>
  <c r="BT192" i="33"/>
  <c r="BU192" i="33"/>
  <c r="BV192" i="33"/>
  <c r="BW192" i="33"/>
  <c r="BP193" i="33"/>
  <c r="BQ193" i="33"/>
  <c r="BR193" i="33"/>
  <c r="BS193" i="33"/>
  <c r="BT193" i="33"/>
  <c r="BU193" i="33"/>
  <c r="BV193" i="33"/>
  <c r="BW193" i="33"/>
  <c r="BP194" i="33"/>
  <c r="BQ194" i="33"/>
  <c r="BR194" i="33"/>
  <c r="BS194" i="33"/>
  <c r="BT194" i="33"/>
  <c r="BU194" i="33"/>
  <c r="BV194" i="33"/>
  <c r="BW194" i="33"/>
  <c r="BP195" i="33"/>
  <c r="BQ195" i="33"/>
  <c r="BR195" i="33"/>
  <c r="BS195" i="33"/>
  <c r="BT195" i="33"/>
  <c r="BU195" i="33"/>
  <c r="BV195" i="33"/>
  <c r="BW195" i="33"/>
  <c r="BP196" i="33"/>
  <c r="BQ196" i="33"/>
  <c r="BR196" i="33"/>
  <c r="BS196" i="33"/>
  <c r="BT196" i="33"/>
  <c r="BU196" i="33"/>
  <c r="BV196" i="33"/>
  <c r="BW196" i="33"/>
  <c r="BP197" i="33"/>
  <c r="BQ197" i="33"/>
  <c r="BR197" i="33"/>
  <c r="BS197" i="33"/>
  <c r="BT197" i="33"/>
  <c r="BU197" i="33"/>
  <c r="BV197" i="33"/>
  <c r="BW197" i="33"/>
  <c r="BS128" i="33"/>
  <c r="BP128" i="33"/>
  <c r="DE129" i="33"/>
  <c r="DF129" i="33"/>
  <c r="DG129" i="33"/>
  <c r="DH129" i="33"/>
  <c r="DI129" i="33"/>
  <c r="DJ129" i="33"/>
  <c r="DK129" i="33"/>
  <c r="DL129" i="33"/>
  <c r="DE130" i="33"/>
  <c r="DF130" i="33"/>
  <c r="DG130" i="33"/>
  <c r="DH130" i="33"/>
  <c r="DI130" i="33"/>
  <c r="DJ130" i="33"/>
  <c r="DK130" i="33"/>
  <c r="DL130" i="33"/>
  <c r="DE131" i="33"/>
  <c r="DF131" i="33"/>
  <c r="DG131" i="33"/>
  <c r="DH131" i="33"/>
  <c r="DI131" i="33"/>
  <c r="DJ131" i="33"/>
  <c r="DK131" i="33"/>
  <c r="DL131" i="33"/>
  <c r="DE132" i="33"/>
  <c r="DF132" i="33"/>
  <c r="DG132" i="33"/>
  <c r="DH132" i="33"/>
  <c r="DI132" i="33"/>
  <c r="DJ132" i="33"/>
  <c r="DK132" i="33"/>
  <c r="DL132" i="33"/>
  <c r="DE133" i="33"/>
  <c r="DF133" i="33"/>
  <c r="DG133" i="33"/>
  <c r="DH133" i="33"/>
  <c r="DI133" i="33"/>
  <c r="DJ133" i="33"/>
  <c r="DK133" i="33"/>
  <c r="DL133" i="33"/>
  <c r="DE134" i="33"/>
  <c r="DF134" i="33"/>
  <c r="DG134" i="33"/>
  <c r="DH134" i="33"/>
  <c r="DI134" i="33"/>
  <c r="DJ134" i="33"/>
  <c r="DK134" i="33"/>
  <c r="DL134" i="33"/>
  <c r="DE135" i="33"/>
  <c r="DF135" i="33"/>
  <c r="DG135" i="33"/>
  <c r="DH135" i="33"/>
  <c r="DI135" i="33"/>
  <c r="DJ135" i="33"/>
  <c r="DK135" i="33"/>
  <c r="DL135" i="33"/>
  <c r="DE136" i="33"/>
  <c r="DF136" i="33"/>
  <c r="DG136" i="33"/>
  <c r="DH136" i="33"/>
  <c r="DI136" i="33"/>
  <c r="DJ136" i="33"/>
  <c r="DK136" i="33"/>
  <c r="DL136" i="33"/>
  <c r="DE137" i="33"/>
  <c r="DF137" i="33"/>
  <c r="DG137" i="33"/>
  <c r="DH137" i="33"/>
  <c r="DI137" i="33"/>
  <c r="DJ137" i="33"/>
  <c r="DK137" i="33"/>
  <c r="DL137" i="33"/>
  <c r="DE138" i="33"/>
  <c r="DF138" i="33"/>
  <c r="DG138" i="33"/>
  <c r="DH138" i="33"/>
  <c r="DI138" i="33"/>
  <c r="DJ138" i="33"/>
  <c r="DK138" i="33"/>
  <c r="DL138" i="33"/>
  <c r="DE139" i="33"/>
  <c r="DF139" i="33"/>
  <c r="DG139" i="33"/>
  <c r="DH139" i="33"/>
  <c r="DI139" i="33"/>
  <c r="DJ139" i="33"/>
  <c r="DK139" i="33"/>
  <c r="DL139" i="33"/>
  <c r="DE140" i="33"/>
  <c r="DF140" i="33"/>
  <c r="DG140" i="33"/>
  <c r="DH140" i="33"/>
  <c r="DI140" i="33"/>
  <c r="DJ140" i="33"/>
  <c r="DK140" i="33"/>
  <c r="DL140" i="33"/>
  <c r="DG141" i="33"/>
  <c r="DH141" i="33"/>
  <c r="DI141" i="33"/>
  <c r="DJ141" i="33"/>
  <c r="DK141" i="33"/>
  <c r="DL141" i="33"/>
  <c r="DG142" i="33"/>
  <c r="DH142" i="33"/>
  <c r="DI142" i="33"/>
  <c r="DJ142" i="33"/>
  <c r="DK142" i="33"/>
  <c r="DL142" i="33"/>
  <c r="DG143" i="33"/>
  <c r="DH143" i="33"/>
  <c r="DI143" i="33"/>
  <c r="DJ143" i="33"/>
  <c r="DK143" i="33"/>
  <c r="DL143" i="33"/>
  <c r="DG144" i="33"/>
  <c r="DH144" i="33"/>
  <c r="DI144" i="33"/>
  <c r="DJ144" i="33"/>
  <c r="DK144" i="33"/>
  <c r="DL144" i="33"/>
  <c r="DG145" i="33"/>
  <c r="DH145" i="33"/>
  <c r="DI145" i="33"/>
  <c r="DJ145" i="33"/>
  <c r="DK145" i="33"/>
  <c r="DL145" i="33"/>
  <c r="DG146" i="33"/>
  <c r="DH146" i="33"/>
  <c r="DI146" i="33"/>
  <c r="DJ146" i="33"/>
  <c r="DK146" i="33"/>
  <c r="DL146" i="33"/>
  <c r="DG147" i="33"/>
  <c r="DH147" i="33"/>
  <c r="DI147" i="33"/>
  <c r="DJ147" i="33"/>
  <c r="DK147" i="33"/>
  <c r="DL147" i="33"/>
  <c r="DG148" i="33"/>
  <c r="DH148" i="33"/>
  <c r="DI148" i="33"/>
  <c r="DJ148" i="33"/>
  <c r="DK148" i="33"/>
  <c r="DL148" i="33"/>
  <c r="DG149" i="33"/>
  <c r="DH149" i="33"/>
  <c r="DI149" i="33"/>
  <c r="DJ149" i="33"/>
  <c r="DK149" i="33"/>
  <c r="DL149" i="33"/>
  <c r="DG150" i="33"/>
  <c r="DH150" i="33"/>
  <c r="DI150" i="33"/>
  <c r="DJ150" i="33"/>
  <c r="DK150" i="33"/>
  <c r="DL150" i="33"/>
  <c r="DG151" i="33"/>
  <c r="DH151" i="33"/>
  <c r="DI151" i="33"/>
  <c r="DJ151" i="33"/>
  <c r="DK151" i="33"/>
  <c r="DL151" i="33"/>
  <c r="DG152" i="33"/>
  <c r="DH152" i="33"/>
  <c r="DI152" i="33"/>
  <c r="DJ152" i="33"/>
  <c r="DK152" i="33"/>
  <c r="DL152" i="33"/>
  <c r="DG153" i="33"/>
  <c r="DH153" i="33"/>
  <c r="DI153" i="33"/>
  <c r="DJ153" i="33"/>
  <c r="DK153" i="33"/>
  <c r="DL153" i="33"/>
  <c r="DG154" i="33"/>
  <c r="DH154" i="33"/>
  <c r="DI154" i="33"/>
  <c r="DJ154" i="33"/>
  <c r="DK154" i="33"/>
  <c r="DL154" i="33"/>
  <c r="DG155" i="33"/>
  <c r="DH155" i="33"/>
  <c r="DI155" i="33"/>
  <c r="DJ155" i="33"/>
  <c r="DK155" i="33"/>
  <c r="DL155" i="33"/>
  <c r="DG156" i="33"/>
  <c r="DH156" i="33"/>
  <c r="DI156" i="33"/>
  <c r="DJ156" i="33"/>
  <c r="DK156" i="33"/>
  <c r="DL156" i="33"/>
  <c r="DG157" i="33"/>
  <c r="DH157" i="33"/>
  <c r="DI157" i="33"/>
  <c r="DJ157" i="33"/>
  <c r="DK157" i="33"/>
  <c r="DL157" i="33"/>
  <c r="DG158" i="33"/>
  <c r="DH158" i="33"/>
  <c r="DI158" i="33"/>
  <c r="DJ158" i="33"/>
  <c r="DK158" i="33"/>
  <c r="DL158" i="33"/>
  <c r="DG159" i="33"/>
  <c r="DH159" i="33"/>
  <c r="DI159" i="33"/>
  <c r="DJ159" i="33"/>
  <c r="DK159" i="33"/>
  <c r="DL159" i="33"/>
  <c r="DG160" i="33"/>
  <c r="DH160" i="33"/>
  <c r="DI160" i="33"/>
  <c r="DJ160" i="33"/>
  <c r="DK160" i="33"/>
  <c r="DL160" i="33"/>
  <c r="DG161" i="33"/>
  <c r="DH161" i="33"/>
  <c r="DI161" i="33"/>
  <c r="DJ161" i="33"/>
  <c r="DK161" i="33"/>
  <c r="DL161" i="33"/>
  <c r="DG162" i="33"/>
  <c r="DH162" i="33"/>
  <c r="DI162" i="33"/>
  <c r="DJ162" i="33"/>
  <c r="DK162" i="33"/>
  <c r="DL162" i="33"/>
  <c r="DG163" i="33"/>
  <c r="DH163" i="33"/>
  <c r="DI163" i="33"/>
  <c r="DJ163" i="33"/>
  <c r="DK163" i="33"/>
  <c r="DL163" i="33"/>
  <c r="DG164" i="33"/>
  <c r="DH164" i="33"/>
  <c r="DI164" i="33"/>
  <c r="DJ164" i="33"/>
  <c r="DK164" i="33"/>
  <c r="DL164" i="33"/>
  <c r="DG165" i="33"/>
  <c r="DH165" i="33"/>
  <c r="DI165" i="33"/>
  <c r="DJ165" i="33"/>
  <c r="DK165" i="33"/>
  <c r="DL165" i="33"/>
  <c r="DG166" i="33"/>
  <c r="DH166" i="33"/>
  <c r="DI166" i="33"/>
  <c r="DJ166" i="33"/>
  <c r="DK166" i="33"/>
  <c r="DL166" i="33"/>
  <c r="DG167" i="33"/>
  <c r="DH167" i="33"/>
  <c r="DI167" i="33"/>
  <c r="DJ167" i="33"/>
  <c r="DK167" i="33"/>
  <c r="DL167" i="33"/>
  <c r="DG168" i="33"/>
  <c r="DH168" i="33"/>
  <c r="DI168" i="33"/>
  <c r="DJ168" i="33"/>
  <c r="DK168" i="33"/>
  <c r="DL168" i="33"/>
  <c r="DG169" i="33"/>
  <c r="DH169" i="33"/>
  <c r="DI169" i="33"/>
  <c r="DJ169" i="33"/>
  <c r="DK169" i="33"/>
  <c r="DL169" i="33"/>
  <c r="DG170" i="33"/>
  <c r="DH170" i="33"/>
  <c r="DI170" i="33"/>
  <c r="DJ170" i="33"/>
  <c r="DK170" i="33"/>
  <c r="DL170" i="33"/>
  <c r="DG171" i="33"/>
  <c r="DH171" i="33"/>
  <c r="DI171" i="33"/>
  <c r="DJ171" i="33"/>
  <c r="DK171" i="33"/>
  <c r="DL171" i="33"/>
  <c r="DG172" i="33"/>
  <c r="DH172" i="33"/>
  <c r="DI172" i="33"/>
  <c r="DJ172" i="33"/>
  <c r="DK172" i="33"/>
  <c r="DL172" i="33"/>
  <c r="DG173" i="33"/>
  <c r="DH173" i="33"/>
  <c r="DI173" i="33"/>
  <c r="DJ173" i="33"/>
  <c r="DK173" i="33"/>
  <c r="DL173" i="33"/>
  <c r="DG174" i="33"/>
  <c r="DH174" i="33"/>
  <c r="DI174" i="33"/>
  <c r="DJ174" i="33"/>
  <c r="DK174" i="33"/>
  <c r="DL174" i="33"/>
  <c r="DG175" i="33"/>
  <c r="DH175" i="33"/>
  <c r="DI175" i="33"/>
  <c r="DJ175" i="33"/>
  <c r="DK175" i="33"/>
  <c r="DL175" i="33"/>
  <c r="DG176" i="33"/>
  <c r="DH176" i="33"/>
  <c r="DI176" i="33"/>
  <c r="DJ176" i="33"/>
  <c r="DK176" i="33"/>
  <c r="DL176" i="33"/>
  <c r="DG177" i="33"/>
  <c r="DH177" i="33"/>
  <c r="DI177" i="33"/>
  <c r="DJ177" i="33"/>
  <c r="DK177" i="33"/>
  <c r="DL177" i="33"/>
  <c r="DG178" i="33"/>
  <c r="DH178" i="33"/>
  <c r="DI178" i="33"/>
  <c r="DJ178" i="33"/>
  <c r="DK178" i="33"/>
  <c r="DL178" i="33"/>
  <c r="DG179" i="33"/>
  <c r="DH179" i="33"/>
  <c r="DI179" i="33"/>
  <c r="DJ179" i="33"/>
  <c r="DK179" i="33"/>
  <c r="DL179" i="33"/>
  <c r="DG180" i="33"/>
  <c r="DH180" i="33"/>
  <c r="DI180" i="33"/>
  <c r="DJ180" i="33"/>
  <c r="DK180" i="33"/>
  <c r="DL180" i="33"/>
  <c r="DG181" i="33"/>
  <c r="DH181" i="33"/>
  <c r="DI181" i="33"/>
  <c r="DJ181" i="33"/>
  <c r="DK181" i="33"/>
  <c r="DL181" i="33"/>
  <c r="DG182" i="33"/>
  <c r="DO182" i="33" s="1"/>
  <c r="DH182" i="33"/>
  <c r="DP182" i="33" s="1"/>
  <c r="DI182" i="33"/>
  <c r="DQ182" i="33" s="1"/>
  <c r="DJ182" i="33"/>
  <c r="DR182" i="33" s="1"/>
  <c r="DK182" i="33"/>
  <c r="DS182" i="33" s="1"/>
  <c r="DL182" i="33"/>
  <c r="DT182" i="33" s="1"/>
  <c r="DG183" i="33"/>
  <c r="DH183" i="33"/>
  <c r="DI183" i="33"/>
  <c r="DJ183" i="33"/>
  <c r="DK183" i="33"/>
  <c r="DL183" i="33"/>
  <c r="DG184" i="33"/>
  <c r="DH184" i="33"/>
  <c r="DI184" i="33"/>
  <c r="DJ184" i="33"/>
  <c r="DK184" i="33"/>
  <c r="DL184" i="33"/>
  <c r="DG185" i="33"/>
  <c r="DH185" i="33"/>
  <c r="DI185" i="33"/>
  <c r="DJ185" i="33"/>
  <c r="DK185" i="33"/>
  <c r="DL185" i="33"/>
  <c r="DG186" i="33"/>
  <c r="DH186" i="33"/>
  <c r="DI186" i="33"/>
  <c r="DJ186" i="33"/>
  <c r="DK186" i="33"/>
  <c r="DL186" i="33"/>
  <c r="DG187" i="33"/>
  <c r="DH187" i="33"/>
  <c r="DI187" i="33"/>
  <c r="DJ187" i="33"/>
  <c r="DK187" i="33"/>
  <c r="DL187" i="33"/>
  <c r="DG188" i="33"/>
  <c r="DH188" i="33"/>
  <c r="DI188" i="33"/>
  <c r="DJ188" i="33"/>
  <c r="DK188" i="33"/>
  <c r="DL188" i="33"/>
  <c r="DG189" i="33"/>
  <c r="DH189" i="33"/>
  <c r="DI189" i="33"/>
  <c r="DJ189" i="33"/>
  <c r="DK189" i="33"/>
  <c r="DL189" i="33"/>
  <c r="DG190" i="33"/>
  <c r="DH190" i="33"/>
  <c r="DI190" i="33"/>
  <c r="DJ190" i="33"/>
  <c r="DK190" i="33"/>
  <c r="DL190" i="33"/>
  <c r="DG191" i="33"/>
  <c r="DH191" i="33"/>
  <c r="DI191" i="33"/>
  <c r="DJ191" i="33"/>
  <c r="DK191" i="33"/>
  <c r="DL191" i="33"/>
  <c r="DG192" i="33"/>
  <c r="DH192" i="33"/>
  <c r="DI192" i="33"/>
  <c r="DJ192" i="33"/>
  <c r="DK192" i="33"/>
  <c r="DL192" i="33"/>
  <c r="DG193" i="33"/>
  <c r="DH193" i="33"/>
  <c r="DI193" i="33"/>
  <c r="DJ193" i="33"/>
  <c r="DK193" i="33"/>
  <c r="DL193" i="33"/>
  <c r="DG194" i="33"/>
  <c r="DH194" i="33"/>
  <c r="DI194" i="33"/>
  <c r="DJ194" i="33"/>
  <c r="DK194" i="33"/>
  <c r="DL194" i="33"/>
  <c r="DG195" i="33"/>
  <c r="DH195" i="33"/>
  <c r="DI195" i="33"/>
  <c r="DJ195" i="33"/>
  <c r="DK195" i="33"/>
  <c r="DL195" i="33"/>
  <c r="DF196" i="33"/>
  <c r="DG196" i="33"/>
  <c r="DH196" i="33"/>
  <c r="DI196" i="33"/>
  <c r="DJ196" i="33"/>
  <c r="DK196" i="33"/>
  <c r="DL196" i="33"/>
  <c r="DF197" i="33"/>
  <c r="DG197" i="33"/>
  <c r="DH197" i="33"/>
  <c r="DI197" i="33"/>
  <c r="DJ197" i="33"/>
  <c r="DK197" i="33"/>
  <c r="DL197" i="33"/>
  <c r="DH128" i="33"/>
  <c r="DE128" i="33"/>
  <c r="ES129" i="33"/>
  <c r="ET129" i="33"/>
  <c r="EU129" i="33"/>
  <c r="EV129" i="33"/>
  <c r="EW129" i="33"/>
  <c r="EX129" i="33"/>
  <c r="EY129" i="33"/>
  <c r="EZ129" i="33"/>
  <c r="ES130" i="33"/>
  <c r="ET130" i="33"/>
  <c r="EU130" i="33"/>
  <c r="EV130" i="33"/>
  <c r="EW130" i="33"/>
  <c r="EX130" i="33"/>
  <c r="EY130" i="33"/>
  <c r="EZ130" i="33"/>
  <c r="ES131" i="33"/>
  <c r="ET131" i="33"/>
  <c r="EU131" i="33"/>
  <c r="EV131" i="33"/>
  <c r="EW131" i="33"/>
  <c r="EX131" i="33"/>
  <c r="EY131" i="33"/>
  <c r="EZ131" i="33"/>
  <c r="ES132" i="33"/>
  <c r="ET132" i="33"/>
  <c r="EU132" i="33"/>
  <c r="EV132" i="33"/>
  <c r="EW132" i="33"/>
  <c r="EX132" i="33"/>
  <c r="EY132" i="33"/>
  <c r="EZ132" i="33"/>
  <c r="ES133" i="33"/>
  <c r="ET133" i="33"/>
  <c r="EU133" i="33"/>
  <c r="EV133" i="33"/>
  <c r="EW133" i="33"/>
  <c r="EX133" i="33"/>
  <c r="EY133" i="33"/>
  <c r="EZ133" i="33"/>
  <c r="ES134" i="33"/>
  <c r="ET134" i="33"/>
  <c r="EU134" i="33"/>
  <c r="EV134" i="33"/>
  <c r="EW134" i="33"/>
  <c r="EX134" i="33"/>
  <c r="EY134" i="33"/>
  <c r="EZ134" i="33"/>
  <c r="ES135" i="33"/>
  <c r="ET135" i="33"/>
  <c r="EU135" i="33"/>
  <c r="EV135" i="33"/>
  <c r="EW135" i="33"/>
  <c r="EX135" i="33"/>
  <c r="EY135" i="33"/>
  <c r="EZ135" i="33"/>
  <c r="ES136" i="33"/>
  <c r="ET136" i="33"/>
  <c r="EU136" i="33"/>
  <c r="EV136" i="33"/>
  <c r="EW136" i="33"/>
  <c r="EX136" i="33"/>
  <c r="EY136" i="33"/>
  <c r="EZ136" i="33"/>
  <c r="ES137" i="33"/>
  <c r="ET137" i="33"/>
  <c r="EU137" i="33"/>
  <c r="EV137" i="33"/>
  <c r="EW137" i="33"/>
  <c r="EX137" i="33"/>
  <c r="EY137" i="33"/>
  <c r="EZ137" i="33"/>
  <c r="ES138" i="33"/>
  <c r="ET138" i="33"/>
  <c r="EU138" i="33"/>
  <c r="EV138" i="33"/>
  <c r="EW138" i="33"/>
  <c r="EX138" i="33"/>
  <c r="EY138" i="33"/>
  <c r="EZ138" i="33"/>
  <c r="ES139" i="33"/>
  <c r="ET139" i="33"/>
  <c r="EU139" i="33"/>
  <c r="EV139" i="33"/>
  <c r="EW139" i="33"/>
  <c r="EX139" i="33"/>
  <c r="EY139" i="33"/>
  <c r="EZ139" i="33"/>
  <c r="ES140" i="33"/>
  <c r="ET140" i="33"/>
  <c r="EU140" i="33"/>
  <c r="EV140" i="33"/>
  <c r="EW140" i="33"/>
  <c r="EX140" i="33"/>
  <c r="EY140" i="33"/>
  <c r="EZ140" i="33"/>
  <c r="ES141" i="33"/>
  <c r="ET141" i="33"/>
  <c r="EU141" i="33"/>
  <c r="EV141" i="33"/>
  <c r="EW141" i="33"/>
  <c r="EX141" i="33"/>
  <c r="EY141" i="33"/>
  <c r="EZ141" i="33"/>
  <c r="ES142" i="33"/>
  <c r="ET142" i="33"/>
  <c r="EU142" i="33"/>
  <c r="EV142" i="33"/>
  <c r="EW142" i="33"/>
  <c r="EX142" i="33"/>
  <c r="EY142" i="33"/>
  <c r="EZ142" i="33"/>
  <c r="ES143" i="33"/>
  <c r="ET143" i="33"/>
  <c r="EU143" i="33"/>
  <c r="EV143" i="33"/>
  <c r="EW143" i="33"/>
  <c r="EX143" i="33"/>
  <c r="EY143" i="33"/>
  <c r="EZ143" i="33"/>
  <c r="ES144" i="33"/>
  <c r="ET144" i="33"/>
  <c r="EU144" i="33"/>
  <c r="EV144" i="33"/>
  <c r="EW144" i="33"/>
  <c r="EX144" i="33"/>
  <c r="EY144" i="33"/>
  <c r="EZ144" i="33"/>
  <c r="ES145" i="33"/>
  <c r="ET145" i="33"/>
  <c r="EU145" i="33"/>
  <c r="EV145" i="33"/>
  <c r="EW145" i="33"/>
  <c r="EX145" i="33"/>
  <c r="EY145" i="33"/>
  <c r="EZ145" i="33"/>
  <c r="ES146" i="33"/>
  <c r="ET146" i="33"/>
  <c r="EU146" i="33"/>
  <c r="EV146" i="33"/>
  <c r="EW146" i="33"/>
  <c r="EX146" i="33"/>
  <c r="EY146" i="33"/>
  <c r="EZ146" i="33"/>
  <c r="ES147" i="33"/>
  <c r="ET147" i="33"/>
  <c r="EU147" i="33"/>
  <c r="EV147" i="33"/>
  <c r="EW147" i="33"/>
  <c r="EX147" i="33"/>
  <c r="EY147" i="33"/>
  <c r="EZ147" i="33"/>
  <c r="ES148" i="33"/>
  <c r="ET148" i="33"/>
  <c r="EU148" i="33"/>
  <c r="EV148" i="33"/>
  <c r="EW148" i="33"/>
  <c r="EX148" i="33"/>
  <c r="EY148" i="33"/>
  <c r="EZ148" i="33"/>
  <c r="ES149" i="33"/>
  <c r="ET149" i="33"/>
  <c r="EU149" i="33"/>
  <c r="EV149" i="33"/>
  <c r="EW149" i="33"/>
  <c r="EX149" i="33"/>
  <c r="EY149" i="33"/>
  <c r="EZ149" i="33"/>
  <c r="ES150" i="33"/>
  <c r="ET150" i="33"/>
  <c r="EU150" i="33"/>
  <c r="EV150" i="33"/>
  <c r="EW150" i="33"/>
  <c r="EX150" i="33"/>
  <c r="EY150" i="33"/>
  <c r="EZ150" i="33"/>
  <c r="ES151" i="33"/>
  <c r="ET151" i="33"/>
  <c r="EU151" i="33"/>
  <c r="EV151" i="33"/>
  <c r="EW151" i="33"/>
  <c r="EX151" i="33"/>
  <c r="EY151" i="33"/>
  <c r="EZ151" i="33"/>
  <c r="ES152" i="33"/>
  <c r="ET152" i="33"/>
  <c r="EU152" i="33"/>
  <c r="EV152" i="33"/>
  <c r="EW152" i="33"/>
  <c r="EX152" i="33"/>
  <c r="EY152" i="33"/>
  <c r="EZ152" i="33"/>
  <c r="ES153" i="33"/>
  <c r="ET153" i="33"/>
  <c r="EU153" i="33"/>
  <c r="EV153" i="33"/>
  <c r="EW153" i="33"/>
  <c r="EX153" i="33"/>
  <c r="EY153" i="33"/>
  <c r="EZ153" i="33"/>
  <c r="ES154" i="33"/>
  <c r="ET154" i="33"/>
  <c r="EU154" i="33"/>
  <c r="EV154" i="33"/>
  <c r="EW154" i="33"/>
  <c r="EX154" i="33"/>
  <c r="EY154" i="33"/>
  <c r="EZ154" i="33"/>
  <c r="ES155" i="33"/>
  <c r="ET155" i="33"/>
  <c r="EU155" i="33"/>
  <c r="EV155" i="33"/>
  <c r="EW155" i="33"/>
  <c r="EX155" i="33"/>
  <c r="EY155" i="33"/>
  <c r="EZ155" i="33"/>
  <c r="ES156" i="33"/>
  <c r="ET156" i="33"/>
  <c r="EU156" i="33"/>
  <c r="EV156" i="33"/>
  <c r="EW156" i="33"/>
  <c r="EX156" i="33"/>
  <c r="EY156" i="33"/>
  <c r="EZ156" i="33"/>
  <c r="ES157" i="33"/>
  <c r="ET157" i="33"/>
  <c r="EU157" i="33"/>
  <c r="EV157" i="33"/>
  <c r="EW157" i="33"/>
  <c r="EX157" i="33"/>
  <c r="EY157" i="33"/>
  <c r="EZ157" i="33"/>
  <c r="ES158" i="33"/>
  <c r="ET158" i="33"/>
  <c r="EU158" i="33"/>
  <c r="EV158" i="33"/>
  <c r="EW158" i="33"/>
  <c r="EX158" i="33"/>
  <c r="EY158" i="33"/>
  <c r="EZ158" i="33"/>
  <c r="ES159" i="33"/>
  <c r="ET159" i="33"/>
  <c r="EU159" i="33"/>
  <c r="EV159" i="33"/>
  <c r="EW159" i="33"/>
  <c r="EX159" i="33"/>
  <c r="EY159" i="33"/>
  <c r="EZ159" i="33"/>
  <c r="ES160" i="33"/>
  <c r="ET160" i="33"/>
  <c r="EU160" i="33"/>
  <c r="EV160" i="33"/>
  <c r="EW160" i="33"/>
  <c r="EX160" i="33"/>
  <c r="EY160" i="33"/>
  <c r="EZ160" i="33"/>
  <c r="ES161" i="33"/>
  <c r="ET161" i="33"/>
  <c r="EU161" i="33"/>
  <c r="EV161" i="33"/>
  <c r="EW161" i="33"/>
  <c r="EX161" i="33"/>
  <c r="EY161" i="33"/>
  <c r="EZ161" i="33"/>
  <c r="ES162" i="33"/>
  <c r="ET162" i="33"/>
  <c r="EU162" i="33"/>
  <c r="EV162" i="33"/>
  <c r="EW162" i="33"/>
  <c r="EX162" i="33"/>
  <c r="EY162" i="33"/>
  <c r="EZ162" i="33"/>
  <c r="ES163" i="33"/>
  <c r="ET163" i="33"/>
  <c r="EU163" i="33"/>
  <c r="EV163" i="33"/>
  <c r="EW163" i="33"/>
  <c r="EX163" i="33"/>
  <c r="EY163" i="33"/>
  <c r="EZ163" i="33"/>
  <c r="ES164" i="33"/>
  <c r="ET164" i="33"/>
  <c r="EU164" i="33"/>
  <c r="EV164" i="33"/>
  <c r="EW164" i="33"/>
  <c r="EX164" i="33"/>
  <c r="EY164" i="33"/>
  <c r="EZ164" i="33"/>
  <c r="ES165" i="33"/>
  <c r="ET165" i="33"/>
  <c r="EU165" i="33"/>
  <c r="EV165" i="33"/>
  <c r="EW165" i="33"/>
  <c r="EX165" i="33"/>
  <c r="EY165" i="33"/>
  <c r="EZ165" i="33"/>
  <c r="ES166" i="33"/>
  <c r="ET166" i="33"/>
  <c r="EU166" i="33"/>
  <c r="EV166" i="33"/>
  <c r="EW166" i="33"/>
  <c r="EX166" i="33"/>
  <c r="EY166" i="33"/>
  <c r="EZ166" i="33"/>
  <c r="ES167" i="33"/>
  <c r="ET167" i="33"/>
  <c r="EU167" i="33"/>
  <c r="EV167" i="33"/>
  <c r="EW167" i="33"/>
  <c r="EX167" i="33"/>
  <c r="EY167" i="33"/>
  <c r="EZ167" i="33"/>
  <c r="ES168" i="33"/>
  <c r="ET168" i="33"/>
  <c r="EU168" i="33"/>
  <c r="EV168" i="33"/>
  <c r="EW168" i="33"/>
  <c r="EX168" i="33"/>
  <c r="EY168" i="33"/>
  <c r="EZ168" i="33"/>
  <c r="ES169" i="33"/>
  <c r="ET169" i="33"/>
  <c r="EU169" i="33"/>
  <c r="EV169" i="33"/>
  <c r="EW169" i="33"/>
  <c r="EX169" i="33"/>
  <c r="EY169" i="33"/>
  <c r="EZ169" i="33"/>
  <c r="ES170" i="33"/>
  <c r="ET170" i="33"/>
  <c r="EU170" i="33"/>
  <c r="EV170" i="33"/>
  <c r="EW170" i="33"/>
  <c r="EX170" i="33"/>
  <c r="EY170" i="33"/>
  <c r="EZ170" i="33"/>
  <c r="ES171" i="33"/>
  <c r="ET171" i="33"/>
  <c r="EU171" i="33"/>
  <c r="EV171" i="33"/>
  <c r="EW171" i="33"/>
  <c r="EX171" i="33"/>
  <c r="EY171" i="33"/>
  <c r="EZ171" i="33"/>
  <c r="ES172" i="33"/>
  <c r="ET172" i="33"/>
  <c r="EU172" i="33"/>
  <c r="EV172" i="33"/>
  <c r="EW172" i="33"/>
  <c r="EX172" i="33"/>
  <c r="EY172" i="33"/>
  <c r="EZ172" i="33"/>
  <c r="ES173" i="33"/>
  <c r="ET173" i="33"/>
  <c r="EU173" i="33"/>
  <c r="EV173" i="33"/>
  <c r="EW173" i="33"/>
  <c r="EX173" i="33"/>
  <c r="EY173" i="33"/>
  <c r="EZ173" i="33"/>
  <c r="ES174" i="33"/>
  <c r="ET174" i="33"/>
  <c r="EU174" i="33"/>
  <c r="EV174" i="33"/>
  <c r="EW174" i="33"/>
  <c r="EX174" i="33"/>
  <c r="EY174" i="33"/>
  <c r="EZ174" i="33"/>
  <c r="ES175" i="33"/>
  <c r="ET175" i="33"/>
  <c r="EU175" i="33"/>
  <c r="EV175" i="33"/>
  <c r="EW175" i="33"/>
  <c r="EX175" i="33"/>
  <c r="EY175" i="33"/>
  <c r="EZ175" i="33"/>
  <c r="ES176" i="33"/>
  <c r="ET176" i="33"/>
  <c r="EU176" i="33"/>
  <c r="EV176" i="33"/>
  <c r="EW176" i="33"/>
  <c r="EX176" i="33"/>
  <c r="EY176" i="33"/>
  <c r="EZ176" i="33"/>
  <c r="ES177" i="33"/>
  <c r="ET177" i="33"/>
  <c r="EU177" i="33"/>
  <c r="EV177" i="33"/>
  <c r="EW177" i="33"/>
  <c r="EX177" i="33"/>
  <c r="EY177" i="33"/>
  <c r="EZ177" i="33"/>
  <c r="ES178" i="33"/>
  <c r="ET178" i="33"/>
  <c r="EU178" i="33"/>
  <c r="EV178" i="33"/>
  <c r="EW178" i="33"/>
  <c r="EX178" i="33"/>
  <c r="EY178" i="33"/>
  <c r="EZ178" i="33"/>
  <c r="ES179" i="33"/>
  <c r="ET179" i="33"/>
  <c r="EU179" i="33"/>
  <c r="EV179" i="33"/>
  <c r="EW179" i="33"/>
  <c r="EX179" i="33"/>
  <c r="EY179" i="33"/>
  <c r="EZ179" i="33"/>
  <c r="ES180" i="33"/>
  <c r="ET180" i="33"/>
  <c r="EU180" i="33"/>
  <c r="EV180" i="33"/>
  <c r="EW180" i="33"/>
  <c r="EX180" i="33"/>
  <c r="EY180" i="33"/>
  <c r="EZ180" i="33"/>
  <c r="ET181" i="33"/>
  <c r="EU181" i="33"/>
  <c r="EV181" i="33"/>
  <c r="EW181" i="33"/>
  <c r="EX181" i="33"/>
  <c r="EY181" i="33"/>
  <c r="EZ181" i="33"/>
  <c r="ET182" i="33"/>
  <c r="EU182" i="33"/>
  <c r="EV182" i="33"/>
  <c r="EW182" i="33"/>
  <c r="EX182" i="33"/>
  <c r="EY182" i="33"/>
  <c r="EZ182" i="33"/>
  <c r="ES183" i="33"/>
  <c r="ET183" i="33"/>
  <c r="EU183" i="33"/>
  <c r="EV183" i="33"/>
  <c r="EW183" i="33"/>
  <c r="EX183" i="33"/>
  <c r="EY183" i="33"/>
  <c r="EZ183" i="33"/>
  <c r="ES184" i="33"/>
  <c r="ET184" i="33"/>
  <c r="EU184" i="33"/>
  <c r="EV184" i="33"/>
  <c r="EW184" i="33"/>
  <c r="EX184" i="33"/>
  <c r="EY184" i="33"/>
  <c r="EZ184" i="33"/>
  <c r="ES185" i="33"/>
  <c r="ET185" i="33"/>
  <c r="EU185" i="33"/>
  <c r="EV185" i="33"/>
  <c r="EW185" i="33"/>
  <c r="EX185" i="33"/>
  <c r="EY185" i="33"/>
  <c r="EZ185" i="33"/>
  <c r="ES186" i="33"/>
  <c r="ET186" i="33"/>
  <c r="EU186" i="33"/>
  <c r="EV186" i="33"/>
  <c r="EW186" i="33"/>
  <c r="EX186" i="33"/>
  <c r="EY186" i="33"/>
  <c r="EZ186" i="33"/>
  <c r="ES187" i="33"/>
  <c r="ET187" i="33"/>
  <c r="EU187" i="33"/>
  <c r="EV187" i="33"/>
  <c r="EW187" i="33"/>
  <c r="EX187" i="33"/>
  <c r="EY187" i="33"/>
  <c r="EZ187" i="33"/>
  <c r="ES188" i="33"/>
  <c r="ET188" i="33"/>
  <c r="EU188" i="33"/>
  <c r="EV188" i="33"/>
  <c r="EW188" i="33"/>
  <c r="EX188" i="33"/>
  <c r="EY188" i="33"/>
  <c r="EZ188" i="33"/>
  <c r="ES189" i="33"/>
  <c r="ET189" i="33"/>
  <c r="EU189" i="33"/>
  <c r="EV189" i="33"/>
  <c r="EW189" i="33"/>
  <c r="EX189" i="33"/>
  <c r="EY189" i="33"/>
  <c r="EZ189" i="33"/>
  <c r="ES190" i="33"/>
  <c r="ET190" i="33"/>
  <c r="EU190" i="33"/>
  <c r="EV190" i="33"/>
  <c r="EW190" i="33"/>
  <c r="EX190" i="33"/>
  <c r="EY190" i="33"/>
  <c r="EZ190" i="33"/>
  <c r="ES191" i="33"/>
  <c r="ET191" i="33"/>
  <c r="EU191" i="33"/>
  <c r="EV191" i="33"/>
  <c r="EW191" i="33"/>
  <c r="EX191" i="33"/>
  <c r="EY191" i="33"/>
  <c r="EZ191" i="33"/>
  <c r="ES192" i="33"/>
  <c r="ET192" i="33"/>
  <c r="EU192" i="33"/>
  <c r="EV192" i="33"/>
  <c r="EW192" i="33"/>
  <c r="EX192" i="33"/>
  <c r="EY192" i="33"/>
  <c r="EZ192" i="33"/>
  <c r="ES193" i="33"/>
  <c r="ET193" i="33"/>
  <c r="EU193" i="33"/>
  <c r="EV193" i="33"/>
  <c r="EW193" i="33"/>
  <c r="EX193" i="33"/>
  <c r="EY193" i="33"/>
  <c r="EZ193" i="33"/>
  <c r="ES194" i="33"/>
  <c r="ET194" i="33"/>
  <c r="EU194" i="33"/>
  <c r="EV194" i="33"/>
  <c r="EW194" i="33"/>
  <c r="EX194" i="33"/>
  <c r="EY194" i="33"/>
  <c r="EZ194" i="33"/>
  <c r="ES195" i="33"/>
  <c r="ET195" i="33"/>
  <c r="EU195" i="33"/>
  <c r="EV195" i="33"/>
  <c r="EW195" i="33"/>
  <c r="EX195" i="33"/>
  <c r="EY195" i="33"/>
  <c r="EZ195" i="33"/>
  <c r="ES196" i="33"/>
  <c r="ET196" i="33"/>
  <c r="EU196" i="33"/>
  <c r="EV196" i="33"/>
  <c r="EW196" i="33"/>
  <c r="EX196" i="33"/>
  <c r="EY196" i="33"/>
  <c r="EZ196" i="33"/>
  <c r="ES197" i="33"/>
  <c r="ET197" i="33"/>
  <c r="EU197" i="33"/>
  <c r="EV197" i="33"/>
  <c r="EW197" i="33"/>
  <c r="EX197" i="33"/>
  <c r="EY197" i="33"/>
  <c r="EZ197" i="33"/>
  <c r="ES128" i="33"/>
  <c r="EV128" i="33"/>
  <c r="J182" i="33"/>
  <c r="L182" i="33" l="1"/>
  <c r="K182" i="33"/>
  <c r="W129" i="33" a="1"/>
  <c r="W129" i="33" s="1"/>
  <c r="W130" i="33" a="1"/>
  <c r="W130" i="33" s="1"/>
  <c r="W131" i="33" a="1"/>
  <c r="W131" i="33" s="1"/>
  <c r="W132" i="33" a="1"/>
  <c r="W132" i="33" s="1"/>
  <c r="W133" i="33" a="1"/>
  <c r="W133" i="33" s="1"/>
  <c r="W134" i="33" a="1"/>
  <c r="W134" i="33" s="1"/>
  <c r="W135" i="33" a="1"/>
  <c r="W135" i="33" s="1"/>
  <c r="W136" i="33" a="1"/>
  <c r="W136" i="33" s="1"/>
  <c r="W137" i="33" a="1"/>
  <c r="W137" i="33" s="1"/>
  <c r="W138" i="33" a="1"/>
  <c r="W138" i="33" s="1"/>
  <c r="W139" i="33" a="1"/>
  <c r="W139" i="33" s="1"/>
  <c r="W140" i="33" a="1"/>
  <c r="W140" i="33"/>
  <c r="W141" i="33" a="1"/>
  <c r="W141" i="33" s="1"/>
  <c r="W142" i="33" a="1"/>
  <c r="W142" i="33" s="1"/>
  <c r="W143" i="33" a="1"/>
  <c r="W143" i="33" s="1"/>
  <c r="W144" i="33" a="1"/>
  <c r="W144" i="33" s="1"/>
  <c r="W145" i="33" a="1"/>
  <c r="W145" i="33" s="1"/>
  <c r="W146" i="33" a="1"/>
  <c r="W146" i="33" s="1"/>
  <c r="W147" i="33" a="1"/>
  <c r="W147" i="33" s="1"/>
  <c r="W148" i="33" a="1"/>
  <c r="W148" i="33" s="1"/>
  <c r="W149" i="33" a="1"/>
  <c r="W149" i="33" s="1"/>
  <c r="W150" i="33" a="1"/>
  <c r="W150" i="33" s="1"/>
  <c r="W151" i="33" a="1"/>
  <c r="W151" i="33" s="1"/>
  <c r="W152" i="33" a="1"/>
  <c r="W152" i="33" s="1"/>
  <c r="W153" i="33" a="1"/>
  <c r="W153" i="33" s="1"/>
  <c r="W154" i="33" a="1"/>
  <c r="W154" i="33" s="1"/>
  <c r="W155" i="33" a="1"/>
  <c r="W155" i="33" s="1"/>
  <c r="W156" i="33" a="1"/>
  <c r="W156" i="33" s="1"/>
  <c r="W157" i="33" a="1"/>
  <c r="W157" i="33" s="1"/>
  <c r="W158" i="33" a="1"/>
  <c r="W158" i="33" s="1"/>
  <c r="W159" i="33" a="1"/>
  <c r="W159" i="33" s="1"/>
  <c r="W160" i="33" a="1"/>
  <c r="W160" i="33" s="1"/>
  <c r="W161" i="33" a="1"/>
  <c r="W161" i="33" s="1"/>
  <c r="W162" i="33" a="1"/>
  <c r="W162" i="33" s="1"/>
  <c r="W163" i="33" a="1"/>
  <c r="W163" i="33" s="1"/>
  <c r="W164" i="33" a="1"/>
  <c r="W164" i="33" s="1"/>
  <c r="W165" i="33" a="1"/>
  <c r="W165" i="33" s="1"/>
  <c r="W166" i="33" a="1"/>
  <c r="W166" i="33" s="1"/>
  <c r="W167" i="33" a="1"/>
  <c r="W167" i="33" s="1"/>
  <c r="W168" i="33" a="1"/>
  <c r="W168" i="33" s="1"/>
  <c r="W169" i="33" a="1"/>
  <c r="W169" i="33" s="1"/>
  <c r="W170" i="33" a="1"/>
  <c r="W170" i="33" s="1"/>
  <c r="W171" i="33" a="1"/>
  <c r="W171" i="33" s="1"/>
  <c r="W172" i="33" a="1"/>
  <c r="W172" i="33" s="1"/>
  <c r="W173" i="33" a="1"/>
  <c r="W173" i="33" s="1"/>
  <c r="W174" i="33" a="1"/>
  <c r="W174" i="33" s="1"/>
  <c r="W175" i="33" a="1"/>
  <c r="W175" i="33" s="1"/>
  <c r="W176" i="33" a="1"/>
  <c r="W176" i="33" s="1"/>
  <c r="W177" i="33" a="1"/>
  <c r="W177" i="33" s="1"/>
  <c r="W178" i="33" a="1"/>
  <c r="W178" i="33" s="1"/>
  <c r="W179" i="33" a="1"/>
  <c r="W179" i="33" s="1"/>
  <c r="W180" i="33" a="1"/>
  <c r="W180" i="33" s="1"/>
  <c r="W181" i="33" a="1"/>
  <c r="W181" i="33" s="1"/>
  <c r="W182" i="33" a="1"/>
  <c r="W182" i="33" s="1"/>
  <c r="W183" i="33" a="1"/>
  <c r="W183" i="33" s="1"/>
  <c r="W184" i="33" a="1"/>
  <c r="W184" i="33" s="1"/>
  <c r="W185" i="33" a="1"/>
  <c r="W185" i="33" s="1"/>
  <c r="W186" i="33" a="1"/>
  <c r="W186" i="33" s="1"/>
  <c r="W187" i="33" a="1"/>
  <c r="W187" i="33" s="1"/>
  <c r="W188" i="33" a="1"/>
  <c r="W188" i="33" s="1"/>
  <c r="W189" i="33" a="1"/>
  <c r="W189" i="33" s="1"/>
  <c r="W190" i="33" a="1"/>
  <c r="W190" i="33" s="1"/>
  <c r="W191" i="33" a="1"/>
  <c r="W191" i="33" s="1"/>
  <c r="W192" i="33" a="1"/>
  <c r="W192" i="33" s="1"/>
  <c r="W193" i="33" a="1"/>
  <c r="W193" i="33" s="1"/>
  <c r="W194" i="33" a="1"/>
  <c r="W194" i="33" s="1"/>
  <c r="W195" i="33" a="1"/>
  <c r="W195" i="33" s="1"/>
  <c r="W196" i="33" a="1"/>
  <c r="W196" i="33" s="1"/>
  <c r="W197" i="33" a="1"/>
  <c r="W197" i="33" s="1"/>
  <c r="W128" i="33" a="1"/>
  <c r="W128" i="33" s="1"/>
  <c r="V129" i="33" a="1"/>
  <c r="V129" i="33" s="1"/>
  <c r="V130" i="33" a="1"/>
  <c r="V130" i="33" s="1"/>
  <c r="V131" i="33" a="1"/>
  <c r="V131" i="33" s="1"/>
  <c r="V132" i="33" a="1"/>
  <c r="V132" i="33" s="1"/>
  <c r="V133" i="33" a="1"/>
  <c r="V133" i="33" s="1"/>
  <c r="V134" i="33" a="1"/>
  <c r="V134" i="33" s="1"/>
  <c r="V135" i="33" a="1"/>
  <c r="V135" i="33" s="1"/>
  <c r="V136" i="33" a="1"/>
  <c r="V136" i="33" s="1"/>
  <c r="V137" i="33" a="1"/>
  <c r="V137" i="33" s="1"/>
  <c r="V138" i="33" a="1"/>
  <c r="V138" i="33" s="1"/>
  <c r="V139" i="33" a="1"/>
  <c r="V139" i="33" s="1"/>
  <c r="V140" i="33" a="1"/>
  <c r="V140" i="33" s="1"/>
  <c r="V141" i="33" a="1"/>
  <c r="V141" i="33" s="1"/>
  <c r="V142" i="33" a="1"/>
  <c r="V142" i="33" s="1"/>
  <c r="V143" i="33" a="1"/>
  <c r="V143" i="33" s="1"/>
  <c r="V144" i="33" a="1"/>
  <c r="V144" i="33" s="1"/>
  <c r="V145" i="33" a="1"/>
  <c r="V145" i="33" s="1"/>
  <c r="V146" i="33" a="1"/>
  <c r="V146" i="33" s="1"/>
  <c r="V147" i="33" a="1"/>
  <c r="V147" i="33" s="1"/>
  <c r="V148" i="33" a="1"/>
  <c r="V148" i="33" s="1"/>
  <c r="V149" i="33" a="1"/>
  <c r="V149" i="33" s="1"/>
  <c r="V150" i="33" a="1"/>
  <c r="V150" i="33" s="1"/>
  <c r="V151" i="33" a="1"/>
  <c r="V151" i="33" s="1"/>
  <c r="V152" i="33" a="1"/>
  <c r="V152" i="33" s="1"/>
  <c r="V153" i="33" a="1"/>
  <c r="V153" i="33" s="1"/>
  <c r="V154" i="33" a="1"/>
  <c r="V154" i="33" s="1"/>
  <c r="V155" i="33" a="1"/>
  <c r="V155" i="33" s="1"/>
  <c r="V156" i="33" a="1"/>
  <c r="V156" i="33" s="1"/>
  <c r="V157" i="33" a="1"/>
  <c r="V157" i="33" s="1"/>
  <c r="V158" i="33" a="1"/>
  <c r="V158" i="33" s="1"/>
  <c r="V159" i="33" a="1"/>
  <c r="V159" i="33" s="1"/>
  <c r="V160" i="33" a="1"/>
  <c r="V160" i="33" s="1"/>
  <c r="V161" i="33" a="1"/>
  <c r="V161" i="33" s="1"/>
  <c r="V162" i="33" a="1"/>
  <c r="V162" i="33" s="1"/>
  <c r="V163" i="33" a="1"/>
  <c r="V163" i="33" s="1"/>
  <c r="V164" i="33" a="1"/>
  <c r="V164" i="33" s="1"/>
  <c r="V165" i="33" a="1"/>
  <c r="V165" i="33" s="1"/>
  <c r="V166" i="33" a="1"/>
  <c r="V166" i="33" s="1"/>
  <c r="V167" i="33" a="1"/>
  <c r="V167" i="33" s="1"/>
  <c r="V168" i="33" a="1"/>
  <c r="V168" i="33" s="1"/>
  <c r="V169" i="33" a="1"/>
  <c r="V169" i="33" s="1"/>
  <c r="V170" i="33" a="1"/>
  <c r="V170" i="33" s="1"/>
  <c r="V171" i="33" a="1"/>
  <c r="V171" i="33" s="1"/>
  <c r="V172" i="33" a="1"/>
  <c r="V172" i="33"/>
  <c r="V173" i="33" a="1"/>
  <c r="V173" i="33" s="1"/>
  <c r="V174" i="33" a="1"/>
  <c r="V174" i="33" s="1"/>
  <c r="V175" i="33" a="1"/>
  <c r="V175" i="33" s="1"/>
  <c r="V176" i="33" a="1"/>
  <c r="V176" i="33" s="1"/>
  <c r="V177" i="33" a="1"/>
  <c r="V177" i="33" s="1"/>
  <c r="V178" i="33" a="1"/>
  <c r="V178" i="33" s="1"/>
  <c r="V179" i="33" a="1"/>
  <c r="V179" i="33" s="1"/>
  <c r="V180" i="33" a="1"/>
  <c r="V180" i="33" s="1"/>
  <c r="V181" i="33" a="1"/>
  <c r="V181" i="33" s="1"/>
  <c r="V182" i="33" a="1"/>
  <c r="V182" i="33" s="1"/>
  <c r="V183" i="33" a="1"/>
  <c r="V183" i="33" s="1"/>
  <c r="V184" i="33" a="1"/>
  <c r="V184" i="33" s="1"/>
  <c r="V185" i="33" a="1"/>
  <c r="V185" i="33" s="1"/>
  <c r="V186" i="33" a="1"/>
  <c r="V186" i="33" s="1"/>
  <c r="V187" i="33" a="1"/>
  <c r="V187" i="33" s="1"/>
  <c r="V188" i="33" a="1"/>
  <c r="V188" i="33" s="1"/>
  <c r="V189" i="33" a="1"/>
  <c r="V189" i="33" s="1"/>
  <c r="V190" i="33" a="1"/>
  <c r="V190" i="33" s="1"/>
  <c r="V191" i="33" a="1"/>
  <c r="V191" i="33" s="1"/>
  <c r="V192" i="33" a="1"/>
  <c r="V192" i="33" s="1"/>
  <c r="V193" i="33" a="1"/>
  <c r="V193" i="33" s="1"/>
  <c r="V194" i="33" a="1"/>
  <c r="V194" i="33" s="1"/>
  <c r="V195" i="33" a="1"/>
  <c r="V195" i="33" s="1"/>
  <c r="V196" i="33" a="1"/>
  <c r="V196" i="33" s="1"/>
  <c r="V197" i="33" a="1"/>
  <c r="V197" i="33" s="1"/>
  <c r="V128" i="33" a="1"/>
  <c r="V128" i="33" s="1"/>
  <c r="U128" i="33" a="1"/>
  <c r="U128" i="33" s="1"/>
  <c r="U129" i="33" a="1"/>
  <c r="U129" i="33" s="1"/>
  <c r="U130" i="33" a="1"/>
  <c r="U130" i="33" s="1"/>
  <c r="U131" i="33" a="1"/>
  <c r="U131" i="33" s="1"/>
  <c r="U132" i="33" a="1"/>
  <c r="U132" i="33" s="1"/>
  <c r="U133" i="33" a="1"/>
  <c r="U133" i="33" s="1"/>
  <c r="U134" i="33" a="1"/>
  <c r="U134" i="33" s="1"/>
  <c r="U135" i="33" a="1"/>
  <c r="U135" i="33" s="1"/>
  <c r="U136" i="33" a="1"/>
  <c r="U136" i="33" s="1"/>
  <c r="U137" i="33" a="1"/>
  <c r="U137" i="33" s="1"/>
  <c r="U138" i="33" a="1"/>
  <c r="U138" i="33" s="1"/>
  <c r="U139" i="33" a="1"/>
  <c r="U139" i="33" s="1"/>
  <c r="U140" i="33" a="1"/>
  <c r="U140" i="33" s="1"/>
  <c r="U141" i="33" a="1"/>
  <c r="U141" i="33" s="1"/>
  <c r="U142" i="33" a="1"/>
  <c r="U142" i="33" s="1"/>
  <c r="U143" i="33" a="1"/>
  <c r="U143" i="33" s="1"/>
  <c r="U144" i="33" a="1"/>
  <c r="U144" i="33" s="1"/>
  <c r="U145" i="33" a="1"/>
  <c r="U145" i="33" s="1"/>
  <c r="U146" i="33" a="1"/>
  <c r="U146" i="33" s="1"/>
  <c r="U147" i="33" a="1"/>
  <c r="U147" i="33" s="1"/>
  <c r="U148" i="33" a="1"/>
  <c r="U148" i="33" s="1"/>
  <c r="U149" i="33" a="1"/>
  <c r="U149" i="33" s="1"/>
  <c r="U150" i="33" a="1"/>
  <c r="U150" i="33" s="1"/>
  <c r="U152" i="33" a="1"/>
  <c r="U152" i="33" s="1"/>
  <c r="U154" i="33" a="1"/>
  <c r="U154" i="33" s="1"/>
  <c r="U155" i="33" a="1"/>
  <c r="U155" i="33" s="1"/>
  <c r="U156" i="33" a="1"/>
  <c r="U156" i="33" s="1"/>
  <c r="U157" i="33" a="1"/>
  <c r="U157" i="33" s="1"/>
  <c r="U158" i="33" a="1"/>
  <c r="U158" i="33" s="1"/>
  <c r="U159" i="33" a="1"/>
  <c r="U159" i="33" s="1"/>
  <c r="U160" i="33" a="1"/>
  <c r="U160" i="33"/>
  <c r="U161" i="33" a="1"/>
  <c r="U161" i="33" s="1"/>
  <c r="U162" i="33" a="1"/>
  <c r="U162" i="33" s="1"/>
  <c r="U163" i="33" a="1"/>
  <c r="U163" i="33" s="1"/>
  <c r="U164" i="33" a="1"/>
  <c r="U164" i="33" s="1"/>
  <c r="U165" i="33" a="1"/>
  <c r="U165" i="33" s="1"/>
  <c r="U166" i="33" a="1"/>
  <c r="U166" i="33" s="1"/>
  <c r="U167" i="33" a="1"/>
  <c r="U167" i="33" s="1"/>
  <c r="U168" i="33" a="1"/>
  <c r="U168" i="33"/>
  <c r="U169" i="33" a="1"/>
  <c r="U169" i="33" s="1"/>
  <c r="U170" i="33" a="1"/>
  <c r="U170" i="33" s="1"/>
  <c r="U171" i="33" a="1"/>
  <c r="U171" i="33" s="1"/>
  <c r="U172" i="33" a="1"/>
  <c r="U172" i="33" s="1"/>
  <c r="U173" i="33" a="1"/>
  <c r="U173" i="33" s="1"/>
  <c r="U174" i="33" a="1"/>
  <c r="U174" i="33" s="1"/>
  <c r="U175" i="33" a="1"/>
  <c r="U175" i="33" s="1"/>
  <c r="U176" i="33" a="1"/>
  <c r="U176" i="33" s="1"/>
  <c r="U177" i="33" a="1"/>
  <c r="U177" i="33" s="1"/>
  <c r="U178" i="33" a="1"/>
  <c r="U178" i="33" s="1"/>
  <c r="U179" i="33" a="1"/>
  <c r="U179" i="33" s="1"/>
  <c r="U180" i="33" a="1"/>
  <c r="U180" i="33" s="1"/>
  <c r="U181" i="33" a="1"/>
  <c r="U181" i="33" s="1"/>
  <c r="U182" i="33" a="1"/>
  <c r="U182" i="33" s="1"/>
  <c r="U183" i="33" a="1"/>
  <c r="U183" i="33" s="1"/>
  <c r="U184" i="33" a="1"/>
  <c r="U184" i="33" s="1"/>
  <c r="U185" i="33" a="1"/>
  <c r="U185" i="33" s="1"/>
  <c r="U186" i="33" a="1"/>
  <c r="U186" i="33" s="1"/>
  <c r="U187" i="33" a="1"/>
  <c r="U187" i="33" s="1"/>
  <c r="U188" i="33" a="1"/>
  <c r="U188" i="33" s="1"/>
  <c r="U189" i="33" a="1"/>
  <c r="U189" i="33" s="1"/>
  <c r="U190" i="33" a="1"/>
  <c r="U190" i="33" s="1"/>
  <c r="U191" i="33" a="1"/>
  <c r="U191" i="33" s="1"/>
  <c r="U192" i="33" a="1"/>
  <c r="U192" i="33"/>
  <c r="U193" i="33" a="1"/>
  <c r="U193" i="33" s="1"/>
  <c r="U194" i="33" a="1"/>
  <c r="U194" i="33" s="1"/>
  <c r="U195" i="33" a="1"/>
  <c r="U195" i="33" s="1"/>
  <c r="U196" i="33" a="1"/>
  <c r="U196" i="33" s="1"/>
  <c r="U197" i="33" a="1"/>
  <c r="U197" i="33" s="1"/>
  <c r="U153" i="33" a="1"/>
  <c r="U153" i="33" s="1"/>
  <c r="N3" i="41"/>
  <c r="O3" i="41"/>
  <c r="P3" i="41"/>
  <c r="Q3" i="41"/>
  <c r="R3" i="41"/>
  <c r="S3" i="41"/>
  <c r="T3" i="41"/>
  <c r="U3" i="41"/>
  <c r="N4" i="41"/>
  <c r="O4" i="41"/>
  <c r="P4" i="41"/>
  <c r="Q4" i="41"/>
  <c r="R4" i="41"/>
  <c r="S4" i="41"/>
  <c r="T4" i="41"/>
  <c r="U4" i="41"/>
  <c r="N5" i="41"/>
  <c r="O5" i="41"/>
  <c r="P5" i="41"/>
  <c r="Q5" i="41"/>
  <c r="R5" i="41"/>
  <c r="S5" i="41"/>
  <c r="T5" i="41"/>
  <c r="U5" i="41"/>
  <c r="N6" i="41"/>
  <c r="O6" i="41"/>
  <c r="P6" i="41"/>
  <c r="Q6" i="41"/>
  <c r="R6" i="41"/>
  <c r="S6" i="41"/>
  <c r="T6" i="41"/>
  <c r="U6" i="41"/>
  <c r="N7" i="41"/>
  <c r="O7" i="41"/>
  <c r="P7" i="41"/>
  <c r="Q7" i="41"/>
  <c r="R7" i="41"/>
  <c r="S7" i="41"/>
  <c r="T7" i="41"/>
  <c r="U7" i="41"/>
  <c r="N8" i="41"/>
  <c r="O8" i="41"/>
  <c r="P8" i="41"/>
  <c r="Q8" i="41"/>
  <c r="R8" i="41"/>
  <c r="S8" i="41"/>
  <c r="T8" i="41"/>
  <c r="U8" i="41"/>
  <c r="N9" i="41"/>
  <c r="O9" i="41"/>
  <c r="P9" i="41"/>
  <c r="Q9" i="41"/>
  <c r="R9" i="41"/>
  <c r="S9" i="41"/>
  <c r="T9" i="41"/>
  <c r="U9" i="41"/>
  <c r="N10" i="41"/>
  <c r="O10" i="41"/>
  <c r="P10" i="41"/>
  <c r="Q10" i="41"/>
  <c r="R10" i="41"/>
  <c r="S10" i="41"/>
  <c r="T10" i="41"/>
  <c r="U10" i="41"/>
  <c r="N11" i="41"/>
  <c r="O11" i="41"/>
  <c r="P11" i="41"/>
  <c r="Q11" i="41"/>
  <c r="R11" i="41"/>
  <c r="S11" i="41"/>
  <c r="T11" i="41"/>
  <c r="U11" i="41"/>
  <c r="N12" i="41"/>
  <c r="O12" i="41"/>
  <c r="P12" i="41"/>
  <c r="Q12" i="41"/>
  <c r="R12" i="41"/>
  <c r="S12" i="41"/>
  <c r="T12" i="41"/>
  <c r="U12" i="41"/>
  <c r="N13" i="41"/>
  <c r="O13" i="41"/>
  <c r="P13" i="41"/>
  <c r="Q13" i="41"/>
  <c r="R13" i="41"/>
  <c r="S13" i="41"/>
  <c r="T13" i="41"/>
  <c r="U13" i="41"/>
  <c r="N14" i="41"/>
  <c r="O14" i="41"/>
  <c r="P14" i="41"/>
  <c r="Q14" i="41"/>
  <c r="R14" i="41"/>
  <c r="S14" i="41"/>
  <c r="T14" i="41"/>
  <c r="U14" i="41"/>
  <c r="N15" i="41"/>
  <c r="O15" i="41"/>
  <c r="P15" i="41"/>
  <c r="Q15" i="41"/>
  <c r="R15" i="41"/>
  <c r="S15" i="41"/>
  <c r="T15" i="41"/>
  <c r="U15" i="41"/>
  <c r="N16" i="41"/>
  <c r="O16" i="41"/>
  <c r="P16" i="41"/>
  <c r="Q16" i="41"/>
  <c r="R16" i="41"/>
  <c r="S16" i="41"/>
  <c r="T16" i="41"/>
  <c r="U16" i="41"/>
  <c r="N17" i="41"/>
  <c r="O17" i="41"/>
  <c r="P17" i="41"/>
  <c r="Q17" i="41"/>
  <c r="R17" i="41"/>
  <c r="S17" i="41"/>
  <c r="T17" i="41"/>
  <c r="U17" i="41"/>
  <c r="N18" i="41"/>
  <c r="O18" i="41"/>
  <c r="P18" i="41"/>
  <c r="Q18" i="41"/>
  <c r="R18" i="41"/>
  <c r="S18" i="41"/>
  <c r="T18" i="41"/>
  <c r="U18" i="41"/>
  <c r="N19" i="41"/>
  <c r="O19" i="41"/>
  <c r="P19" i="41"/>
  <c r="Q19" i="41"/>
  <c r="R19" i="41"/>
  <c r="S19" i="41"/>
  <c r="T19" i="41"/>
  <c r="U19" i="41"/>
  <c r="N20" i="41"/>
  <c r="O20" i="41"/>
  <c r="P20" i="41"/>
  <c r="Q20" i="41"/>
  <c r="R20" i="41"/>
  <c r="S20" i="41"/>
  <c r="T20" i="41"/>
  <c r="U20" i="41"/>
  <c r="N21" i="41"/>
  <c r="O21" i="41"/>
  <c r="P21" i="41"/>
  <c r="Q21" i="41"/>
  <c r="R21" i="41"/>
  <c r="S21" i="41"/>
  <c r="T21" i="41"/>
  <c r="U21" i="41"/>
  <c r="N22" i="41"/>
  <c r="O22" i="41"/>
  <c r="P22" i="41"/>
  <c r="Q22" i="41"/>
  <c r="R22" i="41"/>
  <c r="S22" i="41"/>
  <c r="T22" i="41"/>
  <c r="U22" i="41"/>
  <c r="N23" i="41"/>
  <c r="O23" i="41"/>
  <c r="P23" i="41"/>
  <c r="Q23" i="41"/>
  <c r="R23" i="41"/>
  <c r="S23" i="41"/>
  <c r="T23" i="41"/>
  <c r="U23" i="41"/>
  <c r="N24" i="41"/>
  <c r="O24" i="41"/>
  <c r="P24" i="41"/>
  <c r="Q24" i="41"/>
  <c r="R24" i="41"/>
  <c r="S24" i="41"/>
  <c r="T24" i="41"/>
  <c r="U24" i="41"/>
  <c r="N25" i="41"/>
  <c r="O25" i="41"/>
  <c r="P25" i="41"/>
  <c r="Q25" i="41"/>
  <c r="R25" i="41"/>
  <c r="S25" i="41"/>
  <c r="T25" i="41"/>
  <c r="U25" i="41"/>
  <c r="N26" i="41"/>
  <c r="O26" i="41"/>
  <c r="P26" i="41"/>
  <c r="Q26" i="41"/>
  <c r="R26" i="41"/>
  <c r="S26" i="41"/>
  <c r="T26" i="41"/>
  <c r="U26" i="41"/>
  <c r="N27" i="41"/>
  <c r="O27" i="41"/>
  <c r="P27" i="41"/>
  <c r="Q27" i="41"/>
  <c r="R27" i="41"/>
  <c r="S27" i="41"/>
  <c r="T27" i="41"/>
  <c r="U27" i="41"/>
  <c r="N28" i="41"/>
  <c r="O28" i="41"/>
  <c r="P28" i="41"/>
  <c r="Q28" i="41"/>
  <c r="R28" i="41"/>
  <c r="S28" i="41"/>
  <c r="T28" i="41"/>
  <c r="U28" i="41"/>
  <c r="N29" i="41"/>
  <c r="O29" i="41"/>
  <c r="P29" i="41"/>
  <c r="Q29" i="41"/>
  <c r="R29" i="41"/>
  <c r="S29" i="41"/>
  <c r="T29" i="41"/>
  <c r="U29" i="41"/>
  <c r="N30" i="41"/>
  <c r="O30" i="41"/>
  <c r="P30" i="41"/>
  <c r="Q30" i="41"/>
  <c r="R30" i="41"/>
  <c r="S30" i="41"/>
  <c r="T30" i="41"/>
  <c r="U30" i="41"/>
  <c r="N31" i="41"/>
  <c r="O31" i="41"/>
  <c r="P31" i="41"/>
  <c r="Q31" i="41"/>
  <c r="R31" i="41"/>
  <c r="S31" i="41"/>
  <c r="T31" i="41"/>
  <c r="U31" i="41"/>
  <c r="N32" i="41"/>
  <c r="O32" i="41"/>
  <c r="P32" i="41"/>
  <c r="Q32" i="41"/>
  <c r="R32" i="41"/>
  <c r="S32" i="41"/>
  <c r="T32" i="41"/>
  <c r="U32" i="41"/>
  <c r="N33" i="41"/>
  <c r="O33" i="41"/>
  <c r="P33" i="41"/>
  <c r="Q33" i="41"/>
  <c r="R33" i="41"/>
  <c r="S33" i="41"/>
  <c r="T33" i="41"/>
  <c r="U33" i="41"/>
  <c r="N34" i="41"/>
  <c r="O34" i="41"/>
  <c r="P34" i="41"/>
  <c r="Q34" i="41"/>
  <c r="R34" i="41"/>
  <c r="S34" i="41"/>
  <c r="T34" i="41"/>
  <c r="U34" i="41"/>
  <c r="N35" i="41"/>
  <c r="O35" i="41"/>
  <c r="P35" i="41"/>
  <c r="Q35" i="41"/>
  <c r="R35" i="41"/>
  <c r="S35" i="41"/>
  <c r="T35" i="41"/>
  <c r="U35" i="41"/>
  <c r="N36" i="41"/>
  <c r="O36" i="41"/>
  <c r="P36" i="41"/>
  <c r="Q36" i="41"/>
  <c r="R36" i="41"/>
  <c r="S36" i="41"/>
  <c r="T36" i="41"/>
  <c r="U36" i="41"/>
  <c r="N37" i="41"/>
  <c r="O37" i="41"/>
  <c r="P37" i="41"/>
  <c r="Q37" i="41"/>
  <c r="R37" i="41"/>
  <c r="S37" i="41"/>
  <c r="T37" i="41"/>
  <c r="U37" i="41"/>
  <c r="N38" i="41"/>
  <c r="O38" i="41"/>
  <c r="P38" i="41"/>
  <c r="Q38" i="41"/>
  <c r="R38" i="41"/>
  <c r="S38" i="41"/>
  <c r="T38" i="41"/>
  <c r="U38" i="41"/>
  <c r="N39" i="41"/>
  <c r="O39" i="41"/>
  <c r="P39" i="41"/>
  <c r="Q39" i="41"/>
  <c r="R39" i="41"/>
  <c r="S39" i="41"/>
  <c r="T39" i="41"/>
  <c r="U39" i="41"/>
  <c r="N40" i="41"/>
  <c r="O40" i="41"/>
  <c r="P40" i="41"/>
  <c r="Q40" i="41"/>
  <c r="R40" i="41"/>
  <c r="S40" i="41"/>
  <c r="T40" i="41"/>
  <c r="U40" i="41"/>
  <c r="N41" i="41"/>
  <c r="O41" i="41"/>
  <c r="P41" i="41"/>
  <c r="Q41" i="41"/>
  <c r="R41" i="41"/>
  <c r="S41" i="41"/>
  <c r="T41" i="41"/>
  <c r="U41" i="41"/>
  <c r="N42" i="41"/>
  <c r="O42" i="41"/>
  <c r="P42" i="41"/>
  <c r="Q42" i="41"/>
  <c r="R42" i="41"/>
  <c r="S42" i="41"/>
  <c r="T42" i="41"/>
  <c r="U42" i="41"/>
  <c r="N43" i="41"/>
  <c r="O43" i="41"/>
  <c r="P43" i="41"/>
  <c r="Q43" i="41"/>
  <c r="R43" i="41"/>
  <c r="S43" i="41"/>
  <c r="T43" i="41"/>
  <c r="U43" i="41"/>
  <c r="N44" i="41"/>
  <c r="O44" i="41"/>
  <c r="P44" i="41"/>
  <c r="Q44" i="41"/>
  <c r="R44" i="41"/>
  <c r="S44" i="41"/>
  <c r="T44" i="41"/>
  <c r="U44" i="41"/>
  <c r="N45" i="41"/>
  <c r="O45" i="41"/>
  <c r="P45" i="41"/>
  <c r="Q45" i="41"/>
  <c r="R45" i="41"/>
  <c r="S45" i="41"/>
  <c r="T45" i="41"/>
  <c r="U45" i="41"/>
  <c r="N46" i="41"/>
  <c r="O46" i="41"/>
  <c r="P46" i="41"/>
  <c r="Q46" i="41"/>
  <c r="R46" i="41"/>
  <c r="S46" i="41"/>
  <c r="T46" i="41"/>
  <c r="U46" i="41"/>
  <c r="N47" i="41"/>
  <c r="O47" i="41"/>
  <c r="P47" i="41"/>
  <c r="Q47" i="41"/>
  <c r="R47" i="41"/>
  <c r="S47" i="41"/>
  <c r="T47" i="41"/>
  <c r="U47" i="41"/>
  <c r="N48" i="41"/>
  <c r="O48" i="41"/>
  <c r="P48" i="41"/>
  <c r="Q48" i="41"/>
  <c r="R48" i="41"/>
  <c r="S48" i="41"/>
  <c r="T48" i="41"/>
  <c r="U48" i="41"/>
  <c r="N49" i="41"/>
  <c r="O49" i="41"/>
  <c r="P49" i="41"/>
  <c r="Q49" i="41"/>
  <c r="R49" i="41"/>
  <c r="S49" i="41"/>
  <c r="T49" i="41"/>
  <c r="U49" i="41"/>
  <c r="N50" i="41"/>
  <c r="O50" i="41"/>
  <c r="P50" i="41"/>
  <c r="Q50" i="41"/>
  <c r="R50" i="41"/>
  <c r="S50" i="41"/>
  <c r="T50" i="41"/>
  <c r="U50" i="41"/>
  <c r="N51" i="41"/>
  <c r="O51" i="41"/>
  <c r="P51" i="41"/>
  <c r="Q51" i="41"/>
  <c r="R51" i="41"/>
  <c r="S51" i="41"/>
  <c r="T51" i="41"/>
  <c r="U51" i="41"/>
  <c r="N52" i="41"/>
  <c r="O52" i="41"/>
  <c r="P52" i="41"/>
  <c r="Q52" i="41"/>
  <c r="R52" i="41"/>
  <c r="S52" i="41"/>
  <c r="T52" i="41"/>
  <c r="U52" i="41"/>
  <c r="N53" i="41"/>
  <c r="O53" i="41"/>
  <c r="P53" i="41"/>
  <c r="Q53" i="41"/>
  <c r="R53" i="41"/>
  <c r="S53" i="41"/>
  <c r="T53" i="41"/>
  <c r="U53" i="41"/>
  <c r="N54" i="41"/>
  <c r="O54" i="41"/>
  <c r="P54" i="41"/>
  <c r="Q54" i="41"/>
  <c r="R54" i="41"/>
  <c r="S54" i="41"/>
  <c r="T54" i="41"/>
  <c r="U54" i="41"/>
  <c r="N55" i="41"/>
  <c r="O55" i="41"/>
  <c r="P55" i="41"/>
  <c r="Q55" i="41"/>
  <c r="R55" i="41"/>
  <c r="S55" i="41"/>
  <c r="T55" i="41"/>
  <c r="U55" i="41"/>
  <c r="N56" i="41"/>
  <c r="O56" i="41"/>
  <c r="P56" i="41"/>
  <c r="Q56" i="41"/>
  <c r="R56" i="41"/>
  <c r="S56" i="41"/>
  <c r="T56" i="41"/>
  <c r="U56" i="41"/>
  <c r="N57" i="41"/>
  <c r="O57" i="41"/>
  <c r="P57" i="41"/>
  <c r="Q57" i="41"/>
  <c r="R57" i="41"/>
  <c r="S57" i="41"/>
  <c r="T57" i="41"/>
  <c r="U57" i="41"/>
  <c r="N58" i="41"/>
  <c r="O58" i="41"/>
  <c r="P58" i="41"/>
  <c r="Q58" i="41"/>
  <c r="R58" i="41"/>
  <c r="S58" i="41"/>
  <c r="T58" i="41"/>
  <c r="U58" i="41"/>
  <c r="N59" i="41"/>
  <c r="O59" i="41"/>
  <c r="P59" i="41"/>
  <c r="Q59" i="41"/>
  <c r="R59" i="41"/>
  <c r="S59" i="41"/>
  <c r="T59" i="41"/>
  <c r="U59" i="41"/>
  <c r="N60" i="41"/>
  <c r="O60" i="41"/>
  <c r="P60" i="41"/>
  <c r="Q60" i="41"/>
  <c r="R60" i="41"/>
  <c r="S60" i="41"/>
  <c r="T60" i="41"/>
  <c r="U60" i="41"/>
  <c r="N61" i="41"/>
  <c r="O61" i="41"/>
  <c r="P61" i="41"/>
  <c r="Q61" i="41"/>
  <c r="R61" i="41"/>
  <c r="S61" i="41"/>
  <c r="T61" i="41"/>
  <c r="U61" i="41"/>
  <c r="N62" i="41"/>
  <c r="O62" i="41"/>
  <c r="P62" i="41"/>
  <c r="Q62" i="41"/>
  <c r="R62" i="41"/>
  <c r="S62" i="41"/>
  <c r="T62" i="41"/>
  <c r="U62" i="41"/>
  <c r="N63" i="41"/>
  <c r="O63" i="41"/>
  <c r="P63" i="41"/>
  <c r="Q63" i="41"/>
  <c r="R63" i="41"/>
  <c r="S63" i="41"/>
  <c r="T63" i="41"/>
  <c r="U63" i="41"/>
  <c r="N64" i="41"/>
  <c r="O64" i="41"/>
  <c r="P64" i="41"/>
  <c r="Q64" i="41"/>
  <c r="R64" i="41"/>
  <c r="S64" i="41"/>
  <c r="T64" i="41"/>
  <c r="U64" i="41"/>
  <c r="N65" i="41"/>
  <c r="O65" i="41"/>
  <c r="P65" i="41"/>
  <c r="Q65" i="41"/>
  <c r="R65" i="41"/>
  <c r="S65" i="41"/>
  <c r="T65" i="41"/>
  <c r="U65" i="41"/>
  <c r="N66" i="41"/>
  <c r="O66" i="41"/>
  <c r="P66" i="41"/>
  <c r="Q66" i="41"/>
  <c r="R66" i="41"/>
  <c r="S66" i="41"/>
  <c r="T66" i="41"/>
  <c r="U66" i="41"/>
  <c r="N67" i="41"/>
  <c r="O67" i="41"/>
  <c r="P67" i="41"/>
  <c r="Q67" i="41"/>
  <c r="R67" i="41"/>
  <c r="S67" i="41"/>
  <c r="T67" i="41"/>
  <c r="U67" i="41"/>
  <c r="N68" i="41"/>
  <c r="O68" i="41"/>
  <c r="P68" i="41"/>
  <c r="Q68" i="41"/>
  <c r="R68" i="41"/>
  <c r="S68" i="41"/>
  <c r="T68" i="41"/>
  <c r="U68" i="41"/>
  <c r="N69" i="41"/>
  <c r="O69" i="41"/>
  <c r="P69" i="41"/>
  <c r="Q69" i="41"/>
  <c r="R69" i="41"/>
  <c r="S69" i="41"/>
  <c r="T69" i="41"/>
  <c r="U69" i="41"/>
  <c r="N70" i="41"/>
  <c r="O70" i="41"/>
  <c r="P70" i="41"/>
  <c r="Q70" i="41"/>
  <c r="R70" i="41"/>
  <c r="S70" i="41"/>
  <c r="T70" i="41"/>
  <c r="U70" i="41"/>
  <c r="N71" i="41"/>
  <c r="O71" i="41"/>
  <c r="P71" i="41"/>
  <c r="Q71" i="41"/>
  <c r="R71" i="41"/>
  <c r="S71" i="41"/>
  <c r="T71" i="41"/>
  <c r="U71" i="41"/>
  <c r="N72" i="41"/>
  <c r="O72" i="41"/>
  <c r="P72" i="41"/>
  <c r="Q72" i="41"/>
  <c r="R72" i="41"/>
  <c r="S72" i="41"/>
  <c r="T72" i="41"/>
  <c r="U72" i="41"/>
  <c r="N73" i="41"/>
  <c r="O73" i="41"/>
  <c r="P73" i="41"/>
  <c r="Q73" i="41"/>
  <c r="R73" i="41"/>
  <c r="S73" i="41"/>
  <c r="T73" i="41"/>
  <c r="U73" i="41"/>
  <c r="N74" i="41"/>
  <c r="O74" i="41"/>
  <c r="P74" i="41"/>
  <c r="Q74" i="41"/>
  <c r="R74" i="41"/>
  <c r="S74" i="41"/>
  <c r="T74" i="41"/>
  <c r="U74" i="41"/>
  <c r="N75" i="41"/>
  <c r="O75" i="41"/>
  <c r="P75" i="41"/>
  <c r="Q75" i="41"/>
  <c r="R75" i="41"/>
  <c r="S75" i="41"/>
  <c r="T75" i="41"/>
  <c r="U75" i="41"/>
  <c r="N76" i="41"/>
  <c r="O76" i="41"/>
  <c r="P76" i="41"/>
  <c r="Q76" i="41"/>
  <c r="R76" i="41"/>
  <c r="S76" i="41"/>
  <c r="T76" i="41"/>
  <c r="U76" i="41"/>
  <c r="N77" i="41"/>
  <c r="O77" i="41"/>
  <c r="P77" i="41"/>
  <c r="Q77" i="41"/>
  <c r="R77" i="41"/>
  <c r="S77" i="41"/>
  <c r="T77" i="41"/>
  <c r="U77" i="41"/>
  <c r="N78" i="41"/>
  <c r="O78" i="41"/>
  <c r="P78" i="41"/>
  <c r="Q78" i="41"/>
  <c r="R78" i="41"/>
  <c r="S78" i="41"/>
  <c r="T78" i="41"/>
  <c r="U78" i="41"/>
  <c r="N79" i="41"/>
  <c r="O79" i="41"/>
  <c r="P79" i="41"/>
  <c r="Q79" i="41"/>
  <c r="R79" i="41"/>
  <c r="S79" i="41"/>
  <c r="T79" i="41"/>
  <c r="U79" i="41"/>
  <c r="N80" i="41"/>
  <c r="O80" i="41"/>
  <c r="P80" i="41"/>
  <c r="Q80" i="41"/>
  <c r="R80" i="41"/>
  <c r="S80" i="41"/>
  <c r="T80" i="41"/>
  <c r="U80" i="41"/>
  <c r="N81" i="41"/>
  <c r="O81" i="41"/>
  <c r="P81" i="41"/>
  <c r="Q81" i="41"/>
  <c r="R81" i="41"/>
  <c r="S81" i="41"/>
  <c r="T81" i="41"/>
  <c r="U81" i="41"/>
  <c r="N82" i="41"/>
  <c r="O82" i="41"/>
  <c r="P82" i="41"/>
  <c r="Q82" i="41"/>
  <c r="R82" i="41"/>
  <c r="S82" i="41"/>
  <c r="T82" i="41"/>
  <c r="U82" i="41"/>
  <c r="N83" i="41"/>
  <c r="O83" i="41"/>
  <c r="P83" i="41"/>
  <c r="Q83" i="41"/>
  <c r="R83" i="41"/>
  <c r="S83" i="41"/>
  <c r="T83" i="41"/>
  <c r="U83" i="41"/>
  <c r="N84" i="41"/>
  <c r="O84" i="41"/>
  <c r="P84" i="41"/>
  <c r="Q84" i="41"/>
  <c r="R84" i="41"/>
  <c r="S84" i="41"/>
  <c r="T84" i="41"/>
  <c r="U84" i="41"/>
  <c r="N85" i="41"/>
  <c r="O85" i="41"/>
  <c r="P85" i="41"/>
  <c r="Q85" i="41"/>
  <c r="R85" i="41"/>
  <c r="S85" i="41"/>
  <c r="T85" i="41"/>
  <c r="U85" i="41"/>
  <c r="N86" i="41"/>
  <c r="O86" i="41"/>
  <c r="P86" i="41"/>
  <c r="Q86" i="41"/>
  <c r="R86" i="41"/>
  <c r="S86" i="41"/>
  <c r="T86" i="41"/>
  <c r="U86" i="41"/>
  <c r="N87" i="41"/>
  <c r="O87" i="41"/>
  <c r="P87" i="41"/>
  <c r="Q87" i="41"/>
  <c r="R87" i="41"/>
  <c r="S87" i="41"/>
  <c r="T87" i="41"/>
  <c r="U87" i="41"/>
  <c r="N88" i="41"/>
  <c r="O88" i="41"/>
  <c r="P88" i="41"/>
  <c r="Q88" i="41"/>
  <c r="R88" i="41"/>
  <c r="S88" i="41"/>
  <c r="T88" i="41"/>
  <c r="U88" i="41"/>
  <c r="N89" i="41"/>
  <c r="O89" i="41"/>
  <c r="P89" i="41"/>
  <c r="Q89" i="41"/>
  <c r="R89" i="41"/>
  <c r="S89" i="41"/>
  <c r="T89" i="41"/>
  <c r="U89" i="41"/>
  <c r="N90" i="41"/>
  <c r="O90" i="41"/>
  <c r="P90" i="41"/>
  <c r="Q90" i="41"/>
  <c r="R90" i="41"/>
  <c r="S90" i="41"/>
  <c r="T90" i="41"/>
  <c r="U90" i="41"/>
  <c r="N91" i="41"/>
  <c r="O91" i="41"/>
  <c r="P91" i="41"/>
  <c r="Q91" i="41"/>
  <c r="R91" i="41"/>
  <c r="S91" i="41"/>
  <c r="T91" i="41"/>
  <c r="U91" i="41"/>
  <c r="N92" i="41"/>
  <c r="O92" i="41"/>
  <c r="P92" i="41"/>
  <c r="Q92" i="41"/>
  <c r="R92" i="41"/>
  <c r="S92" i="41"/>
  <c r="T92" i="41"/>
  <c r="U92" i="41"/>
  <c r="N93" i="41"/>
  <c r="O93" i="41"/>
  <c r="P93" i="41"/>
  <c r="Q93" i="41"/>
  <c r="R93" i="41"/>
  <c r="S93" i="41"/>
  <c r="T93" i="41"/>
  <c r="U93" i="41"/>
  <c r="N94" i="41"/>
  <c r="O94" i="41"/>
  <c r="P94" i="41"/>
  <c r="Q94" i="41"/>
  <c r="R94" i="41"/>
  <c r="S94" i="41"/>
  <c r="T94" i="41"/>
  <c r="U94" i="41"/>
  <c r="N95" i="41"/>
  <c r="O95" i="41"/>
  <c r="P95" i="41"/>
  <c r="Q95" i="41"/>
  <c r="R95" i="41"/>
  <c r="S95" i="41"/>
  <c r="T95" i="41"/>
  <c r="U95" i="41"/>
  <c r="N96" i="41"/>
  <c r="O96" i="41"/>
  <c r="P96" i="41"/>
  <c r="Q96" i="41"/>
  <c r="R96" i="41"/>
  <c r="S96" i="41"/>
  <c r="T96" i="41"/>
  <c r="U96" i="41"/>
  <c r="N97" i="41"/>
  <c r="O97" i="41"/>
  <c r="P97" i="41"/>
  <c r="Q97" i="41"/>
  <c r="R97" i="41"/>
  <c r="S97" i="41"/>
  <c r="T97" i="41"/>
  <c r="U97" i="41"/>
  <c r="N98" i="41"/>
  <c r="O98" i="41"/>
  <c r="P98" i="41"/>
  <c r="Q98" i="41"/>
  <c r="R98" i="41"/>
  <c r="S98" i="41"/>
  <c r="T98" i="41"/>
  <c r="U98" i="41"/>
  <c r="N99" i="41"/>
  <c r="O99" i="41"/>
  <c r="P99" i="41"/>
  <c r="Q99" i="41"/>
  <c r="R99" i="41"/>
  <c r="S99" i="41"/>
  <c r="T99" i="41"/>
  <c r="U99" i="41"/>
  <c r="N100" i="41"/>
  <c r="O100" i="41"/>
  <c r="P100" i="41"/>
  <c r="Q100" i="41"/>
  <c r="R100" i="41"/>
  <c r="S100" i="41"/>
  <c r="T100" i="41"/>
  <c r="U100" i="41"/>
  <c r="N101" i="41"/>
  <c r="O101" i="41"/>
  <c r="P101" i="41"/>
  <c r="Q101" i="41"/>
  <c r="R101" i="41"/>
  <c r="S101" i="41"/>
  <c r="T101" i="41"/>
  <c r="U101" i="41"/>
  <c r="N102" i="41"/>
  <c r="O102" i="41"/>
  <c r="P102" i="41"/>
  <c r="Q102" i="41"/>
  <c r="R102" i="41"/>
  <c r="S102" i="41"/>
  <c r="T102" i="41"/>
  <c r="U102" i="41"/>
  <c r="N103" i="41"/>
  <c r="O103" i="41"/>
  <c r="P103" i="41"/>
  <c r="Q103" i="41"/>
  <c r="R103" i="41"/>
  <c r="S103" i="41"/>
  <c r="T103" i="41"/>
  <c r="U103" i="41"/>
  <c r="N104" i="41"/>
  <c r="O104" i="41"/>
  <c r="P104" i="41"/>
  <c r="Q104" i="41"/>
  <c r="R104" i="41"/>
  <c r="S104" i="41"/>
  <c r="T104" i="41"/>
  <c r="U104" i="41"/>
  <c r="N105" i="41"/>
  <c r="O105" i="41"/>
  <c r="P105" i="41"/>
  <c r="Q105" i="41"/>
  <c r="R105" i="41"/>
  <c r="S105" i="41"/>
  <c r="T105" i="41"/>
  <c r="U105" i="41"/>
  <c r="N106" i="41"/>
  <c r="O106" i="41"/>
  <c r="P106" i="41"/>
  <c r="Q106" i="41"/>
  <c r="R106" i="41"/>
  <c r="S106" i="41"/>
  <c r="T106" i="41"/>
  <c r="U106" i="41"/>
  <c r="N107" i="41"/>
  <c r="O107" i="41"/>
  <c r="P107" i="41"/>
  <c r="Q107" i="41"/>
  <c r="R107" i="41"/>
  <c r="S107" i="41"/>
  <c r="T107" i="41"/>
  <c r="U107" i="41"/>
  <c r="N108" i="41"/>
  <c r="O108" i="41"/>
  <c r="P108" i="41"/>
  <c r="Q108" i="41"/>
  <c r="R108" i="41"/>
  <c r="S108" i="41"/>
  <c r="T108" i="41"/>
  <c r="U108" i="41"/>
  <c r="N109" i="41"/>
  <c r="O109" i="41"/>
  <c r="P109" i="41"/>
  <c r="Q109" i="41"/>
  <c r="R109" i="41"/>
  <c r="S109" i="41"/>
  <c r="T109" i="41"/>
  <c r="U109" i="41"/>
  <c r="N110" i="41"/>
  <c r="O110" i="41"/>
  <c r="P110" i="41"/>
  <c r="Q110" i="41"/>
  <c r="R110" i="41"/>
  <c r="S110" i="41"/>
  <c r="T110" i="41"/>
  <c r="U110" i="41"/>
  <c r="N111" i="41"/>
  <c r="O111" i="41"/>
  <c r="P111" i="41"/>
  <c r="Q111" i="41"/>
  <c r="R111" i="41"/>
  <c r="S111" i="41"/>
  <c r="T111" i="41"/>
  <c r="U111" i="41"/>
  <c r="N112" i="41"/>
  <c r="O112" i="41"/>
  <c r="P112" i="41"/>
  <c r="Q112" i="41"/>
  <c r="R112" i="41"/>
  <c r="S112" i="41"/>
  <c r="T112" i="41"/>
  <c r="U112" i="41"/>
  <c r="N113" i="41"/>
  <c r="O113" i="41"/>
  <c r="P113" i="41"/>
  <c r="Q113" i="41"/>
  <c r="R113" i="41"/>
  <c r="S113" i="41"/>
  <c r="T113" i="41"/>
  <c r="U113" i="41"/>
  <c r="N114" i="41"/>
  <c r="O114" i="41"/>
  <c r="P114" i="41"/>
  <c r="Q114" i="41"/>
  <c r="R114" i="41"/>
  <c r="S114" i="41"/>
  <c r="T114" i="41"/>
  <c r="U114" i="41"/>
  <c r="N115" i="41"/>
  <c r="O115" i="41"/>
  <c r="P115" i="41"/>
  <c r="Q115" i="41"/>
  <c r="R115" i="41"/>
  <c r="S115" i="41"/>
  <c r="T115" i="41"/>
  <c r="U115" i="41"/>
  <c r="N116" i="41"/>
  <c r="O116" i="41"/>
  <c r="P116" i="41"/>
  <c r="Q116" i="41"/>
  <c r="R116" i="41"/>
  <c r="S116" i="41"/>
  <c r="T116" i="41"/>
  <c r="U116" i="41"/>
  <c r="N117" i="41"/>
  <c r="O117" i="41"/>
  <c r="P117" i="41"/>
  <c r="Q117" i="41"/>
  <c r="R117" i="41"/>
  <c r="S117" i="41"/>
  <c r="T117" i="41"/>
  <c r="U117" i="41"/>
  <c r="N118" i="41"/>
  <c r="O118" i="41"/>
  <c r="P118" i="41"/>
  <c r="Q118" i="41"/>
  <c r="R118" i="41"/>
  <c r="S118" i="41"/>
  <c r="T118" i="41"/>
  <c r="U118" i="41"/>
  <c r="N119" i="41"/>
  <c r="O119" i="41"/>
  <c r="P119" i="41"/>
  <c r="Q119" i="41"/>
  <c r="R119" i="41"/>
  <c r="S119" i="41"/>
  <c r="T119" i="41"/>
  <c r="U119" i="41"/>
  <c r="N120" i="41"/>
  <c r="O120" i="41"/>
  <c r="P120" i="41"/>
  <c r="Q120" i="41"/>
  <c r="R120" i="41"/>
  <c r="S120" i="41"/>
  <c r="T120" i="41"/>
  <c r="U120" i="41"/>
  <c r="N121" i="41"/>
  <c r="O121" i="41"/>
  <c r="P121" i="41"/>
  <c r="Q121" i="41"/>
  <c r="R121" i="41"/>
  <c r="S121" i="41"/>
  <c r="T121" i="41"/>
  <c r="U121" i="41"/>
  <c r="N122" i="41"/>
  <c r="O122" i="41"/>
  <c r="P122" i="41"/>
  <c r="Q122" i="41"/>
  <c r="R122" i="41"/>
  <c r="S122" i="41"/>
  <c r="T122" i="41"/>
  <c r="U122" i="41"/>
  <c r="N123" i="41"/>
  <c r="O123" i="41"/>
  <c r="P123" i="41"/>
  <c r="Q123" i="41"/>
  <c r="R123" i="41"/>
  <c r="S123" i="41"/>
  <c r="T123" i="41"/>
  <c r="U123" i="41"/>
  <c r="N124" i="41"/>
  <c r="O124" i="41"/>
  <c r="P124" i="41"/>
  <c r="Q124" i="41"/>
  <c r="R124" i="41"/>
  <c r="S124" i="41"/>
  <c r="T124" i="41"/>
  <c r="U124" i="41"/>
  <c r="N125" i="41"/>
  <c r="O125" i="41"/>
  <c r="P125" i="41"/>
  <c r="Q125" i="41"/>
  <c r="R125" i="41"/>
  <c r="S125" i="41"/>
  <c r="T125" i="41"/>
  <c r="U125" i="41"/>
  <c r="N126" i="41"/>
  <c r="O126" i="41"/>
  <c r="P126" i="41"/>
  <c r="Q126" i="41"/>
  <c r="R126" i="41"/>
  <c r="S126" i="41"/>
  <c r="T126" i="41"/>
  <c r="U126" i="41"/>
  <c r="N127" i="41"/>
  <c r="O127" i="41"/>
  <c r="P127" i="41"/>
  <c r="Q127" i="41"/>
  <c r="R127" i="41"/>
  <c r="S127" i="41"/>
  <c r="T127" i="41"/>
  <c r="U127" i="41"/>
  <c r="N128" i="41"/>
  <c r="O128" i="41"/>
  <c r="P128" i="41"/>
  <c r="Q128" i="41"/>
  <c r="R128" i="41"/>
  <c r="S128" i="41"/>
  <c r="T128" i="41"/>
  <c r="U128" i="41"/>
  <c r="N129" i="41"/>
  <c r="O129" i="41"/>
  <c r="P129" i="41"/>
  <c r="Q129" i="41"/>
  <c r="R129" i="41"/>
  <c r="S129" i="41"/>
  <c r="T129" i="41"/>
  <c r="U129" i="41"/>
  <c r="N130" i="41"/>
  <c r="O130" i="41"/>
  <c r="P130" i="41"/>
  <c r="Q130" i="41"/>
  <c r="R130" i="41"/>
  <c r="S130" i="41"/>
  <c r="T130" i="41"/>
  <c r="U130" i="41"/>
  <c r="N131" i="41"/>
  <c r="O131" i="41"/>
  <c r="P131" i="41"/>
  <c r="Q131" i="41"/>
  <c r="R131" i="41"/>
  <c r="S131" i="41"/>
  <c r="T131" i="41"/>
  <c r="U131" i="41"/>
  <c r="N132" i="41"/>
  <c r="O132" i="41"/>
  <c r="P132" i="41"/>
  <c r="Q132" i="41"/>
  <c r="R132" i="41"/>
  <c r="S132" i="41"/>
  <c r="T132" i="41"/>
  <c r="U132" i="41"/>
  <c r="N133" i="41"/>
  <c r="O133" i="41"/>
  <c r="P133" i="41"/>
  <c r="Q133" i="41"/>
  <c r="R133" i="41"/>
  <c r="S133" i="41"/>
  <c r="T133" i="41"/>
  <c r="U133" i="41"/>
  <c r="N134" i="41"/>
  <c r="O134" i="41"/>
  <c r="P134" i="41"/>
  <c r="Q134" i="41"/>
  <c r="R134" i="41"/>
  <c r="S134" i="41"/>
  <c r="T134" i="41"/>
  <c r="U134" i="41"/>
  <c r="N135" i="41"/>
  <c r="O135" i="41"/>
  <c r="P135" i="41"/>
  <c r="Q135" i="41"/>
  <c r="R135" i="41"/>
  <c r="S135" i="41"/>
  <c r="T135" i="41"/>
  <c r="U135" i="41"/>
  <c r="N136" i="41"/>
  <c r="O136" i="41"/>
  <c r="P136" i="41"/>
  <c r="Q136" i="41"/>
  <c r="R136" i="41"/>
  <c r="S136" i="41"/>
  <c r="T136" i="41"/>
  <c r="U136" i="41"/>
  <c r="N137" i="41"/>
  <c r="O137" i="41"/>
  <c r="P137" i="41"/>
  <c r="Q137" i="41"/>
  <c r="R137" i="41"/>
  <c r="S137" i="41"/>
  <c r="T137" i="41"/>
  <c r="U137" i="41"/>
  <c r="N138" i="41"/>
  <c r="O138" i="41"/>
  <c r="P138" i="41"/>
  <c r="Q138" i="41"/>
  <c r="R138" i="41"/>
  <c r="S138" i="41"/>
  <c r="T138" i="41"/>
  <c r="U138" i="41"/>
  <c r="N139" i="41"/>
  <c r="O139" i="41"/>
  <c r="P139" i="41"/>
  <c r="Q139" i="41"/>
  <c r="R139" i="41"/>
  <c r="S139" i="41"/>
  <c r="T139" i="41"/>
  <c r="U139" i="41"/>
  <c r="N140" i="41"/>
  <c r="O140" i="41"/>
  <c r="P140" i="41"/>
  <c r="Q140" i="41"/>
  <c r="R140" i="41"/>
  <c r="S140" i="41"/>
  <c r="T140" i="41"/>
  <c r="U140" i="41"/>
  <c r="N141" i="41"/>
  <c r="O141" i="41"/>
  <c r="P141" i="41"/>
  <c r="Q141" i="41"/>
  <c r="R141" i="41"/>
  <c r="S141" i="41"/>
  <c r="T141" i="41"/>
  <c r="U141" i="41"/>
  <c r="N142" i="41"/>
  <c r="O142" i="41"/>
  <c r="P142" i="41"/>
  <c r="Q142" i="41"/>
  <c r="R142" i="41"/>
  <c r="S142" i="41"/>
  <c r="T142" i="41"/>
  <c r="U142" i="41"/>
  <c r="N143" i="41"/>
  <c r="O143" i="41"/>
  <c r="P143" i="41"/>
  <c r="Q143" i="41"/>
  <c r="R143" i="41"/>
  <c r="S143" i="41"/>
  <c r="T143" i="41"/>
  <c r="U143" i="41"/>
  <c r="N144" i="41"/>
  <c r="O144" i="41"/>
  <c r="P144" i="41"/>
  <c r="Q144" i="41"/>
  <c r="R144" i="41"/>
  <c r="S144" i="41"/>
  <c r="T144" i="41"/>
  <c r="U144" i="41"/>
  <c r="N145" i="41"/>
  <c r="O145" i="41"/>
  <c r="P145" i="41"/>
  <c r="Q145" i="41"/>
  <c r="R145" i="41"/>
  <c r="S145" i="41"/>
  <c r="T145" i="41"/>
  <c r="U145" i="41"/>
  <c r="N146" i="41"/>
  <c r="O146" i="41"/>
  <c r="P146" i="41"/>
  <c r="Q146" i="41"/>
  <c r="R146" i="41"/>
  <c r="S146" i="41"/>
  <c r="T146" i="41"/>
  <c r="U146" i="41"/>
  <c r="N147" i="41"/>
  <c r="O147" i="41"/>
  <c r="P147" i="41"/>
  <c r="Q147" i="41"/>
  <c r="R147" i="41"/>
  <c r="S147" i="41"/>
  <c r="T147" i="41"/>
  <c r="U147" i="41"/>
  <c r="N148" i="41"/>
  <c r="O148" i="41"/>
  <c r="P148" i="41"/>
  <c r="Q148" i="41"/>
  <c r="R148" i="41"/>
  <c r="S148" i="41"/>
  <c r="T148" i="41"/>
  <c r="U148" i="41"/>
  <c r="N149" i="41"/>
  <c r="O149" i="41"/>
  <c r="P149" i="41"/>
  <c r="Q149" i="41"/>
  <c r="R149" i="41"/>
  <c r="S149" i="41"/>
  <c r="T149" i="41"/>
  <c r="U149" i="41"/>
  <c r="N150" i="41"/>
  <c r="O150" i="41"/>
  <c r="P150" i="41"/>
  <c r="Q150" i="41"/>
  <c r="R150" i="41"/>
  <c r="S150" i="41"/>
  <c r="T150" i="41"/>
  <c r="U150" i="41"/>
  <c r="N151" i="41"/>
  <c r="O151" i="41"/>
  <c r="P151" i="41"/>
  <c r="Q151" i="41"/>
  <c r="R151" i="41"/>
  <c r="S151" i="41"/>
  <c r="T151" i="41"/>
  <c r="U151" i="41"/>
  <c r="N152" i="41"/>
  <c r="O152" i="41"/>
  <c r="P152" i="41"/>
  <c r="Q152" i="41"/>
  <c r="R152" i="41"/>
  <c r="S152" i="41"/>
  <c r="T152" i="41"/>
  <c r="U152" i="41"/>
  <c r="N153" i="41"/>
  <c r="O153" i="41"/>
  <c r="P153" i="41"/>
  <c r="Q153" i="41"/>
  <c r="R153" i="41"/>
  <c r="S153" i="41"/>
  <c r="T153" i="41"/>
  <c r="U153" i="41"/>
  <c r="N154" i="41"/>
  <c r="O154" i="41"/>
  <c r="P154" i="41"/>
  <c r="Q154" i="41"/>
  <c r="R154" i="41"/>
  <c r="S154" i="41"/>
  <c r="T154" i="41"/>
  <c r="U154" i="41"/>
  <c r="N155" i="41"/>
  <c r="O155" i="41"/>
  <c r="P155" i="41"/>
  <c r="Q155" i="41"/>
  <c r="R155" i="41"/>
  <c r="S155" i="41"/>
  <c r="T155" i="41"/>
  <c r="U155" i="41"/>
  <c r="N156" i="41"/>
  <c r="O156" i="41"/>
  <c r="P156" i="41"/>
  <c r="Q156" i="41"/>
  <c r="R156" i="41"/>
  <c r="S156" i="41"/>
  <c r="T156" i="41"/>
  <c r="U156" i="41"/>
  <c r="N157" i="41"/>
  <c r="O157" i="41"/>
  <c r="P157" i="41"/>
  <c r="Q157" i="41"/>
  <c r="R157" i="41"/>
  <c r="S157" i="41"/>
  <c r="T157" i="41"/>
  <c r="U157" i="41"/>
  <c r="N158" i="41"/>
  <c r="O158" i="41"/>
  <c r="P158" i="41"/>
  <c r="Q158" i="41"/>
  <c r="R158" i="41"/>
  <c r="S158" i="41"/>
  <c r="T158" i="41"/>
  <c r="U158" i="41"/>
  <c r="N159" i="41"/>
  <c r="O159" i="41"/>
  <c r="P159" i="41"/>
  <c r="Q159" i="41"/>
  <c r="R159" i="41"/>
  <c r="S159" i="41"/>
  <c r="T159" i="41"/>
  <c r="U159" i="41"/>
  <c r="N160" i="41"/>
  <c r="O160" i="41"/>
  <c r="P160" i="41"/>
  <c r="Q160" i="41"/>
  <c r="R160" i="41"/>
  <c r="S160" i="41"/>
  <c r="T160" i="41"/>
  <c r="U160" i="41"/>
  <c r="N161" i="41"/>
  <c r="O161" i="41"/>
  <c r="P161" i="41"/>
  <c r="Q161" i="41"/>
  <c r="R161" i="41"/>
  <c r="S161" i="41"/>
  <c r="T161" i="41"/>
  <c r="U161" i="41"/>
  <c r="N162" i="41"/>
  <c r="O162" i="41"/>
  <c r="P162" i="41"/>
  <c r="Q162" i="41"/>
  <c r="R162" i="41"/>
  <c r="S162" i="41"/>
  <c r="T162" i="41"/>
  <c r="U162" i="41"/>
  <c r="N163" i="41"/>
  <c r="O163" i="41"/>
  <c r="P163" i="41"/>
  <c r="Q163" i="41"/>
  <c r="R163" i="41"/>
  <c r="S163" i="41"/>
  <c r="T163" i="41"/>
  <c r="U163" i="41"/>
  <c r="N164" i="41"/>
  <c r="O164" i="41"/>
  <c r="P164" i="41"/>
  <c r="Q164" i="41"/>
  <c r="R164" i="41"/>
  <c r="S164" i="41"/>
  <c r="T164" i="41"/>
  <c r="U164" i="41"/>
  <c r="N165" i="41"/>
  <c r="O165" i="41"/>
  <c r="P165" i="41"/>
  <c r="Q165" i="41"/>
  <c r="R165" i="41"/>
  <c r="S165" i="41"/>
  <c r="T165" i="41"/>
  <c r="U165" i="41"/>
  <c r="N166" i="41"/>
  <c r="O166" i="41"/>
  <c r="P166" i="41"/>
  <c r="Q166" i="41"/>
  <c r="R166" i="41"/>
  <c r="S166" i="41"/>
  <c r="T166" i="41"/>
  <c r="U166" i="41"/>
  <c r="N167" i="41"/>
  <c r="O167" i="41"/>
  <c r="P167" i="41"/>
  <c r="Q167" i="41"/>
  <c r="R167" i="41"/>
  <c r="S167" i="41"/>
  <c r="T167" i="41"/>
  <c r="U167" i="41"/>
  <c r="N168" i="41"/>
  <c r="O168" i="41"/>
  <c r="P168" i="41"/>
  <c r="Q168" i="41"/>
  <c r="R168" i="41"/>
  <c r="S168" i="41"/>
  <c r="T168" i="41"/>
  <c r="U168" i="41"/>
  <c r="N169" i="41"/>
  <c r="O169" i="41"/>
  <c r="P169" i="41"/>
  <c r="Q169" i="41"/>
  <c r="R169" i="41"/>
  <c r="S169" i="41"/>
  <c r="T169" i="41"/>
  <c r="U169" i="41"/>
  <c r="N170" i="41"/>
  <c r="O170" i="41"/>
  <c r="P170" i="41"/>
  <c r="Q170" i="41"/>
  <c r="R170" i="41"/>
  <c r="S170" i="41"/>
  <c r="T170" i="41"/>
  <c r="U170" i="41"/>
  <c r="N171" i="41"/>
  <c r="O171" i="41"/>
  <c r="P171" i="41"/>
  <c r="Q171" i="41"/>
  <c r="R171" i="41"/>
  <c r="S171" i="41"/>
  <c r="T171" i="41"/>
  <c r="U171" i="41"/>
  <c r="N172" i="41"/>
  <c r="O172" i="41"/>
  <c r="P172" i="41"/>
  <c r="Q172" i="41"/>
  <c r="R172" i="41"/>
  <c r="S172" i="41"/>
  <c r="T172" i="41"/>
  <c r="U172" i="41"/>
  <c r="N173" i="41"/>
  <c r="O173" i="41"/>
  <c r="P173" i="41"/>
  <c r="Q173" i="41"/>
  <c r="R173" i="41"/>
  <c r="S173" i="41"/>
  <c r="T173" i="41"/>
  <c r="U173" i="41"/>
  <c r="N174" i="41"/>
  <c r="O174" i="41"/>
  <c r="P174" i="41"/>
  <c r="Q174" i="41"/>
  <c r="R174" i="41"/>
  <c r="S174" i="41"/>
  <c r="T174" i="41"/>
  <c r="U174" i="41"/>
  <c r="N175" i="41"/>
  <c r="O175" i="41"/>
  <c r="P175" i="41"/>
  <c r="Q175" i="41"/>
  <c r="R175" i="41"/>
  <c r="S175" i="41"/>
  <c r="T175" i="41"/>
  <c r="U175" i="41"/>
  <c r="N176" i="41"/>
  <c r="O176" i="41"/>
  <c r="P176" i="41"/>
  <c r="Q176" i="41"/>
  <c r="R176" i="41"/>
  <c r="S176" i="41"/>
  <c r="T176" i="41"/>
  <c r="U176" i="41"/>
  <c r="N177" i="41"/>
  <c r="O177" i="41"/>
  <c r="P177" i="41"/>
  <c r="Q177" i="41"/>
  <c r="R177" i="41"/>
  <c r="S177" i="41"/>
  <c r="T177" i="41"/>
  <c r="U177" i="41"/>
  <c r="N178" i="41"/>
  <c r="O178" i="41"/>
  <c r="P178" i="41"/>
  <c r="Q178" i="41"/>
  <c r="R178" i="41"/>
  <c r="S178" i="41"/>
  <c r="T178" i="41"/>
  <c r="U178" i="41"/>
  <c r="N179" i="41"/>
  <c r="O179" i="41"/>
  <c r="P179" i="41"/>
  <c r="Q179" i="41"/>
  <c r="R179" i="41"/>
  <c r="S179" i="41"/>
  <c r="T179" i="41"/>
  <c r="U179" i="41"/>
  <c r="N180" i="41"/>
  <c r="O180" i="41"/>
  <c r="P180" i="41"/>
  <c r="Q180" i="41"/>
  <c r="R180" i="41"/>
  <c r="S180" i="41"/>
  <c r="T180" i="41"/>
  <c r="U180" i="41"/>
  <c r="N181" i="41"/>
  <c r="O181" i="41"/>
  <c r="P181" i="41"/>
  <c r="Q181" i="41"/>
  <c r="R181" i="41"/>
  <c r="S181" i="41"/>
  <c r="T181" i="41"/>
  <c r="U181" i="41"/>
  <c r="N182" i="41"/>
  <c r="O182" i="41"/>
  <c r="P182" i="41"/>
  <c r="Q182" i="41"/>
  <c r="R182" i="41"/>
  <c r="S182" i="41"/>
  <c r="T182" i="41"/>
  <c r="U182" i="41"/>
  <c r="N183" i="41"/>
  <c r="O183" i="41"/>
  <c r="P183" i="41"/>
  <c r="Q183" i="41"/>
  <c r="R183" i="41"/>
  <c r="S183" i="41"/>
  <c r="T183" i="41"/>
  <c r="U183" i="41"/>
  <c r="N184" i="41"/>
  <c r="O184" i="41"/>
  <c r="P184" i="41"/>
  <c r="Q184" i="41"/>
  <c r="R184" i="41"/>
  <c r="S184" i="41"/>
  <c r="T184" i="41"/>
  <c r="U184" i="41"/>
  <c r="N185" i="41"/>
  <c r="O185" i="41"/>
  <c r="P185" i="41"/>
  <c r="Q185" i="41"/>
  <c r="R185" i="41"/>
  <c r="S185" i="41"/>
  <c r="T185" i="41"/>
  <c r="U185" i="41"/>
  <c r="N186" i="41"/>
  <c r="O186" i="41"/>
  <c r="P186" i="41"/>
  <c r="Q186" i="41"/>
  <c r="R186" i="41"/>
  <c r="S186" i="41"/>
  <c r="T186" i="41"/>
  <c r="U186" i="41"/>
  <c r="N187" i="41"/>
  <c r="O187" i="41"/>
  <c r="P187" i="41"/>
  <c r="Q187" i="41"/>
  <c r="R187" i="41"/>
  <c r="S187" i="41"/>
  <c r="T187" i="41"/>
  <c r="U187" i="41"/>
  <c r="N188" i="41"/>
  <c r="O188" i="41"/>
  <c r="P188" i="41"/>
  <c r="Q188" i="41"/>
  <c r="R188" i="41"/>
  <c r="S188" i="41"/>
  <c r="T188" i="41"/>
  <c r="U188" i="41"/>
  <c r="N189" i="41"/>
  <c r="O189" i="41"/>
  <c r="P189" i="41"/>
  <c r="Q189" i="41"/>
  <c r="R189" i="41"/>
  <c r="S189" i="41"/>
  <c r="T189" i="41"/>
  <c r="U189" i="41"/>
  <c r="N190" i="41"/>
  <c r="O190" i="41"/>
  <c r="P190" i="41"/>
  <c r="Q190" i="41"/>
  <c r="R190" i="41"/>
  <c r="S190" i="41"/>
  <c r="T190" i="41"/>
  <c r="U190" i="41"/>
  <c r="N191" i="41"/>
  <c r="O191" i="41"/>
  <c r="P191" i="41"/>
  <c r="Q191" i="41"/>
  <c r="R191" i="41"/>
  <c r="S191" i="41"/>
  <c r="T191" i="41"/>
  <c r="U191" i="41"/>
  <c r="N192" i="41"/>
  <c r="O192" i="41"/>
  <c r="P192" i="41"/>
  <c r="Q192" i="41"/>
  <c r="R192" i="41"/>
  <c r="S192" i="41"/>
  <c r="T192" i="41"/>
  <c r="U192" i="41"/>
  <c r="N193" i="41"/>
  <c r="O193" i="41"/>
  <c r="P193" i="41"/>
  <c r="Q193" i="41"/>
  <c r="R193" i="41"/>
  <c r="S193" i="41"/>
  <c r="T193" i="41"/>
  <c r="U193" i="41"/>
  <c r="N194" i="41"/>
  <c r="O194" i="41"/>
  <c r="P194" i="41"/>
  <c r="Q194" i="41"/>
  <c r="R194" i="41"/>
  <c r="S194" i="41"/>
  <c r="T194" i="41"/>
  <c r="U194" i="41"/>
  <c r="N195" i="41"/>
  <c r="O195" i="41"/>
  <c r="P195" i="41"/>
  <c r="Q195" i="41"/>
  <c r="R195" i="41"/>
  <c r="S195" i="41"/>
  <c r="T195" i="41"/>
  <c r="U195" i="41"/>
  <c r="N196" i="41"/>
  <c r="O196" i="41"/>
  <c r="P196" i="41"/>
  <c r="Q196" i="41"/>
  <c r="R196" i="41"/>
  <c r="S196" i="41"/>
  <c r="T196" i="41"/>
  <c r="U196" i="41"/>
  <c r="N197" i="41"/>
  <c r="O197" i="41"/>
  <c r="P197" i="41"/>
  <c r="Q197" i="41"/>
  <c r="R197" i="41"/>
  <c r="S197" i="41"/>
  <c r="T197" i="41"/>
  <c r="U197" i="41"/>
  <c r="N198" i="41"/>
  <c r="O198" i="41"/>
  <c r="P198" i="41"/>
  <c r="Q198" i="41"/>
  <c r="R198" i="41"/>
  <c r="S198" i="41"/>
  <c r="T198" i="41"/>
  <c r="U198" i="41"/>
  <c r="N199" i="41"/>
  <c r="O199" i="41"/>
  <c r="P199" i="41"/>
  <c r="Q199" i="41"/>
  <c r="R199" i="41"/>
  <c r="S199" i="41"/>
  <c r="T199" i="41"/>
  <c r="U199" i="41"/>
  <c r="N200" i="41"/>
  <c r="O200" i="41"/>
  <c r="P200" i="41"/>
  <c r="Q200" i="41"/>
  <c r="R200" i="41"/>
  <c r="S200" i="41"/>
  <c r="T200" i="41"/>
  <c r="U200" i="41"/>
  <c r="N201" i="41"/>
  <c r="O201" i="41"/>
  <c r="P201" i="41"/>
  <c r="Q201" i="41"/>
  <c r="R201" i="41"/>
  <c r="S201" i="41"/>
  <c r="T201" i="41"/>
  <c r="U201" i="41"/>
  <c r="N202" i="41"/>
  <c r="O202" i="41"/>
  <c r="P202" i="41"/>
  <c r="Q202" i="41"/>
  <c r="R202" i="41"/>
  <c r="S202" i="41"/>
  <c r="T202" i="41"/>
  <c r="U202" i="41"/>
  <c r="N203" i="41"/>
  <c r="O203" i="41"/>
  <c r="P203" i="41"/>
  <c r="Q203" i="41"/>
  <c r="R203" i="41"/>
  <c r="S203" i="41"/>
  <c r="T203" i="41"/>
  <c r="U203" i="41"/>
  <c r="N204" i="41"/>
  <c r="O204" i="41"/>
  <c r="P204" i="41"/>
  <c r="Q204" i="41"/>
  <c r="R204" i="41"/>
  <c r="S204" i="41"/>
  <c r="T204" i="41"/>
  <c r="U204" i="41"/>
  <c r="N205" i="41"/>
  <c r="O205" i="41"/>
  <c r="P205" i="41"/>
  <c r="Q205" i="41"/>
  <c r="R205" i="41"/>
  <c r="S205" i="41"/>
  <c r="T205" i="41"/>
  <c r="U205" i="41"/>
  <c r="N206" i="41"/>
  <c r="O206" i="41"/>
  <c r="P206" i="41"/>
  <c r="Q206" i="41"/>
  <c r="R206" i="41"/>
  <c r="S206" i="41"/>
  <c r="T206" i="41"/>
  <c r="U206" i="41"/>
  <c r="N207" i="41"/>
  <c r="O207" i="41"/>
  <c r="P207" i="41"/>
  <c r="Q207" i="41"/>
  <c r="R207" i="41"/>
  <c r="S207" i="41"/>
  <c r="T207" i="41"/>
  <c r="U207" i="41"/>
  <c r="N208" i="41"/>
  <c r="O208" i="41"/>
  <c r="P208" i="41"/>
  <c r="Q208" i="41"/>
  <c r="R208" i="41"/>
  <c r="S208" i="41"/>
  <c r="T208" i="41"/>
  <c r="U208" i="41"/>
  <c r="N209" i="41"/>
  <c r="O209" i="41"/>
  <c r="P209" i="41"/>
  <c r="Q209" i="41"/>
  <c r="R209" i="41"/>
  <c r="S209" i="41"/>
  <c r="T209" i="41"/>
  <c r="U209" i="41"/>
  <c r="N210" i="41"/>
  <c r="O210" i="41"/>
  <c r="P210" i="41"/>
  <c r="Q210" i="41"/>
  <c r="R210" i="41"/>
  <c r="S210" i="41"/>
  <c r="T210" i="41"/>
  <c r="U210" i="41"/>
  <c r="N211" i="41"/>
  <c r="O211" i="41"/>
  <c r="P211" i="41"/>
  <c r="Q211" i="41"/>
  <c r="R211" i="41"/>
  <c r="S211" i="41"/>
  <c r="T211" i="41"/>
  <c r="U211" i="41"/>
  <c r="N212" i="41"/>
  <c r="O212" i="41"/>
  <c r="P212" i="41"/>
  <c r="Q212" i="41"/>
  <c r="R212" i="41"/>
  <c r="S212" i="41"/>
  <c r="T212" i="41"/>
  <c r="U212" i="41"/>
  <c r="N213" i="41"/>
  <c r="O213" i="41"/>
  <c r="P213" i="41"/>
  <c r="Q213" i="41"/>
  <c r="R213" i="41"/>
  <c r="S213" i="41"/>
  <c r="T213" i="41"/>
  <c r="U213" i="41"/>
  <c r="N214" i="41"/>
  <c r="O214" i="41"/>
  <c r="P214" i="41"/>
  <c r="Q214" i="41"/>
  <c r="R214" i="41"/>
  <c r="S214" i="41"/>
  <c r="T214" i="41"/>
  <c r="U214" i="41"/>
  <c r="N215" i="41"/>
  <c r="O215" i="41"/>
  <c r="P215" i="41"/>
  <c r="Q215" i="41"/>
  <c r="R215" i="41"/>
  <c r="S215" i="41"/>
  <c r="T215" i="41"/>
  <c r="U215" i="41"/>
  <c r="N216" i="41"/>
  <c r="O216" i="41"/>
  <c r="P216" i="41"/>
  <c r="Q216" i="41"/>
  <c r="R216" i="41"/>
  <c r="S216" i="41"/>
  <c r="T216" i="41"/>
  <c r="U216" i="41"/>
  <c r="N217" i="41"/>
  <c r="O217" i="41"/>
  <c r="P217" i="41"/>
  <c r="Q217" i="41"/>
  <c r="R217" i="41"/>
  <c r="S217" i="41"/>
  <c r="T217" i="41"/>
  <c r="U217" i="41"/>
  <c r="N218" i="41"/>
  <c r="O218" i="41"/>
  <c r="P218" i="41"/>
  <c r="Q218" i="41"/>
  <c r="R218" i="41"/>
  <c r="S218" i="41"/>
  <c r="T218" i="41"/>
  <c r="U218" i="41"/>
  <c r="N219" i="41"/>
  <c r="O219" i="41"/>
  <c r="P219" i="41"/>
  <c r="Q219" i="41"/>
  <c r="R219" i="41"/>
  <c r="S219" i="41"/>
  <c r="T219" i="41"/>
  <c r="U219" i="41"/>
  <c r="N220" i="41"/>
  <c r="O220" i="41"/>
  <c r="P220" i="41"/>
  <c r="Q220" i="41"/>
  <c r="R220" i="41"/>
  <c r="S220" i="41"/>
  <c r="T220" i="41"/>
  <c r="U220" i="41"/>
  <c r="N221" i="41"/>
  <c r="O221" i="41"/>
  <c r="P221" i="41"/>
  <c r="Q221" i="41"/>
  <c r="R221" i="41"/>
  <c r="S221" i="41"/>
  <c r="T221" i="41"/>
  <c r="U221" i="41"/>
  <c r="N222" i="41"/>
  <c r="O222" i="41"/>
  <c r="P222" i="41"/>
  <c r="Q222" i="41"/>
  <c r="R222" i="41"/>
  <c r="S222" i="41"/>
  <c r="T222" i="41"/>
  <c r="U222" i="41"/>
  <c r="N223" i="41"/>
  <c r="O223" i="41"/>
  <c r="P223" i="41"/>
  <c r="Q223" i="41"/>
  <c r="R223" i="41"/>
  <c r="S223" i="41"/>
  <c r="T223" i="41"/>
  <c r="U223" i="41"/>
  <c r="N224" i="41"/>
  <c r="O224" i="41"/>
  <c r="P224" i="41"/>
  <c r="Q224" i="41"/>
  <c r="R224" i="41"/>
  <c r="S224" i="41"/>
  <c r="T224" i="41"/>
  <c r="U224" i="41"/>
  <c r="N225" i="41"/>
  <c r="O225" i="41"/>
  <c r="P225" i="41"/>
  <c r="Q225" i="41"/>
  <c r="R225" i="41"/>
  <c r="S225" i="41"/>
  <c r="T225" i="41"/>
  <c r="U225" i="41"/>
  <c r="N226" i="41"/>
  <c r="O226" i="41"/>
  <c r="P226" i="41"/>
  <c r="Q226" i="41"/>
  <c r="R226" i="41"/>
  <c r="S226" i="41"/>
  <c r="T226" i="41"/>
  <c r="U226" i="41"/>
  <c r="N227" i="41"/>
  <c r="O227" i="41"/>
  <c r="P227" i="41"/>
  <c r="Q227" i="41"/>
  <c r="R227" i="41"/>
  <c r="S227" i="41"/>
  <c r="T227" i="41"/>
  <c r="U227" i="41"/>
  <c r="N228" i="41"/>
  <c r="O228" i="41"/>
  <c r="P228" i="41"/>
  <c r="Q228" i="41"/>
  <c r="R228" i="41"/>
  <c r="S228" i="41"/>
  <c r="T228" i="41"/>
  <c r="U228" i="41"/>
  <c r="N229" i="41"/>
  <c r="O229" i="41"/>
  <c r="P229" i="41"/>
  <c r="Q229" i="41"/>
  <c r="R229" i="41"/>
  <c r="S229" i="41"/>
  <c r="T229" i="41"/>
  <c r="U229" i="41"/>
  <c r="N230" i="41"/>
  <c r="O230" i="41"/>
  <c r="P230" i="41"/>
  <c r="Q230" i="41"/>
  <c r="R230" i="41"/>
  <c r="S230" i="41"/>
  <c r="T230" i="41"/>
  <c r="U230" i="41"/>
  <c r="N231" i="41"/>
  <c r="O231" i="41"/>
  <c r="P231" i="41"/>
  <c r="Q231" i="41"/>
  <c r="R231" i="41"/>
  <c r="S231" i="41"/>
  <c r="T231" i="41"/>
  <c r="U231" i="41"/>
  <c r="N232" i="41"/>
  <c r="O232" i="41"/>
  <c r="P232" i="41"/>
  <c r="Q232" i="41"/>
  <c r="R232" i="41"/>
  <c r="S232" i="41"/>
  <c r="T232" i="41"/>
  <c r="U232" i="41"/>
  <c r="B134" i="6"/>
  <c r="C134" i="6"/>
  <c r="D134" i="6"/>
  <c r="O34" i="9"/>
  <c r="P34" i="9"/>
  <c r="Q34" i="9"/>
  <c r="R34" i="9"/>
  <c r="S34" i="9"/>
  <c r="T34" i="9"/>
  <c r="A34" i="9"/>
  <c r="AJ34" i="9" s="1" a="1"/>
  <c r="AJ34" i="9" s="1"/>
  <c r="B34" i="9"/>
  <c r="C34" i="9"/>
  <c r="D34" i="9"/>
  <c r="E34" i="9"/>
  <c r="F34" i="9"/>
  <c r="G34" i="9"/>
  <c r="H34" i="9"/>
  <c r="L34" i="9"/>
  <c r="E3" i="9"/>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2" i="9"/>
  <c r="A148" i="2"/>
  <c r="B148" i="2"/>
  <c r="C148" i="2"/>
  <c r="E148" i="2"/>
  <c r="G148" i="2"/>
  <c r="H148" i="2"/>
  <c r="I148" i="2"/>
  <c r="BM115" i="2"/>
  <c r="BN115" i="2"/>
  <c r="BO115" i="2"/>
  <c r="BM116" i="2"/>
  <c r="BN116" i="2"/>
  <c r="BO116" i="2"/>
  <c r="BM117" i="2"/>
  <c r="BN117" i="2"/>
  <c r="BO117" i="2"/>
  <c r="BM118" i="2"/>
  <c r="BN118" i="2"/>
  <c r="BO118" i="2"/>
  <c r="BM119" i="2"/>
  <c r="BN119" i="2"/>
  <c r="BO119" i="2"/>
  <c r="BM120" i="2"/>
  <c r="BN120" i="2"/>
  <c r="BO120" i="2"/>
  <c r="BM121" i="2"/>
  <c r="BN121" i="2"/>
  <c r="BO121" i="2"/>
  <c r="BM122" i="2"/>
  <c r="BN122" i="2"/>
  <c r="BO122" i="2"/>
  <c r="BM123" i="2"/>
  <c r="BN123" i="2"/>
  <c r="BO123" i="2"/>
  <c r="BM124" i="2"/>
  <c r="BN124" i="2"/>
  <c r="BO124" i="2"/>
  <c r="BM125" i="2"/>
  <c r="BN125" i="2"/>
  <c r="BO125" i="2"/>
  <c r="BM126" i="2"/>
  <c r="BN126" i="2"/>
  <c r="BO126" i="2"/>
  <c r="BM127" i="2"/>
  <c r="BN127" i="2"/>
  <c r="BO127" i="2"/>
  <c r="BM128" i="2"/>
  <c r="BN128" i="2"/>
  <c r="BO128" i="2"/>
  <c r="BM129" i="2"/>
  <c r="BN129" i="2"/>
  <c r="BO129" i="2"/>
  <c r="BM130" i="2"/>
  <c r="BN130" i="2"/>
  <c r="BO130" i="2"/>
  <c r="BM131" i="2"/>
  <c r="BN131" i="2"/>
  <c r="BO131" i="2"/>
  <c r="BM132" i="2"/>
  <c r="BN132" i="2"/>
  <c r="BO132" i="2"/>
  <c r="BM133" i="2"/>
  <c r="BN133" i="2"/>
  <c r="BO133" i="2"/>
  <c r="BM134" i="2"/>
  <c r="BN134" i="2"/>
  <c r="BO134" i="2"/>
  <c r="BM135" i="2"/>
  <c r="BN135" i="2"/>
  <c r="BO135" i="2"/>
  <c r="BM136" i="2"/>
  <c r="BN136" i="2"/>
  <c r="BO136" i="2"/>
  <c r="BM137" i="2"/>
  <c r="BN137" i="2"/>
  <c r="BO137" i="2"/>
  <c r="BM138" i="2"/>
  <c r="BN138" i="2"/>
  <c r="BO138" i="2"/>
  <c r="BM139" i="2"/>
  <c r="BN139" i="2"/>
  <c r="BO139" i="2"/>
  <c r="BM140" i="2"/>
  <c r="BN140" i="2"/>
  <c r="BO140" i="2"/>
  <c r="BM141" i="2"/>
  <c r="BN141" i="2"/>
  <c r="BO141" i="2"/>
  <c r="BM142" i="2"/>
  <c r="BN142" i="2"/>
  <c r="BO142" i="2"/>
  <c r="BM143" i="2"/>
  <c r="BN143" i="2"/>
  <c r="BO143" i="2"/>
  <c r="BM144" i="2"/>
  <c r="BN144" i="2"/>
  <c r="BO144" i="2"/>
  <c r="BM145" i="2"/>
  <c r="BN145" i="2"/>
  <c r="BO145" i="2"/>
  <c r="BM146" i="2"/>
  <c r="BN146" i="2"/>
  <c r="BO146" i="2"/>
  <c r="BN114" i="2"/>
  <c r="BO114" i="2"/>
  <c r="BM114" i="2"/>
  <c r="AW115" i="2"/>
  <c r="AX115" i="2"/>
  <c r="AY115" i="2"/>
  <c r="AZ115" i="2"/>
  <c r="BA115" i="2"/>
  <c r="BB115" i="2"/>
  <c r="BC115" i="2"/>
  <c r="BD115" i="2"/>
  <c r="BE115" i="2"/>
  <c r="BF115" i="2"/>
  <c r="BG115" i="2"/>
  <c r="BH115" i="2"/>
  <c r="BI115" i="2"/>
  <c r="BJ115" i="2"/>
  <c r="BK115" i="2"/>
  <c r="BL115" i="2"/>
  <c r="BP115" i="2"/>
  <c r="BQ115" i="2"/>
  <c r="BR115" i="2"/>
  <c r="BS115" i="2"/>
  <c r="BT115" i="2"/>
  <c r="BU115" i="2"/>
  <c r="BV115" i="2"/>
  <c r="BW115" i="2"/>
  <c r="BX115" i="2"/>
  <c r="AW116" i="2"/>
  <c r="AX116" i="2"/>
  <c r="AY116" i="2"/>
  <c r="AZ116" i="2"/>
  <c r="BA116" i="2"/>
  <c r="BB116" i="2"/>
  <c r="BC116" i="2"/>
  <c r="BD116" i="2"/>
  <c r="BE116" i="2"/>
  <c r="BF116" i="2"/>
  <c r="BG116" i="2"/>
  <c r="BH116" i="2"/>
  <c r="BI116" i="2"/>
  <c r="BJ116" i="2"/>
  <c r="BK116" i="2"/>
  <c r="BL116" i="2"/>
  <c r="BP116" i="2"/>
  <c r="BQ116" i="2"/>
  <c r="BR116" i="2"/>
  <c r="BS116" i="2"/>
  <c r="BT116" i="2"/>
  <c r="BU116" i="2"/>
  <c r="BV116" i="2"/>
  <c r="BW116" i="2"/>
  <c r="BX116" i="2"/>
  <c r="AW117" i="2"/>
  <c r="AX117" i="2"/>
  <c r="AY117" i="2"/>
  <c r="AZ117" i="2"/>
  <c r="BA117" i="2"/>
  <c r="BB117" i="2"/>
  <c r="BC117" i="2"/>
  <c r="BD117" i="2"/>
  <c r="BE117" i="2"/>
  <c r="BF117" i="2"/>
  <c r="BG117" i="2"/>
  <c r="BH117" i="2"/>
  <c r="BI117" i="2"/>
  <c r="BJ117" i="2"/>
  <c r="BK117" i="2"/>
  <c r="BL117" i="2"/>
  <c r="BP117" i="2"/>
  <c r="BQ117" i="2"/>
  <c r="BR117" i="2"/>
  <c r="BS117" i="2"/>
  <c r="BT117" i="2"/>
  <c r="BU117" i="2"/>
  <c r="BV117" i="2"/>
  <c r="BW117" i="2"/>
  <c r="BX117" i="2"/>
  <c r="AW118" i="2"/>
  <c r="AX118" i="2"/>
  <c r="AY118" i="2"/>
  <c r="AZ118" i="2"/>
  <c r="BA118" i="2"/>
  <c r="BB118" i="2"/>
  <c r="BC118" i="2"/>
  <c r="BD118" i="2"/>
  <c r="BE118" i="2"/>
  <c r="BF118" i="2"/>
  <c r="BG118" i="2"/>
  <c r="BH118" i="2"/>
  <c r="BI118" i="2"/>
  <c r="BJ118" i="2"/>
  <c r="BK118" i="2"/>
  <c r="BL118" i="2"/>
  <c r="BP118" i="2"/>
  <c r="BQ118" i="2"/>
  <c r="BR118" i="2"/>
  <c r="BS118" i="2"/>
  <c r="BT118" i="2"/>
  <c r="BU118" i="2"/>
  <c r="BV118" i="2"/>
  <c r="BW118" i="2"/>
  <c r="BX118" i="2"/>
  <c r="AW119" i="2"/>
  <c r="AX119" i="2"/>
  <c r="AY119" i="2"/>
  <c r="AZ119" i="2"/>
  <c r="BA119" i="2"/>
  <c r="BB119" i="2"/>
  <c r="BC119" i="2"/>
  <c r="BD119" i="2"/>
  <c r="BE119" i="2"/>
  <c r="BF119" i="2"/>
  <c r="BG119" i="2"/>
  <c r="BH119" i="2"/>
  <c r="BI119" i="2"/>
  <c r="BJ119" i="2"/>
  <c r="BK119" i="2"/>
  <c r="BL119" i="2"/>
  <c r="BP119" i="2"/>
  <c r="BQ119" i="2"/>
  <c r="BR119" i="2"/>
  <c r="BS119" i="2"/>
  <c r="BT119" i="2"/>
  <c r="BU119" i="2"/>
  <c r="BV119" i="2"/>
  <c r="BW119" i="2"/>
  <c r="BX119" i="2"/>
  <c r="AW120" i="2"/>
  <c r="AX120" i="2"/>
  <c r="AY120" i="2"/>
  <c r="AZ120" i="2"/>
  <c r="BA120" i="2"/>
  <c r="BB120" i="2"/>
  <c r="BC120" i="2"/>
  <c r="BD120" i="2"/>
  <c r="BE120" i="2"/>
  <c r="BF120" i="2"/>
  <c r="BG120" i="2"/>
  <c r="BH120" i="2"/>
  <c r="BI120" i="2"/>
  <c r="BJ120" i="2"/>
  <c r="BK120" i="2"/>
  <c r="BL120" i="2"/>
  <c r="BP120" i="2"/>
  <c r="BQ120" i="2"/>
  <c r="BR120" i="2"/>
  <c r="BS120" i="2"/>
  <c r="BT120" i="2"/>
  <c r="BU120" i="2"/>
  <c r="BV120" i="2"/>
  <c r="BW120" i="2"/>
  <c r="BX120" i="2"/>
  <c r="AW121" i="2"/>
  <c r="AX121" i="2"/>
  <c r="AY121" i="2"/>
  <c r="AZ121" i="2"/>
  <c r="BA121" i="2"/>
  <c r="BB121" i="2"/>
  <c r="BC121" i="2"/>
  <c r="BD121" i="2"/>
  <c r="BE121" i="2"/>
  <c r="BF121" i="2"/>
  <c r="BG121" i="2"/>
  <c r="BH121" i="2"/>
  <c r="BI121" i="2"/>
  <c r="BJ121" i="2"/>
  <c r="BK121" i="2"/>
  <c r="BL121" i="2"/>
  <c r="BP121" i="2"/>
  <c r="BQ121" i="2"/>
  <c r="BR121" i="2"/>
  <c r="BS121" i="2"/>
  <c r="BT121" i="2"/>
  <c r="BU121" i="2"/>
  <c r="BV121" i="2"/>
  <c r="BW121" i="2"/>
  <c r="BX121" i="2"/>
  <c r="AW122" i="2"/>
  <c r="AX122" i="2"/>
  <c r="AY122" i="2"/>
  <c r="AZ122" i="2"/>
  <c r="BA122" i="2"/>
  <c r="BB122" i="2"/>
  <c r="BC122" i="2"/>
  <c r="BD122" i="2"/>
  <c r="BE122" i="2"/>
  <c r="BF122" i="2"/>
  <c r="BG122" i="2"/>
  <c r="BH122" i="2"/>
  <c r="BI122" i="2"/>
  <c r="BJ122" i="2"/>
  <c r="BK122" i="2"/>
  <c r="BL122" i="2"/>
  <c r="BP122" i="2"/>
  <c r="BQ122" i="2"/>
  <c r="BR122" i="2"/>
  <c r="BS122" i="2"/>
  <c r="BT122" i="2"/>
  <c r="BU122" i="2"/>
  <c r="BV122" i="2"/>
  <c r="BW122" i="2"/>
  <c r="BX122" i="2"/>
  <c r="AW123" i="2"/>
  <c r="AX123" i="2"/>
  <c r="AY123" i="2"/>
  <c r="AZ123" i="2"/>
  <c r="BA123" i="2"/>
  <c r="BB123" i="2"/>
  <c r="BC123" i="2"/>
  <c r="BD123" i="2"/>
  <c r="BE123" i="2"/>
  <c r="BF123" i="2"/>
  <c r="BG123" i="2"/>
  <c r="BH123" i="2"/>
  <c r="BI123" i="2"/>
  <c r="BJ123" i="2"/>
  <c r="BK123" i="2"/>
  <c r="BL123" i="2"/>
  <c r="BP123" i="2"/>
  <c r="BQ123" i="2"/>
  <c r="BR123" i="2"/>
  <c r="BS123" i="2"/>
  <c r="BT123" i="2"/>
  <c r="BU123" i="2"/>
  <c r="BV123" i="2"/>
  <c r="BW123" i="2"/>
  <c r="BX123" i="2"/>
  <c r="AW124" i="2"/>
  <c r="AX124" i="2"/>
  <c r="AY124" i="2"/>
  <c r="AZ124" i="2"/>
  <c r="BA124" i="2"/>
  <c r="BB124" i="2"/>
  <c r="BC124" i="2"/>
  <c r="BD124" i="2"/>
  <c r="BE124" i="2"/>
  <c r="BF124" i="2"/>
  <c r="BG124" i="2"/>
  <c r="BH124" i="2"/>
  <c r="BI124" i="2"/>
  <c r="BJ124" i="2"/>
  <c r="BK124" i="2"/>
  <c r="BL124" i="2"/>
  <c r="BP124" i="2"/>
  <c r="BQ124" i="2"/>
  <c r="BR124" i="2"/>
  <c r="BS124" i="2"/>
  <c r="BT124" i="2"/>
  <c r="BU124" i="2"/>
  <c r="BV124" i="2"/>
  <c r="BW124" i="2"/>
  <c r="BX124" i="2"/>
  <c r="AW125" i="2"/>
  <c r="AX125" i="2"/>
  <c r="AY125" i="2"/>
  <c r="AZ125" i="2"/>
  <c r="BA125" i="2"/>
  <c r="BB125" i="2"/>
  <c r="BC125" i="2"/>
  <c r="BD125" i="2"/>
  <c r="BE125" i="2"/>
  <c r="BF125" i="2"/>
  <c r="BG125" i="2"/>
  <c r="BH125" i="2"/>
  <c r="BI125" i="2"/>
  <c r="BJ125" i="2"/>
  <c r="BK125" i="2"/>
  <c r="BL125" i="2"/>
  <c r="BP125" i="2"/>
  <c r="BQ125" i="2"/>
  <c r="BR125" i="2"/>
  <c r="BS125" i="2"/>
  <c r="BT125" i="2"/>
  <c r="BU125" i="2"/>
  <c r="BV125" i="2"/>
  <c r="BW125" i="2"/>
  <c r="BX125" i="2"/>
  <c r="AW126" i="2"/>
  <c r="AX126" i="2"/>
  <c r="AY126" i="2"/>
  <c r="AZ126" i="2"/>
  <c r="BA126" i="2"/>
  <c r="BB126" i="2"/>
  <c r="BC126" i="2"/>
  <c r="BD126" i="2"/>
  <c r="BE126" i="2"/>
  <c r="BF126" i="2"/>
  <c r="BG126" i="2"/>
  <c r="BH126" i="2"/>
  <c r="BI126" i="2"/>
  <c r="BJ126" i="2"/>
  <c r="BK126" i="2"/>
  <c r="BL126" i="2"/>
  <c r="BP126" i="2"/>
  <c r="BQ126" i="2"/>
  <c r="BR126" i="2"/>
  <c r="BS126" i="2"/>
  <c r="BT126" i="2"/>
  <c r="BU126" i="2"/>
  <c r="BV126" i="2"/>
  <c r="BW126" i="2"/>
  <c r="BX126" i="2"/>
  <c r="AW127" i="2"/>
  <c r="AX127" i="2"/>
  <c r="AY127" i="2"/>
  <c r="AZ127" i="2"/>
  <c r="BA127" i="2"/>
  <c r="BB127" i="2"/>
  <c r="BC127" i="2"/>
  <c r="BD127" i="2"/>
  <c r="BE127" i="2"/>
  <c r="BF127" i="2"/>
  <c r="BG127" i="2"/>
  <c r="BH127" i="2"/>
  <c r="BI127" i="2"/>
  <c r="BJ127" i="2"/>
  <c r="BK127" i="2"/>
  <c r="BL127" i="2"/>
  <c r="BP127" i="2"/>
  <c r="BQ127" i="2"/>
  <c r="BR127" i="2"/>
  <c r="BS127" i="2"/>
  <c r="BT127" i="2"/>
  <c r="BU127" i="2"/>
  <c r="BV127" i="2"/>
  <c r="BW127" i="2"/>
  <c r="BX127" i="2"/>
  <c r="AW128" i="2"/>
  <c r="AX128" i="2"/>
  <c r="AY128" i="2"/>
  <c r="AZ128" i="2"/>
  <c r="BA128" i="2"/>
  <c r="BB128" i="2"/>
  <c r="BC128" i="2"/>
  <c r="BD128" i="2"/>
  <c r="BE128" i="2"/>
  <c r="BF128" i="2"/>
  <c r="BG128" i="2"/>
  <c r="BH128" i="2"/>
  <c r="BI128" i="2"/>
  <c r="BJ128" i="2"/>
  <c r="BK128" i="2"/>
  <c r="BL128" i="2"/>
  <c r="BP128" i="2"/>
  <c r="BQ128" i="2"/>
  <c r="BR128" i="2"/>
  <c r="BS128" i="2"/>
  <c r="BT128" i="2"/>
  <c r="BU128" i="2"/>
  <c r="BV128" i="2"/>
  <c r="BW128" i="2"/>
  <c r="BX128" i="2"/>
  <c r="AW129" i="2"/>
  <c r="AX129" i="2"/>
  <c r="AY129" i="2"/>
  <c r="AZ129" i="2"/>
  <c r="BA129" i="2"/>
  <c r="BB129" i="2"/>
  <c r="BC129" i="2"/>
  <c r="BD129" i="2"/>
  <c r="BE129" i="2"/>
  <c r="BF129" i="2"/>
  <c r="BG129" i="2"/>
  <c r="BH129" i="2"/>
  <c r="BI129" i="2"/>
  <c r="BJ129" i="2"/>
  <c r="BK129" i="2"/>
  <c r="BL129" i="2"/>
  <c r="BP129" i="2"/>
  <c r="BQ129" i="2"/>
  <c r="BR129" i="2"/>
  <c r="BS129" i="2"/>
  <c r="BT129" i="2"/>
  <c r="BU129" i="2"/>
  <c r="BV129" i="2"/>
  <c r="BW129" i="2"/>
  <c r="BX129" i="2"/>
  <c r="AW130" i="2"/>
  <c r="AX130" i="2"/>
  <c r="AY130" i="2"/>
  <c r="AZ130" i="2"/>
  <c r="BA130" i="2"/>
  <c r="BB130" i="2"/>
  <c r="BC130" i="2"/>
  <c r="BD130" i="2"/>
  <c r="BE130" i="2"/>
  <c r="BF130" i="2"/>
  <c r="BG130" i="2"/>
  <c r="BH130" i="2"/>
  <c r="BI130" i="2"/>
  <c r="BJ130" i="2"/>
  <c r="BK130" i="2"/>
  <c r="BL130" i="2"/>
  <c r="BP130" i="2"/>
  <c r="BQ130" i="2"/>
  <c r="BR130" i="2"/>
  <c r="BS130" i="2"/>
  <c r="BT130" i="2"/>
  <c r="BU130" i="2"/>
  <c r="BV130" i="2"/>
  <c r="BW130" i="2"/>
  <c r="BX130" i="2"/>
  <c r="AW131" i="2"/>
  <c r="AX131" i="2"/>
  <c r="AY131" i="2"/>
  <c r="AZ131" i="2"/>
  <c r="BA131" i="2"/>
  <c r="BB131" i="2"/>
  <c r="BC131" i="2"/>
  <c r="BD131" i="2"/>
  <c r="BE131" i="2"/>
  <c r="BF131" i="2"/>
  <c r="BG131" i="2"/>
  <c r="BH131" i="2"/>
  <c r="BI131" i="2"/>
  <c r="BJ131" i="2"/>
  <c r="BK131" i="2"/>
  <c r="BL131" i="2"/>
  <c r="BP131" i="2"/>
  <c r="BQ131" i="2"/>
  <c r="BR131" i="2"/>
  <c r="BS131" i="2"/>
  <c r="BT131" i="2"/>
  <c r="BU131" i="2"/>
  <c r="BV131" i="2"/>
  <c r="BW131" i="2"/>
  <c r="BX131" i="2"/>
  <c r="AW132" i="2"/>
  <c r="AX132" i="2"/>
  <c r="AY132" i="2"/>
  <c r="AZ132" i="2"/>
  <c r="BA132" i="2"/>
  <c r="BB132" i="2"/>
  <c r="BC132" i="2"/>
  <c r="BD132" i="2"/>
  <c r="BE132" i="2"/>
  <c r="BF132" i="2"/>
  <c r="BG132" i="2"/>
  <c r="BH132" i="2"/>
  <c r="BI132" i="2"/>
  <c r="BJ132" i="2"/>
  <c r="BK132" i="2"/>
  <c r="BL132" i="2"/>
  <c r="BP132" i="2"/>
  <c r="BQ132" i="2"/>
  <c r="BR132" i="2"/>
  <c r="BS132" i="2"/>
  <c r="BT132" i="2"/>
  <c r="BU132" i="2"/>
  <c r="BV132" i="2"/>
  <c r="BW132" i="2"/>
  <c r="BX132" i="2"/>
  <c r="AW133" i="2"/>
  <c r="AX133" i="2"/>
  <c r="AY133" i="2"/>
  <c r="AZ133" i="2"/>
  <c r="BA133" i="2"/>
  <c r="BB133" i="2"/>
  <c r="BC133" i="2"/>
  <c r="BD133" i="2"/>
  <c r="BE133" i="2"/>
  <c r="BF133" i="2"/>
  <c r="BG133" i="2"/>
  <c r="BH133" i="2"/>
  <c r="BI133" i="2"/>
  <c r="BJ133" i="2"/>
  <c r="BK133" i="2"/>
  <c r="BL133" i="2"/>
  <c r="BP133" i="2"/>
  <c r="BQ133" i="2"/>
  <c r="BR133" i="2"/>
  <c r="BS133" i="2"/>
  <c r="BT133" i="2"/>
  <c r="BU133" i="2"/>
  <c r="BV133" i="2"/>
  <c r="BW133" i="2"/>
  <c r="BX133" i="2"/>
  <c r="AW134" i="2"/>
  <c r="AX134" i="2"/>
  <c r="AY134" i="2"/>
  <c r="AZ134" i="2"/>
  <c r="BA134" i="2"/>
  <c r="BB134" i="2"/>
  <c r="BC134" i="2"/>
  <c r="BD134" i="2"/>
  <c r="BE134" i="2"/>
  <c r="BF134" i="2"/>
  <c r="BG134" i="2"/>
  <c r="BH134" i="2"/>
  <c r="BI134" i="2"/>
  <c r="BJ134" i="2"/>
  <c r="BK134" i="2"/>
  <c r="BL134" i="2"/>
  <c r="BP134" i="2"/>
  <c r="BQ134" i="2"/>
  <c r="BR134" i="2"/>
  <c r="BS134" i="2"/>
  <c r="BT134" i="2"/>
  <c r="BU134" i="2"/>
  <c r="BV134" i="2"/>
  <c r="BW134" i="2"/>
  <c r="BX134" i="2"/>
  <c r="AW135" i="2"/>
  <c r="AX135" i="2"/>
  <c r="AY135" i="2"/>
  <c r="AZ135" i="2"/>
  <c r="BA135" i="2"/>
  <c r="BB135" i="2"/>
  <c r="BC135" i="2"/>
  <c r="BD135" i="2"/>
  <c r="BE135" i="2"/>
  <c r="BF135" i="2"/>
  <c r="BG135" i="2"/>
  <c r="BH135" i="2"/>
  <c r="BI135" i="2"/>
  <c r="BJ135" i="2"/>
  <c r="BK135" i="2"/>
  <c r="BL135" i="2"/>
  <c r="BP135" i="2"/>
  <c r="BQ135" i="2"/>
  <c r="BR135" i="2"/>
  <c r="BS135" i="2"/>
  <c r="BT135" i="2"/>
  <c r="BU135" i="2"/>
  <c r="BV135" i="2"/>
  <c r="BW135" i="2"/>
  <c r="BX135" i="2"/>
  <c r="AW136" i="2"/>
  <c r="AX136" i="2"/>
  <c r="AY136" i="2"/>
  <c r="AZ136" i="2"/>
  <c r="BA136" i="2"/>
  <c r="BB136" i="2"/>
  <c r="BC136" i="2"/>
  <c r="BD136" i="2"/>
  <c r="BE136" i="2"/>
  <c r="BF136" i="2"/>
  <c r="BG136" i="2"/>
  <c r="BH136" i="2"/>
  <c r="BI136" i="2"/>
  <c r="BJ136" i="2"/>
  <c r="BK136" i="2"/>
  <c r="BL136" i="2"/>
  <c r="BP136" i="2"/>
  <c r="BQ136" i="2"/>
  <c r="BR136" i="2"/>
  <c r="BS136" i="2"/>
  <c r="BT136" i="2"/>
  <c r="BU136" i="2"/>
  <c r="BV136" i="2"/>
  <c r="BW136" i="2"/>
  <c r="BX136" i="2"/>
  <c r="AW137" i="2"/>
  <c r="AX137" i="2"/>
  <c r="AY137" i="2"/>
  <c r="AZ137" i="2"/>
  <c r="BA137" i="2"/>
  <c r="BB137" i="2"/>
  <c r="BC137" i="2"/>
  <c r="BD137" i="2"/>
  <c r="BE137" i="2"/>
  <c r="BF137" i="2"/>
  <c r="BG137" i="2"/>
  <c r="BH137" i="2"/>
  <c r="BI137" i="2"/>
  <c r="BJ137" i="2"/>
  <c r="BK137" i="2"/>
  <c r="BL137" i="2"/>
  <c r="BP137" i="2"/>
  <c r="BQ137" i="2"/>
  <c r="BR137" i="2"/>
  <c r="BS137" i="2"/>
  <c r="BT137" i="2"/>
  <c r="BU137" i="2"/>
  <c r="BV137" i="2"/>
  <c r="BW137" i="2"/>
  <c r="BX137" i="2"/>
  <c r="AW138" i="2"/>
  <c r="AX138" i="2"/>
  <c r="AY138" i="2"/>
  <c r="AZ138" i="2"/>
  <c r="BA138" i="2"/>
  <c r="BB138" i="2"/>
  <c r="BC138" i="2"/>
  <c r="BD138" i="2"/>
  <c r="BE138" i="2"/>
  <c r="BF138" i="2"/>
  <c r="BG138" i="2"/>
  <c r="BH138" i="2"/>
  <c r="BI138" i="2"/>
  <c r="BJ138" i="2"/>
  <c r="BK138" i="2"/>
  <c r="BL138" i="2"/>
  <c r="BP138" i="2"/>
  <c r="BQ138" i="2"/>
  <c r="BR138" i="2"/>
  <c r="BS138" i="2"/>
  <c r="BT138" i="2"/>
  <c r="BU138" i="2"/>
  <c r="BV138" i="2"/>
  <c r="BW138" i="2"/>
  <c r="BX138" i="2"/>
  <c r="AW139" i="2"/>
  <c r="AX139" i="2"/>
  <c r="AY139" i="2"/>
  <c r="AZ139" i="2"/>
  <c r="BA139" i="2"/>
  <c r="BB139" i="2"/>
  <c r="BC139" i="2"/>
  <c r="BD139" i="2"/>
  <c r="BE139" i="2"/>
  <c r="BF139" i="2"/>
  <c r="BG139" i="2"/>
  <c r="BH139" i="2"/>
  <c r="BI139" i="2"/>
  <c r="BJ139" i="2"/>
  <c r="BK139" i="2"/>
  <c r="BL139" i="2"/>
  <c r="BP139" i="2"/>
  <c r="BQ139" i="2"/>
  <c r="BR139" i="2"/>
  <c r="BS139" i="2"/>
  <c r="BT139" i="2"/>
  <c r="BU139" i="2"/>
  <c r="BV139" i="2"/>
  <c r="BW139" i="2"/>
  <c r="BX139" i="2"/>
  <c r="AW140" i="2"/>
  <c r="AX140" i="2"/>
  <c r="AY140" i="2"/>
  <c r="AZ140" i="2"/>
  <c r="BA140" i="2"/>
  <c r="BB140" i="2"/>
  <c r="BC140" i="2"/>
  <c r="BD140" i="2"/>
  <c r="BE140" i="2"/>
  <c r="BF140" i="2"/>
  <c r="BG140" i="2"/>
  <c r="BH140" i="2"/>
  <c r="BI140" i="2"/>
  <c r="BJ140" i="2"/>
  <c r="BK140" i="2"/>
  <c r="BL140" i="2"/>
  <c r="BP140" i="2"/>
  <c r="BQ140" i="2"/>
  <c r="BR140" i="2"/>
  <c r="BS140" i="2"/>
  <c r="BT140" i="2"/>
  <c r="BU140" i="2"/>
  <c r="BV140" i="2"/>
  <c r="BW140" i="2"/>
  <c r="BX140" i="2"/>
  <c r="AW141" i="2"/>
  <c r="AX141" i="2"/>
  <c r="AY141" i="2"/>
  <c r="AZ141" i="2"/>
  <c r="BA141" i="2"/>
  <c r="BB141" i="2"/>
  <c r="BC141" i="2"/>
  <c r="BD141" i="2"/>
  <c r="BE141" i="2"/>
  <c r="BF141" i="2"/>
  <c r="BG141" i="2"/>
  <c r="BH141" i="2"/>
  <c r="BI141" i="2"/>
  <c r="BJ141" i="2"/>
  <c r="BK141" i="2"/>
  <c r="BL141" i="2"/>
  <c r="BP141" i="2"/>
  <c r="BQ141" i="2"/>
  <c r="BR141" i="2"/>
  <c r="BS141" i="2"/>
  <c r="BT141" i="2"/>
  <c r="BU141" i="2"/>
  <c r="BV141" i="2"/>
  <c r="BW141" i="2"/>
  <c r="BX141" i="2"/>
  <c r="AW142" i="2"/>
  <c r="AX142" i="2"/>
  <c r="AY142" i="2"/>
  <c r="AZ142" i="2"/>
  <c r="BA142" i="2"/>
  <c r="BB142" i="2"/>
  <c r="BC142" i="2"/>
  <c r="BD142" i="2"/>
  <c r="BE142" i="2"/>
  <c r="BF142" i="2"/>
  <c r="BG142" i="2"/>
  <c r="BH142" i="2"/>
  <c r="BI142" i="2"/>
  <c r="BJ142" i="2"/>
  <c r="BK142" i="2"/>
  <c r="BL142" i="2"/>
  <c r="BP142" i="2"/>
  <c r="BQ142" i="2"/>
  <c r="BR142" i="2"/>
  <c r="BS142" i="2"/>
  <c r="BT142" i="2"/>
  <c r="BU142" i="2"/>
  <c r="BV142" i="2"/>
  <c r="BW142" i="2"/>
  <c r="BX142" i="2"/>
  <c r="AW143" i="2"/>
  <c r="AX143" i="2"/>
  <c r="AY143" i="2"/>
  <c r="AZ143" i="2"/>
  <c r="BA143" i="2"/>
  <c r="BB143" i="2"/>
  <c r="BC143" i="2"/>
  <c r="BD143" i="2"/>
  <c r="BE143" i="2"/>
  <c r="BF143" i="2"/>
  <c r="BG143" i="2"/>
  <c r="BH143" i="2"/>
  <c r="BI143" i="2"/>
  <c r="BJ143" i="2"/>
  <c r="BK143" i="2"/>
  <c r="BL143" i="2"/>
  <c r="BP143" i="2"/>
  <c r="BQ143" i="2"/>
  <c r="BR143" i="2"/>
  <c r="BS143" i="2"/>
  <c r="BT143" i="2"/>
  <c r="BU143" i="2"/>
  <c r="BV143" i="2"/>
  <c r="BW143" i="2"/>
  <c r="BX143" i="2"/>
  <c r="AW144" i="2"/>
  <c r="AX144" i="2"/>
  <c r="AY144" i="2"/>
  <c r="AZ144" i="2"/>
  <c r="BA144" i="2"/>
  <c r="BB144" i="2"/>
  <c r="BC144" i="2"/>
  <c r="BD144" i="2"/>
  <c r="BE144" i="2"/>
  <c r="BF144" i="2"/>
  <c r="BG144" i="2"/>
  <c r="BH144" i="2"/>
  <c r="BI144" i="2"/>
  <c r="BJ144" i="2"/>
  <c r="BK144" i="2"/>
  <c r="BL144" i="2"/>
  <c r="BP144" i="2"/>
  <c r="BQ144" i="2"/>
  <c r="BR144" i="2"/>
  <c r="BS144" i="2"/>
  <c r="BT144" i="2"/>
  <c r="BU144" i="2"/>
  <c r="BV144" i="2"/>
  <c r="BW144" i="2"/>
  <c r="BX144" i="2"/>
  <c r="AW145" i="2"/>
  <c r="AX145" i="2"/>
  <c r="AY145" i="2"/>
  <c r="AZ145" i="2"/>
  <c r="BA145" i="2"/>
  <c r="BB145" i="2"/>
  <c r="BC145" i="2"/>
  <c r="BD145" i="2"/>
  <c r="BE145" i="2"/>
  <c r="BF145" i="2"/>
  <c r="BG145" i="2"/>
  <c r="BH145" i="2"/>
  <c r="BI145" i="2"/>
  <c r="BJ145" i="2"/>
  <c r="BK145" i="2"/>
  <c r="BL145" i="2"/>
  <c r="BP145" i="2"/>
  <c r="BQ145" i="2"/>
  <c r="BR145" i="2"/>
  <c r="BS145" i="2"/>
  <c r="BT145" i="2"/>
  <c r="BU145" i="2"/>
  <c r="BV145" i="2"/>
  <c r="BW145" i="2"/>
  <c r="BX145" i="2"/>
  <c r="AW146" i="2"/>
  <c r="K148" i="2" s="1"/>
  <c r="AX146" i="2"/>
  <c r="L148" i="2" s="1"/>
  <c r="AY146" i="2"/>
  <c r="M148" i="2" s="1"/>
  <c r="AZ146" i="2"/>
  <c r="BA146" i="2"/>
  <c r="O148" i="2" s="1"/>
  <c r="BB146" i="2"/>
  <c r="BC146" i="2"/>
  <c r="BD146" i="2"/>
  <c r="BE146" i="2"/>
  <c r="BF146" i="2"/>
  <c r="BG146" i="2"/>
  <c r="BH146" i="2"/>
  <c r="BI146" i="2"/>
  <c r="BJ146" i="2"/>
  <c r="BK146" i="2"/>
  <c r="BL146" i="2"/>
  <c r="BP146" i="2"/>
  <c r="BQ146" i="2"/>
  <c r="BR146" i="2"/>
  <c r="BS146" i="2"/>
  <c r="BT146" i="2"/>
  <c r="BU146" i="2"/>
  <c r="BV146" i="2"/>
  <c r="BW146" i="2"/>
  <c r="BX146" i="2"/>
  <c r="AX114" i="2"/>
  <c r="AY114" i="2"/>
  <c r="M116" i="2" s="1"/>
  <c r="AZ114" i="2"/>
  <c r="BA114" i="2"/>
  <c r="BB114" i="2"/>
  <c r="BC114" i="2"/>
  <c r="BD114" i="2"/>
  <c r="BE114" i="2"/>
  <c r="BF114" i="2"/>
  <c r="BG114" i="2"/>
  <c r="BH114" i="2"/>
  <c r="BI114" i="2"/>
  <c r="BJ114" i="2"/>
  <c r="BK114" i="2"/>
  <c r="BL114" i="2"/>
  <c r="BP114" i="2"/>
  <c r="BQ114" i="2"/>
  <c r="BR114" i="2"/>
  <c r="BS114" i="2"/>
  <c r="BT114" i="2"/>
  <c r="BU114" i="2"/>
  <c r="BV114" i="2"/>
  <c r="BW114" i="2"/>
  <c r="BX114" i="2"/>
  <c r="AW114" i="2"/>
  <c r="K116" i="2" s="1"/>
  <c r="AU146" i="2"/>
  <c r="Z125" i="33"/>
  <c r="AA125" i="33"/>
  <c r="DU82" i="33"/>
  <c r="DV82" i="33"/>
  <c r="DW82" i="33"/>
  <c r="DX82" i="33"/>
  <c r="DU83" i="33"/>
  <c r="DV83" i="33"/>
  <c r="DW83" i="33"/>
  <c r="DX83" i="33"/>
  <c r="DU87" i="33"/>
  <c r="DV87" i="33"/>
  <c r="DW87" i="33"/>
  <c r="DX87" i="33"/>
  <c r="DU88" i="33"/>
  <c r="DV88" i="33"/>
  <c r="DW88" i="33"/>
  <c r="DX88" i="33"/>
  <c r="DU89" i="33"/>
  <c r="DV89" i="33"/>
  <c r="DW89" i="33"/>
  <c r="DX89" i="33"/>
  <c r="DU71" i="33"/>
  <c r="DV71" i="33"/>
  <c r="DW71" i="33"/>
  <c r="DX71" i="33"/>
  <c r="DU72" i="33"/>
  <c r="DV72" i="33"/>
  <c r="DW72" i="33"/>
  <c r="DX72" i="33"/>
  <c r="CF70" i="33"/>
  <c r="CG70" i="33"/>
  <c r="CH70" i="33"/>
  <c r="CI70" i="33"/>
  <c r="CF71" i="33"/>
  <c r="CG71" i="33"/>
  <c r="CH71" i="33"/>
  <c r="CI71" i="33"/>
  <c r="CF72" i="33"/>
  <c r="CG72" i="33"/>
  <c r="CH72" i="33"/>
  <c r="CI72" i="33"/>
  <c r="CF82" i="33"/>
  <c r="CG82" i="33"/>
  <c r="CH82" i="33"/>
  <c r="CI82" i="33"/>
  <c r="CF83" i="33"/>
  <c r="CG83" i="33"/>
  <c r="CH83" i="33"/>
  <c r="CI83" i="33"/>
  <c r="CF87" i="33"/>
  <c r="CG87" i="33"/>
  <c r="CH87" i="33"/>
  <c r="CI87" i="33"/>
  <c r="CF88" i="33"/>
  <c r="CG88" i="33"/>
  <c r="CH88" i="33"/>
  <c r="CI88" i="33"/>
  <c r="CF89" i="33"/>
  <c r="CG89" i="33"/>
  <c r="CH89" i="33"/>
  <c r="CI89" i="33"/>
  <c r="E3" i="16"/>
  <c r="E4" i="16"/>
  <c r="E5" i="16"/>
  <c r="E6" i="16"/>
  <c r="E7" i="16"/>
  <c r="E8" i="16"/>
  <c r="E9" i="16"/>
  <c r="E10" i="16"/>
  <c r="E11" i="16"/>
  <c r="E12" i="16"/>
  <c r="E13" i="16"/>
  <c r="E14" i="16"/>
  <c r="E15" i="16"/>
  <c r="E16" i="16"/>
  <c r="E17" i="16"/>
  <c r="E18" i="16"/>
  <c r="E19" i="16"/>
  <c r="E20" i="16"/>
  <c r="E21" i="16"/>
  <c r="E22" i="16"/>
  <c r="E2" i="16"/>
  <c r="F3" i="16"/>
  <c r="F4" i="16"/>
  <c r="F5" i="16"/>
  <c r="F6" i="16"/>
  <c r="F7" i="16"/>
  <c r="F8" i="16"/>
  <c r="F9" i="16"/>
  <c r="F10" i="16"/>
  <c r="F11" i="16"/>
  <c r="F12" i="16"/>
  <c r="F13" i="16"/>
  <c r="F14" i="16"/>
  <c r="F15" i="16"/>
  <c r="F16" i="16"/>
  <c r="F17" i="16"/>
  <c r="F18" i="16"/>
  <c r="F19" i="16"/>
  <c r="F20" i="16"/>
  <c r="F21" i="16"/>
  <c r="F22" i="16"/>
  <c r="A3" i="16"/>
  <c r="B3" i="16"/>
  <c r="C3" i="16"/>
  <c r="D3" i="16"/>
  <c r="A4" i="16"/>
  <c r="B4" i="16"/>
  <c r="C4" i="16"/>
  <c r="D4" i="16"/>
  <c r="A5" i="16"/>
  <c r="B5" i="16"/>
  <c r="C5" i="16"/>
  <c r="D5" i="16"/>
  <c r="A6" i="16"/>
  <c r="B6" i="16"/>
  <c r="C6" i="16"/>
  <c r="D6" i="16"/>
  <c r="A7" i="16"/>
  <c r="B7" i="16"/>
  <c r="C7" i="16"/>
  <c r="D7" i="16"/>
  <c r="A8" i="16"/>
  <c r="B8" i="16"/>
  <c r="C8" i="16"/>
  <c r="D8" i="16"/>
  <c r="A9" i="16"/>
  <c r="B9" i="16"/>
  <c r="C9" i="16"/>
  <c r="D9" i="16"/>
  <c r="A10" i="16"/>
  <c r="B10" i="16"/>
  <c r="C10" i="16"/>
  <c r="D10" i="16"/>
  <c r="A11" i="16"/>
  <c r="B11" i="16"/>
  <c r="C11" i="16"/>
  <c r="D11" i="16"/>
  <c r="A12" i="16"/>
  <c r="B12" i="16"/>
  <c r="C12" i="16"/>
  <c r="D12" i="16"/>
  <c r="A13" i="16"/>
  <c r="B13" i="16"/>
  <c r="C13" i="16"/>
  <c r="D13" i="16"/>
  <c r="A14" i="16"/>
  <c r="B14" i="16"/>
  <c r="C14" i="16"/>
  <c r="D14" i="16"/>
  <c r="A15" i="16"/>
  <c r="B15" i="16"/>
  <c r="C15" i="16"/>
  <c r="D15" i="16"/>
  <c r="A16" i="16"/>
  <c r="B16" i="16"/>
  <c r="C16" i="16"/>
  <c r="D16" i="16"/>
  <c r="A17" i="16"/>
  <c r="B17" i="16"/>
  <c r="C17" i="16"/>
  <c r="D17" i="16"/>
  <c r="A18" i="16"/>
  <c r="B18" i="16"/>
  <c r="C18" i="16"/>
  <c r="D18" i="16"/>
  <c r="A19" i="16"/>
  <c r="B19" i="16"/>
  <c r="C19" i="16"/>
  <c r="D19" i="16"/>
  <c r="A20" i="16"/>
  <c r="B20" i="16"/>
  <c r="C20" i="16"/>
  <c r="D20" i="16"/>
  <c r="A21" i="16"/>
  <c r="B21" i="16"/>
  <c r="C21" i="16"/>
  <c r="D21" i="16"/>
  <c r="A22" i="16"/>
  <c r="B22" i="16"/>
  <c r="C22" i="16"/>
  <c r="D22" i="16"/>
  <c r="AF94" i="2"/>
  <c r="AG94" i="2"/>
  <c r="AH94" i="2"/>
  <c r="AI94" i="2"/>
  <c r="AF95" i="2"/>
  <c r="AG95" i="2"/>
  <c r="AH95" i="2"/>
  <c r="AI95" i="2"/>
  <c r="AF104" i="2"/>
  <c r="AG104" i="2"/>
  <c r="AH104" i="2"/>
  <c r="AI104" i="2"/>
  <c r="AF105" i="2"/>
  <c r="AG105" i="2"/>
  <c r="AH105" i="2"/>
  <c r="AI105" i="2"/>
  <c r="AF106" i="2"/>
  <c r="AG106" i="2"/>
  <c r="AH106" i="2"/>
  <c r="AI106" i="2"/>
  <c r="AF107" i="2"/>
  <c r="AG107" i="2"/>
  <c r="AH107" i="2"/>
  <c r="AI107" i="2"/>
  <c r="AF110" i="2"/>
  <c r="AG110" i="2"/>
  <c r="AH110" i="2"/>
  <c r="AI110" i="2"/>
  <c r="AF111" i="2"/>
  <c r="AG111" i="2"/>
  <c r="AH111" i="2"/>
  <c r="AI111" i="2"/>
  <c r="AF112" i="2"/>
  <c r="AG112" i="2"/>
  <c r="AH112" i="2"/>
  <c r="AI112" i="2"/>
  <c r="AF93" i="2"/>
  <c r="G94" i="2"/>
  <c r="H94" i="2"/>
  <c r="AO94" i="2" s="1"/>
  <c r="I94" i="2"/>
  <c r="G95" i="2"/>
  <c r="H95" i="2"/>
  <c r="AO95" i="2" s="1"/>
  <c r="I95" i="2"/>
  <c r="G96" i="2"/>
  <c r="H96" i="2"/>
  <c r="AO96" i="2" s="1"/>
  <c r="I96" i="2"/>
  <c r="G97" i="2"/>
  <c r="H97" i="2"/>
  <c r="AO97" i="2" s="1"/>
  <c r="I97" i="2"/>
  <c r="G98" i="2"/>
  <c r="H98" i="2"/>
  <c r="AO98" i="2" s="1"/>
  <c r="I98" i="2"/>
  <c r="G99" i="2"/>
  <c r="H99" i="2"/>
  <c r="AO99" i="2" s="1"/>
  <c r="I99" i="2"/>
  <c r="G100" i="2"/>
  <c r="H100" i="2"/>
  <c r="AO100" i="2" s="1"/>
  <c r="I100" i="2"/>
  <c r="G101" i="2"/>
  <c r="H101" i="2"/>
  <c r="AO101" i="2" s="1"/>
  <c r="I101" i="2"/>
  <c r="G102" i="2"/>
  <c r="H102" i="2"/>
  <c r="AO102" i="2" s="1"/>
  <c r="I102" i="2"/>
  <c r="G103" i="2"/>
  <c r="H103" i="2"/>
  <c r="AO103" i="2" s="1"/>
  <c r="I103" i="2"/>
  <c r="G104" i="2"/>
  <c r="H104" i="2"/>
  <c r="AO104" i="2" s="1"/>
  <c r="I104" i="2"/>
  <c r="G105" i="2"/>
  <c r="H105" i="2"/>
  <c r="AO105" i="2" s="1"/>
  <c r="I105" i="2"/>
  <c r="G106" i="2"/>
  <c r="H106" i="2"/>
  <c r="AO106" i="2" s="1"/>
  <c r="I106" i="2"/>
  <c r="G107" i="2"/>
  <c r="H107" i="2"/>
  <c r="AO107" i="2" s="1"/>
  <c r="I107" i="2"/>
  <c r="G108" i="2"/>
  <c r="H108" i="2"/>
  <c r="AO108" i="2" s="1"/>
  <c r="I108" i="2"/>
  <c r="G109" i="2"/>
  <c r="H109" i="2"/>
  <c r="AO109" i="2" s="1"/>
  <c r="I109" i="2"/>
  <c r="G110" i="2"/>
  <c r="H110" i="2"/>
  <c r="AO110" i="2" s="1"/>
  <c r="I110" i="2"/>
  <c r="G111" i="2"/>
  <c r="H111" i="2"/>
  <c r="AO111" i="2" s="1"/>
  <c r="I111" i="2"/>
  <c r="G112" i="2"/>
  <c r="H112" i="2"/>
  <c r="AO112" i="2" s="1"/>
  <c r="I112" i="2"/>
  <c r="G113" i="2"/>
  <c r="H113" i="2"/>
  <c r="AO113" i="2" s="1"/>
  <c r="I113" i="2"/>
  <c r="G93" i="2"/>
  <c r="H93" i="2"/>
  <c r="I93" i="2"/>
  <c r="O21" i="12"/>
  <c r="P21" i="12"/>
  <c r="Q21" i="12"/>
  <c r="R21" i="12"/>
  <c r="S21" i="12"/>
  <c r="T21" i="12"/>
  <c r="L3" i="12"/>
  <c r="L4" i="12"/>
  <c r="L5" i="12"/>
  <c r="L6" i="12"/>
  <c r="L7" i="12"/>
  <c r="L8"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L37" i="12"/>
  <c r="L38" i="12"/>
  <c r="L39" i="12"/>
  <c r="L40" i="12"/>
  <c r="L41" i="12"/>
  <c r="L42" i="12"/>
  <c r="L43" i="12"/>
  <c r="L44" i="12"/>
  <c r="L45" i="12"/>
  <c r="L46" i="12"/>
  <c r="L47" i="12"/>
  <c r="L48" i="12"/>
  <c r="L49" i="12"/>
  <c r="L50" i="12"/>
  <c r="L51" i="12"/>
  <c r="L52" i="12"/>
  <c r="L53" i="12"/>
  <c r="L54" i="12"/>
  <c r="L55" i="12"/>
  <c r="L56" i="12"/>
  <c r="B42" i="6"/>
  <c r="AQ48" i="2"/>
  <c r="AQ49" i="2"/>
  <c r="AQ50" i="2"/>
  <c r="AQ51" i="2"/>
  <c r="AQ52" i="2"/>
  <c r="AQ53" i="2"/>
  <c r="AQ54" i="2"/>
  <c r="AQ55" i="2"/>
  <c r="AQ56" i="2"/>
  <c r="AQ57" i="2"/>
  <c r="AQ58" i="2"/>
  <c r="AQ59" i="2"/>
  <c r="AQ60" i="2"/>
  <c r="AQ61" i="2"/>
  <c r="AQ62" i="2"/>
  <c r="AQ63" i="2"/>
  <c r="AQ64" i="2"/>
  <c r="AQ65" i="2"/>
  <c r="AQ66" i="2"/>
  <c r="AQ67" i="2"/>
  <c r="AQ68" i="2"/>
  <c r="AQ69" i="2"/>
  <c r="AQ70" i="2"/>
  <c r="AQ71" i="2"/>
  <c r="AQ72" i="2"/>
  <c r="AQ73" i="2"/>
  <c r="AQ74" i="2"/>
  <c r="AQ75" i="2"/>
  <c r="AQ76" i="2"/>
  <c r="AQ77" i="2"/>
  <c r="AQ78" i="2"/>
  <c r="AQ79" i="2"/>
  <c r="AQ80" i="2"/>
  <c r="AQ81" i="2"/>
  <c r="AQ82" i="2"/>
  <c r="AQ83" i="2"/>
  <c r="AQ84" i="2"/>
  <c r="AQ85" i="2"/>
  <c r="AQ86" i="2"/>
  <c r="AQ87" i="2"/>
  <c r="AQ88" i="2"/>
  <c r="AQ89" i="2"/>
  <c r="AQ90" i="2"/>
  <c r="AQ37" i="2"/>
  <c r="AQ38" i="2"/>
  <c r="AQ39" i="2"/>
  <c r="AQ40" i="2"/>
  <c r="AQ41" i="2"/>
  <c r="AQ42" i="2"/>
  <c r="AQ43" i="2"/>
  <c r="AQ44" i="2"/>
  <c r="AQ45" i="2"/>
  <c r="AQ46" i="2"/>
  <c r="AQ47" i="2"/>
  <c r="B55" i="2"/>
  <c r="C55" i="2"/>
  <c r="I55" i="2"/>
  <c r="H55" i="2"/>
  <c r="G55" i="2"/>
  <c r="AG55" i="2"/>
  <c r="AH55" i="2"/>
  <c r="E37" i="2"/>
  <c r="E38" i="2"/>
  <c r="E39" i="2"/>
  <c r="E40" i="2"/>
  <c r="E41" i="2"/>
  <c r="E42" i="2"/>
  <c r="E43" i="2"/>
  <c r="E44" i="2"/>
  <c r="E45" i="2"/>
  <c r="E46" i="2"/>
  <c r="E47" i="2"/>
  <c r="E48" i="2"/>
  <c r="E49" i="2"/>
  <c r="E50" i="2"/>
  <c r="E51" i="2"/>
  <c r="E52" i="2"/>
  <c r="E53" i="2"/>
  <c r="E54" i="2"/>
  <c r="E55" i="2"/>
  <c r="E56" i="2"/>
  <c r="E57" i="2"/>
  <c r="E58" i="2"/>
  <c r="E59" i="2"/>
  <c r="E60" i="2"/>
  <c r="AG60" i="2" s="1"/>
  <c r="E61" i="2"/>
  <c r="E62" i="2"/>
  <c r="E63" i="2"/>
  <c r="E64" i="2"/>
  <c r="E65" i="2"/>
  <c r="AG65" i="2" s="1"/>
  <c r="E66" i="2"/>
  <c r="AI66" i="2" s="1"/>
  <c r="E67" i="2"/>
  <c r="E68" i="2"/>
  <c r="E69" i="2"/>
  <c r="E70" i="2"/>
  <c r="E71" i="2"/>
  <c r="AH71" i="2" s="1"/>
  <c r="E72" i="2"/>
  <c r="E73" i="2"/>
  <c r="E74" i="2"/>
  <c r="E75" i="2"/>
  <c r="E76" i="2"/>
  <c r="E77" i="2"/>
  <c r="E78" i="2"/>
  <c r="E79" i="2"/>
  <c r="E80" i="2"/>
  <c r="E81" i="2"/>
  <c r="E82" i="2"/>
  <c r="E83" i="2"/>
  <c r="E84" i="2"/>
  <c r="E85" i="2"/>
  <c r="E86" i="2"/>
  <c r="AG86" i="2" s="1"/>
  <c r="E87" i="2"/>
  <c r="E88" i="2"/>
  <c r="E89" i="2"/>
  <c r="E90" i="2"/>
  <c r="E36" i="2"/>
  <c r="G36" i="2"/>
  <c r="H36" i="2"/>
  <c r="I36" i="2"/>
  <c r="AQ36" i="2"/>
  <c r="AH62" i="2" l="1"/>
  <c r="AF62" i="2"/>
  <c r="AE34" i="9" a="1"/>
  <c r="AE34" i="9" s="1"/>
  <c r="AD34" i="9" a="1"/>
  <c r="AD34" i="9" s="1"/>
  <c r="AC34" i="9" a="1"/>
  <c r="AC34" i="9" s="1"/>
  <c r="AQ34" i="9"/>
  <c r="AO34" i="9" a="1"/>
  <c r="AO34" i="9" s="1"/>
  <c r="AG34" i="9" a="1"/>
  <c r="AG34" i="9" s="1"/>
  <c r="AF34" i="9" a="1"/>
  <c r="AF34" i="9" s="1"/>
  <c r="AN34" i="9" a="1"/>
  <c r="AN34" i="9" s="1"/>
  <c r="X182" i="33"/>
  <c r="AH34" i="9" a="1"/>
  <c r="AH34" i="9" s="1"/>
  <c r="AK34" i="9" a="1"/>
  <c r="AK34" i="9" s="1"/>
  <c r="AM34" i="9" a="1"/>
  <c r="AM34" i="9" s="1"/>
  <c r="AL34" i="9" a="1"/>
  <c r="AL34" i="9" s="1"/>
  <c r="AI65" i="2"/>
  <c r="AH86" i="2"/>
  <c r="AH65" i="2"/>
  <c r="AF65" i="2"/>
  <c r="AF66" i="2"/>
  <c r="AI86" i="2"/>
  <c r="AI60" i="2"/>
  <c r="AH60" i="2"/>
  <c r="AF60" i="2"/>
  <c r="AI62" i="2"/>
  <c r="AF86" i="2"/>
  <c r="AG66" i="2"/>
  <c r="AH66" i="2"/>
  <c r="AI71" i="2"/>
  <c r="AF59" i="2"/>
  <c r="AI59" i="2"/>
  <c r="AG59" i="2"/>
  <c r="AH59" i="2"/>
  <c r="AF90" i="2"/>
  <c r="AI90" i="2"/>
  <c r="AG90" i="2"/>
  <c r="AH90" i="2"/>
  <c r="AF58" i="2"/>
  <c r="AG58" i="2"/>
  <c r="AH58" i="2"/>
  <c r="AI58" i="2"/>
  <c r="AI88" i="2"/>
  <c r="AH88" i="2"/>
  <c r="AG88" i="2"/>
  <c r="AF88" i="2"/>
  <c r="AF36" i="2"/>
  <c r="AI36" i="2"/>
  <c r="AF89" i="2"/>
  <c r="AG89" i="2"/>
  <c r="AH89" i="2"/>
  <c r="AI89" i="2"/>
  <c r="AF71" i="2"/>
  <c r="AG62" i="2"/>
  <c r="AG71" i="2"/>
  <c r="AH36" i="2"/>
  <c r="AG36" i="2"/>
  <c r="AA34" i="9" l="1"/>
  <c r="G37" i="2"/>
  <c r="H37" i="2"/>
  <c r="I37" i="2"/>
  <c r="G38" i="2"/>
  <c r="H38" i="2"/>
  <c r="I38" i="2"/>
  <c r="G39" i="2"/>
  <c r="H39" i="2"/>
  <c r="I39" i="2"/>
  <c r="G40" i="2"/>
  <c r="H40" i="2"/>
  <c r="I40" i="2"/>
  <c r="G41" i="2"/>
  <c r="H41" i="2"/>
  <c r="I41" i="2"/>
  <c r="G42" i="2"/>
  <c r="H42" i="2"/>
  <c r="I42" i="2"/>
  <c r="G43" i="2"/>
  <c r="H43" i="2"/>
  <c r="I43" i="2"/>
  <c r="G44" i="2"/>
  <c r="H44" i="2"/>
  <c r="I44" i="2"/>
  <c r="G45" i="2"/>
  <c r="H45" i="2"/>
  <c r="I45" i="2"/>
  <c r="G46" i="2"/>
  <c r="H46" i="2"/>
  <c r="I46" i="2"/>
  <c r="G47" i="2"/>
  <c r="H47" i="2"/>
  <c r="I47" i="2"/>
  <c r="G48" i="2"/>
  <c r="H48" i="2"/>
  <c r="I48" i="2"/>
  <c r="G49" i="2"/>
  <c r="H49" i="2"/>
  <c r="I49" i="2"/>
  <c r="G50" i="2"/>
  <c r="H50" i="2"/>
  <c r="I50" i="2"/>
  <c r="G51" i="2"/>
  <c r="H51" i="2"/>
  <c r="I51" i="2"/>
  <c r="G52" i="2"/>
  <c r="H52" i="2"/>
  <c r="I52" i="2"/>
  <c r="G53" i="2"/>
  <c r="H53" i="2"/>
  <c r="I53" i="2"/>
  <c r="G54" i="2"/>
  <c r="H54" i="2"/>
  <c r="I54" i="2"/>
  <c r="G56" i="2"/>
  <c r="H56" i="2"/>
  <c r="I56" i="2"/>
  <c r="G57" i="2"/>
  <c r="H57" i="2"/>
  <c r="I57" i="2"/>
  <c r="G58" i="2"/>
  <c r="H58" i="2"/>
  <c r="I58" i="2"/>
  <c r="G59" i="2"/>
  <c r="H59" i="2"/>
  <c r="I59" i="2"/>
  <c r="G60" i="2"/>
  <c r="H60" i="2"/>
  <c r="I60" i="2"/>
  <c r="G61" i="2"/>
  <c r="H61" i="2"/>
  <c r="I61" i="2"/>
  <c r="G62" i="2"/>
  <c r="H62" i="2"/>
  <c r="I62" i="2"/>
  <c r="G63" i="2"/>
  <c r="H63" i="2"/>
  <c r="I63" i="2"/>
  <c r="G64" i="2"/>
  <c r="H64" i="2"/>
  <c r="I64" i="2"/>
  <c r="G65" i="2"/>
  <c r="H65" i="2"/>
  <c r="I65" i="2"/>
  <c r="G66" i="2"/>
  <c r="H66" i="2"/>
  <c r="I66" i="2"/>
  <c r="G67" i="2"/>
  <c r="H67" i="2"/>
  <c r="I67" i="2"/>
  <c r="G68" i="2"/>
  <c r="H68" i="2"/>
  <c r="I68" i="2"/>
  <c r="G69" i="2"/>
  <c r="H69" i="2"/>
  <c r="I69" i="2"/>
  <c r="G70" i="2"/>
  <c r="H70" i="2"/>
  <c r="I70" i="2"/>
  <c r="G71" i="2"/>
  <c r="H71" i="2"/>
  <c r="I71" i="2"/>
  <c r="G72" i="2"/>
  <c r="H72" i="2"/>
  <c r="I72" i="2"/>
  <c r="G73" i="2"/>
  <c r="H73" i="2"/>
  <c r="I73" i="2"/>
  <c r="G74" i="2"/>
  <c r="H74" i="2"/>
  <c r="I74" i="2"/>
  <c r="G75" i="2"/>
  <c r="H75" i="2"/>
  <c r="AO75" i="2" s="1"/>
  <c r="I75" i="2"/>
  <c r="G76" i="2"/>
  <c r="H76" i="2"/>
  <c r="I76" i="2"/>
  <c r="G77" i="2"/>
  <c r="H77" i="2"/>
  <c r="I77" i="2"/>
  <c r="G78" i="2"/>
  <c r="H78" i="2"/>
  <c r="I78" i="2"/>
  <c r="G79" i="2"/>
  <c r="H79" i="2"/>
  <c r="I79" i="2"/>
  <c r="G80" i="2"/>
  <c r="H80" i="2"/>
  <c r="I80" i="2"/>
  <c r="G81" i="2"/>
  <c r="H81" i="2"/>
  <c r="I81" i="2"/>
  <c r="G82" i="2"/>
  <c r="H82" i="2"/>
  <c r="I82" i="2"/>
  <c r="G83" i="2"/>
  <c r="H83" i="2"/>
  <c r="I83" i="2"/>
  <c r="G84" i="2"/>
  <c r="H84" i="2"/>
  <c r="I84" i="2"/>
  <c r="G85" i="2"/>
  <c r="H85" i="2"/>
  <c r="I85" i="2"/>
  <c r="G86" i="2"/>
  <c r="H86" i="2"/>
  <c r="I86" i="2"/>
  <c r="G87" i="2"/>
  <c r="H87" i="2"/>
  <c r="I87" i="2"/>
  <c r="G88" i="2"/>
  <c r="H88" i="2"/>
  <c r="AO88" i="2" s="1"/>
  <c r="I88" i="2"/>
  <c r="G89" i="2"/>
  <c r="H89" i="2"/>
  <c r="AO89" i="2" s="1"/>
  <c r="I89" i="2"/>
  <c r="G90" i="2"/>
  <c r="H90" i="2"/>
  <c r="AO90" i="2" s="1"/>
  <c r="I90" i="2"/>
  <c r="S15" i="2"/>
  <c r="R15" i="2"/>
  <c r="Q15" i="2"/>
  <c r="U125" i="33" a="1"/>
  <c r="U125" i="33" s="1"/>
  <c r="V125" i="33" a="1"/>
  <c r="V125" i="33" s="1"/>
  <c r="W125" i="33" a="1"/>
  <c r="W125" i="33" s="1"/>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C80" i="6"/>
  <c r="C81" i="6"/>
  <c r="C82" i="6"/>
  <c r="C83" i="6"/>
  <c r="C84" i="6"/>
  <c r="C85" i="6"/>
  <c r="C86" i="6"/>
  <c r="C87" i="6"/>
  <c r="C88" i="6"/>
  <c r="C89" i="6"/>
  <c r="C90" i="6"/>
  <c r="C91" i="6"/>
  <c r="C92" i="6"/>
  <c r="C93" i="6"/>
  <c r="C94" i="6"/>
  <c r="C95" i="6"/>
  <c r="C96" i="6"/>
  <c r="C97" i="6"/>
  <c r="C98" i="6"/>
  <c r="C99"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B80" i="6"/>
  <c r="B81" i="6"/>
  <c r="B82" i="6"/>
  <c r="B83" i="6"/>
  <c r="B84" i="6"/>
  <c r="B85" i="6"/>
  <c r="B86" i="6"/>
  <c r="B87" i="6"/>
  <c r="B88" i="6"/>
  <c r="B89" i="6"/>
  <c r="B90" i="6"/>
  <c r="B91" i="6"/>
  <c r="B92" i="6"/>
  <c r="B93" i="6"/>
  <c r="B94" i="6"/>
  <c r="B95" i="6"/>
  <c r="B96" i="6"/>
  <c r="B97" i="6"/>
  <c r="B98" i="6"/>
  <c r="B99" i="6"/>
  <c r="B23" i="6"/>
  <c r="B24" i="6"/>
  <c r="B25" i="6"/>
  <c r="B26" i="6"/>
  <c r="B27" i="6"/>
  <c r="B28" i="6"/>
  <c r="B29" i="6"/>
  <c r="B30" i="6"/>
  <c r="B31" i="6"/>
  <c r="B32" i="6"/>
  <c r="B33" i="6"/>
  <c r="B34" i="6"/>
  <c r="B35" i="6"/>
  <c r="B36" i="6"/>
  <c r="B37" i="6"/>
  <c r="B38" i="6"/>
  <c r="B39" i="6"/>
  <c r="B40" i="6"/>
  <c r="B41"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G2" i="12"/>
  <c r="H2" i="12"/>
  <c r="L2" i="12"/>
  <c r="O2" i="12"/>
  <c r="P2" i="12"/>
  <c r="Q2" i="12"/>
  <c r="R2" i="12"/>
  <c r="S2" i="12"/>
  <c r="T2" i="12"/>
  <c r="AI2" i="12"/>
  <c r="G3" i="12"/>
  <c r="H3" i="12"/>
  <c r="O3" i="12"/>
  <c r="P3" i="12"/>
  <c r="Q3" i="12"/>
  <c r="R3" i="12"/>
  <c r="S3" i="12"/>
  <c r="T3" i="12"/>
  <c r="G4" i="12"/>
  <c r="H4" i="12"/>
  <c r="O4" i="12"/>
  <c r="P4" i="12"/>
  <c r="Q4" i="12"/>
  <c r="R4" i="12"/>
  <c r="S4" i="12"/>
  <c r="T4" i="12"/>
  <c r="G5" i="12"/>
  <c r="H5" i="12"/>
  <c r="O5" i="12"/>
  <c r="P5" i="12"/>
  <c r="Q5" i="12"/>
  <c r="R5" i="12"/>
  <c r="S5" i="12"/>
  <c r="T5" i="12"/>
  <c r="G6" i="12"/>
  <c r="H6" i="12"/>
  <c r="O6" i="12"/>
  <c r="P6" i="12"/>
  <c r="Q6" i="12"/>
  <c r="R6" i="12"/>
  <c r="S6" i="12"/>
  <c r="T6" i="12"/>
  <c r="G7" i="12"/>
  <c r="H7" i="12"/>
  <c r="O7" i="12"/>
  <c r="P7" i="12"/>
  <c r="Q7" i="12"/>
  <c r="R7" i="12"/>
  <c r="S7" i="12"/>
  <c r="T7" i="12"/>
  <c r="G8" i="12"/>
  <c r="H8" i="12"/>
  <c r="O8" i="12"/>
  <c r="P8" i="12"/>
  <c r="Q8" i="12"/>
  <c r="R8" i="12"/>
  <c r="S8" i="12"/>
  <c r="T8" i="12"/>
  <c r="G9" i="12"/>
  <c r="H9" i="12"/>
  <c r="O9" i="12"/>
  <c r="P9" i="12"/>
  <c r="Q9" i="12"/>
  <c r="R9" i="12"/>
  <c r="S9" i="12"/>
  <c r="T9" i="12"/>
  <c r="G10" i="12"/>
  <c r="H10" i="12"/>
  <c r="O10" i="12"/>
  <c r="P10" i="12"/>
  <c r="Q10" i="12"/>
  <c r="R10" i="12"/>
  <c r="S10" i="12"/>
  <c r="T10" i="12"/>
  <c r="G11" i="12"/>
  <c r="H11" i="12"/>
  <c r="O11" i="12"/>
  <c r="P11" i="12"/>
  <c r="Q11" i="12"/>
  <c r="R11" i="12"/>
  <c r="S11" i="12"/>
  <c r="T11" i="12"/>
  <c r="G12" i="12"/>
  <c r="H12" i="12"/>
  <c r="O12" i="12"/>
  <c r="P12" i="12"/>
  <c r="Q12" i="12"/>
  <c r="R12" i="12"/>
  <c r="S12" i="12"/>
  <c r="T12" i="12"/>
  <c r="G13" i="12"/>
  <c r="H13" i="12"/>
  <c r="O13" i="12"/>
  <c r="P13" i="12"/>
  <c r="Q13" i="12"/>
  <c r="R13" i="12"/>
  <c r="S13" i="12"/>
  <c r="T13" i="12"/>
  <c r="G14" i="12"/>
  <c r="H14" i="12"/>
  <c r="O14" i="12"/>
  <c r="P14" i="12"/>
  <c r="Q14" i="12"/>
  <c r="R14" i="12"/>
  <c r="S14" i="12"/>
  <c r="T14" i="12"/>
  <c r="G15" i="12"/>
  <c r="H15" i="12"/>
  <c r="O15" i="12"/>
  <c r="P15" i="12"/>
  <c r="Q15" i="12"/>
  <c r="R15" i="12"/>
  <c r="S15" i="12"/>
  <c r="T15" i="12"/>
  <c r="G16" i="12"/>
  <c r="H16" i="12"/>
  <c r="O16" i="12"/>
  <c r="P16" i="12"/>
  <c r="Q16" i="12"/>
  <c r="R16" i="12"/>
  <c r="S16" i="12"/>
  <c r="T16" i="12"/>
  <c r="G17" i="12"/>
  <c r="H17" i="12"/>
  <c r="O17" i="12"/>
  <c r="P17" i="12"/>
  <c r="Q17" i="12"/>
  <c r="R17" i="12"/>
  <c r="S17" i="12"/>
  <c r="T17" i="12"/>
  <c r="G18" i="12"/>
  <c r="H18" i="12"/>
  <c r="O18" i="12"/>
  <c r="P18" i="12"/>
  <c r="Q18" i="12"/>
  <c r="R18" i="12"/>
  <c r="S18" i="12"/>
  <c r="T18" i="12"/>
  <c r="G19" i="12"/>
  <c r="H19" i="12"/>
  <c r="O19" i="12"/>
  <c r="P19" i="12"/>
  <c r="Q19" i="12"/>
  <c r="R19" i="12"/>
  <c r="S19" i="12"/>
  <c r="T19" i="12"/>
  <c r="G20" i="12"/>
  <c r="H20" i="12"/>
  <c r="O20" i="12"/>
  <c r="P20" i="12"/>
  <c r="Q20" i="12"/>
  <c r="R20" i="12"/>
  <c r="S20" i="12"/>
  <c r="T20" i="12"/>
  <c r="G21" i="12"/>
  <c r="H21" i="12"/>
  <c r="G22" i="12"/>
  <c r="H22" i="12"/>
  <c r="O22" i="12"/>
  <c r="P22" i="12"/>
  <c r="Q22" i="12"/>
  <c r="R22" i="12"/>
  <c r="S22" i="12"/>
  <c r="T22" i="12"/>
  <c r="G23" i="12"/>
  <c r="H23" i="12"/>
  <c r="O23" i="12"/>
  <c r="P23" i="12"/>
  <c r="Q23" i="12"/>
  <c r="R23" i="12"/>
  <c r="S23" i="12"/>
  <c r="T23" i="12"/>
  <c r="G24" i="12"/>
  <c r="H24" i="12"/>
  <c r="O24" i="12"/>
  <c r="P24" i="12"/>
  <c r="Q24" i="12"/>
  <c r="R24" i="12"/>
  <c r="S24" i="12"/>
  <c r="T24" i="12"/>
  <c r="G25" i="12"/>
  <c r="H25" i="12"/>
  <c r="O25" i="12"/>
  <c r="P25" i="12"/>
  <c r="Q25" i="12"/>
  <c r="R25" i="12"/>
  <c r="S25" i="12"/>
  <c r="T25" i="12"/>
  <c r="G26" i="12"/>
  <c r="H26" i="12"/>
  <c r="O26" i="12"/>
  <c r="P26" i="12"/>
  <c r="Q26" i="12"/>
  <c r="R26" i="12"/>
  <c r="S26" i="12"/>
  <c r="T26" i="12"/>
  <c r="G27" i="12"/>
  <c r="H27" i="12"/>
  <c r="O27" i="12"/>
  <c r="P27" i="12"/>
  <c r="Q27" i="12"/>
  <c r="R27" i="12"/>
  <c r="S27" i="12"/>
  <c r="T27" i="12"/>
  <c r="G28" i="12"/>
  <c r="H28" i="12"/>
  <c r="O28" i="12"/>
  <c r="P28" i="12"/>
  <c r="Q28" i="12"/>
  <c r="R28" i="12"/>
  <c r="S28" i="12"/>
  <c r="T28" i="12"/>
  <c r="G29" i="12"/>
  <c r="H29" i="12"/>
  <c r="O29" i="12"/>
  <c r="P29" i="12"/>
  <c r="Q29" i="12"/>
  <c r="R29" i="12"/>
  <c r="S29" i="12"/>
  <c r="T29" i="12"/>
  <c r="G30" i="12"/>
  <c r="H30" i="12"/>
  <c r="O30" i="12"/>
  <c r="P30" i="12"/>
  <c r="Q30" i="12"/>
  <c r="R30" i="12"/>
  <c r="S30" i="12"/>
  <c r="T30" i="12"/>
  <c r="G31" i="12"/>
  <c r="H31" i="12"/>
  <c r="O31" i="12"/>
  <c r="P31" i="12"/>
  <c r="Q31" i="12"/>
  <c r="R31" i="12"/>
  <c r="S31" i="12"/>
  <c r="T31" i="12"/>
  <c r="G32" i="12"/>
  <c r="H32" i="12"/>
  <c r="O32" i="12"/>
  <c r="P32" i="12"/>
  <c r="Q32" i="12"/>
  <c r="R32" i="12"/>
  <c r="S32" i="12"/>
  <c r="T32" i="12"/>
  <c r="G33" i="12"/>
  <c r="H33" i="12"/>
  <c r="O33" i="12"/>
  <c r="P33" i="12"/>
  <c r="Q33" i="12"/>
  <c r="R33" i="12"/>
  <c r="S33" i="12"/>
  <c r="T33" i="12"/>
  <c r="G34" i="12"/>
  <c r="H34" i="12"/>
  <c r="O34" i="12"/>
  <c r="P34" i="12"/>
  <c r="Q34" i="12"/>
  <c r="R34" i="12"/>
  <c r="S34" i="12"/>
  <c r="T34" i="12"/>
  <c r="G35" i="12"/>
  <c r="H35" i="12"/>
  <c r="O35" i="12"/>
  <c r="P35" i="12"/>
  <c r="Q35" i="12"/>
  <c r="R35" i="12"/>
  <c r="S35" i="12"/>
  <c r="T35" i="12"/>
  <c r="G36" i="12"/>
  <c r="H36" i="12"/>
  <c r="O36" i="12"/>
  <c r="P36" i="12"/>
  <c r="Q36" i="12"/>
  <c r="R36" i="12"/>
  <c r="S36" i="12"/>
  <c r="T36" i="12"/>
  <c r="G37" i="12"/>
  <c r="H37" i="12"/>
  <c r="O37" i="12"/>
  <c r="P37" i="12"/>
  <c r="Q37" i="12"/>
  <c r="R37" i="12"/>
  <c r="S37" i="12"/>
  <c r="T37" i="12"/>
  <c r="G38" i="12"/>
  <c r="H38" i="12"/>
  <c r="O38" i="12"/>
  <c r="P38" i="12"/>
  <c r="Q38" i="12"/>
  <c r="R38" i="12"/>
  <c r="S38" i="12"/>
  <c r="T38" i="12"/>
  <c r="G39" i="12"/>
  <c r="H39" i="12"/>
  <c r="O39" i="12"/>
  <c r="P39" i="12"/>
  <c r="Q39" i="12"/>
  <c r="R39" i="12"/>
  <c r="S39" i="12"/>
  <c r="T39" i="12"/>
  <c r="G40" i="12"/>
  <c r="H40" i="12"/>
  <c r="O40" i="12"/>
  <c r="P40" i="12"/>
  <c r="Q40" i="12"/>
  <c r="R40" i="12"/>
  <c r="S40" i="12"/>
  <c r="T40" i="12"/>
  <c r="G41" i="12"/>
  <c r="H41" i="12"/>
  <c r="O41" i="12"/>
  <c r="P41" i="12"/>
  <c r="Q41" i="12"/>
  <c r="R41" i="12"/>
  <c r="S41" i="12"/>
  <c r="T41" i="12"/>
  <c r="G42" i="12"/>
  <c r="H42" i="12"/>
  <c r="O42" i="12"/>
  <c r="P42" i="12"/>
  <c r="Q42" i="12"/>
  <c r="R42" i="12"/>
  <c r="S42" i="12"/>
  <c r="T42" i="12"/>
  <c r="G43" i="12"/>
  <c r="H43" i="12"/>
  <c r="O43" i="12"/>
  <c r="P43" i="12"/>
  <c r="Q43" i="12"/>
  <c r="R43" i="12"/>
  <c r="S43" i="12"/>
  <c r="T43" i="12"/>
  <c r="G44" i="12"/>
  <c r="H44" i="12"/>
  <c r="O44" i="12"/>
  <c r="P44" i="12"/>
  <c r="Q44" i="12"/>
  <c r="R44" i="12"/>
  <c r="S44" i="12"/>
  <c r="T44" i="12"/>
  <c r="G45" i="12"/>
  <c r="H45" i="12"/>
  <c r="O45" i="12"/>
  <c r="P45" i="12"/>
  <c r="Q45" i="12"/>
  <c r="R45" i="12"/>
  <c r="S45" i="12"/>
  <c r="T45" i="12"/>
  <c r="G46" i="12"/>
  <c r="H46" i="12"/>
  <c r="O46" i="12"/>
  <c r="P46" i="12"/>
  <c r="Q46" i="12"/>
  <c r="R46" i="12"/>
  <c r="S46" i="12"/>
  <c r="T46" i="12"/>
  <c r="G47" i="12"/>
  <c r="H47" i="12"/>
  <c r="O47" i="12"/>
  <c r="P47" i="12"/>
  <c r="Q47" i="12"/>
  <c r="R47" i="12"/>
  <c r="S47" i="12"/>
  <c r="T47" i="12"/>
  <c r="G48" i="12"/>
  <c r="H48" i="12"/>
  <c r="O48" i="12"/>
  <c r="P48" i="12"/>
  <c r="Q48" i="12"/>
  <c r="R48" i="12"/>
  <c r="S48" i="12"/>
  <c r="T48" i="12"/>
  <c r="G49" i="12"/>
  <c r="H49" i="12"/>
  <c r="O49" i="12"/>
  <c r="P49" i="12"/>
  <c r="Q49" i="12"/>
  <c r="R49" i="12"/>
  <c r="S49" i="12"/>
  <c r="T49" i="12"/>
  <c r="G50" i="12"/>
  <c r="H50" i="12"/>
  <c r="O50" i="12"/>
  <c r="P50" i="12"/>
  <c r="Q50" i="12"/>
  <c r="R50" i="12"/>
  <c r="S50" i="12"/>
  <c r="T50" i="12"/>
  <c r="G51" i="12"/>
  <c r="H51" i="12"/>
  <c r="O51" i="12"/>
  <c r="P51" i="12"/>
  <c r="Q51" i="12"/>
  <c r="R51" i="12"/>
  <c r="S51" i="12"/>
  <c r="T51" i="12"/>
  <c r="G52" i="12"/>
  <c r="H52" i="12"/>
  <c r="O52" i="12"/>
  <c r="P52" i="12"/>
  <c r="Q52" i="12"/>
  <c r="R52" i="12"/>
  <c r="S52" i="12"/>
  <c r="T52" i="12"/>
  <c r="G53" i="12"/>
  <c r="H53" i="12"/>
  <c r="O53" i="12"/>
  <c r="P53" i="12"/>
  <c r="Q53" i="12"/>
  <c r="R53" i="12"/>
  <c r="S53" i="12"/>
  <c r="T53" i="12"/>
  <c r="G54" i="12"/>
  <c r="H54" i="12"/>
  <c r="O54" i="12"/>
  <c r="P54" i="12"/>
  <c r="Q54" i="12"/>
  <c r="R54" i="12"/>
  <c r="S54" i="12"/>
  <c r="T54" i="12"/>
  <c r="G55" i="12"/>
  <c r="H55" i="12"/>
  <c r="O55" i="12"/>
  <c r="P55" i="12"/>
  <c r="Q55" i="12"/>
  <c r="R55" i="12"/>
  <c r="S55" i="12"/>
  <c r="T55" i="12"/>
  <c r="G56" i="12"/>
  <c r="H56" i="12"/>
  <c r="O56" i="12"/>
  <c r="P56" i="12"/>
  <c r="Q56" i="12"/>
  <c r="R56" i="12"/>
  <c r="S56" i="12"/>
  <c r="T56" i="12"/>
  <c r="E3" i="12"/>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2" i="12"/>
  <c r="A3" i="12"/>
  <c r="B3" i="12"/>
  <c r="C3" i="12"/>
  <c r="D3" i="12"/>
  <c r="A4" i="12"/>
  <c r="AJ4" i="12" s="1" a="1"/>
  <c r="AJ4" i="12" s="1"/>
  <c r="B4" i="12"/>
  <c r="C4" i="12"/>
  <c r="D4" i="12"/>
  <c r="A5" i="12"/>
  <c r="AJ5" i="12" s="1" a="1"/>
  <c r="AJ5" i="12" s="1"/>
  <c r="B5" i="12"/>
  <c r="C5" i="12"/>
  <c r="D5" i="12"/>
  <c r="A6" i="12"/>
  <c r="AO6" i="12" s="1" a="1"/>
  <c r="AO6" i="12" s="1"/>
  <c r="B6" i="12"/>
  <c r="C6" i="12"/>
  <c r="D6" i="12"/>
  <c r="A7" i="12"/>
  <c r="AO7" i="12" s="1" a="1"/>
  <c r="AO7" i="12" s="1"/>
  <c r="B7" i="12"/>
  <c r="C7" i="12"/>
  <c r="D7" i="12"/>
  <c r="A8" i="12"/>
  <c r="AM8" i="12" s="1" a="1"/>
  <c r="AM8" i="12" s="1"/>
  <c r="B8" i="12"/>
  <c r="C8" i="12"/>
  <c r="D8" i="12"/>
  <c r="A9" i="12"/>
  <c r="AK9" i="12" s="1" a="1"/>
  <c r="AK9" i="12" s="1"/>
  <c r="B9" i="12"/>
  <c r="C9" i="12"/>
  <c r="D9" i="12"/>
  <c r="A10" i="12"/>
  <c r="AJ10" i="12" s="1" a="1"/>
  <c r="AJ10" i="12" s="1"/>
  <c r="B10" i="12"/>
  <c r="C10" i="12"/>
  <c r="D10" i="12"/>
  <c r="A11" i="12"/>
  <c r="AO11" i="12" s="1" a="1"/>
  <c r="AO11" i="12" s="1"/>
  <c r="B11" i="12"/>
  <c r="C11" i="12"/>
  <c r="D11" i="12"/>
  <c r="A12" i="12"/>
  <c r="AO12" i="12" s="1" a="1"/>
  <c r="AO12" i="12" s="1"/>
  <c r="B12" i="12"/>
  <c r="C12" i="12"/>
  <c r="D12" i="12"/>
  <c r="A13" i="12"/>
  <c r="AM13" i="12" s="1" a="1"/>
  <c r="AM13" i="12" s="1"/>
  <c r="B13" i="12"/>
  <c r="C13" i="12"/>
  <c r="D13" i="12"/>
  <c r="A14" i="12"/>
  <c r="AJ14" i="12" s="1" a="1"/>
  <c r="AJ14" i="12" s="1"/>
  <c r="B14" i="12"/>
  <c r="C14" i="12"/>
  <c r="D14" i="12"/>
  <c r="A15" i="12"/>
  <c r="AM15" i="12" s="1" a="1"/>
  <c r="AM15" i="12" s="1"/>
  <c r="B15" i="12"/>
  <c r="C15" i="12"/>
  <c r="D15" i="12"/>
  <c r="A16" i="12"/>
  <c r="AO16" i="12" s="1" a="1"/>
  <c r="AO16" i="12" s="1"/>
  <c r="B16" i="12"/>
  <c r="C16" i="12"/>
  <c r="D16" i="12"/>
  <c r="A17" i="12"/>
  <c r="AO17" i="12" s="1" a="1"/>
  <c r="AO17" i="12" s="1"/>
  <c r="B17" i="12"/>
  <c r="C17" i="12"/>
  <c r="D17" i="12"/>
  <c r="A18" i="12"/>
  <c r="AM18" i="12" s="1" a="1"/>
  <c r="AM18" i="12" s="1"/>
  <c r="B18" i="12"/>
  <c r="C18" i="12"/>
  <c r="D18" i="12"/>
  <c r="A19" i="12"/>
  <c r="B19" i="12"/>
  <c r="C19" i="12"/>
  <c r="D19" i="12"/>
  <c r="A20" i="12"/>
  <c r="AM20" i="12" s="1" a="1"/>
  <c r="AM20" i="12" s="1"/>
  <c r="B20" i="12"/>
  <c r="C20" i="12"/>
  <c r="D20" i="12"/>
  <c r="A21" i="12"/>
  <c r="B21" i="12"/>
  <c r="C21" i="12"/>
  <c r="D21" i="12"/>
  <c r="A22" i="12"/>
  <c r="AC22" i="12" s="1" a="1"/>
  <c r="AC22" i="12" s="1"/>
  <c r="B22" i="12"/>
  <c r="C22" i="12"/>
  <c r="D22" i="12"/>
  <c r="A23" i="12"/>
  <c r="AH23" i="12" s="1" a="1"/>
  <c r="AH23" i="12" s="1"/>
  <c r="B23" i="12"/>
  <c r="C23" i="12"/>
  <c r="D23" i="12"/>
  <c r="A24" i="12"/>
  <c r="AQ24" i="12" s="1"/>
  <c r="B24" i="12"/>
  <c r="C24" i="12"/>
  <c r="D24" i="12"/>
  <c r="A25" i="12"/>
  <c r="AO25" i="12" s="1" a="1"/>
  <c r="AO25" i="12" s="1"/>
  <c r="B25" i="12"/>
  <c r="C25" i="12"/>
  <c r="D25" i="12"/>
  <c r="A26" i="12"/>
  <c r="AK26" i="12" s="1" a="1"/>
  <c r="AK26" i="12" s="1"/>
  <c r="B26" i="12"/>
  <c r="C26" i="12"/>
  <c r="D26" i="12"/>
  <c r="A27" i="12"/>
  <c r="B27" i="12"/>
  <c r="C27" i="12"/>
  <c r="D27" i="12"/>
  <c r="A28" i="12"/>
  <c r="AE28" i="12" s="1" a="1"/>
  <c r="AE28" i="12" s="1"/>
  <c r="B28" i="12"/>
  <c r="C28" i="12"/>
  <c r="D28" i="12"/>
  <c r="A29" i="12"/>
  <c r="AF29" i="12" s="1" a="1"/>
  <c r="AF29" i="12" s="1"/>
  <c r="B29" i="12"/>
  <c r="C29" i="12"/>
  <c r="D29" i="12"/>
  <c r="A30" i="12"/>
  <c r="AG30" i="12" s="1" a="1"/>
  <c r="AG30" i="12" s="1"/>
  <c r="B30" i="12"/>
  <c r="C30" i="12"/>
  <c r="D30" i="12"/>
  <c r="A31" i="12"/>
  <c r="AQ31" i="12" s="1"/>
  <c r="B31" i="12"/>
  <c r="C31" i="12"/>
  <c r="D31" i="12"/>
  <c r="A32" i="12"/>
  <c r="AE32" i="12" s="1" a="1"/>
  <c r="AE32" i="12" s="1"/>
  <c r="B32" i="12"/>
  <c r="C32" i="12"/>
  <c r="D32" i="12"/>
  <c r="A33" i="12"/>
  <c r="AH33" i="12" s="1" a="1"/>
  <c r="AH33" i="12" s="1"/>
  <c r="B33" i="12"/>
  <c r="C33" i="12"/>
  <c r="D33" i="12"/>
  <c r="A34" i="12"/>
  <c r="AC34" i="12" s="1" a="1"/>
  <c r="AC34" i="12" s="1"/>
  <c r="B34" i="12"/>
  <c r="C34" i="12"/>
  <c r="D34" i="12"/>
  <c r="A35" i="12"/>
  <c r="B35" i="12"/>
  <c r="C35" i="12"/>
  <c r="D35" i="12"/>
  <c r="A36" i="12"/>
  <c r="AM36" i="12" s="1" a="1"/>
  <c r="AM36" i="12" s="1"/>
  <c r="B36" i="12"/>
  <c r="C36" i="12"/>
  <c r="D36" i="12"/>
  <c r="A37" i="12"/>
  <c r="AN37" i="12" s="1" a="1"/>
  <c r="AN37" i="12" s="1"/>
  <c r="B37" i="12"/>
  <c r="C37" i="12"/>
  <c r="D37" i="12"/>
  <c r="A38" i="12"/>
  <c r="AN38" i="12" s="1" a="1"/>
  <c r="AN38" i="12" s="1"/>
  <c r="B38" i="12"/>
  <c r="C38" i="12"/>
  <c r="D38" i="12"/>
  <c r="A39" i="12"/>
  <c r="AL39" i="12" s="1" a="1"/>
  <c r="AL39" i="12" s="1"/>
  <c r="B39" i="12"/>
  <c r="C39" i="12"/>
  <c r="D39" i="12"/>
  <c r="A40" i="12"/>
  <c r="AQ40" i="12" s="1"/>
  <c r="B40" i="12"/>
  <c r="C40" i="12"/>
  <c r="D40" i="12"/>
  <c r="A41" i="12"/>
  <c r="AF41" i="12" s="1" a="1"/>
  <c r="AF41" i="12" s="1"/>
  <c r="B41" i="12"/>
  <c r="C41" i="12"/>
  <c r="D41" i="12"/>
  <c r="A42" i="12"/>
  <c r="AE42" i="12" s="1" a="1"/>
  <c r="AE42" i="12" s="1"/>
  <c r="B42" i="12"/>
  <c r="C42" i="12"/>
  <c r="D42" i="12"/>
  <c r="A43" i="12"/>
  <c r="B43" i="12"/>
  <c r="C43" i="12"/>
  <c r="D43" i="12"/>
  <c r="A44" i="12"/>
  <c r="AM44" i="12" s="1" a="1"/>
  <c r="AM44" i="12" s="1"/>
  <c r="B44" i="12"/>
  <c r="C44" i="12"/>
  <c r="D44" i="12"/>
  <c r="A45" i="12"/>
  <c r="AC45" i="12" s="1" a="1"/>
  <c r="AC45" i="12" s="1"/>
  <c r="B45" i="12"/>
  <c r="C45" i="12"/>
  <c r="D45" i="12"/>
  <c r="A46" i="12"/>
  <c r="AE46" i="12" s="1" a="1"/>
  <c r="AE46" i="12" s="1"/>
  <c r="B46" i="12"/>
  <c r="C46" i="12"/>
  <c r="D46" i="12"/>
  <c r="A47" i="12"/>
  <c r="AJ47" i="12" s="1" a="1"/>
  <c r="AJ47" i="12" s="1"/>
  <c r="B47" i="12"/>
  <c r="C47" i="12"/>
  <c r="D47" i="12"/>
  <c r="A48" i="12"/>
  <c r="AC48" i="12" s="1" a="1"/>
  <c r="AC48" i="12" s="1"/>
  <c r="B48" i="12"/>
  <c r="C48" i="12"/>
  <c r="D48" i="12"/>
  <c r="A49" i="12"/>
  <c r="AQ49" i="12" s="1"/>
  <c r="B49" i="12"/>
  <c r="C49" i="12"/>
  <c r="D49" i="12"/>
  <c r="A50" i="12"/>
  <c r="AQ50" i="12" s="1"/>
  <c r="B50" i="12"/>
  <c r="C50" i="12"/>
  <c r="D50" i="12"/>
  <c r="A51" i="12"/>
  <c r="B51" i="12"/>
  <c r="C51" i="12"/>
  <c r="D51" i="12"/>
  <c r="A52" i="12"/>
  <c r="AJ52" i="12" s="1" a="1"/>
  <c r="AJ52" i="12" s="1"/>
  <c r="B52" i="12"/>
  <c r="C52" i="12"/>
  <c r="D52" i="12"/>
  <c r="A53" i="12"/>
  <c r="AK53" i="12" s="1" a="1"/>
  <c r="AK53" i="12" s="1"/>
  <c r="B53" i="12"/>
  <c r="C53" i="12"/>
  <c r="D53" i="12"/>
  <c r="A54" i="12"/>
  <c r="AK54" i="12" s="1" a="1"/>
  <c r="AK54" i="12" s="1"/>
  <c r="B54" i="12"/>
  <c r="C54" i="12"/>
  <c r="D54" i="12"/>
  <c r="A55" i="12"/>
  <c r="AC55" i="12" s="1" a="1"/>
  <c r="AC55" i="12" s="1"/>
  <c r="B55" i="12"/>
  <c r="C55" i="12"/>
  <c r="D55" i="12"/>
  <c r="A56" i="12"/>
  <c r="AK56" i="12" s="1" a="1"/>
  <c r="AK56" i="12" s="1"/>
  <c r="B56" i="12"/>
  <c r="C56" i="12"/>
  <c r="D56" i="12"/>
  <c r="C41" i="6"/>
  <c r="V32" i="33" a="1"/>
  <c r="V32" i="33" s="1"/>
  <c r="W32" i="33" a="1"/>
  <c r="W32" i="33" s="1"/>
  <c r="DN64" i="33"/>
  <c r="L14" i="33"/>
  <c r="L32" i="33"/>
  <c r="L34" i="33"/>
  <c r="L48" i="33"/>
  <c r="L62" i="33"/>
  <c r="L13" i="33"/>
  <c r="K32" i="33"/>
  <c r="K48" i="33"/>
  <c r="K62" i="33"/>
  <c r="DN13" i="33"/>
  <c r="DO13" i="33"/>
  <c r="DH13" i="33"/>
  <c r="DP13" i="33" s="1"/>
  <c r="DQ13" i="33"/>
  <c r="DR13" i="33"/>
  <c r="DS13" i="33"/>
  <c r="DM13" i="33"/>
  <c r="E14" i="2"/>
  <c r="E15" i="2"/>
  <c r="A1" i="17"/>
  <c r="AP152" i="2"/>
  <c r="AP153" i="2"/>
  <c r="AP154" i="2"/>
  <c r="AP155" i="2"/>
  <c r="AP156" i="2"/>
  <c r="AP157" i="2"/>
  <c r="AP158" i="2"/>
  <c r="AP159" i="2"/>
  <c r="AP160" i="2"/>
  <c r="AP161" i="2"/>
  <c r="AP162" i="2"/>
  <c r="AP163" i="2"/>
  <c r="AP164" i="2"/>
  <c r="AP165" i="2"/>
  <c r="AP166" i="2"/>
  <c r="AP167" i="2"/>
  <c r="AP168" i="2"/>
  <c r="AP169" i="2"/>
  <c r="AP170" i="2"/>
  <c r="AP171" i="2"/>
  <c r="AP172" i="2"/>
  <c r="AP173" i="2"/>
  <c r="AP174" i="2"/>
  <c r="AP175" i="2"/>
  <c r="AP176" i="2"/>
  <c r="AP177" i="2"/>
  <c r="AP178" i="2"/>
  <c r="AP179" i="2"/>
  <c r="AP180" i="2"/>
  <c r="AP181" i="2"/>
  <c r="AP182" i="2"/>
  <c r="AP183" i="2"/>
  <c r="AP184" i="2"/>
  <c r="AP185" i="2"/>
  <c r="AP186" i="2"/>
  <c r="AP187" i="2"/>
  <c r="AP188" i="2"/>
  <c r="AP189" i="2"/>
  <c r="AP190" i="2"/>
  <c r="AP191" i="2"/>
  <c r="AP192" i="2"/>
  <c r="AP193" i="2"/>
  <c r="AP194" i="2"/>
  <c r="AP195" i="2"/>
  <c r="AP196" i="2"/>
  <c r="AP197" i="2"/>
  <c r="AP198" i="2"/>
  <c r="AP199" i="2"/>
  <c r="AP200" i="2"/>
  <c r="AP201" i="2"/>
  <c r="AP202" i="2"/>
  <c r="AP203" i="2"/>
  <c r="AP204" i="2"/>
  <c r="AP206" i="2"/>
  <c r="AP207" i="2"/>
  <c r="AP208" i="2"/>
  <c r="AP209" i="2"/>
  <c r="AP210" i="2"/>
  <c r="AP211" i="2"/>
  <c r="AP212" i="2"/>
  <c r="AP213" i="2"/>
  <c r="AP214" i="2"/>
  <c r="AP215" i="2"/>
  <c r="AP216" i="2"/>
  <c r="AP217" i="2"/>
  <c r="AP218" i="2"/>
  <c r="AP219" i="2"/>
  <c r="AP220" i="2"/>
  <c r="AP151" i="2"/>
  <c r="I29" i="28"/>
  <c r="I26" i="28"/>
  <c r="I27" i="28"/>
  <c r="I28" i="28"/>
  <c r="I25" i="28"/>
  <c r="I24" i="28"/>
  <c r="I18" i="28"/>
  <c r="I19" i="28"/>
  <c r="I20" i="28"/>
  <c r="I21" i="28"/>
  <c r="I22" i="28"/>
  <c r="I23" i="28"/>
  <c r="I14" i="28"/>
  <c r="I15" i="28"/>
  <c r="I16" i="28"/>
  <c r="I17" i="28"/>
  <c r="I13" i="28"/>
  <c r="D14" i="28"/>
  <c r="D15" i="28"/>
  <c r="D16" i="28"/>
  <c r="D17" i="28"/>
  <c r="D18" i="28"/>
  <c r="D19" i="28"/>
  <c r="D20" i="28"/>
  <c r="D21" i="28"/>
  <c r="D22" i="28"/>
  <c r="D23" i="28"/>
  <c r="D24" i="28"/>
  <c r="D25" i="28"/>
  <c r="D26" i="28"/>
  <c r="D27" i="28"/>
  <c r="D28" i="28"/>
  <c r="D29" i="28"/>
  <c r="D13" i="28"/>
  <c r="C14" i="28"/>
  <c r="C15" i="28"/>
  <c r="C16" i="28"/>
  <c r="C17" i="28"/>
  <c r="C18" i="28"/>
  <c r="C19" i="28"/>
  <c r="C20" i="28"/>
  <c r="C21" i="28"/>
  <c r="C22" i="28"/>
  <c r="C23" i="28"/>
  <c r="C24" i="28"/>
  <c r="C25" i="28"/>
  <c r="C26" i="28"/>
  <c r="C27" i="28"/>
  <c r="C28" i="28"/>
  <c r="C29" i="28"/>
  <c r="C13" i="28"/>
  <c r="AY273" i="2"/>
  <c r="E2" i="19"/>
  <c r="D3" i="15"/>
  <c r="D4" i="15"/>
  <c r="D5" i="15"/>
  <c r="D6" i="15"/>
  <c r="D7" i="15"/>
  <c r="D8" i="15"/>
  <c r="D9" i="15"/>
  <c r="D10" i="15"/>
  <c r="D11" i="15"/>
  <c r="D12" i="15"/>
  <c r="D13" i="15"/>
  <c r="D14" i="15"/>
  <c r="D15" i="15"/>
  <c r="D16" i="15"/>
  <c r="D17" i="15"/>
  <c r="D18" i="15"/>
  <c r="D19" i="15"/>
  <c r="D2" i="15"/>
  <c r="F2" i="16"/>
  <c r="T34" i="28"/>
  <c r="T35" i="28"/>
  <c r="T36" i="28"/>
  <c r="T37" i="28"/>
  <c r="T38" i="28"/>
  <c r="T39" i="28"/>
  <c r="T40" i="28"/>
  <c r="T41" i="28"/>
  <c r="T42" i="28"/>
  <c r="T43" i="28"/>
  <c r="T44" i="28"/>
  <c r="T45" i="28"/>
  <c r="T46" i="28"/>
  <c r="T47" i="28"/>
  <c r="T48" i="28"/>
  <c r="T49" i="28"/>
  <c r="T50" i="28"/>
  <c r="T51" i="28"/>
  <c r="T52" i="28"/>
  <c r="T53" i="28"/>
  <c r="T54" i="28"/>
  <c r="T55" i="28"/>
  <c r="T56" i="28"/>
  <c r="T57" i="28"/>
  <c r="T58" i="28"/>
  <c r="T59" i="28"/>
  <c r="T60" i="28"/>
  <c r="T61" i="28"/>
  <c r="T62" i="28"/>
  <c r="T63" i="28"/>
  <c r="T64" i="28"/>
  <c r="T65" i="28"/>
  <c r="T66" i="28"/>
  <c r="T67" i="28"/>
  <c r="T68" i="28"/>
  <c r="T69" i="28"/>
  <c r="T70" i="28"/>
  <c r="T71" i="28"/>
  <c r="T72" i="28"/>
  <c r="T73" i="28"/>
  <c r="T74" i="28"/>
  <c r="T75" i="28"/>
  <c r="T76" i="28"/>
  <c r="T77" i="28"/>
  <c r="T78" i="28"/>
  <c r="T79" i="28"/>
  <c r="T80" i="28"/>
  <c r="T81" i="28"/>
  <c r="T33" i="28"/>
  <c r="E34" i="28"/>
  <c r="F34" i="28"/>
  <c r="G34" i="28"/>
  <c r="E35" i="28"/>
  <c r="F35" i="28"/>
  <c r="G35" i="28"/>
  <c r="E36" i="28"/>
  <c r="F36" i="28"/>
  <c r="G36" i="28"/>
  <c r="E37" i="28"/>
  <c r="F37" i="28"/>
  <c r="G37" i="28"/>
  <c r="E38" i="28"/>
  <c r="F38" i="28"/>
  <c r="G38" i="28"/>
  <c r="E39" i="28"/>
  <c r="F39" i="28"/>
  <c r="G39" i="28"/>
  <c r="E40" i="28"/>
  <c r="F40" i="28"/>
  <c r="G40" i="28"/>
  <c r="E41" i="28"/>
  <c r="F41" i="28"/>
  <c r="G41" i="28"/>
  <c r="E42" i="28"/>
  <c r="F42" i="28"/>
  <c r="G42" i="28"/>
  <c r="E43" i="28"/>
  <c r="F43" i="28"/>
  <c r="G43" i="28"/>
  <c r="E44" i="28"/>
  <c r="F44" i="28"/>
  <c r="G44" i="28"/>
  <c r="E45" i="28"/>
  <c r="F45" i="28"/>
  <c r="G45" i="28"/>
  <c r="E46" i="28"/>
  <c r="F46" i="28"/>
  <c r="G46" i="28"/>
  <c r="E47" i="28"/>
  <c r="F47" i="28"/>
  <c r="G47" i="28"/>
  <c r="E48" i="28"/>
  <c r="F48" i="28"/>
  <c r="G48" i="28"/>
  <c r="E49" i="28"/>
  <c r="F49" i="28"/>
  <c r="G49" i="28"/>
  <c r="E50" i="28"/>
  <c r="F50" i="28"/>
  <c r="G50" i="28"/>
  <c r="E51" i="28"/>
  <c r="F51" i="28"/>
  <c r="G51" i="28"/>
  <c r="E52" i="28"/>
  <c r="F52" i="28"/>
  <c r="G52" i="28"/>
  <c r="E53" i="28"/>
  <c r="F53" i="28"/>
  <c r="G53" i="28"/>
  <c r="E54" i="28"/>
  <c r="F54" i="28"/>
  <c r="G54" i="28"/>
  <c r="E55" i="28"/>
  <c r="F55" i="28"/>
  <c r="G55" i="28"/>
  <c r="E56" i="28"/>
  <c r="F56" i="28"/>
  <c r="G56" i="28"/>
  <c r="E57" i="28"/>
  <c r="F57" i="28"/>
  <c r="G57" i="28"/>
  <c r="E58" i="28"/>
  <c r="F58" i="28"/>
  <c r="G58" i="28"/>
  <c r="E59" i="28"/>
  <c r="F59" i="28"/>
  <c r="G59" i="28"/>
  <c r="E60" i="28"/>
  <c r="F60" i="28"/>
  <c r="G60" i="28"/>
  <c r="E61" i="28"/>
  <c r="F61" i="28"/>
  <c r="G61" i="28"/>
  <c r="E62" i="28"/>
  <c r="F62" i="28"/>
  <c r="G62" i="28"/>
  <c r="E63" i="28"/>
  <c r="F63" i="28"/>
  <c r="G63" i="28"/>
  <c r="E64" i="28"/>
  <c r="F64" i="28"/>
  <c r="G64" i="28"/>
  <c r="E65" i="28"/>
  <c r="F65" i="28"/>
  <c r="G65" i="28"/>
  <c r="E66" i="28"/>
  <c r="F66" i="28"/>
  <c r="G66" i="28"/>
  <c r="E67" i="28"/>
  <c r="F67" i="28"/>
  <c r="G67" i="28"/>
  <c r="E68" i="28"/>
  <c r="F68" i="28"/>
  <c r="G68" i="28"/>
  <c r="E69" i="28"/>
  <c r="F69" i="28"/>
  <c r="G69" i="28"/>
  <c r="E70" i="28"/>
  <c r="F70" i="28"/>
  <c r="G70" i="28"/>
  <c r="E71" i="28"/>
  <c r="F71" i="28"/>
  <c r="G71" i="28"/>
  <c r="E72" i="28"/>
  <c r="F72" i="28"/>
  <c r="G72" i="28"/>
  <c r="E73" i="28"/>
  <c r="F73" i="28"/>
  <c r="G73" i="28"/>
  <c r="E74" i="28"/>
  <c r="F74" i="28"/>
  <c r="G74" i="28"/>
  <c r="E75" i="28"/>
  <c r="F75" i="28"/>
  <c r="G75" i="28"/>
  <c r="E76" i="28"/>
  <c r="F76" i="28"/>
  <c r="G76" i="28"/>
  <c r="E77" i="28"/>
  <c r="F77" i="28"/>
  <c r="G77" i="28"/>
  <c r="E78" i="28"/>
  <c r="F78" i="28"/>
  <c r="G78" i="28"/>
  <c r="E79" i="28"/>
  <c r="F79" i="28"/>
  <c r="G79" i="28"/>
  <c r="E80" i="28"/>
  <c r="F80" i="28"/>
  <c r="G80" i="28"/>
  <c r="E81" i="28"/>
  <c r="F81" i="28"/>
  <c r="G81" i="28"/>
  <c r="F33" i="28"/>
  <c r="G33" i="28"/>
  <c r="E33" i="28"/>
  <c r="D34" i="28"/>
  <c r="D35" i="28"/>
  <c r="D36" i="28"/>
  <c r="D37" i="28"/>
  <c r="D38" i="28"/>
  <c r="D39" i="28"/>
  <c r="D40" i="28"/>
  <c r="D41" i="28"/>
  <c r="D42" i="28"/>
  <c r="D43" i="28"/>
  <c r="D44" i="28"/>
  <c r="D45" i="28"/>
  <c r="D46" i="28"/>
  <c r="D47" i="28"/>
  <c r="D48" i="28"/>
  <c r="D49" i="28"/>
  <c r="D50" i="28"/>
  <c r="D51" i="28"/>
  <c r="D52" i="28"/>
  <c r="D53" i="28"/>
  <c r="D54" i="28"/>
  <c r="D55" i="28"/>
  <c r="D56" i="28"/>
  <c r="D57" i="28"/>
  <c r="D58" i="28"/>
  <c r="D59" i="28"/>
  <c r="D60" i="28"/>
  <c r="D61" i="28"/>
  <c r="D62" i="28"/>
  <c r="D63" i="28"/>
  <c r="D64" i="28"/>
  <c r="D65" i="28"/>
  <c r="D66" i="28"/>
  <c r="D67" i="28"/>
  <c r="D68" i="28"/>
  <c r="D69" i="28"/>
  <c r="D70" i="28"/>
  <c r="D71" i="28"/>
  <c r="D72" i="28"/>
  <c r="D73" i="28"/>
  <c r="D74" i="28"/>
  <c r="D75" i="28"/>
  <c r="D76" i="28"/>
  <c r="D77" i="28"/>
  <c r="D78" i="28"/>
  <c r="D79" i="28"/>
  <c r="D80" i="28"/>
  <c r="D81" i="28"/>
  <c r="D33" i="28"/>
  <c r="C34" i="28"/>
  <c r="C35" i="28"/>
  <c r="C36" i="28"/>
  <c r="C37" i="28"/>
  <c r="C38" i="28"/>
  <c r="C39" i="28"/>
  <c r="C40" i="28"/>
  <c r="C41" i="28"/>
  <c r="C42" i="28"/>
  <c r="C43" i="28"/>
  <c r="C44" i="28"/>
  <c r="C45" i="28"/>
  <c r="C46" i="28"/>
  <c r="C47" i="28"/>
  <c r="C48" i="28"/>
  <c r="C49" i="28"/>
  <c r="C50" i="28"/>
  <c r="C51" i="28"/>
  <c r="C52" i="28"/>
  <c r="C53" i="28"/>
  <c r="C54" i="28"/>
  <c r="C55" i="28"/>
  <c r="C56" i="28"/>
  <c r="C57" i="28"/>
  <c r="C58" i="28"/>
  <c r="C59" i="28"/>
  <c r="C60" i="28"/>
  <c r="C61" i="28"/>
  <c r="C62" i="28"/>
  <c r="C63" i="28"/>
  <c r="C64" i="28"/>
  <c r="C65" i="28"/>
  <c r="C66" i="28"/>
  <c r="C67" i="28"/>
  <c r="C68" i="28"/>
  <c r="C69" i="28"/>
  <c r="C70" i="28"/>
  <c r="C71" i="28"/>
  <c r="C72" i="28"/>
  <c r="C73" i="28"/>
  <c r="C74" i="28"/>
  <c r="C75" i="28"/>
  <c r="C76" i="28"/>
  <c r="C77" i="28"/>
  <c r="C78" i="28"/>
  <c r="C79" i="28"/>
  <c r="C80" i="28"/>
  <c r="C81" i="28"/>
  <c r="C33" i="28"/>
  <c r="S34" i="28"/>
  <c r="S35" i="28"/>
  <c r="S36" i="28"/>
  <c r="S37" i="28"/>
  <c r="S38" i="28"/>
  <c r="S39" i="28"/>
  <c r="S40" i="28"/>
  <c r="S41" i="28"/>
  <c r="S42" i="28"/>
  <c r="S43" i="28"/>
  <c r="S44" i="28"/>
  <c r="S45" i="28"/>
  <c r="S46" i="28"/>
  <c r="S47" i="28"/>
  <c r="S48" i="28"/>
  <c r="S49" i="28"/>
  <c r="S50" i="28"/>
  <c r="S51" i="28"/>
  <c r="S52" i="28"/>
  <c r="S53" i="28"/>
  <c r="S54" i="28"/>
  <c r="S55" i="28"/>
  <c r="S56" i="28"/>
  <c r="S57" i="28"/>
  <c r="S58" i="28"/>
  <c r="S59" i="28"/>
  <c r="S60" i="28"/>
  <c r="S61" i="28"/>
  <c r="S62" i="28"/>
  <c r="S63" i="28"/>
  <c r="S64" i="28"/>
  <c r="S65" i="28"/>
  <c r="S66" i="28"/>
  <c r="S67" i="28"/>
  <c r="S68" i="28"/>
  <c r="S69" i="28"/>
  <c r="S70" i="28"/>
  <c r="S71" i="28"/>
  <c r="S72" i="28"/>
  <c r="S73" i="28"/>
  <c r="S74" i="28"/>
  <c r="S75" i="28"/>
  <c r="S76" i="28"/>
  <c r="S77" i="28"/>
  <c r="S78" i="28"/>
  <c r="S79" i="28"/>
  <c r="S80" i="28"/>
  <c r="S81" i="28"/>
  <c r="S33" i="28"/>
  <c r="B33" i="28"/>
  <c r="L2" i="20"/>
  <c r="E2" i="20"/>
  <c r="B2" i="20"/>
  <c r="C2" i="20"/>
  <c r="D2" i="20"/>
  <c r="K2" i="19"/>
  <c r="D2" i="19"/>
  <c r="AN3" i="19" a="1"/>
  <c r="AN3" i="19" s="1"/>
  <c r="AD4" i="19" a="1"/>
  <c r="AD4" i="19" s="1"/>
  <c r="AJ5" i="19" a="1"/>
  <c r="AJ5" i="19" s="1"/>
  <c r="AL6" i="19" a="1"/>
  <c r="AL6" i="19" s="1"/>
  <c r="AN7" i="19" a="1"/>
  <c r="AN7" i="19" s="1"/>
  <c r="AD8" i="19" a="1"/>
  <c r="AD8" i="19" s="1"/>
  <c r="AJ9" i="19" a="1"/>
  <c r="AJ9" i="19" s="1"/>
  <c r="AL10" i="19" a="1"/>
  <c r="AL10" i="19" s="1"/>
  <c r="AN11" i="19" a="1"/>
  <c r="AN11" i="19" s="1"/>
  <c r="AI12" i="19" a="1"/>
  <c r="AI12" i="19" s="1"/>
  <c r="AL13" i="19" a="1"/>
  <c r="AL13" i="19" s="1"/>
  <c r="AN14" i="19" a="1"/>
  <c r="AN14" i="19" s="1"/>
  <c r="AD15" i="19" a="1"/>
  <c r="AD15" i="19" s="1"/>
  <c r="AJ16" i="19" a="1"/>
  <c r="AJ16" i="19" s="1"/>
  <c r="AL18" i="19" a="1"/>
  <c r="AL18" i="19" s="1"/>
  <c r="AN19" i="19" a="1"/>
  <c r="AN19" i="19" s="1"/>
  <c r="AD20" i="19" a="1"/>
  <c r="AD20" i="19" s="1"/>
  <c r="AJ21" i="19" a="1"/>
  <c r="AJ21" i="19" s="1"/>
  <c r="AL22" i="19" a="1"/>
  <c r="AL22" i="19" s="1"/>
  <c r="AN23" i="19" a="1"/>
  <c r="AN23" i="19" s="1"/>
  <c r="AD24" i="19" a="1"/>
  <c r="AD24" i="19" s="1"/>
  <c r="AJ25" i="19" a="1"/>
  <c r="AJ25" i="19" s="1"/>
  <c r="AL26" i="19" a="1"/>
  <c r="AL26" i="19" s="1"/>
  <c r="AN27" i="19" a="1"/>
  <c r="AN27" i="19" s="1"/>
  <c r="G2" i="19"/>
  <c r="B2" i="19"/>
  <c r="C2" i="19"/>
  <c r="A2" i="19"/>
  <c r="N3" i="14"/>
  <c r="O3" i="14"/>
  <c r="P3" i="14"/>
  <c r="Q3" i="14"/>
  <c r="R3" i="14"/>
  <c r="N4" i="14"/>
  <c r="O4" i="14"/>
  <c r="P4" i="14"/>
  <c r="Q4" i="14"/>
  <c r="R4" i="14"/>
  <c r="N5" i="14"/>
  <c r="O5" i="14"/>
  <c r="P5" i="14"/>
  <c r="Q5" i="14"/>
  <c r="R5" i="14"/>
  <c r="N6" i="14"/>
  <c r="O6" i="14"/>
  <c r="P6" i="14"/>
  <c r="Q6" i="14"/>
  <c r="R6" i="14"/>
  <c r="N7" i="14"/>
  <c r="O7" i="14"/>
  <c r="P7" i="14"/>
  <c r="Q7" i="14"/>
  <c r="R7" i="14"/>
  <c r="N8" i="14"/>
  <c r="O8" i="14"/>
  <c r="P8" i="14"/>
  <c r="Q8" i="14"/>
  <c r="R8" i="14"/>
  <c r="N9" i="14"/>
  <c r="O9" i="14"/>
  <c r="P9" i="14"/>
  <c r="Q9" i="14"/>
  <c r="R9" i="14"/>
  <c r="N10" i="14"/>
  <c r="O10" i="14"/>
  <c r="P10" i="14"/>
  <c r="Q10" i="14"/>
  <c r="R10" i="14"/>
  <c r="N11" i="14"/>
  <c r="O11" i="14"/>
  <c r="P11" i="14"/>
  <c r="Q11" i="14"/>
  <c r="R11" i="14"/>
  <c r="N12" i="14"/>
  <c r="O12" i="14"/>
  <c r="P12" i="14"/>
  <c r="Q12" i="14"/>
  <c r="R12" i="14"/>
  <c r="N13" i="14"/>
  <c r="O13" i="14"/>
  <c r="P13" i="14"/>
  <c r="Q13" i="14"/>
  <c r="R13" i="14"/>
  <c r="N14" i="14"/>
  <c r="O14" i="14"/>
  <c r="P14" i="14"/>
  <c r="Q14" i="14"/>
  <c r="R14" i="14"/>
  <c r="N15" i="14"/>
  <c r="O15" i="14"/>
  <c r="P15" i="14"/>
  <c r="Q15" i="14"/>
  <c r="R15" i="14"/>
  <c r="K2" i="14"/>
  <c r="D2" i="14"/>
  <c r="AJ4" i="14" a="1"/>
  <c r="AJ4" i="14" s="1"/>
  <c r="AL5" i="14" a="1"/>
  <c r="AL5" i="14" s="1"/>
  <c r="AD6" i="14" a="1"/>
  <c r="AD6" i="14" s="1"/>
  <c r="AB7" i="14" a="1"/>
  <c r="AB7" i="14" s="1"/>
  <c r="AK8" i="14" a="1"/>
  <c r="AK8" i="14" s="1"/>
  <c r="AM9" i="14" a="1"/>
  <c r="AM9" i="14" s="1"/>
  <c r="AB10" i="14" a="1"/>
  <c r="AB10" i="14" s="1"/>
  <c r="AL13" i="14" a="1"/>
  <c r="AL13" i="14" s="1"/>
  <c r="AD14" i="14" a="1"/>
  <c r="AD14" i="14" s="1"/>
  <c r="AK16" i="14" a="1"/>
  <c r="AK16" i="14" s="1"/>
  <c r="AM17" i="14" a="1"/>
  <c r="AM17" i="14" s="1"/>
  <c r="AM18" i="14" a="1"/>
  <c r="AM18" i="14" s="1"/>
  <c r="AL22" i="14" a="1"/>
  <c r="AL22" i="14" s="1"/>
  <c r="AD23" i="14" a="1"/>
  <c r="AD23" i="14" s="1"/>
  <c r="AC24" i="14" a="1"/>
  <c r="AC24" i="14" s="1"/>
  <c r="AK25" i="14" a="1"/>
  <c r="AK25" i="14" s="1"/>
  <c r="AM26" i="14" a="1"/>
  <c r="AM26" i="14" s="1"/>
  <c r="AL27" i="14" a="1"/>
  <c r="AL27" i="14" s="1"/>
  <c r="AL3" i="15" a="1"/>
  <c r="AL3" i="15" s="1"/>
  <c r="B3" i="15"/>
  <c r="AN4" i="15" a="1"/>
  <c r="AN4" i="15" s="1"/>
  <c r="B4" i="15"/>
  <c r="AE5" i="15" a="1"/>
  <c r="AE5" i="15" s="1"/>
  <c r="B5" i="15"/>
  <c r="AJ6" i="15" a="1"/>
  <c r="AJ6" i="15" s="1"/>
  <c r="B6" i="15"/>
  <c r="AL7" i="15" a="1"/>
  <c r="AL7" i="15" s="1"/>
  <c r="B7" i="15"/>
  <c r="AN8" i="15" a="1"/>
  <c r="AN8" i="15" s="1"/>
  <c r="B8" i="15"/>
  <c r="AE9" i="15" a="1"/>
  <c r="AE9" i="15" s="1"/>
  <c r="B9" i="15"/>
  <c r="AJ10" i="15" a="1"/>
  <c r="AJ10" i="15" s="1"/>
  <c r="B10" i="15"/>
  <c r="AL11" i="15" a="1"/>
  <c r="AL11" i="15" s="1"/>
  <c r="B11" i="15"/>
  <c r="AN12" i="15" a="1"/>
  <c r="AN12" i="15" s="1"/>
  <c r="B12" i="15"/>
  <c r="AE13" i="15" a="1"/>
  <c r="AE13" i="15" s="1"/>
  <c r="B13" i="15"/>
  <c r="AQ14" i="15"/>
  <c r="B14" i="15"/>
  <c r="AL15" i="15" a="1"/>
  <c r="AL15" i="15" s="1"/>
  <c r="B15" i="15"/>
  <c r="AN16" i="15" a="1"/>
  <c r="AN16" i="15" s="1"/>
  <c r="B16" i="15"/>
  <c r="AE17" i="15" a="1"/>
  <c r="AE17" i="15" s="1"/>
  <c r="B17" i="15"/>
  <c r="AJ18" i="15" a="1"/>
  <c r="AJ18" i="15" s="1"/>
  <c r="B18" i="15"/>
  <c r="AL19" i="15" a="1"/>
  <c r="AL19" i="15" s="1"/>
  <c r="B19" i="15"/>
  <c r="B3" i="8"/>
  <c r="C3" i="8"/>
  <c r="D3" i="8"/>
  <c r="B4" i="8"/>
  <c r="C4" i="8"/>
  <c r="D4" i="8"/>
  <c r="B5" i="8"/>
  <c r="C5" i="8"/>
  <c r="D5" i="8"/>
  <c r="B6" i="8"/>
  <c r="C6" i="8"/>
  <c r="D6" i="8"/>
  <c r="B7" i="8"/>
  <c r="C7" i="8"/>
  <c r="D7" i="8"/>
  <c r="B8" i="8"/>
  <c r="C8" i="8"/>
  <c r="D8" i="8"/>
  <c r="L2" i="10"/>
  <c r="H3" i="10"/>
  <c r="H4" i="10"/>
  <c r="H5" i="10"/>
  <c r="H6" i="10"/>
  <c r="H21" i="10"/>
  <c r="H7" i="10"/>
  <c r="H8" i="10"/>
  <c r="H9" i="10"/>
  <c r="H10" i="10"/>
  <c r="H11" i="10"/>
  <c r="H12" i="10"/>
  <c r="H13" i="10"/>
  <c r="H14" i="10"/>
  <c r="H15" i="10"/>
  <c r="H16" i="10"/>
  <c r="H17" i="10"/>
  <c r="H18" i="10"/>
  <c r="H19" i="10"/>
  <c r="H20" i="10"/>
  <c r="H22" i="10"/>
  <c r="H23" i="10"/>
  <c r="H24" i="10"/>
  <c r="H25" i="10"/>
  <c r="H26" i="10"/>
  <c r="H27" i="10"/>
  <c r="H2" i="10"/>
  <c r="G3" i="10"/>
  <c r="G4" i="10"/>
  <c r="G5" i="10"/>
  <c r="G6" i="10"/>
  <c r="G21" i="10"/>
  <c r="G7" i="10"/>
  <c r="G8" i="10"/>
  <c r="G9" i="10"/>
  <c r="G10" i="10"/>
  <c r="G11" i="10"/>
  <c r="G12" i="10"/>
  <c r="G13" i="10"/>
  <c r="G14" i="10"/>
  <c r="G15" i="10"/>
  <c r="G16" i="10"/>
  <c r="G17" i="10"/>
  <c r="G18" i="10"/>
  <c r="G19" i="10"/>
  <c r="G20" i="10"/>
  <c r="G22" i="10"/>
  <c r="G23" i="10"/>
  <c r="G24" i="10"/>
  <c r="G25" i="10"/>
  <c r="G26" i="10"/>
  <c r="G27" i="10"/>
  <c r="G2" i="10"/>
  <c r="F3" i="10"/>
  <c r="F4" i="10"/>
  <c r="F5" i="10"/>
  <c r="F6" i="10"/>
  <c r="F21" i="10"/>
  <c r="F7" i="10"/>
  <c r="F8" i="10"/>
  <c r="F9" i="10"/>
  <c r="F10" i="10"/>
  <c r="F11" i="10"/>
  <c r="F12" i="10"/>
  <c r="F13" i="10"/>
  <c r="F14" i="10"/>
  <c r="F15" i="10"/>
  <c r="F16" i="10"/>
  <c r="F17" i="10"/>
  <c r="F18" i="10"/>
  <c r="F19" i="10"/>
  <c r="F20" i="10"/>
  <c r="F22" i="10"/>
  <c r="F23" i="10"/>
  <c r="F24" i="10"/>
  <c r="F25" i="10"/>
  <c r="F26" i="10"/>
  <c r="F27" i="10"/>
  <c r="F2" i="10"/>
  <c r="AN3" i="10" a="1"/>
  <c r="AN3" i="10" s="1"/>
  <c r="AK4" i="10" a="1"/>
  <c r="AK4" i="10" s="1"/>
  <c r="AJ5" i="10" a="1"/>
  <c r="AJ5" i="10" s="1"/>
  <c r="AH21" i="10" a="1"/>
  <c r="AH21" i="10" s="1"/>
  <c r="AE7" i="10" a="1"/>
  <c r="AE7" i="10" s="1"/>
  <c r="AJ8" i="10" a="1"/>
  <c r="AJ8" i="10" s="1"/>
  <c r="AL9" i="10" a="1"/>
  <c r="AL9" i="10" s="1"/>
  <c r="AN10" i="10" a="1"/>
  <c r="AN10" i="10" s="1"/>
  <c r="AD11" i="10" a="1"/>
  <c r="AD11" i="10" s="1"/>
  <c r="AJ12" i="10" a="1"/>
  <c r="AJ12" i="10" s="1"/>
  <c r="AG13" i="10" a="1"/>
  <c r="AG13" i="10" s="1"/>
  <c r="AL14" i="10" a="1"/>
  <c r="AL14" i="10" s="1"/>
  <c r="AE15" i="10" a="1"/>
  <c r="AE15" i="10" s="1"/>
  <c r="AJ16" i="10" a="1"/>
  <c r="AJ16" i="10" s="1"/>
  <c r="AL17" i="10" a="1"/>
  <c r="AL17" i="10" s="1"/>
  <c r="AM18" i="10" a="1"/>
  <c r="AM18" i="10" s="1"/>
  <c r="AO19" i="10" a="1"/>
  <c r="AO19" i="10" s="1"/>
  <c r="AJ20" i="10" a="1"/>
  <c r="AJ20" i="10" s="1"/>
  <c r="AK22" i="10" a="1"/>
  <c r="AK22" i="10" s="1"/>
  <c r="AH23" i="10" a="1"/>
  <c r="AH23" i="10" s="1"/>
  <c r="AE24" i="10" a="1"/>
  <c r="AE24" i="10" s="1"/>
  <c r="AJ25" i="10" a="1"/>
  <c r="AJ25" i="10" s="1"/>
  <c r="AL26" i="10" a="1"/>
  <c r="AL26" i="10" s="1"/>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2" i="9"/>
  <c r="O3" i="9"/>
  <c r="P3" i="9"/>
  <c r="Q3" i="9"/>
  <c r="R3" i="9"/>
  <c r="S3" i="9"/>
  <c r="T3" i="9"/>
  <c r="O4" i="9"/>
  <c r="P4" i="9"/>
  <c r="Q4" i="9"/>
  <c r="R4" i="9"/>
  <c r="S4" i="9"/>
  <c r="T4" i="9"/>
  <c r="O5" i="9"/>
  <c r="P5" i="9"/>
  <c r="Q5" i="9"/>
  <c r="R5" i="9"/>
  <c r="S5" i="9"/>
  <c r="T5" i="9"/>
  <c r="O6" i="9"/>
  <c r="P6" i="9"/>
  <c r="Q6" i="9"/>
  <c r="R6" i="9"/>
  <c r="S6" i="9"/>
  <c r="T6" i="9"/>
  <c r="O7" i="9"/>
  <c r="P7" i="9"/>
  <c r="Q7" i="9"/>
  <c r="R7" i="9"/>
  <c r="S7" i="9"/>
  <c r="T7" i="9"/>
  <c r="O8" i="9"/>
  <c r="P8" i="9"/>
  <c r="Q8" i="9"/>
  <c r="R8" i="9"/>
  <c r="S8" i="9"/>
  <c r="T8" i="9"/>
  <c r="O9" i="9"/>
  <c r="P9" i="9"/>
  <c r="Q9" i="9"/>
  <c r="R9" i="9"/>
  <c r="S9" i="9"/>
  <c r="T9" i="9"/>
  <c r="O10" i="9"/>
  <c r="P10" i="9"/>
  <c r="Q10" i="9"/>
  <c r="R10" i="9"/>
  <c r="S10" i="9"/>
  <c r="T10" i="9"/>
  <c r="O11" i="9"/>
  <c r="P11" i="9"/>
  <c r="Q11" i="9"/>
  <c r="R11" i="9"/>
  <c r="S11" i="9"/>
  <c r="T11" i="9"/>
  <c r="O12" i="9"/>
  <c r="P12" i="9"/>
  <c r="Q12" i="9"/>
  <c r="R12" i="9"/>
  <c r="S12" i="9"/>
  <c r="T12" i="9"/>
  <c r="O13" i="9"/>
  <c r="P13" i="9"/>
  <c r="Q13" i="9"/>
  <c r="R13" i="9"/>
  <c r="S13" i="9"/>
  <c r="T13" i="9"/>
  <c r="O14" i="9"/>
  <c r="P14" i="9"/>
  <c r="Q14" i="9"/>
  <c r="R14" i="9"/>
  <c r="S14" i="9"/>
  <c r="T14" i="9"/>
  <c r="O15" i="9"/>
  <c r="P15" i="9"/>
  <c r="Q15" i="9"/>
  <c r="R15" i="9"/>
  <c r="S15" i="9"/>
  <c r="T15" i="9"/>
  <c r="O16" i="9"/>
  <c r="P16" i="9"/>
  <c r="Q16" i="9"/>
  <c r="R16" i="9"/>
  <c r="S16" i="9"/>
  <c r="T16" i="9"/>
  <c r="O17" i="9"/>
  <c r="P17" i="9"/>
  <c r="Q17" i="9"/>
  <c r="R17" i="9"/>
  <c r="S17" i="9"/>
  <c r="T17" i="9"/>
  <c r="O18" i="9"/>
  <c r="P18" i="9"/>
  <c r="Q18" i="9"/>
  <c r="R18" i="9"/>
  <c r="S18" i="9"/>
  <c r="T18" i="9"/>
  <c r="O19" i="9"/>
  <c r="P19" i="9"/>
  <c r="Q19" i="9"/>
  <c r="R19" i="9"/>
  <c r="S19" i="9"/>
  <c r="T19" i="9"/>
  <c r="O20" i="9"/>
  <c r="P20" i="9"/>
  <c r="Q20" i="9"/>
  <c r="R20" i="9"/>
  <c r="S20" i="9"/>
  <c r="T20" i="9"/>
  <c r="O21" i="9"/>
  <c r="P21" i="9"/>
  <c r="Q21" i="9"/>
  <c r="R21" i="9"/>
  <c r="S21" i="9"/>
  <c r="T21" i="9"/>
  <c r="O22" i="9"/>
  <c r="P22" i="9"/>
  <c r="Q22" i="9"/>
  <c r="R22" i="9"/>
  <c r="S22" i="9"/>
  <c r="T22" i="9"/>
  <c r="O23" i="9"/>
  <c r="P23" i="9"/>
  <c r="Q23" i="9"/>
  <c r="R23" i="9"/>
  <c r="S23" i="9"/>
  <c r="T23" i="9"/>
  <c r="O24" i="9"/>
  <c r="P24" i="9"/>
  <c r="Q24" i="9"/>
  <c r="R24" i="9"/>
  <c r="S24" i="9"/>
  <c r="T24" i="9"/>
  <c r="O25" i="9"/>
  <c r="P25" i="9"/>
  <c r="Q25" i="9"/>
  <c r="R25" i="9"/>
  <c r="S25" i="9"/>
  <c r="T25" i="9"/>
  <c r="O26" i="9"/>
  <c r="P26" i="9"/>
  <c r="Q26" i="9"/>
  <c r="R26" i="9"/>
  <c r="S26" i="9"/>
  <c r="T26" i="9"/>
  <c r="O27" i="9"/>
  <c r="P27" i="9"/>
  <c r="Q27" i="9"/>
  <c r="R27" i="9"/>
  <c r="S27" i="9"/>
  <c r="T27" i="9"/>
  <c r="O28" i="9"/>
  <c r="P28" i="9"/>
  <c r="Q28" i="9"/>
  <c r="R28" i="9"/>
  <c r="S28" i="9"/>
  <c r="T28" i="9"/>
  <c r="O29" i="9"/>
  <c r="P29" i="9"/>
  <c r="Q29" i="9"/>
  <c r="R29" i="9"/>
  <c r="S29" i="9"/>
  <c r="T29" i="9"/>
  <c r="O30" i="9"/>
  <c r="P30" i="9"/>
  <c r="Q30" i="9"/>
  <c r="R30" i="9"/>
  <c r="S30" i="9"/>
  <c r="T30" i="9"/>
  <c r="O31" i="9"/>
  <c r="P31" i="9"/>
  <c r="Q31" i="9"/>
  <c r="R31" i="9"/>
  <c r="S31" i="9"/>
  <c r="T31" i="9"/>
  <c r="O32" i="9"/>
  <c r="P32" i="9"/>
  <c r="Q32" i="9"/>
  <c r="R32" i="9"/>
  <c r="S32" i="9"/>
  <c r="T32" i="9"/>
  <c r="O33" i="9"/>
  <c r="P33" i="9"/>
  <c r="Q33" i="9"/>
  <c r="R33" i="9"/>
  <c r="S33" i="9"/>
  <c r="T33" i="9"/>
  <c r="L3" i="9"/>
  <c r="L4" i="9"/>
  <c r="L5" i="9"/>
  <c r="L6" i="9"/>
  <c r="L7" i="9"/>
  <c r="L8" i="9"/>
  <c r="L9" i="9"/>
  <c r="L10" i="9"/>
  <c r="L11" i="9"/>
  <c r="L12" i="9"/>
  <c r="L13" i="9"/>
  <c r="L14" i="9"/>
  <c r="L15" i="9"/>
  <c r="L16" i="9"/>
  <c r="L17" i="9"/>
  <c r="L18" i="9"/>
  <c r="L19" i="9"/>
  <c r="L20" i="9"/>
  <c r="L21" i="9"/>
  <c r="L22" i="9"/>
  <c r="L23" i="9"/>
  <c r="L24" i="9"/>
  <c r="L25" i="9"/>
  <c r="L26" i="9"/>
  <c r="L27" i="9"/>
  <c r="L28" i="9"/>
  <c r="L29" i="9"/>
  <c r="L30" i="9"/>
  <c r="L31" i="9"/>
  <c r="L32" i="9"/>
  <c r="L33" i="9"/>
  <c r="L2" i="9"/>
  <c r="H5" i="9"/>
  <c r="H21" i="9"/>
  <c r="G5" i="9"/>
  <c r="G21" i="9"/>
  <c r="F3" i="9"/>
  <c r="F4" i="9"/>
  <c r="F5" i="9"/>
  <c r="F6" i="9"/>
  <c r="F7" i="9"/>
  <c r="F8" i="9"/>
  <c r="F9" i="9"/>
  <c r="F10" i="9"/>
  <c r="F11" i="9"/>
  <c r="F12" i="9"/>
  <c r="F13" i="9"/>
  <c r="F14" i="9"/>
  <c r="F15" i="9"/>
  <c r="F16" i="9"/>
  <c r="F17" i="9"/>
  <c r="F18" i="9"/>
  <c r="F19" i="9"/>
  <c r="F20" i="9"/>
  <c r="F21" i="9"/>
  <c r="F22" i="9"/>
  <c r="F23" i="9"/>
  <c r="F24" i="9"/>
  <c r="F25" i="9"/>
  <c r="F26" i="9"/>
  <c r="F27" i="9"/>
  <c r="F28" i="9"/>
  <c r="F29" i="9"/>
  <c r="F30" i="9"/>
  <c r="F31" i="9"/>
  <c r="F32" i="9"/>
  <c r="F33" i="9"/>
  <c r="F2" i="9"/>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2" i="9"/>
  <c r="B3" i="9"/>
  <c r="B4" i="9"/>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2" i="9"/>
  <c r="A3" i="9"/>
  <c r="AQ3" i="9" s="1"/>
  <c r="A4" i="9"/>
  <c r="AN4" i="9" s="1" a="1"/>
  <c r="AN4" i="9" s="1"/>
  <c r="A5" i="9"/>
  <c r="AD5" i="9" s="1" a="1"/>
  <c r="AD5" i="9" s="1"/>
  <c r="A6" i="9"/>
  <c r="AL6" i="9" s="1" a="1"/>
  <c r="AL6" i="9" s="1"/>
  <c r="A7" i="9"/>
  <c r="AO7" i="9" s="1" a="1"/>
  <c r="AO7" i="9" s="1"/>
  <c r="A8" i="9"/>
  <c r="AD8" i="9" s="1" a="1"/>
  <c r="AD8" i="9" s="1"/>
  <c r="A9" i="9"/>
  <c r="AM9" i="9" s="1" a="1"/>
  <c r="AM9" i="9" s="1"/>
  <c r="A10" i="9"/>
  <c r="AJ10" i="9" s="1" a="1"/>
  <c r="AJ10" i="9" s="1"/>
  <c r="A11" i="9"/>
  <c r="AQ11" i="9" s="1"/>
  <c r="A12" i="9"/>
  <c r="AN12" i="9" s="1" a="1"/>
  <c r="AN12" i="9" s="1"/>
  <c r="A13" i="9"/>
  <c r="AD13" i="9" s="1" a="1"/>
  <c r="AD13" i="9" s="1"/>
  <c r="A14" i="9"/>
  <c r="AL14" i="9" s="1" a="1"/>
  <c r="AL14" i="9" s="1"/>
  <c r="A15" i="9"/>
  <c r="AO15" i="9" s="1" a="1"/>
  <c r="AO15" i="9" s="1"/>
  <c r="A16" i="9"/>
  <c r="AJ16" i="9" s="1" a="1"/>
  <c r="AJ16" i="9" s="1"/>
  <c r="A17" i="9"/>
  <c r="AM17" i="9" s="1" a="1"/>
  <c r="AM17" i="9" s="1"/>
  <c r="A18" i="9"/>
  <c r="AF18" i="9" s="1" a="1"/>
  <c r="AF18" i="9" s="1"/>
  <c r="A19" i="9"/>
  <c r="AQ19" i="9" s="1"/>
  <c r="A20" i="9"/>
  <c r="AN20" i="9" s="1" a="1"/>
  <c r="AN20" i="9" s="1"/>
  <c r="A21" i="9"/>
  <c r="AD21" i="9" s="1" a="1"/>
  <c r="AD21" i="9" s="1"/>
  <c r="A22" i="9"/>
  <c r="AL22" i="9" s="1" a="1"/>
  <c r="AL22" i="9" s="1"/>
  <c r="A23" i="9"/>
  <c r="AO23" i="9" s="1" a="1"/>
  <c r="AO23" i="9" s="1"/>
  <c r="A24" i="9"/>
  <c r="AD24" i="9" s="1" a="1"/>
  <c r="AD24" i="9" s="1"/>
  <c r="A25" i="9"/>
  <c r="AM25" i="9" s="1" a="1"/>
  <c r="AM25" i="9" s="1"/>
  <c r="A26" i="9"/>
  <c r="AD26" i="9" s="1" a="1"/>
  <c r="AD26" i="9" s="1"/>
  <c r="A27" i="9"/>
  <c r="AQ27" i="9" s="1"/>
  <c r="A28" i="9"/>
  <c r="AN28" i="9" s="1" a="1"/>
  <c r="AN28" i="9" s="1"/>
  <c r="A29" i="9"/>
  <c r="AJ29" i="9" s="1" a="1"/>
  <c r="AJ29" i="9" s="1"/>
  <c r="A30" i="9"/>
  <c r="AL30" i="9" s="1" a="1"/>
  <c r="AL30" i="9" s="1"/>
  <c r="A31" i="9"/>
  <c r="AO31" i="9" s="1" a="1"/>
  <c r="AO31" i="9" s="1"/>
  <c r="A32" i="9"/>
  <c r="AD32" i="9" s="1" a="1"/>
  <c r="AD32" i="9" s="1"/>
  <c r="A33" i="9"/>
  <c r="AM33" i="9" s="1" a="1"/>
  <c r="AM33" i="9" s="1"/>
  <c r="A2" i="9"/>
  <c r="AL2" i="9" s="1" a="1"/>
  <c r="AL2" i="9" s="1"/>
  <c r="D2" i="21"/>
  <c r="L3" i="16"/>
  <c r="L4" i="16"/>
  <c r="L5" i="16"/>
  <c r="L6" i="16"/>
  <c r="L7" i="16"/>
  <c r="L8" i="16"/>
  <c r="L9" i="16"/>
  <c r="L10" i="16"/>
  <c r="L11" i="16"/>
  <c r="L12" i="16"/>
  <c r="L13" i="16"/>
  <c r="L14" i="16"/>
  <c r="L15" i="16"/>
  <c r="L16" i="16"/>
  <c r="L17" i="16"/>
  <c r="L18" i="16"/>
  <c r="L19" i="16"/>
  <c r="L20" i="16"/>
  <c r="L21" i="16"/>
  <c r="L22" i="16"/>
  <c r="L2" i="16"/>
  <c r="AL3" i="16" a="1"/>
  <c r="AL3" i="16" s="1"/>
  <c r="AC5" i="16" a="1"/>
  <c r="AC5" i="16" s="1"/>
  <c r="AJ6" i="16" a="1"/>
  <c r="AJ6" i="16" s="1"/>
  <c r="AL7" i="16" a="1"/>
  <c r="AL7" i="16" s="1"/>
  <c r="AN8" i="16" a="1"/>
  <c r="AN8" i="16" s="1"/>
  <c r="AC9" i="16" a="1"/>
  <c r="AC9" i="16" s="1"/>
  <c r="AL11" i="16" a="1"/>
  <c r="AL11" i="16" s="1"/>
  <c r="AN12" i="16" a="1"/>
  <c r="AN12" i="16" s="1"/>
  <c r="AC13" i="16" a="1"/>
  <c r="AC13" i="16" s="1"/>
  <c r="AJ14" i="16" a="1"/>
  <c r="AJ14" i="16" s="1"/>
  <c r="AL15" i="16" a="1"/>
  <c r="AL15" i="16" s="1"/>
  <c r="AN16" i="16" a="1"/>
  <c r="AN16" i="16" s="1"/>
  <c r="AC17" i="16" a="1"/>
  <c r="AC17" i="16" s="1"/>
  <c r="AM18" i="16" a="1"/>
  <c r="AM18" i="16" s="1"/>
  <c r="AL19" i="16" a="1"/>
  <c r="AL19" i="16" s="1"/>
  <c r="AQ20" i="16"/>
  <c r="AC21" i="16" a="1"/>
  <c r="AC21" i="16" s="1"/>
  <c r="AJ22" i="16" a="1"/>
  <c r="AJ22" i="16" s="1"/>
  <c r="Z428" i="2"/>
  <c r="AE428" i="2"/>
  <c r="D380" i="2"/>
  <c r="D381" i="2"/>
  <c r="D382" i="2"/>
  <c r="D383" i="2"/>
  <c r="D385" i="2"/>
  <c r="E379" i="2"/>
  <c r="A379" i="2"/>
  <c r="Z351" i="2"/>
  <c r="Z352" i="2"/>
  <c r="Z361" i="2"/>
  <c r="Z362" i="2"/>
  <c r="G352" i="2"/>
  <c r="H352" i="2"/>
  <c r="I352" i="2"/>
  <c r="G353" i="2"/>
  <c r="H353" i="2"/>
  <c r="I353" i="2"/>
  <c r="G354" i="2"/>
  <c r="H354" i="2"/>
  <c r="I354" i="2"/>
  <c r="G355" i="2"/>
  <c r="H355" i="2"/>
  <c r="I355" i="2"/>
  <c r="G356" i="2"/>
  <c r="H356" i="2"/>
  <c r="I356" i="2"/>
  <c r="G357" i="2"/>
  <c r="H357" i="2"/>
  <c r="I357" i="2"/>
  <c r="G358" i="2"/>
  <c r="H358" i="2"/>
  <c r="I358" i="2"/>
  <c r="G359" i="2"/>
  <c r="H359" i="2"/>
  <c r="I359" i="2"/>
  <c r="G360" i="2"/>
  <c r="H360" i="2"/>
  <c r="I360" i="2"/>
  <c r="G361" i="2"/>
  <c r="H361" i="2"/>
  <c r="I361" i="2"/>
  <c r="G362" i="2"/>
  <c r="H362" i="2"/>
  <c r="I362" i="2"/>
  <c r="G363" i="2"/>
  <c r="H363" i="2"/>
  <c r="I363" i="2"/>
  <c r="G364" i="2"/>
  <c r="H364" i="2"/>
  <c r="I364" i="2"/>
  <c r="G365" i="2"/>
  <c r="H365" i="2"/>
  <c r="I365" i="2"/>
  <c r="G367" i="2"/>
  <c r="H367" i="2"/>
  <c r="I367" i="2"/>
  <c r="G368" i="2"/>
  <c r="H368" i="2"/>
  <c r="I368" i="2"/>
  <c r="G369" i="2"/>
  <c r="H369" i="2"/>
  <c r="I369" i="2"/>
  <c r="G370" i="2"/>
  <c r="H370" i="2"/>
  <c r="I370" i="2"/>
  <c r="G371" i="2"/>
  <c r="H371" i="2"/>
  <c r="I371" i="2"/>
  <c r="G372" i="2"/>
  <c r="H372" i="2"/>
  <c r="I372" i="2"/>
  <c r="G373" i="2"/>
  <c r="H373" i="2"/>
  <c r="I373" i="2"/>
  <c r="G374" i="2"/>
  <c r="H374" i="2"/>
  <c r="I374" i="2"/>
  <c r="G375" i="2"/>
  <c r="H375" i="2"/>
  <c r="I375" i="2"/>
  <c r="G376" i="2"/>
  <c r="H376" i="2"/>
  <c r="I376" i="2"/>
  <c r="H351" i="2"/>
  <c r="I351" i="2"/>
  <c r="G351" i="2"/>
  <c r="B351" i="2"/>
  <c r="C351" i="2"/>
  <c r="E351" i="2"/>
  <c r="B352" i="2"/>
  <c r="C352" i="2"/>
  <c r="E352" i="2"/>
  <c r="B354" i="2"/>
  <c r="C354" i="2"/>
  <c r="E354" i="2"/>
  <c r="B355" i="2"/>
  <c r="C355" i="2"/>
  <c r="E355" i="2"/>
  <c r="B356" i="2"/>
  <c r="C356" i="2"/>
  <c r="E356" i="2"/>
  <c r="B357" i="2"/>
  <c r="C357" i="2"/>
  <c r="E357" i="2"/>
  <c r="B358" i="2"/>
  <c r="C358" i="2"/>
  <c r="E358" i="2"/>
  <c r="B359" i="2"/>
  <c r="C359" i="2"/>
  <c r="E359" i="2"/>
  <c r="B360" i="2"/>
  <c r="C360" i="2"/>
  <c r="E360" i="2"/>
  <c r="B361" i="2"/>
  <c r="C361" i="2"/>
  <c r="E361" i="2"/>
  <c r="B362" i="2"/>
  <c r="C362" i="2"/>
  <c r="E362" i="2"/>
  <c r="B363" i="2"/>
  <c r="C363" i="2"/>
  <c r="E363" i="2"/>
  <c r="B364" i="2"/>
  <c r="C364" i="2"/>
  <c r="E364" i="2"/>
  <c r="B365" i="2"/>
  <c r="C365" i="2"/>
  <c r="E365" i="2"/>
  <c r="B367" i="2"/>
  <c r="C367" i="2"/>
  <c r="E367" i="2"/>
  <c r="B368" i="2"/>
  <c r="C368" i="2"/>
  <c r="E368" i="2"/>
  <c r="B369" i="2"/>
  <c r="C369" i="2"/>
  <c r="E369" i="2"/>
  <c r="B370" i="2"/>
  <c r="C370" i="2"/>
  <c r="E370" i="2"/>
  <c r="B371" i="2"/>
  <c r="C371" i="2"/>
  <c r="E371" i="2"/>
  <c r="B372" i="2"/>
  <c r="C372" i="2"/>
  <c r="E372" i="2"/>
  <c r="B373" i="2"/>
  <c r="C373" i="2"/>
  <c r="E373" i="2"/>
  <c r="B374" i="2"/>
  <c r="C374" i="2"/>
  <c r="E374" i="2"/>
  <c r="B375" i="2"/>
  <c r="C375" i="2"/>
  <c r="E375" i="2"/>
  <c r="B376" i="2"/>
  <c r="C376" i="2"/>
  <c r="E376" i="2"/>
  <c r="A351" i="2"/>
  <c r="B323" i="2"/>
  <c r="C323" i="2"/>
  <c r="E323" i="2"/>
  <c r="G323" i="2"/>
  <c r="H323" i="2"/>
  <c r="I323" i="2"/>
  <c r="B324" i="2"/>
  <c r="C324" i="2"/>
  <c r="E324" i="2"/>
  <c r="G324" i="2"/>
  <c r="H324" i="2"/>
  <c r="I324" i="2"/>
  <c r="B325" i="2"/>
  <c r="C325" i="2"/>
  <c r="E325" i="2"/>
  <c r="G325" i="2"/>
  <c r="H325" i="2"/>
  <c r="I325" i="2"/>
  <c r="B326" i="2"/>
  <c r="C326" i="2"/>
  <c r="E326" i="2"/>
  <c r="G326" i="2"/>
  <c r="H326" i="2"/>
  <c r="I326" i="2"/>
  <c r="B327" i="2"/>
  <c r="C327" i="2"/>
  <c r="E327" i="2"/>
  <c r="G327" i="2"/>
  <c r="H327" i="2"/>
  <c r="I327" i="2"/>
  <c r="B328" i="2"/>
  <c r="C328" i="2"/>
  <c r="E328" i="2"/>
  <c r="G328" i="2"/>
  <c r="H328" i="2"/>
  <c r="I328" i="2"/>
  <c r="B329" i="2"/>
  <c r="C329" i="2"/>
  <c r="E329" i="2"/>
  <c r="G329" i="2"/>
  <c r="H329" i="2"/>
  <c r="I329" i="2"/>
  <c r="B330" i="2"/>
  <c r="C330" i="2"/>
  <c r="E330" i="2"/>
  <c r="G330" i="2"/>
  <c r="H330" i="2"/>
  <c r="I330" i="2"/>
  <c r="B331" i="2"/>
  <c r="C331" i="2"/>
  <c r="E331" i="2"/>
  <c r="G331" i="2"/>
  <c r="H331" i="2"/>
  <c r="I331" i="2"/>
  <c r="B332" i="2"/>
  <c r="C332" i="2"/>
  <c r="E332" i="2"/>
  <c r="G332" i="2"/>
  <c r="H332" i="2"/>
  <c r="I332" i="2"/>
  <c r="B333" i="2"/>
  <c r="C333" i="2"/>
  <c r="E333" i="2"/>
  <c r="G333" i="2"/>
  <c r="H333" i="2"/>
  <c r="I333" i="2"/>
  <c r="B334" i="2"/>
  <c r="C334" i="2"/>
  <c r="E334" i="2"/>
  <c r="G334" i="2"/>
  <c r="H334" i="2"/>
  <c r="I334" i="2"/>
  <c r="B335" i="2"/>
  <c r="C335" i="2"/>
  <c r="E335" i="2"/>
  <c r="G335" i="2"/>
  <c r="H335" i="2"/>
  <c r="I335" i="2"/>
  <c r="B336" i="2"/>
  <c r="C336" i="2"/>
  <c r="E336" i="2"/>
  <c r="G336" i="2"/>
  <c r="H336" i="2"/>
  <c r="I336" i="2"/>
  <c r="B337" i="2"/>
  <c r="C337" i="2"/>
  <c r="E337" i="2"/>
  <c r="G337" i="2"/>
  <c r="H337" i="2"/>
  <c r="I337" i="2"/>
  <c r="B338" i="2"/>
  <c r="C338" i="2"/>
  <c r="E338" i="2"/>
  <c r="G338" i="2"/>
  <c r="H338" i="2"/>
  <c r="I338" i="2"/>
  <c r="B339" i="2"/>
  <c r="C339" i="2"/>
  <c r="E339" i="2"/>
  <c r="G339" i="2"/>
  <c r="H339" i="2"/>
  <c r="I339" i="2"/>
  <c r="B340" i="2"/>
  <c r="C340" i="2"/>
  <c r="E340" i="2"/>
  <c r="G340" i="2"/>
  <c r="H340" i="2"/>
  <c r="I340" i="2"/>
  <c r="B342" i="2"/>
  <c r="C342" i="2"/>
  <c r="E342" i="2"/>
  <c r="G342" i="2"/>
  <c r="H342" i="2"/>
  <c r="I342" i="2"/>
  <c r="B343" i="2"/>
  <c r="C343" i="2"/>
  <c r="E343" i="2"/>
  <c r="G343" i="2"/>
  <c r="H343" i="2"/>
  <c r="I343" i="2"/>
  <c r="B344" i="2"/>
  <c r="C344" i="2"/>
  <c r="E344" i="2"/>
  <c r="G344" i="2"/>
  <c r="H344" i="2"/>
  <c r="I344" i="2"/>
  <c r="B345" i="2"/>
  <c r="C345" i="2"/>
  <c r="E345" i="2"/>
  <c r="G345" i="2"/>
  <c r="H345" i="2"/>
  <c r="I345" i="2"/>
  <c r="B346" i="2"/>
  <c r="C346" i="2"/>
  <c r="E346" i="2"/>
  <c r="G346" i="2"/>
  <c r="H346" i="2"/>
  <c r="I346" i="2"/>
  <c r="B347" i="2"/>
  <c r="C347" i="2"/>
  <c r="E347" i="2"/>
  <c r="G347" i="2"/>
  <c r="H347" i="2"/>
  <c r="I347" i="2"/>
  <c r="B348" i="2"/>
  <c r="C348" i="2"/>
  <c r="E348" i="2"/>
  <c r="G348" i="2"/>
  <c r="H348" i="2"/>
  <c r="I348" i="2"/>
  <c r="A322" i="2"/>
  <c r="A302" i="2"/>
  <c r="A303" i="2"/>
  <c r="A304" i="2"/>
  <c r="A305" i="2"/>
  <c r="A306" i="2"/>
  <c r="A307" i="2"/>
  <c r="A308" i="2"/>
  <c r="A309" i="2"/>
  <c r="A310" i="2"/>
  <c r="A311" i="2"/>
  <c r="A312" i="2"/>
  <c r="A313" i="2"/>
  <c r="A314" i="2"/>
  <c r="A315" i="2"/>
  <c r="A316" i="2"/>
  <c r="A317" i="2"/>
  <c r="A318" i="2"/>
  <c r="A319" i="2"/>
  <c r="BH285" i="2"/>
  <c r="BF285" i="2"/>
  <c r="BE285" i="2"/>
  <c r="BD285" i="2"/>
  <c r="BH253" i="2"/>
  <c r="BF253" i="2"/>
  <c r="BE253" i="2"/>
  <c r="BD253" i="2"/>
  <c r="AQ252" i="2"/>
  <c r="AR252" i="2"/>
  <c r="AQ253" i="2"/>
  <c r="AR253" i="2"/>
  <c r="AQ254" i="2"/>
  <c r="AR254" i="2"/>
  <c r="AQ255" i="2"/>
  <c r="AR255" i="2"/>
  <c r="AQ256" i="2"/>
  <c r="AR256" i="2"/>
  <c r="AQ257" i="2"/>
  <c r="AR257" i="2"/>
  <c r="AQ258" i="2"/>
  <c r="AR258" i="2"/>
  <c r="AQ259" i="2"/>
  <c r="AR259" i="2"/>
  <c r="AQ260" i="2"/>
  <c r="AR260" i="2"/>
  <c r="AQ261" i="2"/>
  <c r="AR261" i="2"/>
  <c r="AQ262" i="2"/>
  <c r="AR262" i="2"/>
  <c r="AQ263" i="2"/>
  <c r="AR263" i="2"/>
  <c r="AQ264" i="2"/>
  <c r="AR264" i="2"/>
  <c r="AQ265" i="2"/>
  <c r="AR265" i="2"/>
  <c r="AQ266" i="2"/>
  <c r="AR266" i="2"/>
  <c r="AQ267" i="2"/>
  <c r="AR267" i="2"/>
  <c r="AQ268" i="2"/>
  <c r="AR268" i="2"/>
  <c r="AQ269" i="2"/>
  <c r="AR269" i="2"/>
  <c r="AQ270" i="2"/>
  <c r="AR270" i="2"/>
  <c r="AQ271" i="2"/>
  <c r="AR271" i="2"/>
  <c r="AQ272" i="2"/>
  <c r="AR272" i="2"/>
  <c r="AQ273" i="2"/>
  <c r="AR273" i="2"/>
  <c r="AQ274" i="2"/>
  <c r="AR274" i="2"/>
  <c r="AQ275" i="2"/>
  <c r="AR275" i="2"/>
  <c r="AQ276" i="2"/>
  <c r="AR276" i="2"/>
  <c r="AQ277" i="2"/>
  <c r="AR277" i="2"/>
  <c r="AQ278" i="2"/>
  <c r="AR278" i="2"/>
  <c r="AQ279" i="2"/>
  <c r="AR279" i="2"/>
  <c r="AQ280" i="2"/>
  <c r="AR280" i="2"/>
  <c r="AQ281" i="2"/>
  <c r="AR281" i="2"/>
  <c r="AQ282" i="2"/>
  <c r="AR282" i="2"/>
  <c r="AQ283" i="2"/>
  <c r="AR283" i="2"/>
  <c r="AQ284" i="2"/>
  <c r="AR284" i="2"/>
  <c r="AQ285" i="2"/>
  <c r="AR285" i="2"/>
  <c r="AQ286" i="2"/>
  <c r="AR286" i="2"/>
  <c r="AQ287" i="2"/>
  <c r="AR287" i="2"/>
  <c r="AQ288" i="2"/>
  <c r="AR288" i="2"/>
  <c r="AQ289" i="2"/>
  <c r="AR289" i="2"/>
  <c r="AQ290" i="2"/>
  <c r="AR290" i="2"/>
  <c r="AQ291" i="2"/>
  <c r="AR291" i="2"/>
  <c r="AQ292" i="2"/>
  <c r="AR292" i="2"/>
  <c r="AQ293" i="2"/>
  <c r="AR293" i="2"/>
  <c r="AQ294" i="2"/>
  <c r="AR294" i="2"/>
  <c r="AQ295" i="2"/>
  <c r="AR295" i="2"/>
  <c r="AQ296" i="2"/>
  <c r="AR296" i="2"/>
  <c r="AQ297" i="2"/>
  <c r="AR297" i="2"/>
  <c r="AQ298" i="2"/>
  <c r="AR298" i="2"/>
  <c r="AQ299" i="2"/>
  <c r="AR299" i="2"/>
  <c r="AR251" i="2"/>
  <c r="R39" i="28"/>
  <c r="A296" i="2"/>
  <c r="A297" i="2"/>
  <c r="A298" i="2"/>
  <c r="A299"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C224" i="2"/>
  <c r="C225" i="2"/>
  <c r="C226" i="2"/>
  <c r="C227" i="2"/>
  <c r="C242" i="2"/>
  <c r="C228" i="2"/>
  <c r="C229" i="2"/>
  <c r="C230" i="2"/>
  <c r="C231" i="2"/>
  <c r="C232" i="2"/>
  <c r="C233" i="2"/>
  <c r="C234" i="2"/>
  <c r="C235" i="2"/>
  <c r="C236" i="2"/>
  <c r="C237" i="2"/>
  <c r="C238" i="2"/>
  <c r="C239" i="2"/>
  <c r="C240" i="2"/>
  <c r="C241" i="2"/>
  <c r="C243" i="2"/>
  <c r="C244" i="2"/>
  <c r="C245" i="2"/>
  <c r="C246" i="2"/>
  <c r="C247" i="2"/>
  <c r="C248" i="2"/>
  <c r="A248" i="2"/>
  <c r="A251" i="2"/>
  <c r="B224" i="2"/>
  <c r="B225" i="2"/>
  <c r="B226" i="2"/>
  <c r="B227" i="2"/>
  <c r="B242" i="2"/>
  <c r="B228" i="2"/>
  <c r="B229" i="2"/>
  <c r="B230" i="2"/>
  <c r="B231" i="2"/>
  <c r="B232" i="2"/>
  <c r="B233" i="2"/>
  <c r="B234" i="2"/>
  <c r="B235" i="2"/>
  <c r="B236" i="2"/>
  <c r="B237" i="2"/>
  <c r="B238" i="2"/>
  <c r="B239" i="2"/>
  <c r="B240" i="2"/>
  <c r="B241" i="2"/>
  <c r="B243" i="2"/>
  <c r="B244" i="2"/>
  <c r="B245" i="2"/>
  <c r="B246" i="2"/>
  <c r="B247" i="2"/>
  <c r="B248" i="2"/>
  <c r="A223" i="2"/>
  <c r="A224" i="2"/>
  <c r="A225" i="2"/>
  <c r="A226" i="2"/>
  <c r="A227" i="2"/>
  <c r="A242" i="2"/>
  <c r="A228" i="2"/>
  <c r="A229" i="2"/>
  <c r="A230" i="2"/>
  <c r="A231" i="2"/>
  <c r="A232" i="2"/>
  <c r="A233" i="2"/>
  <c r="A234" i="2"/>
  <c r="A235" i="2"/>
  <c r="A236" i="2"/>
  <c r="A237" i="2"/>
  <c r="A238" i="2"/>
  <c r="A239" i="2"/>
  <c r="A240" i="2"/>
  <c r="A241" i="2"/>
  <c r="A243" i="2"/>
  <c r="A244" i="2"/>
  <c r="A245" i="2"/>
  <c r="A246" i="2"/>
  <c r="A247" i="2"/>
  <c r="AF176" i="2"/>
  <c r="AG177" i="2"/>
  <c r="AQ214" i="2"/>
  <c r="AQ215" i="2"/>
  <c r="AQ216" i="2"/>
  <c r="AQ217" i="2"/>
  <c r="AQ218" i="2"/>
  <c r="AQ219" i="2"/>
  <c r="AQ189" i="2"/>
  <c r="AQ190" i="2"/>
  <c r="AQ191" i="2"/>
  <c r="AQ192" i="2"/>
  <c r="AQ193" i="2"/>
  <c r="AQ194" i="2"/>
  <c r="AQ195" i="2"/>
  <c r="AQ196" i="2"/>
  <c r="AQ197" i="2"/>
  <c r="AQ198" i="2"/>
  <c r="AQ199" i="2"/>
  <c r="AQ200" i="2"/>
  <c r="AQ201" i="2"/>
  <c r="AQ202" i="2"/>
  <c r="AQ203" i="2"/>
  <c r="AQ204" i="2"/>
  <c r="AQ206" i="2"/>
  <c r="AQ207" i="2"/>
  <c r="AQ208" i="2"/>
  <c r="AQ209" i="2"/>
  <c r="AQ210" i="2"/>
  <c r="AQ211" i="2"/>
  <c r="AQ212" i="2"/>
  <c r="AQ213" i="2"/>
  <c r="AQ152" i="2"/>
  <c r="AQ153" i="2"/>
  <c r="AQ154" i="2"/>
  <c r="AQ155" i="2"/>
  <c r="AQ156" i="2"/>
  <c r="AQ157" i="2"/>
  <c r="AQ158" i="2"/>
  <c r="AQ159" i="2"/>
  <c r="AQ160" i="2"/>
  <c r="AQ161" i="2"/>
  <c r="AQ162" i="2"/>
  <c r="AQ163" i="2"/>
  <c r="AQ164" i="2"/>
  <c r="AQ165" i="2"/>
  <c r="AQ166" i="2"/>
  <c r="AQ167" i="2"/>
  <c r="AQ168" i="2"/>
  <c r="AQ169" i="2"/>
  <c r="AQ170" i="2"/>
  <c r="AQ171" i="2"/>
  <c r="AQ172" i="2"/>
  <c r="AQ173" i="2"/>
  <c r="AQ174" i="2"/>
  <c r="AQ175" i="2"/>
  <c r="AQ176" i="2"/>
  <c r="AQ177" i="2"/>
  <c r="AQ178" i="2"/>
  <c r="AQ179" i="2"/>
  <c r="AQ180" i="2"/>
  <c r="AQ181" i="2"/>
  <c r="AQ182" i="2"/>
  <c r="AQ183" i="2"/>
  <c r="AQ184" i="2"/>
  <c r="AQ185" i="2"/>
  <c r="AQ186" i="2"/>
  <c r="AQ187" i="2"/>
  <c r="AQ188" i="2"/>
  <c r="AQ151" i="2"/>
  <c r="AG172" i="2"/>
  <c r="B206" i="2"/>
  <c r="C206" i="2"/>
  <c r="G206" i="2"/>
  <c r="H206" i="2"/>
  <c r="I206" i="2"/>
  <c r="A220" i="2"/>
  <c r="A186" i="2"/>
  <c r="A187" i="2"/>
  <c r="A188" i="2"/>
  <c r="A189" i="2"/>
  <c r="A190" i="2"/>
  <c r="A191" i="2"/>
  <c r="A192" i="2"/>
  <c r="A193" i="2"/>
  <c r="A194" i="2"/>
  <c r="A195" i="2"/>
  <c r="A196" i="2"/>
  <c r="A197" i="2"/>
  <c r="A198" i="2"/>
  <c r="A199" i="2"/>
  <c r="A200" i="2"/>
  <c r="A201" i="2"/>
  <c r="A202" i="2"/>
  <c r="A203" i="2"/>
  <c r="A204" i="2"/>
  <c r="A206" i="2"/>
  <c r="A207" i="2"/>
  <c r="A208" i="2"/>
  <c r="A209" i="2"/>
  <c r="A210" i="2"/>
  <c r="A211" i="2"/>
  <c r="A212" i="2"/>
  <c r="A213" i="2"/>
  <c r="A214" i="2"/>
  <c r="A215" i="2"/>
  <c r="A216" i="2"/>
  <c r="A217" i="2"/>
  <c r="A218" i="2"/>
  <c r="A219"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K117" i="2"/>
  <c r="L117" i="2"/>
  <c r="M117" i="2"/>
  <c r="O117" i="2"/>
  <c r="K118" i="2"/>
  <c r="L118" i="2"/>
  <c r="M118" i="2"/>
  <c r="O118" i="2"/>
  <c r="K119" i="2"/>
  <c r="L119" i="2"/>
  <c r="M119" i="2"/>
  <c r="O119" i="2"/>
  <c r="K120" i="2"/>
  <c r="L120" i="2"/>
  <c r="M120" i="2"/>
  <c r="O120" i="2"/>
  <c r="K121" i="2"/>
  <c r="L121" i="2"/>
  <c r="M121" i="2"/>
  <c r="O121" i="2"/>
  <c r="K122" i="2"/>
  <c r="L122" i="2"/>
  <c r="M122" i="2"/>
  <c r="O122" i="2"/>
  <c r="K123" i="2"/>
  <c r="L123" i="2"/>
  <c r="M123" i="2"/>
  <c r="O123" i="2"/>
  <c r="K124" i="2"/>
  <c r="L124" i="2"/>
  <c r="M124" i="2"/>
  <c r="O124" i="2"/>
  <c r="K125" i="2"/>
  <c r="L125" i="2"/>
  <c r="M125" i="2"/>
  <c r="O125" i="2"/>
  <c r="K126" i="2"/>
  <c r="L126" i="2"/>
  <c r="M126" i="2"/>
  <c r="O126" i="2"/>
  <c r="K127" i="2"/>
  <c r="L127" i="2"/>
  <c r="M127" i="2"/>
  <c r="O127" i="2"/>
  <c r="K128" i="2"/>
  <c r="L128" i="2"/>
  <c r="M128" i="2"/>
  <c r="O128" i="2"/>
  <c r="K129" i="2"/>
  <c r="L129" i="2"/>
  <c r="M129" i="2"/>
  <c r="O129" i="2"/>
  <c r="K130" i="2"/>
  <c r="L130" i="2"/>
  <c r="M130" i="2"/>
  <c r="O130" i="2"/>
  <c r="K131" i="2"/>
  <c r="L131" i="2"/>
  <c r="M131" i="2"/>
  <c r="O131" i="2"/>
  <c r="K132" i="2"/>
  <c r="L132" i="2"/>
  <c r="M132" i="2"/>
  <c r="N132" i="2"/>
  <c r="O132" i="2"/>
  <c r="K133" i="2"/>
  <c r="L133" i="2"/>
  <c r="M133" i="2"/>
  <c r="N133" i="2"/>
  <c r="O133" i="2"/>
  <c r="K134" i="2"/>
  <c r="L134" i="2"/>
  <c r="M134" i="2"/>
  <c r="O134" i="2"/>
  <c r="K135" i="2"/>
  <c r="L135" i="2"/>
  <c r="M135" i="2"/>
  <c r="O135" i="2"/>
  <c r="K136" i="2"/>
  <c r="L136" i="2"/>
  <c r="M136" i="2"/>
  <c r="O136" i="2"/>
  <c r="K137" i="2"/>
  <c r="L137" i="2"/>
  <c r="M137" i="2"/>
  <c r="N137" i="2"/>
  <c r="O137" i="2"/>
  <c r="K138" i="2"/>
  <c r="L138" i="2"/>
  <c r="M138" i="2"/>
  <c r="N138" i="2"/>
  <c r="O138" i="2"/>
  <c r="K139" i="2"/>
  <c r="L139" i="2"/>
  <c r="M139" i="2"/>
  <c r="O139" i="2"/>
  <c r="K140" i="2"/>
  <c r="L140" i="2"/>
  <c r="M140" i="2"/>
  <c r="N140" i="2"/>
  <c r="O140" i="2"/>
  <c r="K141" i="2"/>
  <c r="L141" i="2"/>
  <c r="M141" i="2"/>
  <c r="O141" i="2"/>
  <c r="K142" i="2"/>
  <c r="L142" i="2"/>
  <c r="M142" i="2"/>
  <c r="N142" i="2"/>
  <c r="O142" i="2"/>
  <c r="K143" i="2"/>
  <c r="L143" i="2"/>
  <c r="M143" i="2"/>
  <c r="N143" i="2"/>
  <c r="O143" i="2"/>
  <c r="K144" i="2"/>
  <c r="L144" i="2"/>
  <c r="M144" i="2"/>
  <c r="N144" i="2"/>
  <c r="O144" i="2"/>
  <c r="K145" i="2"/>
  <c r="L145" i="2"/>
  <c r="M145" i="2"/>
  <c r="N145" i="2"/>
  <c r="O145" i="2"/>
  <c r="K146" i="2"/>
  <c r="L146" i="2"/>
  <c r="M146" i="2"/>
  <c r="O146" i="2"/>
  <c r="K147" i="2"/>
  <c r="L147" i="2"/>
  <c r="M147" i="2"/>
  <c r="O147" i="2"/>
  <c r="L116" i="2"/>
  <c r="O116" i="2"/>
  <c r="AU143" i="2"/>
  <c r="AU144" i="2"/>
  <c r="AU145" i="2"/>
  <c r="AU138" i="2"/>
  <c r="AU139" i="2"/>
  <c r="AU140" i="2"/>
  <c r="AU141" i="2"/>
  <c r="AU142" i="2"/>
  <c r="AU115" i="2"/>
  <c r="AU116" i="2"/>
  <c r="AU117" i="2"/>
  <c r="AU118" i="2"/>
  <c r="AU119" i="2"/>
  <c r="AU120" i="2"/>
  <c r="AU121" i="2"/>
  <c r="AU122" i="2"/>
  <c r="AU123" i="2"/>
  <c r="AU124" i="2"/>
  <c r="AU125" i="2"/>
  <c r="AU126" i="2"/>
  <c r="AU127" i="2"/>
  <c r="AU128" i="2"/>
  <c r="AU129" i="2"/>
  <c r="AU130" i="2"/>
  <c r="AU131" i="2"/>
  <c r="AU132" i="2"/>
  <c r="AU133" i="2"/>
  <c r="AU134" i="2"/>
  <c r="AU135" i="2"/>
  <c r="AU136" i="2"/>
  <c r="AU137" i="2"/>
  <c r="AU114" i="2"/>
  <c r="G117" i="2"/>
  <c r="H117" i="2"/>
  <c r="I117" i="2"/>
  <c r="G118" i="2"/>
  <c r="H118" i="2"/>
  <c r="I118" i="2"/>
  <c r="G119" i="2"/>
  <c r="H119" i="2"/>
  <c r="I119" i="2"/>
  <c r="G120" i="2"/>
  <c r="H120" i="2"/>
  <c r="I120" i="2"/>
  <c r="G121" i="2"/>
  <c r="H121" i="2"/>
  <c r="I121" i="2"/>
  <c r="G122" i="2"/>
  <c r="H122" i="2"/>
  <c r="I122" i="2"/>
  <c r="G123" i="2"/>
  <c r="H123" i="2"/>
  <c r="I123" i="2"/>
  <c r="G124" i="2"/>
  <c r="H124" i="2"/>
  <c r="I124" i="2"/>
  <c r="G125" i="2"/>
  <c r="H125" i="2"/>
  <c r="I125" i="2"/>
  <c r="G126" i="2"/>
  <c r="H126" i="2"/>
  <c r="I126" i="2"/>
  <c r="G127" i="2"/>
  <c r="H127" i="2"/>
  <c r="I127" i="2"/>
  <c r="G128" i="2"/>
  <c r="H128" i="2"/>
  <c r="I128" i="2"/>
  <c r="G129" i="2"/>
  <c r="H129" i="2"/>
  <c r="I129" i="2"/>
  <c r="G130" i="2"/>
  <c r="H130" i="2"/>
  <c r="I130" i="2"/>
  <c r="G131" i="2"/>
  <c r="H131" i="2"/>
  <c r="I131" i="2"/>
  <c r="G132" i="2"/>
  <c r="H132" i="2"/>
  <c r="I132" i="2"/>
  <c r="G133" i="2"/>
  <c r="H133" i="2"/>
  <c r="I133" i="2"/>
  <c r="G134" i="2"/>
  <c r="H134" i="2"/>
  <c r="I134" i="2"/>
  <c r="G135" i="2"/>
  <c r="H135" i="2"/>
  <c r="I135" i="2"/>
  <c r="G136" i="2"/>
  <c r="H136" i="2"/>
  <c r="I136" i="2"/>
  <c r="G137" i="2"/>
  <c r="H137" i="2"/>
  <c r="AE137" i="2" s="1"/>
  <c r="I137" i="2"/>
  <c r="G138" i="2"/>
  <c r="H138" i="2"/>
  <c r="I138" i="2"/>
  <c r="G139" i="2"/>
  <c r="H139" i="2"/>
  <c r="I139" i="2"/>
  <c r="G140" i="2"/>
  <c r="H140" i="2"/>
  <c r="I140" i="2"/>
  <c r="G141" i="2"/>
  <c r="H141" i="2"/>
  <c r="I141" i="2"/>
  <c r="G142" i="2"/>
  <c r="H142" i="2"/>
  <c r="I142" i="2"/>
  <c r="G143" i="2"/>
  <c r="H143" i="2"/>
  <c r="I143" i="2"/>
  <c r="G144" i="2"/>
  <c r="H144" i="2"/>
  <c r="I144" i="2"/>
  <c r="G145" i="2"/>
  <c r="H145" i="2"/>
  <c r="AE145" i="2" s="1"/>
  <c r="I145" i="2"/>
  <c r="G146" i="2"/>
  <c r="H146" i="2"/>
  <c r="I146" i="2"/>
  <c r="G147" i="2"/>
  <c r="H147" i="2"/>
  <c r="I147" i="2"/>
  <c r="B145" i="2"/>
  <c r="C145" i="2"/>
  <c r="B146" i="2"/>
  <c r="C146" i="2"/>
  <c r="B147" i="2"/>
  <c r="C147"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16" i="2"/>
  <c r="D116" i="2"/>
  <c r="AF44" i="12" l="1" a="1"/>
  <c r="AF44" i="12" s="1"/>
  <c r="AG132" i="2"/>
  <c r="AH132" i="2"/>
  <c r="AI132" i="2"/>
  <c r="AF132" i="2"/>
  <c r="AG145" i="2"/>
  <c r="AH145" i="2"/>
  <c r="AI145" i="2"/>
  <c r="AF145" i="2"/>
  <c r="AH137" i="2"/>
  <c r="AI137" i="2"/>
  <c r="AF137" i="2"/>
  <c r="AG137" i="2"/>
  <c r="AL47" i="12" a="1"/>
  <c r="AL47" i="12" s="1"/>
  <c r="AE31" i="12" a="1"/>
  <c r="AE31" i="12" s="1"/>
  <c r="AH56" i="12" a="1"/>
  <c r="AH56" i="12" s="1"/>
  <c r="AL24" i="12" a="1"/>
  <c r="AL24" i="12" s="1"/>
  <c r="X125" i="33"/>
  <c r="AQ52" i="12"/>
  <c r="AK24" i="12" a="1"/>
  <c r="AK24" i="12" s="1"/>
  <c r="AE44" i="12" a="1"/>
  <c r="AE44" i="12" s="1"/>
  <c r="AC44" i="12" a="1"/>
  <c r="AC44" i="12" s="1"/>
  <c r="AK34" i="12" a="1"/>
  <c r="AK34" i="12" s="1"/>
  <c r="AL12" i="12" a="1"/>
  <c r="AL12" i="12" s="1"/>
  <c r="AL28" i="12" a="1"/>
  <c r="AL28" i="12" s="1"/>
  <c r="AL4" i="12" a="1"/>
  <c r="AL4" i="12" s="1"/>
  <c r="AD31" i="12" a="1"/>
  <c r="AD31" i="12" s="1"/>
  <c r="AK15" i="12" a="1"/>
  <c r="AK15" i="12" s="1"/>
  <c r="AG56" i="12" a="1"/>
  <c r="AG56" i="12" s="1"/>
  <c r="AJ15" i="12" a="1"/>
  <c r="AJ15" i="12" s="1"/>
  <c r="AO52" i="12" a="1"/>
  <c r="AO52" i="12" s="1"/>
  <c r="AM7" i="12" a="1"/>
  <c r="AM7" i="12" s="1"/>
  <c r="AN39" i="12" a="1"/>
  <c r="AN39" i="12" s="1"/>
  <c r="AK39" i="12" a="1"/>
  <c r="AK39" i="12" s="1"/>
  <c r="AD52" i="12" a="1"/>
  <c r="AD52" i="12" s="1"/>
  <c r="AJ39" i="12" a="1"/>
  <c r="AJ39" i="12" s="1"/>
  <c r="AK7" i="12" a="1"/>
  <c r="AK7" i="12" s="1"/>
  <c r="AK47" i="12" a="1"/>
  <c r="AK47" i="12" s="1"/>
  <c r="AG52" i="12" a="1"/>
  <c r="AG52" i="12" s="1"/>
  <c r="AL7" i="12" a="1"/>
  <c r="AL7" i="12" s="1"/>
  <c r="AC52" i="12" a="1"/>
  <c r="AC52" i="12" s="1"/>
  <c r="AH39" i="12" a="1"/>
  <c r="AH39" i="12" s="1"/>
  <c r="AL36" i="12" a="1"/>
  <c r="AL36" i="12" s="1"/>
  <c r="AE39" i="12" a="1"/>
  <c r="AE39" i="12" s="1"/>
  <c r="AK44" i="12" a="1"/>
  <c r="AK44" i="12" s="1"/>
  <c r="AQ41" i="12"/>
  <c r="AG23" i="12" a="1"/>
  <c r="AG23" i="12" s="1"/>
  <c r="AF23" i="12" a="1"/>
  <c r="AF23" i="12" s="1"/>
  <c r="AN47" i="12" a="1"/>
  <c r="AN47" i="12" s="1"/>
  <c r="AJ44" i="12" a="1"/>
  <c r="AJ44" i="12" s="1"/>
  <c r="AQ28" i="12"/>
  <c r="AM47" i="12" a="1"/>
  <c r="AM47" i="12" s="1"/>
  <c r="AH44" i="12" a="1"/>
  <c r="AH44" i="12" s="1"/>
  <c r="AO41" i="12" a="1"/>
  <c r="AO41" i="12" s="1"/>
  <c r="AF31" i="12" a="1"/>
  <c r="AF31" i="12" s="1"/>
  <c r="AM28" i="12" a="1"/>
  <c r="AM28" i="12" s="1"/>
  <c r="AC31" i="12" a="1"/>
  <c r="AC31" i="12" s="1"/>
  <c r="AG39" i="12" a="1"/>
  <c r="AG39" i="12" s="1"/>
  <c r="AF39" i="12" a="1"/>
  <c r="AF39" i="12" s="1"/>
  <c r="AD39" i="12" a="1"/>
  <c r="AD39" i="12" s="1"/>
  <c r="AA39" i="12" s="1"/>
  <c r="AG44" i="12" a="1"/>
  <c r="AG44" i="12" s="1"/>
  <c r="AJ24" i="12" a="1"/>
  <c r="AJ24" i="12" s="1"/>
  <c r="AN52" i="12" a="1"/>
  <c r="AN52" i="12" s="1"/>
  <c r="AQ29" i="12"/>
  <c r="AQ20" i="12"/>
  <c r="AH24" i="12" a="1"/>
  <c r="AH24" i="12" s="1"/>
  <c r="AL13" i="12" a="1"/>
  <c r="AL13" i="12" s="1"/>
  <c r="AQ54" i="12"/>
  <c r="AM52" i="12" a="1"/>
  <c r="AM52" i="12" s="1"/>
  <c r="AQ44" i="12"/>
  <c r="AO4" i="12" a="1"/>
  <c r="AO4" i="12" s="1"/>
  <c r="AJ54" i="12" a="1"/>
  <c r="AJ54" i="12" s="1"/>
  <c r="AL52" i="12" a="1"/>
  <c r="AL52" i="12" s="1"/>
  <c r="AL44" i="12" a="1"/>
  <c r="AL44" i="12" s="1"/>
  <c r="AM39" i="12" a="1"/>
  <c r="AM39" i="12" s="1"/>
  <c r="AC37" i="12" a="1"/>
  <c r="AC37" i="12" s="1"/>
  <c r="AG31" i="12" a="1"/>
  <c r="AG31" i="12" s="1"/>
  <c r="AJ20" i="12" a="1"/>
  <c r="AJ20" i="12" s="1"/>
  <c r="AJ13" i="12" a="1"/>
  <c r="AJ13" i="12" s="1"/>
  <c r="AJ7" i="12" a="1"/>
  <c r="AJ7" i="12" s="1"/>
  <c r="AQ4" i="12"/>
  <c r="AC29" i="12" a="1"/>
  <c r="AC29" i="12" s="1"/>
  <c r="AL20" i="12" a="1"/>
  <c r="AL20" i="12" s="1"/>
  <c r="AD37" i="12" a="1"/>
  <c r="AD37" i="12" s="1"/>
  <c r="AK20" i="12" a="1"/>
  <c r="AK20" i="12" s="1"/>
  <c r="AK13" i="12" a="1"/>
  <c r="AK13" i="12" s="1"/>
  <c r="AD49" i="12" a="1"/>
  <c r="AD49" i="12" s="1"/>
  <c r="AH31" i="12" a="1"/>
  <c r="AH31" i="12" s="1"/>
  <c r="AN4" i="12" a="1"/>
  <c r="AN4" i="12" s="1"/>
  <c r="AH52" i="12" a="1"/>
  <c r="AH52" i="12" s="1"/>
  <c r="AC49" i="12" a="1"/>
  <c r="AC49" i="12" s="1"/>
  <c r="AM4" i="12" a="1"/>
  <c r="AM4" i="12" s="1"/>
  <c r="AK28" i="12" a="1"/>
  <c r="AK28" i="12" s="1"/>
  <c r="AK12" i="12" a="1"/>
  <c r="AK12" i="12" s="1"/>
  <c r="AM45" i="12" a="1"/>
  <c r="AM45" i="12" s="1"/>
  <c r="AN40" i="12" a="1"/>
  <c r="AN40" i="12" s="1"/>
  <c r="AG36" i="12" a="1"/>
  <c r="AG36" i="12" s="1"/>
  <c r="AG28" i="12" a="1"/>
  <c r="AG28" i="12" s="1"/>
  <c r="AM22" i="12" a="1"/>
  <c r="AM22" i="12" s="1"/>
  <c r="AQ8" i="12"/>
  <c r="AL45" i="12" a="1"/>
  <c r="AL45" i="12" s="1"/>
  <c r="AQ30" i="12"/>
  <c r="AL22" i="12" a="1"/>
  <c r="AL22" i="12" s="1"/>
  <c r="AQ5" i="12"/>
  <c r="AQ47" i="12"/>
  <c r="AK45" i="12" a="1"/>
  <c r="AK45" i="12" s="1"/>
  <c r="AM40" i="12" a="1"/>
  <c r="AM40" i="12" s="1"/>
  <c r="AF36" i="12" a="1"/>
  <c r="AF36" i="12" s="1"/>
  <c r="AD28" i="12" a="1"/>
  <c r="AD28" i="12" s="1"/>
  <c r="AO5" i="12" a="1"/>
  <c r="AO5" i="12" s="1"/>
  <c r="AE53" i="12" a="1"/>
  <c r="AE53" i="12" s="1"/>
  <c r="AQ25" i="12"/>
  <c r="AE45" i="12" a="1"/>
  <c r="AE45" i="12" s="1"/>
  <c r="AO30" i="12" a="1"/>
  <c r="AO30" i="12" s="1"/>
  <c r="AN5" i="12" a="1"/>
  <c r="AN5" i="12" s="1"/>
  <c r="AK36" i="12" a="1"/>
  <c r="AK36" i="12" s="1"/>
  <c r="AD53" i="12" a="1"/>
  <c r="AD53" i="12" s="1"/>
  <c r="AA53" i="12" s="1"/>
  <c r="AN45" i="12" a="1"/>
  <c r="AN45" i="12" s="1"/>
  <c r="AJ28" i="12" a="1"/>
  <c r="AJ28" i="12" s="1"/>
  <c r="AH36" i="12" a="1"/>
  <c r="AH36" i="12" s="1"/>
  <c r="AO47" i="12" a="1"/>
  <c r="AO47" i="12" s="1"/>
  <c r="AL40" i="12" a="1"/>
  <c r="AL40" i="12" s="1"/>
  <c r="AE36" i="12" a="1"/>
  <c r="AE36" i="12" s="1"/>
  <c r="AJ9" i="12" a="1"/>
  <c r="AJ9" i="12" s="1"/>
  <c r="AF53" i="12" a="1"/>
  <c r="AF53" i="12" s="1"/>
  <c r="AF56" i="12" a="1"/>
  <c r="AF56" i="12" s="1"/>
  <c r="AD56" i="12" a="1"/>
  <c r="AD56" i="12" s="1"/>
  <c r="AA56" i="12" s="1"/>
  <c r="AC56" i="12" a="1"/>
  <c r="AC56" i="12" s="1"/>
  <c r="AJ36" i="12" a="1"/>
  <c r="AJ36" i="12" s="1"/>
  <c r="AJ12" i="12" a="1"/>
  <c r="AJ12" i="12" s="1"/>
  <c r="AC53" i="12" a="1"/>
  <c r="AC53" i="12" s="1"/>
  <c r="AO40" i="12" a="1"/>
  <c r="AO40" i="12" s="1"/>
  <c r="AH28" i="12" a="1"/>
  <c r="AH28" i="12" s="1"/>
  <c r="AD45" i="12" a="1"/>
  <c r="AD45" i="12" s="1"/>
  <c r="AH38" i="12" a="1"/>
  <c r="AH38" i="12" s="1"/>
  <c r="AD36" i="12" a="1"/>
  <c r="AD36" i="12" s="1"/>
  <c r="AG54" i="12" a="1"/>
  <c r="AG54" i="12" s="1"/>
  <c r="AF38" i="12" a="1"/>
  <c r="AF38" i="12" s="1"/>
  <c r="AF30" i="12" a="1"/>
  <c r="AF30" i="12" s="1"/>
  <c r="AJ22" i="12" a="1"/>
  <c r="AJ22" i="12" s="1"/>
  <c r="AK6" i="12" a="1"/>
  <c r="AK6" i="12" s="1"/>
  <c r="AF54" i="12" a="1"/>
  <c r="AF54" i="12" s="1"/>
  <c r="AQ46" i="12"/>
  <c r="AJ45" i="12" a="1"/>
  <c r="AJ45" i="12" s="1"/>
  <c r="AE38" i="12" a="1"/>
  <c r="AE38" i="12" s="1"/>
  <c r="AE30" i="12" a="1"/>
  <c r="AE30" i="12" s="1"/>
  <c r="AH22" i="12" a="1"/>
  <c r="AH22" i="12" s="1"/>
  <c r="AJ6" i="12" a="1"/>
  <c r="AJ6" i="12" s="1"/>
  <c r="AH45" i="12" a="1"/>
  <c r="AH45" i="12" s="1"/>
  <c r="AD30" i="12" a="1"/>
  <c r="AD30" i="12" s="1"/>
  <c r="AQ13" i="12"/>
  <c r="AE54" i="12" a="1"/>
  <c r="AE54" i="12" s="1"/>
  <c r="AO46" i="12" a="1"/>
  <c r="AO46" i="12" s="1"/>
  <c r="AD38" i="12" a="1"/>
  <c r="AD38" i="12" s="1"/>
  <c r="AC30" i="12" a="1"/>
  <c r="AC30" i="12" s="1"/>
  <c r="AG22" i="12" a="1"/>
  <c r="AG22" i="12" s="1"/>
  <c r="AG45" i="12" a="1"/>
  <c r="AG45" i="12" s="1"/>
  <c r="AN41" i="12" a="1"/>
  <c r="AN41" i="12" s="1"/>
  <c r="AF22" i="12" a="1"/>
  <c r="AF22" i="12" s="1"/>
  <c r="AO13" i="12" a="1"/>
  <c r="AO13" i="12" s="1"/>
  <c r="AD54" i="12" a="1"/>
  <c r="AD54" i="12" s="1"/>
  <c r="AA54" i="12" s="1"/>
  <c r="AN46" i="12" a="1"/>
  <c r="AN46" i="12" s="1"/>
  <c r="AC38" i="12" a="1"/>
  <c r="AC38" i="12" s="1"/>
  <c r="AQ36" i="12"/>
  <c r="AO28" i="12" a="1"/>
  <c r="AO28" i="12" s="1"/>
  <c r="AK4" i="12" a="1"/>
  <c r="AK4" i="12" s="1"/>
  <c r="AM46" i="12" a="1"/>
  <c r="AM46" i="12" s="1"/>
  <c r="AF45" i="12" a="1"/>
  <c r="AF45" i="12" s="1"/>
  <c r="AD44" i="12" a="1"/>
  <c r="AD44" i="12" s="1"/>
  <c r="AN28" i="12" a="1"/>
  <c r="AN28" i="12" s="1"/>
  <c r="AE22" i="12" a="1"/>
  <c r="AE22" i="12" s="1"/>
  <c r="AN13" i="12" a="1"/>
  <c r="AN13" i="12" s="1"/>
  <c r="AE56" i="12" a="1"/>
  <c r="AE56" i="12" s="1"/>
  <c r="AC54" i="12" a="1"/>
  <c r="AC54" i="12" s="1"/>
  <c r="AO36" i="12" a="1"/>
  <c r="AO36" i="12" s="1"/>
  <c r="AH54" i="12" a="1"/>
  <c r="AH54" i="12" s="1"/>
  <c r="AK46" i="12" a="1"/>
  <c r="AK46" i="12" s="1"/>
  <c r="AJ46" i="12" a="1"/>
  <c r="AJ46" i="12" s="1"/>
  <c r="AO29" i="12" a="1"/>
  <c r="AO29" i="12" s="1"/>
  <c r="AL5" i="12" a="1"/>
  <c r="AL5" i="12" s="1"/>
  <c r="AK37" i="12" a="1"/>
  <c r="AK37" i="12" s="1"/>
  <c r="AK5" i="12" a="1"/>
  <c r="AK5" i="12" s="1"/>
  <c r="AJ37" i="12" a="1"/>
  <c r="AJ37" i="12" s="1"/>
  <c r="AN53" i="12" a="1"/>
  <c r="AN53" i="12" s="1"/>
  <c r="AM38" i="12" a="1"/>
  <c r="AM38" i="12" s="1"/>
  <c r="AF37" i="12" a="1"/>
  <c r="AF37" i="12" s="1"/>
  <c r="AC36" i="12" a="1"/>
  <c r="AC36" i="12" s="1"/>
  <c r="AC33" i="12" a="1"/>
  <c r="AC33" i="12" s="1"/>
  <c r="AJ29" i="12" a="1"/>
  <c r="AJ29" i="12" s="1"/>
  <c r="AO22" i="12" a="1"/>
  <c r="AO22" i="12" s="1"/>
  <c r="AL17" i="12" a="1"/>
  <c r="AL17" i="12" s="1"/>
  <c r="AL14" i="12" a="1"/>
  <c r="AL14" i="12" s="1"/>
  <c r="AQ45" i="12"/>
  <c r="AN44" i="12" a="1"/>
  <c r="AN44" i="12" s="1"/>
  <c r="AL38" i="12" a="1"/>
  <c r="AL38" i="12" s="1"/>
  <c r="AE29" i="12" a="1"/>
  <c r="AE29" i="12" s="1"/>
  <c r="AN20" i="12" a="1"/>
  <c r="AN20" i="12" s="1"/>
  <c r="AN12" i="12" a="1"/>
  <c r="AN12" i="12" s="1"/>
  <c r="AD22" i="12" a="1"/>
  <c r="AD22" i="12" s="1"/>
  <c r="AH46" i="12" a="1"/>
  <c r="AH46" i="12" s="1"/>
  <c r="AG46" i="12" a="1"/>
  <c r="AG46" i="12" s="1"/>
  <c r="AQ37" i="12"/>
  <c r="AM5" i="12" a="1"/>
  <c r="AM5" i="12" s="1"/>
  <c r="AM37" i="12" a="1"/>
  <c r="AM37" i="12" s="1"/>
  <c r="AQ53" i="12"/>
  <c r="AL37" i="12" a="1"/>
  <c r="AL37" i="12" s="1"/>
  <c r="AO53" i="12" a="1"/>
  <c r="AO53" i="12" s="1"/>
  <c r="AE33" i="12" a="1"/>
  <c r="AE33" i="12" s="1"/>
  <c r="AL29" i="12" a="1"/>
  <c r="AL29" i="12" s="1"/>
  <c r="AD33" i="12" a="1"/>
  <c r="AD33" i="12" s="1"/>
  <c r="AH53" i="12" a="1"/>
  <c r="AH53" i="12" s="1"/>
  <c r="AF52" i="12" a="1"/>
  <c r="AF52" i="12" s="1"/>
  <c r="AG53" i="12" a="1"/>
  <c r="AG53" i="12" s="1"/>
  <c r="AE52" i="12" a="1"/>
  <c r="AE52" i="12" s="1"/>
  <c r="AL49" i="12" a="1"/>
  <c r="AL49" i="12" s="1"/>
  <c r="AK38" i="12" a="1"/>
  <c r="AK38" i="12" s="1"/>
  <c r="AE37" i="12" a="1"/>
  <c r="AE37" i="12" s="1"/>
  <c r="AD29" i="12" a="1"/>
  <c r="AD29" i="12" s="1"/>
  <c r="AN22" i="12" a="1"/>
  <c r="AN22" i="12" s="1"/>
  <c r="AK17" i="12" a="1"/>
  <c r="AK17" i="12" s="1"/>
  <c r="AK14" i="12" a="1"/>
  <c r="AK14" i="12" s="1"/>
  <c r="AM12" i="12" a="1"/>
  <c r="AM12" i="12" s="1"/>
  <c r="AG38" i="12" a="1"/>
  <c r="AG38" i="12" s="1"/>
  <c r="AN30" i="12" a="1"/>
  <c r="AN30" i="12" s="1"/>
  <c r="AK22" i="12" a="1"/>
  <c r="AK22" i="12" s="1"/>
  <c r="AL6" i="12" a="1"/>
  <c r="AL6" i="12" s="1"/>
  <c r="AL46" i="12" a="1"/>
  <c r="AL46" i="12" s="1"/>
  <c r="AN29" i="12" a="1"/>
  <c r="AN29" i="12" s="1"/>
  <c r="AF33" i="12" a="1"/>
  <c r="AF33" i="12" s="1"/>
  <c r="AM29" i="12" a="1"/>
  <c r="AM29" i="12" s="1"/>
  <c r="AH37" i="12" a="1"/>
  <c r="AH37" i="12" s="1"/>
  <c r="AK29" i="12" a="1"/>
  <c r="AK29" i="12" s="1"/>
  <c r="AQ22" i="12"/>
  <c r="AJ53" i="12" a="1"/>
  <c r="AJ53" i="12" s="1"/>
  <c r="AO44" i="12" a="1"/>
  <c r="AO44" i="12" s="1"/>
  <c r="AK40" i="12" a="1"/>
  <c r="AK40" i="12" s="1"/>
  <c r="AG37" i="12" a="1"/>
  <c r="AG37" i="12" s="1"/>
  <c r="AC28" i="12" a="1"/>
  <c r="AC28" i="12" s="1"/>
  <c r="AO20" i="12" a="1"/>
  <c r="AO20" i="12" s="1"/>
  <c r="AM49" i="12" a="1"/>
  <c r="AM49" i="12" s="1"/>
  <c r="AE49" i="12" a="1"/>
  <c r="AE49" i="12" s="1"/>
  <c r="AO45" i="12" a="1"/>
  <c r="AO45" i="12" s="1"/>
  <c r="AJ38" i="12" a="1"/>
  <c r="AJ38" i="12" s="1"/>
  <c r="AM24" i="12" a="1"/>
  <c r="AM24" i="12" s="1"/>
  <c r="AJ17" i="12" a="1"/>
  <c r="AJ17" i="12" s="1"/>
  <c r="AK51" i="12" a="1"/>
  <c r="AK51" i="12" s="1"/>
  <c r="AM51" i="12" a="1"/>
  <c r="AM51" i="12" s="1"/>
  <c r="AL51" i="12" a="1"/>
  <c r="AL51" i="12" s="1"/>
  <c r="AN51" i="12" a="1"/>
  <c r="AN51" i="12" s="1"/>
  <c r="AD43" i="12" a="1"/>
  <c r="AD43" i="12" s="1"/>
  <c r="AC43" i="12" a="1"/>
  <c r="AC43" i="12" s="1"/>
  <c r="AM35" i="12" a="1"/>
  <c r="AM35" i="12" s="1"/>
  <c r="AQ35" i="12"/>
  <c r="AN35" i="12" a="1"/>
  <c r="AN35" i="12" s="1"/>
  <c r="AO35" i="12" a="1"/>
  <c r="AO35" i="12" s="1"/>
  <c r="AD27" i="12" a="1"/>
  <c r="AD27" i="12" s="1"/>
  <c r="AE27" i="12" a="1"/>
  <c r="AE27" i="12" s="1"/>
  <c r="AG27" i="12" a="1"/>
  <c r="AG27" i="12" s="1"/>
  <c r="AH27" i="12" a="1"/>
  <c r="AH27" i="12" s="1"/>
  <c r="AF27" i="12" a="1"/>
  <c r="AF27" i="12" s="1"/>
  <c r="AJ27" i="12" a="1"/>
  <c r="AJ27" i="12" s="1"/>
  <c r="AD19" i="12" a="1"/>
  <c r="AD19" i="12" s="1"/>
  <c r="AC19" i="12" a="1"/>
  <c r="AC19" i="12" s="1"/>
  <c r="AE19" i="12" a="1"/>
  <c r="AE19" i="12" s="1"/>
  <c r="AF19" i="12" a="1"/>
  <c r="AF19" i="12" s="1"/>
  <c r="AG19" i="12" a="1"/>
  <c r="AG19" i="12" s="1"/>
  <c r="AH19" i="12" a="1"/>
  <c r="AH19" i="12" s="1"/>
  <c r="AK19" i="12" a="1"/>
  <c r="AK19" i="12" s="1"/>
  <c r="AL19" i="12" a="1"/>
  <c r="AL19" i="12" s="1"/>
  <c r="AM19" i="12" a="1"/>
  <c r="AM19" i="12" s="1"/>
  <c r="AQ19" i="12"/>
  <c r="AN19" i="12" a="1"/>
  <c r="AN19" i="12" s="1"/>
  <c r="AO19" i="12" a="1"/>
  <c r="AO19" i="12" s="1"/>
  <c r="AC11" i="12" a="1"/>
  <c r="AC11" i="12" s="1"/>
  <c r="AH11" i="12" a="1"/>
  <c r="AH11" i="12" s="1"/>
  <c r="AD11" i="12" a="1"/>
  <c r="AD11" i="12" s="1"/>
  <c r="AG11" i="12" a="1"/>
  <c r="AG11" i="12" s="1"/>
  <c r="AE11" i="12" a="1"/>
  <c r="AE11" i="12" s="1"/>
  <c r="AF11" i="12" a="1"/>
  <c r="AF11" i="12" s="1"/>
  <c r="AM11" i="12" a="1"/>
  <c r="AM11" i="12" s="1"/>
  <c r="AJ11" i="12" a="1"/>
  <c r="AJ11" i="12" s="1"/>
  <c r="AN11" i="12" a="1"/>
  <c r="AN11" i="12" s="1"/>
  <c r="AK11" i="12" a="1"/>
  <c r="AK11" i="12" s="1"/>
  <c r="AL11" i="12" a="1"/>
  <c r="AL11" i="12" s="1"/>
  <c r="AC3" i="12" a="1"/>
  <c r="AC3" i="12" s="1"/>
  <c r="AD3" i="12" a="1"/>
  <c r="AD3" i="12" s="1"/>
  <c r="AG3" i="12" a="1"/>
  <c r="AG3" i="12" s="1"/>
  <c r="AE3" i="12" a="1"/>
  <c r="AE3" i="12" s="1"/>
  <c r="AF3" i="12" a="1"/>
  <c r="AF3" i="12" s="1"/>
  <c r="AH3" i="12" a="1"/>
  <c r="AH3" i="12" s="1"/>
  <c r="AL3" i="12" a="1"/>
  <c r="AL3" i="12" s="1"/>
  <c r="AJ3" i="12" a="1"/>
  <c r="AJ3" i="12" s="1"/>
  <c r="AM3" i="12" a="1"/>
  <c r="AM3" i="12" s="1"/>
  <c r="AN3" i="12" a="1"/>
  <c r="AN3" i="12" s="1"/>
  <c r="AK3" i="12" a="1"/>
  <c r="AK3" i="12" s="1"/>
  <c r="AL27" i="12" a="1"/>
  <c r="AL27" i="12" s="1"/>
  <c r="AQ18" i="12"/>
  <c r="AJ32" i="12" a="1"/>
  <c r="AJ32" i="12" s="1"/>
  <c r="AM42" i="12" a="1"/>
  <c r="AM42" i="12" s="1"/>
  <c r="AO48" i="12" a="1"/>
  <c r="AO48" i="12" s="1"/>
  <c r="AJ18" i="12" a="1"/>
  <c r="AJ18" i="12" s="1"/>
  <c r="AK10" i="12" a="1"/>
  <c r="AK10" i="12" s="1"/>
  <c r="AM43" i="12" a="1"/>
  <c r="AM43" i="12" s="1"/>
  <c r="AK42" i="12" a="1"/>
  <c r="AK42" i="12" s="1"/>
  <c r="AN26" i="12" a="1"/>
  <c r="AN26" i="12" s="1"/>
  <c r="AO23" i="12" a="1"/>
  <c r="AO23" i="12" s="1"/>
  <c r="AH55" i="12" a="1"/>
  <c r="AH55" i="12" s="1"/>
  <c r="AO51" i="12" a="1"/>
  <c r="AO51" i="12" s="1"/>
  <c r="AM48" i="12" a="1"/>
  <c r="AM48" i="12" s="1"/>
  <c r="AE40" i="12" a="1"/>
  <c r="AE40" i="12" s="1"/>
  <c r="AE35" i="12" a="1"/>
  <c r="AE35" i="12" s="1"/>
  <c r="AF32" i="12" a="1"/>
  <c r="AF32" i="12" s="1"/>
  <c r="AJ51" i="12" a="1"/>
  <c r="AJ51" i="12" s="1"/>
  <c r="AL48" i="12" a="1"/>
  <c r="AL48" i="12" s="1"/>
  <c r="AL43" i="12" a="1"/>
  <c r="AL43" i="12" s="1"/>
  <c r="AJ42" i="12" a="1"/>
  <c r="AJ42" i="12" s="1"/>
  <c r="AE41" i="12" a="1"/>
  <c r="AE41" i="12" s="1"/>
  <c r="AD40" i="12" a="1"/>
  <c r="AD40" i="12" s="1"/>
  <c r="AM26" i="12" a="1"/>
  <c r="AM26" i="12" s="1"/>
  <c r="AN23" i="12" a="1"/>
  <c r="AN23" i="12" s="1"/>
  <c r="AE43" i="12" a="1"/>
  <c r="AE43" i="12" s="1"/>
  <c r="AG50" i="12" a="1"/>
  <c r="AG50" i="12" s="1"/>
  <c r="AH50" i="12" a="1"/>
  <c r="AH50" i="12" s="1"/>
  <c r="AK50" i="12" a="1"/>
  <c r="AK50" i="12" s="1"/>
  <c r="AJ50" i="12" a="1"/>
  <c r="AJ50" i="12" s="1"/>
  <c r="AL50" i="12" a="1"/>
  <c r="AL50" i="12" s="1"/>
  <c r="AL34" i="12" a="1"/>
  <c r="AL34" i="12" s="1"/>
  <c r="AM34" i="12" a="1"/>
  <c r="AM34" i="12" s="1"/>
  <c r="AQ34" i="12"/>
  <c r="AO34" i="12" a="1"/>
  <c r="AO34" i="12" s="1"/>
  <c r="AN34" i="12" a="1"/>
  <c r="AN34" i="12" s="1"/>
  <c r="AC10" i="12" a="1"/>
  <c r="AC10" i="12" s="1"/>
  <c r="AE10" i="12" a="1"/>
  <c r="AE10" i="12" s="1"/>
  <c r="AF10" i="12" a="1"/>
  <c r="AF10" i="12" s="1"/>
  <c r="AG10" i="12" a="1"/>
  <c r="AG10" i="12" s="1"/>
  <c r="AH10" i="12" a="1"/>
  <c r="AH10" i="12" s="1"/>
  <c r="AD10" i="12" a="1"/>
  <c r="AD10" i="12" s="1"/>
  <c r="AC27" i="12" a="1"/>
  <c r="AC27" i="12" s="1"/>
  <c r="AO50" i="12" a="1"/>
  <c r="AO50" i="12" s="1"/>
  <c r="AM50" i="12" a="1"/>
  <c r="AM50" i="12" s="1"/>
  <c r="AO42" i="12" a="1"/>
  <c r="AO42" i="12" s="1"/>
  <c r="AN42" i="12" a="1"/>
  <c r="AN42" i="12" s="1"/>
  <c r="AQ43" i="12"/>
  <c r="AL18" i="12" a="1"/>
  <c r="AL18" i="12" s="1"/>
  <c r="AN8" i="12" a="1"/>
  <c r="AN8" i="12" s="1"/>
  <c r="AC47" i="12" a="1"/>
  <c r="AC47" i="12" s="1"/>
  <c r="AD47" i="12" a="1"/>
  <c r="AD47" i="12" s="1"/>
  <c r="AF47" i="12" a="1"/>
  <c r="AF47" i="12" s="1"/>
  <c r="AE47" i="12" a="1"/>
  <c r="AE47" i="12" s="1"/>
  <c r="AG47" i="12" a="1"/>
  <c r="AG47" i="12" s="1"/>
  <c r="AN43" i="12" a="1"/>
  <c r="AN43" i="12" s="1"/>
  <c r="AL42" i="12" a="1"/>
  <c r="AL42" i="12" s="1"/>
  <c r="AG55" i="12" a="1"/>
  <c r="AG55" i="12" s="1"/>
  <c r="AH51" i="12" a="1"/>
  <c r="AH51" i="12" s="1"/>
  <c r="AM56" i="12" a="1"/>
  <c r="AM56" i="12" s="1"/>
  <c r="AF55" i="12" a="1"/>
  <c r="AF55" i="12" s="1"/>
  <c r="AF51" i="12" a="1"/>
  <c r="AF51" i="12" s="1"/>
  <c r="AL23" i="12" a="1"/>
  <c r="AL23" i="12" s="1"/>
  <c r="AQ15" i="12"/>
  <c r="AL56" i="12" a="1"/>
  <c r="AL56" i="12" s="1"/>
  <c r="AE55" i="12" a="1"/>
  <c r="AE55" i="12" s="1"/>
  <c r="AE51" i="12" a="1"/>
  <c r="AE51" i="12" s="1"/>
  <c r="AH43" i="12" a="1"/>
  <c r="AH43" i="12" s="1"/>
  <c r="AF42" i="12" a="1"/>
  <c r="AF42" i="12" s="1"/>
  <c r="AJ33" i="12" a="1"/>
  <c r="AJ33" i="12" s="1"/>
  <c r="AN15" i="12" a="1"/>
  <c r="AN15" i="12" s="1"/>
  <c r="AQ7" i="12"/>
  <c r="AD55" i="12" a="1"/>
  <c r="AD55" i="12" s="1"/>
  <c r="AJ26" i="12" a="1"/>
  <c r="AJ26" i="12" s="1"/>
  <c r="AJ23" i="12" a="1"/>
  <c r="AJ23" i="12" s="1"/>
  <c r="AF49" i="12" a="1"/>
  <c r="AF49" i="12" s="1"/>
  <c r="AG49" i="12" a="1"/>
  <c r="AG49" i="12" s="1"/>
  <c r="AJ49" i="12" a="1"/>
  <c r="AJ49" i="12" s="1"/>
  <c r="AH49" i="12" a="1"/>
  <c r="AH49" i="12" s="1"/>
  <c r="AK49" i="12" a="1"/>
  <c r="AK49" i="12" s="1"/>
  <c r="AL33" i="12" a="1"/>
  <c r="AL33" i="12" s="1"/>
  <c r="AQ33" i="12"/>
  <c r="AO33" i="12" a="1"/>
  <c r="AO33" i="12" s="1"/>
  <c r="AM33" i="12" a="1"/>
  <c r="AM33" i="12" s="1"/>
  <c r="AN33" i="12" a="1"/>
  <c r="AN33" i="12" s="1"/>
  <c r="AC25" i="12" a="1"/>
  <c r="AC25" i="12" s="1"/>
  <c r="AG25" i="12" a="1"/>
  <c r="AG25" i="12" s="1"/>
  <c r="AD25" i="12" a="1"/>
  <c r="AD25" i="12" s="1"/>
  <c r="AE25" i="12" a="1"/>
  <c r="AE25" i="12" s="1"/>
  <c r="AF25" i="12" a="1"/>
  <c r="AF25" i="12" s="1"/>
  <c r="AH17" i="12" a="1"/>
  <c r="AH17" i="12" s="1"/>
  <c r="AG17" i="12" a="1"/>
  <c r="AG17" i="12" s="1"/>
  <c r="AC17" i="12" a="1"/>
  <c r="AC17" i="12" s="1"/>
  <c r="AE17" i="12" a="1"/>
  <c r="AE17" i="12" s="1"/>
  <c r="AD17" i="12" a="1"/>
  <c r="AD17" i="12" s="1"/>
  <c r="AF17" i="12" a="1"/>
  <c r="AF17" i="12" s="1"/>
  <c r="AQ17" i="12"/>
  <c r="AE9" i="12" a="1"/>
  <c r="AE9" i="12" s="1"/>
  <c r="AG9" i="12" a="1"/>
  <c r="AG9" i="12" s="1"/>
  <c r="AH9" i="12" a="1"/>
  <c r="AH9" i="12" s="1"/>
  <c r="AF9" i="12" a="1"/>
  <c r="AF9" i="12" s="1"/>
  <c r="AC9" i="12" a="1"/>
  <c r="AC9" i="12" s="1"/>
  <c r="AD9" i="12" a="1"/>
  <c r="AD9" i="12" s="1"/>
  <c r="AA9" i="12" s="1"/>
  <c r="AN9" i="12" a="1"/>
  <c r="AN9" i="12" s="1"/>
  <c r="AO9" i="12" a="1"/>
  <c r="AO9" i="12" s="1"/>
  <c r="AQ9" i="12"/>
  <c r="AO18" i="12" a="1"/>
  <c r="AO18" i="12" s="1"/>
  <c r="AM41" i="12" a="1"/>
  <c r="AM41" i="12" s="1"/>
  <c r="AE34" i="12" a="1"/>
  <c r="AE34" i="12" s="1"/>
  <c r="AN56" i="12" a="1"/>
  <c r="AN56" i="12" s="1"/>
  <c r="AO56" i="12" a="1"/>
  <c r="AO56" i="12" s="1"/>
  <c r="AQ56" i="12"/>
  <c r="AD48" i="12" a="1"/>
  <c r="AD48" i="12" s="1"/>
  <c r="AE48" i="12" a="1"/>
  <c r="AE48" i="12" s="1"/>
  <c r="AG48" i="12" a="1"/>
  <c r="AG48" i="12" s="1"/>
  <c r="AF48" i="12" a="1"/>
  <c r="AF48" i="12" s="1"/>
  <c r="AH48" i="12" a="1"/>
  <c r="AH48" i="12" s="1"/>
  <c r="AK32" i="12" a="1"/>
  <c r="AK32" i="12" s="1"/>
  <c r="AN32" i="12" a="1"/>
  <c r="AN32" i="12" s="1"/>
  <c r="AO32" i="12" a="1"/>
  <c r="AO32" i="12" s="1"/>
  <c r="AL32" i="12" a="1"/>
  <c r="AL32" i="12" s="1"/>
  <c r="AM32" i="12" a="1"/>
  <c r="AM32" i="12" s="1"/>
  <c r="AE24" i="12" a="1"/>
  <c r="AE24" i="12" s="1"/>
  <c r="AF24" i="12" a="1"/>
  <c r="AF24" i="12" s="1"/>
  <c r="AC24" i="12" a="1"/>
  <c r="AC24" i="12" s="1"/>
  <c r="AD24" i="12" a="1"/>
  <c r="AD24" i="12" s="1"/>
  <c r="AG24" i="12" a="1"/>
  <c r="AG24" i="12" s="1"/>
  <c r="AC16" i="12" a="1"/>
  <c r="AC16" i="12" s="1"/>
  <c r="AD16" i="12" a="1"/>
  <c r="AD16" i="12" s="1"/>
  <c r="AE16" i="12" a="1"/>
  <c r="AE16" i="12" s="1"/>
  <c r="AF16" i="12" a="1"/>
  <c r="AF16" i="12" s="1"/>
  <c r="AH16" i="12" a="1"/>
  <c r="AH16" i="12" s="1"/>
  <c r="AG16" i="12" a="1"/>
  <c r="AG16" i="12" s="1"/>
  <c r="AJ16" i="12" a="1"/>
  <c r="AJ16" i="12" s="1"/>
  <c r="AL16" i="12" a="1"/>
  <c r="AL16" i="12" s="1"/>
  <c r="AN16" i="12" a="1"/>
  <c r="AN16" i="12" s="1"/>
  <c r="AK16" i="12" a="1"/>
  <c r="AK16" i="12" s="1"/>
  <c r="AM16" i="12" a="1"/>
  <c r="AM16" i="12" s="1"/>
  <c r="AD8" i="12" a="1"/>
  <c r="AD8" i="12" s="1"/>
  <c r="AC8" i="12" a="1"/>
  <c r="AC8" i="12" s="1"/>
  <c r="AH8" i="12" a="1"/>
  <c r="AH8" i="12" s="1"/>
  <c r="AG8" i="12" a="1"/>
  <c r="AG8" i="12" s="1"/>
  <c r="AE8" i="12" a="1"/>
  <c r="AE8" i="12" s="1"/>
  <c r="AF8" i="12" a="1"/>
  <c r="AF8" i="12" s="1"/>
  <c r="AK8" i="12" a="1"/>
  <c r="AK8" i="12" s="1"/>
  <c r="AL8" i="12" a="1"/>
  <c r="AL8" i="12" s="1"/>
  <c r="AJ8" i="12" a="1"/>
  <c r="AJ8" i="12" s="1"/>
  <c r="AJ35" i="12" a="1"/>
  <c r="AJ35" i="12" s="1"/>
  <c r="AD34" i="12" a="1"/>
  <c r="AD34" i="12" s="1"/>
  <c r="AA34" i="12" s="1"/>
  <c r="AQ32" i="12"/>
  <c r="AQ48" i="12"/>
  <c r="AH35" i="12" a="1"/>
  <c r="AH35" i="12" s="1"/>
  <c r="AJ31" i="12" a="1"/>
  <c r="AJ31" i="12" s="1"/>
  <c r="AN31" i="12" a="1"/>
  <c r="AN31" i="12" s="1"/>
  <c r="AM31" i="12" a="1"/>
  <c r="AM31" i="12" s="1"/>
  <c r="AK31" i="12" a="1"/>
  <c r="AK31" i="12" s="1"/>
  <c r="AL31" i="12" a="1"/>
  <c r="AL31" i="12" s="1"/>
  <c r="AO31" i="12" a="1"/>
  <c r="AO31" i="12" s="1"/>
  <c r="AQ23" i="12"/>
  <c r="AN48" i="12" a="1"/>
  <c r="AN48" i="12" s="1"/>
  <c r="AC40" i="12" a="1"/>
  <c r="AC40" i="12" s="1"/>
  <c r="AC35" i="12" a="1"/>
  <c r="AC35" i="12" s="1"/>
  <c r="AK33" i="12" a="1"/>
  <c r="AK33" i="12" s="1"/>
  <c r="AC41" i="12" a="1"/>
  <c r="AC41" i="12" s="1"/>
  <c r="AK23" i="12" a="1"/>
  <c r="AK23" i="12" s="1"/>
  <c r="AO15" i="12" a="1"/>
  <c r="AO15" i="12" s="1"/>
  <c r="AD51" i="12" a="1"/>
  <c r="AD51" i="12" s="1"/>
  <c r="AO49" i="12" a="1"/>
  <c r="AO49" i="12" s="1"/>
  <c r="AG43" i="12" a="1"/>
  <c r="AG43" i="12" s="1"/>
  <c r="AQ27" i="12"/>
  <c r="AO24" i="12" a="1"/>
  <c r="AO24" i="12" s="1"/>
  <c r="AN17" i="12" a="1"/>
  <c r="AN17" i="12" s="1"/>
  <c r="AM9" i="12" a="1"/>
  <c r="AM9" i="12" s="1"/>
  <c r="AM27" i="12" a="1"/>
  <c r="AM27" i="12" s="1"/>
  <c r="AC42" i="12" a="1"/>
  <c r="AC42" i="12" s="1"/>
  <c r="AD42" i="12" a="1"/>
  <c r="AD42" i="12" s="1"/>
  <c r="AC26" i="12" a="1"/>
  <c r="AC26" i="12" s="1"/>
  <c r="AD26" i="12" a="1"/>
  <c r="AD26" i="12" s="1"/>
  <c r="AA26" i="12" s="1"/>
  <c r="AG26" i="12" a="1"/>
  <c r="AG26" i="12" s="1"/>
  <c r="AH26" i="12" a="1"/>
  <c r="AH26" i="12" s="1"/>
  <c r="AE26" i="12" a="1"/>
  <c r="AE26" i="12" s="1"/>
  <c r="AF26" i="12" a="1"/>
  <c r="AF26" i="12" s="1"/>
  <c r="AD18" i="12" a="1"/>
  <c r="AD18" i="12" s="1"/>
  <c r="AF18" i="12" a="1"/>
  <c r="AF18" i="12" s="1"/>
  <c r="AG18" i="12" a="1"/>
  <c r="AG18" i="12" s="1"/>
  <c r="AC18" i="12" a="1"/>
  <c r="AC18" i="12" s="1"/>
  <c r="AE18" i="12" a="1"/>
  <c r="AE18" i="12" s="1"/>
  <c r="AH18" i="12" a="1"/>
  <c r="AH18" i="12" s="1"/>
  <c r="AJ34" i="12" a="1"/>
  <c r="AJ34" i="12" s="1"/>
  <c r="AO3" i="12" a="1"/>
  <c r="AO3" i="12" s="1"/>
  <c r="AG34" i="12" a="1"/>
  <c r="AG34" i="12" s="1"/>
  <c r="AN25" i="12" a="1"/>
  <c r="AN25" i="12" s="1"/>
  <c r="K21" i="12"/>
  <c r="J21" i="12"/>
  <c r="AQ10" i="12"/>
  <c r="AN50" i="12" a="1"/>
  <c r="AN50" i="12" s="1"/>
  <c r="AQ42" i="12"/>
  <c r="AL41" i="12" a="1"/>
  <c r="AL41" i="12" s="1"/>
  <c r="AK41" i="12" a="1"/>
  <c r="AK41" i="12" s="1"/>
  <c r="AJ40" i="12" a="1"/>
  <c r="AJ40" i="12" s="1"/>
  <c r="AK35" i="12" a="1"/>
  <c r="AK35" i="12" s="1"/>
  <c r="AO8" i="12" a="1"/>
  <c r="AO8" i="12" s="1"/>
  <c r="AE50" i="12" a="1"/>
  <c r="AE50" i="12" s="1"/>
  <c r="AH40" i="12" a="1"/>
  <c r="AH40" i="12" s="1"/>
  <c r="AM10" i="12" a="1"/>
  <c r="AM10" i="12" s="1"/>
  <c r="AO43" i="12" a="1"/>
  <c r="AO43" i="12" s="1"/>
  <c r="AK18" i="12" a="1"/>
  <c r="AK18" i="12" s="1"/>
  <c r="AL10" i="12" a="1"/>
  <c r="AL10" i="12" s="1"/>
  <c r="AQ51" i="12"/>
  <c r="AD35" i="12" a="1"/>
  <c r="AD35" i="12" s="1"/>
  <c r="AM23" i="12" a="1"/>
  <c r="AM23" i="12" s="1"/>
  <c r="AK43" i="12" a="1"/>
  <c r="AK43" i="12" s="1"/>
  <c r="AH42" i="12" a="1"/>
  <c r="AH42" i="12" s="1"/>
  <c r="AD41" i="12" a="1"/>
  <c r="AD41" i="12" s="1"/>
  <c r="AD32" i="12" a="1"/>
  <c r="AD32" i="12" s="1"/>
  <c r="AL26" i="12" a="1"/>
  <c r="AL26" i="12" s="1"/>
  <c r="AJ43" i="12" a="1"/>
  <c r="AJ43" i="12" s="1"/>
  <c r="AG42" i="12" a="1"/>
  <c r="AG42" i="12" s="1"/>
  <c r="AJ56" i="12" a="1"/>
  <c r="AJ56" i="12" s="1"/>
  <c r="AG33" i="12" a="1"/>
  <c r="AG33" i="12" s="1"/>
  <c r="AO27" i="12" a="1"/>
  <c r="AO27" i="12" s="1"/>
  <c r="AN24" i="12" a="1"/>
  <c r="AN24" i="12" s="1"/>
  <c r="AJ19" i="12" a="1"/>
  <c r="AJ19" i="12" s="1"/>
  <c r="AQ11" i="12"/>
  <c r="AQ3" i="12"/>
  <c r="AK27" i="12" a="1"/>
  <c r="AK27" i="12" s="1"/>
  <c r="AH34" i="12" a="1"/>
  <c r="AH34" i="12" s="1"/>
  <c r="AF34" i="12" a="1"/>
  <c r="AF34" i="12" s="1"/>
  <c r="AM25" i="12" a="1"/>
  <c r="AM25" i="12" s="1"/>
  <c r="AL35" i="12" a="1"/>
  <c r="AL35" i="12" s="1"/>
  <c r="AN18" i="12" a="1"/>
  <c r="AN18" i="12" s="1"/>
  <c r="AO10" i="12" a="1"/>
  <c r="AO10" i="12" s="1"/>
  <c r="AL25" i="12" a="1"/>
  <c r="AL25" i="12" s="1"/>
  <c r="AF50" i="12" a="1"/>
  <c r="AF50" i="12" s="1"/>
  <c r="AQ16" i="12"/>
  <c r="AN10" i="12" a="1"/>
  <c r="AN10" i="12" s="1"/>
  <c r="AK25" i="12" a="1"/>
  <c r="AK25" i="12" s="1"/>
  <c r="AJ41" i="12" a="1"/>
  <c r="AJ41" i="12" s="1"/>
  <c r="AJ25" i="12" a="1"/>
  <c r="AJ25" i="12" s="1"/>
  <c r="AL55" i="12" a="1"/>
  <c r="AL55" i="12" s="1"/>
  <c r="AM55" i="12" a="1"/>
  <c r="AM55" i="12" s="1"/>
  <c r="AQ55" i="12"/>
  <c r="AO55" i="12" a="1"/>
  <c r="AO55" i="12" s="1"/>
  <c r="AN55" i="12" a="1"/>
  <c r="AN55" i="12" s="1"/>
  <c r="AO39" i="12" a="1"/>
  <c r="AO39" i="12" s="1"/>
  <c r="AQ39" i="12"/>
  <c r="AC23" i="12" a="1"/>
  <c r="AC23" i="12" s="1"/>
  <c r="AD23" i="12" a="1"/>
  <c r="AD23" i="12" s="1"/>
  <c r="AE23" i="12" a="1"/>
  <c r="AE23" i="12" s="1"/>
  <c r="AD15" i="12" a="1"/>
  <c r="AD15" i="12" s="1"/>
  <c r="AE15" i="12" a="1"/>
  <c r="AE15" i="12" s="1"/>
  <c r="AF15" i="12" a="1"/>
  <c r="AF15" i="12" s="1"/>
  <c r="AC15" i="12" a="1"/>
  <c r="AC15" i="12" s="1"/>
  <c r="AG15" i="12" a="1"/>
  <c r="AG15" i="12" s="1"/>
  <c r="AH15" i="12" a="1"/>
  <c r="AH15" i="12" s="1"/>
  <c r="AC7" i="12" a="1"/>
  <c r="AC7" i="12" s="1"/>
  <c r="AD7" i="12" a="1"/>
  <c r="AD7" i="12" s="1"/>
  <c r="AH7" i="12" a="1"/>
  <c r="AH7" i="12" s="1"/>
  <c r="AE7" i="12" a="1"/>
  <c r="AE7" i="12" s="1"/>
  <c r="AF7" i="12" a="1"/>
  <c r="AF7" i="12" s="1"/>
  <c r="AG7" i="12" a="1"/>
  <c r="AG7" i="12" s="1"/>
  <c r="AK55" i="12" a="1"/>
  <c r="AK55" i="12" s="1"/>
  <c r="AD50" i="12" a="1"/>
  <c r="AD50" i="12" s="1"/>
  <c r="AH47" i="12" a="1"/>
  <c r="AH47" i="12" s="1"/>
  <c r="AH41" i="12" a="1"/>
  <c r="AH41" i="12" s="1"/>
  <c r="AG40" i="12" a="1"/>
  <c r="AG40" i="12" s="1"/>
  <c r="AC39" i="12" a="1"/>
  <c r="AC39" i="12" s="1"/>
  <c r="AH32" i="12" a="1"/>
  <c r="AH32" i="12" s="1"/>
  <c r="AQ26" i="12"/>
  <c r="AG35" i="12" a="1"/>
  <c r="AG35" i="12" s="1"/>
  <c r="AH25" i="12" a="1"/>
  <c r="AH25" i="12" s="1"/>
  <c r="AJ55" i="12" a="1"/>
  <c r="AJ55" i="12" s="1"/>
  <c r="AC50" i="12" a="1"/>
  <c r="AC50" i="12" s="1"/>
  <c r="AG41" i="12" a="1"/>
  <c r="AG41" i="12" s="1"/>
  <c r="AF40" i="12" a="1"/>
  <c r="AF40" i="12" s="1"/>
  <c r="AF35" i="12" a="1"/>
  <c r="AF35" i="12" s="1"/>
  <c r="AG32" i="12" a="1"/>
  <c r="AG32" i="12" s="1"/>
  <c r="AO26" i="12" a="1"/>
  <c r="AO26" i="12" s="1"/>
  <c r="AG51" i="12" a="1"/>
  <c r="AG51" i="12" s="1"/>
  <c r="AK48" i="12" a="1"/>
  <c r="AK48" i="12" s="1"/>
  <c r="AJ48" i="12" a="1"/>
  <c r="AJ48" i="12" s="1"/>
  <c r="AC32" i="12" a="1"/>
  <c r="AC32" i="12" s="1"/>
  <c r="AC51" i="12" a="1"/>
  <c r="AC51" i="12" s="1"/>
  <c r="AN49" i="12" a="1"/>
  <c r="AN49" i="12" s="1"/>
  <c r="AF43" i="12" a="1"/>
  <c r="AF43" i="12" s="1"/>
  <c r="AN27" i="12" a="1"/>
  <c r="AN27" i="12" s="1"/>
  <c r="AM17" i="12" a="1"/>
  <c r="AM17" i="12" s="1"/>
  <c r="AL15" i="12" a="1"/>
  <c r="AL15" i="12" s="1"/>
  <c r="AL9" i="12" a="1"/>
  <c r="AL9" i="12" s="1"/>
  <c r="AN7" i="12" a="1"/>
  <c r="AN7" i="12" s="1"/>
  <c r="AH14" i="12" a="1"/>
  <c r="AH14" i="12" s="1"/>
  <c r="AD14" i="12" a="1"/>
  <c r="AD14" i="12" s="1"/>
  <c r="AE14" i="12" a="1"/>
  <c r="AE14" i="12" s="1"/>
  <c r="AF14" i="12" a="1"/>
  <c r="AF14" i="12" s="1"/>
  <c r="AC14" i="12" a="1"/>
  <c r="AC14" i="12" s="1"/>
  <c r="AG14" i="12" a="1"/>
  <c r="AG14" i="12" s="1"/>
  <c r="AO14" i="12" a="1"/>
  <c r="AO14" i="12" s="1"/>
  <c r="AQ6" i="12"/>
  <c r="AF21" i="12" a="1"/>
  <c r="AF21" i="12" s="1"/>
  <c r="AH21" i="12" a="1"/>
  <c r="AH21" i="12" s="1"/>
  <c r="AN21" i="12" a="1"/>
  <c r="AN21" i="12" s="1"/>
  <c r="AC21" i="12" a="1"/>
  <c r="AC21" i="12" s="1"/>
  <c r="AD21" i="12" a="1"/>
  <c r="AD21" i="12" s="1"/>
  <c r="AQ21" i="12"/>
  <c r="AE21" i="12" a="1"/>
  <c r="AE21" i="12" s="1"/>
  <c r="AJ21" i="12" a="1"/>
  <c r="AJ21" i="12" s="1"/>
  <c r="AK21" i="12" a="1"/>
  <c r="AK21" i="12" s="1"/>
  <c r="AL21" i="12" a="1"/>
  <c r="AL21" i="12" s="1"/>
  <c r="AG21" i="12" a="1"/>
  <c r="AG21" i="12" s="1"/>
  <c r="AM21" i="12" a="1"/>
  <c r="AM21" i="12" s="1"/>
  <c r="AO21" i="12" a="1"/>
  <c r="AO21" i="12" s="1"/>
  <c r="AD13" i="12" a="1"/>
  <c r="AD13" i="12" s="1"/>
  <c r="AF13" i="12" a="1"/>
  <c r="AF13" i="12" s="1"/>
  <c r="AC13" i="12" a="1"/>
  <c r="AC13" i="12" s="1"/>
  <c r="AE13" i="12" a="1"/>
  <c r="AE13" i="12" s="1"/>
  <c r="AG13" i="12" a="1"/>
  <c r="AG13" i="12" s="1"/>
  <c r="AH13" i="12" a="1"/>
  <c r="AH13" i="12" s="1"/>
  <c r="AD5" i="12" a="1"/>
  <c r="AD5" i="12" s="1"/>
  <c r="AC5" i="12" a="1"/>
  <c r="AC5" i="12" s="1"/>
  <c r="AE5" i="12" a="1"/>
  <c r="AE5" i="12" s="1"/>
  <c r="AF5" i="12" a="1"/>
  <c r="AF5" i="12" s="1"/>
  <c r="AG5" i="12" a="1"/>
  <c r="AG5" i="12" s="1"/>
  <c r="AH5" i="12" a="1"/>
  <c r="AH5" i="12" s="1"/>
  <c r="AM53" i="12" a="1"/>
  <c r="AM53" i="12" s="1"/>
  <c r="AD46" i="12" a="1"/>
  <c r="AD46" i="12" s="1"/>
  <c r="AK30" i="12" a="1"/>
  <c r="AK30" i="12" s="1"/>
  <c r="AH29" i="12" a="1"/>
  <c r="AH29" i="12" s="1"/>
  <c r="AF46" i="12" a="1"/>
  <c r="AF46" i="12" s="1"/>
  <c r="AM54" i="12" a="1"/>
  <c r="AM54" i="12" s="1"/>
  <c r="AC46" i="12" a="1"/>
  <c r="AC46" i="12" s="1"/>
  <c r="AO38" i="12" a="1"/>
  <c r="AO38" i="12" s="1"/>
  <c r="AO37" i="12" a="1"/>
  <c r="AO37" i="12" s="1"/>
  <c r="AJ30" i="12" a="1"/>
  <c r="AJ30" i="12" s="1"/>
  <c r="AG29" i="12" a="1"/>
  <c r="AG29" i="12" s="1"/>
  <c r="AN14" i="12" a="1"/>
  <c r="AN14" i="12" s="1"/>
  <c r="AG6" i="12" a="1"/>
  <c r="AG6" i="12" s="1"/>
  <c r="AH6" i="12" a="1"/>
  <c r="AH6" i="12" s="1"/>
  <c r="AE6" i="12" a="1"/>
  <c r="AE6" i="12" s="1"/>
  <c r="AF6" i="12" a="1"/>
  <c r="AF6" i="12" s="1"/>
  <c r="AD6" i="12" a="1"/>
  <c r="AD6" i="12" s="1"/>
  <c r="AC6" i="12" a="1"/>
  <c r="AC6" i="12" s="1"/>
  <c r="AQ14" i="12"/>
  <c r="AN54" i="12" a="1"/>
  <c r="AN54" i="12" s="1"/>
  <c r="AL54" i="12" a="1"/>
  <c r="AL54" i="12" s="1"/>
  <c r="AL53" i="12" a="1"/>
  <c r="AL53" i="12" s="1"/>
  <c r="AN36" i="12" a="1"/>
  <c r="AN36" i="12" s="1"/>
  <c r="AF28" i="12" a="1"/>
  <c r="AF28" i="12" s="1"/>
  <c r="AN6" i="12" a="1"/>
  <c r="AN6" i="12" s="1"/>
  <c r="AM30" i="12" a="1"/>
  <c r="AM30" i="12" s="1"/>
  <c r="AO54" i="12" a="1"/>
  <c r="AO54" i="12" s="1"/>
  <c r="AL30" i="12" a="1"/>
  <c r="AL30" i="12" s="1"/>
  <c r="AQ38" i="12"/>
  <c r="AK52" i="12" a="1"/>
  <c r="AK52" i="12" s="1"/>
  <c r="AH30" i="12" a="1"/>
  <c r="AH30" i="12" s="1"/>
  <c r="AM14" i="12" a="1"/>
  <c r="AM14" i="12" s="1"/>
  <c r="AM6" i="12" a="1"/>
  <c r="AM6" i="12" s="1"/>
  <c r="AE20" i="12" a="1"/>
  <c r="AE20" i="12" s="1"/>
  <c r="AG20" i="12" a="1"/>
  <c r="AG20" i="12" s="1"/>
  <c r="AH20" i="12" a="1"/>
  <c r="AH20" i="12" s="1"/>
  <c r="AF20" i="12" a="1"/>
  <c r="AF20" i="12" s="1"/>
  <c r="AD20" i="12" a="1"/>
  <c r="AD20" i="12" s="1"/>
  <c r="AC20" i="12" a="1"/>
  <c r="AC20" i="12" s="1"/>
  <c r="AC12" i="12" a="1"/>
  <c r="AC12" i="12" s="1"/>
  <c r="AE12" i="12" a="1"/>
  <c r="AE12" i="12" s="1"/>
  <c r="AF12" i="12" a="1"/>
  <c r="AF12" i="12" s="1"/>
  <c r="AG12" i="12" a="1"/>
  <c r="AG12" i="12" s="1"/>
  <c r="AD12" i="12" a="1"/>
  <c r="AD12" i="12" s="1"/>
  <c r="AH12" i="12" a="1"/>
  <c r="AH12" i="12" s="1"/>
  <c r="AC4" i="12" a="1"/>
  <c r="AC4" i="12" s="1"/>
  <c r="AE4" i="12" a="1"/>
  <c r="AE4" i="12" s="1"/>
  <c r="AF4" i="12" a="1"/>
  <c r="AF4" i="12" s="1"/>
  <c r="AD4" i="12" a="1"/>
  <c r="AD4" i="12" s="1"/>
  <c r="AG4" i="12" a="1"/>
  <c r="AG4" i="12" s="1"/>
  <c r="AH4" i="12" a="1"/>
  <c r="AH4" i="12" s="1"/>
  <c r="AQ12" i="12"/>
  <c r="X32" i="33"/>
  <c r="K13" i="33"/>
  <c r="AL6" i="14" a="1"/>
  <c r="AL6" i="14" s="1"/>
  <c r="AH3" i="10" a="1"/>
  <c r="AH3" i="10" s="1"/>
  <c r="AM3" i="10" a="1"/>
  <c r="AM3" i="10" s="1"/>
  <c r="AM10" i="10" a="1"/>
  <c r="AM10" i="10" s="1"/>
  <c r="AK14" i="14" a="1"/>
  <c r="AK14" i="14" s="1"/>
  <c r="AD5" i="10" a="1"/>
  <c r="AD5" i="10" s="1"/>
  <c r="AC27" i="14" a="1"/>
  <c r="AC27" i="14" s="1"/>
  <c r="AO20" i="10" a="1"/>
  <c r="AO20" i="10" s="1"/>
  <c r="AD20" i="10" a="1"/>
  <c r="AD20" i="10" s="1"/>
  <c r="AF12" i="10" a="1"/>
  <c r="AF12" i="10" s="1"/>
  <c r="AK10" i="10" a="1"/>
  <c r="AK10" i="10" s="1"/>
  <c r="AE12" i="10" a="1"/>
  <c r="AE12" i="10" s="1"/>
  <c r="AO5" i="10" a="1"/>
  <c r="AO5" i="10" s="1"/>
  <c r="AD12" i="10" a="1"/>
  <c r="AD12" i="10" s="1"/>
  <c r="AM5" i="10" a="1"/>
  <c r="AM5" i="10" s="1"/>
  <c r="AF14" i="10" a="1"/>
  <c r="AF14" i="10" s="1"/>
  <c r="AG25" i="14" a="1"/>
  <c r="AG25" i="14" s="1"/>
  <c r="AJ8" i="14" a="1"/>
  <c r="AJ8" i="14" s="1"/>
  <c r="AB24" i="14" a="1"/>
  <c r="AB24" i="14" s="1"/>
  <c r="AG16" i="14" a="1"/>
  <c r="AG16" i="14" s="1"/>
  <c r="AC14" i="14" a="1"/>
  <c r="AC14" i="14" s="1"/>
  <c r="AC24" i="10" a="1"/>
  <c r="AC24" i="10" s="1"/>
  <c r="AH10" i="10" a="1"/>
  <c r="AH10" i="10" s="1"/>
  <c r="AN15" i="10" a="1"/>
  <c r="AN15" i="10" s="1"/>
  <c r="AK3" i="10" a="1"/>
  <c r="AK3" i="10" s="1"/>
  <c r="AE8" i="14" a="1"/>
  <c r="AE8" i="14" s="1"/>
  <c r="AF20" i="10" a="1"/>
  <c r="AF20" i="10" s="1"/>
  <c r="AF5" i="10" a="1"/>
  <c r="AF5" i="10" s="1"/>
  <c r="AO12" i="10" a="1"/>
  <c r="AO12" i="10" s="1"/>
  <c r="AJ26" i="14" a="1"/>
  <c r="AJ26" i="14" s="1"/>
  <c r="AM20" i="10" a="1"/>
  <c r="AM20" i="10" s="1"/>
  <c r="AE20" i="10" a="1"/>
  <c r="AE20" i="10" s="1"/>
  <c r="AE5" i="10" a="1"/>
  <c r="AE5" i="10" s="1"/>
  <c r="AM12" i="10" a="1"/>
  <c r="AM12" i="10" s="1"/>
  <c r="AI25" i="14" a="1"/>
  <c r="AI25" i="14" s="1"/>
  <c r="AF25" i="10" a="1"/>
  <c r="AF25" i="10" s="1"/>
  <c r="AD24" i="10" a="1"/>
  <c r="AD24" i="10" s="1"/>
  <c r="AL21" i="10" a="1"/>
  <c r="AL21" i="10" s="1"/>
  <c r="AC23" i="14" a="1"/>
  <c r="AC23" i="14" s="1"/>
  <c r="AJ25" i="14" a="1"/>
  <c r="AJ25" i="14" s="1"/>
  <c r="AL9" i="14" a="1"/>
  <c r="AL9" i="14" s="1"/>
  <c r="AK6" i="14" a="1"/>
  <c r="AK6" i="14" s="1"/>
  <c r="AB23" i="14" a="1"/>
  <c r="AB23" i="14" s="1"/>
  <c r="AG9" i="14" a="1"/>
  <c r="AG9" i="14" s="1"/>
  <c r="AK9" i="14" a="1"/>
  <c r="AK9" i="14" s="1"/>
  <c r="AG26" i="14" a="1"/>
  <c r="AG26" i="14" s="1"/>
  <c r="AG17" i="14" a="1"/>
  <c r="AG17" i="14" s="1"/>
  <c r="AF9" i="14" a="1"/>
  <c r="AF9" i="14" s="1"/>
  <c r="AL23" i="14" a="1"/>
  <c r="AL23" i="14" s="1"/>
  <c r="AJ9" i="14" a="1"/>
  <c r="AJ9" i="14" s="1"/>
  <c r="AF26" i="14" a="1"/>
  <c r="AF26" i="14" s="1"/>
  <c r="AF17" i="14" a="1"/>
  <c r="AF17" i="14" s="1"/>
  <c r="AG8" i="14" a="1"/>
  <c r="AG8" i="14" s="1"/>
  <c r="AL17" i="14" a="1"/>
  <c r="AL17" i="14" s="1"/>
  <c r="AI9" i="14" a="1"/>
  <c r="AI9" i="14" s="1"/>
  <c r="AC15" i="19" a="1"/>
  <c r="AC15" i="19" s="1"/>
  <c r="AI17" i="14" a="1"/>
  <c r="AI17" i="14" s="1"/>
  <c r="AH21" i="16" a="1"/>
  <c r="AH21" i="16" s="1"/>
  <c r="AE20" i="16" a="1"/>
  <c r="AE20" i="16" s="1"/>
  <c r="AO24" i="10" a="1"/>
  <c r="AO24" i="10" s="1"/>
  <c r="AD20" i="16" a="1"/>
  <c r="AD20" i="16" s="1"/>
  <c r="AD15" i="10" a="1"/>
  <c r="AD15" i="10" s="1"/>
  <c r="AF8" i="10" a="1"/>
  <c r="AF8" i="10" s="1"/>
  <c r="AN24" i="10" a="1"/>
  <c r="AN24" i="10" s="1"/>
  <c r="AG4" i="15" a="1"/>
  <c r="AG4" i="15" s="1"/>
  <c r="AF25" i="14" a="1"/>
  <c r="AF25" i="14" s="1"/>
  <c r="AF16" i="14" a="1"/>
  <c r="AF16" i="14" s="1"/>
  <c r="AD8" i="14" a="1"/>
  <c r="AD8" i="14" s="1"/>
  <c r="AI16" i="14" a="1"/>
  <c r="AI16" i="14" s="1"/>
  <c r="AN6" i="14" a="1"/>
  <c r="AN6" i="14" s="1"/>
  <c r="AL18" i="16" a="1"/>
  <c r="AL18" i="16" s="1"/>
  <c r="AH14" i="10" a="1"/>
  <c r="AH14" i="10" s="1"/>
  <c r="AD7" i="10" a="1"/>
  <c r="AD7" i="10" s="1"/>
  <c r="AL23" i="10" a="1"/>
  <c r="AL23" i="10" s="1"/>
  <c r="AL10" i="10" a="1"/>
  <c r="AL10" i="10" s="1"/>
  <c r="AM6" i="15" a="1"/>
  <c r="AM6" i="15" s="1"/>
  <c r="AE25" i="14" a="1"/>
  <c r="AE25" i="14" s="1"/>
  <c r="AD16" i="14" a="1"/>
  <c r="AD16" i="14" s="1"/>
  <c r="AC7" i="14" a="1"/>
  <c r="AC7" i="14" s="1"/>
  <c r="AN14" i="14" a="1"/>
  <c r="AN14" i="14" s="1"/>
  <c r="AM6" i="14" a="1"/>
  <c r="AM6" i="14" s="1"/>
  <c r="AC7" i="10" a="1"/>
  <c r="AC7" i="10" s="1"/>
  <c r="AJ10" i="16" a="1"/>
  <c r="AJ10" i="16" s="1"/>
  <c r="AH10" i="16" a="1"/>
  <c r="AH10" i="16" s="1"/>
  <c r="AG10" i="16" a="1"/>
  <c r="AG10" i="16" s="1"/>
  <c r="AJ18" i="16" a="1"/>
  <c r="AJ18" i="16" s="1"/>
  <c r="AQ18" i="16"/>
  <c r="AN18" i="16" a="1"/>
  <c r="AN18" i="16" s="1"/>
  <c r="AL10" i="16" a="1"/>
  <c r="AL10" i="16" s="1"/>
  <c r="AN27" i="10" a="1"/>
  <c r="AN27" i="10" s="1"/>
  <c r="AF27" i="10" a="1"/>
  <c r="AF27" i="10" s="1"/>
  <c r="AL27" i="10" a="1"/>
  <c r="AL27" i="10" s="1"/>
  <c r="AM27" i="10" a="1"/>
  <c r="AM27" i="10" s="1"/>
  <c r="AH27" i="10" a="1"/>
  <c r="AH27" i="10" s="1"/>
  <c r="AK27" i="10" a="1"/>
  <c r="AK27" i="10" s="1"/>
  <c r="AN18" i="10" a="1"/>
  <c r="AN18" i="10" s="1"/>
  <c r="AF18" i="10" a="1"/>
  <c r="AF18" i="10" s="1"/>
  <c r="AH18" i="10" a="1"/>
  <c r="AH18" i="10" s="1"/>
  <c r="AK18" i="10" a="1"/>
  <c r="AK18" i="10" s="1"/>
  <c r="AL18" i="10" a="1"/>
  <c r="AL18" i="10" s="1"/>
  <c r="AL22" i="10" a="1"/>
  <c r="AL22" i="10" s="1"/>
  <c r="AH22" i="10" a="1"/>
  <c r="AH22" i="10" s="1"/>
  <c r="AF22" i="10" a="1"/>
  <c r="AF22" i="10" s="1"/>
  <c r="AL13" i="10" a="1"/>
  <c r="AL13" i="10" s="1"/>
  <c r="AH13" i="10" a="1"/>
  <c r="AH13" i="10" s="1"/>
  <c r="AF13" i="10" a="1"/>
  <c r="AF13" i="10" s="1"/>
  <c r="AL6" i="10" a="1"/>
  <c r="AL6" i="10" s="1"/>
  <c r="AH6" i="10" a="1"/>
  <c r="AH6" i="10" s="1"/>
  <c r="AF6" i="10" a="1"/>
  <c r="AF6" i="10" s="1"/>
  <c r="AG22" i="10" a="1"/>
  <c r="AG22" i="10" s="1"/>
  <c r="AM4" i="10" a="1"/>
  <c r="AM4" i="10" s="1"/>
  <c r="AN4" i="16" a="1"/>
  <c r="AN4" i="16" s="1"/>
  <c r="AC4" i="16" a="1"/>
  <c r="AC4" i="16" s="1"/>
  <c r="AC15" i="10" a="1"/>
  <c r="AC15" i="10" s="1"/>
  <c r="AK13" i="10" a="1"/>
  <c r="AK13" i="10" s="1"/>
  <c r="AI28" i="14" a="1"/>
  <c r="AI28" i="14" s="1"/>
  <c r="AD28" i="14" a="1"/>
  <c r="AD28" i="14" s="1"/>
  <c r="AE28" i="14" a="1"/>
  <c r="AE28" i="14" s="1"/>
  <c r="AI19" i="14" a="1"/>
  <c r="AI19" i="14" s="1"/>
  <c r="AE19" i="14" a="1"/>
  <c r="AE19" i="14" s="1"/>
  <c r="AI11" i="14" a="1"/>
  <c r="AI11" i="14" s="1"/>
  <c r="AD11" i="14" a="1"/>
  <c r="AD11" i="14" s="1"/>
  <c r="AI3" i="14" a="1"/>
  <c r="AI3" i="14" s="1"/>
  <c r="AE3" i="14" a="1"/>
  <c r="AE3" i="14" s="1"/>
  <c r="AE24" i="14" a="1"/>
  <c r="AE24" i="14" s="1"/>
  <c r="AE11" i="14" a="1"/>
  <c r="AE11" i="14" s="1"/>
  <c r="AE7" i="14" a="1"/>
  <c r="AE7" i="14" s="1"/>
  <c r="AF2" i="19" a="1"/>
  <c r="AF2" i="19" s="1"/>
  <c r="AE2" i="19" a="1"/>
  <c r="AE2" i="19" s="1"/>
  <c r="AJ12" i="19" a="1"/>
  <c r="AJ12" i="19" s="1"/>
  <c r="AN12" i="19" a="1"/>
  <c r="AN12" i="19" s="1"/>
  <c r="AE19" i="10" a="1"/>
  <c r="AE19" i="10" s="1"/>
  <c r="AN19" i="10" a="1"/>
  <c r="AN19" i="10" s="1"/>
  <c r="AC19" i="10" a="1"/>
  <c r="AC19" i="10" s="1"/>
  <c r="AK19" i="10" a="1"/>
  <c r="AK19" i="10" s="1"/>
  <c r="AE11" i="10" a="1"/>
  <c r="AE11" i="10" s="1"/>
  <c r="AN11" i="10" a="1"/>
  <c r="AN11" i="10" s="1"/>
  <c r="AC11" i="10" a="1"/>
  <c r="AC11" i="10" s="1"/>
  <c r="AK11" i="10" a="1"/>
  <c r="AK11" i="10" s="1"/>
  <c r="AE4" i="10" a="1"/>
  <c r="AE4" i="10" s="1"/>
  <c r="AC4" i="10" a="1"/>
  <c r="AC4" i="10" s="1"/>
  <c r="AM19" i="10" a="1"/>
  <c r="AM19" i="10" s="1"/>
  <c r="AJ13" i="10" a="1"/>
  <c r="AJ13" i="10" s="1"/>
  <c r="AM21" i="10" a="1"/>
  <c r="AM21" i="10" s="1"/>
  <c r="AD27" i="14" a="1"/>
  <c r="AD27" i="14" s="1"/>
  <c r="AB27" i="14" a="1"/>
  <c r="AB27" i="14" s="1"/>
  <c r="AD18" i="14" a="1"/>
  <c r="AD18" i="14" s="1"/>
  <c r="AC18" i="14" a="1"/>
  <c r="AC18" i="14" s="1"/>
  <c r="AN10" i="14" a="1"/>
  <c r="AN10" i="14" s="1"/>
  <c r="AM10" i="14" a="1"/>
  <c r="AM10" i="14" s="1"/>
  <c r="AC10" i="14" a="1"/>
  <c r="AC10" i="14" s="1"/>
  <c r="AD7" i="14" a="1"/>
  <c r="AD7" i="14" s="1"/>
  <c r="AL18" i="14" a="1"/>
  <c r="AL18" i="14" s="1"/>
  <c r="AL53" i="20" a="1"/>
  <c r="AL53" i="20" s="1"/>
  <c r="AJ53" i="20" a="1"/>
  <c r="AJ53" i="20" s="1"/>
  <c r="AK53" i="20" a="1"/>
  <c r="AK53" i="20" s="1"/>
  <c r="AA53" i="20" s="1"/>
  <c r="AO53" i="20" a="1"/>
  <c r="AO53" i="20" s="1"/>
  <c r="AH19" i="10" a="1"/>
  <c r="AH19" i="10" s="1"/>
  <c r="AH4" i="10" a="1"/>
  <c r="AH4" i="10" s="1"/>
  <c r="AD19" i="10" a="1"/>
  <c r="AD19" i="10" s="1"/>
  <c r="AO11" i="10" a="1"/>
  <c r="AO11" i="10" s="1"/>
  <c r="AI24" i="14" a="1"/>
  <c r="AI24" i="14" s="1"/>
  <c r="AD24" i="14" a="1"/>
  <c r="AD24" i="14" s="1"/>
  <c r="AI15" i="14" a="1"/>
  <c r="AI15" i="14" s="1"/>
  <c r="AE15" i="14" a="1"/>
  <c r="AE15" i="14" s="1"/>
  <c r="AI7" i="14" a="1"/>
  <c r="AI7" i="14" s="1"/>
  <c r="AM7" i="14" a="1"/>
  <c r="AM7" i="14" s="1"/>
  <c r="AD15" i="14" a="1"/>
  <c r="AD15" i="14" s="1"/>
  <c r="AG4" i="14" a="1"/>
  <c r="AG4" i="14" s="1"/>
  <c r="AN24" i="14" a="1"/>
  <c r="AN24" i="14" s="1"/>
  <c r="AD4" i="10" a="1"/>
  <c r="AD4" i="10" s="1"/>
  <c r="AJ22" i="10" a="1"/>
  <c r="AJ22" i="10" s="1"/>
  <c r="AO15" i="10" a="1"/>
  <c r="AO15" i="10" s="1"/>
  <c r="AM11" i="10" a="1"/>
  <c r="AM11" i="10" s="1"/>
  <c r="AO4" i="10" a="1"/>
  <c r="AO4" i="10" s="1"/>
  <c r="AD19" i="14" a="1"/>
  <c r="AD19" i="14" s="1"/>
  <c r="AC15" i="14" a="1"/>
  <c r="AC15" i="14" s="1"/>
  <c r="AD3" i="14" a="1"/>
  <c r="AD3" i="14" s="1"/>
  <c r="AM24" i="14" a="1"/>
  <c r="AM24" i="14" s="1"/>
  <c r="AN15" i="14" a="1"/>
  <c r="AN15" i="14" s="1"/>
  <c r="AB2" i="19" a="1"/>
  <c r="AB2" i="19" s="1"/>
  <c r="AN23" i="10" a="1"/>
  <c r="AN23" i="10" s="1"/>
  <c r="AM23" i="10" a="1"/>
  <c r="AM23" i="10" s="1"/>
  <c r="AK23" i="10" a="1"/>
  <c r="AK23" i="10" s="1"/>
  <c r="AN14" i="10" a="1"/>
  <c r="AN14" i="10" s="1"/>
  <c r="AM14" i="10" a="1"/>
  <c r="AM14" i="10" s="1"/>
  <c r="AK14" i="10" a="1"/>
  <c r="AK14" i="10" s="1"/>
  <c r="AN21" i="10" a="1"/>
  <c r="AN21" i="10" s="1"/>
  <c r="AK21" i="10" a="1"/>
  <c r="AK21" i="10" s="1"/>
  <c r="AF23" i="10" a="1"/>
  <c r="AF23" i="10" s="1"/>
  <c r="AF16" i="10" a="1"/>
  <c r="AF16" i="10" s="1"/>
  <c r="AF21" i="10" a="1"/>
  <c r="AF21" i="10" s="1"/>
  <c r="AN4" i="10" a="1"/>
  <c r="AN4" i="10" s="1"/>
  <c r="AB18" i="14" a="1"/>
  <c r="AB18" i="14" s="1"/>
  <c r="AB15" i="14" a="1"/>
  <c r="AB15" i="14" s="1"/>
  <c r="AN27" i="14" a="1"/>
  <c r="AN27" i="14" s="1"/>
  <c r="AM15" i="14" a="1"/>
  <c r="AM15" i="14" s="1"/>
  <c r="AN7" i="14" a="1"/>
  <c r="AN7" i="14" s="1"/>
  <c r="AH11" i="10" a="1"/>
  <c r="AH11" i="10" s="1"/>
  <c r="AG6" i="10" a="1"/>
  <c r="AG6" i="10" s="1"/>
  <c r="AJ20" i="14" a="1"/>
  <c r="AJ20" i="14" s="1"/>
  <c r="AG20" i="14" a="1"/>
  <c r="AG20" i="14" s="1"/>
  <c r="AJ12" i="14" a="1"/>
  <c r="AJ12" i="14" s="1"/>
  <c r="Z12" i="14" s="1"/>
  <c r="AG12" i="14" a="1"/>
  <c r="AG12" i="14" s="1"/>
  <c r="AM27" i="14" a="1"/>
  <c r="AM27" i="14" s="1"/>
  <c r="AN18" i="14" a="1"/>
  <c r="AN18" i="14" s="1"/>
  <c r="AF10" i="10" a="1"/>
  <c r="AF10" i="10" s="1"/>
  <c r="AF3" i="10" a="1"/>
  <c r="AF3" i="10" s="1"/>
  <c r="AI26" i="14" a="1"/>
  <c r="AI26" i="14" s="1"/>
  <c r="AK23" i="14" a="1"/>
  <c r="AK23" i="14" s="1"/>
  <c r="AJ16" i="14" a="1"/>
  <c r="AJ16" i="14" s="1"/>
  <c r="AB5" i="19" a="1"/>
  <c r="AB5" i="19" s="1"/>
  <c r="AB14" i="14" a="1"/>
  <c r="AB14" i="14" s="1"/>
  <c r="AC6" i="14" a="1"/>
  <c r="AC6" i="14" s="1"/>
  <c r="AL26" i="14" a="1"/>
  <c r="AL26" i="14" s="1"/>
  <c r="AN23" i="14" a="1"/>
  <c r="AN23" i="14" s="1"/>
  <c r="AK17" i="14" a="1"/>
  <c r="AK17" i="14" s="1"/>
  <c r="AM14" i="14" a="1"/>
  <c r="AM14" i="14" s="1"/>
  <c r="AL3" i="10" a="1"/>
  <c r="AL3" i="10" s="1"/>
  <c r="AD25" i="14" a="1"/>
  <c r="AD25" i="14" s="1"/>
  <c r="AE16" i="14" a="1"/>
  <c r="AE16" i="14" s="1"/>
  <c r="AF8" i="14" a="1"/>
  <c r="AF8" i="14" s="1"/>
  <c r="AB6" i="14" a="1"/>
  <c r="AB6" i="14" s="1"/>
  <c r="AK26" i="14" a="1"/>
  <c r="AK26" i="14" s="1"/>
  <c r="AM23" i="14" a="1"/>
  <c r="AM23" i="14" s="1"/>
  <c r="AJ17" i="14" a="1"/>
  <c r="AJ17" i="14" s="1"/>
  <c r="AL14" i="14" a="1"/>
  <c r="AL14" i="14" s="1"/>
  <c r="AI8" i="14" a="1"/>
  <c r="AI8" i="14" s="1"/>
  <c r="AN53" i="20" a="1"/>
  <c r="AN53" i="20" s="1"/>
  <c r="AM53" i="20" a="1"/>
  <c r="AM53" i="20" s="1"/>
  <c r="AN3" i="16" a="1"/>
  <c r="AN3" i="16" s="1"/>
  <c r="AH17" i="16" a="1"/>
  <c r="AH17" i="16" s="1"/>
  <c r="AD11" i="16" a="1"/>
  <c r="AD11" i="16" s="1"/>
  <c r="AF8" i="16" a="1"/>
  <c r="AF8" i="16" s="1"/>
  <c r="AN19" i="16" a="1"/>
  <c r="AN19" i="16" s="1"/>
  <c r="AJ17" i="16" a="1"/>
  <c r="AJ17" i="16" s="1"/>
  <c r="AF20" i="16" a="1"/>
  <c r="AF20" i="16" s="1"/>
  <c r="AG17" i="16" a="1"/>
  <c r="AG17" i="16" s="1"/>
  <c r="AC11" i="16" a="1"/>
  <c r="AC11" i="16" s="1"/>
  <c r="AE8" i="16" a="1"/>
  <c r="AE8" i="16" s="1"/>
  <c r="AO18" i="16" a="1"/>
  <c r="AO18" i="16" s="1"/>
  <c r="AK16" i="16" a="1"/>
  <c r="AK16" i="16" s="1"/>
  <c r="AM9" i="16" a="1"/>
  <c r="AM9" i="16" s="1"/>
  <c r="AQ17" i="16"/>
  <c r="AF17" i="16" a="1"/>
  <c r="AF17" i="16" s="1"/>
  <c r="AD8" i="16" a="1"/>
  <c r="AD8" i="16" s="1"/>
  <c r="AJ16" i="16" a="1"/>
  <c r="AJ16" i="16" s="1"/>
  <c r="AL9" i="16" a="1"/>
  <c r="AL9" i="16" s="1"/>
  <c r="AC8" i="16" a="1"/>
  <c r="AC8" i="16" s="1"/>
  <c r="AO11" i="16" a="1"/>
  <c r="AO11" i="16" s="1"/>
  <c r="AK9" i="16" a="1"/>
  <c r="AK9" i="16" s="1"/>
  <c r="AQ19" i="16"/>
  <c r="AN11" i="16" a="1"/>
  <c r="AN11" i="16" s="1"/>
  <c r="AJ9" i="16" a="1"/>
  <c r="AJ9" i="16" s="1"/>
  <c r="AF16" i="16" a="1"/>
  <c r="AF16" i="16" s="1"/>
  <c r="AC19" i="16" a="1"/>
  <c r="AC19" i="16" s="1"/>
  <c r="AE16" i="16" a="1"/>
  <c r="AE16" i="16" s="1"/>
  <c r="AG9" i="16" a="1"/>
  <c r="AG9" i="16" s="1"/>
  <c r="AD3" i="16" a="1"/>
  <c r="AD3" i="16" s="1"/>
  <c r="AM17" i="16" a="1"/>
  <c r="AM17" i="16" s="1"/>
  <c r="AO10" i="16" a="1"/>
  <c r="AO10" i="16" s="1"/>
  <c r="AK8" i="16" a="1"/>
  <c r="AK8" i="16" s="1"/>
  <c r="AD19" i="16" a="1"/>
  <c r="AD19" i="16" s="1"/>
  <c r="AH9" i="16" a="1"/>
  <c r="AH9" i="16" s="1"/>
  <c r="AH18" i="16" a="1"/>
  <c r="AH18" i="16" s="1"/>
  <c r="AD16" i="16" a="1"/>
  <c r="AD16" i="16" s="1"/>
  <c r="AF9" i="16" a="1"/>
  <c r="AF9" i="16" s="1"/>
  <c r="AC3" i="16" a="1"/>
  <c r="AC3" i="16" s="1"/>
  <c r="AL17" i="16" a="1"/>
  <c r="AL17" i="16" s="1"/>
  <c r="AN10" i="16" a="1"/>
  <c r="AN10" i="16" s="1"/>
  <c r="AJ8" i="16" a="1"/>
  <c r="AJ8" i="16" s="1"/>
  <c r="AE17" i="16" a="1"/>
  <c r="AE17" i="16" s="1"/>
  <c r="AG18" i="16" a="1"/>
  <c r="AG18" i="16" s="1"/>
  <c r="AC16" i="16" a="1"/>
  <c r="AC16" i="16" s="1"/>
  <c r="AE9" i="16" a="1"/>
  <c r="AE9" i="16" s="1"/>
  <c r="AO19" i="16" a="1"/>
  <c r="AO19" i="16" s="1"/>
  <c r="AK17" i="16" a="1"/>
  <c r="AK17" i="16" s="1"/>
  <c r="AM10" i="16" a="1"/>
  <c r="AM10" i="16" s="1"/>
  <c r="AO3" i="16" a="1"/>
  <c r="AO3" i="16" s="1"/>
  <c r="AH17" i="10" a="1"/>
  <c r="AH17" i="10" s="1"/>
  <c r="AK17" i="10" a="1"/>
  <c r="AK17" i="10" s="1"/>
  <c r="AK9" i="10" a="1"/>
  <c r="AK9" i="10" s="1"/>
  <c r="AO7" i="10" a="1"/>
  <c r="AO7" i="10" s="1"/>
  <c r="AK6" i="10" a="1"/>
  <c r="AK6" i="10" s="1"/>
  <c r="AJ9" i="10" a="1"/>
  <c r="AJ9" i="10" s="1"/>
  <c r="AN7" i="10" a="1"/>
  <c r="AN7" i="10" s="1"/>
  <c r="AJ6" i="10" a="1"/>
  <c r="AJ6" i="10" s="1"/>
  <c r="AG9" i="10" a="1"/>
  <c r="AG9" i="10" s="1"/>
  <c r="AE8" i="10" a="1"/>
  <c r="AE8" i="10" s="1"/>
  <c r="AO8" i="10" a="1"/>
  <c r="AO8" i="10" s="1"/>
  <c r="AM7" i="10" a="1"/>
  <c r="AM7" i="10" s="1"/>
  <c r="AG26" i="10" a="1"/>
  <c r="AG26" i="10" s="1"/>
  <c r="AE25" i="10" a="1"/>
  <c r="AE25" i="10" s="1"/>
  <c r="AG17" i="10" a="1"/>
  <c r="AG17" i="10" s="1"/>
  <c r="AE16" i="10" a="1"/>
  <c r="AE16" i="10" s="1"/>
  <c r="AF17" i="10" a="1"/>
  <c r="AF17" i="10" s="1"/>
  <c r="AD16" i="10" a="1"/>
  <c r="AD16" i="10" s="1"/>
  <c r="AO16" i="10" a="1"/>
  <c r="AO16" i="10" s="1"/>
  <c r="AM15" i="10" a="1"/>
  <c r="AM15" i="10" s="1"/>
  <c r="AG27" i="10" a="1"/>
  <c r="AG27" i="10" s="1"/>
  <c r="AE26" i="10" a="1"/>
  <c r="AE26" i="10" s="1"/>
  <c r="AC25" i="10" a="1"/>
  <c r="AC25" i="10" s="1"/>
  <c r="AG23" i="10" a="1"/>
  <c r="AG23" i="10" s="1"/>
  <c r="AE22" i="10" a="1"/>
  <c r="AE22" i="10" s="1"/>
  <c r="AC20" i="10" a="1"/>
  <c r="AC20" i="10" s="1"/>
  <c r="AG18" i="10" a="1"/>
  <c r="AG18" i="10" s="1"/>
  <c r="AE17" i="10" a="1"/>
  <c r="AE17" i="10" s="1"/>
  <c r="AC16" i="10" a="1"/>
  <c r="AC16" i="10" s="1"/>
  <c r="AG14" i="10" a="1"/>
  <c r="AG14" i="10" s="1"/>
  <c r="AE13" i="10" a="1"/>
  <c r="AE13" i="10" s="1"/>
  <c r="AC12" i="10" a="1"/>
  <c r="AC12" i="10" s="1"/>
  <c r="AG10" i="10" a="1"/>
  <c r="AG10" i="10" s="1"/>
  <c r="AE9" i="10" a="1"/>
  <c r="AE9" i="10" s="1"/>
  <c r="AC8" i="10" a="1"/>
  <c r="AC8" i="10" s="1"/>
  <c r="AG21" i="10" a="1"/>
  <c r="AG21" i="10" s="1"/>
  <c r="AE6" i="10" a="1"/>
  <c r="AE6" i="10" s="1"/>
  <c r="AC5" i="10" a="1"/>
  <c r="AC5" i="10" s="1"/>
  <c r="AG3" i="10" a="1"/>
  <c r="AG3" i="10" s="1"/>
  <c r="AJ27" i="10" a="1"/>
  <c r="AJ27" i="10" s="1"/>
  <c r="AN25" i="10" a="1"/>
  <c r="AN25" i="10" s="1"/>
  <c r="AL24" i="10" a="1"/>
  <c r="AL24" i="10" s="1"/>
  <c r="AJ23" i="10" a="1"/>
  <c r="AJ23" i="10" s="1"/>
  <c r="AN20" i="10" a="1"/>
  <c r="AN20" i="10" s="1"/>
  <c r="AL19" i="10" a="1"/>
  <c r="AL19" i="10" s="1"/>
  <c r="AJ18" i="10" a="1"/>
  <c r="AJ18" i="10" s="1"/>
  <c r="AN16" i="10" a="1"/>
  <c r="AN16" i="10" s="1"/>
  <c r="AL15" i="10" a="1"/>
  <c r="AL15" i="10" s="1"/>
  <c r="AJ14" i="10" a="1"/>
  <c r="AJ14" i="10" s="1"/>
  <c r="AN12" i="10" a="1"/>
  <c r="AN12" i="10" s="1"/>
  <c r="AL11" i="10" a="1"/>
  <c r="AL11" i="10" s="1"/>
  <c r="AJ10" i="10" a="1"/>
  <c r="AJ10" i="10" s="1"/>
  <c r="AN8" i="10" a="1"/>
  <c r="AN8" i="10" s="1"/>
  <c r="AL7" i="10" a="1"/>
  <c r="AL7" i="10" s="1"/>
  <c r="AJ21" i="10" a="1"/>
  <c r="AJ21" i="10" s="1"/>
  <c r="AN5" i="10" a="1"/>
  <c r="AN5" i="10" s="1"/>
  <c r="AL4" i="10" a="1"/>
  <c r="AL4" i="10" s="1"/>
  <c r="AJ3" i="10" a="1"/>
  <c r="AJ3" i="10" s="1"/>
  <c r="AJ26" i="10" a="1"/>
  <c r="AJ26" i="10" s="1"/>
  <c r="AD17" i="10" a="1"/>
  <c r="AD17" i="10" s="1"/>
  <c r="AH15" i="10" a="1"/>
  <c r="AH15" i="10" s="1"/>
  <c r="AO17" i="10" a="1"/>
  <c r="AO17" i="10" s="1"/>
  <c r="AK15" i="10" a="1"/>
  <c r="AK15" i="10" s="1"/>
  <c r="AO13" i="10" a="1"/>
  <c r="AO13" i="10" s="1"/>
  <c r="AK26" i="10" a="1"/>
  <c r="AK26" i="10" s="1"/>
  <c r="AO25" i="10" a="1"/>
  <c r="AO25" i="10" s="1"/>
  <c r="AD26" i="10" a="1"/>
  <c r="AD26" i="10" s="1"/>
  <c r="AH24" i="10" a="1"/>
  <c r="AH24" i="10" s="1"/>
  <c r="AD13" i="10" a="1"/>
  <c r="AD13" i="10" s="1"/>
  <c r="AD6" i="10" a="1"/>
  <c r="AD6" i="10" s="1"/>
  <c r="AM16" i="10" a="1"/>
  <c r="AM16" i="10" s="1"/>
  <c r="AE27" i="10" a="1"/>
  <c r="AE27" i="10" s="1"/>
  <c r="AC26" i="10" a="1"/>
  <c r="AC26" i="10" s="1"/>
  <c r="AG24" i="10" a="1"/>
  <c r="AG24" i="10" s="1"/>
  <c r="AE23" i="10" a="1"/>
  <c r="AE23" i="10" s="1"/>
  <c r="AC22" i="10" a="1"/>
  <c r="AC22" i="10" s="1"/>
  <c r="AG19" i="10" a="1"/>
  <c r="AG19" i="10" s="1"/>
  <c r="AE18" i="10" a="1"/>
  <c r="AE18" i="10" s="1"/>
  <c r="AC17" i="10" a="1"/>
  <c r="AC17" i="10" s="1"/>
  <c r="AG15" i="10" a="1"/>
  <c r="AG15" i="10" s="1"/>
  <c r="AE14" i="10" a="1"/>
  <c r="AE14" i="10" s="1"/>
  <c r="AC13" i="10" a="1"/>
  <c r="AC13" i="10" s="1"/>
  <c r="AG11" i="10" a="1"/>
  <c r="AG11" i="10" s="1"/>
  <c r="AE10" i="10" a="1"/>
  <c r="AE10" i="10" s="1"/>
  <c r="AC9" i="10" a="1"/>
  <c r="AC9" i="10" s="1"/>
  <c r="AG7" i="10" a="1"/>
  <c r="AG7" i="10" s="1"/>
  <c r="AE21" i="10" a="1"/>
  <c r="AE21" i="10" s="1"/>
  <c r="AC6" i="10" a="1"/>
  <c r="AC6" i="10" s="1"/>
  <c r="AG4" i="10" a="1"/>
  <c r="AG4" i="10" s="1"/>
  <c r="AE3" i="10" a="1"/>
  <c r="AE3" i="10" s="1"/>
  <c r="AN26" i="10" a="1"/>
  <c r="AN26" i="10" s="1"/>
  <c r="AL25" i="10" a="1"/>
  <c r="AL25" i="10" s="1"/>
  <c r="AJ24" i="10" a="1"/>
  <c r="AJ24" i="10" s="1"/>
  <c r="AN22" i="10" a="1"/>
  <c r="AN22" i="10" s="1"/>
  <c r="AL20" i="10" a="1"/>
  <c r="AL20" i="10" s="1"/>
  <c r="AJ19" i="10" a="1"/>
  <c r="AJ19" i="10" s="1"/>
  <c r="AN17" i="10" a="1"/>
  <c r="AN17" i="10" s="1"/>
  <c r="AL16" i="10" a="1"/>
  <c r="AL16" i="10" s="1"/>
  <c r="AJ15" i="10" a="1"/>
  <c r="AJ15" i="10" s="1"/>
  <c r="AN13" i="10" a="1"/>
  <c r="AN13" i="10" s="1"/>
  <c r="AL12" i="10" a="1"/>
  <c r="AL12" i="10" s="1"/>
  <c r="AJ11" i="10" a="1"/>
  <c r="AJ11" i="10" s="1"/>
  <c r="AN9" i="10" a="1"/>
  <c r="AN9" i="10" s="1"/>
  <c r="AL8" i="10" a="1"/>
  <c r="AL8" i="10" s="1"/>
  <c r="AJ7" i="10" a="1"/>
  <c r="AJ7" i="10" s="1"/>
  <c r="AN6" i="10" a="1"/>
  <c r="AN6" i="10" s="1"/>
  <c r="AL5" i="10" a="1"/>
  <c r="AL5" i="10" s="1"/>
  <c r="AJ4" i="10" a="1"/>
  <c r="AJ4" i="10" s="1"/>
  <c r="AH26" i="10" a="1"/>
  <c r="AH26" i="10" s="1"/>
  <c r="AF26" i="10" a="1"/>
  <c r="AF26" i="10" s="1"/>
  <c r="AD25" i="10" a="1"/>
  <c r="AD25" i="10" s="1"/>
  <c r="AF9" i="10" a="1"/>
  <c r="AF9" i="10" s="1"/>
  <c r="AD8" i="10" a="1"/>
  <c r="AD8" i="10" s="1"/>
  <c r="AM24" i="10" a="1"/>
  <c r="AM24" i="10" s="1"/>
  <c r="AD22" i="10" a="1"/>
  <c r="AD22" i="10" s="1"/>
  <c r="AK7" i="10" a="1"/>
  <c r="AK7" i="10" s="1"/>
  <c r="AD27" i="10" a="1"/>
  <c r="AD27" i="10" s="1"/>
  <c r="AH25" i="10" a="1"/>
  <c r="AH25" i="10" s="1"/>
  <c r="AF24" i="10" a="1"/>
  <c r="AF24" i="10" s="1"/>
  <c r="AD23" i="10" a="1"/>
  <c r="AD23" i="10" s="1"/>
  <c r="AH20" i="10" a="1"/>
  <c r="AH20" i="10" s="1"/>
  <c r="AF19" i="10" a="1"/>
  <c r="AF19" i="10" s="1"/>
  <c r="AD18" i="10" a="1"/>
  <c r="AD18" i="10" s="1"/>
  <c r="AH16" i="10" a="1"/>
  <c r="AH16" i="10" s="1"/>
  <c r="AF15" i="10" a="1"/>
  <c r="AF15" i="10" s="1"/>
  <c r="AD14" i="10" a="1"/>
  <c r="AD14" i="10" s="1"/>
  <c r="AH12" i="10" a="1"/>
  <c r="AH12" i="10" s="1"/>
  <c r="AF11" i="10" a="1"/>
  <c r="AF11" i="10" s="1"/>
  <c r="AD10" i="10" a="1"/>
  <c r="AD10" i="10" s="1"/>
  <c r="AH8" i="10" a="1"/>
  <c r="AH8" i="10" s="1"/>
  <c r="AF7" i="10" a="1"/>
  <c r="AF7" i="10" s="1"/>
  <c r="AD21" i="10" a="1"/>
  <c r="AD21" i="10" s="1"/>
  <c r="AH5" i="10" a="1"/>
  <c r="AH5" i="10" s="1"/>
  <c r="AF4" i="10" a="1"/>
  <c r="AF4" i="10" s="1"/>
  <c r="AD3" i="10" a="1"/>
  <c r="AD3" i="10" s="1"/>
  <c r="AO27" i="10" a="1"/>
  <c r="AO27" i="10" s="1"/>
  <c r="AM26" i="10" a="1"/>
  <c r="AM26" i="10" s="1"/>
  <c r="AK25" i="10" a="1"/>
  <c r="AK25" i="10" s="1"/>
  <c r="AO23" i="10" a="1"/>
  <c r="AO23" i="10" s="1"/>
  <c r="AM22" i="10" a="1"/>
  <c r="AM22" i="10" s="1"/>
  <c r="AK20" i="10" a="1"/>
  <c r="AK20" i="10" s="1"/>
  <c r="AO18" i="10" a="1"/>
  <c r="AO18" i="10" s="1"/>
  <c r="AM17" i="10" a="1"/>
  <c r="AM17" i="10" s="1"/>
  <c r="AK16" i="10" a="1"/>
  <c r="AK16" i="10" s="1"/>
  <c r="AO14" i="10" a="1"/>
  <c r="AO14" i="10" s="1"/>
  <c r="AM13" i="10" a="1"/>
  <c r="AM13" i="10" s="1"/>
  <c r="AK12" i="10" a="1"/>
  <c r="AK12" i="10" s="1"/>
  <c r="AO10" i="10" a="1"/>
  <c r="AO10" i="10" s="1"/>
  <c r="AM9" i="10" a="1"/>
  <c r="AM9" i="10" s="1"/>
  <c r="AK8" i="10" a="1"/>
  <c r="AK8" i="10" s="1"/>
  <c r="AO21" i="10" a="1"/>
  <c r="AO21" i="10" s="1"/>
  <c r="AM6" i="10" a="1"/>
  <c r="AM6" i="10" s="1"/>
  <c r="AK5" i="10" a="1"/>
  <c r="AK5" i="10" s="1"/>
  <c r="AO3" i="10" a="1"/>
  <c r="AO3" i="10" s="1"/>
  <c r="AH9" i="10" a="1"/>
  <c r="AH9" i="10" s="1"/>
  <c r="AJ17" i="10" a="1"/>
  <c r="AJ17" i="10" s="1"/>
  <c r="AD9" i="10" a="1"/>
  <c r="AD9" i="10" s="1"/>
  <c r="AH7" i="10" a="1"/>
  <c r="AH7" i="10" s="1"/>
  <c r="AO26" i="10" a="1"/>
  <c r="AO26" i="10" s="1"/>
  <c r="AM25" i="10" a="1"/>
  <c r="AM25" i="10" s="1"/>
  <c r="AK24" i="10" a="1"/>
  <c r="AK24" i="10" s="1"/>
  <c r="AO22" i="10" a="1"/>
  <c r="AO22" i="10" s="1"/>
  <c r="AO9" i="10" a="1"/>
  <c r="AO9" i="10" s="1"/>
  <c r="AM8" i="10" a="1"/>
  <c r="AM8" i="10" s="1"/>
  <c r="AO6" i="10" a="1"/>
  <c r="AO6" i="10" s="1"/>
  <c r="AC27" i="10" a="1"/>
  <c r="AC27" i="10" s="1"/>
  <c r="AG25" i="10" a="1"/>
  <c r="AG25" i="10" s="1"/>
  <c r="AC23" i="10" a="1"/>
  <c r="AC23" i="10" s="1"/>
  <c r="AG20" i="10" a="1"/>
  <c r="AG20" i="10" s="1"/>
  <c r="AC18" i="10" a="1"/>
  <c r="AC18" i="10" s="1"/>
  <c r="AG16" i="10" a="1"/>
  <c r="AG16" i="10" s="1"/>
  <c r="AC14" i="10" a="1"/>
  <c r="AC14" i="10" s="1"/>
  <c r="AG12" i="10" a="1"/>
  <c r="AG12" i="10" s="1"/>
  <c r="AC10" i="10" a="1"/>
  <c r="AC10" i="10" s="1"/>
  <c r="AG8" i="10" a="1"/>
  <c r="AG8" i="10" s="1"/>
  <c r="AC21" i="10" a="1"/>
  <c r="AC21" i="10" s="1"/>
  <c r="AG5" i="10" a="1"/>
  <c r="AG5" i="10" s="1"/>
  <c r="AC3" i="10" a="1"/>
  <c r="AC3" i="10" s="1"/>
  <c r="AC9" i="15" a="1"/>
  <c r="AC9" i="15" s="1"/>
  <c r="AD6" i="15" a="1"/>
  <c r="AD6" i="15" s="1"/>
  <c r="AF19" i="15" a="1"/>
  <c r="AF19" i="15" s="1"/>
  <c r="AM17" i="15" a="1"/>
  <c r="AM17" i="15" s="1"/>
  <c r="AH17" i="15" a="1"/>
  <c r="AH17" i="15" s="1"/>
  <c r="AK17" i="15" a="1"/>
  <c r="AK17" i="15" s="1"/>
  <c r="AC17" i="15" a="1"/>
  <c r="AC17" i="15" s="1"/>
  <c r="AN9" i="15" a="1"/>
  <c r="AN9" i="15" s="1"/>
  <c r="AD14" i="15" a="1"/>
  <c r="AD14" i="15" s="1"/>
  <c r="AM9" i="15" a="1"/>
  <c r="AM9" i="15" s="1"/>
  <c r="AC14" i="15" a="1"/>
  <c r="AC14" i="15" s="1"/>
  <c r="AN6" i="15" a="1"/>
  <c r="AN6" i="15" s="1"/>
  <c r="AF4" i="14" a="1"/>
  <c r="AF4" i="14" s="1"/>
  <c r="AK22" i="14" a="1"/>
  <c r="AK22" i="14" s="1"/>
  <c r="AI20" i="14" a="1"/>
  <c r="AI20" i="14" s="1"/>
  <c r="AK13" i="14" a="1"/>
  <c r="AK13" i="14" s="1"/>
  <c r="AI12" i="14" a="1"/>
  <c r="AI12" i="14" s="1"/>
  <c r="AK5" i="14" a="1"/>
  <c r="AK5" i="14" s="1"/>
  <c r="AI4" i="14" a="1"/>
  <c r="AI4" i="14" s="1"/>
  <c r="AE4" i="14" a="1"/>
  <c r="AE4" i="14" s="1"/>
  <c r="AC3" i="14" a="1"/>
  <c r="AC3" i="14" s="1"/>
  <c r="AN28" i="14" a="1"/>
  <c r="AN28" i="14" s="1"/>
  <c r="AJ22" i="14" a="1"/>
  <c r="AJ22" i="14" s="1"/>
  <c r="AN19" i="14" a="1"/>
  <c r="AN19" i="14" s="1"/>
  <c r="AJ13" i="14" a="1"/>
  <c r="AJ13" i="14" s="1"/>
  <c r="AN11" i="14" a="1"/>
  <c r="AN11" i="14" s="1"/>
  <c r="AL10" i="14" a="1"/>
  <c r="AL10" i="14" s="1"/>
  <c r="AJ5" i="14" a="1"/>
  <c r="AJ5" i="14" s="1"/>
  <c r="AN3" i="14" a="1"/>
  <c r="AN3" i="14" s="1"/>
  <c r="AC28" i="14" a="1"/>
  <c r="AC28" i="14" s="1"/>
  <c r="AB28" i="14" a="1"/>
  <c r="AB28" i="14" s="1"/>
  <c r="AD4" i="14" a="1"/>
  <c r="AD4" i="14" s="1"/>
  <c r="AM28" i="14" a="1"/>
  <c r="AM28" i="14" s="1"/>
  <c r="AI22" i="14" a="1"/>
  <c r="AI22" i="14" s="1"/>
  <c r="AM19" i="14" a="1"/>
  <c r="AM19" i="14" s="1"/>
  <c r="AK18" i="14" a="1"/>
  <c r="AK18" i="14" s="1"/>
  <c r="AI13" i="14" a="1"/>
  <c r="AI13" i="14" s="1"/>
  <c r="AI5" i="14" a="1"/>
  <c r="AI5" i="14" s="1"/>
  <c r="AM3" i="14" a="1"/>
  <c r="AM3" i="14" s="1"/>
  <c r="AF20" i="14" a="1"/>
  <c r="AF20" i="14" s="1"/>
  <c r="AG13" i="14" a="1"/>
  <c r="AG13" i="14" s="1"/>
  <c r="AE12" i="14" a="1"/>
  <c r="AE12" i="14" s="1"/>
  <c r="AC11" i="14" a="1"/>
  <c r="AC11" i="14" s="1"/>
  <c r="AF13" i="14" a="1"/>
  <c r="AF13" i="14" s="1"/>
  <c r="AD12" i="14" a="1"/>
  <c r="AD12" i="14" s="1"/>
  <c r="AB11" i="14" a="1"/>
  <c r="AB11" i="14" s="1"/>
  <c r="AG27" i="14" a="1"/>
  <c r="AG27" i="14" s="1"/>
  <c r="AE26" i="14" a="1"/>
  <c r="AE26" i="14" s="1"/>
  <c r="AC25" i="14" a="1"/>
  <c r="AC25" i="14" s="1"/>
  <c r="AG23" i="14" a="1"/>
  <c r="AG23" i="14" s="1"/>
  <c r="AE22" i="14" a="1"/>
  <c r="AE22" i="14" s="1"/>
  <c r="AC20" i="14" a="1"/>
  <c r="AC20" i="14" s="1"/>
  <c r="AG18" i="14" a="1"/>
  <c r="AG18" i="14" s="1"/>
  <c r="AE17" i="14" a="1"/>
  <c r="AE17" i="14" s="1"/>
  <c r="AC16" i="14" a="1"/>
  <c r="AC16" i="14" s="1"/>
  <c r="AG14" i="14" a="1"/>
  <c r="AG14" i="14" s="1"/>
  <c r="AE13" i="14" a="1"/>
  <c r="AE13" i="14" s="1"/>
  <c r="AC12" i="14" a="1"/>
  <c r="AC12" i="14" s="1"/>
  <c r="AG10" i="14" a="1"/>
  <c r="AG10" i="14" s="1"/>
  <c r="AE9" i="14" a="1"/>
  <c r="AE9" i="14" s="1"/>
  <c r="AC8" i="14" a="1"/>
  <c r="AC8" i="14" s="1"/>
  <c r="AG6" i="14" a="1"/>
  <c r="AG6" i="14" s="1"/>
  <c r="AE5" i="14" a="1"/>
  <c r="AE5" i="14" s="1"/>
  <c r="AC4" i="14" a="1"/>
  <c r="AC4" i="14" s="1"/>
  <c r="Z4" i="14" s="1"/>
  <c r="AL28" i="14" a="1"/>
  <c r="AL28" i="14" s="1"/>
  <c r="AJ27" i="14" a="1"/>
  <c r="AJ27" i="14" s="1"/>
  <c r="AN25" i="14" a="1"/>
  <c r="AN25" i="14" s="1"/>
  <c r="AL24" i="14" a="1"/>
  <c r="AL24" i="14" s="1"/>
  <c r="AJ23" i="14" a="1"/>
  <c r="AJ23" i="14" s="1"/>
  <c r="AN20" i="14" a="1"/>
  <c r="AN20" i="14" s="1"/>
  <c r="AL19" i="14" a="1"/>
  <c r="AL19" i="14" s="1"/>
  <c r="AJ18" i="14" a="1"/>
  <c r="AJ18" i="14" s="1"/>
  <c r="AN16" i="14" a="1"/>
  <c r="AN16" i="14" s="1"/>
  <c r="AL15" i="14" a="1"/>
  <c r="AL15" i="14" s="1"/>
  <c r="AJ14" i="14" a="1"/>
  <c r="AJ14" i="14" s="1"/>
  <c r="AN12" i="14" a="1"/>
  <c r="AN12" i="14" s="1"/>
  <c r="AL11" i="14" a="1"/>
  <c r="AL11" i="14" s="1"/>
  <c r="AJ10" i="14" a="1"/>
  <c r="AJ10" i="14" s="1"/>
  <c r="AN8" i="14" a="1"/>
  <c r="AN8" i="14" s="1"/>
  <c r="AL7" i="14" a="1"/>
  <c r="AL7" i="14" s="1"/>
  <c r="AJ6" i="14" a="1"/>
  <c r="AJ6" i="14" s="1"/>
  <c r="AN4" i="14" a="1"/>
  <c r="AN4" i="14" s="1"/>
  <c r="AL3" i="14" a="1"/>
  <c r="AL3" i="14" s="1"/>
  <c r="AG22" i="14" a="1"/>
  <c r="AG22" i="14" s="1"/>
  <c r="AE20" i="14" a="1"/>
  <c r="AE20" i="14" s="1"/>
  <c r="AC19" i="14" a="1"/>
  <c r="AC19" i="14" s="1"/>
  <c r="AF22" i="14" a="1"/>
  <c r="AF22" i="14" s="1"/>
  <c r="AD20" i="14" a="1"/>
  <c r="AD20" i="14" s="1"/>
  <c r="AB19" i="14" a="1"/>
  <c r="AB19" i="14" s="1"/>
  <c r="AK10" i="14" a="1"/>
  <c r="AK10" i="14" s="1"/>
  <c r="AF27" i="14" a="1"/>
  <c r="AF27" i="14" s="1"/>
  <c r="AD26" i="14" a="1"/>
  <c r="AD26" i="14" s="1"/>
  <c r="AB25" i="14" a="1"/>
  <c r="AB25" i="14" s="1"/>
  <c r="AF23" i="14" a="1"/>
  <c r="AF23" i="14" s="1"/>
  <c r="AD22" i="14" a="1"/>
  <c r="AD22" i="14" s="1"/>
  <c r="AB20" i="14" a="1"/>
  <c r="AB20" i="14" s="1"/>
  <c r="AF18" i="14" a="1"/>
  <c r="AF18" i="14" s="1"/>
  <c r="AD17" i="14" a="1"/>
  <c r="AD17" i="14" s="1"/>
  <c r="AB16" i="14" a="1"/>
  <c r="AB16" i="14" s="1"/>
  <c r="AF14" i="14" a="1"/>
  <c r="AF14" i="14" s="1"/>
  <c r="AD13" i="14" a="1"/>
  <c r="AD13" i="14" s="1"/>
  <c r="AB12" i="14" a="1"/>
  <c r="AB12" i="14" s="1"/>
  <c r="AF10" i="14" a="1"/>
  <c r="AF10" i="14" s="1"/>
  <c r="AD9" i="14" a="1"/>
  <c r="AD9" i="14" s="1"/>
  <c r="AB8" i="14" a="1"/>
  <c r="AB8" i="14" s="1"/>
  <c r="AF6" i="14" a="1"/>
  <c r="AF6" i="14" s="1"/>
  <c r="AD5" i="14" a="1"/>
  <c r="AD5" i="14" s="1"/>
  <c r="AB4" i="14" a="1"/>
  <c r="AB4" i="14" s="1"/>
  <c r="AK28" i="14" a="1"/>
  <c r="AK28" i="14" s="1"/>
  <c r="AI27" i="14" a="1"/>
  <c r="AI27" i="14" s="1"/>
  <c r="AM25" i="14" a="1"/>
  <c r="AM25" i="14" s="1"/>
  <c r="AK24" i="14" a="1"/>
  <c r="AK24" i="14" s="1"/>
  <c r="AI23" i="14" a="1"/>
  <c r="AI23" i="14" s="1"/>
  <c r="AM20" i="14" a="1"/>
  <c r="AM20" i="14" s="1"/>
  <c r="AK19" i="14" a="1"/>
  <c r="AK19" i="14" s="1"/>
  <c r="AI18" i="14" a="1"/>
  <c r="AI18" i="14" s="1"/>
  <c r="AM16" i="14" a="1"/>
  <c r="AM16" i="14" s="1"/>
  <c r="AK15" i="14" a="1"/>
  <c r="AK15" i="14" s="1"/>
  <c r="AI14" i="14" a="1"/>
  <c r="AI14" i="14" s="1"/>
  <c r="AM12" i="14" a="1"/>
  <c r="AM12" i="14" s="1"/>
  <c r="AK11" i="14" a="1"/>
  <c r="AK11" i="14" s="1"/>
  <c r="AI10" i="14" a="1"/>
  <c r="AI10" i="14" s="1"/>
  <c r="AM8" i="14" a="1"/>
  <c r="AM8" i="14" s="1"/>
  <c r="AK7" i="14" a="1"/>
  <c r="AK7" i="14" s="1"/>
  <c r="AI6" i="14" a="1"/>
  <c r="AI6" i="14" s="1"/>
  <c r="AM4" i="14" a="1"/>
  <c r="AM4" i="14" s="1"/>
  <c r="AK3" i="14" a="1"/>
  <c r="AK3" i="14" s="1"/>
  <c r="AP11" i="14"/>
  <c r="AG5" i="14" a="1"/>
  <c r="AG5" i="14" s="1"/>
  <c r="AM11" i="14" a="1"/>
  <c r="AM11" i="14" s="1"/>
  <c r="AG28" i="14" a="1"/>
  <c r="AG28" i="14" s="1"/>
  <c r="AE27" i="14" a="1"/>
  <c r="AE27" i="14" s="1"/>
  <c r="AC26" i="14" a="1"/>
  <c r="AC26" i="14" s="1"/>
  <c r="AG24" i="14" a="1"/>
  <c r="AG24" i="14" s="1"/>
  <c r="AE23" i="14" a="1"/>
  <c r="AE23" i="14" s="1"/>
  <c r="AC22" i="14" a="1"/>
  <c r="AC22" i="14" s="1"/>
  <c r="AG19" i="14" a="1"/>
  <c r="AG19" i="14" s="1"/>
  <c r="AE18" i="14" a="1"/>
  <c r="AE18" i="14" s="1"/>
  <c r="AC17" i="14" a="1"/>
  <c r="AC17" i="14" s="1"/>
  <c r="AG15" i="14" a="1"/>
  <c r="AG15" i="14" s="1"/>
  <c r="AE14" i="14" a="1"/>
  <c r="AE14" i="14" s="1"/>
  <c r="AC13" i="14" a="1"/>
  <c r="AC13" i="14" s="1"/>
  <c r="AG11" i="14" a="1"/>
  <c r="AG11" i="14" s="1"/>
  <c r="AE10" i="14" a="1"/>
  <c r="AE10" i="14" s="1"/>
  <c r="AC9" i="14" a="1"/>
  <c r="AC9" i="14" s="1"/>
  <c r="AG7" i="14" a="1"/>
  <c r="AG7" i="14" s="1"/>
  <c r="AE6" i="14" a="1"/>
  <c r="AE6" i="14" s="1"/>
  <c r="AC5" i="14" a="1"/>
  <c r="AC5" i="14" s="1"/>
  <c r="AG3" i="14" a="1"/>
  <c r="AG3" i="14" s="1"/>
  <c r="AJ28" i="14" a="1"/>
  <c r="AJ28" i="14" s="1"/>
  <c r="AN26" i="14" a="1"/>
  <c r="AN26" i="14" s="1"/>
  <c r="AL25" i="14" a="1"/>
  <c r="AL25" i="14" s="1"/>
  <c r="AJ24" i="14" a="1"/>
  <c r="AJ24" i="14" s="1"/>
  <c r="AN22" i="14" a="1"/>
  <c r="AN22" i="14" s="1"/>
  <c r="AL20" i="14" a="1"/>
  <c r="AL20" i="14" s="1"/>
  <c r="AJ19" i="14" a="1"/>
  <c r="AJ19" i="14" s="1"/>
  <c r="AN17" i="14" a="1"/>
  <c r="AN17" i="14" s="1"/>
  <c r="AL16" i="14" a="1"/>
  <c r="AL16" i="14" s="1"/>
  <c r="AJ15" i="14" a="1"/>
  <c r="AJ15" i="14" s="1"/>
  <c r="AN13" i="14" a="1"/>
  <c r="AN13" i="14" s="1"/>
  <c r="AL12" i="14" a="1"/>
  <c r="AL12" i="14" s="1"/>
  <c r="AJ11" i="14" a="1"/>
  <c r="AJ11" i="14" s="1"/>
  <c r="AN9" i="14" a="1"/>
  <c r="AN9" i="14" s="1"/>
  <c r="AL8" i="14" a="1"/>
  <c r="AL8" i="14" s="1"/>
  <c r="AJ7" i="14" a="1"/>
  <c r="AJ7" i="14" s="1"/>
  <c r="AN5" i="14" a="1"/>
  <c r="AN5" i="14" s="1"/>
  <c r="AL4" i="14" a="1"/>
  <c r="AL4" i="14" s="1"/>
  <c r="AJ3" i="14" a="1"/>
  <c r="AJ3" i="14" s="1"/>
  <c r="AP22" i="14"/>
  <c r="AF12" i="14" a="1"/>
  <c r="AF12" i="14" s="1"/>
  <c r="AF5" i="14" a="1"/>
  <c r="AF5" i="14" s="1"/>
  <c r="AB3" i="14" a="1"/>
  <c r="AB3" i="14" s="1"/>
  <c r="AK27" i="14" a="1"/>
  <c r="AK27" i="14" s="1"/>
  <c r="AF28" i="14" a="1"/>
  <c r="AF28" i="14" s="1"/>
  <c r="AB26" i="14" a="1"/>
  <c r="AB26" i="14" s="1"/>
  <c r="AF24" i="14" a="1"/>
  <c r="AF24" i="14" s="1"/>
  <c r="AB22" i="14" a="1"/>
  <c r="AB22" i="14" s="1"/>
  <c r="AF19" i="14" a="1"/>
  <c r="AF19" i="14" s="1"/>
  <c r="AB17" i="14" a="1"/>
  <c r="AB17" i="14" s="1"/>
  <c r="AF15" i="14" a="1"/>
  <c r="AF15" i="14" s="1"/>
  <c r="AB13" i="14" a="1"/>
  <c r="AB13" i="14" s="1"/>
  <c r="AF11" i="14" a="1"/>
  <c r="AF11" i="14" s="1"/>
  <c r="AD10" i="14" a="1"/>
  <c r="AD10" i="14" s="1"/>
  <c r="AB9" i="14" a="1"/>
  <c r="AB9" i="14" s="1"/>
  <c r="AF7" i="14" a="1"/>
  <c r="AF7" i="14" s="1"/>
  <c r="AB5" i="14" a="1"/>
  <c r="AB5" i="14" s="1"/>
  <c r="AF3" i="14" a="1"/>
  <c r="AF3" i="14" s="1"/>
  <c r="AM22" i="14" a="1"/>
  <c r="AM22" i="14" s="1"/>
  <c r="AK20" i="14" a="1"/>
  <c r="AK20" i="14" s="1"/>
  <c r="AM13" i="14" a="1"/>
  <c r="AM13" i="14" s="1"/>
  <c r="AK12" i="14" a="1"/>
  <c r="AK12" i="14" s="1"/>
  <c r="AM5" i="14" a="1"/>
  <c r="AM5" i="14" s="1"/>
  <c r="AK4" i="14" a="1"/>
  <c r="AK4" i="14" s="1"/>
  <c r="AB21" i="19" a="1"/>
  <c r="AB21" i="19" s="1"/>
  <c r="AI21" i="19" a="1"/>
  <c r="AI21" i="19" s="1"/>
  <c r="AG20" i="19" a="1"/>
  <c r="AG20" i="19" s="1"/>
  <c r="AG7" i="19" a="1"/>
  <c r="AG7" i="19" s="1"/>
  <c r="AF7" i="19" a="1"/>
  <c r="AF7" i="19" s="1"/>
  <c r="AC24" i="19" a="1"/>
  <c r="AC24" i="19" s="1"/>
  <c r="AG14" i="19" a="1"/>
  <c r="AG14" i="19" s="1"/>
  <c r="AE7" i="19" a="1"/>
  <c r="AE7" i="19" s="1"/>
  <c r="AM7" i="19" a="1"/>
  <c r="AM7" i="19" s="1"/>
  <c r="AG23" i="19" a="1"/>
  <c r="AG23" i="19" s="1"/>
  <c r="AF14" i="19" a="1"/>
  <c r="AF14" i="19" s="1"/>
  <c r="AK7" i="19" a="1"/>
  <c r="AK7" i="19" s="1"/>
  <c r="AF23" i="19" a="1"/>
  <c r="AF23" i="19" s="1"/>
  <c r="AE14" i="19" a="1"/>
  <c r="AE14" i="19" s="1"/>
  <c r="AC4" i="19" a="1"/>
  <c r="AC4" i="19" s="1"/>
  <c r="AJ7" i="19" a="1"/>
  <c r="AJ7" i="19" s="1"/>
  <c r="AE23" i="19" a="1"/>
  <c r="AE23" i="19" s="1"/>
  <c r="AC12" i="19" a="1"/>
  <c r="AC12" i="19" s="1"/>
  <c r="AM23" i="19" a="1"/>
  <c r="AM23" i="19" s="1"/>
  <c r="AN5" i="19" a="1"/>
  <c r="AN5" i="19" s="1"/>
  <c r="AC21" i="19" a="1"/>
  <c r="AC21" i="19" s="1"/>
  <c r="Z21" i="19" s="1"/>
  <c r="AB12" i="19" a="1"/>
  <c r="AB12" i="19" s="1"/>
  <c r="AK23" i="19" a="1"/>
  <c r="AK23" i="19" s="1"/>
  <c r="AN25" i="19" a="1"/>
  <c r="AN25" i="19" s="1"/>
  <c r="AK13" i="19" a="1"/>
  <c r="AK13" i="19" s="1"/>
  <c r="AG4" i="19" a="1"/>
  <c r="AG4" i="19" s="1"/>
  <c r="AI25" i="19" a="1"/>
  <c r="AI25" i="19" s="1"/>
  <c r="AM20" i="19" a="1"/>
  <c r="AM20" i="19" s="1"/>
  <c r="AI13" i="19" a="1"/>
  <c r="AI13" i="19" s="1"/>
  <c r="AL20" i="19" a="1"/>
  <c r="AL20" i="19" s="1"/>
  <c r="AC20" i="19" a="1"/>
  <c r="AC20" i="19" s="1"/>
  <c r="AG26" i="19" a="1"/>
  <c r="AG26" i="19" s="1"/>
  <c r="AG22" i="19" a="1"/>
  <c r="AG22" i="19" s="1"/>
  <c r="AG19" i="19" a="1"/>
  <c r="AG19" i="19" s="1"/>
  <c r="AG13" i="19" a="1"/>
  <c r="AG13" i="19" s="1"/>
  <c r="AG11" i="19" a="1"/>
  <c r="AG11" i="19" s="1"/>
  <c r="AE6" i="19" a="1"/>
  <c r="AE6" i="19" s="1"/>
  <c r="AI2" i="19" a="1"/>
  <c r="AI2" i="19" s="1"/>
  <c r="AJ23" i="19" a="1"/>
  <c r="AJ23" i="19" s="1"/>
  <c r="AI16" i="19" a="1"/>
  <c r="AI16" i="19" s="1"/>
  <c r="AI5" i="19" a="1"/>
  <c r="AI5" i="19" s="1"/>
  <c r="AN16" i="19" a="1"/>
  <c r="AN16" i="19" s="1"/>
  <c r="AE25" i="19" a="1"/>
  <c r="AE25" i="19" s="1"/>
  <c r="AE22" i="19" a="1"/>
  <c r="AE22" i="19" s="1"/>
  <c r="AE16" i="19" a="1"/>
  <c r="AE16" i="19" s="1"/>
  <c r="AE13" i="19" a="1"/>
  <c r="AE13" i="19" s="1"/>
  <c r="AE9" i="19" a="1"/>
  <c r="AE9" i="19" s="1"/>
  <c r="AD6" i="19" a="1"/>
  <c r="AD6" i="19" s="1"/>
  <c r="AK22" i="19" a="1"/>
  <c r="AK22" i="19" s="1"/>
  <c r="AM14" i="19" a="1"/>
  <c r="AM14" i="19" s="1"/>
  <c r="AM4" i="19" a="1"/>
  <c r="AM4" i="19" s="1"/>
  <c r="AG27" i="19" a="1"/>
  <c r="AG27" i="19" s="1"/>
  <c r="AG6" i="19" a="1"/>
  <c r="AG6" i="19" s="1"/>
  <c r="AC25" i="19" a="1"/>
  <c r="AC25" i="19" s="1"/>
  <c r="Z25" i="19" s="1"/>
  <c r="AD22" i="19" a="1"/>
  <c r="AD22" i="19" s="1"/>
  <c r="AC16" i="19" a="1"/>
  <c r="AC16" i="19" s="1"/>
  <c r="Z16" i="19" s="1"/>
  <c r="AD13" i="19" a="1"/>
  <c r="AD13" i="19" s="1"/>
  <c r="AC9" i="19" a="1"/>
  <c r="AC9" i="19" s="1"/>
  <c r="Z9" i="19" s="1"/>
  <c r="AE5" i="19" a="1"/>
  <c r="AE5" i="19" s="1"/>
  <c r="AN2" i="19" a="1"/>
  <c r="AN2" i="19" s="1"/>
  <c r="AI22" i="19" a="1"/>
  <c r="AI22" i="19" s="1"/>
  <c r="AK14" i="19" a="1"/>
  <c r="AK14" i="19" s="1"/>
  <c r="AN9" i="19" a="1"/>
  <c r="AN9" i="19" s="1"/>
  <c r="AL4" i="19" a="1"/>
  <c r="AL4" i="19" s="1"/>
  <c r="AG3" i="19" a="1"/>
  <c r="AG3" i="19" s="1"/>
  <c r="AB25" i="19" a="1"/>
  <c r="AB25" i="19" s="1"/>
  <c r="AE21" i="19" a="1"/>
  <c r="AE21" i="19" s="1"/>
  <c r="AB16" i="19" a="1"/>
  <c r="AB16" i="19" s="1"/>
  <c r="AE12" i="19" a="1"/>
  <c r="AE12" i="19" s="1"/>
  <c r="AB9" i="19" a="1"/>
  <c r="AB9" i="19" s="1"/>
  <c r="AC5" i="19" a="1"/>
  <c r="AC5" i="19" s="1"/>
  <c r="Z5" i="19" s="1"/>
  <c r="AK27" i="19" a="1"/>
  <c r="AK27" i="19" s="1"/>
  <c r="AN21" i="19" a="1"/>
  <c r="AN21" i="19" s="1"/>
  <c r="AJ14" i="19" a="1"/>
  <c r="AJ14" i="19" s="1"/>
  <c r="AI9" i="19" a="1"/>
  <c r="AI9" i="19" s="1"/>
  <c r="AG10" i="19" a="1"/>
  <c r="AG10" i="19" s="1"/>
  <c r="AC8" i="19" a="1"/>
  <c r="AC8" i="19" s="1"/>
  <c r="AM27" i="19" a="1"/>
  <c r="AM27" i="19" s="1"/>
  <c r="AK26" i="19" a="1"/>
  <c r="AK26" i="19" s="1"/>
  <c r="AM19" i="19" a="1"/>
  <c r="AM19" i="19" s="1"/>
  <c r="AK18" i="19" a="1"/>
  <c r="AK18" i="19" s="1"/>
  <c r="AM11" i="19" a="1"/>
  <c r="AM11" i="19" s="1"/>
  <c r="AK10" i="19" a="1"/>
  <c r="AK10" i="19" s="1"/>
  <c r="AK6" i="19" a="1"/>
  <c r="AK6" i="19" s="1"/>
  <c r="AM3" i="19" a="1"/>
  <c r="AM3" i="19" s="1"/>
  <c r="AD2" i="19" a="1"/>
  <c r="AD2" i="19" s="1"/>
  <c r="AF26" i="19" a="1"/>
  <c r="AF26" i="19" s="1"/>
  <c r="AD25" i="19" a="1"/>
  <c r="AD25" i="19" s="1"/>
  <c r="AB24" i="19" a="1"/>
  <c r="AB24" i="19" s="1"/>
  <c r="AF22" i="19" a="1"/>
  <c r="AF22" i="19" s="1"/>
  <c r="AD21" i="19" a="1"/>
  <c r="AD21" i="19" s="1"/>
  <c r="AB20" i="19" a="1"/>
  <c r="AB20" i="19" s="1"/>
  <c r="AF18" i="19" a="1"/>
  <c r="AF18" i="19" s="1"/>
  <c r="AD16" i="19" a="1"/>
  <c r="AD16" i="19" s="1"/>
  <c r="AB15" i="19" a="1"/>
  <c r="AB15" i="19" s="1"/>
  <c r="AF13" i="19" a="1"/>
  <c r="AF13" i="19" s="1"/>
  <c r="AD12" i="19" a="1"/>
  <c r="AD12" i="19" s="1"/>
  <c r="AF10" i="19" a="1"/>
  <c r="AF10" i="19" s="1"/>
  <c r="AD9" i="19" a="1"/>
  <c r="AD9" i="19" s="1"/>
  <c r="AB8" i="19" a="1"/>
  <c r="AB8" i="19" s="1"/>
  <c r="AF6" i="19" a="1"/>
  <c r="AF6" i="19" s="1"/>
  <c r="AD5" i="19" a="1"/>
  <c r="AD5" i="19" s="1"/>
  <c r="AB4" i="19" a="1"/>
  <c r="AB4" i="19" s="1"/>
  <c r="AJ2" i="19" a="1"/>
  <c r="AJ2" i="19" s="1"/>
  <c r="AL27" i="19" a="1"/>
  <c r="AL27" i="19" s="1"/>
  <c r="AJ26" i="19" a="1"/>
  <c r="AJ26" i="19" s="1"/>
  <c r="AN24" i="19" a="1"/>
  <c r="AN24" i="19" s="1"/>
  <c r="AL23" i="19" a="1"/>
  <c r="AL23" i="19" s="1"/>
  <c r="AJ22" i="19" a="1"/>
  <c r="AJ22" i="19" s="1"/>
  <c r="AN20" i="19" a="1"/>
  <c r="AN20" i="19" s="1"/>
  <c r="AL19" i="19" a="1"/>
  <c r="AL19" i="19" s="1"/>
  <c r="AJ18" i="19" a="1"/>
  <c r="AJ18" i="19" s="1"/>
  <c r="AN15" i="19" a="1"/>
  <c r="AN15" i="19" s="1"/>
  <c r="AL14" i="19" a="1"/>
  <c r="AL14" i="19" s="1"/>
  <c r="AJ13" i="19" a="1"/>
  <c r="AJ13" i="19" s="1"/>
  <c r="AL11" i="19" a="1"/>
  <c r="AL11" i="19" s="1"/>
  <c r="AJ10" i="19" a="1"/>
  <c r="AJ10" i="19" s="1"/>
  <c r="AN8" i="19" a="1"/>
  <c r="AN8" i="19" s="1"/>
  <c r="AL7" i="19" a="1"/>
  <c r="AL7" i="19" s="1"/>
  <c r="AJ6" i="19" a="1"/>
  <c r="AJ6" i="19" s="1"/>
  <c r="AN4" i="19" a="1"/>
  <c r="AN4" i="19" s="1"/>
  <c r="AK19" i="19" a="1"/>
  <c r="AK19" i="19" s="1"/>
  <c r="AI18" i="19" a="1"/>
  <c r="AI18" i="19" s="1"/>
  <c r="AM15" i="19" a="1"/>
  <c r="AM15" i="19" s="1"/>
  <c r="AK11" i="19" a="1"/>
  <c r="AK11" i="19" s="1"/>
  <c r="AI10" i="19" a="1"/>
  <c r="AI10" i="19" s="1"/>
  <c r="AM8" i="19" a="1"/>
  <c r="AM8" i="19" s="1"/>
  <c r="AI6" i="19" a="1"/>
  <c r="AI6" i="19" s="1"/>
  <c r="AL3" i="19" a="1"/>
  <c r="AL3" i="19" s="1"/>
  <c r="AJ19" i="19" a="1"/>
  <c r="AJ19" i="19" s="1"/>
  <c r="AJ11" i="19" a="1"/>
  <c r="AJ11" i="19" s="1"/>
  <c r="Z11" i="19" s="1"/>
  <c r="AK3" i="19" a="1"/>
  <c r="AK3" i="19" s="1"/>
  <c r="AC22" i="19" a="1"/>
  <c r="AC22" i="19" s="1"/>
  <c r="AE19" i="19" a="1"/>
  <c r="AE19" i="19" s="1"/>
  <c r="AC18" i="19" a="1"/>
  <c r="AC18" i="19" s="1"/>
  <c r="AG15" i="19" a="1"/>
  <c r="AG15" i="19" s="1"/>
  <c r="AE3" i="19" a="1"/>
  <c r="AE3" i="19" s="1"/>
  <c r="AM2" i="19" a="1"/>
  <c r="AM2" i="19" s="1"/>
  <c r="AI27" i="19" a="1"/>
  <c r="AI27" i="19" s="1"/>
  <c r="AM25" i="19" a="1"/>
  <c r="AM25" i="19" s="1"/>
  <c r="AK24" i="19" a="1"/>
  <c r="AK24" i="19" s="1"/>
  <c r="AI23" i="19" a="1"/>
  <c r="AI23" i="19" s="1"/>
  <c r="AM21" i="19" a="1"/>
  <c r="AM21" i="19" s="1"/>
  <c r="AK20" i="19" a="1"/>
  <c r="AK20" i="19" s="1"/>
  <c r="AI19" i="19" a="1"/>
  <c r="AI19" i="19" s="1"/>
  <c r="AM16" i="19" a="1"/>
  <c r="AM16" i="19" s="1"/>
  <c r="AK15" i="19" a="1"/>
  <c r="AK15" i="19" s="1"/>
  <c r="AI14" i="19" a="1"/>
  <c r="AI14" i="19" s="1"/>
  <c r="AM12" i="19" a="1"/>
  <c r="AM12" i="19" s="1"/>
  <c r="AI11" i="19" a="1"/>
  <c r="AI11" i="19" s="1"/>
  <c r="AM9" i="19" a="1"/>
  <c r="AM9" i="19" s="1"/>
  <c r="AK8" i="19" a="1"/>
  <c r="AK8" i="19" s="1"/>
  <c r="AI7" i="19" a="1"/>
  <c r="AI7" i="19" s="1"/>
  <c r="AM5" i="19" a="1"/>
  <c r="AM5" i="19" s="1"/>
  <c r="AK4" i="19" a="1"/>
  <c r="AK4" i="19" s="1"/>
  <c r="AJ3" i="19" a="1"/>
  <c r="AJ3" i="19" s="1"/>
  <c r="AG18" i="19" a="1"/>
  <c r="AG18" i="19" s="1"/>
  <c r="AE26" i="19" a="1"/>
  <c r="AE26" i="19" s="1"/>
  <c r="AE10" i="19" a="1"/>
  <c r="AE10" i="19" s="1"/>
  <c r="AI26" i="19" a="1"/>
  <c r="AI26" i="19" s="1"/>
  <c r="AF27" i="19" a="1"/>
  <c r="AF27" i="19" s="1"/>
  <c r="AD26" i="19" a="1"/>
  <c r="AD26" i="19" s="1"/>
  <c r="AF19" i="19" a="1"/>
  <c r="AF19" i="19" s="1"/>
  <c r="AD18" i="19" a="1"/>
  <c r="AD18" i="19" s="1"/>
  <c r="AF11" i="19" a="1"/>
  <c r="AF11" i="19" s="1"/>
  <c r="AD10" i="19" a="1"/>
  <c r="AD10" i="19" s="1"/>
  <c r="AF3" i="19" a="1"/>
  <c r="AF3" i="19" s="1"/>
  <c r="AC26" i="19" a="1"/>
  <c r="AC26" i="19" s="1"/>
  <c r="AG24" i="19" a="1"/>
  <c r="AG24" i="19" s="1"/>
  <c r="AC2" i="19" a="1"/>
  <c r="AC2" i="19" s="1"/>
  <c r="AD27" i="19" a="1"/>
  <c r="AD27" i="19" s="1"/>
  <c r="AB26" i="19" a="1"/>
  <c r="AB26" i="19" s="1"/>
  <c r="AF24" i="19" a="1"/>
  <c r="AF24" i="19" s="1"/>
  <c r="AD23" i="19" a="1"/>
  <c r="AD23" i="19" s="1"/>
  <c r="AB22" i="19" a="1"/>
  <c r="AB22" i="19" s="1"/>
  <c r="AF20" i="19" a="1"/>
  <c r="AF20" i="19" s="1"/>
  <c r="AD19" i="19" a="1"/>
  <c r="AD19" i="19" s="1"/>
  <c r="AB18" i="19" a="1"/>
  <c r="AB18" i="19" s="1"/>
  <c r="AF15" i="19" a="1"/>
  <c r="AF15" i="19" s="1"/>
  <c r="AD14" i="19" a="1"/>
  <c r="AD14" i="19" s="1"/>
  <c r="AB13" i="19" a="1"/>
  <c r="AB13" i="19" s="1"/>
  <c r="AD11" i="19" a="1"/>
  <c r="AD11" i="19" s="1"/>
  <c r="AB10" i="19" a="1"/>
  <c r="AB10" i="19" s="1"/>
  <c r="AF8" i="19" a="1"/>
  <c r="AF8" i="19" s="1"/>
  <c r="AD7" i="19" a="1"/>
  <c r="AD7" i="19" s="1"/>
  <c r="AB6" i="19" a="1"/>
  <c r="AB6" i="19" s="1"/>
  <c r="AF4" i="19" a="1"/>
  <c r="AF4" i="19" s="1"/>
  <c r="AD3" i="19" a="1"/>
  <c r="AD3" i="19" s="1"/>
  <c r="AL2" i="19" a="1"/>
  <c r="AL2" i="19" s="1"/>
  <c r="AN26" i="19" a="1"/>
  <c r="AN26" i="19" s="1"/>
  <c r="AL25" i="19" a="1"/>
  <c r="AL25" i="19" s="1"/>
  <c r="AJ24" i="19" a="1"/>
  <c r="AJ24" i="19" s="1"/>
  <c r="AN22" i="19" a="1"/>
  <c r="AN22" i="19" s="1"/>
  <c r="AL21" i="19" a="1"/>
  <c r="AL21" i="19" s="1"/>
  <c r="AJ20" i="19" a="1"/>
  <c r="AJ20" i="19" s="1"/>
  <c r="AN18" i="19" a="1"/>
  <c r="AN18" i="19" s="1"/>
  <c r="AL16" i="19" a="1"/>
  <c r="AL16" i="19" s="1"/>
  <c r="AJ15" i="19" a="1"/>
  <c r="AJ15" i="19" s="1"/>
  <c r="AN13" i="19" a="1"/>
  <c r="AN13" i="19" s="1"/>
  <c r="AL12" i="19" a="1"/>
  <c r="AL12" i="19" s="1"/>
  <c r="AN10" i="19" a="1"/>
  <c r="AN10" i="19" s="1"/>
  <c r="AL9" i="19" a="1"/>
  <c r="AL9" i="19" s="1"/>
  <c r="AJ8" i="19" a="1"/>
  <c r="AJ8" i="19" s="1"/>
  <c r="AN6" i="19" a="1"/>
  <c r="AN6" i="19" s="1"/>
  <c r="AL5" i="19" a="1"/>
  <c r="AL5" i="19" s="1"/>
  <c r="AJ4" i="19" a="1"/>
  <c r="AJ4" i="19" s="1"/>
  <c r="AI3" i="19" a="1"/>
  <c r="AI3" i="19" s="1"/>
  <c r="AE18" i="19" a="1"/>
  <c r="AE18" i="19" s="1"/>
  <c r="AM24" i="19" a="1"/>
  <c r="AM24" i="19" s="1"/>
  <c r="AJ27" i="19" a="1"/>
  <c r="AJ27" i="19" s="1"/>
  <c r="AE27" i="19" a="1"/>
  <c r="AE27" i="19" s="1"/>
  <c r="AC13" i="19" a="1"/>
  <c r="AC13" i="19" s="1"/>
  <c r="AG8" i="19" a="1"/>
  <c r="AG8" i="19" s="1"/>
  <c r="AG2" i="19" a="1"/>
  <c r="AG2" i="19" s="1"/>
  <c r="AC27" i="19" a="1"/>
  <c r="AC27" i="19" s="1"/>
  <c r="AG25" i="19" a="1"/>
  <c r="AG25" i="19" s="1"/>
  <c r="AE24" i="19" a="1"/>
  <c r="AE24" i="19" s="1"/>
  <c r="AC23" i="19" a="1"/>
  <c r="AC23" i="19" s="1"/>
  <c r="AG21" i="19" a="1"/>
  <c r="AG21" i="19" s="1"/>
  <c r="AE20" i="19" a="1"/>
  <c r="AE20" i="19" s="1"/>
  <c r="AC19" i="19" a="1"/>
  <c r="AC19" i="19" s="1"/>
  <c r="AG16" i="19" a="1"/>
  <c r="AG16" i="19" s="1"/>
  <c r="AE15" i="19" a="1"/>
  <c r="AE15" i="19" s="1"/>
  <c r="AC14" i="19" a="1"/>
  <c r="AC14" i="19" s="1"/>
  <c r="AG12" i="19" a="1"/>
  <c r="AG12" i="19" s="1"/>
  <c r="AC11" i="19" a="1"/>
  <c r="AC11" i="19" s="1"/>
  <c r="AG9" i="19" a="1"/>
  <c r="AG9" i="19" s="1"/>
  <c r="AE8" i="19" a="1"/>
  <c r="AE8" i="19" s="1"/>
  <c r="AC7" i="19" a="1"/>
  <c r="AC7" i="19" s="1"/>
  <c r="AG5" i="19" a="1"/>
  <c r="AG5" i="19" s="1"/>
  <c r="AE4" i="19" a="1"/>
  <c r="AE4" i="19" s="1"/>
  <c r="AC3" i="19" a="1"/>
  <c r="AC3" i="19" s="1"/>
  <c r="AK2" i="19" a="1"/>
  <c r="AK2" i="19" s="1"/>
  <c r="AM26" i="19" a="1"/>
  <c r="AM26" i="19" s="1"/>
  <c r="AK25" i="19" a="1"/>
  <c r="AK25" i="19" s="1"/>
  <c r="AI24" i="19" a="1"/>
  <c r="AI24" i="19" s="1"/>
  <c r="AM22" i="19" a="1"/>
  <c r="AM22" i="19" s="1"/>
  <c r="AK21" i="19" a="1"/>
  <c r="AK21" i="19" s="1"/>
  <c r="AI20" i="19" a="1"/>
  <c r="AI20" i="19" s="1"/>
  <c r="AM18" i="19" a="1"/>
  <c r="AM18" i="19" s="1"/>
  <c r="AK16" i="19" a="1"/>
  <c r="AK16" i="19" s="1"/>
  <c r="AI15" i="19" a="1"/>
  <c r="AI15" i="19" s="1"/>
  <c r="AM13" i="19" a="1"/>
  <c r="AM13" i="19" s="1"/>
  <c r="AK12" i="19" a="1"/>
  <c r="AK12" i="19" s="1"/>
  <c r="AM10" i="19" a="1"/>
  <c r="AM10" i="19" s="1"/>
  <c r="AK9" i="19" a="1"/>
  <c r="AK9" i="19" s="1"/>
  <c r="AI8" i="19" a="1"/>
  <c r="AI8" i="19" s="1"/>
  <c r="AM6" i="19" a="1"/>
  <c r="AM6" i="19" s="1"/>
  <c r="AK5" i="19" a="1"/>
  <c r="AK5" i="19" s="1"/>
  <c r="AI4" i="19" a="1"/>
  <c r="AI4" i="19" s="1"/>
  <c r="AP3" i="19"/>
  <c r="AL24" i="19" a="1"/>
  <c r="AL24" i="19" s="1"/>
  <c r="AL15" i="19" a="1"/>
  <c r="AL15" i="19" s="1"/>
  <c r="AL8" i="19" a="1"/>
  <c r="AL8" i="19" s="1"/>
  <c r="AE11" i="19" a="1"/>
  <c r="AE11" i="19" s="1"/>
  <c r="AC10" i="19" a="1"/>
  <c r="AC10" i="19" s="1"/>
  <c r="AC6" i="19" a="1"/>
  <c r="AC6" i="19" s="1"/>
  <c r="AB27" i="19" a="1"/>
  <c r="AB27" i="19" s="1"/>
  <c r="AF25" i="19" a="1"/>
  <c r="AF25" i="19" s="1"/>
  <c r="AB23" i="19" a="1"/>
  <c r="AB23" i="19" s="1"/>
  <c r="AF21" i="19" a="1"/>
  <c r="AF21" i="19" s="1"/>
  <c r="AB19" i="19" a="1"/>
  <c r="AB19" i="19" s="1"/>
  <c r="AF16" i="19" a="1"/>
  <c r="AF16" i="19" s="1"/>
  <c r="AB14" i="19" a="1"/>
  <c r="AB14" i="19" s="1"/>
  <c r="AF12" i="19" a="1"/>
  <c r="AF12" i="19" s="1"/>
  <c r="AB11" i="19" a="1"/>
  <c r="AB11" i="19" s="1"/>
  <c r="AF9" i="19" a="1"/>
  <c r="AF9" i="19" s="1"/>
  <c r="AB7" i="19" a="1"/>
  <c r="AB7" i="19" s="1"/>
  <c r="AF5" i="19" a="1"/>
  <c r="AF5" i="19" s="1"/>
  <c r="AB3" i="19" a="1"/>
  <c r="AB3" i="19" s="1"/>
  <c r="AD15" i="15" a="1"/>
  <c r="AD15" i="15" s="1"/>
  <c r="AD10" i="15" a="1"/>
  <c r="AD10" i="15" s="1"/>
  <c r="AL12" i="15" a="1"/>
  <c r="AL12" i="15" s="1"/>
  <c r="AJ7" i="15" a="1"/>
  <c r="AJ7" i="15" s="1"/>
  <c r="AD19" i="15" a="1"/>
  <c r="AD19" i="15" s="1"/>
  <c r="AE14" i="15" a="1"/>
  <c r="AE14" i="15" s="1"/>
  <c r="AH9" i="15" a="1"/>
  <c r="AH9" i="15" s="1"/>
  <c r="AC6" i="15" a="1"/>
  <c r="AC6" i="15" s="1"/>
  <c r="AL17" i="15" a="1"/>
  <c r="AL17" i="15" s="1"/>
  <c r="AK12" i="15" a="1"/>
  <c r="AK12" i="15" s="1"/>
  <c r="AO6" i="15" a="1"/>
  <c r="AO6" i="15" s="1"/>
  <c r="AD18" i="15" a="1"/>
  <c r="AD18" i="15" s="1"/>
  <c r="AH4" i="15" a="1"/>
  <c r="AH4" i="15" s="1"/>
  <c r="AJ12" i="15" a="1"/>
  <c r="AJ12" i="15" s="1"/>
  <c r="AG7" i="15" a="1"/>
  <c r="AG7" i="15" s="1"/>
  <c r="AO15" i="15" a="1"/>
  <c r="AO15" i="15" s="1"/>
  <c r="AH12" i="15" a="1"/>
  <c r="AH12" i="15" s="1"/>
  <c r="AF7" i="15" a="1"/>
  <c r="AF7" i="15" s="1"/>
  <c r="AF4" i="15" a="1"/>
  <c r="AF4" i="15" s="1"/>
  <c r="AJ15" i="15" a="1"/>
  <c r="AJ15" i="15" s="1"/>
  <c r="AL4" i="15" a="1"/>
  <c r="AL4" i="15" s="1"/>
  <c r="AG15" i="15" a="1"/>
  <c r="AG15" i="15" s="1"/>
  <c r="AG12" i="15" a="1"/>
  <c r="AG12" i="15" s="1"/>
  <c r="AE7" i="15" a="1"/>
  <c r="AE7" i="15" s="1"/>
  <c r="AD3" i="15" a="1"/>
  <c r="AD3" i="15" s="1"/>
  <c r="AO14" i="15" a="1"/>
  <c r="AO14" i="15" s="1"/>
  <c r="AL9" i="15" a="1"/>
  <c r="AL9" i="15" s="1"/>
  <c r="AK4" i="15" a="1"/>
  <c r="AK4" i="15" s="1"/>
  <c r="AF15" i="15" a="1"/>
  <c r="AF15" i="15" s="1"/>
  <c r="AF12" i="15" a="1"/>
  <c r="AF12" i="15" s="1"/>
  <c r="AD7" i="15" a="1"/>
  <c r="AD7" i="15" s="1"/>
  <c r="AO19" i="15" a="1"/>
  <c r="AO19" i="15" s="1"/>
  <c r="AN14" i="15" a="1"/>
  <c r="AN14" i="15" s="1"/>
  <c r="AK9" i="15" a="1"/>
  <c r="AK9" i="15" s="1"/>
  <c r="AJ4" i="15" a="1"/>
  <c r="AJ4" i="15" s="1"/>
  <c r="AE15" i="15" a="1"/>
  <c r="AE15" i="15" s="1"/>
  <c r="AF11" i="15" a="1"/>
  <c r="AF11" i="15" s="1"/>
  <c r="AE6" i="15" a="1"/>
  <c r="AE6" i="15" s="1"/>
  <c r="AN17" i="15" a="1"/>
  <c r="AN17" i="15" s="1"/>
  <c r="AM14" i="15" a="1"/>
  <c r="AM14" i="15" s="1"/>
  <c r="AO7" i="15" a="1"/>
  <c r="AO7" i="15" s="1"/>
  <c r="AQ17" i="15"/>
  <c r="AH19" i="15" a="1"/>
  <c r="AH19" i="15" s="1"/>
  <c r="AF18" i="15" a="1"/>
  <c r="AF18" i="15" s="1"/>
  <c r="AD17" i="15" a="1"/>
  <c r="AD17" i="15" s="1"/>
  <c r="AH15" i="15" a="1"/>
  <c r="AH15" i="15" s="1"/>
  <c r="AF14" i="15" a="1"/>
  <c r="AF14" i="15" s="1"/>
  <c r="AD13" i="15" a="1"/>
  <c r="AD13" i="15" s="1"/>
  <c r="AH11" i="15" a="1"/>
  <c r="AH11" i="15" s="1"/>
  <c r="AF10" i="15" a="1"/>
  <c r="AF10" i="15" s="1"/>
  <c r="AD9" i="15" a="1"/>
  <c r="AD9" i="15" s="1"/>
  <c r="AH7" i="15" a="1"/>
  <c r="AH7" i="15" s="1"/>
  <c r="AF6" i="15" a="1"/>
  <c r="AF6" i="15" s="1"/>
  <c r="AD5" i="15" a="1"/>
  <c r="AD5" i="15" s="1"/>
  <c r="AH3" i="15" a="1"/>
  <c r="AH3" i="15" s="1"/>
  <c r="AK19" i="15" a="1"/>
  <c r="AK19" i="15" s="1"/>
  <c r="AO17" i="15" a="1"/>
  <c r="AO17" i="15" s="1"/>
  <c r="AM16" i="15" a="1"/>
  <c r="AM16" i="15" s="1"/>
  <c r="AK15" i="15" a="1"/>
  <c r="AK15" i="15" s="1"/>
  <c r="AO13" i="15" a="1"/>
  <c r="AO13" i="15" s="1"/>
  <c r="AM12" i="15" a="1"/>
  <c r="AM12" i="15" s="1"/>
  <c r="AK11" i="15" a="1"/>
  <c r="AK11" i="15" s="1"/>
  <c r="AO9" i="15" a="1"/>
  <c r="AO9" i="15" s="1"/>
  <c r="AM8" i="15" a="1"/>
  <c r="AM8" i="15" s="1"/>
  <c r="AK7" i="15" a="1"/>
  <c r="AK7" i="15" s="1"/>
  <c r="AO5" i="15" a="1"/>
  <c r="AO5" i="15" s="1"/>
  <c r="AM4" i="15" a="1"/>
  <c r="AM4" i="15" s="1"/>
  <c r="AK3" i="15" a="1"/>
  <c r="AK3" i="15" s="1"/>
  <c r="AG19" i="15" a="1"/>
  <c r="AG19" i="15" s="1"/>
  <c r="AE18" i="15" a="1"/>
  <c r="AE18" i="15" s="1"/>
  <c r="AC13" i="15" a="1"/>
  <c r="AC13" i="15" s="1"/>
  <c r="AG11" i="15" a="1"/>
  <c r="AG11" i="15" s="1"/>
  <c r="AE10" i="15" a="1"/>
  <c r="AE10" i="15" s="1"/>
  <c r="AC5" i="15" a="1"/>
  <c r="AC5" i="15" s="1"/>
  <c r="AG3" i="15" a="1"/>
  <c r="AG3" i="15" s="1"/>
  <c r="AJ19" i="15" a="1"/>
  <c r="AJ19" i="15" s="1"/>
  <c r="AL16" i="15" a="1"/>
  <c r="AL16" i="15" s="1"/>
  <c r="AN13" i="15" a="1"/>
  <c r="AN13" i="15" s="1"/>
  <c r="AJ11" i="15" a="1"/>
  <c r="AJ11" i="15" s="1"/>
  <c r="AL8" i="15" a="1"/>
  <c r="AL8" i="15" s="1"/>
  <c r="AN5" i="15" a="1"/>
  <c r="AN5" i="15" s="1"/>
  <c r="AJ3" i="15" a="1"/>
  <c r="AJ3" i="15" s="1"/>
  <c r="AH16" i="15" a="1"/>
  <c r="AH16" i="15" s="1"/>
  <c r="AH8" i="15" a="1"/>
  <c r="AH8" i="15" s="1"/>
  <c r="AF3" i="15" a="1"/>
  <c r="AF3" i="15" s="1"/>
  <c r="AO18" i="15" a="1"/>
  <c r="AO18" i="15" s="1"/>
  <c r="AK16" i="15" a="1"/>
  <c r="AK16" i="15" s="1"/>
  <c r="AM13" i="15" a="1"/>
  <c r="AM13" i="15" s="1"/>
  <c r="AO10" i="15" a="1"/>
  <c r="AO10" i="15" s="1"/>
  <c r="AK8" i="15" a="1"/>
  <c r="AK8" i="15" s="1"/>
  <c r="AM5" i="15" a="1"/>
  <c r="AM5" i="15" s="1"/>
  <c r="AQ19" i="15"/>
  <c r="AE19" i="15" a="1"/>
  <c r="AE19" i="15" s="1"/>
  <c r="AC18" i="15" a="1"/>
  <c r="AC18" i="15" s="1"/>
  <c r="AG16" i="15" a="1"/>
  <c r="AG16" i="15" s="1"/>
  <c r="AE11" i="15" a="1"/>
  <c r="AE11" i="15" s="1"/>
  <c r="AC10" i="15" a="1"/>
  <c r="AC10" i="15" s="1"/>
  <c r="AG8" i="15" a="1"/>
  <c r="AG8" i="15" s="1"/>
  <c r="AE3" i="15" a="1"/>
  <c r="AE3" i="15" s="1"/>
  <c r="AN18" i="15" a="1"/>
  <c r="AN18" i="15" s="1"/>
  <c r="AJ16" i="15" a="1"/>
  <c r="AJ16" i="15" s="1"/>
  <c r="AL13" i="15" a="1"/>
  <c r="AL13" i="15" s="1"/>
  <c r="AN10" i="15" a="1"/>
  <c r="AN10" i="15" s="1"/>
  <c r="AJ8" i="15" a="1"/>
  <c r="AJ8" i="15" s="1"/>
  <c r="AL5" i="15" a="1"/>
  <c r="AL5" i="15" s="1"/>
  <c r="AQ18" i="15"/>
  <c r="AF16" i="15" a="1"/>
  <c r="AF16" i="15" s="1"/>
  <c r="AH13" i="15" a="1"/>
  <c r="AH13" i="15" s="1"/>
  <c r="AD11" i="15" a="1"/>
  <c r="AD11" i="15" s="1"/>
  <c r="AF8" i="15" a="1"/>
  <c r="AF8" i="15" s="1"/>
  <c r="AH5" i="15" a="1"/>
  <c r="AH5" i="15" s="1"/>
  <c r="AK13" i="15" a="1"/>
  <c r="AK13" i="15" s="1"/>
  <c r="AO11" i="15" a="1"/>
  <c r="AO11" i="15" s="1"/>
  <c r="AM10" i="15" a="1"/>
  <c r="AM10" i="15" s="1"/>
  <c r="AK5" i="15" a="1"/>
  <c r="AK5" i="15" s="1"/>
  <c r="AO3" i="15" a="1"/>
  <c r="AO3" i="15" s="1"/>
  <c r="AM18" i="15" a="1"/>
  <c r="AM18" i="15" s="1"/>
  <c r="AC19" i="15" a="1"/>
  <c r="AC19" i="15" s="1"/>
  <c r="AG17" i="15" a="1"/>
  <c r="AG17" i="15" s="1"/>
  <c r="AE16" i="15" a="1"/>
  <c r="AE16" i="15" s="1"/>
  <c r="AC15" i="15" a="1"/>
  <c r="AC15" i="15" s="1"/>
  <c r="AG13" i="15" a="1"/>
  <c r="AG13" i="15" s="1"/>
  <c r="AE12" i="15" a="1"/>
  <c r="AE12" i="15" s="1"/>
  <c r="AC11" i="15" a="1"/>
  <c r="AC11" i="15" s="1"/>
  <c r="AG9" i="15" a="1"/>
  <c r="AG9" i="15" s="1"/>
  <c r="AE8" i="15" a="1"/>
  <c r="AE8" i="15" s="1"/>
  <c r="AC7" i="15" a="1"/>
  <c r="AC7" i="15" s="1"/>
  <c r="AG5" i="15" a="1"/>
  <c r="AG5" i="15" s="1"/>
  <c r="AE4" i="15" a="1"/>
  <c r="AE4" i="15" s="1"/>
  <c r="AC3" i="15" a="1"/>
  <c r="AC3" i="15" s="1"/>
  <c r="AN19" i="15" a="1"/>
  <c r="AN19" i="15" s="1"/>
  <c r="AL18" i="15" a="1"/>
  <c r="AL18" i="15" s="1"/>
  <c r="AJ17" i="15" a="1"/>
  <c r="AJ17" i="15" s="1"/>
  <c r="AN15" i="15" a="1"/>
  <c r="AN15" i="15" s="1"/>
  <c r="AL14" i="15" a="1"/>
  <c r="AL14" i="15" s="1"/>
  <c r="AJ13" i="15" a="1"/>
  <c r="AJ13" i="15" s="1"/>
  <c r="AN11" i="15" a="1"/>
  <c r="AN11" i="15" s="1"/>
  <c r="AL10" i="15" a="1"/>
  <c r="AL10" i="15" s="1"/>
  <c r="AJ9" i="15" a="1"/>
  <c r="AJ9" i="15" s="1"/>
  <c r="AN7" i="15" a="1"/>
  <c r="AN7" i="15" s="1"/>
  <c r="AL6" i="15" a="1"/>
  <c r="AL6" i="15" s="1"/>
  <c r="AJ5" i="15" a="1"/>
  <c r="AJ5" i="15" s="1"/>
  <c r="AN3" i="15" a="1"/>
  <c r="AN3" i="15" s="1"/>
  <c r="AQ16" i="15"/>
  <c r="AH18" i="15" a="1"/>
  <c r="AH18" i="15" s="1"/>
  <c r="AF17" i="15" a="1"/>
  <c r="AF17" i="15" s="1"/>
  <c r="AD16" i="15" a="1"/>
  <c r="AD16" i="15" s="1"/>
  <c r="AH14" i="15" a="1"/>
  <c r="AH14" i="15" s="1"/>
  <c r="AF13" i="15" a="1"/>
  <c r="AF13" i="15" s="1"/>
  <c r="AD12" i="15" a="1"/>
  <c r="AD12" i="15" s="1"/>
  <c r="AH10" i="15" a="1"/>
  <c r="AH10" i="15" s="1"/>
  <c r="AF9" i="15" a="1"/>
  <c r="AF9" i="15" s="1"/>
  <c r="AD8" i="15" a="1"/>
  <c r="AD8" i="15" s="1"/>
  <c r="AH6" i="15" a="1"/>
  <c r="AH6" i="15" s="1"/>
  <c r="AF5" i="15" a="1"/>
  <c r="AF5" i="15" s="1"/>
  <c r="AD4" i="15" a="1"/>
  <c r="AD4" i="15" s="1"/>
  <c r="AM19" i="15" a="1"/>
  <c r="AM19" i="15" s="1"/>
  <c r="AK18" i="15" a="1"/>
  <c r="AK18" i="15" s="1"/>
  <c r="AO16" i="15" a="1"/>
  <c r="AO16" i="15" s="1"/>
  <c r="AM15" i="15" a="1"/>
  <c r="AM15" i="15" s="1"/>
  <c r="AK14" i="15" a="1"/>
  <c r="AK14" i="15" s="1"/>
  <c r="AO12" i="15" a="1"/>
  <c r="AO12" i="15" s="1"/>
  <c r="AM11" i="15" a="1"/>
  <c r="AM11" i="15" s="1"/>
  <c r="AK10" i="15" a="1"/>
  <c r="AK10" i="15" s="1"/>
  <c r="AO8" i="15" a="1"/>
  <c r="AO8" i="15" s="1"/>
  <c r="AM7" i="15" a="1"/>
  <c r="AM7" i="15" s="1"/>
  <c r="AK6" i="15" a="1"/>
  <c r="AK6" i="15" s="1"/>
  <c r="AO4" i="15" a="1"/>
  <c r="AO4" i="15" s="1"/>
  <c r="AM3" i="15" a="1"/>
  <c r="AM3" i="15" s="1"/>
  <c r="AQ15" i="15"/>
  <c r="AG18" i="15" a="1"/>
  <c r="AG18" i="15" s="1"/>
  <c r="AC16" i="15" a="1"/>
  <c r="AC16" i="15" s="1"/>
  <c r="AG14" i="15" a="1"/>
  <c r="AG14" i="15" s="1"/>
  <c r="AC12" i="15" a="1"/>
  <c r="AC12" i="15" s="1"/>
  <c r="AG10" i="15" a="1"/>
  <c r="AG10" i="15" s="1"/>
  <c r="AC8" i="15" a="1"/>
  <c r="AC8" i="15" s="1"/>
  <c r="AG6" i="15" a="1"/>
  <c r="AG6" i="15" s="1"/>
  <c r="AC4" i="15" a="1"/>
  <c r="AC4" i="15" s="1"/>
  <c r="AJ14" i="15" a="1"/>
  <c r="AJ14" i="15" s="1"/>
  <c r="AF29" i="9" a="1"/>
  <c r="AF29" i="9" s="1"/>
  <c r="AD25" i="9" a="1"/>
  <c r="AD25" i="9" s="1"/>
  <c r="AH21" i="9" a="1"/>
  <c r="AH21" i="9" s="1"/>
  <c r="AC33" i="9" a="1"/>
  <c r="AC33" i="9" s="1"/>
  <c r="AG21" i="9" a="1"/>
  <c r="AG21" i="9" s="1"/>
  <c r="AC17" i="9" a="1"/>
  <c r="AC17" i="9" s="1"/>
  <c r="AD17" i="9" a="1"/>
  <c r="AD17" i="9" s="1"/>
  <c r="AC15" i="9" a="1"/>
  <c r="AC15" i="9" s="1"/>
  <c r="AH13" i="9" a="1"/>
  <c r="AH13" i="9" s="1"/>
  <c r="AH2" i="9" a="1"/>
  <c r="AH2" i="9" s="1"/>
  <c r="AG5" i="9" a="1"/>
  <c r="AG5" i="9" s="1"/>
  <c r="AE33" i="9" a="1"/>
  <c r="AE33" i="9" s="1"/>
  <c r="AF5" i="9" a="1"/>
  <c r="AF5" i="9" s="1"/>
  <c r="AC24" i="9" a="1"/>
  <c r="AC24" i="9" s="1"/>
  <c r="AD31" i="9" a="1"/>
  <c r="AD31" i="9" s="1"/>
  <c r="AF15" i="9" a="1"/>
  <c r="AF15" i="9" s="1"/>
  <c r="AH8" i="9" a="1"/>
  <c r="AH8" i="9" s="1"/>
  <c r="AJ7" i="9" a="1"/>
  <c r="AJ7" i="9" s="1"/>
  <c r="AO30" i="9" a="1"/>
  <c r="AO30" i="9" s="1"/>
  <c r="AM23" i="9" a="1"/>
  <c r="AM23" i="9" s="1"/>
  <c r="AO16" i="9" a="1"/>
  <c r="AO16" i="9" s="1"/>
  <c r="AC23" i="9" a="1"/>
  <c r="AC23" i="9" s="1"/>
  <c r="AD30" i="9" a="1"/>
  <c r="AD30" i="9" s="1"/>
  <c r="AH24" i="9" a="1"/>
  <c r="AH24" i="9" s="1"/>
  <c r="AE15" i="9" a="1"/>
  <c r="AE15" i="9" s="1"/>
  <c r="AG8" i="9" a="1"/>
  <c r="AG8" i="9" s="1"/>
  <c r="AJ6" i="9" a="1"/>
  <c r="AJ6" i="9" s="1"/>
  <c r="AO29" i="9" a="1"/>
  <c r="AO29" i="9" s="1"/>
  <c r="AL23" i="9" a="1"/>
  <c r="AL23" i="9" s="1"/>
  <c r="AN16" i="9" a="1"/>
  <c r="AN16" i="9" s="1"/>
  <c r="AD33" i="9" a="1"/>
  <c r="AD33" i="9" s="1"/>
  <c r="AH29" i="9" a="1"/>
  <c r="AH29" i="9" s="1"/>
  <c r="AG24" i="9" a="1"/>
  <c r="AG24" i="9" s="1"/>
  <c r="AF21" i="9" a="1"/>
  <c r="AF21" i="9" s="1"/>
  <c r="AD15" i="9" a="1"/>
  <c r="AD15" i="9" s="1"/>
  <c r="AG7" i="9" a="1"/>
  <c r="AG7" i="9" s="1"/>
  <c r="AJ32" i="9" a="1"/>
  <c r="AJ32" i="9" s="1"/>
  <c r="AO32" i="9" a="1"/>
  <c r="AO32" i="9" s="1"/>
  <c r="AN29" i="9" a="1"/>
  <c r="AN29" i="9" s="1"/>
  <c r="AK23" i="9" a="1"/>
  <c r="AK23" i="9" s="1"/>
  <c r="AM16" i="9" a="1"/>
  <c r="AM16" i="9" s="1"/>
  <c r="AC16" i="9" a="1"/>
  <c r="AC16" i="9" s="1"/>
  <c r="AH32" i="9" a="1"/>
  <c r="AH32" i="9" s="1"/>
  <c r="AG29" i="9" a="1"/>
  <c r="AG29" i="9" s="1"/>
  <c r="AG23" i="9" a="1"/>
  <c r="AG23" i="9" s="1"/>
  <c r="AE17" i="9" a="1"/>
  <c r="AE17" i="9" s="1"/>
  <c r="AD14" i="9" a="1"/>
  <c r="AD14" i="9" s="1"/>
  <c r="AF7" i="9" a="1"/>
  <c r="AF7" i="9" s="1"/>
  <c r="AJ31" i="9" a="1"/>
  <c r="AJ31" i="9" s="1"/>
  <c r="AN32" i="9" a="1"/>
  <c r="AN32" i="9" s="1"/>
  <c r="AM29" i="9" a="1"/>
  <c r="AM29" i="9" s="1"/>
  <c r="AO22" i="9" a="1"/>
  <c r="AO22" i="9" s="1"/>
  <c r="AM15" i="9" a="1"/>
  <c r="AM15" i="9" s="1"/>
  <c r="AG32" i="9" a="1"/>
  <c r="AG32" i="9" s="1"/>
  <c r="AF23" i="9" a="1"/>
  <c r="AF23" i="9" s="1"/>
  <c r="AE7" i="9" a="1"/>
  <c r="AE7" i="9" s="1"/>
  <c r="AJ21" i="9" a="1"/>
  <c r="AJ21" i="9" s="1"/>
  <c r="AM32" i="9" a="1"/>
  <c r="AM32" i="9" s="1"/>
  <c r="AL29" i="9" a="1"/>
  <c r="AL29" i="9" s="1"/>
  <c r="AO21" i="9" a="1"/>
  <c r="AO21" i="9" s="1"/>
  <c r="AO14" i="9" a="1"/>
  <c r="AO14" i="9" s="1"/>
  <c r="AC32" i="9" a="1"/>
  <c r="AC32" i="9" s="1"/>
  <c r="AC9" i="9" a="1"/>
  <c r="AC9" i="9" s="1"/>
  <c r="AG31" i="9" a="1"/>
  <c r="AG31" i="9" s="1"/>
  <c r="AE28" i="9" a="1"/>
  <c r="AE28" i="9" s="1"/>
  <c r="AE23" i="9" a="1"/>
  <c r="AE23" i="9" s="1"/>
  <c r="AH16" i="9" a="1"/>
  <c r="AH16" i="9" s="1"/>
  <c r="AG13" i="9" a="1"/>
  <c r="AG13" i="9" s="1"/>
  <c r="AD7" i="9" a="1"/>
  <c r="AD7" i="9" s="1"/>
  <c r="AJ14" i="9" a="1"/>
  <c r="AJ14" i="9" s="1"/>
  <c r="AM31" i="9" a="1"/>
  <c r="AM31" i="9" s="1"/>
  <c r="AO24" i="9" a="1"/>
  <c r="AO24" i="9" s="1"/>
  <c r="AN21" i="9" a="1"/>
  <c r="AN21" i="9" s="1"/>
  <c r="AO13" i="9" a="1"/>
  <c r="AO13" i="9" s="1"/>
  <c r="AC31" i="9" a="1"/>
  <c r="AC31" i="9" s="1"/>
  <c r="AC8" i="9" a="1"/>
  <c r="AC8" i="9" s="1"/>
  <c r="AF31" i="9" a="1"/>
  <c r="AF31" i="9" s="1"/>
  <c r="AG26" i="9" a="1"/>
  <c r="AG26" i="9" s="1"/>
  <c r="AD23" i="9" a="1"/>
  <c r="AD23" i="9" s="1"/>
  <c r="AG16" i="9" a="1"/>
  <c r="AG16" i="9" s="1"/>
  <c r="AF13" i="9" a="1"/>
  <c r="AF13" i="9" s="1"/>
  <c r="AD6" i="9" a="1"/>
  <c r="AD6" i="9" s="1"/>
  <c r="AJ13" i="9" a="1"/>
  <c r="AJ13" i="9" s="1"/>
  <c r="AL31" i="9" a="1"/>
  <c r="AL31" i="9" s="1"/>
  <c r="AN24" i="9" a="1"/>
  <c r="AN24" i="9" s="1"/>
  <c r="AM21" i="9" a="1"/>
  <c r="AM21" i="9" s="1"/>
  <c r="AM7" i="9" a="1"/>
  <c r="AM7" i="9" s="1"/>
  <c r="AC25" i="9" a="1"/>
  <c r="AC25" i="9" s="1"/>
  <c r="AC7" i="9" a="1"/>
  <c r="AC7" i="9" s="1"/>
  <c r="AE31" i="9" a="1"/>
  <c r="AE31" i="9" s="1"/>
  <c r="AE25" i="9" a="1"/>
  <c r="AE25" i="9" s="1"/>
  <c r="AD22" i="9" a="1"/>
  <c r="AD22" i="9" s="1"/>
  <c r="AG15" i="9" a="1"/>
  <c r="AG15" i="9" s="1"/>
  <c r="AD9" i="9" a="1"/>
  <c r="AD9" i="9" s="1"/>
  <c r="AH5" i="9" a="1"/>
  <c r="AH5" i="9" s="1"/>
  <c r="AJ8" i="9" a="1"/>
  <c r="AJ8" i="9" s="1"/>
  <c r="AK31" i="9" a="1"/>
  <c r="AK31" i="9" s="1"/>
  <c r="AM24" i="9" a="1"/>
  <c r="AM24" i="9" s="1"/>
  <c r="AL21" i="9" a="1"/>
  <c r="AL21" i="9" s="1"/>
  <c r="AO5" i="9" a="1"/>
  <c r="AO5" i="9" s="1"/>
  <c r="AD20" i="9" a="1"/>
  <c r="AD20" i="9" s="1"/>
  <c r="AH19" i="9" a="1"/>
  <c r="AH19" i="9" s="1"/>
  <c r="AE18" i="9" a="1"/>
  <c r="AE18" i="9" s="1"/>
  <c r="AC27" i="9" a="1"/>
  <c r="AC27" i="9" s="1"/>
  <c r="AC19" i="9" a="1"/>
  <c r="AC19" i="9" s="1"/>
  <c r="AC11" i="9" a="1"/>
  <c r="AC11" i="9" s="1"/>
  <c r="AC3" i="9" a="1"/>
  <c r="AC3" i="9" s="1"/>
  <c r="AF33" i="9" a="1"/>
  <c r="AF33" i="9" s="1"/>
  <c r="AH31" i="9" a="1"/>
  <c r="AH31" i="9" s="1"/>
  <c r="AE30" i="9" a="1"/>
  <c r="AE30" i="9" s="1"/>
  <c r="AG28" i="9" a="1"/>
  <c r="AG28" i="9" s="1"/>
  <c r="AD27" i="9" a="1"/>
  <c r="AD27" i="9" s="1"/>
  <c r="AF25" i="9" a="1"/>
  <c r="AF25" i="9" s="1"/>
  <c r="AH23" i="9" a="1"/>
  <c r="AH23" i="9" s="1"/>
  <c r="AE22" i="9" a="1"/>
  <c r="AE22" i="9" s="1"/>
  <c r="AG20" i="9" a="1"/>
  <c r="AG20" i="9" s="1"/>
  <c r="AD19" i="9" a="1"/>
  <c r="AD19" i="9" s="1"/>
  <c r="AF17" i="9" a="1"/>
  <c r="AF17" i="9" s="1"/>
  <c r="AH15" i="9" a="1"/>
  <c r="AH15" i="9" s="1"/>
  <c r="AE14" i="9" a="1"/>
  <c r="AE14" i="9" s="1"/>
  <c r="AG12" i="9" a="1"/>
  <c r="AG12" i="9" s="1"/>
  <c r="AD11" i="9" a="1"/>
  <c r="AD11" i="9" s="1"/>
  <c r="AF9" i="9" a="1"/>
  <c r="AF9" i="9" s="1"/>
  <c r="AH7" i="9" a="1"/>
  <c r="AH7" i="9" s="1"/>
  <c r="AE6" i="9" a="1"/>
  <c r="AE6" i="9" s="1"/>
  <c r="AG4" i="9" a="1"/>
  <c r="AG4" i="9" s="1"/>
  <c r="AD3" i="9" a="1"/>
  <c r="AD3" i="9" s="1"/>
  <c r="AJ28" i="9" a="1"/>
  <c r="AJ28" i="9" s="1"/>
  <c r="AJ22" i="9" a="1"/>
  <c r="AJ22" i="9" s="1"/>
  <c r="AJ15" i="9" a="1"/>
  <c r="AJ15" i="9" s="1"/>
  <c r="AJ9" i="9" a="1"/>
  <c r="AJ9" i="9" s="1"/>
  <c r="AK2" i="9" a="1"/>
  <c r="AK2" i="9" s="1"/>
  <c r="AL33" i="9" a="1"/>
  <c r="AL33" i="9" s="1"/>
  <c r="AN31" i="9" a="1"/>
  <c r="AN31" i="9" s="1"/>
  <c r="AK30" i="9" a="1"/>
  <c r="AK30" i="9" s="1"/>
  <c r="AM28" i="9" a="1"/>
  <c r="AM28" i="9" s="1"/>
  <c r="AO26" i="9" a="1"/>
  <c r="AO26" i="9" s="1"/>
  <c r="AL25" i="9" a="1"/>
  <c r="AL25" i="9" s="1"/>
  <c r="AN23" i="9" a="1"/>
  <c r="AN23" i="9" s="1"/>
  <c r="AK22" i="9" a="1"/>
  <c r="AK22" i="9" s="1"/>
  <c r="AM20" i="9" a="1"/>
  <c r="AM20" i="9" s="1"/>
  <c r="AO18" i="9" a="1"/>
  <c r="AO18" i="9" s="1"/>
  <c r="AL17" i="9" a="1"/>
  <c r="AL17" i="9" s="1"/>
  <c r="AN15" i="9" a="1"/>
  <c r="AN15" i="9" s="1"/>
  <c r="AK14" i="9" a="1"/>
  <c r="AK14" i="9" s="1"/>
  <c r="AM12" i="9" a="1"/>
  <c r="AM12" i="9" s="1"/>
  <c r="AO10" i="9" a="1"/>
  <c r="AO10" i="9" s="1"/>
  <c r="AL9" i="9" a="1"/>
  <c r="AL9" i="9" s="1"/>
  <c r="AN7" i="9" a="1"/>
  <c r="AN7" i="9" s="1"/>
  <c r="AK6" i="9" a="1"/>
  <c r="AK6" i="9" s="1"/>
  <c r="AM4" i="9" a="1"/>
  <c r="AM4" i="9" s="1"/>
  <c r="AQ2" i="9"/>
  <c r="AQ26" i="9"/>
  <c r="AQ18" i="9"/>
  <c r="AQ10" i="9"/>
  <c r="AC2" i="9" a="1"/>
  <c r="AC2" i="9" s="1"/>
  <c r="AC26" i="9" a="1"/>
  <c r="AC26" i="9" s="1"/>
  <c r="AC18" i="9" a="1"/>
  <c r="AC18" i="9" s="1"/>
  <c r="AC10" i="9" a="1"/>
  <c r="AC10" i="9" s="1"/>
  <c r="AD2" i="9" a="1"/>
  <c r="AD2" i="9" s="1"/>
  <c r="AF28" i="9" a="1"/>
  <c r="AF28" i="9" s="1"/>
  <c r="AH26" i="9" a="1"/>
  <c r="AH26" i="9" s="1"/>
  <c r="AF20" i="9" a="1"/>
  <c r="AF20" i="9" s="1"/>
  <c r="AH18" i="9" a="1"/>
  <c r="AH18" i="9" s="1"/>
  <c r="AF12" i="9" a="1"/>
  <c r="AF12" i="9" s="1"/>
  <c r="AH10" i="9" a="1"/>
  <c r="AH10" i="9" s="1"/>
  <c r="AE9" i="9" a="1"/>
  <c r="AE9" i="9" s="1"/>
  <c r="AF4" i="9" a="1"/>
  <c r="AF4" i="9" s="1"/>
  <c r="AJ2" i="9" a="1"/>
  <c r="AJ2" i="9" s="1"/>
  <c r="AJ27" i="9" a="1"/>
  <c r="AJ27" i="9" s="1"/>
  <c r="AO2" i="9" a="1"/>
  <c r="AO2" i="9" s="1"/>
  <c r="AK33" i="9" a="1"/>
  <c r="AK33" i="9" s="1"/>
  <c r="AL28" i="9" a="1"/>
  <c r="AL28" i="9" s="1"/>
  <c r="AN26" i="9" a="1"/>
  <c r="AN26" i="9" s="1"/>
  <c r="AK25" i="9" a="1"/>
  <c r="AK25" i="9" s="1"/>
  <c r="AL20" i="9" a="1"/>
  <c r="AL20" i="9" s="1"/>
  <c r="AN18" i="9" a="1"/>
  <c r="AN18" i="9" s="1"/>
  <c r="AK17" i="9" a="1"/>
  <c r="AK17" i="9" s="1"/>
  <c r="AL12" i="9" a="1"/>
  <c r="AL12" i="9" s="1"/>
  <c r="AN10" i="9" a="1"/>
  <c r="AN10" i="9" s="1"/>
  <c r="AK9" i="9" a="1"/>
  <c r="AK9" i="9" s="1"/>
  <c r="AL4" i="9" a="1"/>
  <c r="AL4" i="9" s="1"/>
  <c r="AQ33" i="9"/>
  <c r="AQ25" i="9"/>
  <c r="AQ17" i="9"/>
  <c r="AQ9" i="9"/>
  <c r="AE20" i="9" a="1"/>
  <c r="AE20" i="9" s="1"/>
  <c r="AG18" i="9" a="1"/>
  <c r="AG18" i="9" s="1"/>
  <c r="AE12" i="9" a="1"/>
  <c r="AE12" i="9" s="1"/>
  <c r="AG10" i="9" a="1"/>
  <c r="AG10" i="9" s="1"/>
  <c r="AE4" i="9" a="1"/>
  <c r="AE4" i="9" s="1"/>
  <c r="AJ33" i="9" a="1"/>
  <c r="AJ33" i="9" s="1"/>
  <c r="AJ20" i="9" a="1"/>
  <c r="AJ20" i="9" s="1"/>
  <c r="AN2" i="9" a="1"/>
  <c r="AN2" i="9" s="1"/>
  <c r="AK28" i="9" a="1"/>
  <c r="AK28" i="9" s="1"/>
  <c r="AM26" i="9" a="1"/>
  <c r="AM26" i="9" s="1"/>
  <c r="AK20" i="9" a="1"/>
  <c r="AK20" i="9" s="1"/>
  <c r="AM18" i="9" a="1"/>
  <c r="AM18" i="9" s="1"/>
  <c r="AL15" i="9" a="1"/>
  <c r="AL15" i="9" s="1"/>
  <c r="AN13" i="9" a="1"/>
  <c r="AN13" i="9" s="1"/>
  <c r="AK12" i="9" a="1"/>
  <c r="AK12" i="9" s="1"/>
  <c r="AM10" i="9" a="1"/>
  <c r="AM10" i="9" s="1"/>
  <c r="AO8" i="9" a="1"/>
  <c r="AO8" i="9" s="1"/>
  <c r="AL7" i="9" a="1"/>
  <c r="AL7" i="9" s="1"/>
  <c r="AN5" i="9" a="1"/>
  <c r="AN5" i="9" s="1"/>
  <c r="AK4" i="9" a="1"/>
  <c r="AK4" i="9" s="1"/>
  <c r="AQ32" i="9"/>
  <c r="AQ24" i="9"/>
  <c r="AQ16" i="9"/>
  <c r="AQ8" i="9"/>
  <c r="AD28" i="9" a="1"/>
  <c r="AD28" i="9" s="1"/>
  <c r="AF26" i="9" a="1"/>
  <c r="AF26" i="9" s="1"/>
  <c r="AD12" i="9" a="1"/>
  <c r="AD12" i="9" s="1"/>
  <c r="AF10" i="9" a="1"/>
  <c r="AF10" i="9" s="1"/>
  <c r="AD4" i="9" a="1"/>
  <c r="AD4" i="9" s="1"/>
  <c r="AJ26" i="9" a="1"/>
  <c r="AJ26" i="9" s="1"/>
  <c r="AJ19" i="9" a="1"/>
  <c r="AJ19" i="9" s="1"/>
  <c r="AM2" i="9" a="1"/>
  <c r="AM2" i="9" s="1"/>
  <c r="AO27" i="9" a="1"/>
  <c r="AO27" i="9" s="1"/>
  <c r="AL26" i="9" a="1"/>
  <c r="AL26" i="9" s="1"/>
  <c r="AO19" i="9" a="1"/>
  <c r="AO19" i="9" s="1"/>
  <c r="AL18" i="9" a="1"/>
  <c r="AL18" i="9" s="1"/>
  <c r="AK15" i="9" a="1"/>
  <c r="AK15" i="9" s="1"/>
  <c r="AM13" i="9" a="1"/>
  <c r="AM13" i="9" s="1"/>
  <c r="AO11" i="9" a="1"/>
  <c r="AO11" i="9" s="1"/>
  <c r="AL10" i="9" a="1"/>
  <c r="AL10" i="9" s="1"/>
  <c r="AN8" i="9" a="1"/>
  <c r="AN8" i="9" s="1"/>
  <c r="AK7" i="9" a="1"/>
  <c r="AK7" i="9" s="1"/>
  <c r="AM5" i="9" a="1"/>
  <c r="AM5" i="9" s="1"/>
  <c r="AO3" i="9" a="1"/>
  <c r="AO3" i="9" s="1"/>
  <c r="AQ31" i="9"/>
  <c r="AQ23" i="9"/>
  <c r="AQ15" i="9"/>
  <c r="AQ7" i="9"/>
  <c r="AN27" i="9" a="1"/>
  <c r="AN27" i="9" s="1"/>
  <c r="AK26" i="9" a="1"/>
  <c r="AK26" i="9" s="1"/>
  <c r="AA26" i="9" s="1"/>
  <c r="AN19" i="9" a="1"/>
  <c r="AN19" i="9" s="1"/>
  <c r="AK18" i="9" a="1"/>
  <c r="AK18" i="9" s="1"/>
  <c r="AL13" i="9" a="1"/>
  <c r="AL13" i="9" s="1"/>
  <c r="AN11" i="9" a="1"/>
  <c r="AN11" i="9" s="1"/>
  <c r="AK10" i="9" a="1"/>
  <c r="AK10" i="9" s="1"/>
  <c r="AM8" i="9" a="1"/>
  <c r="AM8" i="9" s="1"/>
  <c r="AO6" i="9" a="1"/>
  <c r="AO6" i="9" s="1"/>
  <c r="AL5" i="9" a="1"/>
  <c r="AL5" i="9" s="1"/>
  <c r="AN3" i="9" a="1"/>
  <c r="AN3" i="9" s="1"/>
  <c r="AQ30" i="9"/>
  <c r="AQ22" i="9"/>
  <c r="AQ14" i="9"/>
  <c r="AQ6" i="9"/>
  <c r="AH27" i="9" a="1"/>
  <c r="AH27" i="9" s="1"/>
  <c r="AE26" i="9" a="1"/>
  <c r="AE26" i="9" s="1"/>
  <c r="AJ12" i="9" a="1"/>
  <c r="AJ12" i="9" s="1"/>
  <c r="AC30" i="9" a="1"/>
  <c r="AC30" i="9" s="1"/>
  <c r="AC22" i="9" a="1"/>
  <c r="AC22" i="9" s="1"/>
  <c r="AC14" i="9" a="1"/>
  <c r="AC14" i="9" s="1"/>
  <c r="AC6" i="9" a="1"/>
  <c r="AC6" i="9" s="1"/>
  <c r="AE2" i="9" a="1"/>
  <c r="AE2" i="9" s="1"/>
  <c r="AF32" i="9" a="1"/>
  <c r="AF32" i="9" s="1"/>
  <c r="AH30" i="9" a="1"/>
  <c r="AH30" i="9" s="1"/>
  <c r="AE29" i="9" a="1"/>
  <c r="AE29" i="9" s="1"/>
  <c r="AG27" i="9" a="1"/>
  <c r="AG27" i="9" s="1"/>
  <c r="AF24" i="9" a="1"/>
  <c r="AF24" i="9" s="1"/>
  <c r="AH22" i="9" a="1"/>
  <c r="AH22" i="9" s="1"/>
  <c r="AE21" i="9" a="1"/>
  <c r="AE21" i="9" s="1"/>
  <c r="AG19" i="9" a="1"/>
  <c r="AG19" i="9" s="1"/>
  <c r="AD18" i="9" a="1"/>
  <c r="AD18" i="9" s="1"/>
  <c r="AF16" i="9" a="1"/>
  <c r="AF16" i="9" s="1"/>
  <c r="AH14" i="9" a="1"/>
  <c r="AH14" i="9" s="1"/>
  <c r="AE13" i="9" a="1"/>
  <c r="AE13" i="9" s="1"/>
  <c r="AG11" i="9" a="1"/>
  <c r="AG11" i="9" s="1"/>
  <c r="AD10" i="9" a="1"/>
  <c r="AD10" i="9" s="1"/>
  <c r="AF8" i="9" a="1"/>
  <c r="AF8" i="9" s="1"/>
  <c r="AH6" i="9" a="1"/>
  <c r="AH6" i="9" s="1"/>
  <c r="AE5" i="9" a="1"/>
  <c r="AE5" i="9" s="1"/>
  <c r="AG3" i="9" a="1"/>
  <c r="AG3" i="9" s="1"/>
  <c r="AJ24" i="9" a="1"/>
  <c r="AJ24" i="9" s="1"/>
  <c r="AJ18" i="9" a="1"/>
  <c r="AJ18" i="9" s="1"/>
  <c r="AJ11" i="9" a="1"/>
  <c r="AJ11" i="9" s="1"/>
  <c r="AJ5" i="9" a="1"/>
  <c r="AJ5" i="9" s="1"/>
  <c r="AO33" i="9" a="1"/>
  <c r="AO33" i="9" s="1"/>
  <c r="AL32" i="9" a="1"/>
  <c r="AL32" i="9" s="1"/>
  <c r="AN30" i="9" a="1"/>
  <c r="AN30" i="9" s="1"/>
  <c r="AK29" i="9" a="1"/>
  <c r="AK29" i="9" s="1"/>
  <c r="AM27" i="9" a="1"/>
  <c r="AM27" i="9" s="1"/>
  <c r="AO25" i="9" a="1"/>
  <c r="AO25" i="9" s="1"/>
  <c r="AL24" i="9" a="1"/>
  <c r="AL24" i="9" s="1"/>
  <c r="AN22" i="9" a="1"/>
  <c r="AN22" i="9" s="1"/>
  <c r="AK21" i="9" a="1"/>
  <c r="AK21" i="9" s="1"/>
  <c r="AA21" i="9" s="1"/>
  <c r="AM19" i="9" a="1"/>
  <c r="AM19" i="9" s="1"/>
  <c r="AO17" i="9" a="1"/>
  <c r="AO17" i="9" s="1"/>
  <c r="AL16" i="9" a="1"/>
  <c r="AL16" i="9" s="1"/>
  <c r="AN14" i="9" a="1"/>
  <c r="AN14" i="9" s="1"/>
  <c r="AK13" i="9" a="1"/>
  <c r="AK13" i="9" s="1"/>
  <c r="AA13" i="9" s="1"/>
  <c r="AM11" i="9" a="1"/>
  <c r="AM11" i="9" s="1"/>
  <c r="AO9" i="9" a="1"/>
  <c r="AO9" i="9" s="1"/>
  <c r="AL8" i="9" a="1"/>
  <c r="AL8" i="9" s="1"/>
  <c r="AN6" i="9" a="1"/>
  <c r="AN6" i="9" s="1"/>
  <c r="AK5" i="9" a="1"/>
  <c r="AK5" i="9" s="1"/>
  <c r="AA5" i="9" s="1"/>
  <c r="AM3" i="9" a="1"/>
  <c r="AM3" i="9" s="1"/>
  <c r="AQ29" i="9"/>
  <c r="AQ21" i="9"/>
  <c r="AQ13" i="9"/>
  <c r="AQ5" i="9"/>
  <c r="AG2" i="9" a="1"/>
  <c r="AG2" i="9" s="1"/>
  <c r="AF2" i="9" a="1"/>
  <c r="AF2" i="9" s="1"/>
  <c r="AH3" i="9" a="1"/>
  <c r="AH3" i="9" s="1"/>
  <c r="AC29" i="9" a="1"/>
  <c r="AC29" i="9" s="1"/>
  <c r="AC21" i="9" a="1"/>
  <c r="AC21" i="9" s="1"/>
  <c r="AC13" i="9" a="1"/>
  <c r="AC13" i="9" s="1"/>
  <c r="AC5" i="9" a="1"/>
  <c r="AC5" i="9" s="1"/>
  <c r="AH33" i="9" a="1"/>
  <c r="AH33" i="9" s="1"/>
  <c r="AE32" i="9" a="1"/>
  <c r="AE32" i="9" s="1"/>
  <c r="AG30" i="9" a="1"/>
  <c r="AG30" i="9" s="1"/>
  <c r="AD29" i="9" a="1"/>
  <c r="AD29" i="9" s="1"/>
  <c r="AF27" i="9" a="1"/>
  <c r="AF27" i="9" s="1"/>
  <c r="AH25" i="9" a="1"/>
  <c r="AH25" i="9" s="1"/>
  <c r="AE24" i="9" a="1"/>
  <c r="AE24" i="9" s="1"/>
  <c r="AG22" i="9" a="1"/>
  <c r="AG22" i="9" s="1"/>
  <c r="AF19" i="9" a="1"/>
  <c r="AF19" i="9" s="1"/>
  <c r="AH17" i="9" a="1"/>
  <c r="AH17" i="9" s="1"/>
  <c r="AE16" i="9" a="1"/>
  <c r="AE16" i="9" s="1"/>
  <c r="AG14" i="9" a="1"/>
  <c r="AG14" i="9" s="1"/>
  <c r="AF11" i="9" a="1"/>
  <c r="AF11" i="9" s="1"/>
  <c r="AH9" i="9" a="1"/>
  <c r="AH9" i="9" s="1"/>
  <c r="AE8" i="9" a="1"/>
  <c r="AE8" i="9" s="1"/>
  <c r="AG6" i="9" a="1"/>
  <c r="AG6" i="9" s="1"/>
  <c r="AF3" i="9" a="1"/>
  <c r="AF3" i="9" s="1"/>
  <c r="AJ30" i="9" a="1"/>
  <c r="AJ30" i="9" s="1"/>
  <c r="AJ23" i="9" a="1"/>
  <c r="AJ23" i="9" s="1"/>
  <c r="AJ17" i="9" a="1"/>
  <c r="AJ17" i="9" s="1"/>
  <c r="AJ4" i="9" a="1"/>
  <c r="AJ4" i="9" s="1"/>
  <c r="AN33" i="9" a="1"/>
  <c r="AN33" i="9" s="1"/>
  <c r="AK32" i="9" a="1"/>
  <c r="AK32" i="9" s="1"/>
  <c r="AA32" i="9" s="1"/>
  <c r="AM30" i="9" a="1"/>
  <c r="AM30" i="9" s="1"/>
  <c r="AO28" i="9" a="1"/>
  <c r="AO28" i="9" s="1"/>
  <c r="AL27" i="9" a="1"/>
  <c r="AL27" i="9" s="1"/>
  <c r="AN25" i="9" a="1"/>
  <c r="AN25" i="9" s="1"/>
  <c r="AK24" i="9" a="1"/>
  <c r="AK24" i="9" s="1"/>
  <c r="AA24" i="9" s="1"/>
  <c r="AM22" i="9" a="1"/>
  <c r="AM22" i="9" s="1"/>
  <c r="AO20" i="9" a="1"/>
  <c r="AO20" i="9" s="1"/>
  <c r="AL19" i="9" a="1"/>
  <c r="AL19" i="9" s="1"/>
  <c r="AN17" i="9" a="1"/>
  <c r="AN17" i="9" s="1"/>
  <c r="AK16" i="9" a="1"/>
  <c r="AK16" i="9" s="1"/>
  <c r="AM14" i="9" a="1"/>
  <c r="AM14" i="9" s="1"/>
  <c r="AO12" i="9" a="1"/>
  <c r="AO12" i="9" s="1"/>
  <c r="AL11" i="9" a="1"/>
  <c r="AL11" i="9" s="1"/>
  <c r="AN9" i="9" a="1"/>
  <c r="AN9" i="9" s="1"/>
  <c r="AK8" i="9" a="1"/>
  <c r="AK8" i="9" s="1"/>
  <c r="AA8" i="9" s="1"/>
  <c r="AM6" i="9" a="1"/>
  <c r="AM6" i="9" s="1"/>
  <c r="AO4" i="9" a="1"/>
  <c r="AO4" i="9" s="1"/>
  <c r="AL3" i="9" a="1"/>
  <c r="AL3" i="9" s="1"/>
  <c r="AQ28" i="9"/>
  <c r="AQ20" i="9"/>
  <c r="AQ12" i="9"/>
  <c r="AQ4" i="9"/>
  <c r="AH11" i="9" a="1"/>
  <c r="AH11" i="9" s="1"/>
  <c r="AE10" i="9" a="1"/>
  <c r="AE10" i="9" s="1"/>
  <c r="AJ25" i="9" a="1"/>
  <c r="AJ25" i="9" s="1"/>
  <c r="AC28" i="9" a="1"/>
  <c r="AC28" i="9" s="1"/>
  <c r="AC20" i="9" a="1"/>
  <c r="AC20" i="9" s="1"/>
  <c r="AC12" i="9" a="1"/>
  <c r="AC12" i="9" s="1"/>
  <c r="AC4" i="9" a="1"/>
  <c r="AC4" i="9" s="1"/>
  <c r="AG33" i="9" a="1"/>
  <c r="AG33" i="9" s="1"/>
  <c r="AF30" i="9" a="1"/>
  <c r="AF30" i="9" s="1"/>
  <c r="AH28" i="9" a="1"/>
  <c r="AH28" i="9" s="1"/>
  <c r="AE27" i="9" a="1"/>
  <c r="AE27" i="9" s="1"/>
  <c r="AG25" i="9" a="1"/>
  <c r="AG25" i="9" s="1"/>
  <c r="AF22" i="9" a="1"/>
  <c r="AF22" i="9" s="1"/>
  <c r="AH20" i="9" a="1"/>
  <c r="AH20" i="9" s="1"/>
  <c r="AE19" i="9" a="1"/>
  <c r="AE19" i="9" s="1"/>
  <c r="AG17" i="9" a="1"/>
  <c r="AG17" i="9" s="1"/>
  <c r="AD16" i="9" a="1"/>
  <c r="AD16" i="9" s="1"/>
  <c r="AF14" i="9" a="1"/>
  <c r="AF14" i="9" s="1"/>
  <c r="AH12" i="9" a="1"/>
  <c r="AH12" i="9" s="1"/>
  <c r="AE11" i="9" a="1"/>
  <c r="AE11" i="9" s="1"/>
  <c r="AG9" i="9" a="1"/>
  <c r="AG9" i="9" s="1"/>
  <c r="AF6" i="9" a="1"/>
  <c r="AF6" i="9" s="1"/>
  <c r="AH4" i="9" a="1"/>
  <c r="AH4" i="9" s="1"/>
  <c r="AE3" i="9" a="1"/>
  <c r="AE3" i="9" s="1"/>
  <c r="AJ3" i="9" a="1"/>
  <c r="AJ3" i="9" s="1"/>
  <c r="AK27" i="9" a="1"/>
  <c r="AK27" i="9" s="1"/>
  <c r="AK19" i="9" a="1"/>
  <c r="AK19" i="9" s="1"/>
  <c r="AK11" i="9" a="1"/>
  <c r="AK11" i="9" s="1"/>
  <c r="AK3" i="9" a="1"/>
  <c r="AK3" i="9" s="1"/>
  <c r="AD22" i="16" a="1"/>
  <c r="AD22" i="16" s="1"/>
  <c r="AH20" i="16" a="1"/>
  <c r="AH20" i="16" s="1"/>
  <c r="AF19" i="16" a="1"/>
  <c r="AF19" i="16" s="1"/>
  <c r="AD18" i="16" a="1"/>
  <c r="AD18" i="16" s="1"/>
  <c r="AH16" i="16" a="1"/>
  <c r="AH16" i="16" s="1"/>
  <c r="AF15" i="16" a="1"/>
  <c r="AF15" i="16" s="1"/>
  <c r="AD14" i="16" a="1"/>
  <c r="AD14" i="16" s="1"/>
  <c r="AH12" i="16" a="1"/>
  <c r="AH12" i="16" s="1"/>
  <c r="AF11" i="16" a="1"/>
  <c r="AF11" i="16" s="1"/>
  <c r="AD10" i="16" a="1"/>
  <c r="AD10" i="16" s="1"/>
  <c r="AH8" i="16" a="1"/>
  <c r="AH8" i="16" s="1"/>
  <c r="AF7" i="16" a="1"/>
  <c r="AF7" i="16" s="1"/>
  <c r="AD6" i="16" a="1"/>
  <c r="AD6" i="16" s="1"/>
  <c r="AH4" i="16" a="1"/>
  <c r="AH4" i="16" s="1"/>
  <c r="AF3" i="16" a="1"/>
  <c r="AF3" i="16" s="1"/>
  <c r="AO21" i="16" a="1"/>
  <c r="AO21" i="16" s="1"/>
  <c r="AM20" i="16" a="1"/>
  <c r="AM20" i="16" s="1"/>
  <c r="AK19" i="16" a="1"/>
  <c r="AK19" i="16" s="1"/>
  <c r="AO17" i="16" a="1"/>
  <c r="AO17" i="16" s="1"/>
  <c r="AM16" i="16" a="1"/>
  <c r="AM16" i="16" s="1"/>
  <c r="AK15" i="16" a="1"/>
  <c r="AK15" i="16" s="1"/>
  <c r="AO13" i="16" a="1"/>
  <c r="AO13" i="16" s="1"/>
  <c r="AM12" i="16" a="1"/>
  <c r="AM12" i="16" s="1"/>
  <c r="AK11" i="16" a="1"/>
  <c r="AK11" i="16" s="1"/>
  <c r="AO9" i="16" a="1"/>
  <c r="AO9" i="16" s="1"/>
  <c r="AM8" i="16" a="1"/>
  <c r="AM8" i="16" s="1"/>
  <c r="AK7" i="16" a="1"/>
  <c r="AK7" i="16" s="1"/>
  <c r="AO5" i="16" a="1"/>
  <c r="AO5" i="16" s="1"/>
  <c r="AM4" i="16" a="1"/>
  <c r="AM4" i="16" s="1"/>
  <c r="AK3" i="16" a="1"/>
  <c r="AK3" i="16" s="1"/>
  <c r="AC22" i="16" a="1"/>
  <c r="AC22" i="16" s="1"/>
  <c r="AG20" i="16" a="1"/>
  <c r="AG20" i="16" s="1"/>
  <c r="AE19" i="16" a="1"/>
  <c r="AE19" i="16" s="1"/>
  <c r="AC18" i="16" a="1"/>
  <c r="AC18" i="16" s="1"/>
  <c r="AG16" i="16" a="1"/>
  <c r="AG16" i="16" s="1"/>
  <c r="AE15" i="16" a="1"/>
  <c r="AE15" i="16" s="1"/>
  <c r="AC14" i="16" a="1"/>
  <c r="AC14" i="16" s="1"/>
  <c r="AG12" i="16" a="1"/>
  <c r="AG12" i="16" s="1"/>
  <c r="AE11" i="16" a="1"/>
  <c r="AE11" i="16" s="1"/>
  <c r="AC10" i="16" a="1"/>
  <c r="AC10" i="16" s="1"/>
  <c r="AG8" i="16" a="1"/>
  <c r="AG8" i="16" s="1"/>
  <c r="AE7" i="16" a="1"/>
  <c r="AE7" i="16" s="1"/>
  <c r="AC6" i="16" a="1"/>
  <c r="AC6" i="16" s="1"/>
  <c r="AG4" i="16" a="1"/>
  <c r="AG4" i="16" s="1"/>
  <c r="AE3" i="16" a="1"/>
  <c r="AE3" i="16" s="1"/>
  <c r="AN21" i="16" a="1"/>
  <c r="AN21" i="16" s="1"/>
  <c r="AL20" i="16" a="1"/>
  <c r="AL20" i="16" s="1"/>
  <c r="AJ19" i="16" a="1"/>
  <c r="AJ19" i="16" s="1"/>
  <c r="AN17" i="16" a="1"/>
  <c r="AN17" i="16" s="1"/>
  <c r="AL16" i="16" a="1"/>
  <c r="AL16" i="16" s="1"/>
  <c r="AJ15" i="16" a="1"/>
  <c r="AJ15" i="16" s="1"/>
  <c r="AN13" i="16" a="1"/>
  <c r="AN13" i="16" s="1"/>
  <c r="AL12" i="16" a="1"/>
  <c r="AL12" i="16" s="1"/>
  <c r="AJ11" i="16" a="1"/>
  <c r="AJ11" i="16" s="1"/>
  <c r="AN9" i="16" a="1"/>
  <c r="AN9" i="16" s="1"/>
  <c r="AL8" i="16" a="1"/>
  <c r="AL8" i="16" s="1"/>
  <c r="AJ7" i="16" a="1"/>
  <c r="AJ7" i="16" s="1"/>
  <c r="AN5" i="16" a="1"/>
  <c r="AN5" i="16" s="1"/>
  <c r="AL4" i="16" a="1"/>
  <c r="AL4" i="16" s="1"/>
  <c r="AJ3" i="16" a="1"/>
  <c r="AJ3" i="16" s="1"/>
  <c r="AD15" i="16" a="1"/>
  <c r="AD15" i="16" s="1"/>
  <c r="AH13" i="16" a="1"/>
  <c r="AH13" i="16" s="1"/>
  <c r="AF12" i="16" a="1"/>
  <c r="AF12" i="16" s="1"/>
  <c r="AD7" i="16" a="1"/>
  <c r="AD7" i="16" s="1"/>
  <c r="AH5" i="16" a="1"/>
  <c r="AH5" i="16" s="1"/>
  <c r="AF4" i="16" a="1"/>
  <c r="AF4" i="16" s="1"/>
  <c r="AO22" i="16" a="1"/>
  <c r="AO22" i="16" s="1"/>
  <c r="AM21" i="16" a="1"/>
  <c r="AM21" i="16" s="1"/>
  <c r="AK20" i="16" a="1"/>
  <c r="AK20" i="16" s="1"/>
  <c r="AO14" i="16" a="1"/>
  <c r="AO14" i="16" s="1"/>
  <c r="AM13" i="16" a="1"/>
  <c r="AM13" i="16" s="1"/>
  <c r="AK12" i="16" a="1"/>
  <c r="AK12" i="16" s="1"/>
  <c r="AO6" i="16" a="1"/>
  <c r="AO6" i="16" s="1"/>
  <c r="AM5" i="16" a="1"/>
  <c r="AM5" i="16" s="1"/>
  <c r="AK4" i="16" a="1"/>
  <c r="AK4" i="16" s="1"/>
  <c r="AG21" i="16" a="1"/>
  <c r="AG21" i="16" s="1"/>
  <c r="AC15" i="16" a="1"/>
  <c r="AC15" i="16" s="1"/>
  <c r="AG13" i="16" a="1"/>
  <c r="AG13" i="16" s="1"/>
  <c r="AE12" i="16" a="1"/>
  <c r="AE12" i="16" s="1"/>
  <c r="AC7" i="16" a="1"/>
  <c r="AC7" i="16" s="1"/>
  <c r="AG5" i="16" a="1"/>
  <c r="AG5" i="16" s="1"/>
  <c r="AE4" i="16" a="1"/>
  <c r="AE4" i="16" s="1"/>
  <c r="AN22" i="16" a="1"/>
  <c r="AN22" i="16" s="1"/>
  <c r="AL21" i="16" a="1"/>
  <c r="AL21" i="16" s="1"/>
  <c r="AJ20" i="16" a="1"/>
  <c r="AJ20" i="16" s="1"/>
  <c r="AN14" i="16" a="1"/>
  <c r="AN14" i="16" s="1"/>
  <c r="AL13" i="16" a="1"/>
  <c r="AL13" i="16" s="1"/>
  <c r="AJ12" i="16" a="1"/>
  <c r="AJ12" i="16" s="1"/>
  <c r="AN6" i="16" a="1"/>
  <c r="AN6" i="16" s="1"/>
  <c r="AL5" i="16" a="1"/>
  <c r="AL5" i="16" s="1"/>
  <c r="AJ4" i="16" a="1"/>
  <c r="AJ4" i="16" s="1"/>
  <c r="AH22" i="16" a="1"/>
  <c r="AH22" i="16" s="1"/>
  <c r="AF21" i="16" a="1"/>
  <c r="AF21" i="16" s="1"/>
  <c r="AH14" i="16" a="1"/>
  <c r="AH14" i="16" s="1"/>
  <c r="AF13" i="16" a="1"/>
  <c r="AF13" i="16" s="1"/>
  <c r="AD12" i="16" a="1"/>
  <c r="AD12" i="16" s="1"/>
  <c r="AH6" i="16" a="1"/>
  <c r="AH6" i="16" s="1"/>
  <c r="AF5" i="16" a="1"/>
  <c r="AF5" i="16" s="1"/>
  <c r="AD4" i="16" a="1"/>
  <c r="AD4" i="16" s="1"/>
  <c r="AM22" i="16" a="1"/>
  <c r="AM22" i="16" s="1"/>
  <c r="AK21" i="16" a="1"/>
  <c r="AK21" i="16" s="1"/>
  <c r="AO15" i="16" a="1"/>
  <c r="AO15" i="16" s="1"/>
  <c r="AM14" i="16" a="1"/>
  <c r="AM14" i="16" s="1"/>
  <c r="AK13" i="16" a="1"/>
  <c r="AK13" i="16" s="1"/>
  <c r="AO7" i="16" a="1"/>
  <c r="AO7" i="16" s="1"/>
  <c r="AM6" i="16" a="1"/>
  <c r="AM6" i="16" s="1"/>
  <c r="AK5" i="16" a="1"/>
  <c r="AK5" i="16" s="1"/>
  <c r="AG14" i="16" a="1"/>
  <c r="AG14" i="16" s="1"/>
  <c r="AE13" i="16" a="1"/>
  <c r="AE13" i="16" s="1"/>
  <c r="AC12" i="16" a="1"/>
  <c r="AC12" i="16" s="1"/>
  <c r="AG6" i="16" a="1"/>
  <c r="AG6" i="16" s="1"/>
  <c r="AE5" i="16" a="1"/>
  <c r="AE5" i="16" s="1"/>
  <c r="AN15" i="16" a="1"/>
  <c r="AN15" i="16" s="1"/>
  <c r="AL14" i="16" a="1"/>
  <c r="AL14" i="16" s="1"/>
  <c r="AJ13" i="16" a="1"/>
  <c r="AJ13" i="16" s="1"/>
  <c r="AN7" i="16" a="1"/>
  <c r="AN7" i="16" s="1"/>
  <c r="AL6" i="16" a="1"/>
  <c r="AL6" i="16" s="1"/>
  <c r="AJ5" i="16" a="1"/>
  <c r="AJ5" i="16" s="1"/>
  <c r="AQ21" i="16"/>
  <c r="AG22" i="16" a="1"/>
  <c r="AG22" i="16" s="1"/>
  <c r="AE21" i="16" a="1"/>
  <c r="AE21" i="16" s="1"/>
  <c r="AC20" i="16" a="1"/>
  <c r="AC20" i="16" s="1"/>
  <c r="AL22" i="16" a="1"/>
  <c r="AL22" i="16" s="1"/>
  <c r="AF22" i="16" a="1"/>
  <c r="AF22" i="16" s="1"/>
  <c r="AD21" i="16" a="1"/>
  <c r="AD21" i="16" s="1"/>
  <c r="AH19" i="16" a="1"/>
  <c r="AH19" i="16" s="1"/>
  <c r="AF18" i="16" a="1"/>
  <c r="AF18" i="16" s="1"/>
  <c r="AD17" i="16" a="1"/>
  <c r="AD17" i="16" s="1"/>
  <c r="AH15" i="16" a="1"/>
  <c r="AH15" i="16" s="1"/>
  <c r="AF14" i="16" a="1"/>
  <c r="AF14" i="16" s="1"/>
  <c r="AD13" i="16" a="1"/>
  <c r="AD13" i="16" s="1"/>
  <c r="AH11" i="16" a="1"/>
  <c r="AH11" i="16" s="1"/>
  <c r="AF10" i="16" a="1"/>
  <c r="AF10" i="16" s="1"/>
  <c r="AD9" i="16" a="1"/>
  <c r="AD9" i="16" s="1"/>
  <c r="AH7" i="16" a="1"/>
  <c r="AH7" i="16" s="1"/>
  <c r="AF6" i="16" a="1"/>
  <c r="AF6" i="16" s="1"/>
  <c r="AD5" i="16" a="1"/>
  <c r="AD5" i="16" s="1"/>
  <c r="AH3" i="16" a="1"/>
  <c r="AH3" i="16" s="1"/>
  <c r="AK22" i="16" a="1"/>
  <c r="AK22" i="16" s="1"/>
  <c r="AO20" i="16" a="1"/>
  <c r="AO20" i="16" s="1"/>
  <c r="AM19" i="16" a="1"/>
  <c r="AM19" i="16" s="1"/>
  <c r="AK18" i="16" a="1"/>
  <c r="AK18" i="16" s="1"/>
  <c r="AO16" i="16" a="1"/>
  <c r="AO16" i="16" s="1"/>
  <c r="AM15" i="16" a="1"/>
  <c r="AM15" i="16" s="1"/>
  <c r="AK14" i="16" a="1"/>
  <c r="AK14" i="16" s="1"/>
  <c r="AO12" i="16" a="1"/>
  <c r="AO12" i="16" s="1"/>
  <c r="AM11" i="16" a="1"/>
  <c r="AM11" i="16" s="1"/>
  <c r="AK10" i="16" a="1"/>
  <c r="AK10" i="16" s="1"/>
  <c r="AO8" i="16" a="1"/>
  <c r="AO8" i="16" s="1"/>
  <c r="AM7" i="16" a="1"/>
  <c r="AM7" i="16" s="1"/>
  <c r="AK6" i="16" a="1"/>
  <c r="AK6" i="16" s="1"/>
  <c r="AO4" i="16" a="1"/>
  <c r="AO4" i="16" s="1"/>
  <c r="AM3" i="16" a="1"/>
  <c r="AM3" i="16" s="1"/>
  <c r="AQ22" i="16"/>
  <c r="AJ21" i="16" a="1"/>
  <c r="AJ21" i="16" s="1"/>
  <c r="AE22" i="16" a="1"/>
  <c r="AE22" i="16" s="1"/>
  <c r="AG19" i="16" a="1"/>
  <c r="AG19" i="16" s="1"/>
  <c r="AE18" i="16" a="1"/>
  <c r="AE18" i="16" s="1"/>
  <c r="AG15" i="16" a="1"/>
  <c r="AG15" i="16" s="1"/>
  <c r="AE14" i="16" a="1"/>
  <c r="AE14" i="16" s="1"/>
  <c r="AG11" i="16" a="1"/>
  <c r="AG11" i="16" s="1"/>
  <c r="AE10" i="16" a="1"/>
  <c r="AE10" i="16" s="1"/>
  <c r="AG7" i="16" a="1"/>
  <c r="AG7" i="16" s="1"/>
  <c r="AE6" i="16" a="1"/>
  <c r="AE6" i="16" s="1"/>
  <c r="AG3" i="16" a="1"/>
  <c r="AG3" i="16" s="1"/>
  <c r="AN20" i="16" a="1"/>
  <c r="AN20" i="16" s="1"/>
  <c r="Z15" i="19" l="1"/>
  <c r="Z14" i="14"/>
  <c r="Z4" i="19"/>
  <c r="Z6" i="19"/>
  <c r="Z7" i="14"/>
  <c r="Z15" i="14"/>
  <c r="Z20" i="19"/>
  <c r="Z10" i="19"/>
  <c r="Z23" i="19"/>
  <c r="Z19" i="19"/>
  <c r="Z24" i="19"/>
  <c r="Z3" i="19"/>
  <c r="Z18" i="19"/>
  <c r="Z7" i="19"/>
  <c r="Z13" i="19"/>
  <c r="Z22" i="19"/>
  <c r="Z27" i="19"/>
  <c r="Z8" i="19"/>
  <c r="Z26" i="19"/>
  <c r="Z14" i="19"/>
  <c r="Z12" i="19"/>
  <c r="AA45" i="12"/>
  <c r="Z8" i="14"/>
  <c r="Z9" i="14"/>
  <c r="Z17" i="14"/>
  <c r="Z20" i="14"/>
  <c r="Z11" i="14"/>
  <c r="Z3" i="14"/>
  <c r="Z19" i="14"/>
  <c r="Z5" i="14"/>
  <c r="Z22" i="14"/>
  <c r="Z10" i="14"/>
  <c r="Z18" i="14"/>
  <c r="Z23" i="14"/>
  <c r="Z16" i="14"/>
  <c r="Z6" i="14"/>
  <c r="Z13" i="14"/>
  <c r="AA49" i="12"/>
  <c r="AA15" i="10"/>
  <c r="AA12" i="12"/>
  <c r="AA14" i="12"/>
  <c r="AA7" i="12"/>
  <c r="AA24" i="12"/>
  <c r="AA36" i="12"/>
  <c r="AA15" i="12"/>
  <c r="AA6" i="12"/>
  <c r="AA52" i="12"/>
  <c r="AA38" i="12"/>
  <c r="AA17" i="12"/>
  <c r="AA51" i="12"/>
  <c r="AA40" i="12"/>
  <c r="AA25" i="12"/>
  <c r="AA37" i="12"/>
  <c r="AA13" i="12"/>
  <c r="AA47" i="12"/>
  <c r="AA31" i="12"/>
  <c r="AA55" i="12"/>
  <c r="AA19" i="12"/>
  <c r="AA20" i="12"/>
  <c r="AA44" i="12"/>
  <c r="AA28" i="12"/>
  <c r="AA35" i="12"/>
  <c r="AA43" i="12"/>
  <c r="AA5" i="12"/>
  <c r="AA42" i="12"/>
  <c r="AA22" i="12"/>
  <c r="AA32" i="12"/>
  <c r="AA29" i="12"/>
  <c r="AA4" i="12"/>
  <c r="AA11" i="12"/>
  <c r="AA8" i="12"/>
  <c r="AA48" i="12"/>
  <c r="AA18" i="12"/>
  <c r="AA46" i="12"/>
  <c r="AA23" i="12"/>
  <c r="AA33" i="12"/>
  <c r="AA16" i="12"/>
  <c r="AA30" i="12"/>
  <c r="AA10" i="12"/>
  <c r="AA3" i="12"/>
  <c r="AA50" i="12"/>
  <c r="AA21" i="12"/>
  <c r="AA27" i="12"/>
  <c r="AA41" i="12"/>
  <c r="AA3" i="9"/>
  <c r="AA20" i="9"/>
  <c r="AA30" i="9"/>
  <c r="AA22" i="9"/>
  <c r="AA9" i="9"/>
  <c r="AA14" i="9"/>
  <c r="AA31" i="9"/>
  <c r="AA11" i="9"/>
  <c r="AA19" i="9"/>
  <c r="AA7" i="9"/>
  <c r="AA15" i="9"/>
  <c r="AA25" i="9"/>
  <c r="AA17" i="9"/>
  <c r="AA27" i="9"/>
  <c r="AA33" i="9"/>
  <c r="AA18" i="9"/>
  <c r="AA4" i="9"/>
  <c r="AA6" i="9"/>
  <c r="AA16" i="9"/>
  <c r="AA2" i="9"/>
  <c r="AA23" i="9"/>
  <c r="AA29" i="9"/>
  <c r="AA28" i="9"/>
  <c r="AA10" i="9"/>
  <c r="AA12" i="9"/>
  <c r="B94" i="2" l="1"/>
  <c r="C94" i="2"/>
  <c r="B95" i="2"/>
  <c r="C95" i="2"/>
  <c r="B96" i="2"/>
  <c r="C96" i="2"/>
  <c r="B97" i="2"/>
  <c r="C97" i="2"/>
  <c r="B98" i="2"/>
  <c r="C98" i="2"/>
  <c r="B99" i="2"/>
  <c r="C99" i="2"/>
  <c r="B100" i="2"/>
  <c r="C100" i="2"/>
  <c r="B101" i="2"/>
  <c r="C101" i="2"/>
  <c r="B102" i="2"/>
  <c r="C102" i="2"/>
  <c r="B103" i="2"/>
  <c r="C103" i="2"/>
  <c r="B104" i="2"/>
  <c r="C104" i="2"/>
  <c r="B105" i="2"/>
  <c r="C105" i="2"/>
  <c r="B106" i="2"/>
  <c r="C106" i="2"/>
  <c r="B107" i="2"/>
  <c r="C107" i="2"/>
  <c r="B108" i="2"/>
  <c r="C108" i="2"/>
  <c r="B109" i="2"/>
  <c r="C109" i="2"/>
  <c r="B110" i="2"/>
  <c r="C110" i="2"/>
  <c r="B111" i="2"/>
  <c r="C111" i="2"/>
  <c r="B112" i="2"/>
  <c r="C112" i="2"/>
  <c r="B113" i="2"/>
  <c r="C113" i="2"/>
  <c r="AG68" i="2"/>
  <c r="AG69" i="2"/>
  <c r="AG70" i="2"/>
  <c r="AG67" i="2"/>
  <c r="B88" i="2" l="1"/>
  <c r="C88" i="2"/>
  <c r="B89" i="2"/>
  <c r="C89" i="2"/>
  <c r="B90" i="2"/>
  <c r="C90" i="2"/>
  <c r="B73" i="2"/>
  <c r="C73" i="2"/>
  <c r="B74" i="2"/>
  <c r="C74" i="2"/>
  <c r="B75" i="2"/>
  <c r="C75" i="2"/>
  <c r="B76" i="2"/>
  <c r="C76" i="2"/>
  <c r="B77" i="2"/>
  <c r="C77" i="2"/>
  <c r="B78" i="2"/>
  <c r="C78" i="2"/>
  <c r="B79" i="2"/>
  <c r="C79" i="2"/>
  <c r="B80" i="2"/>
  <c r="C80" i="2"/>
  <c r="B81" i="2"/>
  <c r="C81" i="2"/>
  <c r="B82" i="2"/>
  <c r="C82" i="2"/>
  <c r="B83" i="2"/>
  <c r="C83" i="2"/>
  <c r="B84" i="2"/>
  <c r="C84" i="2"/>
  <c r="B85" i="2"/>
  <c r="C85" i="2"/>
  <c r="B86" i="2"/>
  <c r="C86" i="2"/>
  <c r="B87" i="2"/>
  <c r="C87" i="2"/>
  <c r="B56" i="2"/>
  <c r="C56" i="2"/>
  <c r="B57" i="2"/>
  <c r="C57" i="2"/>
  <c r="B58" i="2"/>
  <c r="C58" i="2"/>
  <c r="B59" i="2"/>
  <c r="C59" i="2"/>
  <c r="B60" i="2"/>
  <c r="C60" i="2"/>
  <c r="B61" i="2"/>
  <c r="C61" i="2"/>
  <c r="B62" i="2"/>
  <c r="C62" i="2"/>
  <c r="B63" i="2"/>
  <c r="C63" i="2"/>
  <c r="B64" i="2"/>
  <c r="C64" i="2"/>
  <c r="B65" i="2"/>
  <c r="C65" i="2"/>
  <c r="B66" i="2"/>
  <c r="C66" i="2"/>
  <c r="B67" i="2"/>
  <c r="C67" i="2"/>
  <c r="B68" i="2"/>
  <c r="C68" i="2"/>
  <c r="B69" i="2"/>
  <c r="C69" i="2"/>
  <c r="B70" i="2"/>
  <c r="C70" i="2"/>
  <c r="B71" i="2"/>
  <c r="C71" i="2"/>
  <c r="B72" i="2"/>
  <c r="C72" i="2"/>
  <c r="B37" i="2"/>
  <c r="C37" i="2"/>
  <c r="B38" i="2"/>
  <c r="C38" i="2"/>
  <c r="B39" i="2"/>
  <c r="C39" i="2"/>
  <c r="B40" i="2"/>
  <c r="C40" i="2"/>
  <c r="B41" i="2"/>
  <c r="C41" i="2"/>
  <c r="B42" i="2"/>
  <c r="C42" i="2"/>
  <c r="B43" i="2"/>
  <c r="C43" i="2"/>
  <c r="B44" i="2"/>
  <c r="C44" i="2"/>
  <c r="B45" i="2"/>
  <c r="C45" i="2"/>
  <c r="B46" i="2"/>
  <c r="C46" i="2"/>
  <c r="B47" i="2"/>
  <c r="C47" i="2"/>
  <c r="B48" i="2"/>
  <c r="C48" i="2"/>
  <c r="B49" i="2"/>
  <c r="C49" i="2"/>
  <c r="B50" i="2"/>
  <c r="C50" i="2"/>
  <c r="B51" i="2"/>
  <c r="C51" i="2"/>
  <c r="B52" i="2"/>
  <c r="C52" i="2"/>
  <c r="B53" i="2"/>
  <c r="C53" i="2"/>
  <c r="B54" i="2"/>
  <c r="C54" i="2"/>
  <c r="A139" i="2"/>
  <c r="A140" i="2"/>
  <c r="A141" i="2"/>
  <c r="A142" i="2"/>
  <c r="A143" i="2"/>
  <c r="A144" i="2"/>
  <c r="A145" i="2"/>
  <c r="A146" i="2"/>
  <c r="A147" i="2"/>
  <c r="A128" i="2"/>
  <c r="A129" i="2"/>
  <c r="A130" i="2"/>
  <c r="A131" i="2"/>
  <c r="A132" i="2"/>
  <c r="A133" i="2"/>
  <c r="A134" i="2"/>
  <c r="A135" i="2"/>
  <c r="A136" i="2"/>
  <c r="A137" i="2"/>
  <c r="A138" i="2"/>
  <c r="A116" i="2"/>
  <c r="A117" i="2"/>
  <c r="A118" i="2"/>
  <c r="A119" i="2"/>
  <c r="A120" i="2"/>
  <c r="A121" i="2"/>
  <c r="A122" i="2"/>
  <c r="A123" i="2"/>
  <c r="A124" i="2"/>
  <c r="A125" i="2"/>
  <c r="A126" i="2"/>
  <c r="A127" i="2"/>
  <c r="A93" i="2"/>
  <c r="A94" i="2"/>
  <c r="A95" i="2"/>
  <c r="A96" i="2"/>
  <c r="A97" i="2"/>
  <c r="A98" i="2"/>
  <c r="A99" i="2"/>
  <c r="A100" i="2"/>
  <c r="A101" i="2"/>
  <c r="A102" i="2"/>
  <c r="A103" i="2"/>
  <c r="A104" i="2"/>
  <c r="A105" i="2"/>
  <c r="A106" i="2"/>
  <c r="A107" i="2"/>
  <c r="A108" i="2"/>
  <c r="A109" i="2"/>
  <c r="A110" i="2"/>
  <c r="A111" i="2"/>
  <c r="A112" i="2"/>
  <c r="A113" i="2"/>
  <c r="AA328" i="33"/>
  <c r="Z328" i="33"/>
  <c r="Z300" i="33"/>
  <c r="AA300" i="33"/>
  <c r="Z301" i="33"/>
  <c r="AA301" i="33"/>
  <c r="Z302" i="33"/>
  <c r="AA302" i="33"/>
  <c r="Z303" i="33"/>
  <c r="AA303" i="33"/>
  <c r="Z304" i="33"/>
  <c r="AA304" i="33"/>
  <c r="Z305" i="33"/>
  <c r="AA305" i="33"/>
  <c r="Z306" i="33"/>
  <c r="AA306" i="33"/>
  <c r="Z307" i="33"/>
  <c r="AA307" i="33"/>
  <c r="Z308" i="33"/>
  <c r="AA308" i="33"/>
  <c r="Z309" i="33"/>
  <c r="AA309" i="33"/>
  <c r="Z310" i="33"/>
  <c r="AA310" i="33"/>
  <c r="Z311" i="33"/>
  <c r="AA311" i="33"/>
  <c r="Z312" i="33"/>
  <c r="AA312" i="33"/>
  <c r="Z313" i="33"/>
  <c r="AA313" i="33"/>
  <c r="Z314" i="33"/>
  <c r="AA314" i="33"/>
  <c r="Z315" i="33"/>
  <c r="AA315" i="33"/>
  <c r="Z316" i="33"/>
  <c r="AA316" i="33"/>
  <c r="Z317" i="33"/>
  <c r="AA317" i="33"/>
  <c r="Z319" i="33"/>
  <c r="AA319" i="33"/>
  <c r="Z320" i="33"/>
  <c r="AA320" i="33"/>
  <c r="Z321" i="33"/>
  <c r="AA321" i="33"/>
  <c r="Z322" i="33"/>
  <c r="AA322" i="33"/>
  <c r="Z323" i="33"/>
  <c r="AA323" i="33"/>
  <c r="Z324" i="33"/>
  <c r="AA324" i="33"/>
  <c r="Z325" i="33"/>
  <c r="AA325" i="33"/>
  <c r="Z261" i="33"/>
  <c r="AA261" i="33"/>
  <c r="Z262" i="33"/>
  <c r="AA262" i="33"/>
  <c r="Z263" i="33"/>
  <c r="AA263" i="33"/>
  <c r="Z264" i="33"/>
  <c r="AA264" i="33"/>
  <c r="Z265" i="33"/>
  <c r="AA265" i="33"/>
  <c r="Z266" i="33"/>
  <c r="AA266" i="33"/>
  <c r="Z267" i="33"/>
  <c r="AA267" i="33"/>
  <c r="Z268" i="33"/>
  <c r="AA268" i="33"/>
  <c r="Z269" i="33"/>
  <c r="AA269" i="33"/>
  <c r="Z270" i="33"/>
  <c r="AA270" i="33"/>
  <c r="Z271" i="33"/>
  <c r="AA271" i="33"/>
  <c r="Z272" i="33"/>
  <c r="AA272" i="33"/>
  <c r="Z273" i="33"/>
  <c r="AA273" i="33"/>
  <c r="Z274" i="33"/>
  <c r="AA274" i="33"/>
  <c r="Z275" i="33"/>
  <c r="AA275" i="33"/>
  <c r="Z276" i="33"/>
  <c r="AA276" i="33"/>
  <c r="Z229" i="33"/>
  <c r="AA229" i="33"/>
  <c r="Z230" i="33"/>
  <c r="AA230" i="33"/>
  <c r="Z231" i="33"/>
  <c r="AA231" i="33"/>
  <c r="Z232" i="33"/>
  <c r="AA232" i="33"/>
  <c r="Z233" i="33"/>
  <c r="AA233" i="33"/>
  <c r="Z234" i="33"/>
  <c r="AA234" i="33"/>
  <c r="Z235" i="33"/>
  <c r="AA235" i="33"/>
  <c r="Z236" i="33"/>
  <c r="AA236" i="33"/>
  <c r="Z237" i="33"/>
  <c r="AA237" i="33"/>
  <c r="Z238" i="33"/>
  <c r="AA238" i="33"/>
  <c r="Z239" i="33"/>
  <c r="AA239" i="33"/>
  <c r="Z240" i="33"/>
  <c r="AA240" i="33"/>
  <c r="Z241" i="33"/>
  <c r="AA241" i="33"/>
  <c r="Z242" i="33"/>
  <c r="AA242" i="33"/>
  <c r="Z243" i="33"/>
  <c r="AA243" i="33"/>
  <c r="Z244" i="33"/>
  <c r="AA244" i="33"/>
  <c r="Z245" i="33"/>
  <c r="AA245" i="33"/>
  <c r="Z246" i="33"/>
  <c r="AA246" i="33"/>
  <c r="Z247" i="33"/>
  <c r="AA247" i="33"/>
  <c r="Z248" i="33"/>
  <c r="AA248" i="33"/>
  <c r="Z249" i="33"/>
  <c r="AA249" i="33"/>
  <c r="Z250" i="33"/>
  <c r="AA250" i="33"/>
  <c r="Z251" i="33"/>
  <c r="AA251" i="33"/>
  <c r="Z252" i="33"/>
  <c r="AA252" i="33"/>
  <c r="Z253" i="33"/>
  <c r="AA253" i="33"/>
  <c r="Z254" i="33"/>
  <c r="AA254" i="33"/>
  <c r="Z255" i="33"/>
  <c r="AA255" i="33"/>
  <c r="Z256" i="33"/>
  <c r="AA256" i="33"/>
  <c r="Z257" i="33"/>
  <c r="AA257" i="33"/>
  <c r="Z258" i="33"/>
  <c r="AA258" i="33"/>
  <c r="Z259" i="33"/>
  <c r="AA259" i="33"/>
  <c r="Z260" i="33"/>
  <c r="AA260" i="33"/>
  <c r="Z109" i="33"/>
  <c r="AA109" i="33"/>
  <c r="Z110" i="33"/>
  <c r="AA110" i="33"/>
  <c r="Z111" i="33"/>
  <c r="AA111" i="33"/>
  <c r="Z112" i="33"/>
  <c r="AA112" i="33"/>
  <c r="Z113" i="33"/>
  <c r="AA113" i="33"/>
  <c r="Z114" i="33"/>
  <c r="AA114" i="33"/>
  <c r="Z115" i="33"/>
  <c r="AA115" i="33"/>
  <c r="Z116" i="33"/>
  <c r="AA116" i="33"/>
  <c r="Z117" i="33"/>
  <c r="AA117" i="33"/>
  <c r="Z118" i="33"/>
  <c r="AA118" i="33"/>
  <c r="Z119" i="33"/>
  <c r="AA119" i="33"/>
  <c r="Z120" i="33"/>
  <c r="AA120" i="33"/>
  <c r="Z121" i="33"/>
  <c r="AA121" i="33"/>
  <c r="Z122" i="33"/>
  <c r="AA122" i="33"/>
  <c r="Z123" i="33"/>
  <c r="AA123" i="33"/>
  <c r="Z124" i="33"/>
  <c r="AA124" i="33"/>
  <c r="Z94" i="33"/>
  <c r="AA94" i="33"/>
  <c r="Z95" i="33"/>
  <c r="AA95" i="33"/>
  <c r="Z96" i="33"/>
  <c r="AA96" i="33"/>
  <c r="Z97" i="33"/>
  <c r="AA97" i="33"/>
  <c r="Z98" i="33"/>
  <c r="AA98" i="33"/>
  <c r="Z99" i="33"/>
  <c r="AA99" i="33"/>
  <c r="Z100" i="33"/>
  <c r="AA100" i="33"/>
  <c r="Z101" i="33"/>
  <c r="AA101" i="33"/>
  <c r="Z102" i="33"/>
  <c r="AA102" i="33"/>
  <c r="Z103" i="33"/>
  <c r="AA103" i="33"/>
  <c r="Z104" i="33"/>
  <c r="AA104" i="33"/>
  <c r="Z105" i="33"/>
  <c r="AA105" i="33"/>
  <c r="Z106" i="33"/>
  <c r="AA106" i="33"/>
  <c r="Z107" i="33"/>
  <c r="AA107" i="33"/>
  <c r="Z108" i="33"/>
  <c r="AA108" i="33"/>
  <c r="Z71" i="33"/>
  <c r="AA71" i="33"/>
  <c r="Z72" i="33"/>
  <c r="AA72" i="33"/>
  <c r="Z73" i="33"/>
  <c r="AA73" i="33"/>
  <c r="Z74" i="33"/>
  <c r="AA74" i="33"/>
  <c r="Z75" i="33"/>
  <c r="AA75" i="33"/>
  <c r="Z76" i="33"/>
  <c r="AA76" i="33"/>
  <c r="Z77" i="33"/>
  <c r="AA77" i="33"/>
  <c r="Z78" i="33"/>
  <c r="AA78" i="33"/>
  <c r="Z79" i="33"/>
  <c r="AA79" i="33"/>
  <c r="Z80" i="33"/>
  <c r="AA80" i="33"/>
  <c r="Z81" i="33"/>
  <c r="AA81" i="33"/>
  <c r="Z82" i="33"/>
  <c r="AA82" i="33"/>
  <c r="Z83" i="33"/>
  <c r="AA83" i="33"/>
  <c r="Z84" i="33"/>
  <c r="AA84" i="33"/>
  <c r="Z85" i="33"/>
  <c r="AA85" i="33"/>
  <c r="Z86" i="33"/>
  <c r="AA86" i="33"/>
  <c r="Z87" i="33"/>
  <c r="AA87" i="33"/>
  <c r="Z88" i="33"/>
  <c r="AA88" i="33"/>
  <c r="Z89" i="33"/>
  <c r="AA89" i="33"/>
  <c r="Z90" i="33"/>
  <c r="AA90" i="33"/>
  <c r="Z14" i="33"/>
  <c r="AA14" i="33"/>
  <c r="Z15" i="33"/>
  <c r="AA15" i="33"/>
  <c r="Z16" i="33"/>
  <c r="AA16" i="33"/>
  <c r="Z17" i="33"/>
  <c r="AA17" i="33"/>
  <c r="Z18" i="33"/>
  <c r="AA18" i="33"/>
  <c r="Z19" i="33"/>
  <c r="AA19" i="33"/>
  <c r="Z20" i="33"/>
  <c r="AA20" i="33"/>
  <c r="Z21" i="33"/>
  <c r="AA21" i="33"/>
  <c r="Z22" i="33"/>
  <c r="AA22" i="33"/>
  <c r="Z23" i="33"/>
  <c r="AA23" i="33"/>
  <c r="Z24" i="33"/>
  <c r="AA24" i="33"/>
  <c r="Z25" i="33"/>
  <c r="AA25" i="33"/>
  <c r="Z26" i="33"/>
  <c r="AA26" i="33"/>
  <c r="Z27" i="33"/>
  <c r="AA27" i="33"/>
  <c r="Z28" i="33"/>
  <c r="AA28" i="33"/>
  <c r="Z29" i="33"/>
  <c r="AA29" i="33"/>
  <c r="Z30" i="33"/>
  <c r="AA30" i="33"/>
  <c r="Z31" i="33"/>
  <c r="AA31" i="33"/>
  <c r="Z33" i="33"/>
  <c r="AA33" i="33"/>
  <c r="Z34" i="33"/>
  <c r="AA34" i="33"/>
  <c r="Z35" i="33"/>
  <c r="AA35" i="33"/>
  <c r="Z36" i="33"/>
  <c r="AA36" i="33"/>
  <c r="Z37" i="33"/>
  <c r="AA37" i="33"/>
  <c r="Z38" i="33"/>
  <c r="AA38" i="33"/>
  <c r="Z39" i="33"/>
  <c r="AA39" i="33"/>
  <c r="Z40" i="33"/>
  <c r="AA40" i="33"/>
  <c r="Z41" i="33"/>
  <c r="AA41" i="33"/>
  <c r="Z42" i="33"/>
  <c r="AA42" i="33"/>
  <c r="Z43" i="33"/>
  <c r="AA43" i="33"/>
  <c r="Z44" i="33"/>
  <c r="AA44" i="33"/>
  <c r="Z45" i="33"/>
  <c r="AA45" i="33"/>
  <c r="Z46" i="33"/>
  <c r="AA46" i="33"/>
  <c r="Z47" i="33"/>
  <c r="AA47" i="33"/>
  <c r="Z48" i="33"/>
  <c r="AA48" i="33"/>
  <c r="Z49" i="33"/>
  <c r="AA49" i="33"/>
  <c r="Z50" i="33"/>
  <c r="AA50" i="33"/>
  <c r="Z51" i="33"/>
  <c r="AA51" i="33"/>
  <c r="Z52" i="33"/>
  <c r="AA52" i="33"/>
  <c r="Z53" i="33"/>
  <c r="AA53" i="33"/>
  <c r="Z54" i="33"/>
  <c r="AA54" i="33"/>
  <c r="Z55" i="33"/>
  <c r="AA55" i="33"/>
  <c r="Z56" i="33"/>
  <c r="AA56" i="33"/>
  <c r="Z57" i="33"/>
  <c r="AA57" i="33"/>
  <c r="Z58" i="33"/>
  <c r="AA58" i="33"/>
  <c r="Z59" i="33"/>
  <c r="AA59" i="33"/>
  <c r="Z60" i="33"/>
  <c r="AA60" i="33"/>
  <c r="Z61" i="33"/>
  <c r="AA61" i="33"/>
  <c r="Z62" i="33"/>
  <c r="AA62" i="33"/>
  <c r="Z63" i="33"/>
  <c r="AA63" i="33"/>
  <c r="Z64" i="33"/>
  <c r="AA64" i="33"/>
  <c r="Z65" i="33"/>
  <c r="AA65" i="33"/>
  <c r="Z66" i="33"/>
  <c r="AA66" i="33"/>
  <c r="Z67" i="33"/>
  <c r="AA67" i="33"/>
  <c r="Z70" i="33"/>
  <c r="AA70" i="33"/>
  <c r="Z93" i="33"/>
  <c r="AA93" i="33"/>
  <c r="Z128" i="33"/>
  <c r="AA128" i="33"/>
  <c r="Z200" i="33"/>
  <c r="AA200" i="33"/>
  <c r="Z228" i="33"/>
  <c r="AA228" i="33"/>
  <c r="Z279" i="33"/>
  <c r="AA279" i="33"/>
  <c r="Z280" i="33"/>
  <c r="AA280" i="33"/>
  <c r="Z281" i="33"/>
  <c r="AA281" i="33"/>
  <c r="Z282" i="33"/>
  <c r="AA282" i="33"/>
  <c r="Z283" i="33"/>
  <c r="AA283" i="33"/>
  <c r="Z284" i="33"/>
  <c r="AA284" i="33"/>
  <c r="Z285" i="33"/>
  <c r="AA285" i="33"/>
  <c r="Z286" i="33"/>
  <c r="AA286" i="33"/>
  <c r="Z287" i="33"/>
  <c r="AA287" i="33"/>
  <c r="Z288" i="33"/>
  <c r="AA288" i="33"/>
  <c r="Z289" i="33"/>
  <c r="AA289" i="33"/>
  <c r="Z290" i="33"/>
  <c r="AA290" i="33"/>
  <c r="Z291" i="33"/>
  <c r="AA291" i="33"/>
  <c r="Z292" i="33"/>
  <c r="AA292" i="33"/>
  <c r="Z293" i="33"/>
  <c r="AA293" i="33"/>
  <c r="Z294" i="33"/>
  <c r="AA294" i="33"/>
  <c r="Z295" i="33"/>
  <c r="AA295" i="33"/>
  <c r="Z296" i="33"/>
  <c r="AA296" i="33"/>
  <c r="Z299" i="33"/>
  <c r="AA299" i="33"/>
  <c r="AA356" i="33"/>
  <c r="AN256" i="6"/>
  <c r="B249" i="6"/>
  <c r="A22" i="6"/>
  <c r="A23" i="6"/>
  <c r="A24" i="6"/>
  <c r="A25" i="6"/>
  <c r="A26" i="6"/>
  <c r="A27" i="6"/>
  <c r="A28" i="6"/>
  <c r="A29" i="6"/>
  <c r="A30" i="6"/>
  <c r="A31" i="6"/>
  <c r="A32" i="6"/>
  <c r="A33" i="6"/>
  <c r="A34" i="6"/>
  <c r="A35" i="6"/>
  <c r="A36" i="6"/>
  <c r="A37" i="6"/>
  <c r="A38" i="6"/>
  <c r="A39" i="6"/>
  <c r="A40"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9" i="6"/>
  <c r="A80" i="6"/>
  <c r="A81" i="6"/>
  <c r="A82" i="6"/>
  <c r="A83" i="6"/>
  <c r="A84" i="6"/>
  <c r="A85" i="6"/>
  <c r="A86" i="6"/>
  <c r="A87" i="6"/>
  <c r="A88" i="6"/>
  <c r="A89" i="6"/>
  <c r="A90" i="6"/>
  <c r="A91" i="6"/>
  <c r="A92" i="6"/>
  <c r="A93" i="6"/>
  <c r="A94" i="6"/>
  <c r="A95" i="6"/>
  <c r="A96" i="6"/>
  <c r="A97" i="6"/>
  <c r="A98" i="6"/>
  <c r="A99"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209"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8" i="6"/>
  <c r="A289" i="6"/>
  <c r="A290" i="6"/>
  <c r="A291" i="6"/>
  <c r="A292" i="6"/>
  <c r="A293" i="6"/>
  <c r="A294" i="6"/>
  <c r="A295" i="6"/>
  <c r="A296" i="6"/>
  <c r="A297" i="6"/>
  <c r="A298" i="6"/>
  <c r="A299" i="6"/>
  <c r="A300" i="6"/>
  <c r="A301" i="6"/>
  <c r="A302" i="6"/>
  <c r="A303" i="6"/>
  <c r="A304" i="6"/>
  <c r="A305" i="6"/>
  <c r="A308" i="6"/>
  <c r="A337" i="6"/>
  <c r="A338" i="6"/>
  <c r="A339" i="6"/>
  <c r="A340" i="6"/>
  <c r="A341" i="6"/>
  <c r="A342" i="6"/>
  <c r="A343" i="6"/>
  <c r="A344" i="6"/>
  <c r="A345" i="6"/>
  <c r="A346" i="6"/>
  <c r="A348" i="6"/>
  <c r="A349" i="6"/>
  <c r="A350" i="6"/>
  <c r="A351" i="6"/>
  <c r="A352" i="6"/>
  <c r="A353" i="6"/>
  <c r="A354" i="6"/>
  <c r="A355" i="6"/>
  <c r="A356" i="6"/>
  <c r="A357" i="6"/>
  <c r="A358" i="6"/>
  <c r="A359" i="6"/>
  <c r="A360" i="6"/>
  <c r="A361" i="6"/>
  <c r="A362" i="6"/>
  <c r="A365" i="6"/>
  <c r="D365" i="6"/>
  <c r="B338" i="6"/>
  <c r="C338" i="6"/>
  <c r="D338" i="6"/>
  <c r="B339" i="6"/>
  <c r="C339" i="6"/>
  <c r="D339" i="6"/>
  <c r="B340" i="6"/>
  <c r="C340" i="6"/>
  <c r="D340" i="6"/>
  <c r="B341" i="6"/>
  <c r="C341" i="6"/>
  <c r="D341" i="6"/>
  <c r="B342" i="6"/>
  <c r="C342" i="6"/>
  <c r="D342" i="6"/>
  <c r="B343" i="6"/>
  <c r="C343" i="6"/>
  <c r="D343" i="6"/>
  <c r="B344" i="6"/>
  <c r="C344" i="6"/>
  <c r="D344" i="6"/>
  <c r="B345" i="6"/>
  <c r="C345" i="6"/>
  <c r="D345" i="6"/>
  <c r="B346" i="6"/>
  <c r="C346" i="6"/>
  <c r="D346" i="6"/>
  <c r="D337" i="6"/>
  <c r="C337" i="6"/>
  <c r="B337" i="6"/>
  <c r="D309" i="6"/>
  <c r="D310" i="6"/>
  <c r="D311" i="6"/>
  <c r="D312" i="6"/>
  <c r="D313" i="6"/>
  <c r="D314" i="6"/>
  <c r="D315" i="6"/>
  <c r="D316" i="6"/>
  <c r="D317" i="6"/>
  <c r="D318" i="6"/>
  <c r="D319" i="6"/>
  <c r="D320" i="6"/>
  <c r="D321" i="6"/>
  <c r="D322" i="6"/>
  <c r="D323" i="6"/>
  <c r="D324" i="6"/>
  <c r="D325" i="6"/>
  <c r="D326" i="6"/>
  <c r="D328" i="6"/>
  <c r="D329" i="6"/>
  <c r="D330" i="6"/>
  <c r="D331" i="6"/>
  <c r="D332" i="6"/>
  <c r="D333" i="6"/>
  <c r="D334" i="6"/>
  <c r="D308" i="6"/>
  <c r="C315" i="6"/>
  <c r="C316" i="6"/>
  <c r="C317" i="6"/>
  <c r="C318" i="6"/>
  <c r="C319" i="6"/>
  <c r="C320" i="6"/>
  <c r="C321" i="6"/>
  <c r="C322" i="6"/>
  <c r="C323" i="6"/>
  <c r="C324" i="6"/>
  <c r="C325" i="6"/>
  <c r="C326" i="6"/>
  <c r="C328" i="6"/>
  <c r="C329" i="6"/>
  <c r="C330" i="6"/>
  <c r="C331" i="6"/>
  <c r="B315" i="6"/>
  <c r="B316" i="6"/>
  <c r="B317" i="6"/>
  <c r="B318" i="6"/>
  <c r="B319" i="6"/>
  <c r="B320" i="6"/>
  <c r="B321" i="6"/>
  <c r="B322" i="6"/>
  <c r="B323" i="6"/>
  <c r="B324" i="6"/>
  <c r="B325" i="6"/>
  <c r="B326" i="6"/>
  <c r="B328" i="6"/>
  <c r="D305" i="6"/>
  <c r="D289" i="6"/>
  <c r="D290" i="6"/>
  <c r="D291" i="6"/>
  <c r="D292" i="6"/>
  <c r="D293" i="6"/>
  <c r="D294" i="6"/>
  <c r="D295" i="6"/>
  <c r="D296" i="6"/>
  <c r="D297" i="6"/>
  <c r="D298" i="6"/>
  <c r="D299" i="6"/>
  <c r="D300" i="6"/>
  <c r="D301" i="6"/>
  <c r="D302" i="6"/>
  <c r="D303" i="6"/>
  <c r="D304" i="6"/>
  <c r="D288" i="6"/>
  <c r="C243" i="6"/>
  <c r="D283" i="6"/>
  <c r="D284" i="6"/>
  <c r="D285"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38" i="6"/>
  <c r="D239" i="6"/>
  <c r="D240" i="6"/>
  <c r="D241" i="6"/>
  <c r="D242" i="6"/>
  <c r="D243" i="6"/>
  <c r="D244" i="6"/>
  <c r="D245" i="6"/>
  <c r="D246" i="6"/>
  <c r="D247" i="6"/>
  <c r="D248" i="6"/>
  <c r="D249" i="6"/>
  <c r="D250" i="6"/>
  <c r="D251" i="6"/>
  <c r="D252" i="6"/>
  <c r="D253" i="6"/>
  <c r="D254" i="6"/>
  <c r="D255" i="6"/>
  <c r="D256" i="6"/>
  <c r="D257" i="6"/>
  <c r="D237" i="6"/>
  <c r="D209" i="6"/>
  <c r="B243" i="6"/>
  <c r="D192" i="6"/>
  <c r="D193" i="6"/>
  <c r="B192" i="6"/>
  <c r="C192" i="6"/>
  <c r="D183" i="6"/>
  <c r="D184" i="6"/>
  <c r="D185" i="6"/>
  <c r="D186" i="6"/>
  <c r="D187" i="6"/>
  <c r="D188" i="6"/>
  <c r="D189" i="6"/>
  <c r="D190" i="6"/>
  <c r="D162" i="6"/>
  <c r="D163" i="6"/>
  <c r="D164" i="6"/>
  <c r="D165" i="6"/>
  <c r="D166" i="6"/>
  <c r="D167" i="6"/>
  <c r="D168" i="6"/>
  <c r="D169" i="6"/>
  <c r="D170" i="6"/>
  <c r="D171" i="6"/>
  <c r="D172" i="6"/>
  <c r="D173" i="6"/>
  <c r="D174" i="6"/>
  <c r="D175" i="6"/>
  <c r="D176" i="6"/>
  <c r="D177" i="6"/>
  <c r="D178" i="6"/>
  <c r="D179" i="6"/>
  <c r="D180" i="6"/>
  <c r="D181" i="6"/>
  <c r="D182" i="6"/>
  <c r="D138" i="6"/>
  <c r="D139" i="6"/>
  <c r="D140" i="6"/>
  <c r="D141" i="6"/>
  <c r="D142" i="6"/>
  <c r="D143" i="6"/>
  <c r="D144" i="6"/>
  <c r="D145" i="6"/>
  <c r="D146" i="6"/>
  <c r="D147" i="6"/>
  <c r="D148" i="6"/>
  <c r="D149" i="6"/>
  <c r="D150" i="6"/>
  <c r="D151" i="6"/>
  <c r="D152" i="6"/>
  <c r="D153" i="6"/>
  <c r="D154" i="6"/>
  <c r="D155" i="6"/>
  <c r="D156" i="6"/>
  <c r="D157" i="6"/>
  <c r="D158" i="6"/>
  <c r="D159" i="6"/>
  <c r="D160" i="6"/>
  <c r="D161" i="6"/>
  <c r="D137" i="6"/>
  <c r="D132" i="6"/>
  <c r="D133" i="6"/>
  <c r="C131" i="6"/>
  <c r="C132" i="6"/>
  <c r="C133" i="6"/>
  <c r="D111" i="6"/>
  <c r="D112" i="6"/>
  <c r="D113" i="6"/>
  <c r="D114" i="6"/>
  <c r="D115" i="6"/>
  <c r="D116" i="6"/>
  <c r="D117" i="6"/>
  <c r="D118" i="6"/>
  <c r="D119" i="6"/>
  <c r="D120" i="6"/>
  <c r="D121" i="6"/>
  <c r="D122" i="6"/>
  <c r="D123" i="6"/>
  <c r="D124" i="6"/>
  <c r="D125" i="6"/>
  <c r="D126" i="6"/>
  <c r="D127" i="6"/>
  <c r="D128" i="6"/>
  <c r="D129" i="6"/>
  <c r="D130" i="6"/>
  <c r="D131" i="6"/>
  <c r="D103" i="6"/>
  <c r="D104" i="6"/>
  <c r="D105" i="6"/>
  <c r="D106" i="6"/>
  <c r="D107" i="6"/>
  <c r="D108" i="6"/>
  <c r="D109" i="6"/>
  <c r="D110" i="6"/>
  <c r="D102" i="6"/>
  <c r="D89" i="6"/>
  <c r="D90" i="6"/>
  <c r="D91" i="6"/>
  <c r="D92" i="6"/>
  <c r="D93" i="6"/>
  <c r="D94" i="6"/>
  <c r="D95" i="6"/>
  <c r="D96" i="6"/>
  <c r="D97" i="6"/>
  <c r="D98" i="6"/>
  <c r="D99" i="6"/>
  <c r="D80" i="6"/>
  <c r="D81" i="6"/>
  <c r="D82" i="6"/>
  <c r="D83" i="6"/>
  <c r="D84" i="6"/>
  <c r="D85" i="6"/>
  <c r="D86" i="6"/>
  <c r="D87" i="6"/>
  <c r="D88" i="6"/>
  <c r="D79" i="6"/>
  <c r="AG39" i="2" l="1"/>
  <c r="AI39" i="2"/>
  <c r="AF39" i="2"/>
  <c r="AH39" i="2"/>
  <c r="U112" i="33" a="1"/>
  <c r="U112" i="33" s="1"/>
  <c r="V112" i="33" a="1"/>
  <c r="V112" i="33" s="1"/>
  <c r="W112" i="33" a="1"/>
  <c r="W112" i="33" s="1"/>
  <c r="X112" i="33" l="1"/>
  <c r="DL296" i="33" l="1"/>
  <c r="DT296" i="33" s="1"/>
  <c r="DK296" i="33"/>
  <c r="DS296" i="33" s="1"/>
  <c r="DJ296" i="33"/>
  <c r="DR296" i="33" s="1"/>
  <c r="DI296" i="33"/>
  <c r="DQ296" i="33" s="1"/>
  <c r="DH296" i="33"/>
  <c r="DP296" i="33" s="1"/>
  <c r="DG296" i="33"/>
  <c r="DO296" i="33" s="1"/>
  <c r="DF296" i="33"/>
  <c r="DN296" i="33" s="1"/>
  <c r="DE296" i="33"/>
  <c r="DM296" i="33" s="1"/>
  <c r="DL295" i="33"/>
  <c r="DT295" i="33" s="1"/>
  <c r="DK295" i="33"/>
  <c r="DS295" i="33" s="1"/>
  <c r="DJ295" i="33"/>
  <c r="DR295" i="33" s="1"/>
  <c r="DI295" i="33"/>
  <c r="DQ295" i="33" s="1"/>
  <c r="DH295" i="33"/>
  <c r="DP295" i="33" s="1"/>
  <c r="DG295" i="33"/>
  <c r="DO295" i="33" s="1"/>
  <c r="DF295" i="33"/>
  <c r="DN295" i="33" s="1"/>
  <c r="DE295" i="33"/>
  <c r="DM295" i="33" s="1"/>
  <c r="DL294" i="33"/>
  <c r="DT294" i="33" s="1"/>
  <c r="DK294" i="33"/>
  <c r="DS294" i="33" s="1"/>
  <c r="DJ294" i="33"/>
  <c r="DR294" i="33" s="1"/>
  <c r="DI294" i="33"/>
  <c r="DQ294" i="33" s="1"/>
  <c r="DH294" i="33"/>
  <c r="DP294" i="33" s="1"/>
  <c r="DG294" i="33"/>
  <c r="DO294" i="33" s="1"/>
  <c r="DF294" i="33"/>
  <c r="DN294" i="33" s="1"/>
  <c r="DE294" i="33"/>
  <c r="DM294" i="33" s="1"/>
  <c r="DL293" i="33"/>
  <c r="DT293" i="33" s="1"/>
  <c r="DK293" i="33"/>
  <c r="DS293" i="33" s="1"/>
  <c r="DJ293" i="33"/>
  <c r="DR293" i="33" s="1"/>
  <c r="DI293" i="33"/>
  <c r="DQ293" i="33" s="1"/>
  <c r="DH293" i="33"/>
  <c r="DP293" i="33" s="1"/>
  <c r="DG293" i="33"/>
  <c r="DO293" i="33" s="1"/>
  <c r="DF293" i="33"/>
  <c r="DN293" i="33" s="1"/>
  <c r="DE293" i="33"/>
  <c r="DM293" i="33" s="1"/>
  <c r="DL292" i="33"/>
  <c r="DT292" i="33" s="1"/>
  <c r="DK292" i="33"/>
  <c r="DS292" i="33" s="1"/>
  <c r="DJ292" i="33"/>
  <c r="DR292" i="33" s="1"/>
  <c r="DI292" i="33"/>
  <c r="DQ292" i="33" s="1"/>
  <c r="DH292" i="33"/>
  <c r="DP292" i="33" s="1"/>
  <c r="DG292" i="33"/>
  <c r="DO292" i="33" s="1"/>
  <c r="DF292" i="33"/>
  <c r="DN292" i="33" s="1"/>
  <c r="DE292" i="33"/>
  <c r="DM292" i="33" s="1"/>
  <c r="DL291" i="33"/>
  <c r="DT291" i="33" s="1"/>
  <c r="DK291" i="33"/>
  <c r="DS291" i="33" s="1"/>
  <c r="DJ291" i="33"/>
  <c r="DR291" i="33" s="1"/>
  <c r="DI291" i="33"/>
  <c r="DQ291" i="33" s="1"/>
  <c r="DH291" i="33"/>
  <c r="DP291" i="33" s="1"/>
  <c r="DG291" i="33"/>
  <c r="DO291" i="33" s="1"/>
  <c r="DF291" i="33"/>
  <c r="DN291" i="33" s="1"/>
  <c r="DE291" i="33"/>
  <c r="DM291" i="33" s="1"/>
  <c r="DL290" i="33"/>
  <c r="DT290" i="33" s="1"/>
  <c r="DK290" i="33"/>
  <c r="DS290" i="33" s="1"/>
  <c r="DJ290" i="33"/>
  <c r="DR290" i="33" s="1"/>
  <c r="DI290" i="33"/>
  <c r="DQ290" i="33" s="1"/>
  <c r="DH290" i="33"/>
  <c r="DP290" i="33" s="1"/>
  <c r="DG290" i="33"/>
  <c r="DO290" i="33" s="1"/>
  <c r="DF290" i="33"/>
  <c r="DN290" i="33" s="1"/>
  <c r="DE290" i="33"/>
  <c r="DM290" i="33" s="1"/>
  <c r="DL289" i="33"/>
  <c r="DT289" i="33" s="1"/>
  <c r="DK289" i="33"/>
  <c r="DS289" i="33" s="1"/>
  <c r="DJ289" i="33"/>
  <c r="DR289" i="33" s="1"/>
  <c r="DI289" i="33"/>
  <c r="DQ289" i="33" s="1"/>
  <c r="DH289" i="33"/>
  <c r="DP289" i="33" s="1"/>
  <c r="DG289" i="33"/>
  <c r="DO289" i="33" s="1"/>
  <c r="DF289" i="33"/>
  <c r="DN289" i="33" s="1"/>
  <c r="DE289" i="33"/>
  <c r="DM289" i="33" s="1"/>
  <c r="DL288" i="33"/>
  <c r="DT288" i="33" s="1"/>
  <c r="DK288" i="33"/>
  <c r="DS288" i="33" s="1"/>
  <c r="DJ288" i="33"/>
  <c r="DR288" i="33" s="1"/>
  <c r="DI288" i="33"/>
  <c r="DQ288" i="33" s="1"/>
  <c r="DH288" i="33"/>
  <c r="DP288" i="33" s="1"/>
  <c r="DG288" i="33"/>
  <c r="DO288" i="33" s="1"/>
  <c r="DF288" i="33"/>
  <c r="DN288" i="33" s="1"/>
  <c r="DE288" i="33"/>
  <c r="DM288" i="33" s="1"/>
  <c r="DL287" i="33"/>
  <c r="DT287" i="33" s="1"/>
  <c r="DK287" i="33"/>
  <c r="DS287" i="33" s="1"/>
  <c r="DJ287" i="33"/>
  <c r="DR287" i="33" s="1"/>
  <c r="DI287" i="33"/>
  <c r="DQ287" i="33" s="1"/>
  <c r="DH287" i="33"/>
  <c r="DP287" i="33" s="1"/>
  <c r="DG287" i="33"/>
  <c r="DO287" i="33" s="1"/>
  <c r="DF287" i="33"/>
  <c r="DN287" i="33" s="1"/>
  <c r="DE287" i="33"/>
  <c r="DM287" i="33" s="1"/>
  <c r="DL286" i="33"/>
  <c r="DT286" i="33" s="1"/>
  <c r="DK286" i="33"/>
  <c r="DS286" i="33" s="1"/>
  <c r="DJ286" i="33"/>
  <c r="DR286" i="33" s="1"/>
  <c r="DI286" i="33"/>
  <c r="DQ286" i="33" s="1"/>
  <c r="DH286" i="33"/>
  <c r="DP286" i="33" s="1"/>
  <c r="DG286" i="33"/>
  <c r="DO286" i="33" s="1"/>
  <c r="DF286" i="33"/>
  <c r="DN286" i="33" s="1"/>
  <c r="DE286" i="33"/>
  <c r="DM286" i="33" s="1"/>
  <c r="DL285" i="33"/>
  <c r="DT285" i="33" s="1"/>
  <c r="DK285" i="33"/>
  <c r="DS285" i="33" s="1"/>
  <c r="DJ285" i="33"/>
  <c r="DR285" i="33" s="1"/>
  <c r="DI285" i="33"/>
  <c r="DQ285" i="33" s="1"/>
  <c r="DH285" i="33"/>
  <c r="DP285" i="33" s="1"/>
  <c r="DG285" i="33"/>
  <c r="DO285" i="33" s="1"/>
  <c r="DF285" i="33"/>
  <c r="DN285" i="33" s="1"/>
  <c r="DE285" i="33"/>
  <c r="DM285" i="33" s="1"/>
  <c r="DL284" i="33"/>
  <c r="DT284" i="33" s="1"/>
  <c r="DK284" i="33"/>
  <c r="DS284" i="33" s="1"/>
  <c r="DJ284" i="33"/>
  <c r="DR284" i="33" s="1"/>
  <c r="DI284" i="33"/>
  <c r="DQ284" i="33" s="1"/>
  <c r="DH284" i="33"/>
  <c r="DP284" i="33" s="1"/>
  <c r="DG284" i="33"/>
  <c r="DO284" i="33" s="1"/>
  <c r="DF284" i="33"/>
  <c r="DN284" i="33" s="1"/>
  <c r="DE284" i="33"/>
  <c r="DM284" i="33" s="1"/>
  <c r="DL283" i="33"/>
  <c r="DT283" i="33" s="1"/>
  <c r="DK283" i="33"/>
  <c r="DS283" i="33" s="1"/>
  <c r="DJ283" i="33"/>
  <c r="DR283" i="33" s="1"/>
  <c r="DI283" i="33"/>
  <c r="DQ283" i="33" s="1"/>
  <c r="DH283" i="33"/>
  <c r="DP283" i="33" s="1"/>
  <c r="DG283" i="33"/>
  <c r="DO283" i="33" s="1"/>
  <c r="DF283" i="33"/>
  <c r="DN283" i="33" s="1"/>
  <c r="DE283" i="33"/>
  <c r="DM283" i="33" s="1"/>
  <c r="DL282" i="33"/>
  <c r="DT282" i="33" s="1"/>
  <c r="DK282" i="33"/>
  <c r="DS282" i="33" s="1"/>
  <c r="DJ282" i="33"/>
  <c r="DR282" i="33" s="1"/>
  <c r="DI282" i="33"/>
  <c r="DQ282" i="33" s="1"/>
  <c r="DH282" i="33"/>
  <c r="DP282" i="33" s="1"/>
  <c r="DG282" i="33"/>
  <c r="DO282" i="33" s="1"/>
  <c r="DF282" i="33"/>
  <c r="DN282" i="33" s="1"/>
  <c r="DE282" i="33"/>
  <c r="DM282" i="33" s="1"/>
  <c r="DL281" i="33"/>
  <c r="DT281" i="33" s="1"/>
  <c r="DK281" i="33"/>
  <c r="DS281" i="33" s="1"/>
  <c r="DJ281" i="33"/>
  <c r="DR281" i="33" s="1"/>
  <c r="DI281" i="33"/>
  <c r="DQ281" i="33" s="1"/>
  <c r="DH281" i="33"/>
  <c r="DP281" i="33" s="1"/>
  <c r="DG281" i="33"/>
  <c r="DO281" i="33" s="1"/>
  <c r="DF281" i="33"/>
  <c r="DN281" i="33" s="1"/>
  <c r="DE281" i="33"/>
  <c r="DM281" i="33" s="1"/>
  <c r="DL280" i="33"/>
  <c r="DT280" i="33" s="1"/>
  <c r="DK280" i="33"/>
  <c r="DS280" i="33" s="1"/>
  <c r="DJ280" i="33"/>
  <c r="DR280" i="33" s="1"/>
  <c r="DI280" i="33"/>
  <c r="DQ280" i="33" s="1"/>
  <c r="DH280" i="33"/>
  <c r="DP280" i="33" s="1"/>
  <c r="DG280" i="33"/>
  <c r="DO280" i="33" s="1"/>
  <c r="DF280" i="33"/>
  <c r="DN280" i="33" s="1"/>
  <c r="DE280" i="33"/>
  <c r="DM280" i="33" s="1"/>
  <c r="DL279" i="33"/>
  <c r="DT279" i="33" s="1"/>
  <c r="DK279" i="33"/>
  <c r="DS279" i="33" s="1"/>
  <c r="DJ279" i="33"/>
  <c r="DR279" i="33" s="1"/>
  <c r="DI279" i="33"/>
  <c r="DQ279" i="33" s="1"/>
  <c r="DH279" i="33"/>
  <c r="DP279" i="33" s="1"/>
  <c r="DG279" i="33"/>
  <c r="DO279" i="33" s="1"/>
  <c r="DF279" i="33"/>
  <c r="DN279" i="33" s="1"/>
  <c r="DE279" i="33"/>
  <c r="DM279" i="33" s="1"/>
  <c r="BP280" i="33"/>
  <c r="BQ280" i="33"/>
  <c r="BY280" i="33" s="1"/>
  <c r="BR280" i="33"/>
  <c r="BS280" i="33"/>
  <c r="CA280" i="33" s="1"/>
  <c r="BT280" i="33"/>
  <c r="BU280" i="33"/>
  <c r="CC280" i="33" s="1"/>
  <c r="BV280" i="33"/>
  <c r="BW280" i="33"/>
  <c r="CE280" i="33" s="1"/>
  <c r="BP281" i="33"/>
  <c r="BX281" i="33" s="1"/>
  <c r="BQ281" i="33"/>
  <c r="BY281" i="33" s="1"/>
  <c r="BR281" i="33"/>
  <c r="BZ281" i="33" s="1"/>
  <c r="BS281" i="33"/>
  <c r="CA281" i="33" s="1"/>
  <c r="BT281" i="33"/>
  <c r="CB281" i="33" s="1"/>
  <c r="BU281" i="33"/>
  <c r="CC281" i="33" s="1"/>
  <c r="BV281" i="33"/>
  <c r="CD281" i="33" s="1"/>
  <c r="BW281" i="33"/>
  <c r="CE281" i="33" s="1"/>
  <c r="BP282" i="33"/>
  <c r="BX282" i="33" s="1"/>
  <c r="BQ282" i="33"/>
  <c r="BY282" i="33" s="1"/>
  <c r="BR282" i="33"/>
  <c r="BZ282" i="33" s="1"/>
  <c r="BS282" i="33"/>
  <c r="CA282" i="33" s="1"/>
  <c r="BT282" i="33"/>
  <c r="CB282" i="33" s="1"/>
  <c r="BU282" i="33"/>
  <c r="CC282" i="33" s="1"/>
  <c r="BV282" i="33"/>
  <c r="CD282" i="33" s="1"/>
  <c r="BW282" i="33"/>
  <c r="CE282" i="33" s="1"/>
  <c r="BP283" i="33"/>
  <c r="BX283" i="33" s="1"/>
  <c r="BQ283" i="33"/>
  <c r="BY283" i="33" s="1"/>
  <c r="BR283" i="33"/>
  <c r="BZ283" i="33" s="1"/>
  <c r="BS283" i="33"/>
  <c r="CA283" i="33" s="1"/>
  <c r="BT283" i="33"/>
  <c r="CB283" i="33" s="1"/>
  <c r="BU283" i="33"/>
  <c r="CC283" i="33" s="1"/>
  <c r="BV283" i="33"/>
  <c r="CD283" i="33" s="1"/>
  <c r="BW283" i="33"/>
  <c r="CE283" i="33" s="1"/>
  <c r="BP284" i="33"/>
  <c r="BX284" i="33" s="1"/>
  <c r="BQ284" i="33"/>
  <c r="BY284" i="33" s="1"/>
  <c r="BR284" i="33"/>
  <c r="BZ284" i="33" s="1"/>
  <c r="BS284" i="33"/>
  <c r="CA284" i="33" s="1"/>
  <c r="BT284" i="33"/>
  <c r="CB284" i="33" s="1"/>
  <c r="BU284" i="33"/>
  <c r="CC284" i="33" s="1"/>
  <c r="BV284" i="33"/>
  <c r="CD284" i="33" s="1"/>
  <c r="BW284" i="33"/>
  <c r="CE284" i="33" s="1"/>
  <c r="BP285" i="33"/>
  <c r="BX285" i="33" s="1"/>
  <c r="BQ285" i="33"/>
  <c r="BY285" i="33" s="1"/>
  <c r="BR285" i="33"/>
  <c r="BZ285" i="33" s="1"/>
  <c r="BS285" i="33"/>
  <c r="CA285" i="33" s="1"/>
  <c r="BT285" i="33"/>
  <c r="CB285" i="33" s="1"/>
  <c r="BU285" i="33"/>
  <c r="CC285" i="33" s="1"/>
  <c r="BV285" i="33"/>
  <c r="CD285" i="33" s="1"/>
  <c r="BW285" i="33"/>
  <c r="CE285" i="33" s="1"/>
  <c r="BP286" i="33"/>
  <c r="BX286" i="33" s="1"/>
  <c r="BQ286" i="33"/>
  <c r="BY286" i="33" s="1"/>
  <c r="BR286" i="33"/>
  <c r="BZ286" i="33" s="1"/>
  <c r="BS286" i="33"/>
  <c r="CA286" i="33" s="1"/>
  <c r="BT286" i="33"/>
  <c r="CB286" i="33" s="1"/>
  <c r="BU286" i="33"/>
  <c r="CC286" i="33" s="1"/>
  <c r="BV286" i="33"/>
  <c r="CD286" i="33" s="1"/>
  <c r="BW286" i="33"/>
  <c r="CE286" i="33" s="1"/>
  <c r="BP287" i="33"/>
  <c r="BX287" i="33" s="1"/>
  <c r="BQ287" i="33"/>
  <c r="BY287" i="33" s="1"/>
  <c r="BR287" i="33"/>
  <c r="BZ287" i="33" s="1"/>
  <c r="BS287" i="33"/>
  <c r="CA287" i="33" s="1"/>
  <c r="BT287" i="33"/>
  <c r="CB287" i="33" s="1"/>
  <c r="BU287" i="33"/>
  <c r="CC287" i="33" s="1"/>
  <c r="BV287" i="33"/>
  <c r="CD287" i="33" s="1"/>
  <c r="BW287" i="33"/>
  <c r="CE287" i="33" s="1"/>
  <c r="BP288" i="33"/>
  <c r="BX288" i="33" s="1"/>
  <c r="BQ288" i="33"/>
  <c r="BY288" i="33" s="1"/>
  <c r="BR288" i="33"/>
  <c r="BZ288" i="33" s="1"/>
  <c r="BS288" i="33"/>
  <c r="CA288" i="33" s="1"/>
  <c r="BT288" i="33"/>
  <c r="CB288" i="33" s="1"/>
  <c r="BU288" i="33"/>
  <c r="CC288" i="33" s="1"/>
  <c r="BV288" i="33"/>
  <c r="CD288" i="33" s="1"/>
  <c r="BW288" i="33"/>
  <c r="CE288" i="33" s="1"/>
  <c r="BP289" i="33"/>
  <c r="BX289" i="33" s="1"/>
  <c r="BQ289" i="33"/>
  <c r="BY289" i="33" s="1"/>
  <c r="BR289" i="33"/>
  <c r="BZ289" i="33" s="1"/>
  <c r="BS289" i="33"/>
  <c r="CA289" i="33" s="1"/>
  <c r="BT289" i="33"/>
  <c r="CB289" i="33" s="1"/>
  <c r="BU289" i="33"/>
  <c r="CC289" i="33" s="1"/>
  <c r="BV289" i="33"/>
  <c r="CD289" i="33" s="1"/>
  <c r="BW289" i="33"/>
  <c r="CE289" i="33" s="1"/>
  <c r="BP290" i="33"/>
  <c r="BX290" i="33" s="1"/>
  <c r="BQ290" i="33"/>
  <c r="BY290" i="33" s="1"/>
  <c r="BR290" i="33"/>
  <c r="BZ290" i="33" s="1"/>
  <c r="BS290" i="33"/>
  <c r="CA290" i="33" s="1"/>
  <c r="BT290" i="33"/>
  <c r="CB290" i="33" s="1"/>
  <c r="BU290" i="33"/>
  <c r="CC290" i="33" s="1"/>
  <c r="BV290" i="33"/>
  <c r="CD290" i="33" s="1"/>
  <c r="BW290" i="33"/>
  <c r="CE290" i="33" s="1"/>
  <c r="BP291" i="33"/>
  <c r="BX291" i="33" s="1"/>
  <c r="BQ291" i="33"/>
  <c r="BY291" i="33" s="1"/>
  <c r="BR291" i="33"/>
  <c r="BZ291" i="33" s="1"/>
  <c r="BS291" i="33"/>
  <c r="CA291" i="33" s="1"/>
  <c r="BT291" i="33"/>
  <c r="CB291" i="33" s="1"/>
  <c r="BU291" i="33"/>
  <c r="CC291" i="33" s="1"/>
  <c r="BV291" i="33"/>
  <c r="CD291" i="33" s="1"/>
  <c r="BW291" i="33"/>
  <c r="CE291" i="33" s="1"/>
  <c r="BP292" i="33"/>
  <c r="BX292" i="33" s="1"/>
  <c r="BQ292" i="33"/>
  <c r="BY292" i="33" s="1"/>
  <c r="BR292" i="33"/>
  <c r="BZ292" i="33" s="1"/>
  <c r="BS292" i="33"/>
  <c r="CA292" i="33" s="1"/>
  <c r="BT292" i="33"/>
  <c r="CB292" i="33" s="1"/>
  <c r="BU292" i="33"/>
  <c r="CC292" i="33" s="1"/>
  <c r="BV292" i="33"/>
  <c r="CD292" i="33" s="1"/>
  <c r="BW292" i="33"/>
  <c r="CE292" i="33" s="1"/>
  <c r="BP293" i="33"/>
  <c r="BX293" i="33" s="1"/>
  <c r="BQ293" i="33"/>
  <c r="BY293" i="33" s="1"/>
  <c r="BR293" i="33"/>
  <c r="BZ293" i="33" s="1"/>
  <c r="BS293" i="33"/>
  <c r="CA293" i="33" s="1"/>
  <c r="BT293" i="33"/>
  <c r="CB293" i="33" s="1"/>
  <c r="BU293" i="33"/>
  <c r="CC293" i="33" s="1"/>
  <c r="BV293" i="33"/>
  <c r="CD293" i="33" s="1"/>
  <c r="BW293" i="33"/>
  <c r="CE293" i="33" s="1"/>
  <c r="BP294" i="33"/>
  <c r="BX294" i="33" s="1"/>
  <c r="BQ294" i="33"/>
  <c r="BY294" i="33" s="1"/>
  <c r="BR294" i="33"/>
  <c r="BZ294" i="33" s="1"/>
  <c r="BS294" i="33"/>
  <c r="CA294" i="33" s="1"/>
  <c r="BT294" i="33"/>
  <c r="CB294" i="33" s="1"/>
  <c r="BU294" i="33"/>
  <c r="CC294" i="33" s="1"/>
  <c r="BV294" i="33"/>
  <c r="CD294" i="33" s="1"/>
  <c r="BW294" i="33"/>
  <c r="CE294" i="33" s="1"/>
  <c r="BP295" i="33"/>
  <c r="BX295" i="33" s="1"/>
  <c r="BQ295" i="33"/>
  <c r="BY295" i="33" s="1"/>
  <c r="BR295" i="33"/>
  <c r="BZ295" i="33" s="1"/>
  <c r="BS295" i="33"/>
  <c r="CA295" i="33" s="1"/>
  <c r="BT295" i="33"/>
  <c r="CB295" i="33" s="1"/>
  <c r="BU295" i="33"/>
  <c r="CC295" i="33" s="1"/>
  <c r="BV295" i="33"/>
  <c r="CD295" i="33" s="1"/>
  <c r="BW295" i="33"/>
  <c r="CE295" i="33" s="1"/>
  <c r="BP296" i="33"/>
  <c r="BX296" i="33" s="1"/>
  <c r="BQ296" i="33"/>
  <c r="BY296" i="33" s="1"/>
  <c r="BR296" i="33"/>
  <c r="BZ296" i="33" s="1"/>
  <c r="BS296" i="33"/>
  <c r="CA296" i="33" s="1"/>
  <c r="BT296" i="33"/>
  <c r="CB296" i="33" s="1"/>
  <c r="BU296" i="33"/>
  <c r="CC296" i="33" s="1"/>
  <c r="BV296" i="33"/>
  <c r="CD296" i="33" s="1"/>
  <c r="BW296" i="33"/>
  <c r="CE296" i="33" s="1"/>
  <c r="BW279" i="33"/>
  <c r="CE279" i="33" s="1"/>
  <c r="BV279" i="33"/>
  <c r="CD279" i="33" s="1"/>
  <c r="BU279" i="33"/>
  <c r="CC279" i="33" s="1"/>
  <c r="BT279" i="33"/>
  <c r="CB279" i="33" s="1"/>
  <c r="BS279" i="33"/>
  <c r="CA279" i="33" s="1"/>
  <c r="BR279" i="33"/>
  <c r="BZ279" i="33" s="1"/>
  <c r="BQ279" i="33"/>
  <c r="BY279" i="33" s="1"/>
  <c r="U280" i="33" a="1"/>
  <c r="U280" i="33" s="1"/>
  <c r="V280" i="33" a="1"/>
  <c r="V280" i="33" s="1"/>
  <c r="W280" i="33" a="1"/>
  <c r="W280" i="33" s="1"/>
  <c r="BP279" i="33"/>
  <c r="BX279" i="33" s="1"/>
  <c r="DM183" i="33"/>
  <c r="U2" i="41"/>
  <c r="O2" i="41"/>
  <c r="P2" i="41"/>
  <c r="Q2" i="41"/>
  <c r="R2" i="41"/>
  <c r="S2" i="41"/>
  <c r="T2" i="41"/>
  <c r="N2" i="41"/>
  <c r="FH197" i="33"/>
  <c r="FG197" i="33"/>
  <c r="FF197" i="33"/>
  <c r="FE197" i="33"/>
  <c r="FD197" i="33"/>
  <c r="FC197" i="33"/>
  <c r="FB197" i="33"/>
  <c r="FA197" i="33"/>
  <c r="FH196" i="33"/>
  <c r="FG196" i="33"/>
  <c r="FF196" i="33"/>
  <c r="FE196" i="33"/>
  <c r="FD196" i="33"/>
  <c r="FC196" i="33"/>
  <c r="FB196" i="33"/>
  <c r="FA196" i="33"/>
  <c r="FH195" i="33"/>
  <c r="FG195" i="33"/>
  <c r="FF195" i="33"/>
  <c r="FE195" i="33"/>
  <c r="FD195" i="33"/>
  <c r="FC195" i="33"/>
  <c r="FB195" i="33"/>
  <c r="FA195" i="33"/>
  <c r="FH194" i="33"/>
  <c r="FG194" i="33"/>
  <c r="FF194" i="33"/>
  <c r="FE194" i="33"/>
  <c r="FD194" i="33"/>
  <c r="FC194" i="33"/>
  <c r="FB194" i="33"/>
  <c r="FA194" i="33"/>
  <c r="FH193" i="33"/>
  <c r="FG193" i="33"/>
  <c r="FF193" i="33"/>
  <c r="FE193" i="33"/>
  <c r="FD193" i="33"/>
  <c r="FC193" i="33"/>
  <c r="FB193" i="33"/>
  <c r="FA193" i="33"/>
  <c r="FH192" i="33"/>
  <c r="FG192" i="33"/>
  <c r="FF192" i="33"/>
  <c r="FE192" i="33"/>
  <c r="FD192" i="33"/>
  <c r="FC192" i="33"/>
  <c r="FB192" i="33"/>
  <c r="FA192" i="33"/>
  <c r="FH191" i="33"/>
  <c r="FG191" i="33"/>
  <c r="FF191" i="33"/>
  <c r="FE191" i="33"/>
  <c r="FD191" i="33"/>
  <c r="FC191" i="33"/>
  <c r="FB191" i="33"/>
  <c r="FA191" i="33"/>
  <c r="FH190" i="33"/>
  <c r="FG190" i="33"/>
  <c r="FF190" i="33"/>
  <c r="FE190" i="33"/>
  <c r="FD190" i="33"/>
  <c r="FC190" i="33"/>
  <c r="FB190" i="33"/>
  <c r="FA190" i="33"/>
  <c r="FH189" i="33"/>
  <c r="FG189" i="33"/>
  <c r="FF189" i="33"/>
  <c r="FE189" i="33"/>
  <c r="FD189" i="33"/>
  <c r="FC189" i="33"/>
  <c r="FB189" i="33"/>
  <c r="FA189" i="33"/>
  <c r="FH188" i="33"/>
  <c r="FG188" i="33"/>
  <c r="FF188" i="33"/>
  <c r="FE188" i="33"/>
  <c r="FD188" i="33"/>
  <c r="FC188" i="33"/>
  <c r="FB188" i="33"/>
  <c r="FA188" i="33"/>
  <c r="FH187" i="33"/>
  <c r="FG187" i="33"/>
  <c r="FF187" i="33"/>
  <c r="FE187" i="33"/>
  <c r="FD187" i="33"/>
  <c r="FC187" i="33"/>
  <c r="FB187" i="33"/>
  <c r="FA187" i="33"/>
  <c r="FH186" i="33"/>
  <c r="FG186" i="33"/>
  <c r="FF186" i="33"/>
  <c r="FE186" i="33"/>
  <c r="FD186" i="33"/>
  <c r="FC186" i="33"/>
  <c r="FB186" i="33"/>
  <c r="FA186" i="33"/>
  <c r="FH185" i="33"/>
  <c r="FG185" i="33"/>
  <c r="FF185" i="33"/>
  <c r="FE185" i="33"/>
  <c r="FD185" i="33"/>
  <c r="FC185" i="33"/>
  <c r="FB185" i="33"/>
  <c r="FA185" i="33"/>
  <c r="FH184" i="33"/>
  <c r="FG184" i="33"/>
  <c r="FF184" i="33"/>
  <c r="FE184" i="33"/>
  <c r="FD184" i="33"/>
  <c r="FC184" i="33"/>
  <c r="FB184" i="33"/>
  <c r="FA184" i="33"/>
  <c r="FH183" i="33"/>
  <c r="FG183" i="33"/>
  <c r="FF183" i="33"/>
  <c r="FE183" i="33"/>
  <c r="FD183" i="33"/>
  <c r="FC183" i="33"/>
  <c r="FB183" i="33"/>
  <c r="FA183" i="33"/>
  <c r="FH181" i="33"/>
  <c r="FG181" i="33"/>
  <c r="FF181" i="33"/>
  <c r="FE181" i="33"/>
  <c r="FD181" i="33"/>
  <c r="FC181" i="33"/>
  <c r="FB181" i="33"/>
  <c r="FA181" i="33"/>
  <c r="FH180" i="33"/>
  <c r="FG180" i="33"/>
  <c r="FF180" i="33"/>
  <c r="FE180" i="33"/>
  <c r="FD180" i="33"/>
  <c r="FC180" i="33"/>
  <c r="FB180" i="33"/>
  <c r="FA180" i="33"/>
  <c r="FH179" i="33"/>
  <c r="FG179" i="33"/>
  <c r="FF179" i="33"/>
  <c r="FE179" i="33"/>
  <c r="FD179" i="33"/>
  <c r="FC179" i="33"/>
  <c r="FB179" i="33"/>
  <c r="FA179" i="33"/>
  <c r="FH178" i="33"/>
  <c r="FG178" i="33"/>
  <c r="FF178" i="33"/>
  <c r="FE178" i="33"/>
  <c r="FD178" i="33"/>
  <c r="FC178" i="33"/>
  <c r="FB178" i="33"/>
  <c r="FA178" i="33"/>
  <c r="FH177" i="33"/>
  <c r="FG177" i="33"/>
  <c r="FF177" i="33"/>
  <c r="FE177" i="33"/>
  <c r="FD177" i="33"/>
  <c r="FC177" i="33"/>
  <c r="FB177" i="33"/>
  <c r="FA177" i="33"/>
  <c r="FH176" i="33"/>
  <c r="FG176" i="33"/>
  <c r="FF176" i="33"/>
  <c r="FE176" i="33"/>
  <c r="FD176" i="33"/>
  <c r="FC176" i="33"/>
  <c r="FB176" i="33"/>
  <c r="FA176" i="33"/>
  <c r="FH175" i="33"/>
  <c r="FG175" i="33"/>
  <c r="FF175" i="33"/>
  <c r="FE175" i="33"/>
  <c r="FD175" i="33"/>
  <c r="FC175" i="33"/>
  <c r="FB175" i="33"/>
  <c r="FA175" i="33"/>
  <c r="FH174" i="33"/>
  <c r="FG174" i="33"/>
  <c r="FF174" i="33"/>
  <c r="FE174" i="33"/>
  <c r="FD174" i="33"/>
  <c r="FC174" i="33"/>
  <c r="FB174" i="33"/>
  <c r="FA174" i="33"/>
  <c r="FH173" i="33"/>
  <c r="FG173" i="33"/>
  <c r="FF173" i="33"/>
  <c r="FE173" i="33"/>
  <c r="FD173" i="33"/>
  <c r="FC173" i="33"/>
  <c r="FB173" i="33"/>
  <c r="FA173" i="33"/>
  <c r="FH172" i="33"/>
  <c r="FG172" i="33"/>
  <c r="FF172" i="33"/>
  <c r="FE172" i="33"/>
  <c r="FD172" i="33"/>
  <c r="FC172" i="33"/>
  <c r="FB172" i="33"/>
  <c r="FA172" i="33"/>
  <c r="FH171" i="33"/>
  <c r="FG171" i="33"/>
  <c r="FF171" i="33"/>
  <c r="FE171" i="33"/>
  <c r="FD171" i="33"/>
  <c r="FC171" i="33"/>
  <c r="FB171" i="33"/>
  <c r="FA171" i="33"/>
  <c r="FH170" i="33"/>
  <c r="FG170" i="33"/>
  <c r="FF170" i="33"/>
  <c r="FE170" i="33"/>
  <c r="FD170" i="33"/>
  <c r="FC170" i="33"/>
  <c r="FB170" i="33"/>
  <c r="FA170" i="33"/>
  <c r="FH169" i="33"/>
  <c r="FG169" i="33"/>
  <c r="FF169" i="33"/>
  <c r="FE169" i="33"/>
  <c r="FD169" i="33"/>
  <c r="FC169" i="33"/>
  <c r="FB169" i="33"/>
  <c r="FA169" i="33"/>
  <c r="FH168" i="33"/>
  <c r="FG168" i="33"/>
  <c r="FF168" i="33"/>
  <c r="FE168" i="33"/>
  <c r="FD168" i="33"/>
  <c r="FC168" i="33"/>
  <c r="FB168" i="33"/>
  <c r="FA168" i="33"/>
  <c r="FH167" i="33"/>
  <c r="FG167" i="33"/>
  <c r="FF167" i="33"/>
  <c r="FE167" i="33"/>
  <c r="FD167" i="33"/>
  <c r="FC167" i="33"/>
  <c r="FB167" i="33"/>
  <c r="FA167" i="33"/>
  <c r="FH166" i="33"/>
  <c r="FG166" i="33"/>
  <c r="FF166" i="33"/>
  <c r="FE166" i="33"/>
  <c r="FD166" i="33"/>
  <c r="FC166" i="33"/>
  <c r="FB166" i="33"/>
  <c r="FA166" i="33"/>
  <c r="FH165" i="33"/>
  <c r="FG165" i="33"/>
  <c r="FF165" i="33"/>
  <c r="FE165" i="33"/>
  <c r="FD165" i="33"/>
  <c r="FC165" i="33"/>
  <c r="FB165" i="33"/>
  <c r="FA165" i="33"/>
  <c r="FH164" i="33"/>
  <c r="FG164" i="33"/>
  <c r="FF164" i="33"/>
  <c r="FE164" i="33"/>
  <c r="FD164" i="33"/>
  <c r="FC164" i="33"/>
  <c r="FB164" i="33"/>
  <c r="FA164" i="33"/>
  <c r="FH163" i="33"/>
  <c r="FG163" i="33"/>
  <c r="FF163" i="33"/>
  <c r="FE163" i="33"/>
  <c r="FD163" i="33"/>
  <c r="FC163" i="33"/>
  <c r="FB163" i="33"/>
  <c r="FA163" i="33"/>
  <c r="FH162" i="33"/>
  <c r="FG162" i="33"/>
  <c r="FF162" i="33"/>
  <c r="FE162" i="33"/>
  <c r="FD162" i="33"/>
  <c r="FC162" i="33"/>
  <c r="FB162" i="33"/>
  <c r="FA162" i="33"/>
  <c r="FH161" i="33"/>
  <c r="FG161" i="33"/>
  <c r="FF161" i="33"/>
  <c r="FE161" i="33"/>
  <c r="FD161" i="33"/>
  <c r="FC161" i="33"/>
  <c r="FB161" i="33"/>
  <c r="FA161" i="33"/>
  <c r="FH160" i="33"/>
  <c r="FG160" i="33"/>
  <c r="FF160" i="33"/>
  <c r="FE160" i="33"/>
  <c r="FD160" i="33"/>
  <c r="FC160" i="33"/>
  <c r="FB160" i="33"/>
  <c r="FA160" i="33"/>
  <c r="FH159" i="33"/>
  <c r="FG159" i="33"/>
  <c r="FF159" i="33"/>
  <c r="FE159" i="33"/>
  <c r="FD159" i="33"/>
  <c r="FC159" i="33"/>
  <c r="FB159" i="33"/>
  <c r="FA159" i="33"/>
  <c r="FH158" i="33"/>
  <c r="FG158" i="33"/>
  <c r="FF158" i="33"/>
  <c r="FE158" i="33"/>
  <c r="FD158" i="33"/>
  <c r="FC158" i="33"/>
  <c r="FB158" i="33"/>
  <c r="FA158" i="33"/>
  <c r="FH157" i="33"/>
  <c r="FG157" i="33"/>
  <c r="FF157" i="33"/>
  <c r="FE157" i="33"/>
  <c r="FD157" i="33"/>
  <c r="FC157" i="33"/>
  <c r="FB157" i="33"/>
  <c r="FA157" i="33"/>
  <c r="FH156" i="33"/>
  <c r="FG156" i="33"/>
  <c r="FF156" i="33"/>
  <c r="FE156" i="33"/>
  <c r="FD156" i="33"/>
  <c r="FC156" i="33"/>
  <c r="FB156" i="33"/>
  <c r="FA156" i="33"/>
  <c r="FH155" i="33"/>
  <c r="FG155" i="33"/>
  <c r="FF155" i="33"/>
  <c r="FE155" i="33"/>
  <c r="FD155" i="33"/>
  <c r="FC155" i="33"/>
  <c r="FB155" i="33"/>
  <c r="FA155" i="33"/>
  <c r="FH154" i="33"/>
  <c r="FG154" i="33"/>
  <c r="FF154" i="33"/>
  <c r="FE154" i="33"/>
  <c r="FD154" i="33"/>
  <c r="FC154" i="33"/>
  <c r="FB154" i="33"/>
  <c r="FA154" i="33"/>
  <c r="FH153" i="33"/>
  <c r="FG153" i="33"/>
  <c r="FF153" i="33"/>
  <c r="FE153" i="33"/>
  <c r="FD153" i="33"/>
  <c r="FC153" i="33"/>
  <c r="FB153" i="33"/>
  <c r="FA153" i="33"/>
  <c r="FH152" i="33"/>
  <c r="FG152" i="33"/>
  <c r="FF152" i="33"/>
  <c r="FE152" i="33"/>
  <c r="FD152" i="33"/>
  <c r="FC152" i="33"/>
  <c r="FB152" i="33"/>
  <c r="FA152" i="33"/>
  <c r="FH151" i="33"/>
  <c r="FG151" i="33"/>
  <c r="FF151" i="33"/>
  <c r="FE151" i="33"/>
  <c r="FD151" i="33"/>
  <c r="FC151" i="33"/>
  <c r="FB151" i="33"/>
  <c r="FA151" i="33"/>
  <c r="FH150" i="33"/>
  <c r="FG150" i="33"/>
  <c r="FF150" i="33"/>
  <c r="FE150" i="33"/>
  <c r="FD150" i="33"/>
  <c r="FC150" i="33"/>
  <c r="FB150" i="33"/>
  <c r="FA150" i="33"/>
  <c r="FH149" i="33"/>
  <c r="FG149" i="33"/>
  <c r="FF149" i="33"/>
  <c r="FE149" i="33"/>
  <c r="FD149" i="33"/>
  <c r="FC149" i="33"/>
  <c r="FB149" i="33"/>
  <c r="FA149" i="33"/>
  <c r="FH148" i="33"/>
  <c r="FG148" i="33"/>
  <c r="FF148" i="33"/>
  <c r="FE148" i="33"/>
  <c r="FD148" i="33"/>
  <c r="FC148" i="33"/>
  <c r="FB148" i="33"/>
  <c r="FA148" i="33"/>
  <c r="FH147" i="33"/>
  <c r="FG147" i="33"/>
  <c r="FF147" i="33"/>
  <c r="FE147" i="33"/>
  <c r="FD147" i="33"/>
  <c r="FC147" i="33"/>
  <c r="FB147" i="33"/>
  <c r="FA147" i="33"/>
  <c r="FH146" i="33"/>
  <c r="FG146" i="33"/>
  <c r="FF146" i="33"/>
  <c r="FE146" i="33"/>
  <c r="FD146" i="33"/>
  <c r="FC146" i="33"/>
  <c r="FB146" i="33"/>
  <c r="FA146" i="33"/>
  <c r="FH145" i="33"/>
  <c r="FG145" i="33"/>
  <c r="FF145" i="33"/>
  <c r="FE145" i="33"/>
  <c r="FD145" i="33"/>
  <c r="FC145" i="33"/>
  <c r="FB145" i="33"/>
  <c r="FA145" i="33"/>
  <c r="FH144" i="33"/>
  <c r="FG144" i="33"/>
  <c r="FF144" i="33"/>
  <c r="FE144" i="33"/>
  <c r="FD144" i="33"/>
  <c r="FC144" i="33"/>
  <c r="FB144" i="33"/>
  <c r="FA144" i="33"/>
  <c r="FH143" i="33"/>
  <c r="FG143" i="33"/>
  <c r="FF143" i="33"/>
  <c r="FE143" i="33"/>
  <c r="FD143" i="33"/>
  <c r="FC143" i="33"/>
  <c r="FB143" i="33"/>
  <c r="FA143" i="33"/>
  <c r="FH142" i="33"/>
  <c r="FG142" i="33"/>
  <c r="FF142" i="33"/>
  <c r="FE142" i="33"/>
  <c r="FD142" i="33"/>
  <c r="FC142" i="33"/>
  <c r="FB142" i="33"/>
  <c r="FA142" i="33"/>
  <c r="FH141" i="33"/>
  <c r="FG141" i="33"/>
  <c r="FF141" i="33"/>
  <c r="FE141" i="33"/>
  <c r="FD141" i="33"/>
  <c r="FC141" i="33"/>
  <c r="FB141" i="33"/>
  <c r="FA141" i="33"/>
  <c r="FH140" i="33"/>
  <c r="FG140" i="33"/>
  <c r="FF140" i="33"/>
  <c r="FE140" i="33"/>
  <c r="FD140" i="33"/>
  <c r="FC140" i="33"/>
  <c r="FB140" i="33"/>
  <c r="FA140" i="33"/>
  <c r="FH139" i="33"/>
  <c r="FG139" i="33"/>
  <c r="FF139" i="33"/>
  <c r="FE139" i="33"/>
  <c r="FD139" i="33"/>
  <c r="FC139" i="33"/>
  <c r="FB139" i="33"/>
  <c r="FA139" i="33"/>
  <c r="FH138" i="33"/>
  <c r="FG138" i="33"/>
  <c r="FF138" i="33"/>
  <c r="FE138" i="33"/>
  <c r="FD138" i="33"/>
  <c r="FC138" i="33"/>
  <c r="FB138" i="33"/>
  <c r="FA138" i="33"/>
  <c r="FH137" i="33"/>
  <c r="FG137" i="33"/>
  <c r="FF137" i="33"/>
  <c r="FE137" i="33"/>
  <c r="FD137" i="33"/>
  <c r="FC137" i="33"/>
  <c r="FB137" i="33"/>
  <c r="FA137" i="33"/>
  <c r="FH136" i="33"/>
  <c r="FG136" i="33"/>
  <c r="FF136" i="33"/>
  <c r="FE136" i="33"/>
  <c r="FD136" i="33"/>
  <c r="FC136" i="33"/>
  <c r="FB136" i="33"/>
  <c r="FA136" i="33"/>
  <c r="FH135" i="33"/>
  <c r="FG135" i="33"/>
  <c r="FF135" i="33"/>
  <c r="FE135" i="33"/>
  <c r="FD135" i="33"/>
  <c r="FC135" i="33"/>
  <c r="FB135" i="33"/>
  <c r="FA135" i="33"/>
  <c r="FH134" i="33"/>
  <c r="FG134" i="33"/>
  <c r="FF134" i="33"/>
  <c r="FE134" i="33"/>
  <c r="FD134" i="33"/>
  <c r="FC134" i="33"/>
  <c r="FB134" i="33"/>
  <c r="FA134" i="33"/>
  <c r="FH133" i="33"/>
  <c r="FG133" i="33"/>
  <c r="FF133" i="33"/>
  <c r="FE133" i="33"/>
  <c r="FD133" i="33"/>
  <c r="FC133" i="33"/>
  <c r="FB133" i="33"/>
  <c r="FA133" i="33"/>
  <c r="FH132" i="33"/>
  <c r="FG132" i="33"/>
  <c r="FF132" i="33"/>
  <c r="FE132" i="33"/>
  <c r="FD132" i="33"/>
  <c r="FC132" i="33"/>
  <c r="FB132" i="33"/>
  <c r="FA132" i="33"/>
  <c r="FH131" i="33"/>
  <c r="FG131" i="33"/>
  <c r="FF131" i="33"/>
  <c r="FE131" i="33"/>
  <c r="FD131" i="33"/>
  <c r="FC131" i="33"/>
  <c r="FB131" i="33"/>
  <c r="FA131" i="33"/>
  <c r="FH130" i="33"/>
  <c r="FG130" i="33"/>
  <c r="FF130" i="33"/>
  <c r="FE130" i="33"/>
  <c r="FD130" i="33"/>
  <c r="FC130" i="33"/>
  <c r="FB130" i="33"/>
  <c r="FA130" i="33"/>
  <c r="FH129" i="33"/>
  <c r="FG129" i="33"/>
  <c r="FF129" i="33"/>
  <c r="FE129" i="33"/>
  <c r="FD129" i="33"/>
  <c r="FC129" i="33"/>
  <c r="FB129" i="33"/>
  <c r="FA129" i="33"/>
  <c r="EZ128" i="33"/>
  <c r="FH128" i="33" s="1"/>
  <c r="EY128" i="33"/>
  <c r="FG128" i="33" s="1"/>
  <c r="EX128" i="33"/>
  <c r="FF128" i="33" s="1"/>
  <c r="EW128" i="33"/>
  <c r="FE128" i="33" s="1"/>
  <c r="FD128" i="33"/>
  <c r="EU128" i="33"/>
  <c r="FC128" i="33" s="1"/>
  <c r="ET128" i="33"/>
  <c r="FB128" i="33" s="1"/>
  <c r="FA128" i="33"/>
  <c r="DT197" i="33"/>
  <c r="DS197" i="33"/>
  <c r="DR197" i="33"/>
  <c r="DQ197" i="33"/>
  <c r="DP197" i="33"/>
  <c r="DO197" i="33"/>
  <c r="DN197" i="33"/>
  <c r="DM197" i="33"/>
  <c r="DT196" i="33"/>
  <c r="DS196" i="33"/>
  <c r="DR196" i="33"/>
  <c r="DQ196" i="33"/>
  <c r="DP196" i="33"/>
  <c r="DO196" i="33"/>
  <c r="DN196" i="33"/>
  <c r="DM196" i="33"/>
  <c r="DT195" i="33"/>
  <c r="DS195" i="33"/>
  <c r="DR195" i="33"/>
  <c r="DQ195" i="33"/>
  <c r="DP195" i="33"/>
  <c r="DO195" i="33"/>
  <c r="DN195" i="33"/>
  <c r="DM195" i="33"/>
  <c r="DT194" i="33"/>
  <c r="DS194" i="33"/>
  <c r="DR194" i="33"/>
  <c r="DQ194" i="33"/>
  <c r="DP194" i="33"/>
  <c r="DO194" i="33"/>
  <c r="DN194" i="33"/>
  <c r="DM194" i="33"/>
  <c r="DT193" i="33"/>
  <c r="DS193" i="33"/>
  <c r="DR193" i="33"/>
  <c r="DQ193" i="33"/>
  <c r="DP193" i="33"/>
  <c r="DO193" i="33"/>
  <c r="DN193" i="33"/>
  <c r="DM193" i="33"/>
  <c r="DT192" i="33"/>
  <c r="DS192" i="33"/>
  <c r="DR192" i="33"/>
  <c r="DQ192" i="33"/>
  <c r="DP192" i="33"/>
  <c r="DO192" i="33"/>
  <c r="DN192" i="33"/>
  <c r="DM192" i="33"/>
  <c r="DT191" i="33"/>
  <c r="DS191" i="33"/>
  <c r="DR191" i="33"/>
  <c r="DQ191" i="33"/>
  <c r="DP191" i="33"/>
  <c r="DO191" i="33"/>
  <c r="DN191" i="33"/>
  <c r="DM191" i="33"/>
  <c r="DT190" i="33"/>
  <c r="DS190" i="33"/>
  <c r="DR190" i="33"/>
  <c r="DQ190" i="33"/>
  <c r="DP190" i="33"/>
  <c r="DO190" i="33"/>
  <c r="DN190" i="33"/>
  <c r="DM190" i="33"/>
  <c r="DT189" i="33"/>
  <c r="DS189" i="33"/>
  <c r="DR189" i="33"/>
  <c r="DQ189" i="33"/>
  <c r="DP189" i="33"/>
  <c r="DO189" i="33"/>
  <c r="DN189" i="33"/>
  <c r="DM189" i="33"/>
  <c r="DT188" i="33"/>
  <c r="DS188" i="33"/>
  <c r="DR188" i="33"/>
  <c r="DQ188" i="33"/>
  <c r="DP188" i="33"/>
  <c r="DO188" i="33"/>
  <c r="DN188" i="33"/>
  <c r="DM188" i="33"/>
  <c r="DT187" i="33"/>
  <c r="DS187" i="33"/>
  <c r="DR187" i="33"/>
  <c r="DQ187" i="33"/>
  <c r="DP187" i="33"/>
  <c r="DO187" i="33"/>
  <c r="DN187" i="33"/>
  <c r="DM187" i="33"/>
  <c r="DT186" i="33"/>
  <c r="DS186" i="33"/>
  <c r="DR186" i="33"/>
  <c r="DQ186" i="33"/>
  <c r="DP186" i="33"/>
  <c r="DO186" i="33"/>
  <c r="DN186" i="33"/>
  <c r="DM186" i="33"/>
  <c r="DT185" i="33"/>
  <c r="DS185" i="33"/>
  <c r="DR185" i="33"/>
  <c r="DQ185" i="33"/>
  <c r="DP185" i="33"/>
  <c r="DO185" i="33"/>
  <c r="DN185" i="33"/>
  <c r="DM185" i="33"/>
  <c r="DT184" i="33"/>
  <c r="DS184" i="33"/>
  <c r="DR184" i="33"/>
  <c r="DQ184" i="33"/>
  <c r="DP184" i="33"/>
  <c r="DO184" i="33"/>
  <c r="DN184" i="33"/>
  <c r="DM184" i="33"/>
  <c r="DT183" i="33"/>
  <c r="DS183" i="33"/>
  <c r="DR183" i="33"/>
  <c r="DQ183" i="33"/>
  <c r="DP183" i="33"/>
  <c r="DO183" i="33"/>
  <c r="DN183" i="33"/>
  <c r="DT181" i="33"/>
  <c r="DS181" i="33"/>
  <c r="DR181" i="33"/>
  <c r="DQ181" i="33"/>
  <c r="DP181" i="33"/>
  <c r="DO181" i="33"/>
  <c r="DN181" i="33"/>
  <c r="DM181" i="33"/>
  <c r="DT180" i="33"/>
  <c r="DS180" i="33"/>
  <c r="DR180" i="33"/>
  <c r="DQ180" i="33"/>
  <c r="DP180" i="33"/>
  <c r="DO180" i="33"/>
  <c r="DN180" i="33"/>
  <c r="DM180" i="33"/>
  <c r="DT179" i="33"/>
  <c r="DS179" i="33"/>
  <c r="DR179" i="33"/>
  <c r="DQ179" i="33"/>
  <c r="DP179" i="33"/>
  <c r="DO179" i="33"/>
  <c r="DN179" i="33"/>
  <c r="DM179" i="33"/>
  <c r="DT178" i="33"/>
  <c r="DS178" i="33"/>
  <c r="DR178" i="33"/>
  <c r="DQ178" i="33"/>
  <c r="DP178" i="33"/>
  <c r="DO178" i="33"/>
  <c r="DN178" i="33"/>
  <c r="DM178" i="33"/>
  <c r="DT177" i="33"/>
  <c r="DS177" i="33"/>
  <c r="DR177" i="33"/>
  <c r="DQ177" i="33"/>
  <c r="DP177" i="33"/>
  <c r="DO177" i="33"/>
  <c r="DN177" i="33"/>
  <c r="DM177" i="33"/>
  <c r="DT176" i="33"/>
  <c r="DS176" i="33"/>
  <c r="DR176" i="33"/>
  <c r="DQ176" i="33"/>
  <c r="DP176" i="33"/>
  <c r="DO176" i="33"/>
  <c r="DN176" i="33"/>
  <c r="DM176" i="33"/>
  <c r="DT175" i="33"/>
  <c r="DS175" i="33"/>
  <c r="DR175" i="33"/>
  <c r="DQ175" i="33"/>
  <c r="DP175" i="33"/>
  <c r="DO175" i="33"/>
  <c r="DN175" i="33"/>
  <c r="DM175" i="33"/>
  <c r="DT174" i="33"/>
  <c r="DS174" i="33"/>
  <c r="DR174" i="33"/>
  <c r="DQ174" i="33"/>
  <c r="DP174" i="33"/>
  <c r="DO174" i="33"/>
  <c r="DN174" i="33"/>
  <c r="DM174" i="33"/>
  <c r="DT173" i="33"/>
  <c r="DS173" i="33"/>
  <c r="DR173" i="33"/>
  <c r="DQ173" i="33"/>
  <c r="DP173" i="33"/>
  <c r="DO173" i="33"/>
  <c r="DN173" i="33"/>
  <c r="DM173" i="33"/>
  <c r="DT172" i="33"/>
  <c r="DS172" i="33"/>
  <c r="DR172" i="33"/>
  <c r="DQ172" i="33"/>
  <c r="DP172" i="33"/>
  <c r="DO172" i="33"/>
  <c r="DN172" i="33"/>
  <c r="DM172" i="33"/>
  <c r="DT171" i="33"/>
  <c r="DS171" i="33"/>
  <c r="DR171" i="33"/>
  <c r="DQ171" i="33"/>
  <c r="DP171" i="33"/>
  <c r="DO171" i="33"/>
  <c r="DN171" i="33"/>
  <c r="DM171" i="33"/>
  <c r="DT170" i="33"/>
  <c r="DS170" i="33"/>
  <c r="DR170" i="33"/>
  <c r="DQ170" i="33"/>
  <c r="DP170" i="33"/>
  <c r="DO170" i="33"/>
  <c r="DN170" i="33"/>
  <c r="DM170" i="33"/>
  <c r="DT169" i="33"/>
  <c r="DS169" i="33"/>
  <c r="DR169" i="33"/>
  <c r="DQ169" i="33"/>
  <c r="DP169" i="33"/>
  <c r="DO169" i="33"/>
  <c r="DN169" i="33"/>
  <c r="DM169" i="33"/>
  <c r="DT168" i="33"/>
  <c r="DS168" i="33"/>
  <c r="DR168" i="33"/>
  <c r="DQ168" i="33"/>
  <c r="DP168" i="33"/>
  <c r="DO168" i="33"/>
  <c r="DN168" i="33"/>
  <c r="DM168" i="33"/>
  <c r="DT167" i="33"/>
  <c r="DS167" i="33"/>
  <c r="DR167" i="33"/>
  <c r="DQ167" i="33"/>
  <c r="DP167" i="33"/>
  <c r="DO167" i="33"/>
  <c r="DN167" i="33"/>
  <c r="DM167" i="33"/>
  <c r="DT166" i="33"/>
  <c r="DS166" i="33"/>
  <c r="DR166" i="33"/>
  <c r="DQ166" i="33"/>
  <c r="DP166" i="33"/>
  <c r="DO166" i="33"/>
  <c r="DN166" i="33"/>
  <c r="DM166" i="33"/>
  <c r="DT165" i="33"/>
  <c r="DS165" i="33"/>
  <c r="DR165" i="33"/>
  <c r="DQ165" i="33"/>
  <c r="DP165" i="33"/>
  <c r="DO165" i="33"/>
  <c r="DN165" i="33"/>
  <c r="DM165" i="33"/>
  <c r="DT164" i="33"/>
  <c r="DS164" i="33"/>
  <c r="DR164" i="33"/>
  <c r="DQ164" i="33"/>
  <c r="DP164" i="33"/>
  <c r="DO164" i="33"/>
  <c r="DN164" i="33"/>
  <c r="DM164" i="33"/>
  <c r="DT163" i="33"/>
  <c r="DS163" i="33"/>
  <c r="DR163" i="33"/>
  <c r="DQ163" i="33"/>
  <c r="DP163" i="33"/>
  <c r="DO163" i="33"/>
  <c r="DN163" i="33"/>
  <c r="DM163" i="33"/>
  <c r="DT162" i="33"/>
  <c r="DS162" i="33"/>
  <c r="DR162" i="33"/>
  <c r="DQ162" i="33"/>
  <c r="DP162" i="33"/>
  <c r="DO162" i="33"/>
  <c r="DN162" i="33"/>
  <c r="DM162" i="33"/>
  <c r="DT161" i="33"/>
  <c r="DS161" i="33"/>
  <c r="DR161" i="33"/>
  <c r="DQ161" i="33"/>
  <c r="DP161" i="33"/>
  <c r="DO161" i="33"/>
  <c r="DN161" i="33"/>
  <c r="DM161" i="33"/>
  <c r="DT160" i="33"/>
  <c r="DS160" i="33"/>
  <c r="DR160" i="33"/>
  <c r="DQ160" i="33"/>
  <c r="DP160" i="33"/>
  <c r="DO160" i="33"/>
  <c r="DN160" i="33"/>
  <c r="DM160" i="33"/>
  <c r="DT159" i="33"/>
  <c r="DS159" i="33"/>
  <c r="DR159" i="33"/>
  <c r="DQ159" i="33"/>
  <c r="DP159" i="33"/>
  <c r="DO159" i="33"/>
  <c r="DN159" i="33"/>
  <c r="DM159" i="33"/>
  <c r="DT158" i="33"/>
  <c r="DS158" i="33"/>
  <c r="DR158" i="33"/>
  <c r="DQ158" i="33"/>
  <c r="DP158" i="33"/>
  <c r="DO158" i="33"/>
  <c r="DN158" i="33"/>
  <c r="DM158" i="33"/>
  <c r="DT157" i="33"/>
  <c r="DS157" i="33"/>
  <c r="DR157" i="33"/>
  <c r="DQ157" i="33"/>
  <c r="DP157" i="33"/>
  <c r="DO157" i="33"/>
  <c r="DN157" i="33"/>
  <c r="DM157" i="33"/>
  <c r="DT156" i="33"/>
  <c r="DS156" i="33"/>
  <c r="DR156" i="33"/>
  <c r="DQ156" i="33"/>
  <c r="DP156" i="33"/>
  <c r="DO156" i="33"/>
  <c r="DN156" i="33"/>
  <c r="DM156" i="33"/>
  <c r="DT155" i="33"/>
  <c r="DS155" i="33"/>
  <c r="DR155" i="33"/>
  <c r="DQ155" i="33"/>
  <c r="DP155" i="33"/>
  <c r="DO155" i="33"/>
  <c r="DN155" i="33"/>
  <c r="DM155" i="33"/>
  <c r="DT154" i="33"/>
  <c r="DS154" i="33"/>
  <c r="DR154" i="33"/>
  <c r="DQ154" i="33"/>
  <c r="DP154" i="33"/>
  <c r="DO154" i="33"/>
  <c r="DN154" i="33"/>
  <c r="DM154" i="33"/>
  <c r="DT153" i="33"/>
  <c r="DS153" i="33"/>
  <c r="DR153" i="33"/>
  <c r="DQ153" i="33"/>
  <c r="DP153" i="33"/>
  <c r="DO153" i="33"/>
  <c r="DN153" i="33"/>
  <c r="DM153" i="33"/>
  <c r="DT152" i="33"/>
  <c r="DS152" i="33"/>
  <c r="DR152" i="33"/>
  <c r="DQ152" i="33"/>
  <c r="DP152" i="33"/>
  <c r="DO152" i="33"/>
  <c r="DN152" i="33"/>
  <c r="DM152" i="33"/>
  <c r="DT151" i="33"/>
  <c r="DS151" i="33"/>
  <c r="DR151" i="33"/>
  <c r="DQ151" i="33"/>
  <c r="DP151" i="33"/>
  <c r="DO151" i="33"/>
  <c r="DN151" i="33"/>
  <c r="DM151" i="33"/>
  <c r="DT150" i="33"/>
  <c r="DS150" i="33"/>
  <c r="DR150" i="33"/>
  <c r="DQ150" i="33"/>
  <c r="DP150" i="33"/>
  <c r="DO150" i="33"/>
  <c r="DN150" i="33"/>
  <c r="DM150" i="33"/>
  <c r="DT149" i="33"/>
  <c r="DS149" i="33"/>
  <c r="DR149" i="33"/>
  <c r="DQ149" i="33"/>
  <c r="DP149" i="33"/>
  <c r="DO149" i="33"/>
  <c r="DN149" i="33"/>
  <c r="DM149" i="33"/>
  <c r="DT148" i="33"/>
  <c r="DS148" i="33"/>
  <c r="DR148" i="33"/>
  <c r="DQ148" i="33"/>
  <c r="DP148" i="33"/>
  <c r="DO148" i="33"/>
  <c r="DN148" i="33"/>
  <c r="DM148" i="33"/>
  <c r="DT147" i="33"/>
  <c r="DS147" i="33"/>
  <c r="DR147" i="33"/>
  <c r="DQ147" i="33"/>
  <c r="DP147" i="33"/>
  <c r="DO147" i="33"/>
  <c r="DN147" i="33"/>
  <c r="DM147" i="33"/>
  <c r="DT146" i="33"/>
  <c r="DS146" i="33"/>
  <c r="DR146" i="33"/>
  <c r="DQ146" i="33"/>
  <c r="DP146" i="33"/>
  <c r="DO146" i="33"/>
  <c r="DN146" i="33"/>
  <c r="DM146" i="33"/>
  <c r="DT145" i="33"/>
  <c r="DS145" i="33"/>
  <c r="DR145" i="33"/>
  <c r="DQ145" i="33"/>
  <c r="DP145" i="33"/>
  <c r="DO145" i="33"/>
  <c r="DN145" i="33"/>
  <c r="DM145" i="33"/>
  <c r="DT144" i="33"/>
  <c r="DS144" i="33"/>
  <c r="DR144" i="33"/>
  <c r="DQ144" i="33"/>
  <c r="DP144" i="33"/>
  <c r="DO144" i="33"/>
  <c r="DN144" i="33"/>
  <c r="DM144" i="33"/>
  <c r="DT143" i="33"/>
  <c r="DS143" i="33"/>
  <c r="DR143" i="33"/>
  <c r="DQ143" i="33"/>
  <c r="DP143" i="33"/>
  <c r="DO143" i="33"/>
  <c r="DN143" i="33"/>
  <c r="DM143" i="33"/>
  <c r="DT142" i="33"/>
  <c r="DS142" i="33"/>
  <c r="DR142" i="33"/>
  <c r="DQ142" i="33"/>
  <c r="DP142" i="33"/>
  <c r="DO142" i="33"/>
  <c r="DN142" i="33"/>
  <c r="DM142" i="33"/>
  <c r="DT141" i="33"/>
  <c r="DS141" i="33"/>
  <c r="DR141" i="33"/>
  <c r="DQ141" i="33"/>
  <c r="DP141" i="33"/>
  <c r="DO141" i="33"/>
  <c r="DN141" i="33"/>
  <c r="DM141" i="33"/>
  <c r="DT140" i="33"/>
  <c r="DS140" i="33"/>
  <c r="DR140" i="33"/>
  <c r="DQ140" i="33"/>
  <c r="DP140" i="33"/>
  <c r="DO140" i="33"/>
  <c r="DN140" i="33"/>
  <c r="DM140" i="33"/>
  <c r="DT139" i="33"/>
  <c r="DS139" i="33"/>
  <c r="DR139" i="33"/>
  <c r="DQ139" i="33"/>
  <c r="DP139" i="33"/>
  <c r="DO139" i="33"/>
  <c r="DN139" i="33"/>
  <c r="DM139" i="33"/>
  <c r="DT138" i="33"/>
  <c r="DS138" i="33"/>
  <c r="DR138" i="33"/>
  <c r="DQ138" i="33"/>
  <c r="DP138" i="33"/>
  <c r="DO138" i="33"/>
  <c r="DN138" i="33"/>
  <c r="DM138" i="33"/>
  <c r="DT137" i="33"/>
  <c r="DS137" i="33"/>
  <c r="DR137" i="33"/>
  <c r="DQ137" i="33"/>
  <c r="DP137" i="33"/>
  <c r="DO137" i="33"/>
  <c r="DN137" i="33"/>
  <c r="DM137" i="33"/>
  <c r="DT136" i="33"/>
  <c r="DS136" i="33"/>
  <c r="DR136" i="33"/>
  <c r="DQ136" i="33"/>
  <c r="DP136" i="33"/>
  <c r="DO136" i="33"/>
  <c r="DN136" i="33"/>
  <c r="DM136" i="33"/>
  <c r="DT135" i="33"/>
  <c r="DS135" i="33"/>
  <c r="DR135" i="33"/>
  <c r="DQ135" i="33"/>
  <c r="DP135" i="33"/>
  <c r="DO135" i="33"/>
  <c r="DN135" i="33"/>
  <c r="DM135" i="33"/>
  <c r="DT134" i="33"/>
  <c r="DS134" i="33"/>
  <c r="DR134" i="33"/>
  <c r="DQ134" i="33"/>
  <c r="DP134" i="33"/>
  <c r="DO134" i="33"/>
  <c r="DN134" i="33"/>
  <c r="DM134" i="33"/>
  <c r="DT133" i="33"/>
  <c r="DS133" i="33"/>
  <c r="DR133" i="33"/>
  <c r="DQ133" i="33"/>
  <c r="DP133" i="33"/>
  <c r="DO133" i="33"/>
  <c r="DN133" i="33"/>
  <c r="DM133" i="33"/>
  <c r="DT132" i="33"/>
  <c r="DS132" i="33"/>
  <c r="DR132" i="33"/>
  <c r="DQ132" i="33"/>
  <c r="DP132" i="33"/>
  <c r="DO132" i="33"/>
  <c r="DN132" i="33"/>
  <c r="DM132" i="33"/>
  <c r="DT131" i="33"/>
  <c r="DS131" i="33"/>
  <c r="DR131" i="33"/>
  <c r="DQ131" i="33"/>
  <c r="DP131" i="33"/>
  <c r="DO131" i="33"/>
  <c r="DN131" i="33"/>
  <c r="DM131" i="33"/>
  <c r="DT130" i="33"/>
  <c r="DS130" i="33"/>
  <c r="DR130" i="33"/>
  <c r="DQ130" i="33"/>
  <c r="DP130" i="33"/>
  <c r="DO130" i="33"/>
  <c r="DN130" i="33"/>
  <c r="DM130" i="33"/>
  <c r="DT129" i="33"/>
  <c r="DS129" i="33"/>
  <c r="DR129" i="33"/>
  <c r="DQ129" i="33"/>
  <c r="DP129" i="33"/>
  <c r="DO129" i="33"/>
  <c r="DN129" i="33"/>
  <c r="DM129" i="33"/>
  <c r="DL128" i="33"/>
  <c r="DT128" i="33" s="1"/>
  <c r="DK128" i="33"/>
  <c r="DS128" i="33" s="1"/>
  <c r="DJ128" i="33"/>
  <c r="DR128" i="33" s="1"/>
  <c r="DI128" i="33"/>
  <c r="DQ128" i="33" s="1"/>
  <c r="DP128" i="33"/>
  <c r="DG128" i="33"/>
  <c r="DO128" i="33" s="1"/>
  <c r="DF128" i="33"/>
  <c r="DN128" i="33" s="1"/>
  <c r="DM128" i="33"/>
  <c r="BX192" i="33"/>
  <c r="BY192" i="33"/>
  <c r="BZ192" i="33"/>
  <c r="CA192" i="33"/>
  <c r="CB192" i="33"/>
  <c r="CC192" i="33"/>
  <c r="CD192" i="33"/>
  <c r="CE192" i="33"/>
  <c r="BX193" i="33"/>
  <c r="BY193" i="33"/>
  <c r="BZ193" i="33"/>
  <c r="CA193" i="33"/>
  <c r="CB193" i="33"/>
  <c r="CC193" i="33"/>
  <c r="CD193" i="33"/>
  <c r="CE193" i="33"/>
  <c r="BX194" i="33"/>
  <c r="BY194" i="33"/>
  <c r="BZ194" i="33"/>
  <c r="CA194" i="33"/>
  <c r="CB194" i="33"/>
  <c r="CC194" i="33"/>
  <c r="CD194" i="33"/>
  <c r="CE194" i="33"/>
  <c r="BX195" i="33"/>
  <c r="BY195" i="33"/>
  <c r="BZ195" i="33"/>
  <c r="CA195" i="33"/>
  <c r="CB195" i="33"/>
  <c r="CC195" i="33"/>
  <c r="CD195" i="33"/>
  <c r="CE195" i="33"/>
  <c r="BX196" i="33"/>
  <c r="BY196" i="33"/>
  <c r="BZ196" i="33"/>
  <c r="CA196" i="33"/>
  <c r="CB196" i="33"/>
  <c r="CC196" i="33"/>
  <c r="CD196" i="33"/>
  <c r="CE196" i="33"/>
  <c r="BX197" i="33"/>
  <c r="BY197" i="33"/>
  <c r="BZ197" i="33"/>
  <c r="CA197" i="33"/>
  <c r="CB197" i="33"/>
  <c r="CC197" i="33"/>
  <c r="CD197" i="33"/>
  <c r="CE197" i="33"/>
  <c r="BX181" i="33"/>
  <c r="BY181" i="33"/>
  <c r="BZ181" i="33"/>
  <c r="CA181" i="33"/>
  <c r="CB181" i="33"/>
  <c r="CC181" i="33"/>
  <c r="CD181" i="33"/>
  <c r="CE181" i="33"/>
  <c r="BX183" i="33"/>
  <c r="BY183" i="33"/>
  <c r="BZ183" i="33"/>
  <c r="CA183" i="33"/>
  <c r="CB183" i="33"/>
  <c r="CC183" i="33"/>
  <c r="CD183" i="33"/>
  <c r="CE183" i="33"/>
  <c r="BX184" i="33"/>
  <c r="BY184" i="33"/>
  <c r="BZ184" i="33"/>
  <c r="CA184" i="33"/>
  <c r="CB184" i="33"/>
  <c r="CC184" i="33"/>
  <c r="CD184" i="33"/>
  <c r="CE184" i="33"/>
  <c r="BX185" i="33"/>
  <c r="BY185" i="33"/>
  <c r="BZ185" i="33"/>
  <c r="CA185" i="33"/>
  <c r="CB185" i="33"/>
  <c r="CC185" i="33"/>
  <c r="CD185" i="33"/>
  <c r="CE185" i="33"/>
  <c r="BX186" i="33"/>
  <c r="BY186" i="33"/>
  <c r="BZ186" i="33"/>
  <c r="CA186" i="33"/>
  <c r="CB186" i="33"/>
  <c r="CC186" i="33"/>
  <c r="CD186" i="33"/>
  <c r="CE186" i="33"/>
  <c r="BX187" i="33"/>
  <c r="BY187" i="33"/>
  <c r="BZ187" i="33"/>
  <c r="CA187" i="33"/>
  <c r="CB187" i="33"/>
  <c r="CC187" i="33"/>
  <c r="CD187" i="33"/>
  <c r="CE187" i="33"/>
  <c r="BX188" i="33"/>
  <c r="BY188" i="33"/>
  <c r="BZ188" i="33"/>
  <c r="CA188" i="33"/>
  <c r="CB188" i="33"/>
  <c r="CC188" i="33"/>
  <c r="CD188" i="33"/>
  <c r="CE188" i="33"/>
  <c r="BX189" i="33"/>
  <c r="BY189" i="33"/>
  <c r="BZ189" i="33"/>
  <c r="CA189" i="33"/>
  <c r="CB189" i="33"/>
  <c r="CC189" i="33"/>
  <c r="CD189" i="33"/>
  <c r="CE189" i="33"/>
  <c r="BX190" i="33"/>
  <c r="BY190" i="33"/>
  <c r="BZ190" i="33"/>
  <c r="CA190" i="33"/>
  <c r="CB190" i="33"/>
  <c r="CC190" i="33"/>
  <c r="CD190" i="33"/>
  <c r="CE190" i="33"/>
  <c r="BX191" i="33"/>
  <c r="BY191" i="33"/>
  <c r="BZ191" i="33"/>
  <c r="CA191" i="33"/>
  <c r="CB191" i="33"/>
  <c r="CC191" i="33"/>
  <c r="CD191" i="33"/>
  <c r="CE191" i="33"/>
  <c r="BX152" i="33"/>
  <c r="BY152" i="33"/>
  <c r="BZ152" i="33"/>
  <c r="CA152" i="33"/>
  <c r="CB152" i="33"/>
  <c r="CC152" i="33"/>
  <c r="CD152" i="33"/>
  <c r="CE152" i="33"/>
  <c r="BX153" i="33"/>
  <c r="BY153" i="33"/>
  <c r="BZ153" i="33"/>
  <c r="CA153" i="33"/>
  <c r="CB153" i="33"/>
  <c r="CC153" i="33"/>
  <c r="CD153" i="33"/>
  <c r="CE153" i="33"/>
  <c r="BX154" i="33"/>
  <c r="BY154" i="33"/>
  <c r="BZ154" i="33"/>
  <c r="CA154" i="33"/>
  <c r="CB154" i="33"/>
  <c r="CC154" i="33"/>
  <c r="CD154" i="33"/>
  <c r="CE154" i="33"/>
  <c r="BX155" i="33"/>
  <c r="BY155" i="33"/>
  <c r="BZ155" i="33"/>
  <c r="CA155" i="33"/>
  <c r="CB155" i="33"/>
  <c r="CC155" i="33"/>
  <c r="CD155" i="33"/>
  <c r="CE155" i="33"/>
  <c r="BX156" i="33"/>
  <c r="BY156" i="33"/>
  <c r="BZ156" i="33"/>
  <c r="CA156" i="33"/>
  <c r="CB156" i="33"/>
  <c r="CC156" i="33"/>
  <c r="CD156" i="33"/>
  <c r="CE156" i="33"/>
  <c r="BX157" i="33"/>
  <c r="BY157" i="33"/>
  <c r="BZ157" i="33"/>
  <c r="CA157" i="33"/>
  <c r="CB157" i="33"/>
  <c r="CC157" i="33"/>
  <c r="CD157" i="33"/>
  <c r="CE157" i="33"/>
  <c r="BX158" i="33"/>
  <c r="BY158" i="33"/>
  <c r="BZ158" i="33"/>
  <c r="CA158" i="33"/>
  <c r="CB158" i="33"/>
  <c r="CC158" i="33"/>
  <c r="CD158" i="33"/>
  <c r="CE158" i="33"/>
  <c r="BX159" i="33"/>
  <c r="BY159" i="33"/>
  <c r="BZ159" i="33"/>
  <c r="CA159" i="33"/>
  <c r="CB159" i="33"/>
  <c r="CC159" i="33"/>
  <c r="CD159" i="33"/>
  <c r="CE159" i="33"/>
  <c r="BX160" i="33"/>
  <c r="BY160" i="33"/>
  <c r="BZ160" i="33"/>
  <c r="CA160" i="33"/>
  <c r="CB160" i="33"/>
  <c r="CC160" i="33"/>
  <c r="CD160" i="33"/>
  <c r="CE160" i="33"/>
  <c r="BX161" i="33"/>
  <c r="BY161" i="33"/>
  <c r="BZ161" i="33"/>
  <c r="CA161" i="33"/>
  <c r="CB161" i="33"/>
  <c r="CC161" i="33"/>
  <c r="CD161" i="33"/>
  <c r="CE161" i="33"/>
  <c r="BX162" i="33"/>
  <c r="BY162" i="33"/>
  <c r="BZ162" i="33"/>
  <c r="CA162" i="33"/>
  <c r="CB162" i="33"/>
  <c r="CC162" i="33"/>
  <c r="CD162" i="33"/>
  <c r="CE162" i="33"/>
  <c r="BX163" i="33"/>
  <c r="BY163" i="33"/>
  <c r="BZ163" i="33"/>
  <c r="CA163" i="33"/>
  <c r="CB163" i="33"/>
  <c r="CC163" i="33"/>
  <c r="CD163" i="33"/>
  <c r="CE163" i="33"/>
  <c r="BX164" i="33"/>
  <c r="BY164" i="33"/>
  <c r="BZ164" i="33"/>
  <c r="CA164" i="33"/>
  <c r="CB164" i="33"/>
  <c r="CC164" i="33"/>
  <c r="CD164" i="33"/>
  <c r="CE164" i="33"/>
  <c r="BX165" i="33"/>
  <c r="BY165" i="33"/>
  <c r="BZ165" i="33"/>
  <c r="CA165" i="33"/>
  <c r="CB165" i="33"/>
  <c r="CC165" i="33"/>
  <c r="CD165" i="33"/>
  <c r="CE165" i="33"/>
  <c r="BX166" i="33"/>
  <c r="BY166" i="33"/>
  <c r="BZ166" i="33"/>
  <c r="CA166" i="33"/>
  <c r="CB166" i="33"/>
  <c r="CC166" i="33"/>
  <c r="CD166" i="33"/>
  <c r="CE166" i="33"/>
  <c r="BX167" i="33"/>
  <c r="BY167" i="33"/>
  <c r="BZ167" i="33"/>
  <c r="CA167" i="33"/>
  <c r="CB167" i="33"/>
  <c r="CC167" i="33"/>
  <c r="CD167" i="33"/>
  <c r="CE167" i="33"/>
  <c r="BX168" i="33"/>
  <c r="BY168" i="33"/>
  <c r="BZ168" i="33"/>
  <c r="CA168" i="33"/>
  <c r="CB168" i="33"/>
  <c r="CC168" i="33"/>
  <c r="CD168" i="33"/>
  <c r="CE168" i="33"/>
  <c r="BX169" i="33"/>
  <c r="BY169" i="33"/>
  <c r="BZ169" i="33"/>
  <c r="CA169" i="33"/>
  <c r="CB169" i="33"/>
  <c r="CC169" i="33"/>
  <c r="CD169" i="33"/>
  <c r="CE169" i="33"/>
  <c r="BX170" i="33"/>
  <c r="BY170" i="33"/>
  <c r="BZ170" i="33"/>
  <c r="CA170" i="33"/>
  <c r="CB170" i="33"/>
  <c r="CC170" i="33"/>
  <c r="CD170" i="33"/>
  <c r="CE170" i="33"/>
  <c r="BX171" i="33"/>
  <c r="BY171" i="33"/>
  <c r="BZ171" i="33"/>
  <c r="CA171" i="33"/>
  <c r="CB171" i="33"/>
  <c r="CC171" i="33"/>
  <c r="CD171" i="33"/>
  <c r="CE171" i="33"/>
  <c r="BX172" i="33"/>
  <c r="BY172" i="33"/>
  <c r="BZ172" i="33"/>
  <c r="CA172" i="33"/>
  <c r="CB172" i="33"/>
  <c r="CC172" i="33"/>
  <c r="CD172" i="33"/>
  <c r="CE172" i="33"/>
  <c r="BX173" i="33"/>
  <c r="BY173" i="33"/>
  <c r="BZ173" i="33"/>
  <c r="CA173" i="33"/>
  <c r="CB173" i="33"/>
  <c r="CC173" i="33"/>
  <c r="CD173" i="33"/>
  <c r="CE173" i="33"/>
  <c r="BX174" i="33"/>
  <c r="BY174" i="33"/>
  <c r="BZ174" i="33"/>
  <c r="CA174" i="33"/>
  <c r="CB174" i="33"/>
  <c r="CC174" i="33"/>
  <c r="CD174" i="33"/>
  <c r="CE174" i="33"/>
  <c r="BX175" i="33"/>
  <c r="BY175" i="33"/>
  <c r="BZ175" i="33"/>
  <c r="CA175" i="33"/>
  <c r="CB175" i="33"/>
  <c r="CC175" i="33"/>
  <c r="CD175" i="33"/>
  <c r="CE175" i="33"/>
  <c r="BX176" i="33"/>
  <c r="BY176" i="33"/>
  <c r="BZ176" i="33"/>
  <c r="CA176" i="33"/>
  <c r="CB176" i="33"/>
  <c r="CC176" i="33"/>
  <c r="CD176" i="33"/>
  <c r="CE176" i="33"/>
  <c r="BX177" i="33"/>
  <c r="BY177" i="33"/>
  <c r="BZ177" i="33"/>
  <c r="CA177" i="33"/>
  <c r="CB177" i="33"/>
  <c r="CC177" i="33"/>
  <c r="CD177" i="33"/>
  <c r="CE177" i="33"/>
  <c r="BX178" i="33"/>
  <c r="BY178" i="33"/>
  <c r="BZ178" i="33"/>
  <c r="CA178" i="33"/>
  <c r="CB178" i="33"/>
  <c r="CC178" i="33"/>
  <c r="CD178" i="33"/>
  <c r="CE178" i="33"/>
  <c r="BX179" i="33"/>
  <c r="BY179" i="33"/>
  <c r="BZ179" i="33"/>
  <c r="CA179" i="33"/>
  <c r="CB179" i="33"/>
  <c r="CC179" i="33"/>
  <c r="CD179" i="33"/>
  <c r="CE179" i="33"/>
  <c r="BX180" i="33"/>
  <c r="BY180" i="33"/>
  <c r="BZ180" i="33"/>
  <c r="CA180" i="33"/>
  <c r="CB180" i="33"/>
  <c r="CC180" i="33"/>
  <c r="CD180" i="33"/>
  <c r="CE180" i="33"/>
  <c r="BX129" i="33"/>
  <c r="BY129" i="33"/>
  <c r="BZ129" i="33"/>
  <c r="CA129" i="33"/>
  <c r="CB129" i="33"/>
  <c r="CC129" i="33"/>
  <c r="CD129" i="33"/>
  <c r="CE129" i="33"/>
  <c r="BX130" i="33"/>
  <c r="BY130" i="33"/>
  <c r="BZ130" i="33"/>
  <c r="CA130" i="33"/>
  <c r="CB130" i="33"/>
  <c r="CC130" i="33"/>
  <c r="CD130" i="33"/>
  <c r="CE130" i="33"/>
  <c r="BX131" i="33"/>
  <c r="BY131" i="33"/>
  <c r="BZ131" i="33"/>
  <c r="CA131" i="33"/>
  <c r="CB131" i="33"/>
  <c r="CC131" i="33"/>
  <c r="CD131" i="33"/>
  <c r="CE131" i="33"/>
  <c r="BX132" i="33"/>
  <c r="BY132" i="33"/>
  <c r="BZ132" i="33"/>
  <c r="CA132" i="33"/>
  <c r="CB132" i="33"/>
  <c r="CC132" i="33"/>
  <c r="CD132" i="33"/>
  <c r="CE132" i="33"/>
  <c r="BX133" i="33"/>
  <c r="BY133" i="33"/>
  <c r="BZ133" i="33"/>
  <c r="CA133" i="33"/>
  <c r="CB133" i="33"/>
  <c r="CC133" i="33"/>
  <c r="CD133" i="33"/>
  <c r="CE133" i="33"/>
  <c r="BX134" i="33"/>
  <c r="BY134" i="33"/>
  <c r="BZ134" i="33"/>
  <c r="CA134" i="33"/>
  <c r="CB134" i="33"/>
  <c r="CC134" i="33"/>
  <c r="CD134" i="33"/>
  <c r="CE134" i="33"/>
  <c r="BX135" i="33"/>
  <c r="BY135" i="33"/>
  <c r="BZ135" i="33"/>
  <c r="CA135" i="33"/>
  <c r="CB135" i="33"/>
  <c r="CC135" i="33"/>
  <c r="CD135" i="33"/>
  <c r="CE135" i="33"/>
  <c r="BX136" i="33"/>
  <c r="BY136" i="33"/>
  <c r="BZ136" i="33"/>
  <c r="CA136" i="33"/>
  <c r="CB136" i="33"/>
  <c r="CC136" i="33"/>
  <c r="CD136" i="33"/>
  <c r="CE136" i="33"/>
  <c r="BX137" i="33"/>
  <c r="BY137" i="33"/>
  <c r="BZ137" i="33"/>
  <c r="CA137" i="33"/>
  <c r="CB137" i="33"/>
  <c r="CC137" i="33"/>
  <c r="CD137" i="33"/>
  <c r="CE137" i="33"/>
  <c r="BX138" i="33"/>
  <c r="BY138" i="33"/>
  <c r="BZ138" i="33"/>
  <c r="CA138" i="33"/>
  <c r="CB138" i="33"/>
  <c r="CC138" i="33"/>
  <c r="CD138" i="33"/>
  <c r="CE138" i="33"/>
  <c r="BX139" i="33"/>
  <c r="BY139" i="33"/>
  <c r="BZ139" i="33"/>
  <c r="CA139" i="33"/>
  <c r="CB139" i="33"/>
  <c r="CC139" i="33"/>
  <c r="CD139" i="33"/>
  <c r="CE139" i="33"/>
  <c r="BX140" i="33"/>
  <c r="BY140" i="33"/>
  <c r="BZ140" i="33"/>
  <c r="CA140" i="33"/>
  <c r="CB140" i="33"/>
  <c r="CC140" i="33"/>
  <c r="CD140" i="33"/>
  <c r="CE140" i="33"/>
  <c r="BX141" i="33"/>
  <c r="BY141" i="33"/>
  <c r="BZ141" i="33"/>
  <c r="CA141" i="33"/>
  <c r="CB141" i="33"/>
  <c r="CC141" i="33"/>
  <c r="CD141" i="33"/>
  <c r="CE141" i="33"/>
  <c r="BX142" i="33"/>
  <c r="BY142" i="33"/>
  <c r="BZ142" i="33"/>
  <c r="CA142" i="33"/>
  <c r="CB142" i="33"/>
  <c r="CC142" i="33"/>
  <c r="CD142" i="33"/>
  <c r="CE142" i="33"/>
  <c r="BX143" i="33"/>
  <c r="BY143" i="33"/>
  <c r="BZ143" i="33"/>
  <c r="CA143" i="33"/>
  <c r="CB143" i="33"/>
  <c r="CC143" i="33"/>
  <c r="CD143" i="33"/>
  <c r="CE143" i="33"/>
  <c r="BX144" i="33"/>
  <c r="BY144" i="33"/>
  <c r="BZ144" i="33"/>
  <c r="CA144" i="33"/>
  <c r="CB144" i="33"/>
  <c r="CC144" i="33"/>
  <c r="CD144" i="33"/>
  <c r="CE144" i="33"/>
  <c r="BX145" i="33"/>
  <c r="BY145" i="33"/>
  <c r="BZ145" i="33"/>
  <c r="CA145" i="33"/>
  <c r="CB145" i="33"/>
  <c r="CC145" i="33"/>
  <c r="CD145" i="33"/>
  <c r="CE145" i="33"/>
  <c r="BX146" i="33"/>
  <c r="BY146" i="33"/>
  <c r="BZ146" i="33"/>
  <c r="CA146" i="33"/>
  <c r="CB146" i="33"/>
  <c r="CC146" i="33"/>
  <c r="CD146" i="33"/>
  <c r="CE146" i="33"/>
  <c r="BX147" i="33"/>
  <c r="BY147" i="33"/>
  <c r="BZ147" i="33"/>
  <c r="CA147" i="33"/>
  <c r="CB147" i="33"/>
  <c r="CC147" i="33"/>
  <c r="CD147" i="33"/>
  <c r="CE147" i="33"/>
  <c r="BX148" i="33"/>
  <c r="BY148" i="33"/>
  <c r="BZ148" i="33"/>
  <c r="CA148" i="33"/>
  <c r="CB148" i="33"/>
  <c r="CC148" i="33"/>
  <c r="CD148" i="33"/>
  <c r="CE148" i="33"/>
  <c r="BX149" i="33"/>
  <c r="BY149" i="33"/>
  <c r="BZ149" i="33"/>
  <c r="CA149" i="33"/>
  <c r="CB149" i="33"/>
  <c r="CC149" i="33"/>
  <c r="CD149" i="33"/>
  <c r="CE149" i="33"/>
  <c r="BX150" i="33"/>
  <c r="BY150" i="33"/>
  <c r="BZ150" i="33"/>
  <c r="CA150" i="33"/>
  <c r="CB150" i="33"/>
  <c r="CC150" i="33"/>
  <c r="CD150" i="33"/>
  <c r="CE150" i="33"/>
  <c r="BX151" i="33"/>
  <c r="BY151" i="33"/>
  <c r="BZ151" i="33"/>
  <c r="CA151" i="33"/>
  <c r="CB151" i="33"/>
  <c r="CC151" i="33"/>
  <c r="CD151" i="33"/>
  <c r="CE151" i="33"/>
  <c r="BW128" i="33"/>
  <c r="CE128" i="33" s="1"/>
  <c r="BV128" i="33"/>
  <c r="CD128" i="33" s="1"/>
  <c r="BU128" i="33"/>
  <c r="CC128" i="33" s="1"/>
  <c r="BT128" i="33"/>
  <c r="CB128" i="33" s="1"/>
  <c r="CA128" i="33"/>
  <c r="BR128" i="33"/>
  <c r="BZ128" i="33" s="1"/>
  <c r="BQ128" i="33"/>
  <c r="BY128" i="33" s="1"/>
  <c r="BX128" i="33"/>
  <c r="BX124" i="33"/>
  <c r="DT13" i="33"/>
  <c r="DM14" i="33"/>
  <c r="DN14" i="33"/>
  <c r="DO14" i="33"/>
  <c r="DP14" i="33"/>
  <c r="DQ14" i="33"/>
  <c r="DR14" i="33"/>
  <c r="DS14" i="33"/>
  <c r="DT14" i="33"/>
  <c r="DM15" i="33"/>
  <c r="DN15" i="33"/>
  <c r="DO15" i="33"/>
  <c r="DP15" i="33"/>
  <c r="DQ15" i="33"/>
  <c r="DR15" i="33"/>
  <c r="DS15" i="33"/>
  <c r="DT15" i="33"/>
  <c r="DM16" i="33"/>
  <c r="DN16" i="33"/>
  <c r="DO16" i="33"/>
  <c r="DP16" i="33"/>
  <c r="DQ16" i="33"/>
  <c r="DR16" i="33"/>
  <c r="DS16" i="33"/>
  <c r="DT16" i="33"/>
  <c r="DM17" i="33"/>
  <c r="DN17" i="33"/>
  <c r="DO17" i="33"/>
  <c r="DP17" i="33"/>
  <c r="DQ17" i="33"/>
  <c r="DR17" i="33"/>
  <c r="DS17" i="33"/>
  <c r="DT17" i="33"/>
  <c r="DM18" i="33"/>
  <c r="DN18" i="33"/>
  <c r="DO18" i="33"/>
  <c r="DP18" i="33"/>
  <c r="DQ18" i="33"/>
  <c r="DR18" i="33"/>
  <c r="DS18" i="33"/>
  <c r="DT18" i="33"/>
  <c r="DM19" i="33"/>
  <c r="DN19" i="33"/>
  <c r="DO19" i="33"/>
  <c r="DP19" i="33"/>
  <c r="DQ19" i="33"/>
  <c r="DR19" i="33"/>
  <c r="DS19" i="33"/>
  <c r="DT19" i="33"/>
  <c r="DM20" i="33"/>
  <c r="DN20" i="33"/>
  <c r="DO20" i="33"/>
  <c r="DP20" i="33"/>
  <c r="DQ20" i="33"/>
  <c r="DR20" i="33"/>
  <c r="DS20" i="33"/>
  <c r="DT20" i="33"/>
  <c r="DM21" i="33"/>
  <c r="DN21" i="33"/>
  <c r="DO21" i="33"/>
  <c r="DP21" i="33"/>
  <c r="DQ21" i="33"/>
  <c r="DR21" i="33"/>
  <c r="DS21" i="33"/>
  <c r="DT21" i="33"/>
  <c r="DM22" i="33"/>
  <c r="DN22" i="33"/>
  <c r="DO22" i="33"/>
  <c r="DP22" i="33"/>
  <c r="DQ22" i="33"/>
  <c r="DR22" i="33"/>
  <c r="DS22" i="33"/>
  <c r="DT22" i="33"/>
  <c r="DM23" i="33"/>
  <c r="DN23" i="33"/>
  <c r="DO23" i="33"/>
  <c r="DP23" i="33"/>
  <c r="DQ23" i="33"/>
  <c r="DR23" i="33"/>
  <c r="DS23" i="33"/>
  <c r="DT23" i="33"/>
  <c r="DM24" i="33"/>
  <c r="DN24" i="33"/>
  <c r="DO24" i="33"/>
  <c r="DP24" i="33"/>
  <c r="DQ24" i="33"/>
  <c r="DR24" i="33"/>
  <c r="DS24" i="33"/>
  <c r="DT24" i="33"/>
  <c r="DM25" i="33"/>
  <c r="DN25" i="33"/>
  <c r="DO25" i="33"/>
  <c r="DP25" i="33"/>
  <c r="DQ25" i="33"/>
  <c r="DR25" i="33"/>
  <c r="DS25" i="33"/>
  <c r="DT25" i="33"/>
  <c r="DM26" i="33"/>
  <c r="DN26" i="33"/>
  <c r="DO26" i="33"/>
  <c r="DP26" i="33"/>
  <c r="DQ26" i="33"/>
  <c r="DR26" i="33"/>
  <c r="DS26" i="33"/>
  <c r="DT26" i="33"/>
  <c r="DM27" i="33"/>
  <c r="DN27" i="33"/>
  <c r="DO27" i="33"/>
  <c r="DP27" i="33"/>
  <c r="DQ27" i="33"/>
  <c r="DR27" i="33"/>
  <c r="DS27" i="33"/>
  <c r="DT27" i="33"/>
  <c r="DM28" i="33"/>
  <c r="DN28" i="33"/>
  <c r="DO28" i="33"/>
  <c r="DP28" i="33"/>
  <c r="DQ28" i="33"/>
  <c r="DR28" i="33"/>
  <c r="DS28" i="33"/>
  <c r="DT28" i="33"/>
  <c r="DM29" i="33"/>
  <c r="DN29" i="33"/>
  <c r="DO29" i="33"/>
  <c r="DP29" i="33"/>
  <c r="DQ29" i="33"/>
  <c r="DR29" i="33"/>
  <c r="DS29" i="33"/>
  <c r="DT29" i="33"/>
  <c r="DM30" i="33"/>
  <c r="DN30" i="33"/>
  <c r="DO30" i="33"/>
  <c r="DP30" i="33"/>
  <c r="DQ30" i="33"/>
  <c r="DR30" i="33"/>
  <c r="DS30" i="33"/>
  <c r="DT30" i="33"/>
  <c r="DM31" i="33"/>
  <c r="DN31" i="33"/>
  <c r="DO31" i="33"/>
  <c r="DP31" i="33"/>
  <c r="DQ31" i="33"/>
  <c r="DR31" i="33"/>
  <c r="DS31" i="33"/>
  <c r="DT31" i="33"/>
  <c r="DM33" i="33"/>
  <c r="DN33" i="33"/>
  <c r="DO33" i="33"/>
  <c r="DP33" i="33"/>
  <c r="DQ33" i="33"/>
  <c r="DR33" i="33"/>
  <c r="DS33" i="33"/>
  <c r="DT33" i="33"/>
  <c r="DM34" i="33"/>
  <c r="DN34" i="33"/>
  <c r="DO34" i="33"/>
  <c r="DP34" i="33"/>
  <c r="DQ34" i="33"/>
  <c r="DR34" i="33"/>
  <c r="DS34" i="33"/>
  <c r="DT34" i="33"/>
  <c r="DM35" i="33"/>
  <c r="DN35" i="33"/>
  <c r="DO35" i="33"/>
  <c r="DP35" i="33"/>
  <c r="DQ35" i="33"/>
  <c r="DR35" i="33"/>
  <c r="DS35" i="33"/>
  <c r="DT35" i="33"/>
  <c r="DM36" i="33"/>
  <c r="DN36" i="33"/>
  <c r="DO36" i="33"/>
  <c r="DP36" i="33"/>
  <c r="DQ36" i="33"/>
  <c r="DR36" i="33"/>
  <c r="DS36" i="33"/>
  <c r="DT36" i="33"/>
  <c r="DM37" i="33"/>
  <c r="DN37" i="33"/>
  <c r="DO37" i="33"/>
  <c r="DP37" i="33"/>
  <c r="DQ37" i="33"/>
  <c r="DR37" i="33"/>
  <c r="DS37" i="33"/>
  <c r="DT37" i="33"/>
  <c r="DM38" i="33"/>
  <c r="DN38" i="33"/>
  <c r="DO38" i="33"/>
  <c r="DP38" i="33"/>
  <c r="DQ38" i="33"/>
  <c r="DR38" i="33"/>
  <c r="DS38" i="33"/>
  <c r="DT38" i="33"/>
  <c r="DM39" i="33"/>
  <c r="DN39" i="33"/>
  <c r="DO39" i="33"/>
  <c r="DP39" i="33"/>
  <c r="DQ39" i="33"/>
  <c r="DR39" i="33"/>
  <c r="DS39" i="33"/>
  <c r="DT39" i="33"/>
  <c r="DM40" i="33"/>
  <c r="DN40" i="33"/>
  <c r="DO40" i="33"/>
  <c r="DP40" i="33"/>
  <c r="DQ40" i="33"/>
  <c r="DR40" i="33"/>
  <c r="DS40" i="33"/>
  <c r="DT40" i="33"/>
  <c r="DM41" i="33"/>
  <c r="DN41" i="33"/>
  <c r="DO41" i="33"/>
  <c r="DP41" i="33"/>
  <c r="DQ41" i="33"/>
  <c r="DR41" i="33"/>
  <c r="DS41" i="33"/>
  <c r="DT41" i="33"/>
  <c r="DM42" i="33"/>
  <c r="DN42" i="33"/>
  <c r="DO42" i="33"/>
  <c r="DP42" i="33"/>
  <c r="DQ42" i="33"/>
  <c r="DR42" i="33"/>
  <c r="DS42" i="33"/>
  <c r="DT42" i="33"/>
  <c r="DM43" i="33"/>
  <c r="DN43" i="33"/>
  <c r="DO43" i="33"/>
  <c r="DP43" i="33"/>
  <c r="DQ43" i="33"/>
  <c r="DR43" i="33"/>
  <c r="DS43" i="33"/>
  <c r="DT43" i="33"/>
  <c r="DM44" i="33"/>
  <c r="DN44" i="33"/>
  <c r="DO44" i="33"/>
  <c r="DP44" i="33"/>
  <c r="DQ44" i="33"/>
  <c r="DR44" i="33"/>
  <c r="DS44" i="33"/>
  <c r="DT44" i="33"/>
  <c r="DM45" i="33"/>
  <c r="DN45" i="33"/>
  <c r="DO45" i="33"/>
  <c r="DP45" i="33"/>
  <c r="DQ45" i="33"/>
  <c r="DR45" i="33"/>
  <c r="DS45" i="33"/>
  <c r="DT45" i="33"/>
  <c r="DM46" i="33"/>
  <c r="DN46" i="33"/>
  <c r="DO46" i="33"/>
  <c r="DP46" i="33"/>
  <c r="DQ46" i="33"/>
  <c r="DR46" i="33"/>
  <c r="DS46" i="33"/>
  <c r="DT46" i="33"/>
  <c r="DM47" i="33"/>
  <c r="DN47" i="33"/>
  <c r="DO47" i="33"/>
  <c r="DP47" i="33"/>
  <c r="DQ47" i="33"/>
  <c r="DR47" i="33"/>
  <c r="DS47" i="33"/>
  <c r="DT47" i="33"/>
  <c r="DM48" i="33"/>
  <c r="DN48" i="33"/>
  <c r="DO48" i="33"/>
  <c r="DP48" i="33"/>
  <c r="DQ48" i="33"/>
  <c r="DR48" i="33"/>
  <c r="DS48" i="33"/>
  <c r="DT48" i="33"/>
  <c r="DM49" i="33"/>
  <c r="DN49" i="33"/>
  <c r="DO49" i="33"/>
  <c r="DP49" i="33"/>
  <c r="DQ49" i="33"/>
  <c r="DR49" i="33"/>
  <c r="DS49" i="33"/>
  <c r="DT49" i="33"/>
  <c r="DM50" i="33"/>
  <c r="DN50" i="33"/>
  <c r="DO50" i="33"/>
  <c r="DP50" i="33"/>
  <c r="DQ50" i="33"/>
  <c r="DR50" i="33"/>
  <c r="DS50" i="33"/>
  <c r="DT50" i="33"/>
  <c r="DM51" i="33"/>
  <c r="DN51" i="33"/>
  <c r="DO51" i="33"/>
  <c r="DP51" i="33"/>
  <c r="DQ51" i="33"/>
  <c r="DR51" i="33"/>
  <c r="DS51" i="33"/>
  <c r="DT51" i="33"/>
  <c r="DM52" i="33"/>
  <c r="DN52" i="33"/>
  <c r="DO52" i="33"/>
  <c r="DP52" i="33"/>
  <c r="DQ52" i="33"/>
  <c r="DR52" i="33"/>
  <c r="DS52" i="33"/>
  <c r="DT52" i="33"/>
  <c r="DM53" i="33"/>
  <c r="DN53" i="33"/>
  <c r="DO53" i="33"/>
  <c r="DP53" i="33"/>
  <c r="DQ53" i="33"/>
  <c r="DR53" i="33"/>
  <c r="DS53" i="33"/>
  <c r="DT53" i="33"/>
  <c r="DM54" i="33"/>
  <c r="DN54" i="33"/>
  <c r="DO54" i="33"/>
  <c r="DP54" i="33"/>
  <c r="DQ54" i="33"/>
  <c r="DR54" i="33"/>
  <c r="DS54" i="33"/>
  <c r="DT54" i="33"/>
  <c r="DM55" i="33"/>
  <c r="DN55" i="33"/>
  <c r="DO55" i="33"/>
  <c r="DP55" i="33"/>
  <c r="DQ55" i="33"/>
  <c r="DR55" i="33"/>
  <c r="DS55" i="33"/>
  <c r="DT55" i="33"/>
  <c r="DM56" i="33"/>
  <c r="DN56" i="33"/>
  <c r="DO56" i="33"/>
  <c r="DP56" i="33"/>
  <c r="DQ56" i="33"/>
  <c r="DR56" i="33"/>
  <c r="DS56" i="33"/>
  <c r="DT56" i="33"/>
  <c r="DM57" i="33"/>
  <c r="DN57" i="33"/>
  <c r="DO57" i="33"/>
  <c r="DP57" i="33"/>
  <c r="DQ57" i="33"/>
  <c r="DR57" i="33"/>
  <c r="DS57" i="33"/>
  <c r="DT57" i="33"/>
  <c r="DM58" i="33"/>
  <c r="DN58" i="33"/>
  <c r="DO58" i="33"/>
  <c r="DP58" i="33"/>
  <c r="DQ58" i="33"/>
  <c r="DR58" i="33"/>
  <c r="DS58" i="33"/>
  <c r="DT58" i="33"/>
  <c r="DM59" i="33"/>
  <c r="DN59" i="33"/>
  <c r="DO59" i="33"/>
  <c r="DP59" i="33"/>
  <c r="DQ59" i="33"/>
  <c r="DR59" i="33"/>
  <c r="DS59" i="33"/>
  <c r="DT59" i="33"/>
  <c r="DM60" i="33"/>
  <c r="DN60" i="33"/>
  <c r="DO60" i="33"/>
  <c r="DP60" i="33"/>
  <c r="DQ60" i="33"/>
  <c r="DR60" i="33"/>
  <c r="DS60" i="33"/>
  <c r="DT60" i="33"/>
  <c r="DM61" i="33"/>
  <c r="DN61" i="33"/>
  <c r="DO61" i="33"/>
  <c r="DP61" i="33"/>
  <c r="DQ61" i="33"/>
  <c r="DR61" i="33"/>
  <c r="DS61" i="33"/>
  <c r="DT61" i="33"/>
  <c r="DM62" i="33"/>
  <c r="DN62" i="33"/>
  <c r="DO62" i="33"/>
  <c r="DP62" i="33"/>
  <c r="DQ62" i="33"/>
  <c r="DR62" i="33"/>
  <c r="DS62" i="33"/>
  <c r="DT62" i="33"/>
  <c r="DM63" i="33"/>
  <c r="DN63" i="33"/>
  <c r="DO63" i="33"/>
  <c r="DP63" i="33"/>
  <c r="DQ63" i="33"/>
  <c r="DR63" i="33"/>
  <c r="DS63" i="33"/>
  <c r="DT63" i="33"/>
  <c r="DM64" i="33"/>
  <c r="DO64" i="33"/>
  <c r="DP64" i="33"/>
  <c r="DQ64" i="33"/>
  <c r="DR64" i="33"/>
  <c r="DS64" i="33"/>
  <c r="DT64" i="33"/>
  <c r="DM65" i="33"/>
  <c r="DN65" i="33"/>
  <c r="DO65" i="33"/>
  <c r="DP65" i="33"/>
  <c r="DQ65" i="33"/>
  <c r="DR65" i="33"/>
  <c r="DS65" i="33"/>
  <c r="DT65" i="33"/>
  <c r="DM66" i="33"/>
  <c r="DN66" i="33"/>
  <c r="DO66" i="33"/>
  <c r="DP66" i="33"/>
  <c r="DQ66" i="33"/>
  <c r="DR66" i="33"/>
  <c r="DS66" i="33"/>
  <c r="DT66" i="33"/>
  <c r="DM67" i="33"/>
  <c r="DN67" i="33"/>
  <c r="DO67" i="33"/>
  <c r="DP67" i="33"/>
  <c r="DQ67" i="33"/>
  <c r="DR67" i="33"/>
  <c r="DS67" i="33"/>
  <c r="DT67" i="33"/>
  <c r="DU70" i="33"/>
  <c r="BX13" i="33"/>
  <c r="BQ13" i="33"/>
  <c r="BY13" i="33" s="1"/>
  <c r="BR13" i="33"/>
  <c r="BZ13" i="33" s="1"/>
  <c r="CA13" i="33"/>
  <c r="BT13" i="33"/>
  <c r="CB13" i="33" s="1"/>
  <c r="BU13" i="33"/>
  <c r="CC13" i="33" s="1"/>
  <c r="BV13" i="33"/>
  <c r="CD13" i="33" s="1"/>
  <c r="BW13" i="33"/>
  <c r="CE13" i="33" s="1"/>
  <c r="BX14" i="33"/>
  <c r="BY14" i="33"/>
  <c r="BZ14" i="33"/>
  <c r="CA14" i="33"/>
  <c r="CB14" i="33"/>
  <c r="CC14" i="33"/>
  <c r="CD14" i="33"/>
  <c r="CE14" i="33"/>
  <c r="BX15" i="33"/>
  <c r="BY15" i="33"/>
  <c r="BZ15" i="33"/>
  <c r="CA15" i="33"/>
  <c r="CB15" i="33"/>
  <c r="CC15" i="33"/>
  <c r="CD15" i="33"/>
  <c r="CE15" i="33"/>
  <c r="BX16" i="33"/>
  <c r="BY16" i="33"/>
  <c r="BZ16" i="33"/>
  <c r="CA16" i="33"/>
  <c r="CB16" i="33"/>
  <c r="CC16" i="33"/>
  <c r="CD16" i="33"/>
  <c r="CE16" i="33"/>
  <c r="BX17" i="33"/>
  <c r="BY17" i="33"/>
  <c r="BZ17" i="33"/>
  <c r="CA17" i="33"/>
  <c r="CB17" i="33"/>
  <c r="CC17" i="33"/>
  <c r="CD17" i="33"/>
  <c r="CE17" i="33"/>
  <c r="BX18" i="33"/>
  <c r="BY18" i="33"/>
  <c r="BZ18" i="33"/>
  <c r="CA18" i="33"/>
  <c r="CB18" i="33"/>
  <c r="CC18" i="33"/>
  <c r="CD18" i="33"/>
  <c r="CE18" i="33"/>
  <c r="BX19" i="33"/>
  <c r="BY19" i="33"/>
  <c r="BZ19" i="33"/>
  <c r="CA19" i="33"/>
  <c r="CB19" i="33"/>
  <c r="CC19" i="33"/>
  <c r="CD19" i="33"/>
  <c r="CE19" i="33"/>
  <c r="BX20" i="33"/>
  <c r="BY20" i="33"/>
  <c r="BZ20" i="33"/>
  <c r="CA20" i="33"/>
  <c r="CB20" i="33"/>
  <c r="CC20" i="33"/>
  <c r="CD20" i="33"/>
  <c r="CE20" i="33"/>
  <c r="BX21" i="33"/>
  <c r="BY21" i="33"/>
  <c r="BZ21" i="33"/>
  <c r="CA21" i="33"/>
  <c r="CB21" i="33"/>
  <c r="CC21" i="33"/>
  <c r="CD21" i="33"/>
  <c r="CE21" i="33"/>
  <c r="BX22" i="33"/>
  <c r="BY22" i="33"/>
  <c r="BZ22" i="33"/>
  <c r="CA22" i="33"/>
  <c r="CB22" i="33"/>
  <c r="CC22" i="33"/>
  <c r="CD22" i="33"/>
  <c r="CE22" i="33"/>
  <c r="BX23" i="33"/>
  <c r="BY23" i="33"/>
  <c r="BZ23" i="33"/>
  <c r="CA23" i="33"/>
  <c r="CB23" i="33"/>
  <c r="CC23" i="33"/>
  <c r="CD23" i="33"/>
  <c r="CE23" i="33"/>
  <c r="BX24" i="33"/>
  <c r="BY24" i="33"/>
  <c r="BZ24" i="33"/>
  <c r="CA24" i="33"/>
  <c r="CB24" i="33"/>
  <c r="CC24" i="33"/>
  <c r="CD24" i="33"/>
  <c r="CE24" i="33"/>
  <c r="BX25" i="33"/>
  <c r="BY25" i="33"/>
  <c r="BZ25" i="33"/>
  <c r="CA25" i="33"/>
  <c r="CB25" i="33"/>
  <c r="CC25" i="33"/>
  <c r="CD25" i="33"/>
  <c r="CE25" i="33"/>
  <c r="BX26" i="33"/>
  <c r="BY26" i="33"/>
  <c r="BZ26" i="33"/>
  <c r="CA26" i="33"/>
  <c r="CB26" i="33"/>
  <c r="CC26" i="33"/>
  <c r="CD26" i="33"/>
  <c r="CE26" i="33"/>
  <c r="BX27" i="33"/>
  <c r="BY27" i="33"/>
  <c r="BZ27" i="33"/>
  <c r="CA27" i="33"/>
  <c r="CB27" i="33"/>
  <c r="CC27" i="33"/>
  <c r="CD27" i="33"/>
  <c r="CE27" i="33"/>
  <c r="BX28" i="33"/>
  <c r="BY28" i="33"/>
  <c r="BZ28" i="33"/>
  <c r="CA28" i="33"/>
  <c r="CB28" i="33"/>
  <c r="CC28" i="33"/>
  <c r="CD28" i="33"/>
  <c r="CE28" i="33"/>
  <c r="BX29" i="33"/>
  <c r="BY29" i="33"/>
  <c r="BZ29" i="33"/>
  <c r="CA29" i="33"/>
  <c r="CB29" i="33"/>
  <c r="CC29" i="33"/>
  <c r="CD29" i="33"/>
  <c r="CE29" i="33"/>
  <c r="BX30" i="33"/>
  <c r="BY30" i="33"/>
  <c r="BZ30" i="33"/>
  <c r="CA30" i="33"/>
  <c r="CB30" i="33"/>
  <c r="CC30" i="33"/>
  <c r="CD30" i="33"/>
  <c r="CE30" i="33"/>
  <c r="BX31" i="33"/>
  <c r="BY31" i="33"/>
  <c r="BZ31" i="33"/>
  <c r="CA31" i="33"/>
  <c r="CB31" i="33"/>
  <c r="CC31" i="33"/>
  <c r="CD31" i="33"/>
  <c r="CE31" i="33"/>
  <c r="BX33" i="33"/>
  <c r="BY33" i="33"/>
  <c r="BZ33" i="33"/>
  <c r="CA33" i="33"/>
  <c r="CB33" i="33"/>
  <c r="CC33" i="33"/>
  <c r="CD33" i="33"/>
  <c r="CE33" i="33"/>
  <c r="BX34" i="33"/>
  <c r="BY34" i="33"/>
  <c r="BZ34" i="33"/>
  <c r="CA34" i="33"/>
  <c r="CB34" i="33"/>
  <c r="CC34" i="33"/>
  <c r="CD34" i="33"/>
  <c r="CE34" i="33"/>
  <c r="BX35" i="33"/>
  <c r="BY35" i="33"/>
  <c r="BZ35" i="33"/>
  <c r="CA35" i="33"/>
  <c r="CB35" i="33"/>
  <c r="CC35" i="33"/>
  <c r="CD35" i="33"/>
  <c r="CE35" i="33"/>
  <c r="BX36" i="33"/>
  <c r="BY36" i="33"/>
  <c r="BZ36" i="33"/>
  <c r="CA36" i="33"/>
  <c r="CB36" i="33"/>
  <c r="CC36" i="33"/>
  <c r="CD36" i="33"/>
  <c r="CE36" i="33"/>
  <c r="BX37" i="33"/>
  <c r="BY37" i="33"/>
  <c r="BZ37" i="33"/>
  <c r="CA37" i="33"/>
  <c r="CB37" i="33"/>
  <c r="CC37" i="33"/>
  <c r="CD37" i="33"/>
  <c r="CE37" i="33"/>
  <c r="BX38" i="33"/>
  <c r="BY38" i="33"/>
  <c r="BZ38" i="33"/>
  <c r="CA38" i="33"/>
  <c r="CB38" i="33"/>
  <c r="CC38" i="33"/>
  <c r="CD38" i="33"/>
  <c r="CE38" i="33"/>
  <c r="BX39" i="33"/>
  <c r="BY39" i="33"/>
  <c r="BZ39" i="33"/>
  <c r="CA39" i="33"/>
  <c r="CB39" i="33"/>
  <c r="CC39" i="33"/>
  <c r="CD39" i="33"/>
  <c r="CE39" i="33"/>
  <c r="BX40" i="33"/>
  <c r="BY40" i="33"/>
  <c r="BZ40" i="33"/>
  <c r="CA40" i="33"/>
  <c r="CB40" i="33"/>
  <c r="CC40" i="33"/>
  <c r="CD40" i="33"/>
  <c r="CE40" i="33"/>
  <c r="BX41" i="33"/>
  <c r="BY41" i="33"/>
  <c r="BZ41" i="33"/>
  <c r="CA41" i="33"/>
  <c r="CB41" i="33"/>
  <c r="CC41" i="33"/>
  <c r="CD41" i="33"/>
  <c r="CE41" i="33"/>
  <c r="BX42" i="33"/>
  <c r="BY42" i="33"/>
  <c r="BZ42" i="33"/>
  <c r="CA42" i="33"/>
  <c r="CB42" i="33"/>
  <c r="CC42" i="33"/>
  <c r="CD42" i="33"/>
  <c r="CE42" i="33"/>
  <c r="BX43" i="33"/>
  <c r="BY43" i="33"/>
  <c r="BZ43" i="33"/>
  <c r="CA43" i="33"/>
  <c r="CB43" i="33"/>
  <c r="CC43" i="33"/>
  <c r="CD43" i="33"/>
  <c r="CE43" i="33"/>
  <c r="BX44" i="33"/>
  <c r="BY44" i="33"/>
  <c r="BZ44" i="33"/>
  <c r="CA44" i="33"/>
  <c r="CB44" i="33"/>
  <c r="CC44" i="33"/>
  <c r="CD44" i="33"/>
  <c r="CE44" i="33"/>
  <c r="BX45" i="33"/>
  <c r="BY45" i="33"/>
  <c r="BZ45" i="33"/>
  <c r="CA45" i="33"/>
  <c r="CB45" i="33"/>
  <c r="CC45" i="33"/>
  <c r="CD45" i="33"/>
  <c r="CE45" i="33"/>
  <c r="BX46" i="33"/>
  <c r="BY46" i="33"/>
  <c r="BZ46" i="33"/>
  <c r="CA46" i="33"/>
  <c r="CB46" i="33"/>
  <c r="CC46" i="33"/>
  <c r="CD46" i="33"/>
  <c r="CE46" i="33"/>
  <c r="BX47" i="33"/>
  <c r="BY47" i="33"/>
  <c r="BZ47" i="33"/>
  <c r="CA47" i="33"/>
  <c r="CB47" i="33"/>
  <c r="CC47" i="33"/>
  <c r="CD47" i="33"/>
  <c r="CE47" i="33"/>
  <c r="BX48" i="33"/>
  <c r="BY48" i="33"/>
  <c r="BZ48" i="33"/>
  <c r="CA48" i="33"/>
  <c r="CB48" i="33"/>
  <c r="CC48" i="33"/>
  <c r="CD48" i="33"/>
  <c r="CE48" i="33"/>
  <c r="BX49" i="33"/>
  <c r="BY49" i="33"/>
  <c r="BZ49" i="33"/>
  <c r="CA49" i="33"/>
  <c r="CB49" i="33"/>
  <c r="CC49" i="33"/>
  <c r="CD49" i="33"/>
  <c r="CE49" i="33"/>
  <c r="BX50" i="33"/>
  <c r="BY50" i="33"/>
  <c r="BZ50" i="33"/>
  <c r="CA50" i="33"/>
  <c r="CB50" i="33"/>
  <c r="CC50" i="33"/>
  <c r="CD50" i="33"/>
  <c r="CE50" i="33"/>
  <c r="BX51" i="33"/>
  <c r="BY51" i="33"/>
  <c r="BZ51" i="33"/>
  <c r="CA51" i="33"/>
  <c r="CB51" i="33"/>
  <c r="CC51" i="33"/>
  <c r="CD51" i="33"/>
  <c r="CE51" i="33"/>
  <c r="BX52" i="33"/>
  <c r="BY52" i="33"/>
  <c r="BZ52" i="33"/>
  <c r="CA52" i="33"/>
  <c r="CB52" i="33"/>
  <c r="CC52" i="33"/>
  <c r="CD52" i="33"/>
  <c r="CE52" i="33"/>
  <c r="BX53" i="33"/>
  <c r="BY53" i="33"/>
  <c r="BZ53" i="33"/>
  <c r="CA53" i="33"/>
  <c r="CB53" i="33"/>
  <c r="CC53" i="33"/>
  <c r="CD53" i="33"/>
  <c r="CE53" i="33"/>
  <c r="BX54" i="33"/>
  <c r="BY54" i="33"/>
  <c r="BZ54" i="33"/>
  <c r="CA54" i="33"/>
  <c r="CB54" i="33"/>
  <c r="CC54" i="33"/>
  <c r="CD54" i="33"/>
  <c r="CE54" i="33"/>
  <c r="BX55" i="33"/>
  <c r="BY55" i="33"/>
  <c r="BZ55" i="33"/>
  <c r="CA55" i="33"/>
  <c r="CB55" i="33"/>
  <c r="CC55" i="33"/>
  <c r="CD55" i="33"/>
  <c r="CE55" i="33"/>
  <c r="BX56" i="33"/>
  <c r="BY56" i="33"/>
  <c r="BZ56" i="33"/>
  <c r="CA56" i="33"/>
  <c r="CB56" i="33"/>
  <c r="CC56" i="33"/>
  <c r="CD56" i="33"/>
  <c r="CE56" i="33"/>
  <c r="BX57" i="33"/>
  <c r="BY57" i="33"/>
  <c r="BZ57" i="33"/>
  <c r="CA57" i="33"/>
  <c r="CB57" i="33"/>
  <c r="CC57" i="33"/>
  <c r="CD57" i="33"/>
  <c r="CE57" i="33"/>
  <c r="BX58" i="33"/>
  <c r="BY58" i="33"/>
  <c r="BZ58" i="33"/>
  <c r="CA58" i="33"/>
  <c r="CB58" i="33"/>
  <c r="CC58" i="33"/>
  <c r="CD58" i="33"/>
  <c r="CE58" i="33"/>
  <c r="BX59" i="33"/>
  <c r="BY59" i="33"/>
  <c r="BZ59" i="33"/>
  <c r="CA59" i="33"/>
  <c r="CB59" i="33"/>
  <c r="CC59" i="33"/>
  <c r="CD59" i="33"/>
  <c r="CE59" i="33"/>
  <c r="BX60" i="33"/>
  <c r="BY60" i="33"/>
  <c r="BZ60" i="33"/>
  <c r="CA60" i="33"/>
  <c r="CB60" i="33"/>
  <c r="CC60" i="33"/>
  <c r="CD60" i="33"/>
  <c r="CE60" i="33"/>
  <c r="BX61" i="33"/>
  <c r="BY61" i="33"/>
  <c r="BZ61" i="33"/>
  <c r="CA61" i="33"/>
  <c r="CB61" i="33"/>
  <c r="CC61" i="33"/>
  <c r="CD61" i="33"/>
  <c r="CE61" i="33"/>
  <c r="BX62" i="33"/>
  <c r="BY62" i="33"/>
  <c r="BZ62" i="33"/>
  <c r="CA62" i="33"/>
  <c r="CB62" i="33"/>
  <c r="CC62" i="33"/>
  <c r="CD62" i="33"/>
  <c r="CE62" i="33"/>
  <c r="BX63" i="33"/>
  <c r="BY63" i="33"/>
  <c r="BZ63" i="33"/>
  <c r="CA63" i="33"/>
  <c r="CB63" i="33"/>
  <c r="CC63" i="33"/>
  <c r="CD63" i="33"/>
  <c r="CE63" i="33"/>
  <c r="BX64" i="33"/>
  <c r="BY64" i="33"/>
  <c r="BZ64" i="33"/>
  <c r="CA64" i="33"/>
  <c r="CB64" i="33"/>
  <c r="CC64" i="33"/>
  <c r="CD64" i="33"/>
  <c r="CE64" i="33"/>
  <c r="BX65" i="33"/>
  <c r="BY65" i="33"/>
  <c r="BZ65" i="33"/>
  <c r="CA65" i="33"/>
  <c r="CB65" i="33"/>
  <c r="CC65" i="33"/>
  <c r="CD65" i="33"/>
  <c r="CE65" i="33"/>
  <c r="BX66" i="33"/>
  <c r="BY66" i="33"/>
  <c r="BZ66" i="33"/>
  <c r="CA66" i="33"/>
  <c r="CB66" i="33"/>
  <c r="CC66" i="33"/>
  <c r="CD66" i="33"/>
  <c r="CE66" i="33"/>
  <c r="CE67" i="33"/>
  <c r="CD67" i="33"/>
  <c r="CC67" i="33"/>
  <c r="CB67" i="33"/>
  <c r="CA67" i="33"/>
  <c r="BZ67" i="33"/>
  <c r="BY67" i="33"/>
  <c r="BX67" i="33"/>
  <c r="DM70" i="33"/>
  <c r="DF70" i="33"/>
  <c r="DN70" i="33" s="1"/>
  <c r="DG70" i="33"/>
  <c r="DO70" i="33" s="1"/>
  <c r="DP70" i="33"/>
  <c r="DI70" i="33"/>
  <c r="DQ70" i="33" s="1"/>
  <c r="DJ70" i="33"/>
  <c r="DR70" i="33" s="1"/>
  <c r="DK70" i="33"/>
  <c r="DS70" i="33" s="1"/>
  <c r="DL70" i="33"/>
  <c r="DT70" i="33" s="1"/>
  <c r="DM71" i="33"/>
  <c r="DN71" i="33"/>
  <c r="DO71" i="33"/>
  <c r="DP71" i="33"/>
  <c r="DQ71" i="33"/>
  <c r="DR71" i="33"/>
  <c r="DS71" i="33"/>
  <c r="DT71" i="33"/>
  <c r="DM72" i="33"/>
  <c r="DN72" i="33"/>
  <c r="DO72" i="33"/>
  <c r="DP72" i="33"/>
  <c r="DQ72" i="33"/>
  <c r="DR72" i="33"/>
  <c r="DS72" i="33"/>
  <c r="DT72" i="33"/>
  <c r="DM73" i="33"/>
  <c r="DN73" i="33"/>
  <c r="DO73" i="33"/>
  <c r="DP73" i="33"/>
  <c r="DQ73" i="33"/>
  <c r="DR73" i="33"/>
  <c r="DS73" i="33"/>
  <c r="DT73" i="33"/>
  <c r="DM74" i="33"/>
  <c r="DN74" i="33"/>
  <c r="DO74" i="33"/>
  <c r="DP74" i="33"/>
  <c r="DQ74" i="33"/>
  <c r="DR74" i="33"/>
  <c r="DS74" i="33"/>
  <c r="DT74" i="33"/>
  <c r="DM75" i="33"/>
  <c r="DN75" i="33"/>
  <c r="DO75" i="33"/>
  <c r="DP75" i="33"/>
  <c r="DQ75" i="33"/>
  <c r="DR75" i="33"/>
  <c r="DS75" i="33"/>
  <c r="DT75" i="33"/>
  <c r="DM76" i="33"/>
  <c r="DN76" i="33"/>
  <c r="DO76" i="33"/>
  <c r="DP76" i="33"/>
  <c r="DQ76" i="33"/>
  <c r="DR76" i="33"/>
  <c r="DS76" i="33"/>
  <c r="DT76" i="33"/>
  <c r="DM77" i="33"/>
  <c r="DN77" i="33"/>
  <c r="DO77" i="33"/>
  <c r="DP77" i="33"/>
  <c r="DQ77" i="33"/>
  <c r="DR77" i="33"/>
  <c r="DS77" i="33"/>
  <c r="DT77" i="33"/>
  <c r="DM78" i="33"/>
  <c r="DN78" i="33"/>
  <c r="DO78" i="33"/>
  <c r="DP78" i="33"/>
  <c r="DQ78" i="33"/>
  <c r="DR78" i="33"/>
  <c r="DS78" i="33"/>
  <c r="DT78" i="33"/>
  <c r="DM79" i="33"/>
  <c r="DN79" i="33"/>
  <c r="DO79" i="33"/>
  <c r="DP79" i="33"/>
  <c r="DQ79" i="33"/>
  <c r="DR79" i="33"/>
  <c r="DS79" i="33"/>
  <c r="DT79" i="33"/>
  <c r="DM80" i="33"/>
  <c r="DN80" i="33"/>
  <c r="DO80" i="33"/>
  <c r="DP80" i="33"/>
  <c r="DQ80" i="33"/>
  <c r="DR80" i="33"/>
  <c r="DS80" i="33"/>
  <c r="DT80" i="33"/>
  <c r="DM81" i="33"/>
  <c r="DN81" i="33"/>
  <c r="DO81" i="33"/>
  <c r="DP81" i="33"/>
  <c r="DQ81" i="33"/>
  <c r="DR81" i="33"/>
  <c r="DS81" i="33"/>
  <c r="DT81" i="33"/>
  <c r="DM82" i="33"/>
  <c r="DN82" i="33"/>
  <c r="DO82" i="33"/>
  <c r="DP82" i="33"/>
  <c r="DQ82" i="33"/>
  <c r="DR82" i="33"/>
  <c r="DS82" i="33"/>
  <c r="DT82" i="33"/>
  <c r="DM83" i="33"/>
  <c r="DN83" i="33"/>
  <c r="DO83" i="33"/>
  <c r="DP83" i="33"/>
  <c r="DQ83" i="33"/>
  <c r="DR83" i="33"/>
  <c r="DS83" i="33"/>
  <c r="DT83" i="33"/>
  <c r="DM84" i="33"/>
  <c r="DN84" i="33"/>
  <c r="DO84" i="33"/>
  <c r="DP84" i="33"/>
  <c r="DQ84" i="33"/>
  <c r="DR84" i="33"/>
  <c r="DS84" i="33"/>
  <c r="DT84" i="33"/>
  <c r="DM85" i="33"/>
  <c r="DN85" i="33"/>
  <c r="DO85" i="33"/>
  <c r="DP85" i="33"/>
  <c r="DQ85" i="33"/>
  <c r="DR85" i="33"/>
  <c r="DS85" i="33"/>
  <c r="DT85" i="33"/>
  <c r="DM86" i="33"/>
  <c r="DN86" i="33"/>
  <c r="DO86" i="33"/>
  <c r="DP86" i="33"/>
  <c r="DQ86" i="33"/>
  <c r="DR86" i="33"/>
  <c r="DS86" i="33"/>
  <c r="DT86" i="33"/>
  <c r="DM87" i="33"/>
  <c r="DN87" i="33"/>
  <c r="DO87" i="33"/>
  <c r="DP87" i="33"/>
  <c r="DQ87" i="33"/>
  <c r="DR87" i="33"/>
  <c r="DS87" i="33"/>
  <c r="DT87" i="33"/>
  <c r="DM88" i="33"/>
  <c r="DN88" i="33"/>
  <c r="DO88" i="33"/>
  <c r="DP88" i="33"/>
  <c r="DQ88" i="33"/>
  <c r="DR88" i="33"/>
  <c r="DS88" i="33"/>
  <c r="DT88" i="33"/>
  <c r="DM89" i="33"/>
  <c r="DN89" i="33"/>
  <c r="DO89" i="33"/>
  <c r="DP89" i="33"/>
  <c r="DQ89" i="33"/>
  <c r="DR89" i="33"/>
  <c r="DS89" i="33"/>
  <c r="DT89" i="33"/>
  <c r="DT90" i="33"/>
  <c r="DS90" i="33"/>
  <c r="DR90" i="33"/>
  <c r="DQ90" i="33"/>
  <c r="DP90" i="33"/>
  <c r="DO90" i="33"/>
  <c r="DN90" i="33"/>
  <c r="DM90" i="33"/>
  <c r="DV70" i="33"/>
  <c r="DW70" i="33"/>
  <c r="DX70" i="33"/>
  <c r="DU81" i="33"/>
  <c r="DV81" i="33"/>
  <c r="DW81" i="33"/>
  <c r="DX81" i="33"/>
  <c r="DU84" i="33"/>
  <c r="DV84" i="33"/>
  <c r="DW84" i="33"/>
  <c r="DX84" i="33"/>
  <c r="DE94" i="33"/>
  <c r="DM94" i="33" s="1"/>
  <c r="DF94" i="33"/>
  <c r="DN94" i="33" s="1"/>
  <c r="DG94" i="33"/>
  <c r="DO94" i="33" s="1"/>
  <c r="DH94" i="33"/>
  <c r="DP94" i="33" s="1"/>
  <c r="DI94" i="33"/>
  <c r="DQ94" i="33" s="1"/>
  <c r="DJ94" i="33"/>
  <c r="DR94" i="33" s="1"/>
  <c r="DK94" i="33"/>
  <c r="DS94" i="33" s="1"/>
  <c r="DL94" i="33"/>
  <c r="DT94" i="33" s="1"/>
  <c r="DE95" i="33"/>
  <c r="DM95" i="33" s="1"/>
  <c r="DF95" i="33"/>
  <c r="DN95" i="33" s="1"/>
  <c r="DG95" i="33"/>
  <c r="DO95" i="33" s="1"/>
  <c r="DH95" i="33"/>
  <c r="DP95" i="33" s="1"/>
  <c r="DI95" i="33"/>
  <c r="DQ95" i="33" s="1"/>
  <c r="DJ95" i="33"/>
  <c r="DR95" i="33" s="1"/>
  <c r="DK95" i="33"/>
  <c r="DS95" i="33" s="1"/>
  <c r="DL95" i="33"/>
  <c r="DT95" i="33" s="1"/>
  <c r="DE96" i="33"/>
  <c r="DM96" i="33" s="1"/>
  <c r="DF96" i="33"/>
  <c r="DN96" i="33" s="1"/>
  <c r="DG96" i="33"/>
  <c r="DO96" i="33" s="1"/>
  <c r="DH96" i="33"/>
  <c r="DP96" i="33" s="1"/>
  <c r="DI96" i="33"/>
  <c r="DQ96" i="33" s="1"/>
  <c r="DJ96" i="33"/>
  <c r="DR96" i="33" s="1"/>
  <c r="DK96" i="33"/>
  <c r="DS96" i="33" s="1"/>
  <c r="DL96" i="33"/>
  <c r="DT96" i="33" s="1"/>
  <c r="DE97" i="33"/>
  <c r="DM97" i="33" s="1"/>
  <c r="DF97" i="33"/>
  <c r="DN97" i="33" s="1"/>
  <c r="DG97" i="33"/>
  <c r="DO97" i="33" s="1"/>
  <c r="DH97" i="33"/>
  <c r="DP97" i="33" s="1"/>
  <c r="DI97" i="33"/>
  <c r="DQ97" i="33" s="1"/>
  <c r="DJ97" i="33"/>
  <c r="DR97" i="33" s="1"/>
  <c r="DK97" i="33"/>
  <c r="DS97" i="33" s="1"/>
  <c r="DL97" i="33"/>
  <c r="DT97" i="33" s="1"/>
  <c r="DE98" i="33"/>
  <c r="DM98" i="33" s="1"/>
  <c r="DF98" i="33"/>
  <c r="DN98" i="33" s="1"/>
  <c r="DG98" i="33"/>
  <c r="DO98" i="33" s="1"/>
  <c r="DH98" i="33"/>
  <c r="DP98" i="33" s="1"/>
  <c r="DI98" i="33"/>
  <c r="DQ98" i="33" s="1"/>
  <c r="DJ98" i="33"/>
  <c r="DR98" i="33" s="1"/>
  <c r="DK98" i="33"/>
  <c r="DS98" i="33" s="1"/>
  <c r="DL98" i="33"/>
  <c r="DT98" i="33" s="1"/>
  <c r="DE99" i="33"/>
  <c r="DM99" i="33" s="1"/>
  <c r="DF99" i="33"/>
  <c r="DN99" i="33" s="1"/>
  <c r="DG99" i="33"/>
  <c r="DO99" i="33" s="1"/>
  <c r="DH99" i="33"/>
  <c r="DP99" i="33" s="1"/>
  <c r="DI99" i="33"/>
  <c r="DQ99" i="33" s="1"/>
  <c r="DJ99" i="33"/>
  <c r="DR99" i="33" s="1"/>
  <c r="DK99" i="33"/>
  <c r="DS99" i="33" s="1"/>
  <c r="DL99" i="33"/>
  <c r="DT99" i="33" s="1"/>
  <c r="DE100" i="33"/>
  <c r="DM100" i="33" s="1"/>
  <c r="DF100" i="33"/>
  <c r="DN100" i="33" s="1"/>
  <c r="DG100" i="33"/>
  <c r="DO100" i="33" s="1"/>
  <c r="DH100" i="33"/>
  <c r="DP100" i="33" s="1"/>
  <c r="DI100" i="33"/>
  <c r="DQ100" i="33" s="1"/>
  <c r="DJ100" i="33"/>
  <c r="DR100" i="33" s="1"/>
  <c r="DK100" i="33"/>
  <c r="DS100" i="33" s="1"/>
  <c r="DL100" i="33"/>
  <c r="DT100" i="33" s="1"/>
  <c r="DE101" i="33"/>
  <c r="DM101" i="33" s="1"/>
  <c r="DF101" i="33"/>
  <c r="DN101" i="33" s="1"/>
  <c r="DG101" i="33"/>
  <c r="DO101" i="33" s="1"/>
  <c r="DH101" i="33"/>
  <c r="DP101" i="33" s="1"/>
  <c r="DI101" i="33"/>
  <c r="DQ101" i="33" s="1"/>
  <c r="DJ101" i="33"/>
  <c r="DR101" i="33" s="1"/>
  <c r="DK101" i="33"/>
  <c r="DS101" i="33" s="1"/>
  <c r="DL101" i="33"/>
  <c r="DT101" i="33" s="1"/>
  <c r="DE102" i="33"/>
  <c r="DM102" i="33" s="1"/>
  <c r="DF102" i="33"/>
  <c r="DN102" i="33" s="1"/>
  <c r="DG102" i="33"/>
  <c r="DO102" i="33" s="1"/>
  <c r="DH102" i="33"/>
  <c r="DP102" i="33" s="1"/>
  <c r="DI102" i="33"/>
  <c r="DQ102" i="33" s="1"/>
  <c r="DJ102" i="33"/>
  <c r="DR102" i="33" s="1"/>
  <c r="DK102" i="33"/>
  <c r="DS102" i="33" s="1"/>
  <c r="DL102" i="33"/>
  <c r="DT102" i="33" s="1"/>
  <c r="DE103" i="33"/>
  <c r="DM103" i="33" s="1"/>
  <c r="DF103" i="33"/>
  <c r="DN103" i="33" s="1"/>
  <c r="DG103" i="33"/>
  <c r="DO103" i="33" s="1"/>
  <c r="DH103" i="33"/>
  <c r="DP103" i="33" s="1"/>
  <c r="DI103" i="33"/>
  <c r="DQ103" i="33" s="1"/>
  <c r="DJ103" i="33"/>
  <c r="DR103" i="33" s="1"/>
  <c r="DK103" i="33"/>
  <c r="DS103" i="33" s="1"/>
  <c r="DL103" i="33"/>
  <c r="DT103" i="33" s="1"/>
  <c r="DE104" i="33"/>
  <c r="DM104" i="33" s="1"/>
  <c r="DF104" i="33"/>
  <c r="DN104" i="33" s="1"/>
  <c r="DG104" i="33"/>
  <c r="DO104" i="33" s="1"/>
  <c r="DH104" i="33"/>
  <c r="DP104" i="33" s="1"/>
  <c r="DI104" i="33"/>
  <c r="DQ104" i="33" s="1"/>
  <c r="DJ104" i="33"/>
  <c r="DR104" i="33" s="1"/>
  <c r="DK104" i="33"/>
  <c r="DS104" i="33" s="1"/>
  <c r="DL104" i="33"/>
  <c r="DT104" i="33" s="1"/>
  <c r="DE105" i="33"/>
  <c r="DM105" i="33" s="1"/>
  <c r="DF105" i="33"/>
  <c r="DN105" i="33" s="1"/>
  <c r="DG105" i="33"/>
  <c r="DO105" i="33" s="1"/>
  <c r="DH105" i="33"/>
  <c r="DP105" i="33" s="1"/>
  <c r="DI105" i="33"/>
  <c r="DQ105" i="33" s="1"/>
  <c r="DJ105" i="33"/>
  <c r="DR105" i="33" s="1"/>
  <c r="DK105" i="33"/>
  <c r="DS105" i="33" s="1"/>
  <c r="DL105" i="33"/>
  <c r="DT105" i="33" s="1"/>
  <c r="DE106" i="33"/>
  <c r="DM106" i="33" s="1"/>
  <c r="DF106" i="33"/>
  <c r="DN106" i="33" s="1"/>
  <c r="DG106" i="33"/>
  <c r="DO106" i="33" s="1"/>
  <c r="DH106" i="33"/>
  <c r="DP106" i="33" s="1"/>
  <c r="DI106" i="33"/>
  <c r="DQ106" i="33" s="1"/>
  <c r="DJ106" i="33"/>
  <c r="DR106" i="33" s="1"/>
  <c r="DK106" i="33"/>
  <c r="DS106" i="33" s="1"/>
  <c r="DL106" i="33"/>
  <c r="DT106" i="33" s="1"/>
  <c r="DE107" i="33"/>
  <c r="DM107" i="33" s="1"/>
  <c r="DF107" i="33"/>
  <c r="DN107" i="33" s="1"/>
  <c r="DG107" i="33"/>
  <c r="DO107" i="33" s="1"/>
  <c r="DH107" i="33"/>
  <c r="DP107" i="33" s="1"/>
  <c r="DI107" i="33"/>
  <c r="DQ107" i="33" s="1"/>
  <c r="DJ107" i="33"/>
  <c r="DR107" i="33" s="1"/>
  <c r="DK107" i="33"/>
  <c r="DS107" i="33" s="1"/>
  <c r="DL107" i="33"/>
  <c r="DT107" i="33" s="1"/>
  <c r="DE108" i="33"/>
  <c r="DM108" i="33" s="1"/>
  <c r="DF108" i="33"/>
  <c r="DN108" i="33" s="1"/>
  <c r="DG108" i="33"/>
  <c r="DO108" i="33" s="1"/>
  <c r="DH108" i="33"/>
  <c r="DP108" i="33" s="1"/>
  <c r="DI108" i="33"/>
  <c r="DQ108" i="33" s="1"/>
  <c r="DJ108" i="33"/>
  <c r="DR108" i="33" s="1"/>
  <c r="DK108" i="33"/>
  <c r="DS108" i="33" s="1"/>
  <c r="DL108" i="33"/>
  <c r="DT108" i="33" s="1"/>
  <c r="DE109" i="33"/>
  <c r="DM109" i="33" s="1"/>
  <c r="DF109" i="33"/>
  <c r="DN109" i="33" s="1"/>
  <c r="DG109" i="33"/>
  <c r="DO109" i="33" s="1"/>
  <c r="DH109" i="33"/>
  <c r="DP109" i="33" s="1"/>
  <c r="DI109" i="33"/>
  <c r="DQ109" i="33" s="1"/>
  <c r="DJ109" i="33"/>
  <c r="DR109" i="33" s="1"/>
  <c r="DK109" i="33"/>
  <c r="DS109" i="33" s="1"/>
  <c r="DL109" i="33"/>
  <c r="DT109" i="33" s="1"/>
  <c r="DE110" i="33"/>
  <c r="DM110" i="33" s="1"/>
  <c r="DF110" i="33"/>
  <c r="DN110" i="33" s="1"/>
  <c r="DG110" i="33"/>
  <c r="DO110" i="33" s="1"/>
  <c r="DH110" i="33"/>
  <c r="DP110" i="33" s="1"/>
  <c r="DI110" i="33"/>
  <c r="DQ110" i="33" s="1"/>
  <c r="DJ110" i="33"/>
  <c r="DR110" i="33" s="1"/>
  <c r="DK110" i="33"/>
  <c r="DS110" i="33" s="1"/>
  <c r="DL110" i="33"/>
  <c r="DT110" i="33" s="1"/>
  <c r="DE111" i="33"/>
  <c r="DM111" i="33" s="1"/>
  <c r="DF111" i="33"/>
  <c r="DN111" i="33" s="1"/>
  <c r="DG111" i="33"/>
  <c r="DO111" i="33" s="1"/>
  <c r="DH111" i="33"/>
  <c r="DP111" i="33" s="1"/>
  <c r="DI111" i="33"/>
  <c r="DQ111" i="33" s="1"/>
  <c r="DJ111" i="33"/>
  <c r="DR111" i="33" s="1"/>
  <c r="DK111" i="33"/>
  <c r="DS111" i="33" s="1"/>
  <c r="DL111" i="33"/>
  <c r="DT111" i="33" s="1"/>
  <c r="DE112" i="33"/>
  <c r="DM112" i="33" s="1"/>
  <c r="DF112" i="33"/>
  <c r="DN112" i="33" s="1"/>
  <c r="DG112" i="33"/>
  <c r="DO112" i="33" s="1"/>
  <c r="DH112" i="33"/>
  <c r="DP112" i="33" s="1"/>
  <c r="DI112" i="33"/>
  <c r="DQ112" i="33" s="1"/>
  <c r="DJ112" i="33"/>
  <c r="DR112" i="33" s="1"/>
  <c r="DK112" i="33"/>
  <c r="DS112" i="33" s="1"/>
  <c r="DL112" i="33"/>
  <c r="DT112" i="33" s="1"/>
  <c r="DE113" i="33"/>
  <c r="DM113" i="33" s="1"/>
  <c r="DF113" i="33"/>
  <c r="DN113" i="33" s="1"/>
  <c r="DG113" i="33"/>
  <c r="DO113" i="33" s="1"/>
  <c r="DH113" i="33"/>
  <c r="DP113" i="33" s="1"/>
  <c r="DI113" i="33"/>
  <c r="DQ113" i="33" s="1"/>
  <c r="DJ113" i="33"/>
  <c r="DR113" i="33" s="1"/>
  <c r="DK113" i="33"/>
  <c r="DS113" i="33" s="1"/>
  <c r="DL113" i="33"/>
  <c r="DT113" i="33" s="1"/>
  <c r="DE114" i="33"/>
  <c r="DM114" i="33" s="1"/>
  <c r="DF114" i="33"/>
  <c r="DN114" i="33" s="1"/>
  <c r="DG114" i="33"/>
  <c r="DO114" i="33" s="1"/>
  <c r="DH114" i="33"/>
  <c r="DP114" i="33" s="1"/>
  <c r="DI114" i="33"/>
  <c r="DQ114" i="33" s="1"/>
  <c r="DJ114" i="33"/>
  <c r="DR114" i="33" s="1"/>
  <c r="DK114" i="33"/>
  <c r="DS114" i="33" s="1"/>
  <c r="DL114" i="33"/>
  <c r="DT114" i="33" s="1"/>
  <c r="DE115" i="33"/>
  <c r="DM115" i="33" s="1"/>
  <c r="DF115" i="33"/>
  <c r="DN115" i="33" s="1"/>
  <c r="DG115" i="33"/>
  <c r="DO115" i="33" s="1"/>
  <c r="DH115" i="33"/>
  <c r="DP115" i="33" s="1"/>
  <c r="DI115" i="33"/>
  <c r="DQ115" i="33" s="1"/>
  <c r="DJ115" i="33"/>
  <c r="DR115" i="33" s="1"/>
  <c r="DK115" i="33"/>
  <c r="DS115" i="33" s="1"/>
  <c r="DL115" i="33"/>
  <c r="DT115" i="33" s="1"/>
  <c r="DE116" i="33"/>
  <c r="DM116" i="33" s="1"/>
  <c r="DF116" i="33"/>
  <c r="DN116" i="33" s="1"/>
  <c r="DG116" i="33"/>
  <c r="DO116" i="33" s="1"/>
  <c r="DH116" i="33"/>
  <c r="DP116" i="33" s="1"/>
  <c r="DI116" i="33"/>
  <c r="DQ116" i="33" s="1"/>
  <c r="DJ116" i="33"/>
  <c r="DR116" i="33" s="1"/>
  <c r="DK116" i="33"/>
  <c r="DS116" i="33" s="1"/>
  <c r="DL116" i="33"/>
  <c r="DT116" i="33" s="1"/>
  <c r="DE117" i="33"/>
  <c r="DM117" i="33" s="1"/>
  <c r="DF117" i="33"/>
  <c r="DN117" i="33" s="1"/>
  <c r="DG117" i="33"/>
  <c r="DO117" i="33" s="1"/>
  <c r="DH117" i="33"/>
  <c r="DP117" i="33" s="1"/>
  <c r="DI117" i="33"/>
  <c r="DQ117" i="33" s="1"/>
  <c r="DJ117" i="33"/>
  <c r="DR117" i="33" s="1"/>
  <c r="DK117" i="33"/>
  <c r="DS117" i="33" s="1"/>
  <c r="DL117" i="33"/>
  <c r="DT117" i="33" s="1"/>
  <c r="DE118" i="33"/>
  <c r="DM118" i="33" s="1"/>
  <c r="DF118" i="33"/>
  <c r="DN118" i="33" s="1"/>
  <c r="DG118" i="33"/>
  <c r="DO118" i="33" s="1"/>
  <c r="DH118" i="33"/>
  <c r="DP118" i="33" s="1"/>
  <c r="DI118" i="33"/>
  <c r="DQ118" i="33" s="1"/>
  <c r="DJ118" i="33"/>
  <c r="DR118" i="33" s="1"/>
  <c r="DK118" i="33"/>
  <c r="DS118" i="33" s="1"/>
  <c r="DL118" i="33"/>
  <c r="DT118" i="33" s="1"/>
  <c r="DE119" i="33"/>
  <c r="DM119" i="33" s="1"/>
  <c r="DF119" i="33"/>
  <c r="DN119" i="33" s="1"/>
  <c r="DG119" i="33"/>
  <c r="DO119" i="33" s="1"/>
  <c r="DH119" i="33"/>
  <c r="DP119" i="33" s="1"/>
  <c r="DI119" i="33"/>
  <c r="DQ119" i="33" s="1"/>
  <c r="DJ119" i="33"/>
  <c r="DR119" i="33" s="1"/>
  <c r="DK119" i="33"/>
  <c r="DS119" i="33" s="1"/>
  <c r="DL119" i="33"/>
  <c r="DT119" i="33" s="1"/>
  <c r="DE120" i="33"/>
  <c r="DM120" i="33" s="1"/>
  <c r="DF120" i="33"/>
  <c r="DN120" i="33" s="1"/>
  <c r="DG120" i="33"/>
  <c r="DO120" i="33" s="1"/>
  <c r="DH120" i="33"/>
  <c r="DP120" i="33" s="1"/>
  <c r="DI120" i="33"/>
  <c r="DQ120" i="33" s="1"/>
  <c r="DJ120" i="33"/>
  <c r="DR120" i="33" s="1"/>
  <c r="DK120" i="33"/>
  <c r="DS120" i="33" s="1"/>
  <c r="DL120" i="33"/>
  <c r="DT120" i="33" s="1"/>
  <c r="DE121" i="33"/>
  <c r="DM121" i="33" s="1"/>
  <c r="DF121" i="33"/>
  <c r="DN121" i="33" s="1"/>
  <c r="DG121" i="33"/>
  <c r="DO121" i="33" s="1"/>
  <c r="DH121" i="33"/>
  <c r="DP121" i="33" s="1"/>
  <c r="DI121" i="33"/>
  <c r="DQ121" i="33" s="1"/>
  <c r="DJ121" i="33"/>
  <c r="DR121" i="33" s="1"/>
  <c r="DK121" i="33"/>
  <c r="DS121" i="33" s="1"/>
  <c r="DL121" i="33"/>
  <c r="DT121" i="33" s="1"/>
  <c r="DE122" i="33"/>
  <c r="DM122" i="33" s="1"/>
  <c r="DF122" i="33"/>
  <c r="DN122" i="33" s="1"/>
  <c r="DG122" i="33"/>
  <c r="DO122" i="33" s="1"/>
  <c r="DH122" i="33"/>
  <c r="DP122" i="33" s="1"/>
  <c r="DI122" i="33"/>
  <c r="DQ122" i="33" s="1"/>
  <c r="DJ122" i="33"/>
  <c r="DR122" i="33" s="1"/>
  <c r="DK122" i="33"/>
  <c r="DS122" i="33" s="1"/>
  <c r="DL122" i="33"/>
  <c r="DT122" i="33" s="1"/>
  <c r="DE123" i="33"/>
  <c r="DM123" i="33" s="1"/>
  <c r="DF123" i="33"/>
  <c r="DN123" i="33" s="1"/>
  <c r="DG123" i="33"/>
  <c r="DO123" i="33" s="1"/>
  <c r="DH123" i="33"/>
  <c r="DP123" i="33" s="1"/>
  <c r="DI123" i="33"/>
  <c r="DQ123" i="33" s="1"/>
  <c r="DJ123" i="33"/>
  <c r="DR123" i="33" s="1"/>
  <c r="DK123" i="33"/>
  <c r="DS123" i="33" s="1"/>
  <c r="DL123" i="33"/>
  <c r="DT123" i="33" s="1"/>
  <c r="DE124" i="33"/>
  <c r="DM124" i="33" s="1"/>
  <c r="DF124" i="33"/>
  <c r="DN124" i="33" s="1"/>
  <c r="DG124" i="33"/>
  <c r="DO124" i="33" s="1"/>
  <c r="DH124" i="33"/>
  <c r="DP124" i="33" s="1"/>
  <c r="DI124" i="33"/>
  <c r="DQ124" i="33" s="1"/>
  <c r="DJ124" i="33"/>
  <c r="DR124" i="33" s="1"/>
  <c r="DK124" i="33"/>
  <c r="DS124" i="33" s="1"/>
  <c r="DL124" i="33"/>
  <c r="DT124" i="33" s="1"/>
  <c r="DL93" i="33"/>
  <c r="DT93" i="33" s="1"/>
  <c r="DK93" i="33"/>
  <c r="DS93" i="33" s="1"/>
  <c r="DJ93" i="33"/>
  <c r="DR93" i="33" s="1"/>
  <c r="DI93" i="33"/>
  <c r="DQ93" i="33" s="1"/>
  <c r="DH93" i="33"/>
  <c r="DP93" i="33" s="1"/>
  <c r="DG93" i="33"/>
  <c r="DO93" i="33" s="1"/>
  <c r="DF93" i="33"/>
  <c r="DN93" i="33" s="1"/>
  <c r="DE93" i="33"/>
  <c r="DM93" i="33" s="1"/>
  <c r="DU109" i="33"/>
  <c r="DV109" i="33"/>
  <c r="DW109" i="33"/>
  <c r="DX109" i="33"/>
  <c r="DU112" i="33"/>
  <c r="DV112" i="33"/>
  <c r="DW112" i="33"/>
  <c r="DX112" i="33"/>
  <c r="DY112" i="33"/>
  <c r="DZ112" i="33"/>
  <c r="EA112" i="33"/>
  <c r="EB112" i="33"/>
  <c r="DU114" i="33"/>
  <c r="DV114" i="33"/>
  <c r="DW114" i="33"/>
  <c r="DX114" i="33"/>
  <c r="DU122" i="33"/>
  <c r="DV122" i="33"/>
  <c r="DW122" i="33"/>
  <c r="DX122" i="33"/>
  <c r="CJ112" i="33"/>
  <c r="CK112" i="33"/>
  <c r="CL112" i="33"/>
  <c r="CM112" i="33"/>
  <c r="BX70" i="33"/>
  <c r="BY70" i="33"/>
  <c r="BZ70" i="33"/>
  <c r="CA70" i="33"/>
  <c r="CB70" i="33"/>
  <c r="CC70" i="33"/>
  <c r="CD70" i="33"/>
  <c r="CE70" i="33"/>
  <c r="BX71" i="33"/>
  <c r="BY71" i="33"/>
  <c r="BZ71" i="33"/>
  <c r="CA71" i="33"/>
  <c r="CB71" i="33"/>
  <c r="CC71" i="33"/>
  <c r="CD71" i="33"/>
  <c r="CE71" i="33"/>
  <c r="BX72" i="33"/>
  <c r="BY72" i="33"/>
  <c r="BZ72" i="33"/>
  <c r="CA72" i="33"/>
  <c r="CB72" i="33"/>
  <c r="CC72" i="33"/>
  <c r="CD72" i="33"/>
  <c r="CE72" i="33"/>
  <c r="BX73" i="33"/>
  <c r="BY73" i="33"/>
  <c r="BZ73" i="33"/>
  <c r="CA73" i="33"/>
  <c r="CB73" i="33"/>
  <c r="CC73" i="33"/>
  <c r="CD73" i="33"/>
  <c r="CE73" i="33"/>
  <c r="BX74" i="33"/>
  <c r="BY74" i="33"/>
  <c r="BZ74" i="33"/>
  <c r="CA74" i="33"/>
  <c r="CB74" i="33"/>
  <c r="CC74" i="33"/>
  <c r="CD74" i="33"/>
  <c r="CE74" i="33"/>
  <c r="BX75" i="33"/>
  <c r="BY75" i="33"/>
  <c r="BZ75" i="33"/>
  <c r="CA75" i="33"/>
  <c r="CB75" i="33"/>
  <c r="CC75" i="33"/>
  <c r="CD75" i="33"/>
  <c r="CE75" i="33"/>
  <c r="BX76" i="33"/>
  <c r="BY76" i="33"/>
  <c r="BZ76" i="33"/>
  <c r="CA76" i="33"/>
  <c r="CB76" i="33"/>
  <c r="CC76" i="33"/>
  <c r="CD76" i="33"/>
  <c r="CE76" i="33"/>
  <c r="BX77" i="33"/>
  <c r="BY77" i="33"/>
  <c r="BZ77" i="33"/>
  <c r="CA77" i="33"/>
  <c r="CB77" i="33"/>
  <c r="CC77" i="33"/>
  <c r="CD77" i="33"/>
  <c r="CE77" i="33"/>
  <c r="BX78" i="33"/>
  <c r="BY78" i="33"/>
  <c r="BZ78" i="33"/>
  <c r="CA78" i="33"/>
  <c r="CB78" i="33"/>
  <c r="CC78" i="33"/>
  <c r="CD78" i="33"/>
  <c r="CE78" i="33"/>
  <c r="BX79" i="33"/>
  <c r="BY79" i="33"/>
  <c r="BZ79" i="33"/>
  <c r="CA79" i="33"/>
  <c r="CB79" i="33"/>
  <c r="CC79" i="33"/>
  <c r="CD79" i="33"/>
  <c r="CE79" i="33"/>
  <c r="BX80" i="33"/>
  <c r="BY80" i="33"/>
  <c r="BZ80" i="33"/>
  <c r="CA80" i="33"/>
  <c r="CB80" i="33"/>
  <c r="CC80" i="33"/>
  <c r="CD80" i="33"/>
  <c r="CE80" i="33"/>
  <c r="BX81" i="33"/>
  <c r="BY81" i="33"/>
  <c r="BZ81" i="33"/>
  <c r="CA81" i="33"/>
  <c r="CB81" i="33"/>
  <c r="CC81" i="33"/>
  <c r="CD81" i="33"/>
  <c r="CE81" i="33"/>
  <c r="BX82" i="33"/>
  <c r="BY82" i="33"/>
  <c r="BZ82" i="33"/>
  <c r="CA82" i="33"/>
  <c r="CB82" i="33"/>
  <c r="CC82" i="33"/>
  <c r="CD82" i="33"/>
  <c r="CE82" i="33"/>
  <c r="BX83" i="33"/>
  <c r="BY83" i="33"/>
  <c r="BZ83" i="33"/>
  <c r="CA83" i="33"/>
  <c r="CB83" i="33"/>
  <c r="CC83" i="33"/>
  <c r="CD83" i="33"/>
  <c r="CE83" i="33"/>
  <c r="BX84" i="33"/>
  <c r="BY84" i="33"/>
  <c r="BZ84" i="33"/>
  <c r="CA84" i="33"/>
  <c r="CB84" i="33"/>
  <c r="CC84" i="33"/>
  <c r="CD84" i="33"/>
  <c r="CE84" i="33"/>
  <c r="BX85" i="33"/>
  <c r="BY85" i="33"/>
  <c r="BZ85" i="33"/>
  <c r="CA85" i="33"/>
  <c r="CB85" i="33"/>
  <c r="CC85" i="33"/>
  <c r="CD85" i="33"/>
  <c r="CE85" i="33"/>
  <c r="BX86" i="33"/>
  <c r="BY86" i="33"/>
  <c r="BZ86" i="33"/>
  <c r="CA86" i="33"/>
  <c r="CB86" i="33"/>
  <c r="CC86" i="33"/>
  <c r="CD86" i="33"/>
  <c r="CE86" i="33"/>
  <c r="BX87" i="33"/>
  <c r="BY87" i="33"/>
  <c r="BZ87" i="33"/>
  <c r="CA87" i="33"/>
  <c r="CB87" i="33"/>
  <c r="CC87" i="33"/>
  <c r="CD87" i="33"/>
  <c r="CE87" i="33"/>
  <c r="BX88" i="33"/>
  <c r="BY88" i="33"/>
  <c r="BZ88" i="33"/>
  <c r="CA88" i="33"/>
  <c r="CB88" i="33"/>
  <c r="CC88" i="33"/>
  <c r="CD88" i="33"/>
  <c r="CE88" i="33"/>
  <c r="BX89" i="33"/>
  <c r="BY89" i="33"/>
  <c r="BZ89" i="33"/>
  <c r="CA89" i="33"/>
  <c r="CB89" i="33"/>
  <c r="CC89" i="33"/>
  <c r="CD89" i="33"/>
  <c r="CE89" i="33"/>
  <c r="BX90" i="33"/>
  <c r="BY90" i="33"/>
  <c r="BZ90" i="33"/>
  <c r="CA90" i="33"/>
  <c r="CB90" i="33"/>
  <c r="CC90" i="33"/>
  <c r="CD90" i="33"/>
  <c r="CE90" i="33"/>
  <c r="CF81" i="33"/>
  <c r="CG81" i="33"/>
  <c r="CH81" i="33"/>
  <c r="CI81" i="33"/>
  <c r="CF84" i="33"/>
  <c r="CG84" i="33"/>
  <c r="CH84" i="33"/>
  <c r="CI84" i="33"/>
  <c r="BX94" i="33"/>
  <c r="BY94" i="33"/>
  <c r="BZ94" i="33"/>
  <c r="CA94" i="33"/>
  <c r="CB94" i="33"/>
  <c r="CC94" i="33"/>
  <c r="CD94" i="33"/>
  <c r="CE94" i="33"/>
  <c r="BX95" i="33"/>
  <c r="BY95" i="33"/>
  <c r="BZ95" i="33"/>
  <c r="CA95" i="33"/>
  <c r="CB95" i="33"/>
  <c r="CC95" i="33"/>
  <c r="CD95" i="33"/>
  <c r="CE95" i="33"/>
  <c r="BX96" i="33"/>
  <c r="BY96" i="33"/>
  <c r="BZ96" i="33"/>
  <c r="CA96" i="33"/>
  <c r="CB96" i="33"/>
  <c r="CC96" i="33"/>
  <c r="CD96" i="33"/>
  <c r="CE96" i="33"/>
  <c r="BX97" i="33"/>
  <c r="BY97" i="33"/>
  <c r="BZ97" i="33"/>
  <c r="CA97" i="33"/>
  <c r="CB97" i="33"/>
  <c r="CC97" i="33"/>
  <c r="CD97" i="33"/>
  <c r="CE97" i="33"/>
  <c r="BX98" i="33"/>
  <c r="BY98" i="33"/>
  <c r="BZ98" i="33"/>
  <c r="CA98" i="33"/>
  <c r="CB98" i="33"/>
  <c r="CC98" i="33"/>
  <c r="CD98" i="33"/>
  <c r="CE98" i="33"/>
  <c r="BX99" i="33"/>
  <c r="BY99" i="33"/>
  <c r="BZ99" i="33"/>
  <c r="CA99" i="33"/>
  <c r="CB99" i="33"/>
  <c r="CC99" i="33"/>
  <c r="CD99" i="33"/>
  <c r="CE99" i="33"/>
  <c r="BX100" i="33"/>
  <c r="BY100" i="33"/>
  <c r="BZ100" i="33"/>
  <c r="CA100" i="33"/>
  <c r="CB100" i="33"/>
  <c r="CC100" i="33"/>
  <c r="CD100" i="33"/>
  <c r="CE100" i="33"/>
  <c r="BX101" i="33"/>
  <c r="BY101" i="33"/>
  <c r="BZ101" i="33"/>
  <c r="CA101" i="33"/>
  <c r="CB101" i="33"/>
  <c r="CC101" i="33"/>
  <c r="CD101" i="33"/>
  <c r="CE101" i="33"/>
  <c r="BX102" i="33"/>
  <c r="BY102" i="33"/>
  <c r="BZ102" i="33"/>
  <c r="CA102" i="33"/>
  <c r="CB102" i="33"/>
  <c r="CC102" i="33"/>
  <c r="CD102" i="33"/>
  <c r="CE102" i="33"/>
  <c r="BX103" i="33"/>
  <c r="BY103" i="33"/>
  <c r="BZ103" i="33"/>
  <c r="CA103" i="33"/>
  <c r="CB103" i="33"/>
  <c r="CC103" i="33"/>
  <c r="CD103" i="33"/>
  <c r="CE103" i="33"/>
  <c r="BX104" i="33"/>
  <c r="BY104" i="33"/>
  <c r="BZ104" i="33"/>
  <c r="CA104" i="33"/>
  <c r="CB104" i="33"/>
  <c r="CC104" i="33"/>
  <c r="CD104" i="33"/>
  <c r="CE104" i="33"/>
  <c r="BX105" i="33"/>
  <c r="BY105" i="33"/>
  <c r="BZ105" i="33"/>
  <c r="CA105" i="33"/>
  <c r="CB105" i="33"/>
  <c r="CC105" i="33"/>
  <c r="CD105" i="33"/>
  <c r="CE105" i="33"/>
  <c r="BX106" i="33"/>
  <c r="BY106" i="33"/>
  <c r="BZ106" i="33"/>
  <c r="CA106" i="33"/>
  <c r="CB106" i="33"/>
  <c r="CC106" i="33"/>
  <c r="CD106" i="33"/>
  <c r="CE106" i="33"/>
  <c r="BX107" i="33"/>
  <c r="BY107" i="33"/>
  <c r="BZ107" i="33"/>
  <c r="CA107" i="33"/>
  <c r="CB107" i="33"/>
  <c r="CC107" i="33"/>
  <c r="CD107" i="33"/>
  <c r="CE107" i="33"/>
  <c r="BX108" i="33"/>
  <c r="BY108" i="33"/>
  <c r="BZ108" i="33"/>
  <c r="CA108" i="33"/>
  <c r="CB108" i="33"/>
  <c r="CC108" i="33"/>
  <c r="CD108" i="33"/>
  <c r="CE108" i="33"/>
  <c r="BX109" i="33"/>
  <c r="BY109" i="33"/>
  <c r="BZ109" i="33"/>
  <c r="CA109" i="33"/>
  <c r="CB109" i="33"/>
  <c r="CC109" i="33"/>
  <c r="CD109" i="33"/>
  <c r="CE109" i="33"/>
  <c r="BX110" i="33"/>
  <c r="BY110" i="33"/>
  <c r="BZ110" i="33"/>
  <c r="CA110" i="33"/>
  <c r="CB110" i="33"/>
  <c r="CC110" i="33"/>
  <c r="CD110" i="33"/>
  <c r="CE110" i="33"/>
  <c r="BX111" i="33"/>
  <c r="BY111" i="33"/>
  <c r="BZ111" i="33"/>
  <c r="CA111" i="33"/>
  <c r="CB111" i="33"/>
  <c r="CC111" i="33"/>
  <c r="CD111" i="33"/>
  <c r="CE111" i="33"/>
  <c r="BX112" i="33"/>
  <c r="BY112" i="33"/>
  <c r="BZ112" i="33"/>
  <c r="CA112" i="33"/>
  <c r="CB112" i="33"/>
  <c r="CC112" i="33"/>
  <c r="CD112" i="33"/>
  <c r="CE112" i="33"/>
  <c r="BX113" i="33"/>
  <c r="BY113" i="33"/>
  <c r="BZ113" i="33"/>
  <c r="CA113" i="33"/>
  <c r="CB113" i="33"/>
  <c r="CC113" i="33"/>
  <c r="CD113" i="33"/>
  <c r="CE113" i="33"/>
  <c r="BX114" i="33"/>
  <c r="BY114" i="33"/>
  <c r="BZ114" i="33"/>
  <c r="CA114" i="33"/>
  <c r="CB114" i="33"/>
  <c r="CC114" i="33"/>
  <c r="CD114" i="33"/>
  <c r="CE114" i="33"/>
  <c r="BX115" i="33"/>
  <c r="BY115" i="33"/>
  <c r="BZ115" i="33"/>
  <c r="CA115" i="33"/>
  <c r="CB115" i="33"/>
  <c r="CC115" i="33"/>
  <c r="CD115" i="33"/>
  <c r="CE115" i="33"/>
  <c r="BX116" i="33"/>
  <c r="BY116" i="33"/>
  <c r="BZ116" i="33"/>
  <c r="CA116" i="33"/>
  <c r="CB116" i="33"/>
  <c r="CC116" i="33"/>
  <c r="CD116" i="33"/>
  <c r="CE116" i="33"/>
  <c r="BX117" i="33"/>
  <c r="BY117" i="33"/>
  <c r="BZ117" i="33"/>
  <c r="CA117" i="33"/>
  <c r="CB117" i="33"/>
  <c r="CC117" i="33"/>
  <c r="CD117" i="33"/>
  <c r="CE117" i="33"/>
  <c r="BX118" i="33"/>
  <c r="BY118" i="33"/>
  <c r="BZ118" i="33"/>
  <c r="CA118" i="33"/>
  <c r="CB118" i="33"/>
  <c r="CC118" i="33"/>
  <c r="CD118" i="33"/>
  <c r="CE118" i="33"/>
  <c r="BX119" i="33"/>
  <c r="BY119" i="33"/>
  <c r="BZ119" i="33"/>
  <c r="CA119" i="33"/>
  <c r="CB119" i="33"/>
  <c r="CC119" i="33"/>
  <c r="CD119" i="33"/>
  <c r="CE119" i="33"/>
  <c r="BX120" i="33"/>
  <c r="BY120" i="33"/>
  <c r="BZ120" i="33"/>
  <c r="CA120" i="33"/>
  <c r="CB120" i="33"/>
  <c r="CC120" i="33"/>
  <c r="CD120" i="33"/>
  <c r="CE120" i="33"/>
  <c r="BX121" i="33"/>
  <c r="BY121" i="33"/>
  <c r="BZ121" i="33"/>
  <c r="CA121" i="33"/>
  <c r="CB121" i="33"/>
  <c r="CC121" i="33"/>
  <c r="CD121" i="33"/>
  <c r="CE121" i="33"/>
  <c r="BX122" i="33"/>
  <c r="BY122" i="33"/>
  <c r="BZ122" i="33"/>
  <c r="CA122" i="33"/>
  <c r="CB122" i="33"/>
  <c r="CC122" i="33"/>
  <c r="CD122" i="33"/>
  <c r="CE122" i="33"/>
  <c r="BX123" i="33"/>
  <c r="BY123" i="33"/>
  <c r="BZ123" i="33"/>
  <c r="CA123" i="33"/>
  <c r="CB123" i="33"/>
  <c r="CC123" i="33"/>
  <c r="CD123" i="33"/>
  <c r="CE123" i="33"/>
  <c r="BY124" i="33"/>
  <c r="BZ124" i="33"/>
  <c r="CA124" i="33"/>
  <c r="CB124" i="33"/>
  <c r="CC124" i="33"/>
  <c r="CD124" i="33"/>
  <c r="CE124" i="33"/>
  <c r="BW93" i="33"/>
  <c r="CE93" i="33" s="1"/>
  <c r="BV93" i="33"/>
  <c r="CD93" i="33" s="1"/>
  <c r="BU93" i="33"/>
  <c r="CC93" i="33" s="1"/>
  <c r="BT93" i="33"/>
  <c r="CB93" i="33" s="1"/>
  <c r="CA93" i="33"/>
  <c r="BR93" i="33"/>
  <c r="BZ93" i="33" s="1"/>
  <c r="BQ93" i="33"/>
  <c r="BY93" i="33" s="1"/>
  <c r="BX93" i="33"/>
  <c r="CG109" i="33"/>
  <c r="CH109" i="33"/>
  <c r="CI109" i="33"/>
  <c r="CG112" i="33"/>
  <c r="CH112" i="33"/>
  <c r="CI112" i="33"/>
  <c r="CG114" i="33"/>
  <c r="CH114" i="33"/>
  <c r="CI114" i="33"/>
  <c r="CG122" i="33"/>
  <c r="CH122" i="33"/>
  <c r="CI122" i="33"/>
  <c r="CF109" i="33"/>
  <c r="CF112" i="33"/>
  <c r="CF114" i="33"/>
  <c r="CF122" i="33"/>
  <c r="CM153" i="33" l="1"/>
  <c r="DU154" i="33"/>
  <c r="FJ153" i="33"/>
  <c r="EB154" i="33"/>
  <c r="FI154" i="33"/>
  <c r="FI183" i="33"/>
  <c r="FK138" i="33"/>
  <c r="CL183" i="33"/>
  <c r="CK183" i="33"/>
  <c r="CI183" i="33"/>
  <c r="CH183" i="33"/>
  <c r="CG183" i="33"/>
  <c r="CF183" i="33"/>
  <c r="CJ183" i="33"/>
  <c r="CK153" i="33"/>
  <c r="DX154" i="33"/>
  <c r="FM153" i="33"/>
  <c r="CI153" i="33"/>
  <c r="FN153" i="33"/>
  <c r="CH153" i="33"/>
  <c r="DZ154" i="33"/>
  <c r="FO153" i="33"/>
  <c r="DW138" i="33"/>
  <c r="DW154" i="33"/>
  <c r="FL153" i="33"/>
  <c r="CJ153" i="33"/>
  <c r="DY154" i="33"/>
  <c r="CG153" i="33"/>
  <c r="EA154" i="33"/>
  <c r="FP153" i="33"/>
  <c r="FK154" i="33"/>
  <c r="FM154" i="33"/>
  <c r="FL154" i="33"/>
  <c r="FN154" i="33"/>
  <c r="FO154" i="33"/>
  <c r="CL153" i="33"/>
  <c r="FK153" i="33"/>
  <c r="FP154" i="33"/>
  <c r="DW153" i="33"/>
  <c r="DY153" i="33"/>
  <c r="EA153" i="33"/>
  <c r="DV153" i="33"/>
  <c r="DZ153" i="33"/>
  <c r="DX153" i="33"/>
  <c r="EB153" i="33"/>
  <c r="DV183" i="33"/>
  <c r="L146" i="33"/>
  <c r="CM183" i="33"/>
  <c r="DX138" i="33"/>
  <c r="DY138" i="33"/>
  <c r="DZ138" i="33"/>
  <c r="EA138" i="33"/>
  <c r="EB138" i="33"/>
  <c r="FN138" i="33"/>
  <c r="FP138" i="33"/>
  <c r="FL138" i="33"/>
  <c r="FM138" i="33"/>
  <c r="FO138" i="33"/>
  <c r="FL183" i="33"/>
  <c r="FM183" i="33"/>
  <c r="FN183" i="33"/>
  <c r="FO183" i="33"/>
  <c r="FP183" i="33"/>
  <c r="FK183" i="33"/>
  <c r="FJ183" i="33"/>
  <c r="DW183" i="33"/>
  <c r="DX183" i="33"/>
  <c r="DY183" i="33"/>
  <c r="DZ183" i="33"/>
  <c r="DU183" i="33"/>
  <c r="EA183" i="33"/>
  <c r="EB183" i="33"/>
  <c r="CJ89" i="33"/>
  <c r="EA86" i="33"/>
  <c r="DW96" i="33"/>
  <c r="EA82" i="33"/>
  <c r="EA74" i="33"/>
  <c r="DV96" i="33"/>
  <c r="CF73" i="33"/>
  <c r="DU96" i="33"/>
  <c r="DY96" i="33"/>
  <c r="CK88" i="33"/>
  <c r="CK72" i="33"/>
  <c r="DZ89" i="33"/>
  <c r="DZ83" i="33"/>
  <c r="EA80" i="33"/>
  <c r="DX96" i="33"/>
  <c r="CK70" i="33"/>
  <c r="CI96" i="33"/>
  <c r="CJ87" i="33"/>
  <c r="CJ83" i="33"/>
  <c r="CJ71" i="33"/>
  <c r="DU85" i="33"/>
  <c r="DU73" i="33"/>
  <c r="L63" i="33"/>
  <c r="K49" i="33"/>
  <c r="EA72" i="33"/>
  <c r="CK82" i="33"/>
  <c r="EA71" i="33"/>
  <c r="DZ87" i="33"/>
  <c r="EA88" i="33"/>
  <c r="CF79" i="33"/>
  <c r="CM93" i="33"/>
  <c r="CK86" i="33"/>
  <c r="DY72" i="33"/>
  <c r="CM88" i="33"/>
  <c r="CM86" i="33"/>
  <c r="CM82" i="33"/>
  <c r="CM72" i="33"/>
  <c r="CM70" i="33"/>
  <c r="DZ96" i="33"/>
  <c r="CL88" i="33"/>
  <c r="CL86" i="33"/>
  <c r="CL82" i="33"/>
  <c r="CL72" i="33"/>
  <c r="CL70" i="33"/>
  <c r="EB88" i="33"/>
  <c r="EB86" i="33"/>
  <c r="EB82" i="33"/>
  <c r="EB80" i="33"/>
  <c r="EB74" i="33"/>
  <c r="EB72" i="33"/>
  <c r="CG96" i="33"/>
  <c r="CG86" i="33"/>
  <c r="DW86" i="33"/>
  <c r="DW80" i="33"/>
  <c r="DW74" i="33"/>
  <c r="DV86" i="33"/>
  <c r="DV74" i="33"/>
  <c r="CM89" i="33"/>
  <c r="CM87" i="33"/>
  <c r="CM83" i="33"/>
  <c r="CM79" i="33"/>
  <c r="CM73" i="33"/>
  <c r="CM71" i="33"/>
  <c r="DU86" i="33"/>
  <c r="DU80" i="33"/>
  <c r="DU74" i="33"/>
  <c r="DY80" i="33"/>
  <c r="DX80" i="33"/>
  <c r="DV80" i="33"/>
  <c r="CF93" i="33"/>
  <c r="CL89" i="33"/>
  <c r="CL87" i="33"/>
  <c r="CL83" i="33"/>
  <c r="CL79" i="33"/>
  <c r="CL73" i="33"/>
  <c r="CL71" i="33"/>
  <c r="EB89" i="33"/>
  <c r="EB87" i="33"/>
  <c r="EB83" i="33"/>
  <c r="EB73" i="33"/>
  <c r="EB71" i="33"/>
  <c r="CJ86" i="33"/>
  <c r="DZ74" i="33"/>
  <c r="DY86" i="33"/>
  <c r="DX86" i="33"/>
  <c r="CK96" i="33"/>
  <c r="CG93" i="33"/>
  <c r="CK89" i="33"/>
  <c r="CK87" i="33"/>
  <c r="CK83" i="33"/>
  <c r="CK79" i="33"/>
  <c r="CK73" i="33"/>
  <c r="CK71" i="33"/>
  <c r="EA89" i="33"/>
  <c r="EA87" i="33"/>
  <c r="EA83" i="33"/>
  <c r="EA73" i="33"/>
  <c r="DZ88" i="33"/>
  <c r="DY88" i="33"/>
  <c r="DX74" i="33"/>
  <c r="DZ71" i="33"/>
  <c r="CJ72" i="33"/>
  <c r="DZ82" i="33"/>
  <c r="CI86" i="33"/>
  <c r="CJ79" i="33"/>
  <c r="DZ73" i="33"/>
  <c r="CI93" i="33"/>
  <c r="CI79" i="33"/>
  <c r="CI73" i="33"/>
  <c r="DY89" i="33"/>
  <c r="DY87" i="33"/>
  <c r="DY83" i="33"/>
  <c r="DY73" i="33"/>
  <c r="DY71" i="33"/>
  <c r="CJ70" i="33"/>
  <c r="CH86" i="33"/>
  <c r="CJ73" i="33"/>
  <c r="CJ93" i="33"/>
  <c r="CH79" i="33"/>
  <c r="CH73" i="33"/>
  <c r="DX73" i="33"/>
  <c r="CF86" i="33"/>
  <c r="CH93" i="33"/>
  <c r="CK93" i="33"/>
  <c r="CG79" i="33"/>
  <c r="CG73" i="33"/>
  <c r="EB96" i="33"/>
  <c r="DW73" i="33"/>
  <c r="CJ88" i="33"/>
  <c r="CJ82" i="33"/>
  <c r="DZ86" i="33"/>
  <c r="DZ80" i="33"/>
  <c r="DZ72" i="33"/>
  <c r="DY82" i="33"/>
  <c r="DY74" i="33"/>
  <c r="CL93" i="33"/>
  <c r="EA96" i="33"/>
  <c r="DV73" i="33"/>
  <c r="CF96" i="33"/>
  <c r="CJ96" i="33"/>
  <c r="CM96" i="33"/>
  <c r="CL96" i="33"/>
  <c r="CH96" i="33"/>
  <c r="DZ75" i="33"/>
  <c r="CH85" i="33"/>
  <c r="EB75" i="33"/>
  <c r="EA75" i="33"/>
  <c r="DV75" i="33"/>
  <c r="DU75" i="33"/>
  <c r="CH75" i="33"/>
  <c r="DY75" i="33"/>
  <c r="DX75" i="33"/>
  <c r="DW75" i="33"/>
  <c r="K67" i="33"/>
  <c r="DY85" i="33"/>
  <c r="DW85" i="33"/>
  <c r="EB85" i="33"/>
  <c r="EA85" i="33"/>
  <c r="DZ85" i="33"/>
  <c r="DX85" i="33"/>
  <c r="DV85" i="33"/>
  <c r="CJ75" i="33"/>
  <c r="CK75" i="33"/>
  <c r="CL75" i="33"/>
  <c r="CF75" i="33"/>
  <c r="CG75" i="33"/>
  <c r="CM75" i="33"/>
  <c r="CK85" i="33"/>
  <c r="CJ85" i="33"/>
  <c r="CI85" i="33"/>
  <c r="CF85" i="33"/>
  <c r="CM85" i="33"/>
  <c r="CL85" i="33"/>
  <c r="CG85" i="33"/>
  <c r="DZ78" i="33"/>
  <c r="EB78" i="33"/>
  <c r="DY78" i="33"/>
  <c r="EA78" i="33"/>
  <c r="DX78" i="33"/>
  <c r="DW78" i="33"/>
  <c r="DV78" i="33"/>
  <c r="DU78" i="33"/>
  <c r="DW77" i="33"/>
  <c r="DV77" i="33"/>
  <c r="EB77" i="33"/>
  <c r="EA77" i="33"/>
  <c r="DZ77" i="33"/>
  <c r="DY77" i="33"/>
  <c r="DX77" i="33"/>
  <c r="DU77" i="33"/>
  <c r="CM78" i="33"/>
  <c r="CL78" i="33"/>
  <c r="CK78" i="33"/>
  <c r="CJ78" i="33"/>
  <c r="CI78" i="33"/>
  <c r="CH78" i="33"/>
  <c r="CG78" i="33"/>
  <c r="CF78" i="33"/>
  <c r="CF77" i="33"/>
  <c r="CM77" i="33"/>
  <c r="CL77" i="33"/>
  <c r="CK77" i="33"/>
  <c r="CJ77" i="33"/>
  <c r="CI77" i="33"/>
  <c r="CH77" i="33"/>
  <c r="CG77" i="33"/>
  <c r="CM76" i="33"/>
  <c r="CJ76" i="33"/>
  <c r="CL76" i="33"/>
  <c r="CK76" i="33"/>
  <c r="CI76" i="33"/>
  <c r="CH76" i="33"/>
  <c r="CG76" i="33"/>
  <c r="CF76" i="33"/>
  <c r="EB76" i="33"/>
  <c r="DZ76" i="33"/>
  <c r="EA76" i="33"/>
  <c r="DY76" i="33"/>
  <c r="DW76" i="33"/>
  <c r="DX76" i="33"/>
  <c r="DV76" i="33"/>
  <c r="DU76" i="33"/>
  <c r="L61" i="33"/>
  <c r="L49" i="33"/>
  <c r="K45" i="33"/>
  <c r="L17" i="33"/>
  <c r="K65" i="33"/>
  <c r="K63" i="33"/>
  <c r="K61" i="33"/>
  <c r="K53" i="33"/>
  <c r="K51" i="33"/>
  <c r="K43" i="33"/>
  <c r="K41" i="33"/>
  <c r="K39" i="33"/>
  <c r="K37" i="33"/>
  <c r="K35" i="33"/>
  <c r="K33" i="33"/>
  <c r="K30" i="33"/>
  <c r="K28" i="33"/>
  <c r="K26" i="33"/>
  <c r="K24" i="33"/>
  <c r="K22" i="33"/>
  <c r="K20" i="33"/>
  <c r="K18" i="33"/>
  <c r="K16" i="33"/>
  <c r="K14" i="33"/>
  <c r="L55" i="33"/>
  <c r="K60" i="33"/>
  <c r="K31" i="33"/>
  <c r="L66" i="33"/>
  <c r="K50" i="33"/>
  <c r="K54" i="33"/>
  <c r="L64" i="33"/>
  <c r="L67" i="33"/>
  <c r="K66" i="33"/>
  <c r="K64" i="33"/>
  <c r="K58" i="33"/>
  <c r="K56" i="33"/>
  <c r="K52" i="33"/>
  <c r="K46" i="33"/>
  <c r="K44" i="33"/>
  <c r="K42" i="33"/>
  <c r="K40" i="33"/>
  <c r="K38" i="33"/>
  <c r="K36" i="33"/>
  <c r="K34" i="33"/>
  <c r="K29" i="33"/>
  <c r="K27" i="33"/>
  <c r="K25" i="33"/>
  <c r="K23" i="33"/>
  <c r="K21" i="33"/>
  <c r="K19" i="33"/>
  <c r="K17" i="33"/>
  <c r="K15" i="33"/>
  <c r="L65" i="33"/>
  <c r="K59" i="33"/>
  <c r="K57" i="33"/>
  <c r="K55" i="33"/>
  <c r="K47" i="33"/>
  <c r="L54" i="33"/>
  <c r="L50" i="33"/>
  <c r="L31" i="33"/>
  <c r="L60" i="33"/>
  <c r="L52" i="33"/>
  <c r="L46" i="33"/>
  <c r="L42" i="33"/>
  <c r="L36" i="33"/>
  <c r="L29" i="33"/>
  <c r="L25" i="33"/>
  <c r="L21" i="33"/>
  <c r="L15" i="33"/>
  <c r="L40" i="33"/>
  <c r="L19" i="33"/>
  <c r="L59" i="33"/>
  <c r="L30" i="33"/>
  <c r="L58" i="33"/>
  <c r="L56" i="33"/>
  <c r="L44" i="33"/>
  <c r="L38" i="33"/>
  <c r="L27" i="33"/>
  <c r="L23" i="33"/>
  <c r="L57" i="33"/>
  <c r="L53" i="33"/>
  <c r="L51" i="33"/>
  <c r="L47" i="33"/>
  <c r="L45" i="33"/>
  <c r="L43" i="33"/>
  <c r="L41" i="33"/>
  <c r="L39" i="33"/>
  <c r="L37" i="33"/>
  <c r="L35" i="33"/>
  <c r="L33" i="33"/>
  <c r="L28" i="33"/>
  <c r="L26" i="33"/>
  <c r="L24" i="33"/>
  <c r="L22" i="33"/>
  <c r="L20" i="33"/>
  <c r="L18" i="33"/>
  <c r="L16" i="33"/>
  <c r="G17" i="28"/>
  <c r="DY70" i="33"/>
  <c r="CJ279" i="33"/>
  <c r="CK279" i="33"/>
  <c r="CF279" i="33"/>
  <c r="CM279" i="33"/>
  <c r="CL279" i="33"/>
  <c r="CI279" i="33"/>
  <c r="CH279" i="33"/>
  <c r="CG279" i="33"/>
  <c r="X280" i="33"/>
  <c r="CB280" i="33"/>
  <c r="BZ280" i="33"/>
  <c r="BX280" i="33"/>
  <c r="CD280" i="33"/>
  <c r="CJ149" i="33"/>
  <c r="CJ154" i="33"/>
  <c r="DX113" i="33"/>
  <c r="DY108" i="33"/>
  <c r="DW107" i="33"/>
  <c r="CG155" i="33"/>
  <c r="DY113" i="33"/>
  <c r="CK149" i="33"/>
  <c r="CK138" i="33"/>
  <c r="CK155" i="33"/>
  <c r="CK154" i="33"/>
  <c r="CJ138" i="33"/>
  <c r="DW108" i="33"/>
  <c r="CI149" i="33"/>
  <c r="CI138" i="33"/>
  <c r="CI155" i="33"/>
  <c r="CI154" i="33"/>
  <c r="CI108" i="33"/>
  <c r="CH149" i="33"/>
  <c r="CH138" i="33"/>
  <c r="CH154" i="33"/>
  <c r="EB113" i="33"/>
  <c r="EB108" i="33"/>
  <c r="CF149" i="33"/>
  <c r="CF155" i="33"/>
  <c r="CF154" i="33"/>
  <c r="EA113" i="33"/>
  <c r="EA108" i="33"/>
  <c r="EB70" i="33"/>
  <c r="CM149" i="33"/>
  <c r="CM138" i="33"/>
  <c r="CM155" i="33"/>
  <c r="CM154" i="33"/>
  <c r="DZ113" i="33"/>
  <c r="DZ108" i="33"/>
  <c r="CL149" i="33"/>
  <c r="CL138" i="33"/>
  <c r="CL155" i="33"/>
  <c r="CL154" i="33"/>
  <c r="DX108" i="33"/>
  <c r="DW113" i="33"/>
  <c r="EB90" i="33"/>
  <c r="EB84" i="33"/>
  <c r="EB81" i="33"/>
  <c r="EB79" i="33"/>
  <c r="CI113" i="33"/>
  <c r="CJ108" i="33"/>
  <c r="EA90" i="33"/>
  <c r="DX79" i="33"/>
  <c r="DV90" i="33"/>
  <c r="EA84" i="33"/>
  <c r="DZ84" i="33"/>
  <c r="EA81" i="33"/>
  <c r="DZ81" i="33"/>
  <c r="EA79" i="33"/>
  <c r="DZ79" i="33"/>
  <c r="EA93" i="33"/>
  <c r="DY84" i="33"/>
  <c r="DY81" i="33"/>
  <c r="DY79" i="33"/>
  <c r="DU79" i="33"/>
  <c r="CH113" i="33"/>
  <c r="CH108" i="33"/>
  <c r="CG97" i="33"/>
  <c r="DZ70" i="33"/>
  <c r="CM113" i="33"/>
  <c r="CM108" i="33"/>
  <c r="CL113" i="33"/>
  <c r="CL108" i="33"/>
  <c r="CK113" i="33"/>
  <c r="CK108" i="33"/>
  <c r="CJ122" i="33"/>
  <c r="CJ114" i="33"/>
  <c r="CJ113" i="33"/>
  <c r="CJ109" i="33"/>
  <c r="EA124" i="33"/>
  <c r="EA123" i="33"/>
  <c r="EA122" i="33"/>
  <c r="EA121" i="33"/>
  <c r="EA120" i="33"/>
  <c r="EA119" i="33"/>
  <c r="EA118" i="33"/>
  <c r="EA117" i="33"/>
  <c r="EA116" i="33"/>
  <c r="EA115" i="33"/>
  <c r="EA114" i="33"/>
  <c r="EA111" i="33"/>
  <c r="DY100" i="33"/>
  <c r="DY99" i="33"/>
  <c r="DY98" i="33"/>
  <c r="DY97" i="33"/>
  <c r="DY95" i="33"/>
  <c r="DY94" i="33"/>
  <c r="EA70" i="33"/>
  <c r="DW79" i="33"/>
  <c r="DV79" i="33"/>
  <c r="DZ90" i="33"/>
  <c r="DY90" i="33"/>
  <c r="DX90" i="33"/>
  <c r="DW90" i="33"/>
  <c r="DU90" i="33"/>
  <c r="EB93" i="33"/>
  <c r="EB100" i="33"/>
  <c r="EB99" i="33"/>
  <c r="EB98" i="33"/>
  <c r="EB97" i="33"/>
  <c r="EB95" i="33"/>
  <c r="EB94" i="33"/>
  <c r="CJ124" i="33"/>
  <c r="CJ123" i="33"/>
  <c r="CJ120" i="33"/>
  <c r="CJ119" i="33"/>
  <c r="CJ118" i="33"/>
  <c r="CJ117" i="33"/>
  <c r="CJ116" i="33"/>
  <c r="CJ115" i="33"/>
  <c r="CJ111" i="33"/>
  <c r="CJ110" i="33"/>
  <c r="CJ105" i="33"/>
  <c r="CJ104" i="33"/>
  <c r="CJ102" i="33"/>
  <c r="CJ99" i="33"/>
  <c r="CJ97" i="33"/>
  <c r="CJ94" i="33"/>
  <c r="CM84" i="33"/>
  <c r="EA110" i="33"/>
  <c r="EA109" i="33"/>
  <c r="EA107" i="33"/>
  <c r="EA106" i="33"/>
  <c r="EA105" i="33"/>
  <c r="EA104" i="33"/>
  <c r="EA103" i="33"/>
  <c r="EA102" i="33"/>
  <c r="EA101" i="33"/>
  <c r="EA100" i="33"/>
  <c r="EA99" i="33"/>
  <c r="EA98" i="33"/>
  <c r="EA97" i="33"/>
  <c r="EA94" i="33"/>
  <c r="CL74" i="33"/>
  <c r="DZ93" i="33"/>
  <c r="DZ100" i="33"/>
  <c r="DZ99" i="33"/>
  <c r="DZ98" i="33"/>
  <c r="DZ97" i="33"/>
  <c r="DZ95" i="33"/>
  <c r="DZ94" i="33"/>
  <c r="CK90" i="33"/>
  <c r="CK81" i="33"/>
  <c r="CK80" i="33"/>
  <c r="DX98" i="33"/>
  <c r="DX97" i="33"/>
  <c r="DX94" i="33"/>
  <c r="DU93" i="33"/>
  <c r="DU100" i="33"/>
  <c r="DU99" i="33"/>
  <c r="DU98" i="33"/>
  <c r="DU97" i="33"/>
  <c r="DU94" i="33"/>
  <c r="CG121" i="33"/>
  <c r="CJ121" i="33"/>
  <c r="CJ107" i="33"/>
  <c r="CH106" i="33"/>
  <c r="CJ106" i="33"/>
  <c r="CJ103" i="33"/>
  <c r="CJ101" i="33"/>
  <c r="CH98" i="33"/>
  <c r="CJ98" i="33"/>
  <c r="CJ95" i="33"/>
  <c r="CM90" i="33"/>
  <c r="CM81" i="33"/>
  <c r="DZ124" i="33"/>
  <c r="DZ123" i="33"/>
  <c r="DZ122" i="33"/>
  <c r="DZ121" i="33"/>
  <c r="DZ120" i="33"/>
  <c r="DZ119" i="33"/>
  <c r="DZ118" i="33"/>
  <c r="DZ117" i="33"/>
  <c r="DZ116" i="33"/>
  <c r="DZ115" i="33"/>
  <c r="DZ114" i="33"/>
  <c r="DZ111" i="33"/>
  <c r="DZ110" i="33"/>
  <c r="DZ109" i="33"/>
  <c r="DZ107" i="33"/>
  <c r="DZ106" i="33"/>
  <c r="DZ105" i="33"/>
  <c r="DZ104" i="33"/>
  <c r="DZ103" i="33"/>
  <c r="DZ102" i="33"/>
  <c r="DZ101" i="33"/>
  <c r="CL90" i="33"/>
  <c r="CL81" i="33"/>
  <c r="DY124" i="33"/>
  <c r="DY123" i="33"/>
  <c r="DY122" i="33"/>
  <c r="DY121" i="33"/>
  <c r="DY120" i="33"/>
  <c r="DY119" i="33"/>
  <c r="DY118" i="33"/>
  <c r="DY117" i="33"/>
  <c r="DY116" i="33"/>
  <c r="DY115" i="33"/>
  <c r="DY114" i="33"/>
  <c r="DY111" i="33"/>
  <c r="DY110" i="33"/>
  <c r="DY109" i="33"/>
  <c r="DY107" i="33"/>
  <c r="DY106" i="33"/>
  <c r="DY105" i="33"/>
  <c r="DY104" i="33"/>
  <c r="DY103" i="33"/>
  <c r="DY102" i="33"/>
  <c r="DY101" i="33"/>
  <c r="CI115" i="33"/>
  <c r="CI74" i="33"/>
  <c r="CK74" i="33"/>
  <c r="DX124" i="33"/>
  <c r="DX123" i="33"/>
  <c r="DX121" i="33"/>
  <c r="DX120" i="33"/>
  <c r="DX119" i="33"/>
  <c r="DX118" i="33"/>
  <c r="DX117" i="33"/>
  <c r="DX116" i="33"/>
  <c r="DX115" i="33"/>
  <c r="DX111" i="33"/>
  <c r="DX110" i="33"/>
  <c r="DX107" i="33"/>
  <c r="DX106" i="33"/>
  <c r="DX105" i="33"/>
  <c r="DX104" i="33"/>
  <c r="DX103" i="33"/>
  <c r="DX102" i="33"/>
  <c r="DX101" i="33"/>
  <c r="DX100" i="33"/>
  <c r="DX99" i="33"/>
  <c r="DX95" i="33"/>
  <c r="CJ81" i="33"/>
  <c r="CJ80" i="33"/>
  <c r="CI80" i="33"/>
  <c r="CF98" i="33"/>
  <c r="CM74" i="33"/>
  <c r="DV93" i="33"/>
  <c r="CM124" i="33"/>
  <c r="CM123" i="33"/>
  <c r="CM122" i="33"/>
  <c r="CM121" i="33"/>
  <c r="CM120" i="33"/>
  <c r="CM119" i="33"/>
  <c r="CM118" i="33"/>
  <c r="CM117" i="33"/>
  <c r="CM116" i="33"/>
  <c r="CM115" i="33"/>
  <c r="CM114" i="33"/>
  <c r="CM111" i="33"/>
  <c r="CM110" i="33"/>
  <c r="CM109" i="33"/>
  <c r="CM107" i="33"/>
  <c r="CM106" i="33"/>
  <c r="CM105" i="33"/>
  <c r="CM104" i="33"/>
  <c r="CM103" i="33"/>
  <c r="CM102" i="33"/>
  <c r="CM101" i="33"/>
  <c r="CM100" i="33"/>
  <c r="CM99" i="33"/>
  <c r="CM98" i="33"/>
  <c r="CM97" i="33"/>
  <c r="CM95" i="33"/>
  <c r="CM94" i="33"/>
  <c r="CK95" i="33"/>
  <c r="DU124" i="33"/>
  <c r="DU123" i="33"/>
  <c r="DU121" i="33"/>
  <c r="DU120" i="33"/>
  <c r="DU119" i="33"/>
  <c r="DU118" i="33"/>
  <c r="DU117" i="33"/>
  <c r="DU116" i="33"/>
  <c r="DU115" i="33"/>
  <c r="DU111" i="33"/>
  <c r="DU110" i="33"/>
  <c r="DU107" i="33"/>
  <c r="DU106" i="33"/>
  <c r="DU105" i="33"/>
  <c r="DU104" i="33"/>
  <c r="DU103" i="33"/>
  <c r="DU102" i="33"/>
  <c r="DU101" i="33"/>
  <c r="CL124" i="33"/>
  <c r="CL123" i="33"/>
  <c r="CL122" i="33"/>
  <c r="CL121" i="33"/>
  <c r="CL120" i="33"/>
  <c r="CL119" i="33"/>
  <c r="CL118" i="33"/>
  <c r="CL117" i="33"/>
  <c r="CL116" i="33"/>
  <c r="CL115" i="33"/>
  <c r="CL114" i="33"/>
  <c r="CL111" i="33"/>
  <c r="CL110" i="33"/>
  <c r="CL109" i="33"/>
  <c r="CL107" i="33"/>
  <c r="CL106" i="33"/>
  <c r="CL105" i="33"/>
  <c r="CL104" i="33"/>
  <c r="CL103" i="33"/>
  <c r="CL100" i="33"/>
  <c r="CL99" i="33"/>
  <c r="CL98" i="33"/>
  <c r="CL97" i="33"/>
  <c r="CL95" i="33"/>
  <c r="EB124" i="33"/>
  <c r="EB123" i="33"/>
  <c r="EB122" i="33"/>
  <c r="EB121" i="33"/>
  <c r="EB120" i="33"/>
  <c r="EB119" i="33"/>
  <c r="EB118" i="33"/>
  <c r="EB117" i="33"/>
  <c r="EB116" i="33"/>
  <c r="EB115" i="33"/>
  <c r="EB114" i="33"/>
  <c r="EB111" i="33"/>
  <c r="EB110" i="33"/>
  <c r="EB109" i="33"/>
  <c r="EB107" i="33"/>
  <c r="EB106" i="33"/>
  <c r="EB105" i="33"/>
  <c r="EB104" i="33"/>
  <c r="EB103" i="33"/>
  <c r="EB102" i="33"/>
  <c r="EB101" i="33"/>
  <c r="CG105" i="33"/>
  <c r="CK124" i="33"/>
  <c r="CK123" i="33"/>
  <c r="CK122" i="33"/>
  <c r="CK121" i="33"/>
  <c r="CK120" i="33"/>
  <c r="CK119" i="33"/>
  <c r="CK118" i="33"/>
  <c r="CK117" i="33"/>
  <c r="CK116" i="33"/>
  <c r="CK115" i="33"/>
  <c r="CK114" i="33"/>
  <c r="CK111" i="33"/>
  <c r="CK110" i="33"/>
  <c r="CK109" i="33"/>
  <c r="CK107" i="33"/>
  <c r="CK106" i="33"/>
  <c r="CK105" i="33"/>
  <c r="CK104" i="33"/>
  <c r="CK103" i="33"/>
  <c r="CK102" i="33"/>
  <c r="CK101" i="33"/>
  <c r="CK99" i="33"/>
  <c r="CK98" i="33"/>
  <c r="CK97" i="33"/>
  <c r="CK94" i="33"/>
  <c r="CM80" i="33"/>
  <c r="DV124" i="33"/>
  <c r="DV123" i="33"/>
  <c r="DV121" i="33"/>
  <c r="DV120" i="33"/>
  <c r="DV119" i="33"/>
  <c r="DV118" i="33"/>
  <c r="DV117" i="33"/>
  <c r="DV116" i="33"/>
  <c r="DV115" i="33"/>
  <c r="DV111" i="33"/>
  <c r="DV110" i="33"/>
  <c r="DV107" i="33"/>
  <c r="DV106" i="33"/>
  <c r="DV105" i="33"/>
  <c r="DV104" i="33"/>
  <c r="DV103" i="33"/>
  <c r="DV102" i="33"/>
  <c r="DV101" i="33"/>
  <c r="DV100" i="33"/>
  <c r="DV99" i="33"/>
  <c r="DV98" i="33"/>
  <c r="DV97" i="33"/>
  <c r="DV95" i="33"/>
  <c r="DV94" i="33"/>
  <c r="CL84" i="33"/>
  <c r="CL80" i="33"/>
  <c r="DU95" i="33"/>
  <c r="CK84" i="33"/>
  <c r="CI75" i="33"/>
  <c r="CL102" i="33"/>
  <c r="CL101" i="33"/>
  <c r="CL94" i="33"/>
  <c r="CJ90" i="33"/>
  <c r="CJ84" i="33"/>
  <c r="CJ74" i="33"/>
  <c r="EA95" i="33"/>
  <c r="CK100" i="33"/>
  <c r="CJ100" i="33"/>
  <c r="CI90" i="33"/>
  <c r="DY93" i="33"/>
  <c r="DX93" i="33"/>
  <c r="CF80" i="33"/>
  <c r="DW93" i="33"/>
  <c r="DW124" i="33"/>
  <c r="DW123" i="33"/>
  <c r="DW121" i="33"/>
  <c r="DW120" i="33"/>
  <c r="DW119" i="33"/>
  <c r="DW118" i="33"/>
  <c r="DW117" i="33"/>
  <c r="DW116" i="33"/>
  <c r="DW115" i="33"/>
  <c r="DW111" i="33"/>
  <c r="DW110" i="33"/>
  <c r="DW106" i="33"/>
  <c r="DW105" i="33"/>
  <c r="DW104" i="33"/>
  <c r="DW103" i="33"/>
  <c r="DW102" i="33"/>
  <c r="DW101" i="33"/>
  <c r="DW100" i="33"/>
  <c r="DW99" i="33"/>
  <c r="DW98" i="33"/>
  <c r="DW97" i="33"/>
  <c r="DW95" i="33"/>
  <c r="DW94" i="33"/>
  <c r="CI123" i="33"/>
  <c r="CI107" i="33"/>
  <c r="CI99" i="33"/>
  <c r="CF90" i="33"/>
  <c r="CF74" i="33"/>
  <c r="CH90" i="33"/>
  <c r="CH80" i="33"/>
  <c r="CH74" i="33"/>
  <c r="CG90" i="33"/>
  <c r="CG80" i="33"/>
  <c r="CG74" i="33"/>
  <c r="CI119" i="33"/>
  <c r="CI118" i="33"/>
  <c r="CI117" i="33"/>
  <c r="CI116" i="33"/>
  <c r="CI111" i="33"/>
  <c r="CI110" i="33"/>
  <c r="CF104" i="33"/>
  <c r="CI103" i="33"/>
  <c r="CI102" i="33"/>
  <c r="CI101" i="33"/>
  <c r="CI100" i="33"/>
  <c r="CI95" i="33"/>
  <c r="CI94" i="33"/>
  <c r="CI124" i="33"/>
  <c r="CF120" i="33"/>
  <c r="CH118" i="33"/>
  <c r="CH117" i="33"/>
  <c r="CH116" i="33"/>
  <c r="CH115" i="33"/>
  <c r="CH110" i="33"/>
  <c r="CH107" i="33"/>
  <c r="CH102" i="33"/>
  <c r="CH101" i="33"/>
  <c r="CH100" i="33"/>
  <c r="CH99" i="33"/>
  <c r="CH94" i="33"/>
  <c r="CH124" i="33"/>
  <c r="CF118" i="33"/>
  <c r="CG117" i="33"/>
  <c r="CG116" i="33"/>
  <c r="CG115" i="33"/>
  <c r="CF110" i="33"/>
  <c r="CG107" i="33"/>
  <c r="CG106" i="33"/>
  <c r="CF102" i="33"/>
  <c r="CG101" i="33"/>
  <c r="CG100" i="33"/>
  <c r="CG99" i="33"/>
  <c r="CG98" i="33"/>
  <c r="CF94" i="33"/>
  <c r="CG124" i="33"/>
  <c r="CG123" i="33"/>
  <c r="CF100" i="33"/>
  <c r="CF119" i="33"/>
  <c r="CF117" i="33"/>
  <c r="CF111" i="33"/>
  <c r="CF103" i="33"/>
  <c r="CF101" i="33"/>
  <c r="CF95" i="33"/>
  <c r="CF124" i="33"/>
  <c r="CF116" i="33"/>
  <c r="CI120" i="33"/>
  <c r="CH119" i="33"/>
  <c r="CG118" i="33"/>
  <c r="CH111" i="33"/>
  <c r="CG110" i="33"/>
  <c r="CI104" i="33"/>
  <c r="CH103" i="33"/>
  <c r="CG102" i="33"/>
  <c r="CH95" i="33"/>
  <c r="CG94" i="33"/>
  <c r="CF123" i="33"/>
  <c r="CF115" i="33"/>
  <c r="CF107" i="33"/>
  <c r="CF99" i="33"/>
  <c r="CI121" i="33"/>
  <c r="CH120" i="33"/>
  <c r="CG119" i="33"/>
  <c r="CG111" i="33"/>
  <c r="CI105" i="33"/>
  <c r="CH104" i="33"/>
  <c r="CG103" i="33"/>
  <c r="CI97" i="33"/>
  <c r="CG95" i="33"/>
  <c r="CF106" i="33"/>
  <c r="CH121" i="33"/>
  <c r="CG120" i="33"/>
  <c r="CI106" i="33"/>
  <c r="CH105" i="33"/>
  <c r="CG104" i="33"/>
  <c r="CI98" i="33"/>
  <c r="CH97" i="33"/>
  <c r="CF121" i="33"/>
  <c r="CF105" i="33"/>
  <c r="CF97" i="33"/>
  <c r="CH123" i="33"/>
  <c r="L153" i="33" l="1"/>
  <c r="L279" i="33"/>
  <c r="L138" i="33"/>
  <c r="I89" i="33"/>
  <c r="J183" i="33"/>
  <c r="L183" i="33"/>
  <c r="K183" i="33"/>
  <c r="H89" i="33"/>
  <c r="L154" i="33"/>
  <c r="L149" i="33"/>
  <c r="L155" i="33"/>
  <c r="H70" i="33"/>
  <c r="H87" i="33"/>
  <c r="H83" i="33"/>
  <c r="H85" i="33"/>
  <c r="H84" i="33"/>
  <c r="H82" i="33"/>
  <c r="H81" i="33"/>
  <c r="I83" i="33"/>
  <c r="H77" i="33"/>
  <c r="I87" i="33"/>
  <c r="H86" i="33"/>
  <c r="H88" i="33"/>
  <c r="H90" i="33"/>
  <c r="H72" i="33"/>
  <c r="I82" i="33"/>
  <c r="I85" i="33"/>
  <c r="I84" i="33"/>
  <c r="I75" i="33"/>
  <c r="I81" i="33"/>
  <c r="H80" i="33"/>
  <c r="H79" i="33"/>
  <c r="H78" i="33"/>
  <c r="I78" i="33"/>
  <c r="I77" i="33"/>
  <c r="H76" i="33"/>
  <c r="H75" i="33"/>
  <c r="H74" i="33"/>
  <c r="H73" i="33"/>
  <c r="I72" i="33"/>
  <c r="H71" i="33"/>
  <c r="I86" i="33"/>
  <c r="I80" i="33"/>
  <c r="I74" i="33"/>
  <c r="I90" i="33"/>
  <c r="I76" i="33"/>
  <c r="I73" i="33"/>
  <c r="I70" i="33"/>
  <c r="I79" i="33"/>
  <c r="I88" i="33"/>
  <c r="I71" i="33"/>
  <c r="G22" i="28"/>
  <c r="G23" i="28"/>
  <c r="G2" i="9"/>
  <c r="G11" i="16" l="1"/>
  <c r="H7" i="16"/>
  <c r="H16" i="16"/>
  <c r="H17" i="16"/>
  <c r="H14" i="16"/>
  <c r="G4" i="16"/>
  <c r="G22" i="16"/>
  <c r="G20" i="16"/>
  <c r="G18" i="16"/>
  <c r="G9" i="16"/>
  <c r="H5" i="16"/>
  <c r="H8" i="16"/>
  <c r="G19" i="16"/>
  <c r="H12" i="16"/>
  <c r="G21" i="16"/>
  <c r="H21" i="16"/>
  <c r="G12" i="16"/>
  <c r="H15" i="16"/>
  <c r="G13" i="16"/>
  <c r="G16" i="16"/>
  <c r="H18" i="16"/>
  <c r="G5" i="16"/>
  <c r="G6" i="16"/>
  <c r="G7" i="16"/>
  <c r="H13" i="16"/>
  <c r="H19" i="16"/>
  <c r="H3" i="16"/>
  <c r="H20" i="16"/>
  <c r="H11" i="16"/>
  <c r="G14" i="16"/>
  <c r="G17" i="16"/>
  <c r="G15" i="16"/>
  <c r="H22" i="16"/>
  <c r="H6" i="16"/>
  <c r="G3" i="16"/>
  <c r="H4" i="16"/>
  <c r="G8" i="16"/>
  <c r="H9" i="16"/>
  <c r="H10" i="16"/>
  <c r="G10" i="16"/>
  <c r="H7" i="9"/>
  <c r="H6" i="9"/>
  <c r="H12" i="9"/>
  <c r="G11" i="9"/>
  <c r="G14" i="9"/>
  <c r="G12" i="9"/>
  <c r="H22" i="9"/>
  <c r="G31" i="9"/>
  <c r="H23" i="9"/>
  <c r="H33" i="9"/>
  <c r="H14" i="9"/>
  <c r="H9" i="9"/>
  <c r="G9" i="9"/>
  <c r="H32" i="9"/>
  <c r="H26" i="9"/>
  <c r="G16" i="9"/>
  <c r="H15" i="9"/>
  <c r="G7" i="9"/>
  <c r="H3" i="9"/>
  <c r="G29" i="9"/>
  <c r="G3" i="9"/>
  <c r="G18" i="9"/>
  <c r="H30" i="9"/>
  <c r="G10" i="9"/>
  <c r="G22" i="9"/>
  <c r="H28" i="9"/>
  <c r="G19" i="9"/>
  <c r="G20" i="9"/>
  <c r="G15" i="9"/>
  <c r="H20" i="9"/>
  <c r="H27" i="9"/>
  <c r="G25" i="9"/>
  <c r="H8" i="9"/>
  <c r="H25" i="9"/>
  <c r="G4" i="9"/>
  <c r="H29" i="9"/>
  <c r="G32" i="9"/>
  <c r="G24" i="9"/>
  <c r="H4" i="9"/>
  <c r="G28" i="9"/>
  <c r="H11" i="9"/>
  <c r="G8" i="9"/>
  <c r="G17" i="9"/>
  <c r="G30" i="9"/>
  <c r="H13" i="9"/>
  <c r="H19" i="9"/>
  <c r="G26" i="9"/>
  <c r="G27" i="9"/>
  <c r="H17" i="9"/>
  <c r="H31" i="9"/>
  <c r="H24" i="9"/>
  <c r="H10" i="9"/>
  <c r="H16" i="9"/>
  <c r="G13" i="9"/>
  <c r="G6" i="9"/>
  <c r="H18" i="9"/>
  <c r="G33" i="9"/>
  <c r="G23" i="9"/>
  <c r="U71" i="33" a="1"/>
  <c r="U71" i="33" s="1"/>
  <c r="V71" i="33" a="1"/>
  <c r="V71" i="33" s="1"/>
  <c r="W71" i="33" a="1"/>
  <c r="W71" i="33" s="1"/>
  <c r="X71" i="33" l="1"/>
  <c r="V60" i="33" a="1"/>
  <c r="V60" i="33" s="1"/>
  <c r="W60" i="33" a="1"/>
  <c r="W60" i="33" s="1"/>
  <c r="U328" i="33" a="1"/>
  <c r="U328" i="33" s="1"/>
  <c r="V328" i="33" a="1"/>
  <c r="V328" i="33" s="1"/>
  <c r="W328" i="33" a="1"/>
  <c r="W328" i="33" s="1"/>
  <c r="U299" i="33" a="1"/>
  <c r="U299" i="33" s="1"/>
  <c r="V281" i="33" a="1"/>
  <c r="V281" i="33" s="1"/>
  <c r="W281" i="33" a="1"/>
  <c r="W281" i="33" s="1"/>
  <c r="V282" i="33" a="1"/>
  <c r="V282" i="33" s="1"/>
  <c r="W282" i="33" a="1"/>
  <c r="W282" i="33" s="1"/>
  <c r="V283" i="33" a="1"/>
  <c r="V283" i="33" s="1"/>
  <c r="W283" i="33" a="1"/>
  <c r="W283" i="33" s="1"/>
  <c r="V284" i="33" a="1"/>
  <c r="V284" i="33" s="1"/>
  <c r="W284" i="33" a="1"/>
  <c r="W284" i="33" s="1"/>
  <c r="V285" i="33" a="1"/>
  <c r="V285" i="33" s="1"/>
  <c r="W285" i="33" a="1"/>
  <c r="W285" i="33" s="1"/>
  <c r="V286" i="33" a="1"/>
  <c r="V286" i="33" s="1"/>
  <c r="W286" i="33" a="1"/>
  <c r="W286" i="33" s="1"/>
  <c r="V287" i="33" a="1"/>
  <c r="V287" i="33" s="1"/>
  <c r="W287" i="33" a="1"/>
  <c r="W287" i="33" s="1"/>
  <c r="V288" i="33" a="1"/>
  <c r="V288" i="33" s="1"/>
  <c r="W288" i="33" a="1"/>
  <c r="W288" i="33" s="1"/>
  <c r="V289" i="33" a="1"/>
  <c r="V289" i="33" s="1"/>
  <c r="W289" i="33" a="1"/>
  <c r="W289" i="33" s="1"/>
  <c r="V290" i="33" a="1"/>
  <c r="V290" i="33" s="1"/>
  <c r="W290" i="33" a="1"/>
  <c r="W290" i="33" s="1"/>
  <c r="V291" i="33" a="1"/>
  <c r="V291" i="33" s="1"/>
  <c r="W291" i="33" a="1"/>
  <c r="W291" i="33" s="1"/>
  <c r="V292" i="33" a="1"/>
  <c r="V292" i="33" s="1"/>
  <c r="W292" i="33" a="1"/>
  <c r="W292" i="33" s="1"/>
  <c r="V293" i="33" a="1"/>
  <c r="V293" i="33" s="1"/>
  <c r="W293" i="33" a="1"/>
  <c r="W293" i="33" s="1"/>
  <c r="V294" i="33" a="1"/>
  <c r="V294" i="33" s="1"/>
  <c r="W294" i="33" a="1"/>
  <c r="W294" i="33" s="1"/>
  <c r="V295" i="33" a="1"/>
  <c r="V295" i="33" s="1"/>
  <c r="W295" i="33" a="1"/>
  <c r="W295" i="33" s="1"/>
  <c r="V296" i="33" a="1"/>
  <c r="V296" i="33" s="1"/>
  <c r="W296" i="33" a="1"/>
  <c r="W296" i="33" s="1"/>
  <c r="W279" i="33" a="1"/>
  <c r="W279" i="33" s="1"/>
  <c r="V279" i="33" a="1"/>
  <c r="V279" i="33" s="1"/>
  <c r="U281" i="33" a="1"/>
  <c r="U281" i="33" s="1"/>
  <c r="U282" i="33" a="1"/>
  <c r="U282" i="33" s="1"/>
  <c r="U283" i="33" a="1"/>
  <c r="U283" i="33" s="1"/>
  <c r="U284" i="33" a="1"/>
  <c r="U284" i="33" s="1"/>
  <c r="U285" i="33" a="1"/>
  <c r="U285" i="33" s="1"/>
  <c r="U286" i="33" a="1"/>
  <c r="U286" i="33" s="1"/>
  <c r="U287" i="33" a="1"/>
  <c r="U287" i="33" s="1"/>
  <c r="U288" i="33" a="1"/>
  <c r="U288" i="33" s="1"/>
  <c r="U289" i="33" a="1"/>
  <c r="U289" i="33" s="1"/>
  <c r="U290" i="33" a="1"/>
  <c r="U290" i="33" s="1"/>
  <c r="U291" i="33" a="1"/>
  <c r="U291" i="33" s="1"/>
  <c r="U292" i="33" a="1"/>
  <c r="U292" i="33" s="1"/>
  <c r="U293" i="33" a="1"/>
  <c r="U293" i="33" s="1"/>
  <c r="U294" i="33" a="1"/>
  <c r="U294" i="33" s="1"/>
  <c r="U295" i="33" a="1"/>
  <c r="U295" i="33" s="1"/>
  <c r="U296" i="33" a="1"/>
  <c r="U296" i="33" s="1"/>
  <c r="U279" i="33" a="1"/>
  <c r="U279" i="33" s="1"/>
  <c r="V94" i="33" a="1"/>
  <c r="V94" i="33" s="1"/>
  <c r="W94" i="33" a="1"/>
  <c r="W94" i="33" s="1"/>
  <c r="V95" i="33" a="1"/>
  <c r="V95" i="33" s="1"/>
  <c r="W95" i="33" a="1"/>
  <c r="W95" i="33" s="1"/>
  <c r="V96" i="33" a="1"/>
  <c r="V96" i="33" s="1"/>
  <c r="W96" i="33" a="1"/>
  <c r="W96" i="33" s="1"/>
  <c r="V97" i="33" a="1"/>
  <c r="V97" i="33" s="1"/>
  <c r="W97" i="33" a="1"/>
  <c r="W97" i="33" s="1"/>
  <c r="V98" i="33" a="1"/>
  <c r="V98" i="33" s="1"/>
  <c r="W98" i="33" a="1"/>
  <c r="W98" i="33" s="1"/>
  <c r="V99" i="33" a="1"/>
  <c r="V99" i="33" s="1"/>
  <c r="W99" i="33" a="1"/>
  <c r="W99" i="33" s="1"/>
  <c r="V100" i="33" a="1"/>
  <c r="V100" i="33" s="1"/>
  <c r="W100" i="33" a="1"/>
  <c r="W100" i="33" s="1"/>
  <c r="V101" i="33" a="1"/>
  <c r="V101" i="33" s="1"/>
  <c r="W101" i="33" a="1"/>
  <c r="W101" i="33" s="1"/>
  <c r="V102" i="33" a="1"/>
  <c r="V102" i="33" s="1"/>
  <c r="W102" i="33" a="1"/>
  <c r="W102" i="33" s="1"/>
  <c r="V103" i="33" a="1"/>
  <c r="V103" i="33" s="1"/>
  <c r="W103" i="33" a="1"/>
  <c r="W103" i="33" s="1"/>
  <c r="V104" i="33" a="1"/>
  <c r="V104" i="33" s="1"/>
  <c r="W104" i="33" a="1"/>
  <c r="W104" i="33" s="1"/>
  <c r="V105" i="33" a="1"/>
  <c r="V105" i="33" s="1"/>
  <c r="W105" i="33" a="1"/>
  <c r="W105" i="33" s="1"/>
  <c r="V106" i="33" a="1"/>
  <c r="V106" i="33" s="1"/>
  <c r="W106" i="33" a="1"/>
  <c r="W106" i="33" s="1"/>
  <c r="V107" i="33" a="1"/>
  <c r="V107" i="33" s="1"/>
  <c r="W107" i="33" a="1"/>
  <c r="W107" i="33" s="1"/>
  <c r="V108" i="33" a="1"/>
  <c r="V108" i="33" s="1"/>
  <c r="W108" i="33" a="1"/>
  <c r="W108" i="33" s="1"/>
  <c r="V109" i="33" a="1"/>
  <c r="V109" i="33" s="1"/>
  <c r="W109" i="33" a="1"/>
  <c r="W109" i="33" s="1"/>
  <c r="V110" i="33" a="1"/>
  <c r="V110" i="33" s="1"/>
  <c r="W110" i="33" a="1"/>
  <c r="W110" i="33" s="1"/>
  <c r="V111" i="33" a="1"/>
  <c r="V111" i="33" s="1"/>
  <c r="W111" i="33" a="1"/>
  <c r="W111" i="33" s="1"/>
  <c r="V113" i="33" a="1"/>
  <c r="V113" i="33" s="1"/>
  <c r="W113" i="33" a="1"/>
  <c r="W113" i="33" s="1"/>
  <c r="V114" i="33" a="1"/>
  <c r="V114" i="33" s="1"/>
  <c r="W114" i="33" a="1"/>
  <c r="W114" i="33" s="1"/>
  <c r="V115" i="33" a="1"/>
  <c r="V115" i="33" s="1"/>
  <c r="W115" i="33" a="1"/>
  <c r="W115" i="33" s="1"/>
  <c r="V116" i="33" a="1"/>
  <c r="V116" i="33" s="1"/>
  <c r="W116" i="33" a="1"/>
  <c r="W116" i="33" s="1"/>
  <c r="V117" i="33" a="1"/>
  <c r="V117" i="33" s="1"/>
  <c r="W117" i="33" a="1"/>
  <c r="W117" i="33" s="1"/>
  <c r="V118" i="33" a="1"/>
  <c r="V118" i="33" s="1"/>
  <c r="W118" i="33" a="1"/>
  <c r="W118" i="33" s="1"/>
  <c r="V119" i="33" a="1"/>
  <c r="V119" i="33" s="1"/>
  <c r="W119" i="33" a="1"/>
  <c r="W119" i="33" s="1"/>
  <c r="V120" i="33" a="1"/>
  <c r="V120" i="33" s="1"/>
  <c r="W120" i="33" a="1"/>
  <c r="W120" i="33" s="1"/>
  <c r="V121" i="33" a="1"/>
  <c r="V121" i="33" s="1"/>
  <c r="W121" i="33" a="1"/>
  <c r="W121" i="33" s="1"/>
  <c r="V122" i="33" a="1"/>
  <c r="V122" i="33" s="1"/>
  <c r="W122" i="33" a="1"/>
  <c r="W122" i="33" s="1"/>
  <c r="V123" i="33" a="1"/>
  <c r="V123" i="33" s="1"/>
  <c r="W123" i="33" a="1"/>
  <c r="W123" i="33" s="1"/>
  <c r="V124" i="33" a="1"/>
  <c r="V124" i="33" s="1"/>
  <c r="W124" i="33" a="1"/>
  <c r="W124" i="33" s="1"/>
  <c r="W93" i="33" a="1"/>
  <c r="W93" i="33" s="1"/>
  <c r="V93" i="33" a="1"/>
  <c r="V93" i="33" s="1"/>
  <c r="U94" i="33" a="1"/>
  <c r="U94" i="33" s="1"/>
  <c r="U95" i="33" a="1"/>
  <c r="U95" i="33" s="1"/>
  <c r="U96" i="33" a="1"/>
  <c r="U96" i="33" s="1"/>
  <c r="U97" i="33" a="1"/>
  <c r="U97" i="33" s="1"/>
  <c r="U98" i="33" a="1"/>
  <c r="U98" i="33" s="1"/>
  <c r="U99" i="33" a="1"/>
  <c r="U99" i="33" s="1"/>
  <c r="U100" i="33" a="1"/>
  <c r="U100" i="33" s="1"/>
  <c r="U101" i="33" a="1"/>
  <c r="U101" i="33" s="1"/>
  <c r="U102" i="33" a="1"/>
  <c r="U102" i="33" s="1"/>
  <c r="U103" i="33" a="1"/>
  <c r="U103" i="33" s="1"/>
  <c r="U104" i="33" a="1"/>
  <c r="U104" i="33" s="1"/>
  <c r="U105" i="33" a="1"/>
  <c r="U105" i="33" s="1"/>
  <c r="U106" i="33" a="1"/>
  <c r="U106" i="33" s="1"/>
  <c r="U107" i="33" a="1"/>
  <c r="U107" i="33" s="1"/>
  <c r="U108" i="33" a="1"/>
  <c r="U108" i="33" s="1"/>
  <c r="U109" i="33" a="1"/>
  <c r="U109" i="33" s="1"/>
  <c r="U110" i="33" a="1"/>
  <c r="U110" i="33" s="1"/>
  <c r="U111" i="33" a="1"/>
  <c r="U111" i="33" s="1"/>
  <c r="U113" i="33" a="1"/>
  <c r="U113" i="33" s="1"/>
  <c r="U114" i="33" a="1"/>
  <c r="U114" i="33" s="1"/>
  <c r="U115" i="33" a="1"/>
  <c r="U115" i="33" s="1"/>
  <c r="U116" i="33" a="1"/>
  <c r="U116" i="33" s="1"/>
  <c r="U117" i="33" a="1"/>
  <c r="U117" i="33" s="1"/>
  <c r="U118" i="33" a="1"/>
  <c r="U118" i="33" s="1"/>
  <c r="U119" i="33" a="1"/>
  <c r="U119" i="33" s="1"/>
  <c r="U120" i="33" a="1"/>
  <c r="U120" i="33" s="1"/>
  <c r="U121" i="33" a="1"/>
  <c r="U121" i="33" s="1"/>
  <c r="U122" i="33" a="1"/>
  <c r="U122" i="33" s="1"/>
  <c r="U123" i="33" a="1"/>
  <c r="U123" i="33" s="1"/>
  <c r="U124" i="33" a="1"/>
  <c r="U124" i="33" s="1"/>
  <c r="U93" i="33" a="1"/>
  <c r="U93" i="33" s="1"/>
  <c r="U72" i="33" a="1"/>
  <c r="U72" i="33" s="1"/>
  <c r="U73" i="33" a="1"/>
  <c r="U73" i="33" s="1"/>
  <c r="U74" i="33" a="1"/>
  <c r="U74" i="33" s="1"/>
  <c r="U75" i="33" a="1"/>
  <c r="U75" i="33" s="1"/>
  <c r="U76" i="33" a="1"/>
  <c r="U76" i="33" s="1"/>
  <c r="U77" i="33" a="1"/>
  <c r="U77" i="33" s="1"/>
  <c r="U78" i="33" a="1"/>
  <c r="U78" i="33" s="1"/>
  <c r="U79" i="33" a="1"/>
  <c r="U79" i="33" s="1"/>
  <c r="U80" i="33" a="1"/>
  <c r="U80" i="33" s="1"/>
  <c r="U81" i="33" a="1"/>
  <c r="U81" i="33" s="1"/>
  <c r="U82" i="33" a="1"/>
  <c r="U82" i="33" s="1"/>
  <c r="U83" i="33" a="1"/>
  <c r="U83" i="33" s="1"/>
  <c r="U84" i="33" a="1"/>
  <c r="U84" i="33" s="1"/>
  <c r="U85" i="33" a="1"/>
  <c r="U85" i="33" s="1"/>
  <c r="U86" i="33" a="1"/>
  <c r="U86" i="33" s="1"/>
  <c r="U87" i="33" a="1"/>
  <c r="U87" i="33" s="1"/>
  <c r="U88" i="33" a="1"/>
  <c r="U88" i="33" s="1"/>
  <c r="U89" i="33" a="1"/>
  <c r="U89" i="33" s="1"/>
  <c r="U90" i="33" a="1"/>
  <c r="U90" i="33" s="1"/>
  <c r="U70" i="33" a="1"/>
  <c r="U70" i="33" s="1"/>
  <c r="W72" i="33" a="1"/>
  <c r="W72" i="33" s="1"/>
  <c r="W73" i="33" a="1"/>
  <c r="W73" i="33" s="1"/>
  <c r="W74" i="33" a="1"/>
  <c r="W74" i="33" s="1"/>
  <c r="W75" i="33" a="1"/>
  <c r="W75" i="33" s="1"/>
  <c r="W76" i="33" a="1"/>
  <c r="W76" i="33" s="1"/>
  <c r="W77" i="33" a="1"/>
  <c r="W77" i="33" s="1"/>
  <c r="W78" i="33" a="1"/>
  <c r="W78" i="33" s="1"/>
  <c r="W79" i="33" a="1"/>
  <c r="W79" i="33" s="1"/>
  <c r="W80" i="33" a="1"/>
  <c r="W80" i="33" s="1"/>
  <c r="W81" i="33" a="1"/>
  <c r="W81" i="33" s="1"/>
  <c r="W82" i="33" a="1"/>
  <c r="W82" i="33" s="1"/>
  <c r="W83" i="33" a="1"/>
  <c r="W83" i="33" s="1"/>
  <c r="W84" i="33" a="1"/>
  <c r="W84" i="33" s="1"/>
  <c r="W85" i="33" a="1"/>
  <c r="W85" i="33" s="1"/>
  <c r="W86" i="33" a="1"/>
  <c r="W86" i="33" s="1"/>
  <c r="W87" i="33" a="1"/>
  <c r="W87" i="33" s="1"/>
  <c r="W88" i="33" a="1"/>
  <c r="W88" i="33" s="1"/>
  <c r="W89" i="33" a="1"/>
  <c r="W89" i="33" s="1"/>
  <c r="W90" i="33" a="1"/>
  <c r="W90" i="33" s="1"/>
  <c r="V72" i="33" a="1"/>
  <c r="V72" i="33" s="1"/>
  <c r="V73" i="33" a="1"/>
  <c r="V73" i="33" s="1"/>
  <c r="V74" i="33" a="1"/>
  <c r="V74" i="33" s="1"/>
  <c r="V75" i="33" a="1"/>
  <c r="V75" i="33" s="1"/>
  <c r="V76" i="33" a="1"/>
  <c r="V76" i="33" s="1"/>
  <c r="V77" i="33" a="1"/>
  <c r="V77" i="33" s="1"/>
  <c r="V78" i="33" a="1"/>
  <c r="V78" i="33" s="1"/>
  <c r="V79" i="33" a="1"/>
  <c r="V79" i="33" s="1"/>
  <c r="V80" i="33" a="1"/>
  <c r="V80" i="33" s="1"/>
  <c r="V81" i="33" a="1"/>
  <c r="V81" i="33" s="1"/>
  <c r="V82" i="33" a="1"/>
  <c r="V82" i="33" s="1"/>
  <c r="V83" i="33" a="1"/>
  <c r="V83" i="33" s="1"/>
  <c r="V84" i="33" a="1"/>
  <c r="V84" i="33" s="1"/>
  <c r="V85" i="33" a="1"/>
  <c r="V85" i="33" s="1"/>
  <c r="V86" i="33" a="1"/>
  <c r="V86" i="33" s="1"/>
  <c r="V87" i="33" a="1"/>
  <c r="V87" i="33" s="1"/>
  <c r="V88" i="33" a="1"/>
  <c r="V88" i="33" s="1"/>
  <c r="V89" i="33" a="1"/>
  <c r="V89" i="33" s="1"/>
  <c r="V90" i="33" a="1"/>
  <c r="V90" i="33" s="1"/>
  <c r="V70" i="33" a="1"/>
  <c r="V70" i="33" s="1"/>
  <c r="W70" i="33" a="1"/>
  <c r="W70" i="33" s="1"/>
  <c r="W13" i="33" a="1"/>
  <c r="W13" i="33" s="1"/>
  <c r="W14" i="33" a="1"/>
  <c r="W14" i="33" s="1"/>
  <c r="W15" i="33" a="1"/>
  <c r="W15" i="33" s="1"/>
  <c r="W16" i="33" a="1"/>
  <c r="W16" i="33" s="1"/>
  <c r="W17" i="33" a="1"/>
  <c r="W17" i="33" s="1"/>
  <c r="W18" i="33" a="1"/>
  <c r="W18" i="33" s="1"/>
  <c r="W19" i="33" a="1"/>
  <c r="W19" i="33" s="1"/>
  <c r="W20" i="33" a="1"/>
  <c r="W20" i="33" s="1"/>
  <c r="W21" i="33" a="1"/>
  <c r="W21" i="33" s="1"/>
  <c r="W22" i="33" a="1"/>
  <c r="W22" i="33" s="1"/>
  <c r="W23" i="33" a="1"/>
  <c r="W23" i="33" s="1"/>
  <c r="W24" i="33" a="1"/>
  <c r="W24" i="33" s="1"/>
  <c r="W25" i="33" a="1"/>
  <c r="W25" i="33" s="1"/>
  <c r="W26" i="33" a="1"/>
  <c r="W26" i="33" s="1"/>
  <c r="W27" i="33" a="1"/>
  <c r="W27" i="33" s="1"/>
  <c r="W28" i="33" a="1"/>
  <c r="W28" i="33" s="1"/>
  <c r="W29" i="33" a="1"/>
  <c r="W29" i="33" s="1"/>
  <c r="W30" i="33" a="1"/>
  <c r="W30" i="33" s="1"/>
  <c r="W31" i="33" a="1"/>
  <c r="W31" i="33" s="1"/>
  <c r="W33" i="33" a="1"/>
  <c r="W33" i="33" s="1"/>
  <c r="W34" i="33" a="1"/>
  <c r="W34" i="33" s="1"/>
  <c r="W35" i="33" a="1"/>
  <c r="W35" i="33" s="1"/>
  <c r="W36" i="33" a="1"/>
  <c r="W36" i="33" s="1"/>
  <c r="W37" i="33" a="1"/>
  <c r="W37" i="33" s="1"/>
  <c r="W38" i="33" a="1"/>
  <c r="W38" i="33" s="1"/>
  <c r="W39" i="33" a="1"/>
  <c r="W39" i="33" s="1"/>
  <c r="W40" i="33" a="1"/>
  <c r="W40" i="33" s="1"/>
  <c r="W41" i="33" a="1"/>
  <c r="W41" i="33" s="1"/>
  <c r="W42" i="33" a="1"/>
  <c r="W42" i="33" s="1"/>
  <c r="W43" i="33" a="1"/>
  <c r="W43" i="33" s="1"/>
  <c r="W44" i="33" a="1"/>
  <c r="W44" i="33" s="1"/>
  <c r="W45" i="33" a="1"/>
  <c r="W45" i="33" s="1"/>
  <c r="W46" i="33" a="1"/>
  <c r="W46" i="33" s="1"/>
  <c r="W47" i="33" a="1"/>
  <c r="W47" i="33" s="1"/>
  <c r="W48" i="33" a="1"/>
  <c r="W48" i="33" s="1"/>
  <c r="W49" i="33" a="1"/>
  <c r="W49" i="33" s="1"/>
  <c r="W50" i="33" a="1"/>
  <c r="W50" i="33" s="1"/>
  <c r="W51" i="33" a="1"/>
  <c r="W51" i="33" s="1"/>
  <c r="W52" i="33" a="1"/>
  <c r="W52" i="33" s="1"/>
  <c r="W53" i="33" a="1"/>
  <c r="W53" i="33" s="1"/>
  <c r="W54" i="33" a="1"/>
  <c r="W54" i="33" s="1"/>
  <c r="W55" i="33" a="1"/>
  <c r="W55" i="33" s="1"/>
  <c r="W56" i="33" a="1"/>
  <c r="W56" i="33" s="1"/>
  <c r="W57" i="33" a="1"/>
  <c r="W57" i="33" s="1"/>
  <c r="W58" i="33" a="1"/>
  <c r="W58" i="33" s="1"/>
  <c r="W59" i="33" a="1"/>
  <c r="W59" i="33" s="1"/>
  <c r="W61" i="33" a="1"/>
  <c r="W61" i="33" s="1"/>
  <c r="W62" i="33" a="1"/>
  <c r="W62" i="33" s="1"/>
  <c r="W63" i="33" a="1"/>
  <c r="W63" i="33" s="1"/>
  <c r="W64" i="33" a="1"/>
  <c r="W64" i="33" s="1"/>
  <c r="W65" i="33" a="1"/>
  <c r="W65" i="33" s="1"/>
  <c r="W66" i="33" a="1"/>
  <c r="W66" i="33" s="1"/>
  <c r="W67" i="33" a="1"/>
  <c r="W67" i="33" s="1"/>
  <c r="V14" i="33" a="1"/>
  <c r="V14" i="33" s="1"/>
  <c r="V15" i="33" a="1"/>
  <c r="V15" i="33" s="1"/>
  <c r="V16" i="33" a="1"/>
  <c r="V16" i="33" s="1"/>
  <c r="V17" i="33" a="1"/>
  <c r="V17" i="33" s="1"/>
  <c r="V18" i="33" a="1"/>
  <c r="V18" i="33" s="1"/>
  <c r="V19" i="33" a="1"/>
  <c r="V19" i="33" s="1"/>
  <c r="V20" i="33" a="1"/>
  <c r="V20" i="33" s="1"/>
  <c r="V21" i="33" a="1"/>
  <c r="V21" i="33" s="1"/>
  <c r="V22" i="33" a="1"/>
  <c r="V22" i="33" s="1"/>
  <c r="V23" i="33" a="1"/>
  <c r="V23" i="33" s="1"/>
  <c r="V24" i="33" a="1"/>
  <c r="V24" i="33" s="1"/>
  <c r="V25" i="33" a="1"/>
  <c r="V25" i="33" s="1"/>
  <c r="V26" i="33" a="1"/>
  <c r="V26" i="33" s="1"/>
  <c r="V27" i="33" a="1"/>
  <c r="V27" i="33" s="1"/>
  <c r="V28" i="33" a="1"/>
  <c r="V28" i="33" s="1"/>
  <c r="V29" i="33" a="1"/>
  <c r="V29" i="33" s="1"/>
  <c r="V30" i="33" a="1"/>
  <c r="V30" i="33" s="1"/>
  <c r="V31" i="33" a="1"/>
  <c r="V31" i="33" s="1"/>
  <c r="V33" i="33" a="1"/>
  <c r="V33" i="33" s="1"/>
  <c r="V34" i="33" a="1"/>
  <c r="V34" i="33" s="1"/>
  <c r="V35" i="33" a="1"/>
  <c r="V35" i="33" s="1"/>
  <c r="V36" i="33" a="1"/>
  <c r="V36" i="33" s="1"/>
  <c r="V37" i="33" a="1"/>
  <c r="V37" i="33" s="1"/>
  <c r="V38" i="33" a="1"/>
  <c r="V38" i="33" s="1"/>
  <c r="V39" i="33" a="1"/>
  <c r="V39" i="33" s="1"/>
  <c r="V40" i="33" a="1"/>
  <c r="V40" i="33" s="1"/>
  <c r="V41" i="33" a="1"/>
  <c r="V41" i="33" s="1"/>
  <c r="V42" i="33" a="1"/>
  <c r="V42" i="33" s="1"/>
  <c r="V43" i="33" a="1"/>
  <c r="V43" i="33" s="1"/>
  <c r="V44" i="33" a="1"/>
  <c r="V44" i="33" s="1"/>
  <c r="V45" i="33" a="1"/>
  <c r="V45" i="33" s="1"/>
  <c r="V46" i="33" a="1"/>
  <c r="V46" i="33" s="1"/>
  <c r="V47" i="33" a="1"/>
  <c r="V47" i="33" s="1"/>
  <c r="V48" i="33" a="1"/>
  <c r="V48" i="33" s="1"/>
  <c r="V49" i="33" a="1"/>
  <c r="V49" i="33" s="1"/>
  <c r="V50" i="33" a="1"/>
  <c r="V50" i="33" s="1"/>
  <c r="V51" i="33" a="1"/>
  <c r="V51" i="33" s="1"/>
  <c r="V52" i="33" a="1"/>
  <c r="V52" i="33" s="1"/>
  <c r="V53" i="33" a="1"/>
  <c r="V53" i="33" s="1"/>
  <c r="V54" i="33" a="1"/>
  <c r="V54" i="33" s="1"/>
  <c r="V55" i="33" a="1"/>
  <c r="V55" i="33" s="1"/>
  <c r="V56" i="33" a="1"/>
  <c r="V56" i="33" s="1"/>
  <c r="V57" i="33" a="1"/>
  <c r="V57" i="33" s="1"/>
  <c r="V58" i="33" a="1"/>
  <c r="V58" i="33" s="1"/>
  <c r="V59" i="33" a="1"/>
  <c r="V59" i="33" s="1"/>
  <c r="V61" i="33" a="1"/>
  <c r="V61" i="33" s="1"/>
  <c r="V62" i="33" a="1"/>
  <c r="V62" i="33" s="1"/>
  <c r="V63" i="33" a="1"/>
  <c r="V63" i="33" s="1"/>
  <c r="V64" i="33" a="1"/>
  <c r="V64" i="33" s="1"/>
  <c r="V65" i="33" a="1"/>
  <c r="V65" i="33" s="1"/>
  <c r="V66" i="33" a="1"/>
  <c r="V66" i="33" s="1"/>
  <c r="V67" i="33" a="1"/>
  <c r="V67" i="33" s="1"/>
  <c r="V13" i="33" a="1"/>
  <c r="V13" i="33" s="1"/>
  <c r="K21" i="17"/>
  <c r="J21" i="17"/>
  <c r="D22" i="6"/>
  <c r="X150" i="33" l="1"/>
  <c r="X158" i="33"/>
  <c r="X13" i="33"/>
  <c r="L21" i="17" s="1"/>
  <c r="X19" i="33"/>
  <c r="X95" i="33"/>
  <c r="X64" i="33"/>
  <c r="X53" i="33"/>
  <c r="X45" i="33"/>
  <c r="X37" i="33"/>
  <c r="X28" i="33"/>
  <c r="X61" i="33"/>
  <c r="X52" i="33"/>
  <c r="X44" i="33"/>
  <c r="X36" i="33"/>
  <c r="X27" i="33"/>
  <c r="X180" i="33"/>
  <c r="X172" i="33"/>
  <c r="X56" i="33"/>
  <c r="X75" i="33"/>
  <c r="X54" i="33"/>
  <c r="X46" i="33"/>
  <c r="X38" i="33"/>
  <c r="X29" i="33"/>
  <c r="X21" i="33"/>
  <c r="X90" i="33"/>
  <c r="X82" i="33"/>
  <c r="X94" i="33"/>
  <c r="X195" i="33"/>
  <c r="X16" i="33"/>
  <c r="X110" i="33"/>
  <c r="X159" i="33"/>
  <c r="X48" i="33"/>
  <c r="X40" i="33"/>
  <c r="X31" i="33"/>
  <c r="X23" i="33"/>
  <c r="X15" i="33"/>
  <c r="X252" i="33"/>
  <c r="X109" i="33"/>
  <c r="X72" i="33"/>
  <c r="X83" i="33"/>
  <c r="X93" i="33"/>
  <c r="X121" i="33"/>
  <c r="X117" i="33"/>
  <c r="X102" i="33"/>
  <c r="X266" i="33"/>
  <c r="X233" i="33"/>
  <c r="X249" i="33"/>
  <c r="X101" i="33"/>
  <c r="X97" i="33"/>
  <c r="X192" i="33"/>
  <c r="X188" i="33"/>
  <c r="X184" i="33"/>
  <c r="X175" i="33"/>
  <c r="X119" i="33"/>
  <c r="X258" i="33"/>
  <c r="X242" i="33"/>
  <c r="X60" i="33"/>
  <c r="X118" i="33"/>
  <c r="X186" i="33"/>
  <c r="X132" i="33"/>
  <c r="X328" i="33"/>
  <c r="X250" i="33"/>
  <c r="X146" i="33"/>
  <c r="X236" i="33"/>
  <c r="X81" i="33"/>
  <c r="X98" i="33"/>
  <c r="X167" i="33"/>
  <c r="X142" i="33"/>
  <c r="X291" i="33"/>
  <c r="X74" i="33"/>
  <c r="X88" i="33"/>
  <c r="X80" i="33"/>
  <c r="X73" i="33"/>
  <c r="X85" i="33"/>
  <c r="X78" i="33"/>
  <c r="X191" i="33"/>
  <c r="X187" i="33"/>
  <c r="X183" i="33"/>
  <c r="X178" i="33"/>
  <c r="X174" i="33"/>
  <c r="X170" i="33"/>
  <c r="X166" i="33"/>
  <c r="X148" i="33"/>
  <c r="X265" i="33"/>
  <c r="X244" i="33"/>
  <c r="X241" i="33"/>
  <c r="X79" i="33"/>
  <c r="X105" i="33"/>
  <c r="X275" i="33"/>
  <c r="X290" i="33"/>
  <c r="X287" i="33"/>
  <c r="X86" i="33"/>
  <c r="X108" i="33"/>
  <c r="X194" i="33"/>
  <c r="X190" i="33"/>
  <c r="X181" i="33"/>
  <c r="X162" i="33"/>
  <c r="X140" i="33"/>
  <c r="X77" i="33"/>
  <c r="X111" i="33"/>
  <c r="X104" i="33"/>
  <c r="X100" i="33"/>
  <c r="X96" i="33"/>
  <c r="X151" i="33"/>
  <c r="X234" i="33"/>
  <c r="X63" i="33"/>
  <c r="X55" i="33"/>
  <c r="X47" i="33"/>
  <c r="X39" i="33"/>
  <c r="X30" i="33"/>
  <c r="X22" i="33"/>
  <c r="X14" i="33"/>
  <c r="X70" i="33"/>
  <c r="X84" i="33"/>
  <c r="X114" i="33"/>
  <c r="X197" i="33"/>
  <c r="X193" i="33"/>
  <c r="X189" i="33"/>
  <c r="X185" i="33"/>
  <c r="X164" i="33"/>
  <c r="X154" i="33"/>
  <c r="X257" i="33"/>
  <c r="X76" i="33"/>
  <c r="X134" i="33"/>
  <c r="X103" i="33"/>
  <c r="X57" i="33"/>
  <c r="X41" i="33"/>
  <c r="X33" i="33"/>
  <c r="X24" i="33"/>
  <c r="X65" i="33"/>
  <c r="X49" i="33"/>
  <c r="X122" i="33"/>
  <c r="X107" i="33"/>
  <c r="X268" i="33"/>
  <c r="X106" i="33"/>
  <c r="X113" i="33"/>
  <c r="X99" i="33"/>
  <c r="X20" i="33"/>
  <c r="X176" i="33"/>
  <c r="X89" i="33"/>
  <c r="X124" i="33"/>
  <c r="X120" i="33"/>
  <c r="X116" i="33"/>
  <c r="X196" i="33"/>
  <c r="X260" i="33"/>
  <c r="X67" i="33"/>
  <c r="X59" i="33"/>
  <c r="X51" i="33"/>
  <c r="X43" i="33"/>
  <c r="X35" i="33"/>
  <c r="X26" i="33"/>
  <c r="X18" i="33"/>
  <c r="X156" i="33"/>
  <c r="X66" i="33"/>
  <c r="X58" i="33"/>
  <c r="X50" i="33"/>
  <c r="X42" i="33"/>
  <c r="X34" i="33"/>
  <c r="X25" i="33"/>
  <c r="X17" i="33"/>
  <c r="X87" i="33"/>
  <c r="X123" i="33"/>
  <c r="X115" i="33"/>
  <c r="X269" i="33"/>
  <c r="X261" i="33"/>
  <c r="X253" i="33"/>
  <c r="X245" i="33"/>
  <c r="X237" i="33"/>
  <c r="X229" i="33"/>
  <c r="X294" i="33"/>
  <c r="X284" i="33"/>
  <c r="X281" i="33"/>
  <c r="X168" i="33"/>
  <c r="X160" i="33"/>
  <c r="X152" i="33"/>
  <c r="X144" i="33"/>
  <c r="X136" i="33"/>
  <c r="X286" i="33"/>
  <c r="X283" i="33"/>
  <c r="X289" i="33"/>
  <c r="X138" i="33"/>
  <c r="X130" i="33"/>
  <c r="X270" i="33"/>
  <c r="X264" i="33"/>
  <c r="X262" i="33"/>
  <c r="X256" i="33"/>
  <c r="X254" i="33"/>
  <c r="X248" i="33"/>
  <c r="X246" i="33"/>
  <c r="X240" i="33"/>
  <c r="X238" i="33"/>
  <c r="X232" i="33"/>
  <c r="X230" i="33"/>
  <c r="X143" i="33"/>
  <c r="X135" i="33"/>
  <c r="X272" i="33"/>
  <c r="X295" i="33"/>
  <c r="X288" i="33"/>
  <c r="X285" i="33"/>
  <c r="X356" i="33"/>
  <c r="X296" i="33"/>
  <c r="X292" i="33"/>
  <c r="X282" i="33"/>
  <c r="X293" i="33"/>
  <c r="X279" i="33"/>
  <c r="X271" i="33"/>
  <c r="X263" i="33"/>
  <c r="X255" i="33"/>
  <c r="X247" i="33"/>
  <c r="X239" i="33"/>
  <c r="X231" i="33"/>
  <c r="X274" i="33"/>
  <c r="X273" i="33"/>
  <c r="X267" i="33"/>
  <c r="X259" i="33"/>
  <c r="X251" i="33"/>
  <c r="X243" i="33"/>
  <c r="X235" i="33"/>
  <c r="X276" i="33"/>
  <c r="X228" i="33"/>
  <c r="X179" i="33"/>
  <c r="X171" i="33"/>
  <c r="X163" i="33"/>
  <c r="X155" i="33"/>
  <c r="X147" i="33"/>
  <c r="X139" i="33"/>
  <c r="X131" i="33"/>
  <c r="X173" i="33"/>
  <c r="X165" i="33"/>
  <c r="X157" i="33"/>
  <c r="X149" i="33"/>
  <c r="X141" i="33"/>
  <c r="X133" i="33"/>
  <c r="X177" i="33"/>
  <c r="X169" i="33"/>
  <c r="X161" i="33"/>
  <c r="X153" i="33"/>
  <c r="X145" i="33"/>
  <c r="X137" i="33"/>
  <c r="X129" i="33"/>
  <c r="X128" i="33"/>
  <c r="B118" i="2"/>
  <c r="B129" i="2"/>
  <c r="B131" i="2"/>
  <c r="C141" i="2"/>
  <c r="B119" i="2"/>
  <c r="B127" i="2"/>
  <c r="B136" i="2"/>
  <c r="B138" i="2"/>
  <c r="B134" i="2"/>
  <c r="D136" i="2"/>
  <c r="D137" i="2"/>
  <c r="D138" i="2"/>
  <c r="D139" i="2"/>
  <c r="D142" i="2"/>
  <c r="D143" i="2"/>
  <c r="B24" i="2"/>
  <c r="D379" i="2"/>
  <c r="C379" i="2"/>
  <c r="B379" i="2"/>
  <c r="Z378" i="2"/>
  <c r="Y378" i="2"/>
  <c r="X378" i="2"/>
  <c r="W378" i="2"/>
  <c r="V378" i="2"/>
  <c r="Z386" i="2"/>
  <c r="Z387" i="2"/>
  <c r="Z388" i="2"/>
  <c r="Z389" i="2"/>
  <c r="Z390" i="2"/>
  <c r="Z391" i="2"/>
  <c r="Z392" i="2"/>
  <c r="Z393" i="2"/>
  <c r="Z394" i="2"/>
  <c r="Z395" i="2"/>
  <c r="Z396" i="2"/>
  <c r="Z397" i="2"/>
  <c r="Z419" i="2"/>
  <c r="AE419" i="2"/>
  <c r="Z420" i="2"/>
  <c r="AE420" i="2"/>
  <c r="Z421" i="2"/>
  <c r="AE421" i="2"/>
  <c r="AE423" i="2"/>
  <c r="Z424" i="2"/>
  <c r="AE424" i="2"/>
  <c r="Z425" i="2"/>
  <c r="AE425" i="2"/>
  <c r="Z426" i="2"/>
  <c r="AE426" i="2"/>
  <c r="AE427" i="2"/>
  <c r="Z430" i="2"/>
  <c r="H379" i="2"/>
  <c r="I379" i="2"/>
  <c r="G379" i="2"/>
  <c r="Z379" i="2" s="1"/>
  <c r="H4" i="28"/>
  <c r="F4" i="33"/>
  <c r="AN385" i="6"/>
  <c r="A2" i="20"/>
  <c r="AQ2" i="20" s="1"/>
  <c r="C365" i="6"/>
  <c r="B365" i="6"/>
  <c r="H2" i="20"/>
  <c r="G2" i="20"/>
  <c r="F2" i="20"/>
  <c r="BY362" i="33"/>
  <c r="BZ362" i="33"/>
  <c r="CA362" i="33"/>
  <c r="CB362" i="33"/>
  <c r="CC362" i="33"/>
  <c r="CD362" i="33"/>
  <c r="CE362" i="33"/>
  <c r="BX362" i="33"/>
  <c r="FB362" i="33"/>
  <c r="FC362" i="33"/>
  <c r="FD362" i="33"/>
  <c r="FE362" i="33"/>
  <c r="FF362" i="33"/>
  <c r="FG362" i="33"/>
  <c r="FH362" i="33"/>
  <c r="FA362" i="33"/>
  <c r="B38" i="1"/>
  <c r="F7" i="28" s="1"/>
  <c r="B37" i="1"/>
  <c r="F6" i="28" s="1"/>
  <c r="B36" i="1"/>
  <c r="F5" i="28" s="1"/>
  <c r="B39" i="1"/>
  <c r="F8" i="28" s="1"/>
  <c r="B35" i="1"/>
  <c r="F4" i="28" s="1"/>
  <c r="Z353" i="2"/>
  <c r="Z354" i="2"/>
  <c r="Z355" i="2"/>
  <c r="Z356" i="2"/>
  <c r="Z357" i="2"/>
  <c r="Z358" i="2"/>
  <c r="Z359" i="2"/>
  <c r="Z360" i="2"/>
  <c r="Z363" i="2"/>
  <c r="Z364" i="2"/>
  <c r="Z365" i="2"/>
  <c r="Z367" i="2"/>
  <c r="Z368" i="2"/>
  <c r="Z369" i="2"/>
  <c r="Z370" i="2"/>
  <c r="Z371" i="2"/>
  <c r="Z372" i="2"/>
  <c r="Z373" i="2"/>
  <c r="Z374" i="2"/>
  <c r="Z375" i="2"/>
  <c r="Z376" i="2"/>
  <c r="Z350" i="2"/>
  <c r="Y350" i="2"/>
  <c r="X350" i="2"/>
  <c r="W350" i="2"/>
  <c r="V350" i="2"/>
  <c r="B353" i="2"/>
  <c r="C353" i="2"/>
  <c r="E353" i="2"/>
  <c r="O2" i="14"/>
  <c r="P2" i="14"/>
  <c r="Q2" i="14"/>
  <c r="R2" i="14"/>
  <c r="N2" i="14"/>
  <c r="H322" i="2"/>
  <c r="I322" i="2"/>
  <c r="G322" i="2"/>
  <c r="G2" i="14"/>
  <c r="F2" i="14"/>
  <c r="C2" i="14"/>
  <c r="B2" i="14"/>
  <c r="AP9" i="14"/>
  <c r="A2" i="14"/>
  <c r="O2" i="19"/>
  <c r="P2" i="19"/>
  <c r="Q2" i="19"/>
  <c r="R2" i="19"/>
  <c r="N2" i="19"/>
  <c r="AP6" i="19"/>
  <c r="AP16" i="19"/>
  <c r="AP19" i="19"/>
  <c r="AP26" i="19"/>
  <c r="AP2" i="19"/>
  <c r="AN322" i="6"/>
  <c r="E322" i="2"/>
  <c r="C322" i="2"/>
  <c r="B322" i="2"/>
  <c r="C309" i="6"/>
  <c r="C310" i="6"/>
  <c r="C311" i="6"/>
  <c r="C312" i="6"/>
  <c r="C313" i="6"/>
  <c r="C314" i="6"/>
  <c r="C332" i="6"/>
  <c r="C333" i="6"/>
  <c r="C334" i="6"/>
  <c r="C308" i="6"/>
  <c r="B334" i="6"/>
  <c r="B309" i="6"/>
  <c r="B310" i="6"/>
  <c r="B311" i="6"/>
  <c r="B312" i="6"/>
  <c r="B313" i="6"/>
  <c r="B314" i="6"/>
  <c r="B329" i="6"/>
  <c r="B330" i="6"/>
  <c r="B331" i="6"/>
  <c r="B332" i="6"/>
  <c r="B333" i="6"/>
  <c r="B308" i="6"/>
  <c r="A2" i="15"/>
  <c r="B2" i="15"/>
  <c r="G314" i="2"/>
  <c r="H314" i="2"/>
  <c r="I314" i="2"/>
  <c r="G315" i="2"/>
  <c r="H315" i="2"/>
  <c r="I315" i="2"/>
  <c r="G316" i="2"/>
  <c r="H316" i="2"/>
  <c r="I316" i="2"/>
  <c r="G317" i="2"/>
  <c r="H317" i="2"/>
  <c r="I317" i="2"/>
  <c r="G318" i="2"/>
  <c r="H318" i="2"/>
  <c r="I318" i="2"/>
  <c r="G319" i="2"/>
  <c r="H319" i="2"/>
  <c r="I319" i="2"/>
  <c r="E310" i="2"/>
  <c r="E311" i="2"/>
  <c r="E312" i="2"/>
  <c r="E313" i="2"/>
  <c r="E314" i="2"/>
  <c r="E309" i="2"/>
  <c r="E304" i="2"/>
  <c r="E303" i="2"/>
  <c r="E305" i="2"/>
  <c r="E306" i="2"/>
  <c r="E307" i="2"/>
  <c r="E308" i="2"/>
  <c r="E315" i="2"/>
  <c r="E316" i="2"/>
  <c r="E317" i="2"/>
  <c r="E318" i="2"/>
  <c r="E319" i="2"/>
  <c r="E302" i="2"/>
  <c r="C303" i="2"/>
  <c r="C3" i="15" s="1"/>
  <c r="C304" i="2"/>
  <c r="C4" i="15" s="1"/>
  <c r="C305" i="2"/>
  <c r="C5" i="15" s="1"/>
  <c r="C306" i="2"/>
  <c r="C6" i="15" s="1"/>
  <c r="C307" i="2"/>
  <c r="C7" i="15" s="1"/>
  <c r="C308" i="2"/>
  <c r="C8" i="15" s="1"/>
  <c r="C309" i="2"/>
  <c r="C9" i="15" s="1"/>
  <c r="C310" i="2"/>
  <c r="C10" i="15" s="1"/>
  <c r="C311" i="2"/>
  <c r="C11" i="15" s="1"/>
  <c r="C312" i="2"/>
  <c r="C12" i="15" s="1"/>
  <c r="C313" i="2"/>
  <c r="C13" i="15" s="1"/>
  <c r="C314" i="2"/>
  <c r="C14" i="15" s="1"/>
  <c r="C315" i="2"/>
  <c r="C15" i="15" s="1"/>
  <c r="C316" i="2"/>
  <c r="C16" i="15" s="1"/>
  <c r="C317" i="2"/>
  <c r="C17" i="15" s="1"/>
  <c r="C318" i="2"/>
  <c r="C18" i="15" s="1"/>
  <c r="C319" i="2"/>
  <c r="C19" i="15" s="1"/>
  <c r="C302" i="2"/>
  <c r="C2" i="15" s="1"/>
  <c r="B319" i="2"/>
  <c r="B314" i="2"/>
  <c r="B315" i="2"/>
  <c r="B316" i="2"/>
  <c r="B317" i="2"/>
  <c r="B318" i="2"/>
  <c r="B303" i="2"/>
  <c r="B304" i="2"/>
  <c r="B305" i="2"/>
  <c r="B306" i="2"/>
  <c r="B307" i="2"/>
  <c r="B308" i="2"/>
  <c r="B309" i="2"/>
  <c r="B310" i="2"/>
  <c r="B311" i="2"/>
  <c r="B312" i="2"/>
  <c r="B313" i="2"/>
  <c r="B302" i="2"/>
  <c r="G303" i="2"/>
  <c r="H303" i="2"/>
  <c r="I303" i="2"/>
  <c r="G304" i="2"/>
  <c r="H304" i="2"/>
  <c r="I304" i="2"/>
  <c r="G305" i="2"/>
  <c r="H305" i="2"/>
  <c r="I305" i="2"/>
  <c r="G306" i="2"/>
  <c r="H306" i="2"/>
  <c r="I306" i="2"/>
  <c r="G307" i="2"/>
  <c r="H307" i="2"/>
  <c r="I307" i="2"/>
  <c r="G308" i="2"/>
  <c r="H308" i="2"/>
  <c r="I308" i="2"/>
  <c r="G309" i="2"/>
  <c r="H309" i="2"/>
  <c r="I309" i="2"/>
  <c r="G310" i="2"/>
  <c r="H310" i="2"/>
  <c r="I310" i="2"/>
  <c r="G311" i="2"/>
  <c r="H311" i="2"/>
  <c r="I311" i="2"/>
  <c r="G312" i="2"/>
  <c r="H312" i="2"/>
  <c r="I312" i="2"/>
  <c r="G313" i="2"/>
  <c r="H313" i="2"/>
  <c r="I313" i="2"/>
  <c r="H302" i="2"/>
  <c r="I302" i="2"/>
  <c r="G302" i="2"/>
  <c r="Z301" i="2"/>
  <c r="Y301" i="2"/>
  <c r="X301" i="2"/>
  <c r="W301" i="2"/>
  <c r="V301" i="2"/>
  <c r="C289" i="6"/>
  <c r="C290" i="6"/>
  <c r="C291" i="6"/>
  <c r="C292" i="6"/>
  <c r="C293" i="6"/>
  <c r="C294" i="6"/>
  <c r="C295" i="6"/>
  <c r="C296" i="6"/>
  <c r="C297" i="6"/>
  <c r="C298" i="6"/>
  <c r="C299" i="6"/>
  <c r="C300" i="6"/>
  <c r="C301" i="6"/>
  <c r="C302" i="6"/>
  <c r="C303" i="6"/>
  <c r="C304" i="6"/>
  <c r="C305" i="6"/>
  <c r="C288" i="6"/>
  <c r="B289" i="6"/>
  <c r="B290" i="6"/>
  <c r="B291" i="6"/>
  <c r="B292" i="6"/>
  <c r="B293" i="6"/>
  <c r="B294" i="6"/>
  <c r="B295" i="6"/>
  <c r="B296" i="6"/>
  <c r="B297" i="6"/>
  <c r="B298" i="6"/>
  <c r="B299" i="6"/>
  <c r="B300" i="6"/>
  <c r="B301" i="6"/>
  <c r="B302" i="6"/>
  <c r="B303" i="6"/>
  <c r="B304" i="6"/>
  <c r="B305" i="6"/>
  <c r="B288" i="6"/>
  <c r="B9" i="8"/>
  <c r="C9" i="8"/>
  <c r="B10" i="8"/>
  <c r="C10" i="8"/>
  <c r="B11" i="8"/>
  <c r="C11" i="8"/>
  <c r="B12" i="8"/>
  <c r="C12" i="8"/>
  <c r="B13" i="8"/>
  <c r="C13" i="8"/>
  <c r="B14" i="8"/>
  <c r="C14" i="8"/>
  <c r="B15" i="8"/>
  <c r="C15" i="8"/>
  <c r="B16" i="8"/>
  <c r="C16" i="8"/>
  <c r="B17" i="8"/>
  <c r="C17" i="8"/>
  <c r="B18" i="8"/>
  <c r="C18" i="8"/>
  <c r="B19" i="8"/>
  <c r="C19" i="8"/>
  <c r="B20" i="8"/>
  <c r="C20" i="8"/>
  <c r="B21" i="8"/>
  <c r="C21" i="8"/>
  <c r="B22" i="8"/>
  <c r="C22" i="8"/>
  <c r="B23" i="8"/>
  <c r="C23" i="8"/>
  <c r="B24" i="8"/>
  <c r="C24" i="8"/>
  <c r="B25" i="8"/>
  <c r="C25" i="8"/>
  <c r="B26" i="8"/>
  <c r="C26" i="8"/>
  <c r="B27" i="8"/>
  <c r="C27" i="8"/>
  <c r="B28" i="8"/>
  <c r="C28" i="8"/>
  <c r="B29" i="8"/>
  <c r="C29" i="8"/>
  <c r="B30" i="8"/>
  <c r="C30" i="8"/>
  <c r="B31" i="8"/>
  <c r="C31" i="8"/>
  <c r="B32" i="8"/>
  <c r="C32" i="8"/>
  <c r="B33" i="8"/>
  <c r="C33" i="8"/>
  <c r="B34" i="8"/>
  <c r="C34" i="8"/>
  <c r="B35" i="8"/>
  <c r="C35" i="8"/>
  <c r="B36" i="8"/>
  <c r="C36" i="8"/>
  <c r="B37" i="8"/>
  <c r="C37" i="8"/>
  <c r="B38" i="8"/>
  <c r="C38" i="8"/>
  <c r="B39" i="8"/>
  <c r="C39" i="8"/>
  <c r="B40" i="8"/>
  <c r="C40" i="8"/>
  <c r="B41" i="8"/>
  <c r="C41" i="8"/>
  <c r="B42" i="8"/>
  <c r="C42" i="8"/>
  <c r="B43" i="8"/>
  <c r="C43" i="8"/>
  <c r="B44" i="8"/>
  <c r="C44" i="8"/>
  <c r="B45" i="8"/>
  <c r="C45" i="8"/>
  <c r="B46" i="8"/>
  <c r="C46" i="8"/>
  <c r="B47" i="8"/>
  <c r="C47" i="8"/>
  <c r="B48" i="8"/>
  <c r="C48" i="8"/>
  <c r="B49" i="8"/>
  <c r="C49" i="8"/>
  <c r="B50" i="8"/>
  <c r="C50" i="8"/>
  <c r="C2" i="8"/>
  <c r="B2"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2" i="8"/>
  <c r="A2" i="8"/>
  <c r="AG289" i="2"/>
  <c r="AH289" i="2"/>
  <c r="BH281" i="2"/>
  <c r="BF281" i="2"/>
  <c r="BE281" i="2"/>
  <c r="BD281" i="2"/>
  <c r="AG288" i="2"/>
  <c r="BH277" i="2"/>
  <c r="BF277" i="2"/>
  <c r="BE277" i="2"/>
  <c r="BD277" i="2"/>
  <c r="AG286" i="2"/>
  <c r="AH286" i="2"/>
  <c r="BJ273" i="2"/>
  <c r="BH273" i="2"/>
  <c r="BG273" i="2"/>
  <c r="BF273" i="2"/>
  <c r="AG270" i="2"/>
  <c r="AH270" i="2"/>
  <c r="BH269" i="2"/>
  <c r="BF269" i="2"/>
  <c r="BE269" i="2"/>
  <c r="BD269" i="2"/>
  <c r="BE265" i="2"/>
  <c r="BF265" i="2"/>
  <c r="BH265" i="2"/>
  <c r="BD265" i="2"/>
  <c r="AE293" i="2"/>
  <c r="R75" i="28" s="1"/>
  <c r="AE296" i="2"/>
  <c r="R78" i="28" s="1"/>
  <c r="H251" i="2"/>
  <c r="I251" i="2"/>
  <c r="AE258" i="2"/>
  <c r="R40" i="28" s="1"/>
  <c r="AE259" i="2"/>
  <c r="R41" i="28" s="1"/>
  <c r="AE260" i="2"/>
  <c r="R42" i="28" s="1"/>
  <c r="AE261" i="2"/>
  <c r="R43" i="28" s="1"/>
  <c r="AE262" i="2"/>
  <c r="R44" i="28" s="1"/>
  <c r="AE263" i="2"/>
  <c r="AE264" i="2"/>
  <c r="R46" i="28" s="1"/>
  <c r="AE265" i="2"/>
  <c r="R47" i="28" s="1"/>
  <c r="AE266" i="2"/>
  <c r="R48" i="28" s="1"/>
  <c r="AE267" i="2"/>
  <c r="AE268" i="2"/>
  <c r="AE269" i="2"/>
  <c r="R51" i="28" s="1"/>
  <c r="AE270" i="2"/>
  <c r="R52" i="28" s="1"/>
  <c r="AE271" i="2"/>
  <c r="R53" i="28" s="1"/>
  <c r="AE277" i="2"/>
  <c r="R59" i="28" s="1"/>
  <c r="AE278" i="2"/>
  <c r="R60" i="28" s="1"/>
  <c r="AE280" i="2"/>
  <c r="R62" i="28" s="1"/>
  <c r="AE282" i="2"/>
  <c r="R64" i="28" s="1"/>
  <c r="AE284" i="2"/>
  <c r="R66" i="28" s="1"/>
  <c r="AE285" i="2"/>
  <c r="R67" i="28" s="1"/>
  <c r="AE286" i="2"/>
  <c r="R68" i="28" s="1"/>
  <c r="AE287" i="2"/>
  <c r="R69" i="28" s="1"/>
  <c r="AE288" i="2"/>
  <c r="R70" i="28" s="1"/>
  <c r="AE289" i="2"/>
  <c r="R71" i="28" s="1"/>
  <c r="C251" i="2"/>
  <c r="B251" i="2"/>
  <c r="Z250" i="2"/>
  <c r="Y250" i="2"/>
  <c r="X250" i="2"/>
  <c r="W250" i="2"/>
  <c r="V250" i="2"/>
  <c r="B266" i="6"/>
  <c r="B258" i="6"/>
  <c r="C258" i="6"/>
  <c r="C238" i="6"/>
  <c r="C239" i="6"/>
  <c r="C240" i="6"/>
  <c r="C241" i="6"/>
  <c r="C242" i="6"/>
  <c r="C244" i="6"/>
  <c r="C245" i="6"/>
  <c r="C246" i="6"/>
  <c r="C247" i="6"/>
  <c r="C248" i="6"/>
  <c r="C249" i="6"/>
  <c r="C250" i="6"/>
  <c r="C251" i="6"/>
  <c r="C252" i="6"/>
  <c r="C253" i="6"/>
  <c r="C254" i="6"/>
  <c r="C255" i="6"/>
  <c r="C256" i="6"/>
  <c r="C257" i="6"/>
  <c r="C259" i="6"/>
  <c r="C260" i="6"/>
  <c r="C261" i="6"/>
  <c r="C262" i="6"/>
  <c r="C263" i="6"/>
  <c r="C264" i="6"/>
  <c r="C265" i="6"/>
  <c r="C266" i="6"/>
  <c r="C267" i="6"/>
  <c r="C269" i="6"/>
  <c r="C270" i="6"/>
  <c r="C268" i="6"/>
  <c r="C271" i="6"/>
  <c r="C272" i="6"/>
  <c r="C273" i="6"/>
  <c r="C275" i="6"/>
  <c r="C274" i="6"/>
  <c r="C276" i="6"/>
  <c r="C277" i="6"/>
  <c r="C278" i="6"/>
  <c r="C279" i="6"/>
  <c r="C280" i="6"/>
  <c r="C281" i="6"/>
  <c r="C282" i="6"/>
  <c r="C283" i="6"/>
  <c r="C284" i="6"/>
  <c r="C285" i="6"/>
  <c r="C237" i="6"/>
  <c r="B238" i="6"/>
  <c r="B239" i="6"/>
  <c r="B240" i="6"/>
  <c r="B241" i="6"/>
  <c r="B242" i="6"/>
  <c r="B244" i="6"/>
  <c r="B245" i="6"/>
  <c r="B246" i="6"/>
  <c r="B247" i="6"/>
  <c r="B248" i="6"/>
  <c r="B250" i="6"/>
  <c r="B251" i="6"/>
  <c r="B252" i="6"/>
  <c r="B253" i="6"/>
  <c r="B254" i="6"/>
  <c r="B255" i="6"/>
  <c r="B256" i="6"/>
  <c r="B257" i="6"/>
  <c r="B259" i="6"/>
  <c r="B260" i="6"/>
  <c r="B261" i="6"/>
  <c r="B262" i="6"/>
  <c r="B263" i="6"/>
  <c r="B264" i="6"/>
  <c r="B265" i="6"/>
  <c r="B267" i="6"/>
  <c r="B270" i="6"/>
  <c r="B268" i="6"/>
  <c r="B271" i="6"/>
  <c r="B272" i="6"/>
  <c r="B273" i="6"/>
  <c r="B275" i="6"/>
  <c r="B274" i="6"/>
  <c r="B276" i="6"/>
  <c r="B277" i="6"/>
  <c r="B278" i="6"/>
  <c r="B279" i="6"/>
  <c r="B280" i="6"/>
  <c r="B281" i="6"/>
  <c r="B282" i="6"/>
  <c r="B283" i="6"/>
  <c r="B284" i="6"/>
  <c r="B285" i="6"/>
  <c r="B237" i="6"/>
  <c r="AG247" i="2"/>
  <c r="AH247" i="2"/>
  <c r="AG245" i="2"/>
  <c r="AH245" i="2"/>
  <c r="AY246" i="2"/>
  <c r="BJ246" i="2"/>
  <c r="BH246" i="2"/>
  <c r="BG246" i="2"/>
  <c r="BF246" i="2"/>
  <c r="AG248" i="2"/>
  <c r="AH248" i="2"/>
  <c r="AG243" i="2"/>
  <c r="AH243" i="2"/>
  <c r="BF241" i="2"/>
  <c r="BJ241" i="2"/>
  <c r="BH241" i="2"/>
  <c r="BG241" i="2"/>
  <c r="AG238" i="2"/>
  <c r="AH238" i="2"/>
  <c r="AG239" i="2"/>
  <c r="AH239" i="2"/>
  <c r="AG231" i="2"/>
  <c r="AH231" i="2"/>
  <c r="BF237" i="2"/>
  <c r="BJ237" i="2"/>
  <c r="BI237" i="2"/>
  <c r="BH237" i="2"/>
  <c r="BG237" i="2"/>
  <c r="AY237" i="2"/>
  <c r="AG242" i="2"/>
  <c r="AH242" i="2"/>
  <c r="AY225" i="2"/>
  <c r="BI221" i="2"/>
  <c r="AY221" i="2"/>
  <c r="BJ233" i="2"/>
  <c r="BH233" i="2"/>
  <c r="BG233" i="2"/>
  <c r="BF233" i="2"/>
  <c r="AG228" i="2"/>
  <c r="AH228" i="2"/>
  <c r="AG227" i="2"/>
  <c r="AH227" i="2"/>
  <c r="BF243" i="2"/>
  <c r="BJ243" i="2"/>
  <c r="BH243" i="2"/>
  <c r="BG243" i="2"/>
  <c r="AG226" i="2"/>
  <c r="AH226" i="2"/>
  <c r="AG225" i="2"/>
  <c r="AH225" i="2"/>
  <c r="BM225" i="2"/>
  <c r="BK225" i="2"/>
  <c r="BJ225" i="2"/>
  <c r="BI225" i="2"/>
  <c r="W222" i="2"/>
  <c r="X222" i="2"/>
  <c r="Y222" i="2"/>
  <c r="Z222" i="2"/>
  <c r="V222" i="2"/>
  <c r="W150" i="2"/>
  <c r="X150" i="2"/>
  <c r="Y150" i="2"/>
  <c r="Z150" i="2"/>
  <c r="V150" i="2"/>
  <c r="W115" i="2"/>
  <c r="X115" i="2"/>
  <c r="Y115" i="2"/>
  <c r="Z115" i="2"/>
  <c r="V115" i="2"/>
  <c r="W92" i="2"/>
  <c r="X92" i="2"/>
  <c r="Y92" i="2"/>
  <c r="Z92" i="2"/>
  <c r="V92" i="2"/>
  <c r="AG224" i="2"/>
  <c r="AH224" i="2"/>
  <c r="BJ221" i="2"/>
  <c r="BK221" i="2"/>
  <c r="BM221" i="2"/>
  <c r="AH223" i="2"/>
  <c r="BG217" i="2"/>
  <c r="BH217" i="2"/>
  <c r="BF217" i="2"/>
  <c r="BJ217" i="2"/>
  <c r="AY217" i="2"/>
  <c r="G248" i="2"/>
  <c r="H248" i="2"/>
  <c r="AE248" i="2" s="1"/>
  <c r="I248" i="2"/>
  <c r="G224" i="2"/>
  <c r="H224" i="2"/>
  <c r="AE224" i="2" s="1"/>
  <c r="I224" i="2"/>
  <c r="G225" i="2"/>
  <c r="H225" i="2"/>
  <c r="AE225" i="2" s="1"/>
  <c r="I225" i="2"/>
  <c r="G226" i="2"/>
  <c r="H226" i="2"/>
  <c r="AE226" i="2" s="1"/>
  <c r="I226" i="2"/>
  <c r="G227" i="2"/>
  <c r="H227" i="2"/>
  <c r="AE227" i="2" s="1"/>
  <c r="I227" i="2"/>
  <c r="G242" i="2"/>
  <c r="H242" i="2"/>
  <c r="AE242" i="2" s="1"/>
  <c r="I242" i="2"/>
  <c r="G228" i="2"/>
  <c r="H228" i="2"/>
  <c r="AE228" i="2" s="1"/>
  <c r="I228" i="2"/>
  <c r="G229" i="2"/>
  <c r="H229" i="2"/>
  <c r="AE229" i="2" s="1"/>
  <c r="I229" i="2"/>
  <c r="G230" i="2"/>
  <c r="H230" i="2"/>
  <c r="AE230" i="2" s="1"/>
  <c r="I230" i="2"/>
  <c r="G231" i="2"/>
  <c r="H231" i="2"/>
  <c r="AE231" i="2" s="1"/>
  <c r="I231" i="2"/>
  <c r="G232" i="2"/>
  <c r="H232" i="2"/>
  <c r="AE232" i="2" s="1"/>
  <c r="I232" i="2"/>
  <c r="G233" i="2"/>
  <c r="H233" i="2"/>
  <c r="AE233" i="2" s="1"/>
  <c r="I233" i="2"/>
  <c r="G234" i="2"/>
  <c r="H234" i="2"/>
  <c r="AE234" i="2" s="1"/>
  <c r="I234" i="2"/>
  <c r="G235" i="2"/>
  <c r="H235" i="2"/>
  <c r="AE235" i="2" s="1"/>
  <c r="I235" i="2"/>
  <c r="G236" i="2"/>
  <c r="H236" i="2"/>
  <c r="AE236" i="2" s="1"/>
  <c r="I236" i="2"/>
  <c r="G237" i="2"/>
  <c r="H237" i="2"/>
  <c r="AE237" i="2" s="1"/>
  <c r="I237" i="2"/>
  <c r="G238" i="2"/>
  <c r="H238" i="2"/>
  <c r="AE238" i="2" s="1"/>
  <c r="I238" i="2"/>
  <c r="G239" i="2"/>
  <c r="H239" i="2"/>
  <c r="AE239" i="2" s="1"/>
  <c r="I239" i="2"/>
  <c r="G240" i="2"/>
  <c r="H240" i="2"/>
  <c r="AE240" i="2" s="1"/>
  <c r="I240" i="2"/>
  <c r="G241" i="2"/>
  <c r="H241" i="2"/>
  <c r="AE241" i="2" s="1"/>
  <c r="I241" i="2"/>
  <c r="G243" i="2"/>
  <c r="H243" i="2"/>
  <c r="AE243" i="2" s="1"/>
  <c r="I243" i="2"/>
  <c r="G244" i="2"/>
  <c r="H244" i="2"/>
  <c r="AE244" i="2" s="1"/>
  <c r="I244" i="2"/>
  <c r="G245" i="2"/>
  <c r="H245" i="2"/>
  <c r="AE245" i="2" s="1"/>
  <c r="I245" i="2"/>
  <c r="G246" i="2"/>
  <c r="H246" i="2"/>
  <c r="AE246" i="2" s="1"/>
  <c r="I246" i="2"/>
  <c r="G247" i="2"/>
  <c r="H247" i="2"/>
  <c r="AE247" i="2" s="1"/>
  <c r="I247" i="2"/>
  <c r="H223" i="2"/>
  <c r="AE223" i="2" s="1"/>
  <c r="I223" i="2"/>
  <c r="G223" i="2"/>
  <c r="E223" i="2"/>
  <c r="D223" i="2"/>
  <c r="C223" i="2"/>
  <c r="B223" i="2"/>
  <c r="P2" i="10"/>
  <c r="Q2" i="10"/>
  <c r="R2" i="10"/>
  <c r="S2" i="10"/>
  <c r="T2" i="10"/>
  <c r="P3" i="10"/>
  <c r="Q3" i="10"/>
  <c r="R3" i="10"/>
  <c r="S3" i="10"/>
  <c r="T3" i="10"/>
  <c r="P4" i="10"/>
  <c r="Q4" i="10"/>
  <c r="R4" i="10"/>
  <c r="S4" i="10"/>
  <c r="T4" i="10"/>
  <c r="P5" i="10"/>
  <c r="Q5" i="10"/>
  <c r="R5" i="10"/>
  <c r="S5" i="10"/>
  <c r="T5" i="10"/>
  <c r="P6" i="10"/>
  <c r="Q6" i="10"/>
  <c r="R6" i="10"/>
  <c r="S6" i="10"/>
  <c r="T6" i="10"/>
  <c r="P21" i="10"/>
  <c r="Q21" i="10"/>
  <c r="R21" i="10"/>
  <c r="S21" i="10"/>
  <c r="T21" i="10"/>
  <c r="P7" i="10"/>
  <c r="Q7" i="10"/>
  <c r="R7" i="10"/>
  <c r="S7" i="10"/>
  <c r="T7" i="10"/>
  <c r="P8" i="10"/>
  <c r="Q8" i="10"/>
  <c r="R8" i="10"/>
  <c r="S8" i="10"/>
  <c r="T8" i="10"/>
  <c r="P9" i="10"/>
  <c r="Q9" i="10"/>
  <c r="R9" i="10"/>
  <c r="S9" i="10"/>
  <c r="T9" i="10"/>
  <c r="P10" i="10"/>
  <c r="Q10" i="10"/>
  <c r="R10" i="10"/>
  <c r="S10" i="10"/>
  <c r="T10" i="10"/>
  <c r="P11" i="10"/>
  <c r="Q11" i="10"/>
  <c r="R11" i="10"/>
  <c r="S11" i="10"/>
  <c r="T11" i="10"/>
  <c r="P12" i="10"/>
  <c r="Q12" i="10"/>
  <c r="R12" i="10"/>
  <c r="S12" i="10"/>
  <c r="T12" i="10"/>
  <c r="P13" i="10"/>
  <c r="Q13" i="10"/>
  <c r="R13" i="10"/>
  <c r="S13" i="10"/>
  <c r="T13" i="10"/>
  <c r="P14" i="10"/>
  <c r="Q14" i="10"/>
  <c r="R14" i="10"/>
  <c r="S14" i="10"/>
  <c r="T14" i="10"/>
  <c r="P15" i="10"/>
  <c r="Q15" i="10"/>
  <c r="R15" i="10"/>
  <c r="S15" i="10"/>
  <c r="T15" i="10"/>
  <c r="P16" i="10"/>
  <c r="Q16" i="10"/>
  <c r="R16" i="10"/>
  <c r="S16" i="10"/>
  <c r="T16" i="10"/>
  <c r="P17" i="10"/>
  <c r="Q17" i="10"/>
  <c r="R17" i="10"/>
  <c r="S17" i="10"/>
  <c r="T17" i="10"/>
  <c r="P18" i="10"/>
  <c r="Q18" i="10"/>
  <c r="R18" i="10"/>
  <c r="S18" i="10"/>
  <c r="T18" i="10"/>
  <c r="P19" i="10"/>
  <c r="Q19" i="10"/>
  <c r="R19" i="10"/>
  <c r="S19" i="10"/>
  <c r="T19" i="10"/>
  <c r="P20" i="10"/>
  <c r="Q20" i="10"/>
  <c r="R20" i="10"/>
  <c r="S20" i="10"/>
  <c r="T20" i="10"/>
  <c r="P22" i="10"/>
  <c r="Q22" i="10"/>
  <c r="R22" i="10"/>
  <c r="S22" i="10"/>
  <c r="T22" i="10"/>
  <c r="P23" i="10"/>
  <c r="Q23" i="10"/>
  <c r="R23" i="10"/>
  <c r="S23" i="10"/>
  <c r="T23" i="10"/>
  <c r="P24" i="10"/>
  <c r="Q24" i="10"/>
  <c r="R24" i="10"/>
  <c r="S24" i="10"/>
  <c r="T24" i="10"/>
  <c r="P25" i="10"/>
  <c r="Q25" i="10"/>
  <c r="R25" i="10"/>
  <c r="S25" i="10"/>
  <c r="T25" i="10"/>
  <c r="P26" i="10"/>
  <c r="Q26" i="10"/>
  <c r="R26" i="10"/>
  <c r="S26" i="10"/>
  <c r="T26" i="10"/>
  <c r="P27" i="10"/>
  <c r="Q27" i="10"/>
  <c r="R27" i="10"/>
  <c r="S27" i="10"/>
  <c r="T27" i="10"/>
  <c r="O3" i="10"/>
  <c r="O4" i="10"/>
  <c r="O5" i="10"/>
  <c r="O6" i="10"/>
  <c r="O21" i="10"/>
  <c r="O7" i="10"/>
  <c r="O8" i="10"/>
  <c r="O9" i="10"/>
  <c r="O10" i="10"/>
  <c r="O11" i="10"/>
  <c r="O12" i="10"/>
  <c r="O13" i="10"/>
  <c r="O14" i="10"/>
  <c r="O15" i="10"/>
  <c r="O16" i="10"/>
  <c r="O17" i="10"/>
  <c r="O18" i="10"/>
  <c r="O19" i="10"/>
  <c r="O20" i="10"/>
  <c r="O22" i="10"/>
  <c r="O23" i="10"/>
  <c r="O24" i="10"/>
  <c r="O25" i="10"/>
  <c r="O26" i="10"/>
  <c r="O27" i="10"/>
  <c r="O2" i="10"/>
  <c r="AN227" i="6"/>
  <c r="AN210" i="6"/>
  <c r="F21" i="17"/>
  <c r="E21" i="17"/>
  <c r="D21" i="17"/>
  <c r="C21" i="17"/>
  <c r="B21" i="17"/>
  <c r="A21" i="17"/>
  <c r="C209" i="6"/>
  <c r="B209" i="6"/>
  <c r="B2" i="10"/>
  <c r="C2" i="10"/>
  <c r="AQ21" i="10"/>
  <c r="AQ7" i="10"/>
  <c r="AQ14" i="10"/>
  <c r="AQ15" i="10"/>
  <c r="AQ18" i="10"/>
  <c r="AQ23" i="10"/>
  <c r="AQ24" i="10"/>
  <c r="AQ27" i="10"/>
  <c r="A2" i="10"/>
  <c r="BD188" i="2"/>
  <c r="AV187" i="2"/>
  <c r="AW187" i="2"/>
  <c r="AY187" i="2"/>
  <c r="AU187" i="2"/>
  <c r="AY162" i="2"/>
  <c r="AG169" i="2"/>
  <c r="AV158" i="2"/>
  <c r="AV157" i="2"/>
  <c r="AW157" i="2"/>
  <c r="AX157" i="2"/>
  <c r="AY157" i="2"/>
  <c r="AU157" i="2"/>
  <c r="G154" i="2"/>
  <c r="H154" i="2"/>
  <c r="I154" i="2"/>
  <c r="G155" i="2"/>
  <c r="H155" i="2"/>
  <c r="I155" i="2"/>
  <c r="G156" i="2"/>
  <c r="H156" i="2"/>
  <c r="I156" i="2"/>
  <c r="G157" i="2"/>
  <c r="H157" i="2"/>
  <c r="I157" i="2"/>
  <c r="G158" i="2"/>
  <c r="H158" i="2"/>
  <c r="I158" i="2"/>
  <c r="G159" i="2"/>
  <c r="H159" i="2"/>
  <c r="I159" i="2"/>
  <c r="G160" i="2"/>
  <c r="H160" i="2"/>
  <c r="I160" i="2"/>
  <c r="G161" i="2"/>
  <c r="H161" i="2"/>
  <c r="I161" i="2"/>
  <c r="G162" i="2"/>
  <c r="H162" i="2"/>
  <c r="I162" i="2"/>
  <c r="G163" i="2"/>
  <c r="H163" i="2"/>
  <c r="I163" i="2"/>
  <c r="G164" i="2"/>
  <c r="H164" i="2"/>
  <c r="I164" i="2"/>
  <c r="G165" i="2"/>
  <c r="H165" i="2"/>
  <c r="I165" i="2"/>
  <c r="G166" i="2"/>
  <c r="H166" i="2"/>
  <c r="I166" i="2"/>
  <c r="G167" i="2"/>
  <c r="H167" i="2"/>
  <c r="I167" i="2"/>
  <c r="G168" i="2"/>
  <c r="H168" i="2"/>
  <c r="I168" i="2"/>
  <c r="G169" i="2"/>
  <c r="H169" i="2"/>
  <c r="I169" i="2"/>
  <c r="G170" i="2"/>
  <c r="H170" i="2"/>
  <c r="I170" i="2"/>
  <c r="G171" i="2"/>
  <c r="H171" i="2"/>
  <c r="I171" i="2"/>
  <c r="G172" i="2"/>
  <c r="H172" i="2"/>
  <c r="I172" i="2"/>
  <c r="G173" i="2"/>
  <c r="H173" i="2"/>
  <c r="I173" i="2"/>
  <c r="G174" i="2"/>
  <c r="H174" i="2"/>
  <c r="I174" i="2"/>
  <c r="G175" i="2"/>
  <c r="H175" i="2"/>
  <c r="I175" i="2"/>
  <c r="G176" i="2"/>
  <c r="H176" i="2"/>
  <c r="I176" i="2"/>
  <c r="G177" i="2"/>
  <c r="H177" i="2"/>
  <c r="I177" i="2"/>
  <c r="G178" i="2"/>
  <c r="H178" i="2"/>
  <c r="I178" i="2"/>
  <c r="G179" i="2"/>
  <c r="H179" i="2"/>
  <c r="I179" i="2"/>
  <c r="G180" i="2"/>
  <c r="H180" i="2"/>
  <c r="I180" i="2"/>
  <c r="G181" i="2"/>
  <c r="H181" i="2"/>
  <c r="I181" i="2"/>
  <c r="G182" i="2"/>
  <c r="H182" i="2"/>
  <c r="I182" i="2"/>
  <c r="G183" i="2"/>
  <c r="H183" i="2"/>
  <c r="I183" i="2"/>
  <c r="G184" i="2"/>
  <c r="H184" i="2"/>
  <c r="I184" i="2"/>
  <c r="G185" i="2"/>
  <c r="H185" i="2"/>
  <c r="I185" i="2"/>
  <c r="G186" i="2"/>
  <c r="H186" i="2"/>
  <c r="I186" i="2"/>
  <c r="G187" i="2"/>
  <c r="H187" i="2"/>
  <c r="I187" i="2"/>
  <c r="G188" i="2"/>
  <c r="H188" i="2"/>
  <c r="I188" i="2"/>
  <c r="G189" i="2"/>
  <c r="H189" i="2"/>
  <c r="I189" i="2"/>
  <c r="G190" i="2"/>
  <c r="H190" i="2"/>
  <c r="I190" i="2"/>
  <c r="G191" i="2"/>
  <c r="H191" i="2"/>
  <c r="I191" i="2"/>
  <c r="G192" i="2"/>
  <c r="H192" i="2"/>
  <c r="I192" i="2"/>
  <c r="G193" i="2"/>
  <c r="H193" i="2"/>
  <c r="I193" i="2"/>
  <c r="G194" i="2"/>
  <c r="H194" i="2"/>
  <c r="I194" i="2"/>
  <c r="G195" i="2"/>
  <c r="H195" i="2"/>
  <c r="I195" i="2"/>
  <c r="G196" i="2"/>
  <c r="H196" i="2"/>
  <c r="I196" i="2"/>
  <c r="G197" i="2"/>
  <c r="H197" i="2"/>
  <c r="AE197" i="2" s="1"/>
  <c r="I197" i="2"/>
  <c r="G198" i="2"/>
  <c r="H198" i="2"/>
  <c r="AE198" i="2" s="1"/>
  <c r="I198" i="2"/>
  <c r="G199" i="2"/>
  <c r="H199" i="2"/>
  <c r="AE199" i="2" s="1"/>
  <c r="I199" i="2"/>
  <c r="G200" i="2"/>
  <c r="H200" i="2"/>
  <c r="I200" i="2"/>
  <c r="G201" i="2"/>
  <c r="H201" i="2"/>
  <c r="I201" i="2"/>
  <c r="G202" i="2"/>
  <c r="H202" i="2"/>
  <c r="I202" i="2"/>
  <c r="G203" i="2"/>
  <c r="H203" i="2"/>
  <c r="I203" i="2"/>
  <c r="G204" i="2"/>
  <c r="H204" i="2"/>
  <c r="I204" i="2"/>
  <c r="G207" i="2"/>
  <c r="H207" i="2"/>
  <c r="I207" i="2"/>
  <c r="G208" i="2"/>
  <c r="H208" i="2"/>
  <c r="I208" i="2"/>
  <c r="G209" i="2"/>
  <c r="H209" i="2"/>
  <c r="I209" i="2"/>
  <c r="G210" i="2"/>
  <c r="H210" i="2"/>
  <c r="I210" i="2"/>
  <c r="G211" i="2"/>
  <c r="H211" i="2"/>
  <c r="I211" i="2"/>
  <c r="G212" i="2"/>
  <c r="H212" i="2"/>
  <c r="I212" i="2"/>
  <c r="G213" i="2"/>
  <c r="H213" i="2"/>
  <c r="I213" i="2"/>
  <c r="G214" i="2"/>
  <c r="H214" i="2"/>
  <c r="I214" i="2"/>
  <c r="G215" i="2"/>
  <c r="H215" i="2"/>
  <c r="I215" i="2"/>
  <c r="G216" i="2"/>
  <c r="H216" i="2"/>
  <c r="I216" i="2"/>
  <c r="G217" i="2"/>
  <c r="H217" i="2"/>
  <c r="I217" i="2"/>
  <c r="G218" i="2"/>
  <c r="H218" i="2"/>
  <c r="I218" i="2"/>
  <c r="G219" i="2"/>
  <c r="H219" i="2"/>
  <c r="I219" i="2"/>
  <c r="G220" i="2"/>
  <c r="H220" i="2"/>
  <c r="I220" i="2"/>
  <c r="H151" i="2"/>
  <c r="I151" i="2"/>
  <c r="H152" i="2"/>
  <c r="I152" i="2"/>
  <c r="H153" i="2"/>
  <c r="I153" i="2"/>
  <c r="G151" i="2"/>
  <c r="G152" i="2"/>
  <c r="G153" i="2"/>
  <c r="AG193" i="2"/>
  <c r="AG194" i="2"/>
  <c r="AF220" i="2"/>
  <c r="E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7" i="2"/>
  <c r="C208" i="2"/>
  <c r="C209" i="2"/>
  <c r="C210" i="2"/>
  <c r="C211" i="2"/>
  <c r="C212" i="2"/>
  <c r="C213" i="2"/>
  <c r="C214" i="2"/>
  <c r="C215" i="2"/>
  <c r="C216" i="2"/>
  <c r="C217" i="2"/>
  <c r="C218" i="2"/>
  <c r="C219" i="2"/>
  <c r="C220" i="2"/>
  <c r="C151" i="2"/>
  <c r="B220" i="2"/>
  <c r="B218" i="2"/>
  <c r="B219" i="2"/>
  <c r="B214" i="2"/>
  <c r="B215" i="2"/>
  <c r="B216" i="2"/>
  <c r="B217"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7" i="2"/>
  <c r="B208" i="2"/>
  <c r="B209" i="2"/>
  <c r="B210" i="2"/>
  <c r="B211" i="2"/>
  <c r="B212" i="2"/>
  <c r="B213" i="2"/>
  <c r="B151" i="2"/>
  <c r="FM176" i="33"/>
  <c r="FN176" i="33"/>
  <c r="FO176" i="33"/>
  <c r="FP176" i="33"/>
  <c r="FM180" i="33"/>
  <c r="FN180" i="33"/>
  <c r="FO180" i="33"/>
  <c r="FP180" i="33"/>
  <c r="FM181" i="33"/>
  <c r="FN181" i="33"/>
  <c r="FO181" i="33"/>
  <c r="FP181" i="33"/>
  <c r="FM157" i="33"/>
  <c r="FN157" i="33"/>
  <c r="FO157" i="33"/>
  <c r="FP157" i="33"/>
  <c r="FM158" i="33"/>
  <c r="FN158" i="33"/>
  <c r="FO158" i="33"/>
  <c r="FP158" i="33"/>
  <c r="FM159" i="33"/>
  <c r="FN159" i="33"/>
  <c r="FO159" i="33"/>
  <c r="FP159" i="33"/>
  <c r="FM160" i="33"/>
  <c r="FN160" i="33"/>
  <c r="FO160" i="33"/>
  <c r="FP160" i="33"/>
  <c r="FM163" i="33"/>
  <c r="FN163" i="33"/>
  <c r="FO163" i="33"/>
  <c r="FP163" i="33"/>
  <c r="FM164" i="33"/>
  <c r="FN164" i="33"/>
  <c r="FO164" i="33"/>
  <c r="FP164" i="33"/>
  <c r="FI171" i="33"/>
  <c r="FJ171" i="33"/>
  <c r="FK171" i="33"/>
  <c r="FL171" i="33"/>
  <c r="FI173" i="33"/>
  <c r="FJ173" i="33"/>
  <c r="FK173" i="33"/>
  <c r="FL173" i="33"/>
  <c r="FI174" i="33"/>
  <c r="FJ174" i="33"/>
  <c r="FK174" i="33"/>
  <c r="FL174" i="33"/>
  <c r="FI176" i="33"/>
  <c r="FJ176" i="33"/>
  <c r="FK176" i="33"/>
  <c r="FL176" i="33"/>
  <c r="FI180" i="33"/>
  <c r="FJ180" i="33"/>
  <c r="FK180" i="33"/>
  <c r="FL180" i="33"/>
  <c r="FI181" i="33"/>
  <c r="FJ181" i="33"/>
  <c r="FK181" i="33"/>
  <c r="FL181" i="33"/>
  <c r="FI189" i="33"/>
  <c r="FJ189" i="33"/>
  <c r="FK189" i="33"/>
  <c r="FL189" i="33"/>
  <c r="FI197" i="33"/>
  <c r="FJ197" i="33"/>
  <c r="FK197" i="33"/>
  <c r="FL197" i="33"/>
  <c r="FJ170" i="33"/>
  <c r="FK170" i="33"/>
  <c r="FL170" i="33"/>
  <c r="FI170" i="33"/>
  <c r="FI144" i="33"/>
  <c r="FJ144" i="33"/>
  <c r="FK144" i="33"/>
  <c r="FL144" i="33"/>
  <c r="FI150" i="33"/>
  <c r="FJ150" i="33"/>
  <c r="FK150" i="33"/>
  <c r="FL150" i="33"/>
  <c r="FI157" i="33"/>
  <c r="FJ157" i="33"/>
  <c r="FK157" i="33"/>
  <c r="FL157" i="33"/>
  <c r="FI158" i="33"/>
  <c r="FJ158" i="33"/>
  <c r="FK158" i="33"/>
  <c r="FL158" i="33"/>
  <c r="FI159" i="33"/>
  <c r="FJ159" i="33"/>
  <c r="FK159" i="33"/>
  <c r="FL159" i="33"/>
  <c r="FI160" i="33"/>
  <c r="FJ160" i="33"/>
  <c r="FK160" i="33"/>
  <c r="FL160" i="33"/>
  <c r="FI163" i="33"/>
  <c r="FJ163" i="33"/>
  <c r="FK163" i="33"/>
  <c r="FL163" i="33"/>
  <c r="FI164" i="33"/>
  <c r="FJ164" i="33"/>
  <c r="FK164" i="33"/>
  <c r="FL164" i="33"/>
  <c r="DY176" i="33"/>
  <c r="DZ176" i="33"/>
  <c r="EA176" i="33"/>
  <c r="EB176" i="33"/>
  <c r="DY180" i="33"/>
  <c r="DZ180" i="33"/>
  <c r="EA180" i="33"/>
  <c r="EB180" i="33"/>
  <c r="DY181" i="33"/>
  <c r="DZ181" i="33"/>
  <c r="EA181" i="33"/>
  <c r="EB181" i="33"/>
  <c r="DY157" i="33"/>
  <c r="DZ157" i="33"/>
  <c r="EA157" i="33"/>
  <c r="EB157" i="33"/>
  <c r="DY158" i="33"/>
  <c r="DZ158" i="33"/>
  <c r="EA158" i="33"/>
  <c r="EB158" i="33"/>
  <c r="DY159" i="33"/>
  <c r="DZ159" i="33"/>
  <c r="EA159" i="33"/>
  <c r="EB159" i="33"/>
  <c r="DY160" i="33"/>
  <c r="DZ160" i="33"/>
  <c r="EA160" i="33"/>
  <c r="EB160" i="33"/>
  <c r="DY163" i="33"/>
  <c r="DZ163" i="33"/>
  <c r="EA163" i="33"/>
  <c r="EB163" i="33"/>
  <c r="DY164" i="33"/>
  <c r="DZ164" i="33"/>
  <c r="EA164" i="33"/>
  <c r="EB164" i="33"/>
  <c r="DU171" i="33"/>
  <c r="DV171" i="33"/>
  <c r="DW171" i="33"/>
  <c r="DX171" i="33"/>
  <c r="DU173" i="33"/>
  <c r="DV173" i="33"/>
  <c r="DW173" i="33"/>
  <c r="DX173" i="33"/>
  <c r="DU174" i="33"/>
  <c r="DV174" i="33"/>
  <c r="DW174" i="33"/>
  <c r="DX174" i="33"/>
  <c r="DU176" i="33"/>
  <c r="DV176" i="33"/>
  <c r="DW176" i="33"/>
  <c r="DX176" i="33"/>
  <c r="DU180" i="33"/>
  <c r="DV180" i="33"/>
  <c r="DW180" i="33"/>
  <c r="DX180" i="33"/>
  <c r="DU181" i="33"/>
  <c r="DV181" i="33"/>
  <c r="DW181" i="33"/>
  <c r="DX181" i="33"/>
  <c r="DU189" i="33"/>
  <c r="DV189" i="33"/>
  <c r="DW189" i="33"/>
  <c r="DX189" i="33"/>
  <c r="DU197" i="33"/>
  <c r="DV197" i="33"/>
  <c r="DW197" i="33"/>
  <c r="DX197" i="33"/>
  <c r="DV170" i="33"/>
  <c r="DW170" i="33"/>
  <c r="DX170" i="33"/>
  <c r="DU170" i="33"/>
  <c r="DU144" i="33"/>
  <c r="DV144" i="33"/>
  <c r="DW144" i="33"/>
  <c r="DX144" i="33"/>
  <c r="DU150" i="33"/>
  <c r="DV150" i="33"/>
  <c r="DW150" i="33"/>
  <c r="DX150" i="33"/>
  <c r="DU157" i="33"/>
  <c r="DV157" i="33"/>
  <c r="DW157" i="33"/>
  <c r="DX157" i="33"/>
  <c r="DU158" i="33"/>
  <c r="DV158" i="33"/>
  <c r="DW158" i="33"/>
  <c r="DX158" i="33"/>
  <c r="DU159" i="33"/>
  <c r="DV159" i="33"/>
  <c r="DW159" i="33"/>
  <c r="DX159" i="33"/>
  <c r="DU160" i="33"/>
  <c r="DV160" i="33"/>
  <c r="DW160" i="33"/>
  <c r="DX160" i="33"/>
  <c r="DU163" i="33"/>
  <c r="DV163" i="33"/>
  <c r="DW163" i="33"/>
  <c r="DX163" i="33"/>
  <c r="DU164" i="33"/>
  <c r="DV164" i="33"/>
  <c r="DW164" i="33"/>
  <c r="DX164" i="33"/>
  <c r="CF180" i="33"/>
  <c r="CF176" i="33"/>
  <c r="FI140" i="33"/>
  <c r="CJ157" i="33"/>
  <c r="CK157" i="33"/>
  <c r="CL157" i="33"/>
  <c r="CM157" i="33"/>
  <c r="CJ158" i="33"/>
  <c r="CK158" i="33"/>
  <c r="CL158" i="33"/>
  <c r="CM158" i="33"/>
  <c r="CJ159" i="33"/>
  <c r="CK159" i="33"/>
  <c r="CL159" i="33"/>
  <c r="CM159" i="33"/>
  <c r="CJ160" i="33"/>
  <c r="CK160" i="33"/>
  <c r="CL160" i="33"/>
  <c r="CM160" i="33"/>
  <c r="CJ163" i="33"/>
  <c r="CK163" i="33"/>
  <c r="CL163" i="33"/>
  <c r="CM163" i="33"/>
  <c r="CJ164" i="33"/>
  <c r="CK164" i="33"/>
  <c r="CL164" i="33"/>
  <c r="CM164" i="33"/>
  <c r="CJ180" i="33"/>
  <c r="CK180" i="33"/>
  <c r="CL180" i="33"/>
  <c r="CM180" i="33"/>
  <c r="CJ181" i="33"/>
  <c r="CK181" i="33"/>
  <c r="CL181" i="33"/>
  <c r="CM181" i="33"/>
  <c r="CF144" i="33"/>
  <c r="CG144" i="33"/>
  <c r="CH144" i="33"/>
  <c r="CI144" i="33"/>
  <c r="CF150" i="33"/>
  <c r="CG150" i="33"/>
  <c r="CH150" i="33"/>
  <c r="CI150" i="33"/>
  <c r="CF157" i="33"/>
  <c r="CG157" i="33"/>
  <c r="CH157" i="33"/>
  <c r="CI157" i="33"/>
  <c r="CF158" i="33"/>
  <c r="CG158" i="33"/>
  <c r="CH158" i="33"/>
  <c r="CI158" i="33"/>
  <c r="CF159" i="33"/>
  <c r="CG159" i="33"/>
  <c r="CH159" i="33"/>
  <c r="CI159" i="33"/>
  <c r="CF160" i="33"/>
  <c r="CG160" i="33"/>
  <c r="CH160" i="33"/>
  <c r="CI160" i="33"/>
  <c r="CF163" i="33"/>
  <c r="CG163" i="33"/>
  <c r="CH163" i="33"/>
  <c r="CI163" i="33"/>
  <c r="CF164" i="33"/>
  <c r="CG164" i="33"/>
  <c r="CH164" i="33"/>
  <c r="CI164" i="33"/>
  <c r="CF170" i="33"/>
  <c r="CG170" i="33"/>
  <c r="CH170" i="33"/>
  <c r="CI170" i="33"/>
  <c r="CF171" i="33"/>
  <c r="CG171" i="33"/>
  <c r="CH171" i="33"/>
  <c r="CI171" i="33"/>
  <c r="CF173" i="33"/>
  <c r="CG173" i="33"/>
  <c r="CH173" i="33"/>
  <c r="CI173" i="33"/>
  <c r="CF174" i="33"/>
  <c r="CG174" i="33"/>
  <c r="CH174" i="33"/>
  <c r="CI174" i="33"/>
  <c r="CG180" i="33"/>
  <c r="CH180" i="33"/>
  <c r="CI180" i="33"/>
  <c r="CF181" i="33"/>
  <c r="CG181" i="33"/>
  <c r="CH181" i="33"/>
  <c r="CI181" i="33"/>
  <c r="CF189" i="33"/>
  <c r="CG189" i="33"/>
  <c r="CH189" i="33"/>
  <c r="CI189" i="33"/>
  <c r="CF197" i="33"/>
  <c r="CG197" i="33"/>
  <c r="CH197" i="33"/>
  <c r="CI197" i="33"/>
  <c r="CM176" i="33"/>
  <c r="CK176" i="33"/>
  <c r="CL176" i="33"/>
  <c r="CJ176" i="33"/>
  <c r="CI176" i="33"/>
  <c r="CH176" i="33"/>
  <c r="CG176" i="33"/>
  <c r="AM174" i="6"/>
  <c r="AN174" i="6"/>
  <c r="AJ174" i="6"/>
  <c r="AK174" i="6"/>
  <c r="AL174" i="6"/>
  <c r="C2" i="21"/>
  <c r="B2" i="21"/>
  <c r="A2" i="21"/>
  <c r="AN165" i="6"/>
  <c r="AN141" i="6"/>
  <c r="AN154" i="6"/>
  <c r="AN150" i="6"/>
  <c r="AN145"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3" i="6"/>
  <c r="C194" i="6"/>
  <c r="C195" i="6"/>
  <c r="C196" i="6"/>
  <c r="C197" i="6"/>
  <c r="C198" i="6"/>
  <c r="C199" i="6"/>
  <c r="C200" i="6"/>
  <c r="C201" i="6"/>
  <c r="C202" i="6"/>
  <c r="C203" i="6"/>
  <c r="C204" i="6"/>
  <c r="C205" i="6"/>
  <c r="C206" i="6"/>
  <c r="C137" i="6"/>
  <c r="B206" i="6"/>
  <c r="B203" i="6"/>
  <c r="B204" i="6"/>
  <c r="B205" i="6"/>
  <c r="B201" i="6"/>
  <c r="B202"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7" i="6"/>
  <c r="B188" i="6"/>
  <c r="B189" i="6"/>
  <c r="B190" i="6"/>
  <c r="B193" i="6"/>
  <c r="B194" i="6"/>
  <c r="B195" i="6"/>
  <c r="B196" i="6"/>
  <c r="B197" i="6"/>
  <c r="B198" i="6"/>
  <c r="B199" i="6"/>
  <c r="B200" i="6"/>
  <c r="B137" i="6"/>
  <c r="C118" i="2"/>
  <c r="C110" i="6"/>
  <c r="C125" i="2"/>
  <c r="C113" i="6"/>
  <c r="C128" i="2"/>
  <c r="C131" i="2"/>
  <c r="C119" i="6"/>
  <c r="C134" i="2"/>
  <c r="C102" i="6"/>
  <c r="AI2" i="9"/>
  <c r="P2" i="9"/>
  <c r="Q2" i="9"/>
  <c r="R2" i="9"/>
  <c r="S2" i="9"/>
  <c r="T2" i="9"/>
  <c r="O2" i="9"/>
  <c r="H116" i="2"/>
  <c r="I116" i="2"/>
  <c r="G116" i="2"/>
  <c r="C122" i="6"/>
  <c r="C128" i="6"/>
  <c r="C129" i="6"/>
  <c r="C136" i="2"/>
  <c r="C142" i="2"/>
  <c r="D117" i="2"/>
  <c r="D118" i="2"/>
  <c r="D119" i="2"/>
  <c r="D121" i="2"/>
  <c r="D122" i="2"/>
  <c r="D124" i="2"/>
  <c r="D127" i="2"/>
  <c r="D128" i="2"/>
  <c r="D129" i="2"/>
  <c r="D133" i="2"/>
  <c r="D144" i="2"/>
  <c r="C143" i="2"/>
  <c r="C123" i="6"/>
  <c r="C137" i="2"/>
  <c r="C144" i="2"/>
  <c r="C130" i="6"/>
  <c r="C112" i="6"/>
  <c r="C126" i="6"/>
  <c r="C139" i="2"/>
  <c r="C125" i="6"/>
  <c r="C140" i="2"/>
  <c r="D141" i="2"/>
  <c r="D140" i="2"/>
  <c r="B117" i="2"/>
  <c r="B125" i="2"/>
  <c r="B124" i="2"/>
  <c r="B133" i="2"/>
  <c r="B144" i="2"/>
  <c r="B137" i="2"/>
  <c r="B130" i="2"/>
  <c r="B142" i="2"/>
  <c r="B141" i="2"/>
  <c r="B120" i="2"/>
  <c r="B139" i="2"/>
  <c r="B128" i="2"/>
  <c r="B140" i="2"/>
  <c r="C116" i="2"/>
  <c r="B116" i="2"/>
  <c r="B102" i="6"/>
  <c r="C93" i="2"/>
  <c r="O3" i="16"/>
  <c r="P3" i="16"/>
  <c r="Q3" i="16"/>
  <c r="R3" i="16"/>
  <c r="S3" i="16"/>
  <c r="T3" i="16"/>
  <c r="O4" i="16"/>
  <c r="P4" i="16"/>
  <c r="Q4" i="16"/>
  <c r="R4" i="16"/>
  <c r="S4" i="16"/>
  <c r="T4" i="16"/>
  <c r="O5" i="16"/>
  <c r="P5" i="16"/>
  <c r="Q5" i="16"/>
  <c r="R5" i="16"/>
  <c r="S5" i="16"/>
  <c r="T5" i="16"/>
  <c r="O6" i="16"/>
  <c r="P6" i="16"/>
  <c r="Q6" i="16"/>
  <c r="R6" i="16"/>
  <c r="S6" i="16"/>
  <c r="T6" i="16"/>
  <c r="O7" i="16"/>
  <c r="P7" i="16"/>
  <c r="Q7" i="16"/>
  <c r="R7" i="16"/>
  <c r="S7" i="16"/>
  <c r="T7" i="16"/>
  <c r="O8" i="16"/>
  <c r="P8" i="16"/>
  <c r="Q8" i="16"/>
  <c r="R8" i="16"/>
  <c r="S8" i="16"/>
  <c r="T8" i="16"/>
  <c r="O9" i="16"/>
  <c r="P9" i="16"/>
  <c r="Q9" i="16"/>
  <c r="R9" i="16"/>
  <c r="S9" i="16"/>
  <c r="T9" i="16"/>
  <c r="O10" i="16"/>
  <c r="P10" i="16"/>
  <c r="Q10" i="16"/>
  <c r="R10" i="16"/>
  <c r="S10" i="16"/>
  <c r="T10" i="16"/>
  <c r="O11" i="16"/>
  <c r="P11" i="16"/>
  <c r="Q11" i="16"/>
  <c r="R11" i="16"/>
  <c r="S11" i="16"/>
  <c r="T11" i="16"/>
  <c r="O12" i="16"/>
  <c r="P12" i="16"/>
  <c r="Q12" i="16"/>
  <c r="R12" i="16"/>
  <c r="S12" i="16"/>
  <c r="T12" i="16"/>
  <c r="O13" i="16"/>
  <c r="P13" i="16"/>
  <c r="Q13" i="16"/>
  <c r="R13" i="16"/>
  <c r="S13" i="16"/>
  <c r="T13" i="16"/>
  <c r="O14" i="16"/>
  <c r="P14" i="16"/>
  <c r="Q14" i="16"/>
  <c r="R14" i="16"/>
  <c r="S14" i="16"/>
  <c r="T14" i="16"/>
  <c r="O15" i="16"/>
  <c r="P15" i="16"/>
  <c r="Q15" i="16"/>
  <c r="R15" i="16"/>
  <c r="S15" i="16"/>
  <c r="T15" i="16"/>
  <c r="O16" i="16"/>
  <c r="P16" i="16"/>
  <c r="Q16" i="16"/>
  <c r="R16" i="16"/>
  <c r="S16" i="16"/>
  <c r="T16" i="16"/>
  <c r="O17" i="16"/>
  <c r="P17" i="16"/>
  <c r="Q17" i="16"/>
  <c r="R17" i="16"/>
  <c r="S17" i="16"/>
  <c r="T17" i="16"/>
  <c r="O18" i="16"/>
  <c r="P18" i="16"/>
  <c r="Q18" i="16"/>
  <c r="R18" i="16"/>
  <c r="S18" i="16"/>
  <c r="T18" i="16"/>
  <c r="O19" i="16"/>
  <c r="P19" i="16"/>
  <c r="Q19" i="16"/>
  <c r="R19" i="16"/>
  <c r="S19" i="16"/>
  <c r="T19" i="16"/>
  <c r="O20" i="16"/>
  <c r="P20" i="16"/>
  <c r="Q20" i="16"/>
  <c r="R20" i="16"/>
  <c r="S20" i="16"/>
  <c r="T20" i="16"/>
  <c r="O21" i="16"/>
  <c r="P21" i="16"/>
  <c r="Q21" i="16"/>
  <c r="R21" i="16"/>
  <c r="S21" i="16"/>
  <c r="T21" i="16"/>
  <c r="O22" i="16"/>
  <c r="P22" i="16"/>
  <c r="Q22" i="16"/>
  <c r="R22" i="16"/>
  <c r="S22" i="16"/>
  <c r="T22" i="16"/>
  <c r="P2" i="16"/>
  <c r="Q2" i="16"/>
  <c r="R2" i="16"/>
  <c r="S2" i="16"/>
  <c r="T2" i="16"/>
  <c r="AH72" i="16" s="1"/>
  <c r="O2" i="16"/>
  <c r="AE96" i="2"/>
  <c r="AE103" i="2"/>
  <c r="AE109" i="2"/>
  <c r="B93" i="2"/>
  <c r="AE74" i="2"/>
  <c r="AE89" i="2"/>
  <c r="C79" i="6"/>
  <c r="B79" i="6"/>
  <c r="C23" i="6"/>
  <c r="C24" i="6"/>
  <c r="C25" i="6"/>
  <c r="C26" i="6"/>
  <c r="C27" i="6"/>
  <c r="C28" i="6"/>
  <c r="C29" i="6"/>
  <c r="C30" i="6"/>
  <c r="C31" i="6"/>
  <c r="C32" i="6"/>
  <c r="C33" i="6"/>
  <c r="C34" i="6"/>
  <c r="C35" i="6"/>
  <c r="C36" i="6"/>
  <c r="C37" i="6"/>
  <c r="C38" i="6"/>
  <c r="C39" i="6"/>
  <c r="C40"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22" i="6"/>
  <c r="B22" i="6"/>
  <c r="B2" i="16"/>
  <c r="AQ8" i="16"/>
  <c r="D2" i="16"/>
  <c r="C2" i="16"/>
  <c r="D2" i="12"/>
  <c r="C2" i="12"/>
  <c r="B2" i="12"/>
  <c r="A2" i="12"/>
  <c r="A2" i="16"/>
  <c r="W22" i="2"/>
  <c r="X22" i="2"/>
  <c r="Y22" i="2"/>
  <c r="Z22" i="2"/>
  <c r="V22" i="2"/>
  <c r="AO87" i="2"/>
  <c r="AV63" i="2"/>
  <c r="AW63" i="2"/>
  <c r="AV45" i="2"/>
  <c r="AW45" i="2"/>
  <c r="AY80" i="2"/>
  <c r="AV80" i="2"/>
  <c r="AW80" i="2"/>
  <c r="AX80" i="2"/>
  <c r="AU80" i="2"/>
  <c r="AV70" i="2"/>
  <c r="AW70" i="2"/>
  <c r="AY70" i="2"/>
  <c r="AU70" i="2"/>
  <c r="AH81" i="2"/>
  <c r="AY63" i="2"/>
  <c r="AX63" i="2"/>
  <c r="AU63" i="2"/>
  <c r="AY60" i="2"/>
  <c r="AW56" i="2"/>
  <c r="AU56" i="2"/>
  <c r="AY52" i="2"/>
  <c r="AY45" i="2"/>
  <c r="AY42" i="2"/>
  <c r="AU45" i="2"/>
  <c r="AH87" i="2"/>
  <c r="AG87" i="2"/>
  <c r="AH85" i="2"/>
  <c r="AG85" i="2"/>
  <c r="AG84" i="2"/>
  <c r="AH83" i="2"/>
  <c r="AG83" i="2"/>
  <c r="AH80" i="2"/>
  <c r="AH79" i="2"/>
  <c r="AH78" i="2"/>
  <c r="AH76" i="2"/>
  <c r="AG76" i="2"/>
  <c r="AH77" i="2"/>
  <c r="AG77" i="2"/>
  <c r="AG74" i="2"/>
  <c r="AG72" i="2"/>
  <c r="AG64" i="2"/>
  <c r="AG63" i="2"/>
  <c r="AG61" i="2"/>
  <c r="AG57" i="2"/>
  <c r="AG56" i="2"/>
  <c r="AH54" i="2"/>
  <c r="AG54" i="2"/>
  <c r="AG53" i="2"/>
  <c r="AH38" i="2"/>
  <c r="AG38" i="2"/>
  <c r="W35" i="2"/>
  <c r="X35" i="2"/>
  <c r="Y35" i="2"/>
  <c r="Z35" i="2"/>
  <c r="V35" i="2"/>
  <c r="AG37" i="2"/>
  <c r="AF40" i="2"/>
  <c r="AH41" i="2"/>
  <c r="AF42" i="2"/>
  <c r="AH43" i="2"/>
  <c r="AF44" i="2"/>
  <c r="AH45" i="2"/>
  <c r="AG46" i="2"/>
  <c r="AI47" i="2"/>
  <c r="AH48" i="2"/>
  <c r="AF49" i="2"/>
  <c r="AI50" i="2"/>
  <c r="AF51" i="2"/>
  <c r="AG52" i="2"/>
  <c r="C36" i="2"/>
  <c r="B36" i="2"/>
  <c r="A3" i="33"/>
  <c r="A4" i="33" s="1"/>
  <c r="AA13" i="33"/>
  <c r="Z13" i="33"/>
  <c r="V2" i="6"/>
  <c r="T1" i="2"/>
  <c r="Q2" i="6"/>
  <c r="U2" i="6"/>
  <c r="T2" i="6"/>
  <c r="S2" i="6"/>
  <c r="R2" i="6"/>
  <c r="B18" i="6"/>
  <c r="W15" i="2"/>
  <c r="P1" i="2"/>
  <c r="P289" i="2" s="1"/>
  <c r="Q1" i="2"/>
  <c r="Q289" i="2" s="1"/>
  <c r="R1" i="2"/>
  <c r="R289" i="2" s="1"/>
  <c r="AI2" i="16"/>
  <c r="H8" i="28"/>
  <c r="H7" i="28"/>
  <c r="H6" i="28"/>
  <c r="H5" i="28"/>
  <c r="D8" i="28"/>
  <c r="D7" i="28"/>
  <c r="D6" i="28"/>
  <c r="D5" i="28"/>
  <c r="D4" i="28"/>
  <c r="B4" i="28"/>
  <c r="B5" i="28"/>
  <c r="B6" i="28"/>
  <c r="B7" i="28"/>
  <c r="B8" i="28"/>
  <c r="F3" i="28"/>
  <c r="B3" i="28"/>
  <c r="B30" i="3"/>
  <c r="B31" i="3"/>
  <c r="B32" i="3"/>
  <c r="B29" i="3"/>
  <c r="AQ3" i="10"/>
  <c r="A17" i="17"/>
  <c r="AI2" i="20"/>
  <c r="AH2" i="19"/>
  <c r="AH2" i="14"/>
  <c r="AI2" i="15"/>
  <c r="AG5" i="2"/>
  <c r="AG6" i="2" s="1"/>
  <c r="AG7" i="2" s="1"/>
  <c r="C39" i="1" s="1"/>
  <c r="G8" i="28" s="1"/>
  <c r="AD5" i="2"/>
  <c r="AD6" i="2" s="1"/>
  <c r="AC5" i="2"/>
  <c r="AC6" i="2" s="1"/>
  <c r="AC7" i="2" s="1"/>
  <c r="AF5" i="2"/>
  <c r="AF6" i="2" s="1"/>
  <c r="AE5" i="2"/>
  <c r="AE6" i="2" s="1"/>
  <c r="AE7" i="2" s="1"/>
  <c r="C37" i="1" s="1"/>
  <c r="G6" i="28" s="1"/>
  <c r="AI2" i="10"/>
  <c r="AK72" i="16"/>
  <c r="AL72" i="16"/>
  <c r="AM72" i="16"/>
  <c r="AO72" i="16"/>
  <c r="AJ72" i="16"/>
  <c r="AN72" i="16"/>
  <c r="A18" i="17"/>
  <c r="A16" i="17"/>
  <c r="AB5" i="2"/>
  <c r="AA5" i="2"/>
  <c r="AA6" i="2" s="1"/>
  <c r="Z5" i="2"/>
  <c r="Z6" i="2" s="1"/>
  <c r="Y5" i="2"/>
  <c r="Y6" i="2" s="1"/>
  <c r="Y7" i="2" s="1"/>
  <c r="X5" i="2"/>
  <c r="X6" i="2" s="1"/>
  <c r="S1" i="2"/>
  <c r="S289" i="2" s="1"/>
  <c r="C135" i="2"/>
  <c r="D135" i="2"/>
  <c r="C121" i="6"/>
  <c r="B135" i="2"/>
  <c r="G18" i="17" l="1"/>
  <c r="E18" i="17"/>
  <c r="F18" i="17"/>
  <c r="I18" i="17"/>
  <c r="C18" i="17"/>
  <c r="D18" i="17"/>
  <c r="H18" i="17"/>
  <c r="J18" i="17"/>
  <c r="L18" i="17"/>
  <c r="K18" i="17"/>
  <c r="M18" i="17"/>
  <c r="Q19" i="1" s="1"/>
  <c r="B18" i="17"/>
  <c r="E17" i="17"/>
  <c r="D17" i="17"/>
  <c r="C17" i="17"/>
  <c r="F17" i="17"/>
  <c r="G17" i="17"/>
  <c r="H17" i="17"/>
  <c r="I17" i="17"/>
  <c r="J17" i="17"/>
  <c r="K17" i="17"/>
  <c r="L17" i="17"/>
  <c r="M17" i="17"/>
  <c r="Q17" i="1" s="1"/>
  <c r="B17" i="17"/>
  <c r="B26" i="2"/>
  <c r="E16" i="17"/>
  <c r="F16" i="17"/>
  <c r="C16" i="17"/>
  <c r="D16" i="17"/>
  <c r="G16" i="17"/>
  <c r="H16" i="17"/>
  <c r="J16" i="17"/>
  <c r="K16" i="17"/>
  <c r="L16" i="17"/>
  <c r="B16" i="17"/>
  <c r="AB18" i="6"/>
  <c r="AC18" i="6"/>
  <c r="AD18" i="6"/>
  <c r="N18" i="6"/>
  <c r="O18" i="6"/>
  <c r="P18" i="6"/>
  <c r="Q18" i="6"/>
  <c r="L18" i="6"/>
  <c r="M18" i="6"/>
  <c r="AJ2" i="20" a="1"/>
  <c r="AJ2" i="20" s="1"/>
  <c r="AK2" i="20" a="1"/>
  <c r="AK2" i="20" s="1"/>
  <c r="AL2" i="20" a="1"/>
  <c r="AL2" i="20" s="1"/>
  <c r="AM2" i="20" a="1"/>
  <c r="AM2" i="20" s="1"/>
  <c r="AO2" i="20" a="1"/>
  <c r="AO2" i="20" s="1"/>
  <c r="AN2" i="20" a="1"/>
  <c r="AN2" i="20" s="1"/>
  <c r="AS174" i="6"/>
  <c r="AQ326" i="6"/>
  <c r="AM262" i="6"/>
  <c r="AP326" i="6"/>
  <c r="AM261" i="6"/>
  <c r="AN326" i="6"/>
  <c r="AK261" i="6"/>
  <c r="AL262" i="6"/>
  <c r="AO326" i="6"/>
  <c r="AL261" i="6"/>
  <c r="AM326" i="6"/>
  <c r="AJ261" i="6"/>
  <c r="AD2" i="8" a="1"/>
  <c r="AD2" i="8" s="1"/>
  <c r="AE2" i="8" a="1"/>
  <c r="AE2" i="8" s="1"/>
  <c r="AM2" i="8" a="1"/>
  <c r="AM2" i="8" s="1"/>
  <c r="AN2" i="8" a="1"/>
  <c r="AN2" i="8" s="1"/>
  <c r="AF2" i="8" a="1"/>
  <c r="AF2" i="8" s="1"/>
  <c r="AP2" i="8" a="1"/>
  <c r="AP2" i="8" s="1"/>
  <c r="AR2" i="8"/>
  <c r="AG2" i="8" a="1"/>
  <c r="AG2" i="8" s="1"/>
  <c r="AH2" i="8" a="1"/>
  <c r="AH2" i="8" s="1"/>
  <c r="AI2" i="8" a="1"/>
  <c r="AI2" i="8" s="1"/>
  <c r="AL2" i="8" a="1"/>
  <c r="AL2" i="8" s="1"/>
  <c r="AK2" i="8" a="1"/>
  <c r="AK2" i="8" s="1"/>
  <c r="AO2" i="8" a="1"/>
  <c r="AO2" i="8" s="1"/>
  <c r="R286" i="2"/>
  <c r="R296" i="2"/>
  <c r="R319" i="2"/>
  <c r="R309" i="2"/>
  <c r="S309" i="2"/>
  <c r="S296" i="2"/>
  <c r="S319" i="2"/>
  <c r="S286" i="2"/>
  <c r="Q296" i="2"/>
  <c r="Q319" i="2"/>
  <c r="Q286" i="2"/>
  <c r="Q309" i="2"/>
  <c r="P309" i="2"/>
  <c r="P296" i="2"/>
  <c r="P319" i="2"/>
  <c r="P286" i="2"/>
  <c r="P308" i="2"/>
  <c r="Q205" i="2"/>
  <c r="Q270" i="2"/>
  <c r="BJ258" i="2"/>
  <c r="P205" i="2"/>
  <c r="P270" i="2"/>
  <c r="BI258" i="2"/>
  <c r="R205" i="2"/>
  <c r="R270" i="2"/>
  <c r="BK258" i="2"/>
  <c r="AM220" i="6"/>
  <c r="AM216" i="6"/>
  <c r="AM211" i="6"/>
  <c r="AM224" i="6"/>
  <c r="AM228" i="6"/>
  <c r="S270" i="2"/>
  <c r="AX266" i="2"/>
  <c r="BL258" i="2"/>
  <c r="R49" i="28"/>
  <c r="R50" i="28"/>
  <c r="AI2" i="21" a="1"/>
  <c r="AI2" i="21" s="1"/>
  <c r="AK2" i="21" a="1"/>
  <c r="AK2" i="21" s="1"/>
  <c r="AL2" i="21" a="1"/>
  <c r="AL2" i="21" s="1"/>
  <c r="AM2" i="21" a="1"/>
  <c r="AM2" i="21" s="1"/>
  <c r="AN2" i="21" a="1"/>
  <c r="AN2" i="21" s="1"/>
  <c r="AD2" i="21" a="1"/>
  <c r="AD2" i="21" s="1"/>
  <c r="AH2" i="21" a="1"/>
  <c r="AH2" i="21" s="1"/>
  <c r="AP2" i="21" a="1"/>
  <c r="AP2" i="21" s="1"/>
  <c r="AR2" i="21"/>
  <c r="AG2" i="21" a="1"/>
  <c r="AG2" i="21" s="1"/>
  <c r="AE2" i="21" a="1"/>
  <c r="AE2" i="21" s="1"/>
  <c r="AF2" i="21" a="1"/>
  <c r="AF2" i="21" s="1"/>
  <c r="AO2" i="21" a="1"/>
  <c r="AO2" i="21" s="1"/>
  <c r="S205" i="2"/>
  <c r="AX222" i="2"/>
  <c r="AX247" i="2"/>
  <c r="AX226" i="2"/>
  <c r="AX218" i="2"/>
  <c r="S210" i="2"/>
  <c r="S204" i="2"/>
  <c r="S201" i="2"/>
  <c r="AL186" i="6"/>
  <c r="AL182" i="6"/>
  <c r="AM170" i="6"/>
  <c r="AM187" i="6"/>
  <c r="AM186" i="6"/>
  <c r="AM182" i="6"/>
  <c r="AM183" i="6"/>
  <c r="AM166" i="6"/>
  <c r="AJ186" i="6"/>
  <c r="AJ182" i="6"/>
  <c r="AK186" i="6"/>
  <c r="AK182" i="6"/>
  <c r="AM142" i="6"/>
  <c r="AM151" i="6"/>
  <c r="AM155" i="6"/>
  <c r="AM146" i="6"/>
  <c r="P201" i="2"/>
  <c r="P210" i="2"/>
  <c r="P204" i="2"/>
  <c r="Q201" i="2"/>
  <c r="Q204" i="2"/>
  <c r="Q210" i="2"/>
  <c r="R201" i="2"/>
  <c r="R210" i="2"/>
  <c r="R204" i="2"/>
  <c r="Q148" i="2"/>
  <c r="Q199" i="2"/>
  <c r="Q187" i="2"/>
  <c r="Q183" i="2"/>
  <c r="Q186" i="2"/>
  <c r="Q189" i="2"/>
  <c r="Q188" i="2"/>
  <c r="Q184" i="2"/>
  <c r="AV180" i="2"/>
  <c r="Q180" i="2"/>
  <c r="Q181" i="2"/>
  <c r="AV166" i="2"/>
  <c r="BA173" i="2"/>
  <c r="Q190" i="2"/>
  <c r="P148" i="2"/>
  <c r="P187" i="2"/>
  <c r="AU166" i="2"/>
  <c r="P199" i="2"/>
  <c r="P184" i="2"/>
  <c r="P186" i="2"/>
  <c r="AU180" i="2"/>
  <c r="P189" i="2"/>
  <c r="P183" i="2"/>
  <c r="P181" i="2"/>
  <c r="P180" i="2"/>
  <c r="AZ173" i="2"/>
  <c r="P190" i="2"/>
  <c r="P188" i="2"/>
  <c r="AW180" i="2"/>
  <c r="R199" i="2"/>
  <c r="T88" i="2"/>
  <c r="BD173" i="2"/>
  <c r="S148" i="2"/>
  <c r="S199" i="2"/>
  <c r="S184" i="2"/>
  <c r="S187" i="2"/>
  <c r="AX166" i="2"/>
  <c r="S188" i="2"/>
  <c r="S186" i="2"/>
  <c r="AX181" i="2"/>
  <c r="AX180" i="2"/>
  <c r="S183" i="2"/>
  <c r="S181" i="2"/>
  <c r="S180" i="2"/>
  <c r="AX167" i="2"/>
  <c r="BC173" i="2"/>
  <c r="S190" i="2"/>
  <c r="S189" i="2"/>
  <c r="R148" i="2"/>
  <c r="R180" i="2"/>
  <c r="R184" i="2"/>
  <c r="R183" i="2"/>
  <c r="R190" i="2"/>
  <c r="R181" i="2"/>
  <c r="BB173" i="2"/>
  <c r="R189" i="2"/>
  <c r="R187" i="2"/>
  <c r="R186" i="2"/>
  <c r="AW166" i="2"/>
  <c r="R188" i="2"/>
  <c r="L180" i="33"/>
  <c r="L158" i="33"/>
  <c r="L157" i="33"/>
  <c r="L164" i="33"/>
  <c r="L160" i="33"/>
  <c r="L181" i="33"/>
  <c r="L176" i="33"/>
  <c r="L163" i="33"/>
  <c r="L159" i="33"/>
  <c r="J163" i="33"/>
  <c r="J160" i="33"/>
  <c r="J159" i="33"/>
  <c r="J181" i="33"/>
  <c r="J158" i="33"/>
  <c r="J180" i="33"/>
  <c r="J157" i="33"/>
  <c r="J176" i="33"/>
  <c r="J164" i="33"/>
  <c r="K159" i="33"/>
  <c r="K181" i="33"/>
  <c r="K158" i="33"/>
  <c r="K180" i="33"/>
  <c r="K157" i="33"/>
  <c r="K176" i="33"/>
  <c r="K164" i="33"/>
  <c r="K160" i="33"/>
  <c r="K163" i="33"/>
  <c r="AM30" i="6"/>
  <c r="AM36" i="6"/>
  <c r="AM53" i="6"/>
  <c r="AX51" i="6"/>
  <c r="AM34" i="6"/>
  <c r="AM51" i="6"/>
  <c r="AM71" i="6"/>
  <c r="AM28" i="6"/>
  <c r="AM55" i="6"/>
  <c r="AM32" i="6"/>
  <c r="AM42" i="6"/>
  <c r="AM65" i="6"/>
  <c r="AM40" i="6"/>
  <c r="AM26" i="6"/>
  <c r="AM38" i="6"/>
  <c r="AL26" i="6"/>
  <c r="S90" i="2"/>
  <c r="S83" i="2"/>
  <c r="S101" i="2"/>
  <c r="S88" i="2"/>
  <c r="S102" i="2"/>
  <c r="S84" i="2"/>
  <c r="AX53" i="2"/>
  <c r="S103" i="2"/>
  <c r="S74" i="2"/>
  <c r="S89" i="2"/>
  <c r="S82" i="2"/>
  <c r="R90" i="2"/>
  <c r="R83" i="2"/>
  <c r="R102" i="2"/>
  <c r="R74" i="2"/>
  <c r="R101" i="2"/>
  <c r="R84" i="2"/>
  <c r="R103" i="2"/>
  <c r="R89" i="2"/>
  <c r="R82" i="2"/>
  <c r="R88" i="2"/>
  <c r="Q90" i="2"/>
  <c r="Q83" i="2"/>
  <c r="Q101" i="2"/>
  <c r="Q82" i="2"/>
  <c r="Q102" i="2"/>
  <c r="Q74" i="2"/>
  <c r="Q89" i="2"/>
  <c r="Q103" i="2"/>
  <c r="Q88" i="2"/>
  <c r="Q84" i="2"/>
  <c r="P90" i="2"/>
  <c r="P83" i="2"/>
  <c r="P101" i="2"/>
  <c r="P74" i="2"/>
  <c r="P82" i="2"/>
  <c r="P84" i="2"/>
  <c r="P88" i="2"/>
  <c r="P89" i="2"/>
  <c r="P102" i="2"/>
  <c r="P103" i="2"/>
  <c r="AC2" i="12" a="1"/>
  <c r="AC2" i="12" s="1"/>
  <c r="AF2" i="12" a="1"/>
  <c r="AF2" i="12" s="1"/>
  <c r="AG2" i="12" a="1"/>
  <c r="AG2" i="12" s="1"/>
  <c r="AD2" i="12" a="1"/>
  <c r="AD2" i="12" s="1"/>
  <c r="AE2" i="12" a="1"/>
  <c r="AE2" i="12" s="1"/>
  <c r="AK2" i="12" a="1"/>
  <c r="AK2" i="12" s="1"/>
  <c r="AH2" i="12" a="1"/>
  <c r="AH2" i="12" s="1"/>
  <c r="AL2" i="12" a="1"/>
  <c r="AL2" i="12" s="1"/>
  <c r="AJ2" i="12" a="1"/>
  <c r="AJ2" i="12" s="1"/>
  <c r="AN2" i="12" a="1"/>
  <c r="AN2" i="12" s="1"/>
  <c r="AO2" i="12" a="1"/>
  <c r="AO2" i="12" s="1"/>
  <c r="AQ2" i="12"/>
  <c r="AM2" i="12" a="1"/>
  <c r="AM2" i="12" s="1"/>
  <c r="AX40" i="2"/>
  <c r="P2" i="2"/>
  <c r="P8" i="2" s="1"/>
  <c r="BI259" i="2" s="1"/>
  <c r="T2" i="2"/>
  <c r="V11" i="2" s="1"/>
  <c r="AE385" i="2" s="1"/>
  <c r="C17" i="3"/>
  <c r="C10" i="3"/>
  <c r="R45" i="28"/>
  <c r="R2" i="2"/>
  <c r="R3" i="2" s="1"/>
  <c r="AW53" i="2" s="1"/>
  <c r="AD3" i="33"/>
  <c r="AD4" i="33" s="1"/>
  <c r="G33" i="34" s="1"/>
  <c r="AC3" i="33"/>
  <c r="AC4" i="33" s="1"/>
  <c r="G32" i="34" s="1"/>
  <c r="C35" i="1"/>
  <c r="G4" i="28" s="1"/>
  <c r="C21" i="3"/>
  <c r="C19" i="3"/>
  <c r="C12" i="3"/>
  <c r="C16" i="3"/>
  <c r="C18" i="3"/>
  <c r="C3" i="3"/>
  <c r="C6" i="3"/>
  <c r="C25" i="3"/>
  <c r="C24" i="3"/>
  <c r="C5" i="3"/>
  <c r="C9" i="3"/>
  <c r="C15" i="3"/>
  <c r="C20" i="3"/>
  <c r="C23" i="3"/>
  <c r="C8" i="3"/>
  <c r="C22" i="3"/>
  <c r="C4" i="3"/>
  <c r="C7" i="3"/>
  <c r="C13" i="3"/>
  <c r="AM267" i="6"/>
  <c r="AM266" i="6"/>
  <c r="C14" i="3"/>
  <c r="C11" i="3"/>
  <c r="R32" i="28"/>
  <c r="S403" i="2"/>
  <c r="S404" i="2"/>
  <c r="Q32" i="28"/>
  <c r="AS3" i="33"/>
  <c r="AS4" i="33" s="1"/>
  <c r="O59" i="34" s="1"/>
  <c r="AT3" i="33"/>
  <c r="AT4" i="33" s="1"/>
  <c r="O60" i="34" s="1"/>
  <c r="R404" i="2"/>
  <c r="P32" i="28"/>
  <c r="R403" i="2"/>
  <c r="O32" i="28"/>
  <c r="Q404" i="2"/>
  <c r="Q403" i="2"/>
  <c r="AK39" i="6"/>
  <c r="AK266" i="6"/>
  <c r="N32" i="28"/>
  <c r="P403" i="2"/>
  <c r="P404" i="2"/>
  <c r="AG2" i="20" a="1"/>
  <c r="AG2" i="20" s="1"/>
  <c r="AH2" i="20" a="1"/>
  <c r="AH2" i="20" s="1"/>
  <c r="AD2" i="20" a="1"/>
  <c r="AD2" i="20" s="1"/>
  <c r="AE2" i="20" a="1"/>
  <c r="AE2" i="20" s="1"/>
  <c r="AC2" i="20" a="1"/>
  <c r="AC2" i="20" s="1"/>
  <c r="AF2" i="20" a="1"/>
  <c r="AF2" i="20" s="1"/>
  <c r="AG2" i="10" a="1"/>
  <c r="AG2" i="10" s="1"/>
  <c r="AM2" i="10" a="1"/>
  <c r="AM2" i="10" s="1"/>
  <c r="AC2" i="10" a="1"/>
  <c r="AC2" i="10" s="1"/>
  <c r="AK2" i="10" a="1"/>
  <c r="AK2" i="10" s="1"/>
  <c r="AH2" i="10" a="1"/>
  <c r="AH2" i="10" s="1"/>
  <c r="AO2" i="10" a="1"/>
  <c r="AO2" i="10" s="1"/>
  <c r="AJ2" i="10" a="1"/>
  <c r="AJ2" i="10" s="1"/>
  <c r="AL2" i="10" a="1"/>
  <c r="AL2" i="10" s="1"/>
  <c r="AD2" i="10" a="1"/>
  <c r="AD2" i="10" s="1"/>
  <c r="AE2" i="10" a="1"/>
  <c r="AE2" i="10" s="1"/>
  <c r="AF2" i="10" a="1"/>
  <c r="AF2" i="10" s="1"/>
  <c r="AN2" i="10" a="1"/>
  <c r="AN2" i="10" s="1"/>
  <c r="AL2" i="14" a="1"/>
  <c r="AL2" i="14" s="1"/>
  <c r="AM2" i="14" a="1"/>
  <c r="AM2" i="14" s="1"/>
  <c r="AK2" i="14" a="1"/>
  <c r="AK2" i="14" s="1"/>
  <c r="AC2" i="14" a="1"/>
  <c r="AC2" i="14" s="1"/>
  <c r="AN2" i="14" a="1"/>
  <c r="AN2" i="14" s="1"/>
  <c r="AJ2" i="14" a="1"/>
  <c r="AJ2" i="14" s="1"/>
  <c r="AD2" i="14" a="1"/>
  <c r="AD2" i="14" s="1"/>
  <c r="AI2" i="14" a="1"/>
  <c r="AI2" i="14" s="1"/>
  <c r="AE2" i="14" a="1"/>
  <c r="AE2" i="14" s="1"/>
  <c r="AB2" i="14" a="1"/>
  <c r="AB2" i="14" s="1"/>
  <c r="AF2" i="14" a="1"/>
  <c r="AF2" i="14" s="1"/>
  <c r="AG2" i="14" a="1"/>
  <c r="AG2" i="14" s="1"/>
  <c r="AK2" i="15" a="1"/>
  <c r="AK2" i="15" s="1"/>
  <c r="AE2" i="15" a="1"/>
  <c r="AE2" i="15" s="1"/>
  <c r="AJ2" i="15" a="1"/>
  <c r="AJ2" i="15" s="1"/>
  <c r="AF2" i="15" a="1"/>
  <c r="AF2" i="15" s="1"/>
  <c r="AG2" i="15" a="1"/>
  <c r="AG2" i="15" s="1"/>
  <c r="AH2" i="15" a="1"/>
  <c r="AH2" i="15" s="1"/>
  <c r="AO2" i="15" a="1"/>
  <c r="AO2" i="15" s="1"/>
  <c r="AD2" i="15" a="1"/>
  <c r="AD2" i="15" s="1"/>
  <c r="AL2" i="15" a="1"/>
  <c r="AL2" i="15" s="1"/>
  <c r="AC2" i="15" a="1"/>
  <c r="AC2" i="15" s="1"/>
  <c r="AM2" i="15" a="1"/>
  <c r="AM2" i="15" s="1"/>
  <c r="AN2" i="15" a="1"/>
  <c r="AN2" i="15" s="1"/>
  <c r="AA18" i="15"/>
  <c r="AN2" i="16" a="1"/>
  <c r="AN2" i="16" s="1"/>
  <c r="AD2" i="16" a="1"/>
  <c r="AD2" i="16" s="1"/>
  <c r="AO2" i="16" a="1"/>
  <c r="AO2" i="16" s="1"/>
  <c r="AC2" i="16" a="1"/>
  <c r="AC2" i="16" s="1"/>
  <c r="AJ2" i="16" a="1"/>
  <c r="AJ2" i="16" s="1"/>
  <c r="AE2" i="16" a="1"/>
  <c r="AE2" i="16" s="1"/>
  <c r="AF2" i="16" a="1"/>
  <c r="AF2" i="16" s="1"/>
  <c r="AL2" i="16" a="1"/>
  <c r="AL2" i="16" s="1"/>
  <c r="AG2" i="16" a="1"/>
  <c r="AG2" i="16" s="1"/>
  <c r="AM2" i="16" a="1"/>
  <c r="AM2" i="16" s="1"/>
  <c r="AH2" i="16" a="1"/>
  <c r="AH2" i="16" s="1"/>
  <c r="AK2" i="16" a="1"/>
  <c r="AK2" i="16" s="1"/>
  <c r="P370" i="2"/>
  <c r="P369" i="2"/>
  <c r="R370" i="2"/>
  <c r="R369" i="2"/>
  <c r="Q369" i="2"/>
  <c r="Q370" i="2"/>
  <c r="S370" i="2"/>
  <c r="S369" i="2"/>
  <c r="AX225" i="2"/>
  <c r="S302" i="2"/>
  <c r="BL285" i="2"/>
  <c r="BL253" i="2"/>
  <c r="S317" i="2"/>
  <c r="S310" i="2"/>
  <c r="BF305" i="2"/>
  <c r="S313" i="2"/>
  <c r="BF304" i="2"/>
  <c r="BE304" i="2"/>
  <c r="BK285" i="2"/>
  <c r="R317" i="2"/>
  <c r="R310" i="2"/>
  <c r="BE305" i="2"/>
  <c r="R313" i="2"/>
  <c r="Q313" i="2"/>
  <c r="BD304" i="2"/>
  <c r="Q317" i="2"/>
  <c r="Q310" i="2"/>
  <c r="BJ285" i="2"/>
  <c r="BJ253" i="2"/>
  <c r="Q302" i="2"/>
  <c r="P313" i="2"/>
  <c r="P317" i="2"/>
  <c r="P310" i="2"/>
  <c r="T404" i="2"/>
  <c r="BM285" i="2"/>
  <c r="AJ266" i="6"/>
  <c r="BC304" i="2"/>
  <c r="BI285" i="2"/>
  <c r="BI253" i="2"/>
  <c r="AL266" i="6"/>
  <c r="BK253" i="2"/>
  <c r="D4" i="3"/>
  <c r="BA56" i="2"/>
  <c r="AD35" i="2"/>
  <c r="BC187" i="2"/>
  <c r="AE301" i="2"/>
  <c r="P63" i="2"/>
  <c r="BK233" i="2"/>
  <c r="AZ45" i="2"/>
  <c r="BO237" i="2"/>
  <c r="AE150" i="2"/>
  <c r="BK217" i="2"/>
  <c r="AE250" i="2"/>
  <c r="AB222" i="2"/>
  <c r="Q121" i="2"/>
  <c r="Q129" i="2"/>
  <c r="Q123" i="2"/>
  <c r="Q118" i="2"/>
  <c r="Q135" i="2"/>
  <c r="Q143" i="2"/>
  <c r="Q124" i="2"/>
  <c r="Q136" i="2"/>
  <c r="Q144" i="2"/>
  <c r="Q122" i="2"/>
  <c r="Q125" i="2"/>
  <c r="Q137" i="2"/>
  <c r="Q145" i="2"/>
  <c r="Q126" i="2"/>
  <c r="Q130" i="2"/>
  <c r="Q138" i="2"/>
  <c r="Q146" i="2"/>
  <c r="Q127" i="2"/>
  <c r="Q128" i="2"/>
  <c r="Q131" i="2"/>
  <c r="Q139" i="2"/>
  <c r="Q147" i="2"/>
  <c r="Q116" i="2"/>
  <c r="Q119" i="2"/>
  <c r="Q120" i="2"/>
  <c r="Q132" i="2"/>
  <c r="Q140" i="2"/>
  <c r="Q117" i="2"/>
  <c r="Q133" i="2"/>
  <c r="Q141" i="2"/>
  <c r="Q134" i="2"/>
  <c r="Q142" i="2"/>
  <c r="P122" i="2"/>
  <c r="P130" i="2"/>
  <c r="P124" i="2"/>
  <c r="P119" i="2"/>
  <c r="P136" i="2"/>
  <c r="P144" i="2"/>
  <c r="P123" i="2"/>
  <c r="P125" i="2"/>
  <c r="P137" i="2"/>
  <c r="P145" i="2"/>
  <c r="P126" i="2"/>
  <c r="P138" i="2"/>
  <c r="P146" i="2"/>
  <c r="P121" i="2"/>
  <c r="P127" i="2"/>
  <c r="P128" i="2"/>
  <c r="P129" i="2"/>
  <c r="P131" i="2"/>
  <c r="P139" i="2"/>
  <c r="P147" i="2"/>
  <c r="P116" i="2"/>
  <c r="P120" i="2"/>
  <c r="P132" i="2"/>
  <c r="P140" i="2"/>
  <c r="P117" i="2"/>
  <c r="P118" i="2"/>
  <c r="P133" i="2"/>
  <c r="P141" i="2"/>
  <c r="P134" i="2"/>
  <c r="P142" i="2"/>
  <c r="P135" i="2"/>
  <c r="P143" i="2"/>
  <c r="AE92" i="2"/>
  <c r="O51" i="34"/>
  <c r="AX246" i="2"/>
  <c r="S119" i="2"/>
  <c r="S127" i="2"/>
  <c r="S120" i="2"/>
  <c r="S121" i="2"/>
  <c r="S133" i="2"/>
  <c r="S141" i="2"/>
  <c r="S134" i="2"/>
  <c r="S142" i="2"/>
  <c r="S135" i="2"/>
  <c r="S143" i="2"/>
  <c r="S122" i="2"/>
  <c r="S123" i="2"/>
  <c r="S124" i="2"/>
  <c r="S136" i="2"/>
  <c r="S144" i="2"/>
  <c r="S125" i="2"/>
  <c r="S137" i="2"/>
  <c r="S145" i="2"/>
  <c r="S126" i="2"/>
  <c r="S128" i="2"/>
  <c r="S129" i="2"/>
  <c r="S130" i="2"/>
  <c r="S138" i="2"/>
  <c r="S146" i="2"/>
  <c r="S131" i="2"/>
  <c r="S139" i="2"/>
  <c r="S147" i="2"/>
  <c r="S116" i="2"/>
  <c r="S117" i="2"/>
  <c r="S118" i="2"/>
  <c r="S132" i="2"/>
  <c r="S140" i="2"/>
  <c r="R288" i="2"/>
  <c r="R120" i="2"/>
  <c r="R128" i="2"/>
  <c r="R122" i="2"/>
  <c r="R117" i="2"/>
  <c r="R134" i="2"/>
  <c r="R142" i="2"/>
  <c r="R135" i="2"/>
  <c r="R143" i="2"/>
  <c r="R123" i="2"/>
  <c r="R124" i="2"/>
  <c r="R136" i="2"/>
  <c r="R144" i="2"/>
  <c r="R125" i="2"/>
  <c r="R137" i="2"/>
  <c r="R145" i="2"/>
  <c r="R121" i="2"/>
  <c r="R126" i="2"/>
  <c r="R129" i="2"/>
  <c r="R130" i="2"/>
  <c r="R138" i="2"/>
  <c r="R146" i="2"/>
  <c r="R127" i="2"/>
  <c r="R131" i="2"/>
  <c r="R139" i="2"/>
  <c r="R147" i="2"/>
  <c r="R116" i="2"/>
  <c r="R118" i="2"/>
  <c r="R119" i="2"/>
  <c r="R132" i="2"/>
  <c r="R140" i="2"/>
  <c r="R133" i="2"/>
  <c r="R141" i="2"/>
  <c r="S81" i="2"/>
  <c r="BC45" i="2"/>
  <c r="BN237" i="2"/>
  <c r="AD350" i="2"/>
  <c r="AB6" i="2"/>
  <c r="AB7" i="2" s="1"/>
  <c r="S306" i="2"/>
  <c r="AD22" i="2"/>
  <c r="S308" i="2"/>
  <c r="AX39" i="2"/>
  <c r="AD250" i="2"/>
  <c r="BL277" i="2"/>
  <c r="BD45" i="2"/>
  <c r="S75" i="2"/>
  <c r="AU217" i="2"/>
  <c r="BO241" i="2"/>
  <c r="AX233" i="2"/>
  <c r="AX76" i="2"/>
  <c r="BL281" i="2"/>
  <c r="AX52" i="2"/>
  <c r="AX42" i="2"/>
  <c r="AD115" i="2"/>
  <c r="AE378" i="2"/>
  <c r="AC378" i="2"/>
  <c r="AY56" i="2"/>
  <c r="BN225" i="2"/>
  <c r="AV162" i="2"/>
  <c r="AV60" i="2"/>
  <c r="BC63" i="2"/>
  <c r="BD80" i="2"/>
  <c r="AW162" i="2"/>
  <c r="S182" i="2"/>
  <c r="AU221" i="2"/>
  <c r="AX234" i="2"/>
  <c r="BR225" i="2"/>
  <c r="AV273" i="2"/>
  <c r="S315" i="2"/>
  <c r="AE35" i="2"/>
  <c r="S63" i="2"/>
  <c r="S77" i="2"/>
  <c r="BD70" i="2"/>
  <c r="BD157" i="2"/>
  <c r="AX163" i="2"/>
  <c r="AU237" i="2"/>
  <c r="BO246" i="2"/>
  <c r="AB301" i="2"/>
  <c r="AE350" i="2"/>
  <c r="Q62" i="2"/>
  <c r="BB63" i="2"/>
  <c r="BM241" i="2"/>
  <c r="AE222" i="2"/>
  <c r="BM269" i="2"/>
  <c r="BD187" i="2"/>
  <c r="AX56" i="2"/>
  <c r="R75" i="2"/>
  <c r="AE22" i="2"/>
  <c r="T201" i="2"/>
  <c r="P182" i="2"/>
  <c r="BM233" i="2"/>
  <c r="BR221" i="2"/>
  <c r="M51" i="34"/>
  <c r="AA7" i="2"/>
  <c r="P62" i="2"/>
  <c r="R78" i="2"/>
  <c r="AW243" i="2"/>
  <c r="AA301" i="2"/>
  <c r="BM243" i="2"/>
  <c r="AW273" i="2"/>
  <c r="AC222" i="2"/>
  <c r="AW237" i="2"/>
  <c r="BK265" i="2"/>
  <c r="P306" i="2"/>
  <c r="AC301" i="2"/>
  <c r="P73" i="2"/>
  <c r="Q73" i="2"/>
  <c r="R182" i="2"/>
  <c r="AB92" i="2"/>
  <c r="R63" i="2"/>
  <c r="R77" i="2"/>
  <c r="BB70" i="2"/>
  <c r="Q79" i="2"/>
  <c r="AW60" i="2"/>
  <c r="R81" i="2"/>
  <c r="AW221" i="2"/>
  <c r="AF7" i="2"/>
  <c r="AB35" i="2"/>
  <c r="AW42" i="2"/>
  <c r="R79" i="2"/>
  <c r="AZ56" i="2"/>
  <c r="BB80" i="2"/>
  <c r="AC92" i="2"/>
  <c r="AB150" i="2"/>
  <c r="AW265" i="2"/>
  <c r="N51" i="34"/>
  <c r="AC35" i="2"/>
  <c r="AU39" i="2"/>
  <c r="R62" i="2"/>
  <c r="R73" i="2"/>
  <c r="BD63" i="2"/>
  <c r="S73" i="2"/>
  <c r="AX77" i="2"/>
  <c r="BB187" i="2"/>
  <c r="AC150" i="2"/>
  <c r="AB115" i="2"/>
  <c r="BO243" i="2"/>
  <c r="BO233" i="2"/>
  <c r="BI269" i="2"/>
  <c r="BM273" i="2"/>
  <c r="R315" i="2"/>
  <c r="K70" i="34"/>
  <c r="P185" i="2"/>
  <c r="BK243" i="2"/>
  <c r="AV233" i="2"/>
  <c r="BJ265" i="2"/>
  <c r="Q308" i="2"/>
  <c r="AA35" i="2"/>
  <c r="AU52" i="2"/>
  <c r="AZ63" i="2"/>
  <c r="AU42" i="2"/>
  <c r="Q81" i="2"/>
  <c r="BA70" i="2"/>
  <c r="BC188" i="2"/>
  <c r="AX217" i="2"/>
  <c r="AA150" i="2"/>
  <c r="AU225" i="2"/>
  <c r="AV225" i="2"/>
  <c r="BL237" i="2"/>
  <c r="AX221" i="2"/>
  <c r="AX229" i="2"/>
  <c r="AX242" i="2"/>
  <c r="BL269" i="2"/>
  <c r="AU273" i="2"/>
  <c r="BL273" i="2"/>
  <c r="AC350" i="2"/>
  <c r="R304" i="2"/>
  <c r="BK277" i="2"/>
  <c r="AW246" i="2"/>
  <c r="BM237" i="2"/>
  <c r="BP221" i="2"/>
  <c r="BB157" i="2"/>
  <c r="AC22" i="2"/>
  <c r="AW76" i="2"/>
  <c r="R80" i="2"/>
  <c r="BB45" i="2"/>
  <c r="M70" i="34"/>
  <c r="BK281" i="2"/>
  <c r="AW241" i="2"/>
  <c r="AW225" i="2"/>
  <c r="AB378" i="2"/>
  <c r="AB350" i="2"/>
  <c r="Q306" i="2"/>
  <c r="BJ269" i="2"/>
  <c r="AV246" i="2"/>
  <c r="BL243" i="2"/>
  <c r="BA187" i="2"/>
  <c r="Q77" i="2"/>
  <c r="Q78" i="2"/>
  <c r="BA45" i="2"/>
  <c r="L51" i="34"/>
  <c r="BL246" i="2"/>
  <c r="P315" i="2"/>
  <c r="BI277" i="2"/>
  <c r="BK246" i="2"/>
  <c r="AU233" i="2"/>
  <c r="AZ187" i="2"/>
  <c r="P75" i="2"/>
  <c r="AU60" i="2"/>
  <c r="P304" i="2"/>
  <c r="BI265" i="2"/>
  <c r="BK237" i="2"/>
  <c r="BL233" i="2"/>
  <c r="BI281" i="2"/>
  <c r="BJ281" i="2"/>
  <c r="Q304" i="2"/>
  <c r="AA350" i="2"/>
  <c r="AX241" i="2"/>
  <c r="AD92" i="2"/>
  <c r="BN241" i="2"/>
  <c r="AX162" i="2"/>
  <c r="BC80" i="2"/>
  <c r="S62" i="2"/>
  <c r="S80" i="2"/>
  <c r="AX60" i="2"/>
  <c r="AD301" i="2"/>
  <c r="AX274" i="2"/>
  <c r="AX237" i="2"/>
  <c r="BN233" i="2"/>
  <c r="BN243" i="2"/>
  <c r="S405" i="2"/>
  <c r="AV42" i="2"/>
  <c r="P77" i="2"/>
  <c r="AV52" i="2"/>
  <c r="Q75" i="2"/>
  <c r="AW52" i="2"/>
  <c r="AW39" i="2"/>
  <c r="AX61" i="2"/>
  <c r="AZ70" i="2"/>
  <c r="BC70" i="2"/>
  <c r="BA157" i="2"/>
  <c r="AW217" i="2"/>
  <c r="BP225" i="2"/>
  <c r="AA222" i="2"/>
  <c r="AU246" i="2"/>
  <c r="BO225" i="2"/>
  <c r="AW233" i="2"/>
  <c r="AB250" i="2"/>
  <c r="AD150" i="2"/>
  <c r="BQ221" i="2"/>
  <c r="BL265" i="2"/>
  <c r="AX265" i="2"/>
  <c r="AU265" i="2"/>
  <c r="BK269" i="2"/>
  <c r="R306" i="2"/>
  <c r="L70" i="34"/>
  <c r="BL217" i="2"/>
  <c r="BK241" i="2"/>
  <c r="K51" i="34"/>
  <c r="P78" i="2"/>
  <c r="P80" i="2"/>
  <c r="AU76" i="2"/>
  <c r="AZ157" i="2"/>
  <c r="Q182" i="2"/>
  <c r="AV217" i="2"/>
  <c r="AA115" i="2"/>
  <c r="AU241" i="2"/>
  <c r="AV241" i="2"/>
  <c r="BO221" i="2"/>
  <c r="AA250" i="2"/>
  <c r="AV39" i="2"/>
  <c r="P79" i="2"/>
  <c r="P81" i="2"/>
  <c r="BA63" i="2"/>
  <c r="Q80" i="2"/>
  <c r="S78" i="2"/>
  <c r="S79" i="2"/>
  <c r="AZ80" i="2"/>
  <c r="AA22" i="2"/>
  <c r="Q185" i="2"/>
  <c r="R185" i="2"/>
  <c r="BC157" i="2"/>
  <c r="BM217" i="2"/>
  <c r="AC115" i="2"/>
  <c r="AU243" i="2"/>
  <c r="AV237" i="2"/>
  <c r="AV243" i="2"/>
  <c r="BM246" i="2"/>
  <c r="AC250" i="2"/>
  <c r="BQ225" i="2"/>
  <c r="AD222" i="2"/>
  <c r="AX273" i="2"/>
  <c r="BJ277" i="2"/>
  <c r="R308" i="2"/>
  <c r="S304" i="2"/>
  <c r="AA378" i="2"/>
  <c r="Q63" i="2"/>
  <c r="AV76" i="2"/>
  <c r="BA80" i="2"/>
  <c r="AB22" i="2"/>
  <c r="AU162" i="2"/>
  <c r="S185" i="2"/>
  <c r="BN217" i="2"/>
  <c r="AA92" i="2"/>
  <c r="BN221" i="2"/>
  <c r="BL241" i="2"/>
  <c r="AV221" i="2"/>
  <c r="BN246" i="2"/>
  <c r="AX243" i="2"/>
  <c r="BN273" i="2"/>
  <c r="BK273" i="2"/>
  <c r="AV265" i="2"/>
  <c r="Q315" i="2"/>
  <c r="AD378" i="2"/>
  <c r="Q405" i="2"/>
  <c r="BB56" i="2"/>
  <c r="BO217" i="2"/>
  <c r="AE115" i="2"/>
  <c r="T296" i="2"/>
  <c r="AL366" i="6"/>
  <c r="AL393" i="6"/>
  <c r="AM172" i="6"/>
  <c r="AM394" i="6"/>
  <c r="AM393" i="6"/>
  <c r="AK393" i="6"/>
  <c r="E9" i="3"/>
  <c r="E3" i="3"/>
  <c r="E23" i="3"/>
  <c r="F4" i="3"/>
  <c r="D8" i="3"/>
  <c r="E11" i="3"/>
  <c r="E21" i="3"/>
  <c r="D7" i="3"/>
  <c r="D10" i="3"/>
  <c r="D19" i="3"/>
  <c r="E12" i="3"/>
  <c r="D25" i="3"/>
  <c r="D17" i="3"/>
  <c r="D11" i="3"/>
  <c r="E8" i="3"/>
  <c r="D13" i="3"/>
  <c r="D14" i="3"/>
  <c r="E15" i="3"/>
  <c r="AJ313" i="6"/>
  <c r="AJ393" i="6"/>
  <c r="E5" i="3"/>
  <c r="D23" i="3"/>
  <c r="D15" i="3"/>
  <c r="E25" i="3"/>
  <c r="E17" i="3"/>
  <c r="E14" i="3"/>
  <c r="D9" i="3"/>
  <c r="D6" i="3"/>
  <c r="E24" i="3"/>
  <c r="E4" i="3"/>
  <c r="E16" i="3"/>
  <c r="D18" i="3"/>
  <c r="D22" i="3"/>
  <c r="D12" i="3"/>
  <c r="E13" i="3"/>
  <c r="D20" i="3"/>
  <c r="D24" i="3"/>
  <c r="D21" i="3"/>
  <c r="E22" i="3"/>
  <c r="F5" i="3"/>
  <c r="F6" i="3"/>
  <c r="E7" i="3"/>
  <c r="E18" i="3"/>
  <c r="D3" i="3"/>
  <c r="E19" i="3"/>
  <c r="E6" i="3"/>
  <c r="E10" i="3"/>
  <c r="F3" i="3"/>
  <c r="E20" i="3"/>
  <c r="D16" i="3"/>
  <c r="D5" i="3"/>
  <c r="AK161" i="6"/>
  <c r="AK385" i="6"/>
  <c r="AK27" i="6"/>
  <c r="AK375" i="6"/>
  <c r="AK35" i="6"/>
  <c r="AK25" i="6"/>
  <c r="AK54" i="6"/>
  <c r="AK145" i="6"/>
  <c r="AK252" i="6"/>
  <c r="AK322" i="6"/>
  <c r="AK52" i="6"/>
  <c r="AK83" i="6"/>
  <c r="AK141" i="6"/>
  <c r="AK223" i="6"/>
  <c r="AK64" i="6"/>
  <c r="AK150" i="6"/>
  <c r="AP174" i="6"/>
  <c r="AK41" i="6"/>
  <c r="AK210" i="6"/>
  <c r="AK256" i="6"/>
  <c r="AK389" i="6"/>
  <c r="AK48" i="6"/>
  <c r="AK248" i="6"/>
  <c r="AK70" i="6"/>
  <c r="AK227" i="6"/>
  <c r="AK56" i="6"/>
  <c r="AK242" i="6"/>
  <c r="AK33" i="6"/>
  <c r="AV50" i="6"/>
  <c r="AK169" i="6"/>
  <c r="AK313" i="6"/>
  <c r="AK379" i="6"/>
  <c r="AJ35" i="6"/>
  <c r="AK31" i="6"/>
  <c r="AJ52" i="6"/>
  <c r="AK318" i="6"/>
  <c r="AK37" i="6"/>
  <c r="AK62" i="6"/>
  <c r="AK219" i="6"/>
  <c r="AK371" i="6"/>
  <c r="AK165" i="6"/>
  <c r="AK238" i="6"/>
  <c r="AK309" i="6"/>
  <c r="AK366" i="6"/>
  <c r="AM39" i="6"/>
  <c r="AM84" i="6"/>
  <c r="AK29" i="6"/>
  <c r="AK50" i="6"/>
  <c r="AK80" i="6"/>
  <c r="AK154" i="6"/>
  <c r="AK215" i="6"/>
  <c r="AM227" i="6"/>
  <c r="AM37" i="6"/>
  <c r="AM49" i="6"/>
  <c r="AM63" i="6"/>
  <c r="AE88" i="2"/>
  <c r="AJ62" i="6"/>
  <c r="AJ210" i="6"/>
  <c r="AJ371" i="6"/>
  <c r="AJ25" i="6"/>
  <c r="AM29" i="6"/>
  <c r="AU50" i="6"/>
  <c r="AJ50" i="6"/>
  <c r="AM57" i="6"/>
  <c r="AM80" i="6"/>
  <c r="AJ154" i="6"/>
  <c r="AJ223" i="6"/>
  <c r="AM215" i="6"/>
  <c r="AJ39" i="6"/>
  <c r="AM62" i="6"/>
  <c r="AJ150" i="6"/>
  <c r="AJ256" i="6"/>
  <c r="AJ385" i="6"/>
  <c r="AJ83" i="6"/>
  <c r="AJ318" i="6"/>
  <c r="AJ27" i="6"/>
  <c r="AJ56" i="6"/>
  <c r="AJ242" i="6"/>
  <c r="AJ379" i="6"/>
  <c r="AJ309" i="6"/>
  <c r="AJ33" i="6"/>
  <c r="AJ54" i="6"/>
  <c r="AJ141" i="6"/>
  <c r="AJ169" i="6"/>
  <c r="AO174" i="6"/>
  <c r="AJ252" i="6"/>
  <c r="AJ389" i="6"/>
  <c r="AJ375" i="6"/>
  <c r="AJ70" i="6"/>
  <c r="AJ145" i="6"/>
  <c r="AJ215" i="6"/>
  <c r="AJ31" i="6"/>
  <c r="AJ64" i="6"/>
  <c r="AM141" i="6"/>
  <c r="AJ366" i="6"/>
  <c r="AJ390" i="6"/>
  <c r="AE102" i="2"/>
  <c r="AE97" i="2"/>
  <c r="AF72" i="16"/>
  <c r="AD72" i="16"/>
  <c r="AE72" i="16"/>
  <c r="AG72" i="16"/>
  <c r="AC72" i="16"/>
  <c r="AM389" i="6"/>
  <c r="AM375" i="6"/>
  <c r="AM319" i="6"/>
  <c r="AM244" i="6"/>
  <c r="AM252" i="6"/>
  <c r="AM223" i="6"/>
  <c r="AM52" i="6"/>
  <c r="AM56" i="6"/>
  <c r="AM50" i="6"/>
  <c r="AM48" i="6"/>
  <c r="AM25" i="6"/>
  <c r="AM70" i="6"/>
  <c r="AM249" i="6"/>
  <c r="AM145" i="6"/>
  <c r="AM35" i="6"/>
  <c r="AM161" i="6"/>
  <c r="AM372" i="6"/>
  <c r="AM318" i="6"/>
  <c r="AM242" i="6"/>
  <c r="AM253" i="6"/>
  <c r="AM210" i="6"/>
  <c r="AM386" i="6"/>
  <c r="AM371" i="6"/>
  <c r="AM41" i="6"/>
  <c r="AM385" i="6"/>
  <c r="AM367" i="6"/>
  <c r="AM323" i="6"/>
  <c r="AM248" i="6"/>
  <c r="AM150" i="6"/>
  <c r="AM64" i="6"/>
  <c r="AM33" i="6"/>
  <c r="AM239" i="6"/>
  <c r="AM162" i="6"/>
  <c r="AM382" i="6"/>
  <c r="AM366" i="6"/>
  <c r="AM380" i="6"/>
  <c r="AM322" i="6"/>
  <c r="AM310" i="6"/>
  <c r="AM257" i="6"/>
  <c r="AM165" i="6"/>
  <c r="AM81" i="6"/>
  <c r="AM54" i="6"/>
  <c r="AM27" i="6"/>
  <c r="AM379" i="6"/>
  <c r="AM390" i="6"/>
  <c r="AM376" i="6"/>
  <c r="AM238" i="6"/>
  <c r="AM219" i="6"/>
  <c r="AR174" i="6"/>
  <c r="AM83" i="6"/>
  <c r="AX50" i="6"/>
  <c r="AM31" i="6"/>
  <c r="AM314" i="6"/>
  <c r="AM313" i="6"/>
  <c r="AM309" i="6"/>
  <c r="AM169" i="6"/>
  <c r="AE90" i="2"/>
  <c r="AM154" i="6"/>
  <c r="AM256" i="6"/>
  <c r="AJ29" i="6"/>
  <c r="AJ48" i="6"/>
  <c r="AJ161" i="6"/>
  <c r="AJ219" i="6"/>
  <c r="AJ248" i="6"/>
  <c r="AJ322" i="6"/>
  <c r="AJ37" i="6"/>
  <c r="AJ41" i="6"/>
  <c r="AJ80" i="6"/>
  <c r="AJ165" i="6"/>
  <c r="AJ227" i="6"/>
  <c r="AJ238" i="6"/>
  <c r="Z7" i="2"/>
  <c r="L2" i="2"/>
  <c r="L14" i="2" s="1"/>
  <c r="C29" i="1"/>
  <c r="C5" i="28" s="1"/>
  <c r="X7" i="2"/>
  <c r="W3" i="33"/>
  <c r="W4" i="33" s="1"/>
  <c r="AR3" i="33"/>
  <c r="AR4" i="33" s="1"/>
  <c r="E45" i="34" s="1"/>
  <c r="B28" i="2"/>
  <c r="V3" i="33"/>
  <c r="V4" i="33" s="1"/>
  <c r="AQ7" i="15"/>
  <c r="AQ12" i="15"/>
  <c r="AQ4" i="15"/>
  <c r="AP2" i="14"/>
  <c r="AQ9" i="15"/>
  <c r="AQ10" i="10"/>
  <c r="AQ8" i="10"/>
  <c r="AQ2" i="15"/>
  <c r="AQ6" i="15"/>
  <c r="AQ11" i="10"/>
  <c r="AQ6" i="10"/>
  <c r="AQ11" i="15"/>
  <c r="AQ22" i="10"/>
  <c r="AQ3" i="15"/>
  <c r="AP17" i="14"/>
  <c r="AQ10" i="15"/>
  <c r="AQ13" i="15"/>
  <c r="AQ5" i="15"/>
  <c r="AQ2" i="10"/>
  <c r="AQ19" i="10"/>
  <c r="AQ4" i="10"/>
  <c r="AQ13" i="10"/>
  <c r="C124" i="6"/>
  <c r="C138" i="2"/>
  <c r="AQ5" i="10"/>
  <c r="AQ12" i="10"/>
  <c r="AQ20" i="10"/>
  <c r="AP16" i="14"/>
  <c r="AQ16" i="10"/>
  <c r="AQ25" i="10"/>
  <c r="C127" i="6"/>
  <c r="AQ8" i="15"/>
  <c r="AQ17" i="10"/>
  <c r="AP21" i="19"/>
  <c r="AF46" i="2"/>
  <c r="AQ9" i="10"/>
  <c r="AH50" i="2"/>
  <c r="AP6" i="14"/>
  <c r="AA17" i="15"/>
  <c r="AA8" i="15"/>
  <c r="AA15" i="15"/>
  <c r="AH47" i="2"/>
  <c r="AH193" i="2"/>
  <c r="DY195" i="33"/>
  <c r="C103" i="6"/>
  <c r="CJ173" i="33"/>
  <c r="AQ9" i="16"/>
  <c r="AH42" i="2"/>
  <c r="EB197" i="33"/>
  <c r="AQ6" i="16"/>
  <c r="AI49" i="2"/>
  <c r="AA9" i="15"/>
  <c r="AP25" i="19"/>
  <c r="AI48" i="2"/>
  <c r="AF52" i="2"/>
  <c r="AQ12" i="16"/>
  <c r="AI40" i="2"/>
  <c r="AF48" i="2"/>
  <c r="AG197" i="2"/>
  <c r="AF197" i="2"/>
  <c r="AH197" i="2"/>
  <c r="AG167" i="2"/>
  <c r="AI167" i="2"/>
  <c r="AG48" i="2"/>
  <c r="AQ11" i="16"/>
  <c r="AG40" i="2"/>
  <c r="AQ10" i="16"/>
  <c r="AH40" i="2"/>
  <c r="AF50" i="2"/>
  <c r="CG156" i="33"/>
  <c r="CF191" i="33"/>
  <c r="CJ179" i="33"/>
  <c r="CM173" i="33"/>
  <c r="CJ170" i="33"/>
  <c r="CI147" i="33"/>
  <c r="CJ139" i="33"/>
  <c r="CM136" i="33"/>
  <c r="FP168" i="33"/>
  <c r="FP141" i="33"/>
  <c r="EB171" i="33"/>
  <c r="EB173" i="33"/>
  <c r="EB174" i="33"/>
  <c r="DY178" i="33"/>
  <c r="DY186" i="33"/>
  <c r="DY192" i="33"/>
  <c r="FM144" i="33"/>
  <c r="FN140" i="33"/>
  <c r="AP24" i="19"/>
  <c r="AP8" i="14"/>
  <c r="AA11" i="10"/>
  <c r="FM140" i="33"/>
  <c r="AA5" i="15"/>
  <c r="FL140" i="33"/>
  <c r="DU184" i="33"/>
  <c r="AA8" i="10"/>
  <c r="FK140" i="33"/>
  <c r="CI172" i="33"/>
  <c r="AA13" i="15"/>
  <c r="AP4" i="14"/>
  <c r="AP20" i="14"/>
  <c r="AQ4" i="16"/>
  <c r="AG49" i="2"/>
  <c r="AG47" i="2"/>
  <c r="AP10" i="19"/>
  <c r="AI51" i="2"/>
  <c r="AF41" i="2"/>
  <c r="AP23" i="19"/>
  <c r="AI43" i="2"/>
  <c r="AH37" i="2"/>
  <c r="AA6" i="16"/>
  <c r="AA6" i="15"/>
  <c r="AP5" i="14"/>
  <c r="AG43" i="2"/>
  <c r="AA14" i="15"/>
  <c r="AQ16" i="16"/>
  <c r="AI46" i="2"/>
  <c r="AI41" i="2"/>
  <c r="AG41" i="2"/>
  <c r="AH46" i="2"/>
  <c r="AQ14" i="16"/>
  <c r="AG93" i="2"/>
  <c r="AF45" i="2"/>
  <c r="AI45" i="2"/>
  <c r="AF37" i="2"/>
  <c r="AI37" i="2"/>
  <c r="AI42" i="2"/>
  <c r="AF47" i="2"/>
  <c r="EA174" i="33"/>
  <c r="AA12" i="10"/>
  <c r="CG128" i="33"/>
  <c r="CI184" i="33"/>
  <c r="CI179" i="33"/>
  <c r="CF178" i="33"/>
  <c r="CL173" i="33"/>
  <c r="CG172" i="33"/>
  <c r="CJ171" i="33"/>
  <c r="CI156" i="33"/>
  <c r="CL150" i="33"/>
  <c r="CF148" i="33"/>
  <c r="CK142" i="33"/>
  <c r="CI139" i="33"/>
  <c r="CI131" i="33"/>
  <c r="FM189" i="33"/>
  <c r="FM174" i="33"/>
  <c r="FM173" i="33"/>
  <c r="CG191" i="33"/>
  <c r="CK173" i="33"/>
  <c r="CK156" i="33"/>
  <c r="CG139" i="33"/>
  <c r="CJ131" i="33"/>
  <c r="FN175" i="33"/>
  <c r="FN173" i="33"/>
  <c r="FP171" i="33"/>
  <c r="FM168" i="33"/>
  <c r="FN150" i="33"/>
  <c r="EA179" i="33"/>
  <c r="EA188" i="33"/>
  <c r="CL139" i="33"/>
  <c r="CF131" i="33"/>
  <c r="CG161" i="33"/>
  <c r="CJ152" i="33"/>
  <c r="CM191" i="33"/>
  <c r="CL170" i="33"/>
  <c r="CM139" i="33"/>
  <c r="CM131" i="33"/>
  <c r="FJ179" i="33"/>
  <c r="DV148" i="33"/>
  <c r="DX175" i="33"/>
  <c r="DW187" i="33"/>
  <c r="AP19" i="14"/>
  <c r="AP8" i="19"/>
  <c r="CF139" i="33"/>
  <c r="FO170" i="33"/>
  <c r="FO144" i="33"/>
  <c r="FO140" i="33"/>
  <c r="CL177" i="33"/>
  <c r="DY144" i="33"/>
  <c r="EB147" i="33"/>
  <c r="DZ152" i="33"/>
  <c r="DZ165" i="33"/>
  <c r="EA170" i="33"/>
  <c r="DY171" i="33"/>
  <c r="DW188" i="33"/>
  <c r="DZ189" i="33"/>
  <c r="DV193" i="33"/>
  <c r="EB195" i="33"/>
  <c r="DZ197" i="33"/>
  <c r="CI294" i="33"/>
  <c r="C126" i="2"/>
  <c r="AG45" i="2"/>
  <c r="AG42" i="2"/>
  <c r="AA22" i="16"/>
  <c r="CK288" i="33"/>
  <c r="AH52" i="2"/>
  <c r="AH49" i="2"/>
  <c r="AG50" i="2"/>
  <c r="AI52" i="2"/>
  <c r="CI148" i="33"/>
  <c r="AI197" i="2"/>
  <c r="Z25" i="14"/>
  <c r="CK150" i="33"/>
  <c r="CL171" i="33"/>
  <c r="FM150" i="33"/>
  <c r="CM142" i="33"/>
  <c r="CM150" i="33"/>
  <c r="AP15" i="14"/>
  <c r="CM170" i="33"/>
  <c r="CM171" i="33"/>
  <c r="AH167" i="2"/>
  <c r="FM197" i="33"/>
  <c r="FO174" i="33"/>
  <c r="FO173" i="33"/>
  <c r="FP170" i="33"/>
  <c r="FO168" i="33"/>
  <c r="FP144" i="33"/>
  <c r="EB144" i="33"/>
  <c r="EB150" i="33"/>
  <c r="EB170" i="33"/>
  <c r="EB189" i="33"/>
  <c r="AA4" i="15"/>
  <c r="AP5" i="19"/>
  <c r="CF156" i="33"/>
  <c r="AF167" i="2"/>
  <c r="CI194" i="33"/>
  <c r="CI186" i="33"/>
  <c r="CH185" i="33"/>
  <c r="CK175" i="33"/>
  <c r="CI165" i="33"/>
  <c r="CM152" i="33"/>
  <c r="CM151" i="33"/>
  <c r="CG147" i="33"/>
  <c r="CI143" i="33"/>
  <c r="CH142" i="33"/>
  <c r="CI134" i="33"/>
  <c r="FM128" i="33"/>
  <c r="FL193" i="33"/>
  <c r="FN192" i="33"/>
  <c r="FP190" i="33"/>
  <c r="FN188" i="33"/>
  <c r="FL187" i="33"/>
  <c r="FN185" i="33"/>
  <c r="FJ178" i="33"/>
  <c r="FJ175" i="33"/>
  <c r="FK172" i="33"/>
  <c r="FL167" i="33"/>
  <c r="FK155" i="33"/>
  <c r="FL151" i="33"/>
  <c r="FI148" i="33"/>
  <c r="FI146" i="33"/>
  <c r="FL136" i="33"/>
  <c r="FI135" i="33"/>
  <c r="FL133" i="33"/>
  <c r="FL130" i="33"/>
  <c r="DZ166" i="33"/>
  <c r="CI191" i="33"/>
  <c r="CF179" i="33"/>
  <c r="CJ156" i="33"/>
  <c r="CM148" i="33"/>
  <c r="CH139" i="33"/>
  <c r="CH131" i="33"/>
  <c r="CM156" i="33"/>
  <c r="CJ150" i="33"/>
  <c r="DW166" i="33"/>
  <c r="FJ140" i="33"/>
  <c r="AH44" i="2"/>
  <c r="AF173" i="2"/>
  <c r="AG173" i="2"/>
  <c r="AQ2" i="16"/>
  <c r="AH51" i="2"/>
  <c r="AA11" i="16"/>
  <c r="AG44" i="2"/>
  <c r="R2" i="26" a="1"/>
  <c r="R2" i="26" s="1"/>
  <c r="AG51" i="2"/>
  <c r="AQ3" i="16"/>
  <c r="AI44" i="2"/>
  <c r="AH220" i="2"/>
  <c r="AG220" i="2"/>
  <c r="AI220" i="2"/>
  <c r="AA20" i="10"/>
  <c r="AP9" i="19"/>
  <c r="AP23" i="14"/>
  <c r="AP13" i="14"/>
  <c r="AP27" i="19"/>
  <c r="AP15" i="19"/>
  <c r="CH295" i="33"/>
  <c r="CM293" i="33"/>
  <c r="DZ293" i="33" s="1"/>
  <c r="CF292" i="33"/>
  <c r="CH291" i="33"/>
  <c r="CH288" i="33"/>
  <c r="CH284" i="33"/>
  <c r="CH280" i="33"/>
  <c r="CM128" i="33"/>
  <c r="CK128" i="33"/>
  <c r="CF128" i="33"/>
  <c r="CK197" i="33"/>
  <c r="CJ197" i="33"/>
  <c r="CM196" i="33"/>
  <c r="CK196" i="33"/>
  <c r="CI196" i="33"/>
  <c r="CF196" i="33"/>
  <c r="CJ195" i="33"/>
  <c r="CG195" i="33"/>
  <c r="CH193" i="33"/>
  <c r="CG193" i="33"/>
  <c r="CK192" i="33"/>
  <c r="CJ192" i="33"/>
  <c r="CI192" i="33"/>
  <c r="CF192" i="33"/>
  <c r="CM192" i="33"/>
  <c r="CL192" i="33"/>
  <c r="CK190" i="33"/>
  <c r="CM190" i="33"/>
  <c r="CM189" i="33"/>
  <c r="CL189" i="33"/>
  <c r="CG188" i="33"/>
  <c r="CK188" i="33"/>
  <c r="CJ187" i="33"/>
  <c r="CG187" i="33"/>
  <c r="CL184" i="33"/>
  <c r="CG184" i="33"/>
  <c r="CF184" i="33"/>
  <c r="CM184" i="33"/>
  <c r="CM178" i="33"/>
  <c r="CG178" i="33"/>
  <c r="CM177" i="33"/>
  <c r="CK177" i="33"/>
  <c r="CL174" i="33"/>
  <c r="CJ174" i="33"/>
  <c r="CL172" i="33"/>
  <c r="CH172" i="33"/>
  <c r="CJ172" i="33"/>
  <c r="CM169" i="33"/>
  <c r="CL169" i="33"/>
  <c r="EB169" i="33"/>
  <c r="DZ168" i="33"/>
  <c r="CL168" i="33"/>
  <c r="CJ168" i="33"/>
  <c r="CM168" i="33"/>
  <c r="CM3" i="33" s="1"/>
  <c r="CM4" i="33" s="1"/>
  <c r="M62" i="34" s="1"/>
  <c r="CK168" i="33"/>
  <c r="CK3" i="33" s="1"/>
  <c r="CK4" i="33" s="1"/>
  <c r="K62" i="34" s="1"/>
  <c r="CK167" i="33"/>
  <c r="CI167" i="33"/>
  <c r="CM166" i="33"/>
  <c r="CJ166" i="33"/>
  <c r="CL166" i="33"/>
  <c r="CF166" i="33"/>
  <c r="CK162" i="33"/>
  <c r="CH162" i="33"/>
  <c r="CJ161" i="33"/>
  <c r="CL161" i="33"/>
  <c r="CH161" i="33"/>
  <c r="CM161" i="33"/>
  <c r="CI161" i="33"/>
  <c r="CF161" i="33"/>
  <c r="CK145" i="33"/>
  <c r="CF145" i="33"/>
  <c r="CJ144" i="33"/>
  <c r="CM144" i="33"/>
  <c r="CL144" i="33"/>
  <c r="CK144" i="33"/>
  <c r="CL141" i="33"/>
  <c r="CG141" i="33"/>
  <c r="CF141" i="33"/>
  <c r="CJ141" i="33"/>
  <c r="CH141" i="33"/>
  <c r="CL137" i="33"/>
  <c r="CM137" i="33"/>
  <c r="CI137" i="33"/>
  <c r="CG137" i="33"/>
  <c r="CH137" i="33"/>
  <c r="CL136" i="33"/>
  <c r="CJ136" i="33"/>
  <c r="CF135" i="33"/>
  <c r="CL135" i="33"/>
  <c r="CG135" i="33"/>
  <c r="CJ133" i="33"/>
  <c r="CI133" i="33"/>
  <c r="CK133" i="33"/>
  <c r="CG133" i="33"/>
  <c r="CG132" i="33"/>
  <c r="CM132" i="33"/>
  <c r="CI132" i="33"/>
  <c r="CH132" i="33"/>
  <c r="CL132" i="33"/>
  <c r="CK132" i="33"/>
  <c r="CK130" i="33"/>
  <c r="CM130" i="33"/>
  <c r="CF130" i="33"/>
  <c r="CH129" i="33"/>
  <c r="CK129" i="33"/>
  <c r="CG129" i="33"/>
  <c r="FL196" i="33"/>
  <c r="FM196" i="33"/>
  <c r="FL195" i="33"/>
  <c r="FI195" i="33"/>
  <c r="FO194" i="33"/>
  <c r="FK194" i="33"/>
  <c r="FL186" i="33"/>
  <c r="FI186" i="33"/>
  <c r="FO177" i="33"/>
  <c r="FP177" i="33"/>
  <c r="FO166" i="33"/>
  <c r="FK166" i="33"/>
  <c r="FK165" i="33"/>
  <c r="FO165" i="33"/>
  <c r="FO162" i="33"/>
  <c r="FM162" i="33"/>
  <c r="FJ162" i="33"/>
  <c r="FL161" i="33"/>
  <c r="FK161" i="33"/>
  <c r="FO161" i="33"/>
  <c r="FL156" i="33"/>
  <c r="FN156" i="33"/>
  <c r="FL149" i="33"/>
  <c r="FM149" i="33"/>
  <c r="FL145" i="33"/>
  <c r="FN145" i="33"/>
  <c r="FL142" i="33"/>
  <c r="FN142" i="33"/>
  <c r="FN132" i="33"/>
  <c r="FK132" i="33"/>
  <c r="FL132" i="33"/>
  <c r="FJ131" i="33"/>
  <c r="FN131" i="33"/>
  <c r="FK131" i="33"/>
  <c r="FL129" i="33"/>
  <c r="FM129" i="33"/>
  <c r="FJ129" i="33"/>
  <c r="CF194" i="33"/>
  <c r="CL194" i="33"/>
  <c r="CM194" i="33"/>
  <c r="CG194" i="33"/>
  <c r="CL186" i="33"/>
  <c r="CF186" i="33"/>
  <c r="CJ186" i="33"/>
  <c r="CK186" i="33"/>
  <c r="CM186" i="33"/>
  <c r="CL165" i="33"/>
  <c r="CJ165" i="33"/>
  <c r="CM165" i="33"/>
  <c r="CK165" i="33"/>
  <c r="CF165" i="33"/>
  <c r="CG165" i="33"/>
  <c r="CF151" i="33"/>
  <c r="CJ151" i="33"/>
  <c r="CH151" i="33"/>
  <c r="CG143" i="33"/>
  <c r="CL143" i="33"/>
  <c r="CJ143" i="33"/>
  <c r="CM143" i="33"/>
  <c r="CF134" i="33"/>
  <c r="CL134" i="33"/>
  <c r="CJ134" i="33"/>
  <c r="CK134" i="33"/>
  <c r="CH134" i="33"/>
  <c r="CM134" i="33"/>
  <c r="FI128" i="33"/>
  <c r="FJ128" i="33"/>
  <c r="DX129" i="33"/>
  <c r="DY129" i="33"/>
  <c r="EB129" i="33"/>
  <c r="DU130" i="33"/>
  <c r="EB130" i="33"/>
  <c r="DZ131" i="33"/>
  <c r="DX131" i="33"/>
  <c r="DY131" i="33"/>
  <c r="DU132" i="33"/>
  <c r="DX132" i="33"/>
  <c r="DW132" i="33"/>
  <c r="EB132" i="33"/>
  <c r="EA132" i="33"/>
  <c r="EA133" i="33"/>
  <c r="DZ133" i="33"/>
  <c r="DX133" i="33"/>
  <c r="DU133" i="33"/>
  <c r="DU134" i="33"/>
  <c r="DX134" i="33"/>
  <c r="EA134" i="33"/>
  <c r="DY134" i="33"/>
  <c r="DZ135" i="33"/>
  <c r="DW135" i="33"/>
  <c r="EA135" i="33"/>
  <c r="DW136" i="33"/>
  <c r="DU136" i="33"/>
  <c r="DZ136" i="33"/>
  <c r="DX136" i="33"/>
  <c r="DV136" i="33"/>
  <c r="DZ137" i="33"/>
  <c r="DW137" i="33"/>
  <c r="DX137" i="33"/>
  <c r="DY137" i="33"/>
  <c r="DW139" i="33"/>
  <c r="DZ139" i="33"/>
  <c r="DW141" i="33"/>
  <c r="DV141" i="33"/>
  <c r="EB141" i="33"/>
  <c r="DW142" i="33"/>
  <c r="DZ142" i="33"/>
  <c r="DY143" i="33"/>
  <c r="DV143" i="33"/>
  <c r="DZ143" i="33"/>
  <c r="DW143" i="33"/>
  <c r="DX143" i="33"/>
  <c r="DY145" i="33"/>
  <c r="DU145" i="33"/>
  <c r="DX145" i="33"/>
  <c r="EB145" i="33"/>
  <c r="DZ146" i="33"/>
  <c r="DY146" i="33"/>
  <c r="DU146" i="33"/>
  <c r="DW146" i="33"/>
  <c r="DX146" i="33"/>
  <c r="DX147" i="33"/>
  <c r="DY147" i="33"/>
  <c r="EA147" i="33"/>
  <c r="DW147" i="33"/>
  <c r="DU148" i="33"/>
  <c r="DY148" i="33"/>
  <c r="DW148" i="33"/>
  <c r="EA148" i="33"/>
  <c r="DU149" i="33"/>
  <c r="DW149" i="33"/>
  <c r="DX149" i="33"/>
  <c r="DY149" i="33"/>
  <c r="DV149" i="33"/>
  <c r="DZ149" i="33"/>
  <c r="EA149" i="33"/>
  <c r="DU151" i="33"/>
  <c r="DV151" i="33"/>
  <c r="DZ151" i="33"/>
  <c r="EA151" i="33"/>
  <c r="DU152" i="33"/>
  <c r="DV152" i="33"/>
  <c r="EA152" i="33"/>
  <c r="DX155" i="33"/>
  <c r="DZ155" i="33"/>
  <c r="DU156" i="33"/>
  <c r="DW156" i="33"/>
  <c r="DY161" i="33"/>
  <c r="EB161" i="33"/>
  <c r="DW161" i="33"/>
  <c r="DV161" i="33"/>
  <c r="DZ161" i="33"/>
  <c r="DU162" i="33"/>
  <c r="DZ162" i="33"/>
  <c r="DY162" i="33"/>
  <c r="DV162" i="33"/>
  <c r="EA162" i="33"/>
  <c r="DW165" i="33"/>
  <c r="DU165" i="33"/>
  <c r="DY165" i="33"/>
  <c r="EA165" i="33"/>
  <c r="DY167" i="33"/>
  <c r="DU167" i="33"/>
  <c r="DX167" i="33"/>
  <c r="DY172" i="33"/>
  <c r="DW172" i="33"/>
  <c r="DV172" i="33"/>
  <c r="EB172" i="33"/>
  <c r="DZ175" i="33"/>
  <c r="DY175" i="33"/>
  <c r="DZ177" i="33"/>
  <c r="DX177" i="33"/>
  <c r="DU177" i="33"/>
  <c r="DW177" i="33"/>
  <c r="DW178" i="33"/>
  <c r="EA178" i="33"/>
  <c r="DZ178" i="33"/>
  <c r="DV178" i="33"/>
  <c r="DU178" i="33"/>
  <c r="DZ179" i="33"/>
  <c r="DW179" i="33"/>
  <c r="EB179" i="33"/>
  <c r="DW184" i="33"/>
  <c r="DY184" i="33"/>
  <c r="DZ184" i="33"/>
  <c r="DX185" i="33"/>
  <c r="DZ185" i="33"/>
  <c r="DW185" i="33"/>
  <c r="EB185" i="33"/>
  <c r="DX186" i="33"/>
  <c r="DU186" i="33"/>
  <c r="EA186" i="33"/>
  <c r="DY187" i="33"/>
  <c r="DX187" i="33"/>
  <c r="DV187" i="33"/>
  <c r="DX188" i="33"/>
  <c r="DU188" i="33"/>
  <c r="DX190" i="33"/>
  <c r="DZ190" i="33"/>
  <c r="DU190" i="33"/>
  <c r="DY190" i="33"/>
  <c r="EB190" i="33"/>
  <c r="DU191" i="33"/>
  <c r="DW191" i="33"/>
  <c r="DX191" i="33"/>
  <c r="EA191" i="33"/>
  <c r="DZ191" i="33"/>
  <c r="DY191" i="33"/>
  <c r="DU192" i="33"/>
  <c r="DZ192" i="33"/>
  <c r="DU193" i="33"/>
  <c r="EA193" i="33"/>
  <c r="DZ193" i="33"/>
  <c r="DY193" i="33"/>
  <c r="DW194" i="33"/>
  <c r="DX194" i="33"/>
  <c r="DY194" i="33"/>
  <c r="DV194" i="33"/>
  <c r="EB194" i="33"/>
  <c r="DZ195" i="33"/>
  <c r="EA195" i="33"/>
  <c r="DW196" i="33"/>
  <c r="EB196" i="33"/>
  <c r="DY196" i="33"/>
  <c r="DZ196" i="33"/>
  <c r="DY128" i="33"/>
  <c r="DU128" i="33"/>
  <c r="DV128" i="33"/>
  <c r="CL133" i="33"/>
  <c r="CH145" i="33"/>
  <c r="CF175" i="33"/>
  <c r="CK161" i="33"/>
  <c r="CK184" i="33"/>
  <c r="CI152" i="33"/>
  <c r="CJ193" i="33"/>
  <c r="CG190" i="33"/>
  <c r="CL188" i="33"/>
  <c r="CK187" i="33"/>
  <c r="CG185" i="33"/>
  <c r="CI166" i="33"/>
  <c r="CI162" i="33"/>
  <c r="CF152" i="33"/>
  <c r="CI142" i="33"/>
  <c r="CJ137" i="33"/>
  <c r="CJ129" i="33"/>
  <c r="FM172" i="33"/>
  <c r="FP166" i="33"/>
  <c r="FJ161" i="33"/>
  <c r="FO134" i="33"/>
  <c r="CL162" i="33"/>
  <c r="CM133" i="33"/>
  <c r="DV130" i="33"/>
  <c r="AA4" i="16"/>
  <c r="CG130" i="33"/>
  <c r="CG167" i="33"/>
  <c r="CJ132" i="33"/>
  <c r="CI130" i="33"/>
  <c r="CF177" i="33"/>
  <c r="CM174" i="33"/>
  <c r="CJ188" i="33"/>
  <c r="CI141" i="33"/>
  <c r="CF137" i="33"/>
  <c r="CF167" i="33"/>
  <c r="CJ194" i="33"/>
  <c r="CK152" i="33"/>
  <c r="EA130" i="33"/>
  <c r="FI166" i="33"/>
  <c r="DX156" i="33"/>
  <c r="AF43" i="2"/>
  <c r="CG134" i="33"/>
  <c r="CG175" i="33"/>
  <c r="CI129" i="33"/>
  <c r="CL130" i="33"/>
  <c r="CH177" i="33"/>
  <c r="CL190" i="33"/>
  <c r="CK195" i="33"/>
  <c r="CJ184" i="33"/>
  <c r="CK141" i="33"/>
  <c r="CF185" i="33"/>
  <c r="CL196" i="33"/>
  <c r="DY141" i="33"/>
  <c r="FL146" i="33"/>
  <c r="FI161" i="33"/>
  <c r="CG142" i="33"/>
  <c r="CF133" i="33"/>
  <c r="CH188" i="33"/>
  <c r="CM197" i="33"/>
  <c r="CM195" i="33"/>
  <c r="CL185" i="33"/>
  <c r="EA168" i="33"/>
  <c r="FK193" i="33"/>
  <c r="CG192" i="33"/>
  <c r="CF172" i="33"/>
  <c r="CL129" i="33"/>
  <c r="CI135" i="33"/>
  <c r="CF143" i="33"/>
  <c r="CM193" i="33"/>
  <c r="CH167" i="33"/>
  <c r="CJ185" i="33"/>
  <c r="CG186" i="33"/>
  <c r="FM145" i="33"/>
  <c r="DU139" i="33"/>
  <c r="CG145" i="33"/>
  <c r="CF190" i="33"/>
  <c r="CF132" i="33"/>
  <c r="CI145" i="33"/>
  <c r="CM172" i="33"/>
  <c r="CH196" i="33"/>
  <c r="CL187" i="33"/>
  <c r="EA129" i="33"/>
  <c r="CL128" i="33"/>
  <c r="CL197" i="33"/>
  <c r="CH195" i="33"/>
  <c r="CK189" i="33"/>
  <c r="CJ189" i="33"/>
  <c r="CH186" i="33"/>
  <c r="CI178" i="33"/>
  <c r="CL178" i="33"/>
  <c r="CI177" i="33"/>
  <c r="CJ177" i="33"/>
  <c r="CJ175" i="33"/>
  <c r="DZ169" i="33"/>
  <c r="CK169" i="33"/>
  <c r="EB168" i="33"/>
  <c r="CL167" i="33"/>
  <c r="CJ167" i="33"/>
  <c r="CH165" i="33"/>
  <c r="CM147" i="33"/>
  <c r="CL147" i="33"/>
  <c r="CJ145" i="33"/>
  <c r="CH143" i="33"/>
  <c r="FJ196" i="33"/>
  <c r="FJ195" i="33"/>
  <c r="FK195" i="33"/>
  <c r="FO195" i="33"/>
  <c r="FL194" i="33"/>
  <c r="FI192" i="33"/>
  <c r="FK192" i="33"/>
  <c r="FK190" i="33"/>
  <c r="FP186" i="33"/>
  <c r="FJ177" i="33"/>
  <c r="FK177" i="33"/>
  <c r="FK175" i="33"/>
  <c r="FK167" i="33"/>
  <c r="FL162" i="33"/>
  <c r="FK162" i="33"/>
  <c r="FP162" i="33"/>
  <c r="FK156" i="33"/>
  <c r="FP155" i="33"/>
  <c r="FO155" i="33"/>
  <c r="FI152" i="33"/>
  <c r="FO152" i="33"/>
  <c r="FP151" i="33"/>
  <c r="FK149" i="33"/>
  <c r="FK148" i="33"/>
  <c r="FJ147" i="33"/>
  <c r="FK143" i="33"/>
  <c r="FI143" i="33"/>
  <c r="FI142" i="33"/>
  <c r="FK142" i="33"/>
  <c r="FP142" i="33"/>
  <c r="FJ142" i="33"/>
  <c r="FK141" i="33"/>
  <c r="FO139" i="33"/>
  <c r="FJ139" i="33"/>
  <c r="FP137" i="33"/>
  <c r="FP136" i="33"/>
  <c r="FK136" i="33"/>
  <c r="FO135" i="33"/>
  <c r="FJ133" i="33"/>
  <c r="FP132" i="33"/>
  <c r="FP131" i="33"/>
  <c r="FK129" i="33"/>
  <c r="CK193" i="33"/>
  <c r="CK172" i="33"/>
  <c r="CF142" i="33"/>
  <c r="CL142" i="33"/>
  <c r="DW128" i="33"/>
  <c r="DW131" i="33"/>
  <c r="DV131" i="33"/>
  <c r="EA136" i="33"/>
  <c r="DV139" i="33"/>
  <c r="DU142" i="33"/>
  <c r="DV142" i="33"/>
  <c r="DU143" i="33"/>
  <c r="EA146" i="33"/>
  <c r="DV146" i="33"/>
  <c r="DX148" i="33"/>
  <c r="EB149" i="33"/>
  <c r="EA155" i="33"/>
  <c r="DV155" i="33"/>
  <c r="EB162" i="33"/>
  <c r="DX165" i="33"/>
  <c r="DU166" i="33"/>
  <c r="DV166" i="33"/>
  <c r="DV167" i="33"/>
  <c r="DV175" i="33"/>
  <c r="DU179" i="33"/>
  <c r="DV179" i="33"/>
  <c r="DV184" i="33"/>
  <c r="DZ186" i="33"/>
  <c r="DV186" i="33"/>
  <c r="EB191" i="33"/>
  <c r="DV191" i="33"/>
  <c r="DV192" i="33"/>
  <c r="DU194" i="33"/>
  <c r="DV195" i="33"/>
  <c r="DU196" i="33"/>
  <c r="AF193" i="2"/>
  <c r="AI193" i="2"/>
  <c r="CG162" i="33"/>
  <c r="CG131" i="33"/>
  <c r="CG179" i="33"/>
  <c r="CF129" i="33"/>
  <c r="CM129" i="33"/>
  <c r="CK137" i="33"/>
  <c r="CJ190" i="33"/>
  <c r="CJ147" i="33"/>
  <c r="CI188" i="33"/>
  <c r="CL156" i="33"/>
  <c r="CF193" i="33"/>
  <c r="CM188" i="33"/>
  <c r="CH148" i="33"/>
  <c r="CJ142" i="33"/>
  <c r="CI187" i="33"/>
  <c r="CH156" i="33"/>
  <c r="DV196" i="33"/>
  <c r="FN136" i="33"/>
  <c r="DV165" i="33"/>
  <c r="FM151" i="33"/>
  <c r="FO131" i="33"/>
  <c r="FP161" i="33"/>
  <c r="FJ136" i="33"/>
  <c r="FM167" i="33"/>
  <c r="FO197" i="33"/>
  <c r="CG177" i="33"/>
  <c r="CG166" i="33"/>
  <c r="CI195" i="33"/>
  <c r="CI175" i="33"/>
  <c r="CJ191" i="33"/>
  <c r="CL191" i="33"/>
  <c r="CM162" i="33"/>
  <c r="FO133" i="33"/>
  <c r="CH178" i="33"/>
  <c r="FO186" i="33"/>
  <c r="FO167" i="33"/>
  <c r="FI149" i="33"/>
  <c r="CI128" i="33"/>
  <c r="CL195" i="33"/>
  <c r="CH191" i="33"/>
  <c r="CI190" i="33"/>
  <c r="CH190" i="33"/>
  <c r="CH179" i="33"/>
  <c r="CJ178" i="33"/>
  <c r="CK178" i="33"/>
  <c r="CM175" i="33"/>
  <c r="CM167" i="33"/>
  <c r="CJ162" i="33"/>
  <c r="CH147" i="33"/>
  <c r="CF147" i="33"/>
  <c r="CK147" i="33"/>
  <c r="CM145" i="33"/>
  <c r="CK143" i="33"/>
  <c r="CJ130" i="33"/>
  <c r="CH130" i="33"/>
  <c r="FO128" i="33"/>
  <c r="FN196" i="33"/>
  <c r="FN191" i="33"/>
  <c r="FN190" i="33"/>
  <c r="FN186" i="33"/>
  <c r="FN184" i="33"/>
  <c r="FN174" i="33"/>
  <c r="FN171" i="33"/>
  <c r="FN168" i="33"/>
  <c r="FN167" i="33"/>
  <c r="FN166" i="33"/>
  <c r="FN162" i="33"/>
  <c r="FN152" i="33"/>
  <c r="FN149" i="33"/>
  <c r="FN147" i="33"/>
  <c r="FN134" i="33"/>
  <c r="FN133" i="33"/>
  <c r="CF188" i="33"/>
  <c r="CH175" i="33"/>
  <c r="CG136" i="33"/>
  <c r="EA131" i="33"/>
  <c r="EA137" i="33"/>
  <c r="EA142" i="33"/>
  <c r="EA143" i="33"/>
  <c r="DZ144" i="33"/>
  <c r="EA145" i="33"/>
  <c r="EA150" i="33"/>
  <c r="EA166" i="33"/>
  <c r="EA167" i="33"/>
  <c r="EA169" i="33"/>
  <c r="DZ170" i="33"/>
  <c r="EA171" i="33"/>
  <c r="DZ171" i="33"/>
  <c r="EA172" i="33"/>
  <c r="DY173" i="33"/>
  <c r="DZ173" i="33"/>
  <c r="EA175" i="33"/>
  <c r="EA177" i="33"/>
  <c r="EA189" i="33"/>
  <c r="DY189" i="33"/>
  <c r="EA190" i="33"/>
  <c r="EA192" i="33"/>
  <c r="EA194" i="33"/>
  <c r="EA196" i="33"/>
  <c r="EA197" i="33"/>
  <c r="CI193" i="33"/>
  <c r="CH192" i="33"/>
  <c r="CK191" i="33"/>
  <c r="CH184" i="33"/>
  <c r="CK179" i="33"/>
  <c r="CL175" i="33"/>
  <c r="CK174" i="33"/>
  <c r="CK166" i="33"/>
  <c r="CK148" i="33"/>
  <c r="CJ148" i="33"/>
  <c r="CG148" i="33"/>
  <c r="CL148" i="33"/>
  <c r="CL145" i="33"/>
  <c r="CK139" i="33"/>
  <c r="CL131" i="33"/>
  <c r="CK131" i="33"/>
  <c r="FN128" i="33"/>
  <c r="FM192" i="33"/>
  <c r="FM191" i="33"/>
  <c r="FP189" i="33"/>
  <c r="FO189" i="33"/>
  <c r="FM188" i="33"/>
  <c r="FM175" i="33"/>
  <c r="FM166" i="33"/>
  <c r="FM152" i="33"/>
  <c r="FM141" i="33"/>
  <c r="FM131" i="33"/>
  <c r="CF195" i="33"/>
  <c r="CH187" i="33"/>
  <c r="CF187" i="33"/>
  <c r="CH166" i="33"/>
  <c r="CH135" i="33"/>
  <c r="EB128" i="33"/>
  <c r="EB131" i="33"/>
  <c r="EB137" i="33"/>
  <c r="EB139" i="33"/>
  <c r="EB142" i="33"/>
  <c r="EB143" i="33"/>
  <c r="EB146" i="33"/>
  <c r="EB148" i="33"/>
  <c r="EB155" i="33"/>
  <c r="EB165" i="33"/>
  <c r="EB167" i="33"/>
  <c r="EB175" i="33"/>
  <c r="EB177" i="33"/>
  <c r="EB178" i="33"/>
  <c r="EB184" i="33"/>
  <c r="EB187" i="33"/>
  <c r="AH173" i="2"/>
  <c r="AI173" i="2"/>
  <c r="FP195" i="33"/>
  <c r="FJ194" i="33"/>
  <c r="FI193" i="33"/>
  <c r="FP192" i="33"/>
  <c r="FJ188" i="33"/>
  <c r="FP178" i="33"/>
  <c r="FP172" i="33"/>
  <c r="FJ143" i="33"/>
  <c r="FJ184" i="33"/>
  <c r="FJ165" i="33"/>
  <c r="FP156" i="33"/>
  <c r="FI156" i="33"/>
  <c r="FI155" i="33"/>
  <c r="FJ151" i="33"/>
  <c r="FO147" i="33"/>
  <c r="FO146" i="33"/>
  <c r="FP135" i="33"/>
  <c r="DW134" i="33"/>
  <c r="DW162" i="33"/>
  <c r="DW175" i="33"/>
  <c r="FI184" i="33"/>
  <c r="FO192" i="33"/>
  <c r="FI165" i="33"/>
  <c r="FI194" i="33"/>
  <c r="FI196" i="33"/>
  <c r="FI191" i="33"/>
  <c r="FP167" i="33"/>
  <c r="FP134" i="33"/>
  <c r="FI133" i="33"/>
  <c r="FI130" i="33"/>
  <c r="DX142" i="33"/>
  <c r="CM187" i="33"/>
  <c r="FO190" i="33"/>
  <c r="FO150" i="33"/>
  <c r="DY174" i="33"/>
  <c r="AP11" i="19"/>
  <c r="AP7" i="14"/>
  <c r="FP140" i="33"/>
  <c r="AP20" i="19"/>
  <c r="B143" i="2"/>
  <c r="B121" i="2"/>
  <c r="B123" i="2"/>
  <c r="C119" i="2"/>
  <c r="C118" i="6"/>
  <c r="C114" i="6"/>
  <c r="CG296" i="33"/>
  <c r="CG295" i="33"/>
  <c r="CF294" i="33"/>
  <c r="CF293" i="33"/>
  <c r="CK292" i="33"/>
  <c r="CL291" i="33"/>
  <c r="CJ290" i="33"/>
  <c r="CJ289" i="33"/>
  <c r="CI288" i="33"/>
  <c r="CH287" i="33"/>
  <c r="CH286" i="33"/>
  <c r="CL285" i="33"/>
  <c r="CJ284" i="33"/>
  <c r="CJ283" i="33"/>
  <c r="CK282" i="33"/>
  <c r="CJ281" i="33"/>
  <c r="CL280" i="33"/>
  <c r="C132" i="2"/>
  <c r="C117" i="6"/>
  <c r="AA16" i="16"/>
  <c r="G2" i="16"/>
  <c r="C122" i="2"/>
  <c r="AA14" i="16"/>
  <c r="AA10" i="16"/>
  <c r="CI295" i="33"/>
  <c r="CF280" i="33"/>
  <c r="C105" i="6"/>
  <c r="C121" i="2"/>
  <c r="AA20" i="16"/>
  <c r="CL289" i="33"/>
  <c r="CL288" i="33"/>
  <c r="D125" i="2"/>
  <c r="C133" i="2"/>
  <c r="DX279" i="33"/>
  <c r="CF296" i="33"/>
  <c r="CF295" i="33"/>
  <c r="CG287" i="33"/>
  <c r="CG284" i="33"/>
  <c r="CF283" i="33"/>
  <c r="CI282" i="33"/>
  <c r="CG280" i="33"/>
  <c r="CM295" i="33"/>
  <c r="DY295" i="33" s="1"/>
  <c r="CH293" i="33"/>
  <c r="CM291" i="33"/>
  <c r="EB291" i="33" s="1"/>
  <c r="CH290" i="33"/>
  <c r="CM289" i="33"/>
  <c r="DZ289" i="33" s="1"/>
  <c r="CJ288" i="33"/>
  <c r="CM287" i="33"/>
  <c r="DZ287" i="33" s="1"/>
  <c r="CK285" i="33"/>
  <c r="CM284" i="33"/>
  <c r="DY284" i="33" s="1"/>
  <c r="CM283" i="33"/>
  <c r="DV283" i="33" s="1"/>
  <c r="CG282" i="33"/>
  <c r="CM280" i="33"/>
  <c r="DU280" i="33" s="1"/>
  <c r="C127" i="2"/>
  <c r="AH194" i="2"/>
  <c r="AI194" i="2"/>
  <c r="AF194" i="2"/>
  <c r="AA24" i="10"/>
  <c r="CJ196" i="33"/>
  <c r="CG196" i="33"/>
  <c r="CH194" i="33"/>
  <c r="CK194" i="33"/>
  <c r="CM179" i="33"/>
  <c r="CL179" i="33"/>
  <c r="CG152" i="33"/>
  <c r="CL152" i="33"/>
  <c r="CH152" i="33"/>
  <c r="CL151" i="33"/>
  <c r="CI151" i="33"/>
  <c r="CK151" i="33"/>
  <c r="CG151" i="33"/>
  <c r="CI136" i="33"/>
  <c r="CF136" i="33"/>
  <c r="CK136" i="33"/>
  <c r="CH136" i="33"/>
  <c r="CK135" i="33"/>
  <c r="CJ135" i="33"/>
  <c r="CM135" i="33"/>
  <c r="FK128" i="33"/>
  <c r="FL128" i="33"/>
  <c r="FK191" i="33"/>
  <c r="FO191" i="33"/>
  <c r="FL190" i="33"/>
  <c r="FM190" i="33"/>
  <c r="FP188" i="33"/>
  <c r="FO188" i="33"/>
  <c r="FI188" i="33"/>
  <c r="FP187" i="33"/>
  <c r="FJ187" i="33"/>
  <c r="FK186" i="33"/>
  <c r="FM186" i="33"/>
  <c r="FI185" i="33"/>
  <c r="FL185" i="33"/>
  <c r="FP185" i="33"/>
  <c r="FN179" i="33"/>
  <c r="FM179" i="33"/>
  <c r="FI179" i="33"/>
  <c r="FO179" i="33"/>
  <c r="FK178" i="33"/>
  <c r="FL178" i="33"/>
  <c r="FN177" i="33"/>
  <c r="FM177" i="33"/>
  <c r="FL177" i="33"/>
  <c r="FO172" i="33"/>
  <c r="FN172" i="33"/>
  <c r="FL152" i="33"/>
  <c r="FK152" i="33"/>
  <c r="FJ148" i="33"/>
  <c r="FL148" i="33"/>
  <c r="FP146" i="33"/>
  <c r="FJ146" i="33"/>
  <c r="FJ3" i="33" s="1"/>
  <c r="FJ4" i="33" s="1"/>
  <c r="G74" i="34" s="1"/>
  <c r="FK145" i="33"/>
  <c r="FJ145" i="33"/>
  <c r="FO143" i="33"/>
  <c r="FN143" i="33"/>
  <c r="FP143" i="33"/>
  <c r="FI141" i="33"/>
  <c r="FL141" i="33"/>
  <c r="FO141" i="33"/>
  <c r="FM139" i="33"/>
  <c r="FK139" i="33"/>
  <c r="FI137" i="33"/>
  <c r="FN137" i="33"/>
  <c r="FK137" i="33"/>
  <c r="FM135" i="33"/>
  <c r="FL135" i="33"/>
  <c r="FM134" i="33"/>
  <c r="FI134" i="33"/>
  <c r="FK130" i="33"/>
  <c r="FM130" i="33"/>
  <c r="CL193" i="33"/>
  <c r="CI185" i="33"/>
  <c r="CK185" i="33"/>
  <c r="CM185" i="33"/>
  <c r="CF162" i="33"/>
  <c r="CH133" i="33"/>
  <c r="DV129" i="33"/>
  <c r="DW129" i="33"/>
  <c r="DZ129" i="33"/>
  <c r="DZ130" i="33"/>
  <c r="DY130" i="33"/>
  <c r="DW130" i="33"/>
  <c r="DV132" i="33"/>
  <c r="DY132" i="33"/>
  <c r="DY133" i="33"/>
  <c r="EB133" i="33"/>
  <c r="EB134" i="33"/>
  <c r="DZ134" i="33"/>
  <c r="DV134" i="33"/>
  <c r="DY135" i="33"/>
  <c r="EB135" i="33"/>
  <c r="DX139" i="33"/>
  <c r="EA139" i="33"/>
  <c r="DU141" i="33"/>
  <c r="DX141" i="33"/>
  <c r="EA141" i="33"/>
  <c r="DV145" i="33"/>
  <c r="DZ145" i="33"/>
  <c r="DV147" i="33"/>
  <c r="DZ147" i="33"/>
  <c r="DW151" i="33"/>
  <c r="DY151" i="33"/>
  <c r="EB151" i="33"/>
  <c r="EB152" i="33"/>
  <c r="DW152" i="33"/>
  <c r="DZ156" i="33"/>
  <c r="DV156" i="33"/>
  <c r="DX161" i="33"/>
  <c r="EA161" i="33"/>
  <c r="DZ167" i="33"/>
  <c r="DW167" i="33"/>
  <c r="DX172" i="33"/>
  <c r="DU172" i="33"/>
  <c r="DY177" i="33"/>
  <c r="DV177" i="33"/>
  <c r="DX184" i="33"/>
  <c r="EA184" i="33"/>
  <c r="EA185" i="33"/>
  <c r="DU185" i="33"/>
  <c r="DY185" i="33"/>
  <c r="DZ187" i="33"/>
  <c r="EA187" i="33"/>
  <c r="DV188" i="33"/>
  <c r="DZ188" i="33"/>
  <c r="DW190" i="33"/>
  <c r="DV190" i="33"/>
  <c r="EB192" i="33"/>
  <c r="DW192" i="33"/>
  <c r="DX193" i="33"/>
  <c r="EB193" i="33"/>
  <c r="DW195" i="33"/>
  <c r="DX195" i="33"/>
  <c r="FJ193" i="33"/>
  <c r="FJ172" i="33"/>
  <c r="FJ149" i="33"/>
  <c r="FJ130" i="33"/>
  <c r="DW145" i="33"/>
  <c r="DW186" i="33"/>
  <c r="CJ169" i="33"/>
  <c r="FM185" i="33"/>
  <c r="FI167" i="33"/>
  <c r="FI162" i="33"/>
  <c r="FM161" i="33"/>
  <c r="FM142" i="33"/>
  <c r="FI139" i="33"/>
  <c r="FM133" i="33"/>
  <c r="DX152" i="33"/>
  <c r="DX162" i="33"/>
  <c r="DX196" i="33"/>
  <c r="CK170" i="33"/>
  <c r="FP179" i="33"/>
  <c r="FP174" i="33"/>
  <c r="FP152" i="33"/>
  <c r="FP145" i="33"/>
  <c r="DY136" i="33"/>
  <c r="DY188" i="33"/>
  <c r="DY197" i="33"/>
  <c r="CK171" i="33"/>
  <c r="FP128" i="33"/>
  <c r="FO196" i="33"/>
  <c r="FO193" i="33"/>
  <c r="FO187" i="33"/>
  <c r="FO184" i="33"/>
  <c r="FO178" i="33"/>
  <c r="FO175" i="33"/>
  <c r="FO171" i="33"/>
  <c r="FO156" i="33"/>
  <c r="FO151" i="33"/>
  <c r="FO149" i="33"/>
  <c r="FO145" i="33"/>
  <c r="FO142" i="33"/>
  <c r="FO136" i="33"/>
  <c r="FO132" i="33"/>
  <c r="FO129" i="33"/>
  <c r="DX130" i="33"/>
  <c r="DZ132" i="33"/>
  <c r="DY139" i="33"/>
  <c r="DZ141" i="33"/>
  <c r="DZ148" i="33"/>
  <c r="DX151" i="33"/>
  <c r="DY152" i="33"/>
  <c r="DU161" i="33"/>
  <c r="DZ172" i="33"/>
  <c r="DZ174" i="33"/>
  <c r="DV185" i="33"/>
  <c r="EB188" i="33"/>
  <c r="DW193" i="33"/>
  <c r="DZ194" i="33"/>
  <c r="FN193" i="33"/>
  <c r="FN151" i="33"/>
  <c r="FN130" i="33"/>
  <c r="FN129" i="33"/>
  <c r="EA156" i="33"/>
  <c r="FL188" i="33"/>
  <c r="FL179" i="33"/>
  <c r="FL143" i="33"/>
  <c r="DU129" i="33"/>
  <c r="EB136" i="33"/>
  <c r="DU155" i="33"/>
  <c r="EB186" i="33"/>
  <c r="DU195" i="33"/>
  <c r="AA11" i="15"/>
  <c r="AP14" i="19"/>
  <c r="Z26" i="14"/>
  <c r="AP18" i="14"/>
  <c r="AP26" i="14"/>
  <c r="AP3" i="14"/>
  <c r="EO3" i="33"/>
  <c r="EO4" i="33" s="1"/>
  <c r="AE3" i="33"/>
  <c r="AE4" i="33" s="1"/>
  <c r="G25" i="34" s="1"/>
  <c r="R3" i="33"/>
  <c r="R4" i="33" s="1"/>
  <c r="B132" i="2"/>
  <c r="FH3" i="33"/>
  <c r="FH4" i="33" s="1"/>
  <c r="D3" i="33"/>
  <c r="D4" i="33" s="1"/>
  <c r="F8" i="34" s="1"/>
  <c r="B126" i="2"/>
  <c r="FC3" i="33"/>
  <c r="FC4" i="33" s="1"/>
  <c r="EL3" i="33"/>
  <c r="EL4" i="33" s="1"/>
  <c r="CE3" i="33"/>
  <c r="CE4" i="33" s="1"/>
  <c r="M61" i="34" s="1"/>
  <c r="B122" i="2"/>
  <c r="AF3" i="33"/>
  <c r="AF4" i="33" s="1"/>
  <c r="G26" i="34" s="1"/>
  <c r="AL3" i="33"/>
  <c r="AL4" i="33" s="1"/>
  <c r="E38" i="34" s="1"/>
  <c r="N3" i="33"/>
  <c r="N4" i="33" s="1"/>
  <c r="G17" i="34" s="1"/>
  <c r="FE3" i="33"/>
  <c r="FE4" i="33" s="1"/>
  <c r="CL290" i="33"/>
  <c r="CF289" i="33"/>
  <c r="CG291" i="33"/>
  <c r="CI283" i="33"/>
  <c r="CJ293" i="33"/>
  <c r="CF284" i="33"/>
  <c r="CG288" i="33"/>
  <c r="CI286" i="33"/>
  <c r="CK291" i="33"/>
  <c r="CH296" i="33"/>
  <c r="CH285" i="33"/>
  <c r="CL296" i="33"/>
  <c r="CG293" i="33"/>
  <c r="CI287" i="33"/>
  <c r="CL281" i="33"/>
  <c r="CM290" i="33"/>
  <c r="EB290" i="33" s="1"/>
  <c r="CG294" i="33"/>
  <c r="CK295" i="33"/>
  <c r="CJ296" i="33"/>
  <c r="CG290" i="33"/>
  <c r="CG289" i="33"/>
  <c r="CG286" i="33"/>
  <c r="CF286" i="33"/>
  <c r="CG281" i="33"/>
  <c r="C124" i="2"/>
  <c r="C129" i="2"/>
  <c r="C108" i="6"/>
  <c r="CK286" i="33"/>
  <c r="CI289" i="33"/>
  <c r="CF290" i="33"/>
  <c r="CI290" i="33"/>
  <c r="CK281" i="33"/>
  <c r="C115" i="6"/>
  <c r="D120" i="2"/>
  <c r="C116" i="6"/>
  <c r="C130" i="2"/>
  <c r="CF281" i="33"/>
  <c r="CK283" i="33"/>
  <c r="CL284" i="33"/>
  <c r="CL283" i="33"/>
  <c r="CK296" i="33"/>
  <c r="CF282" i="33"/>
  <c r="CK280" i="33"/>
  <c r="H2" i="9"/>
  <c r="C104" i="6"/>
  <c r="C107" i="6"/>
  <c r="CL282" i="33"/>
  <c r="CF287" i="33"/>
  <c r="CG285" i="33"/>
  <c r="CJ287" i="33"/>
  <c r="CM282" i="33"/>
  <c r="EB282" i="33" s="1"/>
  <c r="CJ282" i="33"/>
  <c r="D131" i="2"/>
  <c r="D126" i="2"/>
  <c r="H21" i="17"/>
  <c r="CK289" i="33"/>
  <c r="CI296" i="33"/>
  <c r="CI293" i="33"/>
  <c r="CI292" i="33"/>
  <c r="CI291" i="33"/>
  <c r="CI285" i="33"/>
  <c r="CI284" i="33"/>
  <c r="CI281" i="33"/>
  <c r="CI280" i="33"/>
  <c r="AH93" i="2"/>
  <c r="AI93" i="2"/>
  <c r="C106" i="6"/>
  <c r="C120" i="2"/>
  <c r="DV133" i="33"/>
  <c r="DW133" i="33"/>
  <c r="DV135" i="33"/>
  <c r="DX135" i="33"/>
  <c r="DV137" i="33"/>
  <c r="DU137" i="33"/>
  <c r="DY150" i="33"/>
  <c r="DZ150" i="33"/>
  <c r="DW155" i="33"/>
  <c r="DY155" i="33"/>
  <c r="EB156" i="33"/>
  <c r="DY156" i="33"/>
  <c r="DX166" i="33"/>
  <c r="DY166" i="33"/>
  <c r="EB166" i="33"/>
  <c r="DX179" i="33"/>
  <c r="DY179" i="33"/>
  <c r="CM141" i="33"/>
  <c r="FN195" i="33"/>
  <c r="FP191" i="33"/>
  <c r="FN189" i="33"/>
  <c r="FK188" i="33"/>
  <c r="FI187" i="33"/>
  <c r="FM187" i="33"/>
  <c r="FK185" i="33"/>
  <c r="FP184" i="33"/>
  <c r="FM184" i="33"/>
  <c r="FI178" i="33"/>
  <c r="FN178" i="33"/>
  <c r="FM171" i="33"/>
  <c r="FN170" i="33"/>
  <c r="FJ167" i="33"/>
  <c r="FL166" i="33"/>
  <c r="FJ166" i="33"/>
  <c r="FN165" i="33"/>
  <c r="FP165" i="33"/>
  <c r="FL165" i="33"/>
  <c r="FN161" i="33"/>
  <c r="FI151" i="33"/>
  <c r="FP150" i="33"/>
  <c r="FM147" i="33"/>
  <c r="FK147" i="33"/>
  <c r="FN146" i="33"/>
  <c r="FM146" i="33"/>
  <c r="FN144" i="33"/>
  <c r="FN141" i="33"/>
  <c r="FJ141" i="33"/>
  <c r="FP139" i="33"/>
  <c r="FL139" i="33"/>
  <c r="FI136" i="33"/>
  <c r="FN135" i="33"/>
  <c r="FM132" i="33"/>
  <c r="FJ132" i="33"/>
  <c r="FI129" i="33"/>
  <c r="EA128" i="33"/>
  <c r="EA144" i="33"/>
  <c r="EA173" i="33"/>
  <c r="AG196" i="2"/>
  <c r="AI196" i="2"/>
  <c r="AA9" i="10"/>
  <c r="AH196" i="2"/>
  <c r="AF196" i="2"/>
  <c r="AA26" i="10"/>
  <c r="FM194" i="33"/>
  <c r="FM193" i="33"/>
  <c r="FM156" i="33"/>
  <c r="FM155" i="33"/>
  <c r="FM137" i="33"/>
  <c r="FM136" i="33"/>
  <c r="AA27" i="10"/>
  <c r="AA18" i="10"/>
  <c r="FJ191" i="33"/>
  <c r="FJ190" i="33"/>
  <c r="FJ155" i="33"/>
  <c r="FJ152" i="33"/>
  <c r="FJ135" i="33"/>
  <c r="DU135" i="33"/>
  <c r="DU187" i="33"/>
  <c r="AA25" i="10"/>
  <c r="AA16" i="10"/>
  <c r="CJ128" i="33"/>
  <c r="FK196" i="33"/>
  <c r="FL192" i="33"/>
  <c r="FL191" i="33"/>
  <c r="FK187" i="33"/>
  <c r="FI177" i="33"/>
  <c r="FI172" i="33"/>
  <c r="FL155" i="33"/>
  <c r="FK146" i="33"/>
  <c r="FI145" i="33"/>
  <c r="FN139" i="33"/>
  <c r="FL137" i="33"/>
  <c r="FK135" i="33"/>
  <c r="FP133" i="33"/>
  <c r="FK133" i="33"/>
  <c r="FI132" i="33"/>
  <c r="DZ128" i="33"/>
  <c r="DX128" i="33"/>
  <c r="DU131" i="33"/>
  <c r="DY142" i="33"/>
  <c r="DU147" i="33"/>
  <c r="DU175" i="33"/>
  <c r="DX178" i="33"/>
  <c r="DX192" i="33"/>
  <c r="CH128" i="33"/>
  <c r="FN197" i="33"/>
  <c r="FP197" i="33"/>
  <c r="FP196" i="33"/>
  <c r="FM195" i="33"/>
  <c r="FN194" i="33"/>
  <c r="FP194" i="33"/>
  <c r="FP193" i="33"/>
  <c r="FJ192" i="33"/>
  <c r="FI190" i="33"/>
  <c r="FN187" i="33"/>
  <c r="FJ186" i="33"/>
  <c r="FK179" i="33"/>
  <c r="FM178" i="33"/>
  <c r="FP175" i="33"/>
  <c r="FP173" i="33"/>
  <c r="FL172" i="33"/>
  <c r="FM170" i="33"/>
  <c r="FM165" i="33"/>
  <c r="FJ156" i="33"/>
  <c r="FN155" i="33"/>
  <c r="FK151" i="33"/>
  <c r="FP149" i="33"/>
  <c r="FP147" i="33"/>
  <c r="FM143" i="33"/>
  <c r="FP129" i="33"/>
  <c r="DY170" i="33"/>
  <c r="AP22" i="19"/>
  <c r="AP18" i="19"/>
  <c r="AP7" i="19"/>
  <c r="AP24" i="14"/>
  <c r="AP28" i="14"/>
  <c r="Z28" i="14"/>
  <c r="Z2" i="19"/>
  <c r="Z27" i="14"/>
  <c r="AP12" i="19"/>
  <c r="AP27" i="14"/>
  <c r="D132" i="2"/>
  <c r="CL293" i="33"/>
  <c r="CL292" i="33"/>
  <c r="CL287" i="33"/>
  <c r="CL286" i="33"/>
  <c r="D130" i="2"/>
  <c r="CJ292" i="33"/>
  <c r="CJ291" i="33"/>
  <c r="CJ286" i="33"/>
  <c r="CJ285" i="33"/>
  <c r="D134" i="2"/>
  <c r="D123" i="2"/>
  <c r="CH294" i="33"/>
  <c r="CK293" i="33"/>
  <c r="CF291" i="33"/>
  <c r="CK290" i="33"/>
  <c r="CH289" i="33"/>
  <c r="CF288" i="33"/>
  <c r="CK284" i="33"/>
  <c r="CH283" i="33"/>
  <c r="CH282" i="33"/>
  <c r="AA9" i="16"/>
  <c r="CM296" i="33"/>
  <c r="CM294" i="33"/>
  <c r="CM292" i="33"/>
  <c r="CM288" i="33"/>
  <c r="CM286" i="33"/>
  <c r="CM285" i="33"/>
  <c r="CM281" i="33"/>
  <c r="CJ295" i="33"/>
  <c r="CJ294" i="33"/>
  <c r="CJ280" i="33"/>
  <c r="C120" i="6"/>
  <c r="C123" i="2"/>
  <c r="C117" i="2"/>
  <c r="CG292" i="33"/>
  <c r="CG283" i="33"/>
  <c r="C111" i="6"/>
  <c r="C109" i="6"/>
  <c r="CH292" i="33"/>
  <c r="CF285" i="33"/>
  <c r="CH281" i="33"/>
  <c r="CL295" i="33"/>
  <c r="CL294" i="33"/>
  <c r="AA12" i="16"/>
  <c r="CK294" i="33"/>
  <c r="CK287" i="33"/>
  <c r="AA19" i="10"/>
  <c r="FJ137" i="33"/>
  <c r="FO137" i="33"/>
  <c r="FK134" i="33"/>
  <c r="FL134" i="33"/>
  <c r="FJ134" i="33"/>
  <c r="FI131" i="33"/>
  <c r="FL131" i="33"/>
  <c r="FP130" i="33"/>
  <c r="FO130" i="33"/>
  <c r="FJ185" i="33"/>
  <c r="FO185" i="33"/>
  <c r="FK184" i="33"/>
  <c r="FL184" i="33"/>
  <c r="FI175" i="33"/>
  <c r="FL175" i="33"/>
  <c r="FP148" i="33"/>
  <c r="FO148" i="33"/>
  <c r="FN148" i="33"/>
  <c r="FM148" i="33"/>
  <c r="FI147" i="33"/>
  <c r="FL147" i="33"/>
  <c r="AA22" i="10"/>
  <c r="AA10" i="10"/>
  <c r="AA13" i="10"/>
  <c r="AA23" i="10"/>
  <c r="AA10" i="15"/>
  <c r="AP13" i="19"/>
  <c r="AP12" i="14"/>
  <c r="AP10" i="14"/>
  <c r="AP14" i="14"/>
  <c r="X3" i="33"/>
  <c r="X4" i="33" s="1"/>
  <c r="O11" i="34" s="1"/>
  <c r="U3" i="33"/>
  <c r="U4" i="33" s="1"/>
  <c r="O8" i="34" s="1"/>
  <c r="AP4" i="19"/>
  <c r="AP25" i="14"/>
  <c r="AA13" i="16"/>
  <c r="AA15" i="16"/>
  <c r="AQ15" i="16"/>
  <c r="AQ7" i="16"/>
  <c r="AA21" i="16"/>
  <c r="AQ13" i="16"/>
  <c r="AQ5" i="16"/>
  <c r="AA5" i="16"/>
  <c r="AA19" i="16"/>
  <c r="AQ174" i="6"/>
  <c r="AL165" i="6"/>
  <c r="EN3" i="33"/>
  <c r="EN4" i="33" s="1"/>
  <c r="DD3" i="33"/>
  <c r="DD4" i="33" s="1"/>
  <c r="M65" i="34" s="1"/>
  <c r="FF3" i="33"/>
  <c r="FF4" i="33" s="1"/>
  <c r="Z3" i="33"/>
  <c r="Z4" i="33" s="1"/>
  <c r="E12" i="34" s="1"/>
  <c r="FG3" i="33"/>
  <c r="FG4" i="33" s="1"/>
  <c r="BD3" i="33"/>
  <c r="BD4" i="33" s="1"/>
  <c r="K60" i="34" s="1"/>
  <c r="DT3" i="33"/>
  <c r="DT4" i="33" s="1"/>
  <c r="M67" i="34" s="1"/>
  <c r="E3" i="33"/>
  <c r="E4" i="33" s="1"/>
  <c r="E16" i="34" s="1"/>
  <c r="CO3" i="33"/>
  <c r="CO4" i="33" s="1"/>
  <c r="G66" i="34" s="1"/>
  <c r="P3" i="33"/>
  <c r="P4" i="33" s="1"/>
  <c r="G20" i="34" s="1"/>
  <c r="CW3" i="33"/>
  <c r="CW4" i="33" s="1"/>
  <c r="F65" i="34" s="1"/>
  <c r="CX3" i="33"/>
  <c r="CX4" i="33" s="1"/>
  <c r="G65" i="34" s="1"/>
  <c r="Q3" i="33"/>
  <c r="Q4" i="33" s="1"/>
  <c r="G21" i="34" s="1"/>
  <c r="FD3" i="33"/>
  <c r="FD4" i="33" s="1"/>
  <c r="DS3" i="33"/>
  <c r="DS4" i="33" s="1"/>
  <c r="L67" i="34" s="1"/>
  <c r="DC3" i="33"/>
  <c r="DC4" i="33" s="1"/>
  <c r="L65" i="34" s="1"/>
  <c r="BA3" i="33"/>
  <c r="BA4" i="33" s="1"/>
  <c r="H60" i="34" s="1"/>
  <c r="M3" i="33"/>
  <c r="M4" i="33" s="1"/>
  <c r="G16" i="34" s="1"/>
  <c r="EE3" i="33"/>
  <c r="EE4" i="33" s="1"/>
  <c r="AA3" i="33"/>
  <c r="AA4" i="33" s="1"/>
  <c r="E13" i="34" s="1"/>
  <c r="CB3" i="33"/>
  <c r="CB4" i="33" s="1"/>
  <c r="J61" i="34" s="1"/>
  <c r="S3" i="33"/>
  <c r="S4" i="33" s="1"/>
  <c r="E20" i="34" s="1"/>
  <c r="BH3" i="33"/>
  <c r="BH4" i="33" s="1"/>
  <c r="F59" i="34" s="1"/>
  <c r="BI3" i="33"/>
  <c r="BI4" i="33" s="1"/>
  <c r="G59" i="34" s="1"/>
  <c r="B3" i="33"/>
  <c r="B4" i="33" s="1"/>
  <c r="E8" i="34" s="1"/>
  <c r="BY3" i="33"/>
  <c r="BY4" i="33" s="1"/>
  <c r="G61" i="34" s="1"/>
  <c r="CZ3" i="33"/>
  <c r="CZ4" i="33" s="1"/>
  <c r="I65" i="34" s="1"/>
  <c r="CQ3" i="33"/>
  <c r="CQ4" i="33" s="1"/>
  <c r="I66" i="34" s="1"/>
  <c r="BM3" i="33"/>
  <c r="BM4" i="33" s="1"/>
  <c r="K59" i="34" s="1"/>
  <c r="CD3" i="33"/>
  <c r="CD4" i="33" s="1"/>
  <c r="L61" i="34" s="1"/>
  <c r="AJ3" i="33"/>
  <c r="AJ4" i="33" s="1"/>
  <c r="E36" i="34" s="1"/>
  <c r="BJ3" i="33"/>
  <c r="BJ4" i="33" s="1"/>
  <c r="H59" i="34" s="1"/>
  <c r="FA3" i="33"/>
  <c r="FA4" i="33" s="1"/>
  <c r="EG3" i="33"/>
  <c r="EG4" i="33" s="1"/>
  <c r="DO3" i="33"/>
  <c r="DO4" i="33" s="1"/>
  <c r="H67" i="34" s="1"/>
  <c r="CT3" i="33"/>
  <c r="CT4" i="33" s="1"/>
  <c r="L66" i="34" s="1"/>
  <c r="CY3" i="33"/>
  <c r="CY4" i="33" s="1"/>
  <c r="H65" i="34" s="1"/>
  <c r="BN3" i="33"/>
  <c r="BN4" i="33" s="1"/>
  <c r="L59" i="34" s="1"/>
  <c r="AB3" i="33"/>
  <c r="AB4" i="33" s="1"/>
  <c r="E25" i="34" s="1"/>
  <c r="AY3" i="33"/>
  <c r="AY4" i="33" s="1"/>
  <c r="F60" i="34" s="1"/>
  <c r="ER3" i="33"/>
  <c r="ER4" i="33" s="1"/>
  <c r="BX3" i="33"/>
  <c r="BX4" i="33" s="1"/>
  <c r="F61" i="34" s="1"/>
  <c r="AG3" i="33"/>
  <c r="AG4" i="33" s="1"/>
  <c r="G28" i="34" s="1"/>
  <c r="DR3" i="33"/>
  <c r="DR4" i="33" s="1"/>
  <c r="K67" i="34" s="1"/>
  <c r="AW3" i="33"/>
  <c r="AW4" i="33" s="1"/>
  <c r="M37" i="34" s="1"/>
  <c r="Y3" i="33"/>
  <c r="Y4" i="33" s="1"/>
  <c r="E29" i="34" s="1"/>
  <c r="EI3" i="33"/>
  <c r="EI4" i="33" s="1"/>
  <c r="C3" i="33"/>
  <c r="C4" i="33" s="1"/>
  <c r="EK3" i="33"/>
  <c r="EK4" i="33" s="1"/>
  <c r="AU3" i="33"/>
  <c r="AU4" i="33" s="1"/>
  <c r="J36" i="34" s="1"/>
  <c r="BE3" i="33"/>
  <c r="BE4" i="33" s="1"/>
  <c r="L60" i="34" s="1"/>
  <c r="CP3" i="33"/>
  <c r="CP4" i="33" s="1"/>
  <c r="H66" i="34" s="1"/>
  <c r="A9" i="33"/>
  <c r="EQ3" i="33"/>
  <c r="EQ4" i="33" s="1"/>
  <c r="AO3" i="33"/>
  <c r="AO4" i="33" s="1"/>
  <c r="E42" i="34" s="1"/>
  <c r="DQ3" i="33"/>
  <c r="DQ4" i="33" s="1"/>
  <c r="J67" i="34" s="1"/>
  <c r="BK3" i="33"/>
  <c r="BK4" i="33" s="1"/>
  <c r="I59" i="34" s="1"/>
  <c r="EC3" i="33"/>
  <c r="EC4" i="33" s="1"/>
  <c r="A7" i="33"/>
  <c r="AH3" i="33"/>
  <c r="AH4" i="33" s="1"/>
  <c r="G29" i="34" s="1"/>
  <c r="DP3" i="33"/>
  <c r="DP4" i="33" s="1"/>
  <c r="I67" i="34" s="1"/>
  <c r="AK3" i="33"/>
  <c r="AK4" i="33" s="1"/>
  <c r="E37" i="34" s="1"/>
  <c r="DM3" i="33"/>
  <c r="DM4" i="33" s="1"/>
  <c r="F67" i="34" s="1"/>
  <c r="BB3" i="33"/>
  <c r="BB4" i="33" s="1"/>
  <c r="I60" i="34" s="1"/>
  <c r="DA3" i="33"/>
  <c r="DA4" i="33" s="1"/>
  <c r="J65" i="34" s="1"/>
  <c r="EH3" i="33"/>
  <c r="EH4" i="33" s="1"/>
  <c r="AP3" i="33"/>
  <c r="AP4" i="33" s="1"/>
  <c r="E43" i="34" s="1"/>
  <c r="FB3" i="33"/>
  <c r="FB4" i="33" s="1"/>
  <c r="AM3" i="33"/>
  <c r="AM4" i="33" s="1"/>
  <c r="E40" i="34" s="1"/>
  <c r="EJ3" i="33"/>
  <c r="EJ4" i="33" s="1"/>
  <c r="O3" i="33"/>
  <c r="O4" i="33" s="1"/>
  <c r="G19" i="34" s="1"/>
  <c r="BO3" i="33"/>
  <c r="BO4" i="33" s="1"/>
  <c r="M59" i="34" s="1"/>
  <c r="CU3" i="33"/>
  <c r="CU4" i="33" s="1"/>
  <c r="M66" i="34" s="1"/>
  <c r="AX3" i="33"/>
  <c r="AX4" i="33" s="1"/>
  <c r="ED3" i="33"/>
  <c r="ED4" i="33" s="1"/>
  <c r="AN3" i="33"/>
  <c r="AN4" i="33" s="1"/>
  <c r="E41" i="34" s="1"/>
  <c r="BL3" i="33"/>
  <c r="BL4" i="33" s="1"/>
  <c r="J59" i="34" s="1"/>
  <c r="CA3" i="33"/>
  <c r="CA4" i="33" s="1"/>
  <c r="I61" i="34" s="1"/>
  <c r="CC3" i="33"/>
  <c r="CC4" i="33" s="1"/>
  <c r="K61" i="34" s="1"/>
  <c r="CS3" i="33"/>
  <c r="CS4" i="33" s="1"/>
  <c r="K66" i="34" s="1"/>
  <c r="AV3" i="33"/>
  <c r="AV4" i="33" s="1"/>
  <c r="M36" i="34" s="1"/>
  <c r="AQ3" i="33"/>
  <c r="AQ4" i="33" s="1"/>
  <c r="E44" i="34" s="1"/>
  <c r="AI3" i="33"/>
  <c r="AI4" i="33" s="1"/>
  <c r="G30" i="34" s="1"/>
  <c r="EP3" i="33"/>
  <c r="EP4" i="33" s="1"/>
  <c r="EM3" i="33"/>
  <c r="EM4" i="33" s="1"/>
  <c r="CN3" i="33"/>
  <c r="CN4" i="33" s="1"/>
  <c r="F66" i="34" s="1"/>
  <c r="DB3" i="33"/>
  <c r="DB4" i="33" s="1"/>
  <c r="K65" i="34" s="1"/>
  <c r="BZ3" i="33"/>
  <c r="BZ4" i="33" s="1"/>
  <c r="H61" i="34" s="1"/>
  <c r="BC3" i="33"/>
  <c r="BC4" i="33" s="1"/>
  <c r="J60" i="34" s="1"/>
  <c r="AZ3" i="33"/>
  <c r="AZ4" i="33" s="1"/>
  <c r="G60" i="34" s="1"/>
  <c r="DN3" i="33"/>
  <c r="DN4" i="33" s="1"/>
  <c r="G67" i="34" s="1"/>
  <c r="CR3" i="33"/>
  <c r="CR4" i="33" s="1"/>
  <c r="J66" i="34" s="1"/>
  <c r="BF3" i="33"/>
  <c r="BF4" i="33" s="1"/>
  <c r="M60" i="34" s="1"/>
  <c r="T3" i="33"/>
  <c r="T4" i="33" s="1"/>
  <c r="L8" i="34" s="1"/>
  <c r="EF3" i="33"/>
  <c r="EF4" i="33" s="1"/>
  <c r="AL141" i="6"/>
  <c r="AL238" i="6"/>
  <c r="AL83" i="6"/>
  <c r="AL223" i="6"/>
  <c r="AL248" i="6"/>
  <c r="R405" i="2"/>
  <c r="AL80" i="6"/>
  <c r="AL227" i="6"/>
  <c r="AL252" i="6"/>
  <c r="AL371" i="6"/>
  <c r="AL385" i="6"/>
  <c r="AL215" i="6"/>
  <c r="AL242" i="6"/>
  <c r="AL33" i="6"/>
  <c r="AL219" i="6"/>
  <c r="AL70" i="6"/>
  <c r="AL31" i="6"/>
  <c r="AL210" i="6"/>
  <c r="AL37" i="6"/>
  <c r="AL50" i="6"/>
  <c r="AL322" i="6"/>
  <c r="AL29" i="6"/>
  <c r="AL313" i="6"/>
  <c r="AL389" i="6"/>
  <c r="AL35" i="6"/>
  <c r="AL62" i="6"/>
  <c r="AL318" i="6"/>
  <c r="AL375" i="6"/>
  <c r="AL54" i="6"/>
  <c r="AL309" i="6"/>
  <c r="AL25" i="6"/>
  <c r="AL64" i="6"/>
  <c r="AL41" i="6"/>
  <c r="AL52" i="6"/>
  <c r="AL154" i="6"/>
  <c r="AL169" i="6"/>
  <c r="AL27" i="6"/>
  <c r="AL48" i="6"/>
  <c r="AL56" i="6"/>
  <c r="AL161" i="6"/>
  <c r="AW50" i="6"/>
  <c r="AL150" i="6"/>
  <c r="AL379" i="6"/>
  <c r="AL39" i="6"/>
  <c r="AL145" i="6"/>
  <c r="AL256" i="6"/>
  <c r="AD7" i="2"/>
  <c r="U23" i="2" l="1"/>
  <c r="L23" i="2"/>
  <c r="N23" i="2"/>
  <c r="M23" i="2"/>
  <c r="T23" i="2"/>
  <c r="K23" i="2"/>
  <c r="S23" i="2"/>
  <c r="O23" i="2"/>
  <c r="R23" i="2"/>
  <c r="Q23" i="2"/>
  <c r="P23" i="2"/>
  <c r="J27" i="2"/>
  <c r="J28" i="2" s="1"/>
  <c r="AO27" i="2"/>
  <c r="AO28" i="2" s="1"/>
  <c r="AB27" i="2"/>
  <c r="AB28" i="2" s="1"/>
  <c r="L27" i="2"/>
  <c r="L28" i="2" s="1"/>
  <c r="AN27" i="2"/>
  <c r="AN28" i="2" s="1"/>
  <c r="AM27" i="2"/>
  <c r="AM28" i="2" s="1"/>
  <c r="AL27" i="2"/>
  <c r="AL28" i="2" s="1"/>
  <c r="AK27" i="2"/>
  <c r="AK28" i="2" s="1"/>
  <c r="AJ27" i="2"/>
  <c r="AJ28" i="2" s="1"/>
  <c r="AI27" i="2"/>
  <c r="AI28" i="2" s="1"/>
  <c r="AH27" i="2"/>
  <c r="AH28" i="2" s="1"/>
  <c r="AE27" i="2"/>
  <c r="AE28" i="2" s="1"/>
  <c r="AG27" i="2"/>
  <c r="AG28" i="2" s="1"/>
  <c r="AF27" i="2"/>
  <c r="AF28" i="2" s="1"/>
  <c r="AD27" i="2"/>
  <c r="AD28" i="2" s="1"/>
  <c r="AC27" i="2"/>
  <c r="AC28" i="2" s="1"/>
  <c r="AA27" i="2"/>
  <c r="AA28" i="2" s="1"/>
  <c r="Z27" i="2"/>
  <c r="Z28" i="2" s="1"/>
  <c r="Y27" i="2"/>
  <c r="Y28" i="2" s="1"/>
  <c r="X27" i="2"/>
  <c r="X28" i="2" s="1"/>
  <c r="W27" i="2"/>
  <c r="W28" i="2" s="1"/>
  <c r="N27" i="2"/>
  <c r="N28" i="2" s="1"/>
  <c r="V27" i="2"/>
  <c r="V28" i="2" s="1"/>
  <c r="U27" i="2"/>
  <c r="U28" i="2" s="1"/>
  <c r="T27" i="2"/>
  <c r="T28" i="2" s="1"/>
  <c r="S27" i="2"/>
  <c r="S28" i="2" s="1"/>
  <c r="R27" i="2"/>
  <c r="R28" i="2" s="1"/>
  <c r="Q27" i="2"/>
  <c r="Q28" i="2" s="1"/>
  <c r="P27" i="2"/>
  <c r="P28" i="2" s="1"/>
  <c r="O27" i="2"/>
  <c r="O28" i="2" s="1"/>
  <c r="M27" i="2"/>
  <c r="M28" i="2" s="1"/>
  <c r="K27" i="2"/>
  <c r="K28" i="2" s="1"/>
  <c r="J25" i="2"/>
  <c r="J26" i="2" s="1"/>
  <c r="AO25" i="2"/>
  <c r="AO26" i="2" s="1"/>
  <c r="AN25" i="2"/>
  <c r="AN26" i="2" s="1"/>
  <c r="AM25" i="2"/>
  <c r="AM26" i="2" s="1"/>
  <c r="AL25" i="2"/>
  <c r="AL26" i="2" s="1"/>
  <c r="AK25" i="2"/>
  <c r="AK26" i="2" s="1"/>
  <c r="K25" i="2"/>
  <c r="K26" i="2" s="1"/>
  <c r="F72" i="34" s="1"/>
  <c r="AJ25" i="2"/>
  <c r="AJ26" i="2" s="1"/>
  <c r="AI25" i="2"/>
  <c r="AI26" i="2" s="1"/>
  <c r="AH25" i="2"/>
  <c r="AH26" i="2" s="1"/>
  <c r="AD25" i="2"/>
  <c r="AD26" i="2" s="1"/>
  <c r="AC25" i="2"/>
  <c r="AC26" i="2" s="1"/>
  <c r="M73" i="34" s="1"/>
  <c r="AG25" i="2"/>
  <c r="AG26" i="2" s="1"/>
  <c r="AF25" i="2"/>
  <c r="AF26" i="2" s="1"/>
  <c r="AE25" i="2"/>
  <c r="AE26" i="2" s="1"/>
  <c r="AB25" i="2"/>
  <c r="AB26" i="2" s="1"/>
  <c r="L73" i="34" s="1"/>
  <c r="AA25" i="2"/>
  <c r="AA26" i="2" s="1"/>
  <c r="K73" i="34" s="1"/>
  <c r="Z25" i="2"/>
  <c r="Z26" i="2" s="1"/>
  <c r="J73" i="34" s="1"/>
  <c r="Y25" i="2"/>
  <c r="Y26" i="2" s="1"/>
  <c r="I73" i="34" s="1"/>
  <c r="X25" i="2"/>
  <c r="X26" i="2" s="1"/>
  <c r="H73" i="34" s="1"/>
  <c r="W25" i="2"/>
  <c r="W26" i="2" s="1"/>
  <c r="G73" i="34" s="1"/>
  <c r="V25" i="2"/>
  <c r="V26" i="2" s="1"/>
  <c r="F73" i="34" s="1"/>
  <c r="U25" i="2"/>
  <c r="U26" i="2" s="1"/>
  <c r="T25" i="2"/>
  <c r="T26" i="2" s="1"/>
  <c r="S25" i="2"/>
  <c r="S26" i="2" s="1"/>
  <c r="R25" i="2"/>
  <c r="R26" i="2" s="1"/>
  <c r="M72" i="34" s="1"/>
  <c r="Q25" i="2"/>
  <c r="Q26" i="2" s="1"/>
  <c r="L72" i="34" s="1"/>
  <c r="P25" i="2"/>
  <c r="P26" i="2" s="1"/>
  <c r="K72" i="34" s="1"/>
  <c r="O25" i="2"/>
  <c r="O26" i="2" s="1"/>
  <c r="J72" i="34" s="1"/>
  <c r="N25" i="2"/>
  <c r="N26" i="2" s="1"/>
  <c r="I72" i="34" s="1"/>
  <c r="M25" i="2"/>
  <c r="M26" i="2" s="1"/>
  <c r="H72" i="34" s="1"/>
  <c r="L25" i="2"/>
  <c r="L26" i="2" s="1"/>
  <c r="G72" i="34" s="1"/>
  <c r="CI3" i="33"/>
  <c r="CI4" i="33" s="1"/>
  <c r="I62" i="34" s="1"/>
  <c r="L170" i="33"/>
  <c r="L294" i="33"/>
  <c r="L289" i="33"/>
  <c r="AB2" i="8"/>
  <c r="L296" i="33"/>
  <c r="L295" i="33"/>
  <c r="L282" i="33"/>
  <c r="L288" i="33"/>
  <c r="L291" i="33"/>
  <c r="L280" i="33"/>
  <c r="L293" i="33"/>
  <c r="L284" i="33"/>
  <c r="L292" i="33"/>
  <c r="L290" i="33"/>
  <c r="L287" i="33"/>
  <c r="L286" i="33"/>
  <c r="L285" i="33"/>
  <c r="L283" i="33"/>
  <c r="L281" i="33"/>
  <c r="L189" i="33"/>
  <c r="AU266" i="2"/>
  <c r="AB2" i="21"/>
  <c r="AW40" i="2"/>
  <c r="P7" i="2"/>
  <c r="AU229" i="2" s="1"/>
  <c r="P10" i="2"/>
  <c r="L174" i="33"/>
  <c r="L144" i="33"/>
  <c r="K197" i="33"/>
  <c r="L161" i="33"/>
  <c r="L151" i="33"/>
  <c r="L150" i="33"/>
  <c r="J171" i="33"/>
  <c r="L143" i="33"/>
  <c r="L188" i="33"/>
  <c r="L197" i="33"/>
  <c r="L171" i="33"/>
  <c r="L185" i="33"/>
  <c r="L173" i="33"/>
  <c r="L167" i="33"/>
  <c r="L137" i="33"/>
  <c r="L195" i="33"/>
  <c r="L166" i="33"/>
  <c r="L194" i="33"/>
  <c r="L187" i="33"/>
  <c r="L129" i="33"/>
  <c r="L177" i="33"/>
  <c r="L186" i="33"/>
  <c r="L131" i="33"/>
  <c r="L135" i="33"/>
  <c r="L184" i="33"/>
  <c r="L162" i="33"/>
  <c r="L175" i="33"/>
  <c r="L165" i="33"/>
  <c r="L172" i="33"/>
  <c r="L179" i="33"/>
  <c r="L133" i="33"/>
  <c r="L156" i="33"/>
  <c r="L142" i="33"/>
  <c r="L192" i="33"/>
  <c r="L168" i="33"/>
  <c r="L169" i="33"/>
  <c r="L196" i="33"/>
  <c r="L132" i="33"/>
  <c r="L190" i="33"/>
  <c r="L152" i="33"/>
  <c r="L141" i="33"/>
  <c r="L148" i="33"/>
  <c r="L147" i="33"/>
  <c r="L134" i="33"/>
  <c r="L139" i="33"/>
  <c r="L178" i="33"/>
  <c r="L130" i="33"/>
  <c r="L145" i="33"/>
  <c r="L191" i="33"/>
  <c r="L136" i="33"/>
  <c r="L193" i="33"/>
  <c r="J169" i="33"/>
  <c r="J144" i="33"/>
  <c r="J197" i="33"/>
  <c r="J170" i="33"/>
  <c r="J173" i="33"/>
  <c r="J150" i="33"/>
  <c r="J137" i="33"/>
  <c r="J130" i="33"/>
  <c r="J128" i="33"/>
  <c r="J196" i="33"/>
  <c r="J189" i="33"/>
  <c r="J195" i="33"/>
  <c r="J156" i="33"/>
  <c r="J145" i="33"/>
  <c r="J174" i="33"/>
  <c r="J188" i="33"/>
  <c r="J190" i="33"/>
  <c r="J152" i="33"/>
  <c r="J166" i="33"/>
  <c r="J149" i="33"/>
  <c r="J134" i="33"/>
  <c r="J142" i="33"/>
  <c r="J143" i="33"/>
  <c r="J155" i="33"/>
  <c r="J172" i="33"/>
  <c r="J177" i="33"/>
  <c r="J147" i="33"/>
  <c r="J179" i="33"/>
  <c r="J151" i="33"/>
  <c r="J153" i="33"/>
  <c r="J185" i="33"/>
  <c r="J168" i="33"/>
  <c r="J139" i="33"/>
  <c r="J175" i="33"/>
  <c r="J193" i="33"/>
  <c r="J191" i="33"/>
  <c r="J178" i="33"/>
  <c r="J131" i="33"/>
  <c r="J135" i="33"/>
  <c r="J129" i="33"/>
  <c r="J186" i="33"/>
  <c r="J167" i="33"/>
  <c r="J141" i="33"/>
  <c r="J154" i="33"/>
  <c r="J192" i="33"/>
  <c r="J146" i="33"/>
  <c r="J162" i="33"/>
  <c r="J133" i="33"/>
  <c r="J161" i="33"/>
  <c r="J194" i="33"/>
  <c r="J132" i="33"/>
  <c r="J165" i="33"/>
  <c r="J187" i="33"/>
  <c r="J184" i="33"/>
  <c r="J148" i="33"/>
  <c r="J138" i="33"/>
  <c r="J136" i="33"/>
  <c r="K196" i="33"/>
  <c r="K195" i="33"/>
  <c r="K144" i="33"/>
  <c r="K150" i="33"/>
  <c r="K184" i="33"/>
  <c r="K189" i="33"/>
  <c r="K170" i="33"/>
  <c r="K179" i="33"/>
  <c r="K168" i="33"/>
  <c r="K171" i="33"/>
  <c r="K174" i="33"/>
  <c r="K139" i="33"/>
  <c r="K190" i="33"/>
  <c r="K173" i="33"/>
  <c r="K135" i="33"/>
  <c r="K194" i="33"/>
  <c r="K154" i="33"/>
  <c r="K136" i="33"/>
  <c r="K178" i="33"/>
  <c r="K156" i="33"/>
  <c r="K146" i="33"/>
  <c r="K177" i="33"/>
  <c r="K191" i="33"/>
  <c r="K145" i="33"/>
  <c r="K148" i="33"/>
  <c r="K188" i="33"/>
  <c r="K193" i="33"/>
  <c r="K143" i="33"/>
  <c r="K161" i="33"/>
  <c r="K142" i="33"/>
  <c r="K169" i="33"/>
  <c r="K134" i="33"/>
  <c r="K152" i="33"/>
  <c r="K133" i="33"/>
  <c r="K138" i="33"/>
  <c r="K128" i="33"/>
  <c r="K167" i="33"/>
  <c r="K141" i="33"/>
  <c r="K187" i="33"/>
  <c r="K151" i="33"/>
  <c r="K153" i="33"/>
  <c r="K137" i="33"/>
  <c r="K155" i="33"/>
  <c r="K186" i="33"/>
  <c r="K165" i="33"/>
  <c r="K166" i="33"/>
  <c r="K192" i="33"/>
  <c r="K175" i="33"/>
  <c r="K185" i="33"/>
  <c r="K129" i="33"/>
  <c r="K132" i="33"/>
  <c r="K147" i="33"/>
  <c r="K162" i="33"/>
  <c r="K149" i="33"/>
  <c r="K131" i="33"/>
  <c r="K172" i="33"/>
  <c r="K130" i="33"/>
  <c r="L128" i="33"/>
  <c r="P13" i="2"/>
  <c r="AA422" i="2" s="1"/>
  <c r="P11" i="2"/>
  <c r="P14" i="2"/>
  <c r="P9" i="2"/>
  <c r="AA306" i="2" s="1"/>
  <c r="T7" i="2"/>
  <c r="P6" i="2"/>
  <c r="T3" i="2"/>
  <c r="AE56" i="2" s="1"/>
  <c r="T14" i="2"/>
  <c r="T11" i="2"/>
  <c r="P4" i="2"/>
  <c r="AA97" i="2" s="1"/>
  <c r="P5" i="2"/>
  <c r="AA148" i="2" s="1"/>
  <c r="T13" i="2"/>
  <c r="T5" i="2"/>
  <c r="P3" i="2"/>
  <c r="AA90" i="2" s="1"/>
  <c r="T10" i="2"/>
  <c r="AA2" i="12"/>
  <c r="AC36" i="2"/>
  <c r="BB71" i="2"/>
  <c r="T8" i="2"/>
  <c r="T4" i="2"/>
  <c r="AE113" i="2" s="1"/>
  <c r="T9" i="2"/>
  <c r="AE312" i="2" s="1"/>
  <c r="V3" i="6"/>
  <c r="U3" i="6" s="1"/>
  <c r="N2" i="2"/>
  <c r="M2" i="2"/>
  <c r="M14" i="2" s="1"/>
  <c r="U11" i="2"/>
  <c r="T89" i="2"/>
  <c r="AA2" i="16"/>
  <c r="E24" i="28"/>
  <c r="G20" i="28"/>
  <c r="F29" i="28"/>
  <c r="AA2" i="15"/>
  <c r="E20" i="28"/>
  <c r="F27" i="28"/>
  <c r="F20" i="28"/>
  <c r="AA2" i="20"/>
  <c r="Z2" i="14"/>
  <c r="C38" i="1"/>
  <c r="G7" i="28" s="1"/>
  <c r="S2" i="2"/>
  <c r="R13" i="2"/>
  <c r="AC422" i="2" s="1"/>
  <c r="R10" i="2"/>
  <c r="R5" i="2"/>
  <c r="R11" i="2"/>
  <c r="R9" i="2"/>
  <c r="AC305" i="2" s="1"/>
  <c r="R14" i="2"/>
  <c r="R7" i="2"/>
  <c r="R6" i="2"/>
  <c r="AW167" i="2" s="1"/>
  <c r="R4" i="2"/>
  <c r="AC108" i="2" s="1"/>
  <c r="AC44" i="2"/>
  <c r="R8" i="2"/>
  <c r="AW266" i="2" s="1"/>
  <c r="C36" i="1"/>
  <c r="G5" i="28" s="1"/>
  <c r="Q2" i="2"/>
  <c r="C32" i="1"/>
  <c r="C8" i="28" s="1"/>
  <c r="O2" i="2"/>
  <c r="C31" i="1"/>
  <c r="C7" i="28" s="1"/>
  <c r="C30" i="1"/>
  <c r="C6" i="28" s="1"/>
  <c r="F26" i="28"/>
  <c r="CJ3" i="33"/>
  <c r="CJ4" i="33" s="1"/>
  <c r="J62" i="34" s="1"/>
  <c r="G15" i="28"/>
  <c r="G28" i="28"/>
  <c r="FK3" i="33"/>
  <c r="FK4" i="33" s="1"/>
  <c r="H74" i="34" s="1"/>
  <c r="F28" i="28"/>
  <c r="G27" i="28"/>
  <c r="E15" i="28"/>
  <c r="E29" i="28"/>
  <c r="G29" i="28"/>
  <c r="F15" i="28"/>
  <c r="E28" i="28"/>
  <c r="E27" i="28"/>
  <c r="F18" i="28"/>
  <c r="F17" i="28"/>
  <c r="G13" i="28"/>
  <c r="E18" i="28"/>
  <c r="FI3" i="33"/>
  <c r="FI4" i="33" s="1"/>
  <c r="F74" i="34" s="1"/>
  <c r="F22" i="28"/>
  <c r="FN3" i="33"/>
  <c r="FN4" i="33" s="1"/>
  <c r="K74" i="34" s="1"/>
  <c r="G24" i="28"/>
  <c r="G21" i="28"/>
  <c r="G19" i="28"/>
  <c r="F24" i="28"/>
  <c r="F16" i="28"/>
  <c r="E16" i="28"/>
  <c r="G26" i="28"/>
  <c r="G18" i="28"/>
  <c r="G16" i="28"/>
  <c r="F13" i="28"/>
  <c r="E21" i="28"/>
  <c r="F19" i="28"/>
  <c r="G25" i="28"/>
  <c r="E17" i="28"/>
  <c r="F14" i="28"/>
  <c r="CG3" i="33"/>
  <c r="CG4" i="33" s="1"/>
  <c r="G62" i="34" s="1"/>
  <c r="CF3" i="33"/>
  <c r="CF4" i="33" s="1"/>
  <c r="F62" i="34" s="1"/>
  <c r="E14" i="28"/>
  <c r="F21" i="28"/>
  <c r="E19" i="28"/>
  <c r="E25" i="28"/>
  <c r="E13" i="28"/>
  <c r="CL3" i="33"/>
  <c r="CL4" i="33" s="1"/>
  <c r="L62" i="34" s="1"/>
  <c r="CH3" i="33"/>
  <c r="CH4" i="33" s="1"/>
  <c r="H62" i="34" s="1"/>
  <c r="FM3" i="33"/>
  <c r="FM4" i="33" s="1"/>
  <c r="J74" i="34" s="1"/>
  <c r="F23" i="28"/>
  <c r="E23" i="28"/>
  <c r="G14" i="28"/>
  <c r="E22" i="28"/>
  <c r="F25" i="28"/>
  <c r="E26" i="28"/>
  <c r="Z24" i="14"/>
  <c r="AA3" i="15"/>
  <c r="AA19" i="15"/>
  <c r="AA16" i="15"/>
  <c r="AA12" i="15"/>
  <c r="AA7" i="15"/>
  <c r="AA3" i="10"/>
  <c r="AA14" i="10"/>
  <c r="AA2" i="10"/>
  <c r="AA4" i="10"/>
  <c r="AA6" i="10"/>
  <c r="AA17" i="10"/>
  <c r="AA21" i="10"/>
  <c r="AA5" i="10"/>
  <c r="AA7" i="10"/>
  <c r="AA3" i="16"/>
  <c r="AA8" i="16"/>
  <c r="AA18" i="16"/>
  <c r="AA7" i="16"/>
  <c r="AA17" i="16"/>
  <c r="BI286" i="2"/>
  <c r="BI254" i="2"/>
  <c r="L13" i="2"/>
  <c r="W422" i="2" s="1"/>
  <c r="AC62" i="2"/>
  <c r="L3" i="2"/>
  <c r="L5" i="2"/>
  <c r="L8" i="2"/>
  <c r="FL3" i="33"/>
  <c r="FL4" i="33" s="1"/>
  <c r="I74" i="34" s="1"/>
  <c r="FP3" i="33"/>
  <c r="FP4" i="33" s="1"/>
  <c r="M74" i="34" s="1"/>
  <c r="FO3" i="33"/>
  <c r="FO4" i="33" s="1"/>
  <c r="L74" i="34" s="1"/>
  <c r="L9" i="2"/>
  <c r="W313" i="2" s="1"/>
  <c r="AC45" i="2"/>
  <c r="L10" i="2"/>
  <c r="L4" i="2"/>
  <c r="L11" i="2"/>
  <c r="W366" i="2" s="1"/>
  <c r="L7" i="2"/>
  <c r="W242" i="2" s="1"/>
  <c r="L6" i="2"/>
  <c r="W205" i="2" s="1"/>
  <c r="C28" i="1"/>
  <c r="C4" i="28" s="1"/>
  <c r="K2" i="2"/>
  <c r="AC48" i="2"/>
  <c r="AC47" i="2"/>
  <c r="AC85" i="2"/>
  <c r="AC59" i="2"/>
  <c r="AC74" i="2"/>
  <c r="AC79" i="2"/>
  <c r="AC51" i="2"/>
  <c r="AC77" i="2"/>
  <c r="AC73" i="2"/>
  <c r="AC71" i="2"/>
  <c r="AC61" i="2"/>
  <c r="AC49" i="2"/>
  <c r="AC53" i="2"/>
  <c r="AC78" i="2"/>
  <c r="AC40" i="2"/>
  <c r="AC39" i="2"/>
  <c r="AC84" i="2"/>
  <c r="AC58" i="2"/>
  <c r="AC82" i="2"/>
  <c r="AC88" i="2"/>
  <c r="AC76" i="2"/>
  <c r="AW77" i="2"/>
  <c r="AC86" i="2"/>
  <c r="AC69" i="2"/>
  <c r="AC60" i="2"/>
  <c r="AW61" i="2"/>
  <c r="AC80" i="2"/>
  <c r="AC41" i="2"/>
  <c r="AC83" i="2"/>
  <c r="AC89" i="2"/>
  <c r="AC63" i="2"/>
  <c r="AC70" i="2"/>
  <c r="AC57" i="2"/>
  <c r="AC66" i="2"/>
  <c r="AC38" i="2"/>
  <c r="AC37" i="2"/>
  <c r="AC52" i="2"/>
  <c r="AC50" i="2"/>
  <c r="AC65" i="2"/>
  <c r="AC46" i="2"/>
  <c r="AC72" i="2"/>
  <c r="AC43" i="2"/>
  <c r="AC42" i="2"/>
  <c r="AC67" i="2"/>
  <c r="AC81" i="2"/>
  <c r="AC90" i="2"/>
  <c r="AC64" i="2"/>
  <c r="AC87" i="2"/>
  <c r="AC75" i="2"/>
  <c r="AC68" i="2"/>
  <c r="AE85" i="2"/>
  <c r="AE75" i="2"/>
  <c r="AE403" i="2"/>
  <c r="AE404" i="2"/>
  <c r="Z381" i="2"/>
  <c r="AE101" i="2"/>
  <c r="AE94" i="2"/>
  <c r="AE111" i="2"/>
  <c r="AE104" i="2"/>
  <c r="AE99" i="2"/>
  <c r="AE100" i="2"/>
  <c r="AE106" i="2"/>
  <c r="DW280" i="33"/>
  <c r="EA293" i="33"/>
  <c r="DV290" i="33"/>
  <c r="DU283" i="33"/>
  <c r="EB284" i="33"/>
  <c r="EB279" i="33"/>
  <c r="EA279" i="33"/>
  <c r="DV295" i="33"/>
  <c r="DU279" i="33"/>
  <c r="G21" i="17"/>
  <c r="DY280" i="33"/>
  <c r="DU284" i="33"/>
  <c r="EA284" i="33"/>
  <c r="DW284" i="33"/>
  <c r="DV284" i="33"/>
  <c r="DW279" i="33"/>
  <c r="DZ279" i="33"/>
  <c r="DX283" i="33"/>
  <c r="DW283" i="33"/>
  <c r="DV289" i="33"/>
  <c r="EB293" i="33"/>
  <c r="DX291" i="33"/>
  <c r="DZ291" i="33"/>
  <c r="EA283" i="33"/>
  <c r="DU293" i="33"/>
  <c r="DV293" i="33"/>
  <c r="DX280" i="33"/>
  <c r="EB280" i="33"/>
  <c r="DV280" i="33"/>
  <c r="H2" i="16"/>
  <c r="EA280" i="33"/>
  <c r="DW289" i="33"/>
  <c r="DZ280" i="33"/>
  <c r="DY289" i="33"/>
  <c r="DY293" i="33"/>
  <c r="DV282" i="33"/>
  <c r="DW293" i="33"/>
  <c r="EA287" i="33"/>
  <c r="DY287" i="33"/>
  <c r="DY282" i="33"/>
  <c r="DY291" i="33"/>
  <c r="DZ282" i="33"/>
  <c r="EB287" i="33"/>
  <c r="DW282" i="33"/>
  <c r="DU282" i="33"/>
  <c r="EA282" i="33"/>
  <c r="DX282" i="33"/>
  <c r="DY283" i="33"/>
  <c r="DX293" i="33"/>
  <c r="DV279" i="33"/>
  <c r="J11" i="34"/>
  <c r="DU291" i="33"/>
  <c r="DV291" i="33"/>
  <c r="DW291" i="33"/>
  <c r="EA291" i="33"/>
  <c r="DZ283" i="33"/>
  <c r="EB283" i="33"/>
  <c r="DY279" i="33"/>
  <c r="DZ284" i="33"/>
  <c r="DX284" i="33"/>
  <c r="EB295" i="33"/>
  <c r="EA295" i="33"/>
  <c r="DW295" i="33"/>
  <c r="DZ295" i="33"/>
  <c r="DU295" i="33"/>
  <c r="DX295" i="33"/>
  <c r="DX287" i="33"/>
  <c r="DU287" i="33"/>
  <c r="DV287" i="33"/>
  <c r="DW287" i="33"/>
  <c r="EA289" i="33"/>
  <c r="EB289" i="33"/>
  <c r="DU289" i="33"/>
  <c r="DX289" i="33"/>
  <c r="U24" i="2"/>
  <c r="K19" i="1"/>
  <c r="L19" i="1"/>
  <c r="N15" i="1"/>
  <c r="P17" i="1"/>
  <c r="G18" i="1"/>
  <c r="E11" i="34"/>
  <c r="L17" i="1"/>
  <c r="G11" i="34"/>
  <c r="O15" i="1"/>
  <c r="G20" i="1"/>
  <c r="N17" i="1"/>
  <c r="H19" i="1"/>
  <c r="F11" i="34"/>
  <c r="I17" i="1"/>
  <c r="I11" i="34"/>
  <c r="H15" i="1"/>
  <c r="G15" i="1"/>
  <c r="J19" i="1"/>
  <c r="H17" i="1"/>
  <c r="G17" i="1"/>
  <c r="G19" i="1"/>
  <c r="P19" i="1"/>
  <c r="K17" i="1"/>
  <c r="N19" i="1"/>
  <c r="J17" i="1"/>
  <c r="P15" i="1"/>
  <c r="G16" i="1"/>
  <c r="I19" i="1"/>
  <c r="I15" i="1"/>
  <c r="H11" i="34"/>
  <c r="DZ290" i="33"/>
  <c r="DU290" i="33"/>
  <c r="DW290" i="33"/>
  <c r="DX290" i="33"/>
  <c r="DY290" i="33"/>
  <c r="EA290" i="33"/>
  <c r="DW288" i="33"/>
  <c r="DX288" i="33"/>
  <c r="DU288" i="33"/>
  <c r="DV288" i="33"/>
  <c r="DY288" i="33"/>
  <c r="EA288" i="33"/>
  <c r="EB288" i="33"/>
  <c r="DZ288" i="33"/>
  <c r="DV292" i="33"/>
  <c r="DZ292" i="33"/>
  <c r="EB292" i="33"/>
  <c r="DY292" i="33"/>
  <c r="EA292" i="33"/>
  <c r="DU292" i="33"/>
  <c r="DX292" i="33"/>
  <c r="DX3" i="33" s="1"/>
  <c r="DX4" i="33" s="1"/>
  <c r="I68" i="34" s="1"/>
  <c r="DW292" i="33"/>
  <c r="DZ294" i="33"/>
  <c r="DX294" i="33"/>
  <c r="DY294" i="33"/>
  <c r="DW294" i="33"/>
  <c r="DU294" i="33"/>
  <c r="DV294" i="33"/>
  <c r="EA294" i="33"/>
  <c r="EB294" i="33"/>
  <c r="EA281" i="33"/>
  <c r="DX281" i="33"/>
  <c r="DW281" i="33"/>
  <c r="DZ281" i="33"/>
  <c r="DY281" i="33"/>
  <c r="DV281" i="33"/>
  <c r="DU281" i="33"/>
  <c r="EB281" i="33"/>
  <c r="DU285" i="33"/>
  <c r="EA285" i="33"/>
  <c r="DZ285" i="33"/>
  <c r="DX285" i="33"/>
  <c r="DW285" i="33"/>
  <c r="EB285" i="33"/>
  <c r="DY285" i="33"/>
  <c r="DV285" i="33"/>
  <c r="DX286" i="33"/>
  <c r="DZ286" i="33"/>
  <c r="EB286" i="33"/>
  <c r="DU286" i="33"/>
  <c r="DY286" i="33"/>
  <c r="EA286" i="33"/>
  <c r="DW286" i="33"/>
  <c r="DV286" i="33"/>
  <c r="AA275" i="2"/>
  <c r="N57" i="28" s="1"/>
  <c r="AA252" i="2"/>
  <c r="N34" i="28" s="1"/>
  <c r="AA271" i="2"/>
  <c r="N53" i="28" s="1"/>
  <c r="AA256" i="2"/>
  <c r="N38" i="28" s="1"/>
  <c r="AA273" i="2"/>
  <c r="N55" i="28" s="1"/>
  <c r="AA291" i="2"/>
  <c r="N73" i="28" s="1"/>
  <c r="AA269" i="2"/>
  <c r="N51" i="28" s="1"/>
  <c r="AA299" i="2"/>
  <c r="N81" i="28" s="1"/>
  <c r="AA292" i="2"/>
  <c r="N74" i="28" s="1"/>
  <c r="AA277" i="2"/>
  <c r="N59" i="28" s="1"/>
  <c r="AA287" i="2"/>
  <c r="N69" i="28" s="1"/>
  <c r="AA289" i="2"/>
  <c r="N71" i="28" s="1"/>
  <c r="AA296" i="2"/>
  <c r="N78" i="28" s="1"/>
  <c r="AA297" i="2"/>
  <c r="N79" i="28" s="1"/>
  <c r="AA285" i="2"/>
  <c r="N67" i="28" s="1"/>
  <c r="AA293" i="2"/>
  <c r="N75" i="28" s="1"/>
  <c r="AA295" i="2"/>
  <c r="N77" i="28" s="1"/>
  <c r="AA253" i="2"/>
  <c r="N35" i="28" s="1"/>
  <c r="AA272" i="2"/>
  <c r="N54" i="28" s="1"/>
  <c r="AA282" i="2"/>
  <c r="N64" i="28" s="1"/>
  <c r="AA251" i="2"/>
  <c r="N33" i="28" s="1"/>
  <c r="AA270" i="2"/>
  <c r="N52" i="28" s="1"/>
  <c r="AA284" i="2"/>
  <c r="N66" i="28" s="1"/>
  <c r="AA274" i="2"/>
  <c r="N56" i="28" s="1"/>
  <c r="AA278" i="2"/>
  <c r="N60" i="28" s="1"/>
  <c r="AA280" i="2"/>
  <c r="N62" i="28" s="1"/>
  <c r="AU274" i="2"/>
  <c r="AA290" i="2"/>
  <c r="N72" i="28" s="1"/>
  <c r="AA286" i="2"/>
  <c r="N68" i="28" s="1"/>
  <c r="AA298" i="2"/>
  <c r="N80" i="28" s="1"/>
  <c r="AA268" i="2"/>
  <c r="N50" i="28" s="1"/>
  <c r="AA294" i="2"/>
  <c r="N76" i="28" s="1"/>
  <c r="AA254" i="2"/>
  <c r="N36" i="28" s="1"/>
  <c r="AA276" i="2"/>
  <c r="N58" i="28" s="1"/>
  <c r="AA255" i="2"/>
  <c r="N37" i="28" s="1"/>
  <c r="AA267" i="2"/>
  <c r="N49" i="28" s="1"/>
  <c r="C73" i="34"/>
  <c r="C24" i="2"/>
  <c r="BN8" i="33"/>
  <c r="BN9" i="33" s="1"/>
  <c r="AX8" i="33"/>
  <c r="AX9" i="33" s="1"/>
  <c r="AF8" i="33"/>
  <c r="AF9" i="33" s="1"/>
  <c r="AG8" i="33"/>
  <c r="AG9" i="33" s="1"/>
  <c r="AH8" i="33"/>
  <c r="AH9" i="33" s="1"/>
  <c r="D8" i="33"/>
  <c r="D9" i="33" s="1"/>
  <c r="FE8" i="33"/>
  <c r="FE9" i="33" s="1"/>
  <c r="EH8" i="33"/>
  <c r="EH9" i="33" s="1"/>
  <c r="DS8" i="33"/>
  <c r="DS9" i="33" s="1"/>
  <c r="CU8" i="33"/>
  <c r="CU9" i="33" s="1"/>
  <c r="CF8" i="33"/>
  <c r="CF9" i="33" s="1"/>
  <c r="BI8" i="33"/>
  <c r="BI9" i="33" s="1"/>
  <c r="AP8" i="33"/>
  <c r="AP9" i="33" s="1"/>
  <c r="Y8" i="33"/>
  <c r="Y9" i="33" s="1"/>
  <c r="P8" i="33"/>
  <c r="P9" i="33" s="1"/>
  <c r="FM8" i="33"/>
  <c r="FM9" i="33" s="1"/>
  <c r="EP8" i="33"/>
  <c r="EP9" i="33" s="1"/>
  <c r="CL8" i="33"/>
  <c r="CL9" i="33" s="1"/>
  <c r="BO8" i="33"/>
  <c r="BO9" i="33" s="1"/>
  <c r="AY8" i="33"/>
  <c r="AY9" i="33" s="1"/>
  <c r="AZ8" i="33"/>
  <c r="AZ9" i="33" s="1"/>
  <c r="BA8" i="33"/>
  <c r="BA9" i="33" s="1"/>
  <c r="AI8" i="33"/>
  <c r="AI9" i="33" s="1"/>
  <c r="R8" i="33"/>
  <c r="R9" i="33" s="1"/>
  <c r="E8" i="33"/>
  <c r="E9" i="33" s="1"/>
  <c r="FF8" i="33"/>
  <c r="FF9" i="33" s="1"/>
  <c r="EI8" i="33"/>
  <c r="EI9" i="33" s="1"/>
  <c r="DT8" i="33"/>
  <c r="DT9" i="33" s="1"/>
  <c r="CW8" i="33"/>
  <c r="CW9" i="33" s="1"/>
  <c r="CG8" i="33"/>
  <c r="CG9" i="33" s="1"/>
  <c r="BJ8" i="33"/>
  <c r="BJ9" i="33" s="1"/>
  <c r="AQ8" i="33"/>
  <c r="AQ9" i="33" s="1"/>
  <c r="Z8" i="33"/>
  <c r="Z9" i="33" s="1"/>
  <c r="Q8" i="33"/>
  <c r="Q9" i="33" s="1"/>
  <c r="FN8" i="33"/>
  <c r="FN9" i="33" s="1"/>
  <c r="DC8" i="33"/>
  <c r="DC9" i="33" s="1"/>
  <c r="CM8" i="33"/>
  <c r="CM9" i="33" s="1"/>
  <c r="BX8" i="33"/>
  <c r="BX9" i="33" s="1"/>
  <c r="BY8" i="33"/>
  <c r="BY9" i="33" s="1"/>
  <c r="BZ8" i="33"/>
  <c r="BZ9" i="33" s="1"/>
  <c r="BB8" i="33"/>
  <c r="BB9" i="33" s="1"/>
  <c r="AJ8" i="33"/>
  <c r="AJ9" i="33" s="1"/>
  <c r="S8" i="33"/>
  <c r="S9" i="33" s="1"/>
  <c r="G8" i="33"/>
  <c r="G9" i="33" s="1"/>
  <c r="FG8" i="33"/>
  <c r="FG9" i="33" s="1"/>
  <c r="EJ8" i="33"/>
  <c r="EJ9" i="33" s="1"/>
  <c r="DU8" i="33"/>
  <c r="DU9" i="33" s="1"/>
  <c r="CX8" i="33"/>
  <c r="CX9" i="33" s="1"/>
  <c r="CH8" i="33"/>
  <c r="CH9" i="33" s="1"/>
  <c r="BK8" i="33"/>
  <c r="BK9" i="33" s="1"/>
  <c r="AU8" i="33"/>
  <c r="AU9" i="33" s="1"/>
  <c r="AA8" i="33"/>
  <c r="AA9" i="33" s="1"/>
  <c r="EA8" i="33"/>
  <c r="EA9" i="33" s="1"/>
  <c r="DD8" i="33"/>
  <c r="DD9" i="33" s="1"/>
  <c r="CN8" i="33"/>
  <c r="CN9" i="33" s="1"/>
  <c r="CO8" i="33"/>
  <c r="CO9" i="33" s="1"/>
  <c r="CP8" i="33"/>
  <c r="CP9" i="33" s="1"/>
  <c r="CA8" i="33"/>
  <c r="CA9" i="33" s="1"/>
  <c r="BC8" i="33"/>
  <c r="BC9" i="33" s="1"/>
  <c r="AK8" i="33"/>
  <c r="AK9" i="33" s="1"/>
  <c r="F8" i="33"/>
  <c r="F9" i="33" s="1"/>
  <c r="H8" i="33"/>
  <c r="H9" i="33" s="1"/>
  <c r="FH8" i="33"/>
  <c r="FH9" i="33" s="1"/>
  <c r="EK8" i="33"/>
  <c r="EK9" i="33" s="1"/>
  <c r="DV8" i="33"/>
  <c r="DV9" i="33" s="1"/>
  <c r="CY8" i="33"/>
  <c r="CY9" i="33" s="1"/>
  <c r="CI8" i="33"/>
  <c r="CI9" i="33" s="1"/>
  <c r="BL8" i="33"/>
  <c r="BL9" i="33" s="1"/>
  <c r="AV8" i="33"/>
  <c r="AV9" i="33" s="1"/>
  <c r="B8" i="33"/>
  <c r="B9" i="33" s="1"/>
  <c r="EQ8" i="33"/>
  <c r="EQ9" i="33" s="1"/>
  <c r="EB8" i="33"/>
  <c r="EB9" i="33" s="1"/>
  <c r="DM8" i="33"/>
  <c r="DM9" i="33" s="1"/>
  <c r="DN8" i="33"/>
  <c r="DN9" i="33" s="1"/>
  <c r="DO8" i="33"/>
  <c r="DO9" i="33" s="1"/>
  <c r="CQ8" i="33"/>
  <c r="CQ9" i="33" s="1"/>
  <c r="CB8" i="33"/>
  <c r="CB9" i="33" s="1"/>
  <c r="BD8" i="33"/>
  <c r="BD9" i="33" s="1"/>
  <c r="AL8" i="33"/>
  <c r="AL9" i="33" s="1"/>
  <c r="I8" i="33"/>
  <c r="I9" i="33" s="1"/>
  <c r="FI8" i="33"/>
  <c r="FI9" i="33" s="1"/>
  <c r="EL8" i="33"/>
  <c r="EL9" i="33" s="1"/>
  <c r="DW8" i="33"/>
  <c r="DW9" i="33" s="1"/>
  <c r="CZ8" i="33"/>
  <c r="CZ9" i="33" s="1"/>
  <c r="CJ8" i="33"/>
  <c r="CJ9" i="33" s="1"/>
  <c r="BM8" i="33"/>
  <c r="BM9" i="33" s="1"/>
  <c r="FO8" i="33"/>
  <c r="FO9" i="33" s="1"/>
  <c r="ER8" i="33"/>
  <c r="ER9" i="33" s="1"/>
  <c r="EC8" i="33"/>
  <c r="EC9" i="33" s="1"/>
  <c r="ED8" i="33"/>
  <c r="ED9" i="33" s="1"/>
  <c r="EE8" i="33"/>
  <c r="EE9" i="33" s="1"/>
  <c r="DP8" i="33"/>
  <c r="DP9" i="33" s="1"/>
  <c r="CR8" i="33"/>
  <c r="CR9" i="33" s="1"/>
  <c r="CC8" i="33"/>
  <c r="CC9" i="33" s="1"/>
  <c r="BE8" i="33"/>
  <c r="BE9" i="33" s="1"/>
  <c r="AM8" i="33"/>
  <c r="AM9" i="33" s="1"/>
  <c r="T8" i="33"/>
  <c r="T9" i="33" s="1"/>
  <c r="M8" i="33"/>
  <c r="M9" i="33" s="1"/>
  <c r="FJ8" i="33"/>
  <c r="FJ9" i="33" s="1"/>
  <c r="EM8" i="33"/>
  <c r="EM9" i="33" s="1"/>
  <c r="DX8" i="33"/>
  <c r="DX9" i="33" s="1"/>
  <c r="DA8" i="33"/>
  <c r="DA9" i="33" s="1"/>
  <c r="CK8" i="33"/>
  <c r="CK9" i="33" s="1"/>
  <c r="AB8" i="33"/>
  <c r="AB9" i="33" s="1"/>
  <c r="FP8" i="33"/>
  <c r="FP9" i="33" s="1"/>
  <c r="FA8" i="33"/>
  <c r="FA9" i="33" s="1"/>
  <c r="FB8" i="33"/>
  <c r="FB9" i="33" s="1"/>
  <c r="FC8" i="33"/>
  <c r="FC9" i="33" s="1"/>
  <c r="EF8" i="33"/>
  <c r="EF9" i="33" s="1"/>
  <c r="DQ8" i="33"/>
  <c r="DQ9" i="33" s="1"/>
  <c r="CS8" i="33"/>
  <c r="CS9" i="33" s="1"/>
  <c r="CD8" i="33"/>
  <c r="CD9" i="33" s="1"/>
  <c r="BF8" i="33"/>
  <c r="BF9" i="33" s="1"/>
  <c r="AN8" i="33"/>
  <c r="AN9" i="33" s="1"/>
  <c r="U8" i="33"/>
  <c r="U9" i="33" s="1"/>
  <c r="N8" i="33"/>
  <c r="N9" i="33" s="1"/>
  <c r="FK8" i="33"/>
  <c r="FK9" i="33" s="1"/>
  <c r="EN8" i="33"/>
  <c r="EN9" i="33" s="1"/>
  <c r="DY8" i="33"/>
  <c r="DY9" i="33" s="1"/>
  <c r="DB8" i="33"/>
  <c r="DB9" i="33" s="1"/>
  <c r="AW8" i="33"/>
  <c r="AW9" i="33" s="1"/>
  <c r="AE8" i="33"/>
  <c r="AE9" i="33" s="1"/>
  <c r="C8" i="33"/>
  <c r="C9" i="33" s="1"/>
  <c r="FD8" i="33"/>
  <c r="FD9" i="33" s="1"/>
  <c r="EG8" i="33"/>
  <c r="EG9" i="33" s="1"/>
  <c r="DR8" i="33"/>
  <c r="DR9" i="33" s="1"/>
  <c r="CT8" i="33"/>
  <c r="CT9" i="33" s="1"/>
  <c r="CE8" i="33"/>
  <c r="CE9" i="33" s="1"/>
  <c r="BH8" i="33"/>
  <c r="BH9" i="33" s="1"/>
  <c r="AO8" i="33"/>
  <c r="AO9" i="33" s="1"/>
  <c r="X8" i="33"/>
  <c r="X9" i="33" s="1"/>
  <c r="O8" i="33"/>
  <c r="O9" i="33" s="1"/>
  <c r="FL8" i="33"/>
  <c r="FL9" i="33" s="1"/>
  <c r="EO8" i="33"/>
  <c r="EO9" i="33" s="1"/>
  <c r="DZ8" i="33"/>
  <c r="DZ9" i="33" s="1"/>
  <c r="AF6" i="33"/>
  <c r="AF7" i="33" s="1"/>
  <c r="AG6" i="33"/>
  <c r="AG7" i="33" s="1"/>
  <c r="C6" i="33"/>
  <c r="C7" i="33" s="1"/>
  <c r="FD6" i="33"/>
  <c r="FD7" i="33" s="1"/>
  <c r="EG6" i="33"/>
  <c r="EG7" i="33" s="1"/>
  <c r="DR6" i="33"/>
  <c r="DR7" i="33" s="1"/>
  <c r="CT6" i="33"/>
  <c r="CT7" i="33" s="1"/>
  <c r="CE6" i="33"/>
  <c r="CE7" i="33" s="1"/>
  <c r="BH6" i="33"/>
  <c r="BH7" i="33" s="1"/>
  <c r="AO6" i="33"/>
  <c r="AO7" i="33" s="1"/>
  <c r="X6" i="33"/>
  <c r="X7" i="33" s="1"/>
  <c r="O6" i="33"/>
  <c r="O7" i="33" s="1"/>
  <c r="FL6" i="33"/>
  <c r="FL7" i="33" s="1"/>
  <c r="EO6" i="33"/>
  <c r="EO7" i="33" s="1"/>
  <c r="DZ6" i="33"/>
  <c r="DZ7" i="33" s="1"/>
  <c r="DC6" i="33"/>
  <c r="DC7" i="33" s="1"/>
  <c r="CM6" i="33"/>
  <c r="CM7" i="33" s="1"/>
  <c r="AY6" i="33"/>
  <c r="AY7" i="33" s="1"/>
  <c r="AZ6" i="33"/>
  <c r="AZ7" i="33" s="1"/>
  <c r="AH6" i="33"/>
  <c r="AH7" i="33" s="1"/>
  <c r="D6" i="33"/>
  <c r="D7" i="33" s="1"/>
  <c r="FE6" i="33"/>
  <c r="FE7" i="33" s="1"/>
  <c r="EH6" i="33"/>
  <c r="EH7" i="33" s="1"/>
  <c r="DS6" i="33"/>
  <c r="DS7" i="33" s="1"/>
  <c r="CU6" i="33"/>
  <c r="CU7" i="33" s="1"/>
  <c r="CF6" i="33"/>
  <c r="CF7" i="33" s="1"/>
  <c r="BI6" i="33"/>
  <c r="BI7" i="33" s="1"/>
  <c r="AP6" i="33"/>
  <c r="AP7" i="33" s="1"/>
  <c r="Y6" i="33"/>
  <c r="Y7" i="33" s="1"/>
  <c r="P6" i="33"/>
  <c r="P7" i="33" s="1"/>
  <c r="FM6" i="33"/>
  <c r="FM7" i="33" s="1"/>
  <c r="EP6" i="33"/>
  <c r="EP7" i="33" s="1"/>
  <c r="EA6" i="33"/>
  <c r="EA7" i="33" s="1"/>
  <c r="DD6" i="33"/>
  <c r="DD7" i="33" s="1"/>
  <c r="BX6" i="33"/>
  <c r="BX7" i="33" s="1"/>
  <c r="BY6" i="33"/>
  <c r="BY7" i="33" s="1"/>
  <c r="BA6" i="33"/>
  <c r="BA7" i="33" s="1"/>
  <c r="AI6" i="33"/>
  <c r="AI7" i="33" s="1"/>
  <c r="R6" i="33"/>
  <c r="R7" i="33" s="1"/>
  <c r="E6" i="33"/>
  <c r="E7" i="33" s="1"/>
  <c r="FF6" i="33"/>
  <c r="FF7" i="33" s="1"/>
  <c r="EI6" i="33"/>
  <c r="EI7" i="33" s="1"/>
  <c r="DT6" i="33"/>
  <c r="DT7" i="33" s="1"/>
  <c r="CW6" i="33"/>
  <c r="CW7" i="33" s="1"/>
  <c r="CG6" i="33"/>
  <c r="CG7" i="33" s="1"/>
  <c r="BJ6" i="33"/>
  <c r="BJ7" i="33" s="1"/>
  <c r="AQ6" i="33"/>
  <c r="AQ7" i="33" s="1"/>
  <c r="Z6" i="33"/>
  <c r="Z7" i="33" s="1"/>
  <c r="Q6" i="33"/>
  <c r="Q7" i="33" s="1"/>
  <c r="FN6" i="33"/>
  <c r="FN7" i="33" s="1"/>
  <c r="EQ6" i="33"/>
  <c r="EQ7" i="33" s="1"/>
  <c r="EB6" i="33"/>
  <c r="EB7" i="33" s="1"/>
  <c r="CN6" i="33"/>
  <c r="CN7" i="33" s="1"/>
  <c r="CO6" i="33"/>
  <c r="CO7" i="33" s="1"/>
  <c r="BZ6" i="33"/>
  <c r="BZ7" i="33" s="1"/>
  <c r="BB6" i="33"/>
  <c r="BB7" i="33" s="1"/>
  <c r="AJ6" i="33"/>
  <c r="AJ7" i="33" s="1"/>
  <c r="S6" i="33"/>
  <c r="S7" i="33" s="1"/>
  <c r="G6" i="33"/>
  <c r="G7" i="33" s="1"/>
  <c r="FG6" i="33"/>
  <c r="FG7" i="33" s="1"/>
  <c r="EJ6" i="33"/>
  <c r="EJ7" i="33" s="1"/>
  <c r="DU6" i="33"/>
  <c r="DU7" i="33" s="1"/>
  <c r="CX6" i="33"/>
  <c r="CX7" i="33" s="1"/>
  <c r="CH6" i="33"/>
  <c r="CH7" i="33" s="1"/>
  <c r="BK6" i="33"/>
  <c r="BK7" i="33" s="1"/>
  <c r="AU6" i="33"/>
  <c r="AU7" i="33" s="1"/>
  <c r="AA6" i="33"/>
  <c r="AA7" i="33" s="1"/>
  <c r="FO6" i="33"/>
  <c r="FO7" i="33" s="1"/>
  <c r="ER6" i="33"/>
  <c r="ER7" i="33" s="1"/>
  <c r="DM6" i="33"/>
  <c r="DM7" i="33" s="1"/>
  <c r="DN6" i="33"/>
  <c r="DN7" i="33" s="1"/>
  <c r="CP6" i="33"/>
  <c r="CP7" i="33" s="1"/>
  <c r="CA6" i="33"/>
  <c r="CA7" i="33" s="1"/>
  <c r="BC6" i="33"/>
  <c r="BC7" i="33" s="1"/>
  <c r="AK6" i="33"/>
  <c r="AK7" i="33" s="1"/>
  <c r="F6" i="33"/>
  <c r="F7" i="33" s="1"/>
  <c r="H6" i="33"/>
  <c r="H7" i="33" s="1"/>
  <c r="FH6" i="33"/>
  <c r="FH7" i="33" s="1"/>
  <c r="EK6" i="33"/>
  <c r="EK7" i="33" s="1"/>
  <c r="DV6" i="33"/>
  <c r="DV7" i="33" s="1"/>
  <c r="CY6" i="33"/>
  <c r="CY7" i="33" s="1"/>
  <c r="CI6" i="33"/>
  <c r="CI7" i="33" s="1"/>
  <c r="BL6" i="33"/>
  <c r="BL7" i="33" s="1"/>
  <c r="AV6" i="33"/>
  <c r="AV7" i="33" s="1"/>
  <c r="AB6" i="33"/>
  <c r="AB7" i="33" s="1"/>
  <c r="EC6" i="33"/>
  <c r="EC7" i="33" s="1"/>
  <c r="ED6" i="33"/>
  <c r="ED7" i="33" s="1"/>
  <c r="DO6" i="33"/>
  <c r="DO7" i="33" s="1"/>
  <c r="CQ6" i="33"/>
  <c r="CQ7" i="33" s="1"/>
  <c r="CB6" i="33"/>
  <c r="CB7" i="33" s="1"/>
  <c r="BD6" i="33"/>
  <c r="BD7" i="33" s="1"/>
  <c r="AL6" i="33"/>
  <c r="AL7" i="33" s="1"/>
  <c r="I6" i="33"/>
  <c r="I7" i="33" s="1"/>
  <c r="FI6" i="33"/>
  <c r="FI7" i="33" s="1"/>
  <c r="EL6" i="33"/>
  <c r="EL7" i="33" s="1"/>
  <c r="DW6" i="33"/>
  <c r="DW7" i="33" s="1"/>
  <c r="CZ6" i="33"/>
  <c r="CZ7" i="33" s="1"/>
  <c r="CJ6" i="33"/>
  <c r="CJ7" i="33" s="1"/>
  <c r="BM6" i="33"/>
  <c r="BM7" i="33" s="1"/>
  <c r="AW6" i="33"/>
  <c r="AW7" i="33" s="1"/>
  <c r="AE6" i="33"/>
  <c r="AE7" i="33" s="1"/>
  <c r="FA6" i="33"/>
  <c r="FA7" i="33" s="1"/>
  <c r="FB6" i="33"/>
  <c r="FB7" i="33" s="1"/>
  <c r="EE6" i="33"/>
  <c r="EE7" i="33" s="1"/>
  <c r="DP6" i="33"/>
  <c r="DP7" i="33" s="1"/>
  <c r="CR6" i="33"/>
  <c r="CR7" i="33" s="1"/>
  <c r="CC6" i="33"/>
  <c r="CC7" i="33" s="1"/>
  <c r="BE6" i="33"/>
  <c r="BE7" i="33" s="1"/>
  <c r="AM6" i="33"/>
  <c r="AM7" i="33" s="1"/>
  <c r="T6" i="33"/>
  <c r="T7" i="33" s="1"/>
  <c r="M6" i="33"/>
  <c r="M7" i="33" s="1"/>
  <c r="FJ6" i="33"/>
  <c r="FJ7" i="33" s="1"/>
  <c r="EM6" i="33"/>
  <c r="EM7" i="33" s="1"/>
  <c r="DX6" i="33"/>
  <c r="DX7" i="33" s="1"/>
  <c r="DA6" i="33"/>
  <c r="DA7" i="33" s="1"/>
  <c r="CK6" i="33"/>
  <c r="CK7" i="33" s="1"/>
  <c r="BN6" i="33"/>
  <c r="BN7" i="33" s="1"/>
  <c r="AX6" i="33"/>
  <c r="AX7" i="33" s="1"/>
  <c r="FP6" i="33"/>
  <c r="FP7" i="33" s="1"/>
  <c r="FC6" i="33"/>
  <c r="FC7" i="33" s="1"/>
  <c r="EF6" i="33"/>
  <c r="EF7" i="33" s="1"/>
  <c r="DQ6" i="33"/>
  <c r="DQ7" i="33" s="1"/>
  <c r="CS6" i="33"/>
  <c r="CS7" i="33" s="1"/>
  <c r="CD6" i="33"/>
  <c r="CD7" i="33" s="1"/>
  <c r="BF6" i="33"/>
  <c r="BF7" i="33" s="1"/>
  <c r="AN6" i="33"/>
  <c r="AN7" i="33" s="1"/>
  <c r="U6" i="33"/>
  <c r="U7" i="33" s="1"/>
  <c r="N6" i="33"/>
  <c r="N7" i="33" s="1"/>
  <c r="FK6" i="33"/>
  <c r="FK7" i="33" s="1"/>
  <c r="EN6" i="33"/>
  <c r="EN7" i="33" s="1"/>
  <c r="DY6" i="33"/>
  <c r="DY7" i="33" s="1"/>
  <c r="DB6" i="33"/>
  <c r="DB7" i="33" s="1"/>
  <c r="CL6" i="33"/>
  <c r="CL7" i="33" s="1"/>
  <c r="BO6" i="33"/>
  <c r="BO7" i="33" s="1"/>
  <c r="B6" i="33"/>
  <c r="B7" i="33" s="1"/>
  <c r="AK327" i="6" l="1"/>
  <c r="AE412" i="2"/>
  <c r="AE402" i="2"/>
  <c r="AA419" i="2"/>
  <c r="AA384" i="2"/>
  <c r="AA412" i="2"/>
  <c r="AA402" i="2"/>
  <c r="AA398" i="2"/>
  <c r="AA429" i="2"/>
  <c r="W412" i="2"/>
  <c r="W402" i="2"/>
  <c r="W429" i="2"/>
  <c r="W384" i="2"/>
  <c r="W398" i="2"/>
  <c r="AC384" i="2"/>
  <c r="AC412" i="2"/>
  <c r="AC402" i="2"/>
  <c r="AC429" i="2"/>
  <c r="AC398" i="2"/>
  <c r="AU242" i="2"/>
  <c r="AA240" i="2"/>
  <c r="AU234" i="2"/>
  <c r="AA246" i="2"/>
  <c r="AA229" i="2"/>
  <c r="AU238" i="2"/>
  <c r="AA233" i="2"/>
  <c r="AA235" i="2"/>
  <c r="AA237" i="2"/>
  <c r="AC354" i="2"/>
  <c r="AC366" i="2"/>
  <c r="AE415" i="2"/>
  <c r="AE366" i="2"/>
  <c r="AA374" i="2"/>
  <c r="AA366" i="2"/>
  <c r="AS175" i="6"/>
  <c r="AS177" i="6" s="1"/>
  <c r="AQ327" i="6"/>
  <c r="AA244" i="2"/>
  <c r="K282" i="33"/>
  <c r="K280" i="33"/>
  <c r="K281" i="33"/>
  <c r="K283" i="33"/>
  <c r="K287" i="33"/>
  <c r="K286" i="33"/>
  <c r="K293" i="33"/>
  <c r="K284" i="33"/>
  <c r="K285" i="33"/>
  <c r="K294" i="33"/>
  <c r="K291" i="33"/>
  <c r="K290" i="33"/>
  <c r="K295" i="33"/>
  <c r="K279" i="33"/>
  <c r="K288" i="33"/>
  <c r="K289" i="33"/>
  <c r="DU3" i="33"/>
  <c r="DU4" i="33" s="1"/>
  <c r="F68" i="34" s="1"/>
  <c r="K292" i="33"/>
  <c r="W284" i="2"/>
  <c r="J66" i="28" s="1"/>
  <c r="BE259" i="2"/>
  <c r="AW274" i="2"/>
  <c r="BK259" i="2"/>
  <c r="AE275" i="2"/>
  <c r="AE276" i="2"/>
  <c r="AE272" i="2"/>
  <c r="AE273" i="2"/>
  <c r="AE274" i="2"/>
  <c r="AE298" i="2"/>
  <c r="AA151" i="2"/>
  <c r="AA205" i="2"/>
  <c r="AC204" i="2"/>
  <c r="AC205" i="2"/>
  <c r="AE206" i="2"/>
  <c r="AE205" i="2"/>
  <c r="AW234" i="2"/>
  <c r="AW222" i="2"/>
  <c r="AW226" i="2"/>
  <c r="AW247" i="2"/>
  <c r="AW218" i="2"/>
  <c r="BC305" i="2"/>
  <c r="AU226" i="2"/>
  <c r="AU222" i="2"/>
  <c r="AU247" i="2"/>
  <c r="AU218" i="2"/>
  <c r="AE43" i="2"/>
  <c r="AE38" i="2"/>
  <c r="BB57" i="2"/>
  <c r="AE66" i="2"/>
  <c r="AE48" i="2"/>
  <c r="AE58" i="2"/>
  <c r="AE71" i="2"/>
  <c r="L30" i="2"/>
  <c r="L31" i="2" s="1"/>
  <c r="AU77" i="2"/>
  <c r="AA230" i="2"/>
  <c r="AA232" i="2"/>
  <c r="AA223" i="2"/>
  <c r="AA241" i="2"/>
  <c r="AA234" i="2"/>
  <c r="AA236" i="2"/>
  <c r="R30" i="2"/>
  <c r="R31" i="2" s="1"/>
  <c r="AA181" i="2"/>
  <c r="AA169" i="2"/>
  <c r="AA220" i="2"/>
  <c r="AA176" i="2"/>
  <c r="AA217" i="2"/>
  <c r="AA423" i="2"/>
  <c r="AA388" i="2"/>
  <c r="AE67" i="2"/>
  <c r="AE44" i="2"/>
  <c r="AA387" i="2"/>
  <c r="AE54" i="2"/>
  <c r="AE50" i="2"/>
  <c r="AE60" i="2"/>
  <c r="AE80" i="2"/>
  <c r="AA396" i="2"/>
  <c r="Q3" i="6"/>
  <c r="AJ84" i="6" s="1"/>
  <c r="AA397" i="2"/>
  <c r="AA394" i="2"/>
  <c r="AE64" i="2"/>
  <c r="AE82" i="2"/>
  <c r="T30" i="2"/>
  <c r="T31" i="2" s="1"/>
  <c r="O52" i="34" s="1"/>
  <c r="BD174" i="2"/>
  <c r="AE59" i="2"/>
  <c r="AE357" i="2"/>
  <c r="AE37" i="2"/>
  <c r="AA401" i="2"/>
  <c r="AE79" i="2"/>
  <c r="AE51" i="2"/>
  <c r="AE41" i="2"/>
  <c r="AE70" i="2"/>
  <c r="AA405" i="2"/>
  <c r="AE69" i="2"/>
  <c r="AE65" i="2"/>
  <c r="AE73" i="2"/>
  <c r="AE129" i="2"/>
  <c r="AE148" i="2"/>
  <c r="AE49" i="2"/>
  <c r="AE364" i="2"/>
  <c r="AA356" i="2"/>
  <c r="AA417" i="2"/>
  <c r="AE47" i="2"/>
  <c r="AE78" i="2"/>
  <c r="AE87" i="2"/>
  <c r="AE86" i="2"/>
  <c r="AE77" i="2"/>
  <c r="AE46" i="2"/>
  <c r="AE57" i="2"/>
  <c r="AE84" i="2"/>
  <c r="AE42" i="2"/>
  <c r="AE40" i="2"/>
  <c r="BD46" i="2"/>
  <c r="T90" i="2"/>
  <c r="AE81" i="2"/>
  <c r="AA369" i="2"/>
  <c r="AE72" i="2"/>
  <c r="AE39" i="2"/>
  <c r="BD64" i="2"/>
  <c r="AA368" i="2"/>
  <c r="AE63" i="2"/>
  <c r="BD71" i="2"/>
  <c r="AE52" i="2"/>
  <c r="AE83" i="2"/>
  <c r="AW163" i="2"/>
  <c r="AW181" i="2"/>
  <c r="AA371" i="2"/>
  <c r="AA158" i="2"/>
  <c r="AA375" i="2"/>
  <c r="AA188" i="2"/>
  <c r="AA206" i="2"/>
  <c r="AA359" i="2"/>
  <c r="AA204" i="2"/>
  <c r="AA201" i="2"/>
  <c r="AA357" i="2"/>
  <c r="AA389" i="2"/>
  <c r="AA370" i="2"/>
  <c r="AA355" i="2"/>
  <c r="AA203" i="2"/>
  <c r="AA353" i="2"/>
  <c r="AA219" i="2"/>
  <c r="AA362" i="2"/>
  <c r="AA358" i="2"/>
  <c r="AA361" i="2"/>
  <c r="AA360" i="2"/>
  <c r="AA390" i="2"/>
  <c r="AA351" i="2"/>
  <c r="AA352" i="2"/>
  <c r="AA373" i="2"/>
  <c r="AA400" i="2"/>
  <c r="AA427" i="2"/>
  <c r="AA367" i="2"/>
  <c r="AA365" i="2"/>
  <c r="AA426" i="2"/>
  <c r="AA354" i="2"/>
  <c r="AA379" i="2"/>
  <c r="AA382" i="2"/>
  <c r="AA372" i="2"/>
  <c r="AA424" i="2"/>
  <c r="AA415" i="2"/>
  <c r="AA376" i="2"/>
  <c r="AA364" i="2"/>
  <c r="AA363" i="2"/>
  <c r="AA386" i="2"/>
  <c r="AA380" i="2"/>
  <c r="AA421" i="2"/>
  <c r="AA179" i="2"/>
  <c r="AA167" i="2"/>
  <c r="AA153" i="2"/>
  <c r="AA165" i="2"/>
  <c r="AA215" i="2"/>
  <c r="AA218" i="2"/>
  <c r="AA163" i="2"/>
  <c r="AZ174" i="2"/>
  <c r="P30" i="2"/>
  <c r="P31" i="2" s="1"/>
  <c r="AA175" i="2"/>
  <c r="AA93" i="2"/>
  <c r="AA410" i="2"/>
  <c r="AA103" i="2"/>
  <c r="AA314" i="2"/>
  <c r="AA304" i="2"/>
  <c r="AA414" i="2"/>
  <c r="AA312" i="2"/>
  <c r="AA409" i="2"/>
  <c r="AA111" i="2"/>
  <c r="AA413" i="2"/>
  <c r="AA177" i="2"/>
  <c r="AA180" i="2"/>
  <c r="AA194" i="2"/>
  <c r="AA309" i="2"/>
  <c r="AA315" i="2"/>
  <c r="AA406" i="2"/>
  <c r="AA408" i="2"/>
  <c r="AA395" i="2"/>
  <c r="AA428" i="2"/>
  <c r="AA392" i="2"/>
  <c r="AA383" i="2"/>
  <c r="AU167" i="2"/>
  <c r="AU181" i="2"/>
  <c r="AA319" i="2"/>
  <c r="AA202" i="2"/>
  <c r="AA318" i="2"/>
  <c r="AA403" i="2"/>
  <c r="AA316" i="2"/>
  <c r="AA197" i="2"/>
  <c r="AA307" i="2"/>
  <c r="AA162" i="2"/>
  <c r="AA195" i="2"/>
  <c r="AA310" i="2"/>
  <c r="AA391" i="2"/>
  <c r="AA385" i="2"/>
  <c r="AA160" i="2"/>
  <c r="AA313" i="2"/>
  <c r="AA404" i="2"/>
  <c r="AA190" i="2"/>
  <c r="AA305" i="2"/>
  <c r="AA381" i="2"/>
  <c r="W206" i="2"/>
  <c r="BB188" i="2"/>
  <c r="AW242" i="2"/>
  <c r="AW229" i="2"/>
  <c r="AC404" i="2"/>
  <c r="BB174" i="2"/>
  <c r="AA164" i="2"/>
  <c r="AA99" i="2"/>
  <c r="AA104" i="2"/>
  <c r="AU163" i="2"/>
  <c r="AA186" i="2"/>
  <c r="AA161" i="2"/>
  <c r="AA100" i="2"/>
  <c r="AA156" i="2"/>
  <c r="AA216" i="2"/>
  <c r="AA213" i="2"/>
  <c r="AA196" i="2"/>
  <c r="AA172" i="2"/>
  <c r="AA187" i="2"/>
  <c r="AA214" i="2"/>
  <c r="AZ188" i="2"/>
  <c r="AA159" i="2"/>
  <c r="AA108" i="2"/>
  <c r="AZ158" i="2"/>
  <c r="AA212" i="2"/>
  <c r="AA185" i="2"/>
  <c r="AA207" i="2"/>
  <c r="AA399" i="2"/>
  <c r="AA416" i="2"/>
  <c r="AA200" i="2"/>
  <c r="AA152" i="2"/>
  <c r="AA411" i="2"/>
  <c r="AA157" i="2"/>
  <c r="AA113" i="2"/>
  <c r="AA208" i="2"/>
  <c r="AA168" i="2"/>
  <c r="AA407" i="2"/>
  <c r="AA210" i="2"/>
  <c r="AA184" i="2"/>
  <c r="AA317" i="2"/>
  <c r="AA425" i="2"/>
  <c r="AA393" i="2"/>
  <c r="AA189" i="2"/>
  <c r="AA154" i="2"/>
  <c r="AA199" i="2"/>
  <c r="AA173" i="2"/>
  <c r="AA308" i="2"/>
  <c r="AA430" i="2"/>
  <c r="AA211" i="2"/>
  <c r="AA170" i="2"/>
  <c r="AA155" i="2"/>
  <c r="AA183" i="2"/>
  <c r="AA311" i="2"/>
  <c r="AA418" i="2"/>
  <c r="AA105" i="2"/>
  <c r="AA166" i="2"/>
  <c r="AA182" i="2"/>
  <c r="AA303" i="2"/>
  <c r="AA420" i="2"/>
  <c r="W390" i="2"/>
  <c r="AV174" i="2"/>
  <c r="K10" i="2"/>
  <c r="K9" i="2"/>
  <c r="K8" i="2"/>
  <c r="BD259" i="2" s="1"/>
  <c r="K13" i="2"/>
  <c r="V422" i="2" s="1"/>
  <c r="K11" i="2"/>
  <c r="V366" i="2" s="1"/>
  <c r="K7" i="2"/>
  <c r="K6" i="2"/>
  <c r="K5" i="2"/>
  <c r="K4" i="2"/>
  <c r="K3" i="2"/>
  <c r="AA110" i="2"/>
  <c r="AA112" i="2"/>
  <c r="AA101" i="2"/>
  <c r="AA109" i="2"/>
  <c r="AA125" i="2"/>
  <c r="AE361" i="2"/>
  <c r="AA128" i="2"/>
  <c r="AE354" i="2"/>
  <c r="AE128" i="2"/>
  <c r="AE430" i="2"/>
  <c r="AA140" i="2"/>
  <c r="AA116" i="2"/>
  <c r="AE373" i="2"/>
  <c r="AE131" i="2"/>
  <c r="AA143" i="2"/>
  <c r="AE375" i="2"/>
  <c r="AE117" i="2"/>
  <c r="AA119" i="2"/>
  <c r="AA43" i="2"/>
  <c r="AE363" i="2"/>
  <c r="AA138" i="2"/>
  <c r="AE116" i="2"/>
  <c r="AE372" i="2"/>
  <c r="AE407" i="2"/>
  <c r="AA147" i="2"/>
  <c r="AA42" i="2"/>
  <c r="AE418" i="2"/>
  <c r="AA141" i="2"/>
  <c r="AA40" i="2"/>
  <c r="AA47" i="2"/>
  <c r="AA46" i="2"/>
  <c r="AA68" i="2"/>
  <c r="AA72" i="2"/>
  <c r="AE360" i="2"/>
  <c r="AE376" i="2"/>
  <c r="AE132" i="2"/>
  <c r="AE130" i="2"/>
  <c r="AE351" i="2"/>
  <c r="AA132" i="2"/>
  <c r="AA139" i="2"/>
  <c r="AA80" i="2"/>
  <c r="AA58" i="2"/>
  <c r="AA81" i="2"/>
  <c r="AE358" i="2"/>
  <c r="AE369" i="2"/>
  <c r="AE133" i="2"/>
  <c r="AE146" i="2"/>
  <c r="AE362" i="2"/>
  <c r="AA135" i="2"/>
  <c r="AA133" i="2"/>
  <c r="AU61" i="2"/>
  <c r="AE417" i="2"/>
  <c r="AE367" i="2"/>
  <c r="AE126" i="2"/>
  <c r="AE121" i="2"/>
  <c r="AA122" i="2"/>
  <c r="AA136" i="2"/>
  <c r="AE317" i="2"/>
  <c r="AE374" i="2"/>
  <c r="AE355" i="2"/>
  <c r="AE119" i="2"/>
  <c r="AE136" i="2"/>
  <c r="AE416" i="2"/>
  <c r="AA129" i="2"/>
  <c r="AA134" i="2"/>
  <c r="AU40" i="2"/>
  <c r="AA39" i="2"/>
  <c r="AA69" i="2"/>
  <c r="AE304" i="2"/>
  <c r="AE122" i="2"/>
  <c r="AE140" i="2"/>
  <c r="AA53" i="2"/>
  <c r="AA137" i="2"/>
  <c r="AA146" i="2"/>
  <c r="AA63" i="2"/>
  <c r="AA50" i="2"/>
  <c r="AE316" i="2"/>
  <c r="AE405" i="2"/>
  <c r="AE125" i="2"/>
  <c r="AE138" i="2"/>
  <c r="AE414" i="2"/>
  <c r="AA117" i="2"/>
  <c r="AZ71" i="2"/>
  <c r="AA51" i="2"/>
  <c r="AA89" i="2"/>
  <c r="AE142" i="2"/>
  <c r="AE143" i="2"/>
  <c r="AA48" i="2"/>
  <c r="AA82" i="2"/>
  <c r="AA36" i="2"/>
  <c r="AA64" i="2"/>
  <c r="AA86" i="2"/>
  <c r="AA107" i="2"/>
  <c r="AE319" i="2"/>
  <c r="AE371" i="2"/>
  <c r="AE356" i="2"/>
  <c r="AE53" i="2"/>
  <c r="AE68" i="2"/>
  <c r="AE62" i="2"/>
  <c r="AE23" i="2" s="1"/>
  <c r="AE134" i="2"/>
  <c r="AE139" i="2"/>
  <c r="AE411" i="2"/>
  <c r="AA144" i="2"/>
  <c r="AA130" i="2"/>
  <c r="AU53" i="2"/>
  <c r="AA87" i="2"/>
  <c r="AA71" i="2"/>
  <c r="AA75" i="2"/>
  <c r="AA106" i="2"/>
  <c r="AE313" i="2"/>
  <c r="AE365" i="2"/>
  <c r="AE76" i="2"/>
  <c r="AE127" i="2"/>
  <c r="AE141" i="2"/>
  <c r="AE409" i="2"/>
  <c r="AA121" i="2"/>
  <c r="AA131" i="2"/>
  <c r="AE309" i="2"/>
  <c r="AE401" i="2"/>
  <c r="AE353" i="2"/>
  <c r="AE124" i="2"/>
  <c r="AE144" i="2"/>
  <c r="AE410" i="2"/>
  <c r="AA120" i="2"/>
  <c r="AA118" i="2"/>
  <c r="AA96" i="2"/>
  <c r="AE368" i="2"/>
  <c r="AE400" i="2"/>
  <c r="AE120" i="2"/>
  <c r="AE147" i="2"/>
  <c r="AE413" i="2"/>
  <c r="AA142" i="2"/>
  <c r="AA145" i="2"/>
  <c r="AE55" i="2"/>
  <c r="AA83" i="2"/>
  <c r="AA66" i="2"/>
  <c r="AA88" i="2"/>
  <c r="AA84" i="2"/>
  <c r="AA61" i="2"/>
  <c r="AA98" i="2"/>
  <c r="AE359" i="2"/>
  <c r="AE370" i="2"/>
  <c r="AE123" i="2"/>
  <c r="AE118" i="2"/>
  <c r="AE408" i="2"/>
  <c r="AA123" i="2"/>
  <c r="AA124" i="2"/>
  <c r="AE36" i="2"/>
  <c r="W116" i="2"/>
  <c r="W148" i="2"/>
  <c r="AA60" i="2"/>
  <c r="AA79" i="2"/>
  <c r="AA74" i="2"/>
  <c r="AA59" i="2"/>
  <c r="AA57" i="2"/>
  <c r="AA94" i="2"/>
  <c r="AE406" i="2"/>
  <c r="AE399" i="2"/>
  <c r="AE61" i="2"/>
  <c r="AE45" i="2"/>
  <c r="AA95" i="2"/>
  <c r="AA102" i="2"/>
  <c r="AE135" i="2"/>
  <c r="AE352" i="2"/>
  <c r="AA127" i="2"/>
  <c r="AA126" i="2"/>
  <c r="AC127" i="2"/>
  <c r="AC148" i="2"/>
  <c r="AA62" i="2"/>
  <c r="AA23" i="2" s="1"/>
  <c r="AA73" i="2"/>
  <c r="AA65" i="2"/>
  <c r="AA44" i="2"/>
  <c r="AA41" i="2"/>
  <c r="AA45" i="2"/>
  <c r="AA37" i="2"/>
  <c r="AA76" i="2"/>
  <c r="AA85" i="2"/>
  <c r="AA77" i="2"/>
  <c r="AA78" i="2"/>
  <c r="AA70" i="2"/>
  <c r="AA52" i="2"/>
  <c r="AA67" i="2"/>
  <c r="AA38" i="2"/>
  <c r="AA49" i="2"/>
  <c r="AE303" i="2"/>
  <c r="BM286" i="2"/>
  <c r="W102" i="2"/>
  <c r="W96" i="2"/>
  <c r="W112" i="2"/>
  <c r="W93" i="2"/>
  <c r="W100" i="2"/>
  <c r="W109" i="2"/>
  <c r="W97" i="2"/>
  <c r="W105" i="2"/>
  <c r="W110" i="2"/>
  <c r="W103" i="2"/>
  <c r="W98" i="2"/>
  <c r="W111" i="2"/>
  <c r="W104" i="2"/>
  <c r="W99" i="2"/>
  <c r="W106" i="2"/>
  <c r="W94" i="2"/>
  <c r="W101" i="2"/>
  <c r="W107" i="2"/>
  <c r="W95" i="2"/>
  <c r="W108" i="2"/>
  <c r="W113" i="2"/>
  <c r="AE193" i="2"/>
  <c r="AE95" i="2"/>
  <c r="AE110" i="2"/>
  <c r="AE215" i="2"/>
  <c r="AE172" i="2"/>
  <c r="AE153" i="2"/>
  <c r="AE165" i="2"/>
  <c r="AE209" i="2"/>
  <c r="AE159" i="2"/>
  <c r="AE173" i="2"/>
  <c r="AE187" i="2"/>
  <c r="AE154" i="2"/>
  <c r="AE314" i="2"/>
  <c r="AE182" i="2"/>
  <c r="AE306" i="2"/>
  <c r="AE307" i="2"/>
  <c r="AE308" i="2"/>
  <c r="AE112" i="2"/>
  <c r="AV64" i="2"/>
  <c r="W55" i="2"/>
  <c r="AE108" i="2"/>
  <c r="AE169" i="2"/>
  <c r="AE93" i="2"/>
  <c r="AE174" i="2"/>
  <c r="AE107" i="2"/>
  <c r="AE311" i="2"/>
  <c r="AE310" i="2"/>
  <c r="AE178" i="2"/>
  <c r="AE180" i="2"/>
  <c r="AE315" i="2"/>
  <c r="AE302" i="2"/>
  <c r="AE318" i="2"/>
  <c r="AE163" i="2"/>
  <c r="AE105" i="2"/>
  <c r="AE195" i="2"/>
  <c r="AE158" i="2"/>
  <c r="AE207" i="2"/>
  <c r="AE160" i="2"/>
  <c r="AE98" i="2"/>
  <c r="AE161" i="2"/>
  <c r="AE220" i="2"/>
  <c r="AE218" i="2"/>
  <c r="AE189" i="2"/>
  <c r="AE217" i="2"/>
  <c r="AE202" i="2"/>
  <c r="M10" i="2"/>
  <c r="AE185" i="2"/>
  <c r="AE216" i="2"/>
  <c r="M7" i="2"/>
  <c r="X228" i="2" s="1"/>
  <c r="AE168" i="2"/>
  <c r="AE196" i="2"/>
  <c r="AE211" i="2"/>
  <c r="AE194" i="2"/>
  <c r="AE177" i="2"/>
  <c r="AE200" i="2"/>
  <c r="AE305" i="2"/>
  <c r="AE186" i="2"/>
  <c r="AE164" i="2"/>
  <c r="AE171" i="2"/>
  <c r="AE213" i="2"/>
  <c r="AE166" i="2"/>
  <c r="AE212" i="2"/>
  <c r="AE162" i="2"/>
  <c r="M11" i="2"/>
  <c r="AE190" i="2"/>
  <c r="W84" i="2"/>
  <c r="W36" i="2"/>
  <c r="AE151" i="2"/>
  <c r="AE184" i="2"/>
  <c r="AE157" i="2"/>
  <c r="AE203" i="2"/>
  <c r="AE219" i="2"/>
  <c r="AE170" i="2"/>
  <c r="M8" i="2"/>
  <c r="AE210" i="2"/>
  <c r="AE214" i="2"/>
  <c r="AE175" i="2"/>
  <c r="AE183" i="2"/>
  <c r="M9" i="2"/>
  <c r="X316" i="2" s="1"/>
  <c r="AE152" i="2"/>
  <c r="AE208" i="2"/>
  <c r="M3" i="2"/>
  <c r="X50" i="2" s="1"/>
  <c r="BD158" i="2"/>
  <c r="AE204" i="2"/>
  <c r="AE181" i="2"/>
  <c r="AE167" i="2"/>
  <c r="AE155" i="2"/>
  <c r="AE188" i="2"/>
  <c r="AE179" i="2"/>
  <c r="AE201" i="2"/>
  <c r="AE156" i="2"/>
  <c r="AE176" i="2"/>
  <c r="M5" i="2"/>
  <c r="M6" i="2"/>
  <c r="M4" i="2"/>
  <c r="M13" i="2"/>
  <c r="X422" i="2" s="1"/>
  <c r="S7" i="2"/>
  <c r="S10" i="2"/>
  <c r="S9" i="2"/>
  <c r="S6" i="2"/>
  <c r="AD205" i="2" s="1"/>
  <c r="S5" i="2"/>
  <c r="AD148" i="2" s="1"/>
  <c r="S8" i="2"/>
  <c r="BL259" i="2" s="1"/>
  <c r="S4" i="2"/>
  <c r="S11" i="2"/>
  <c r="AD366" i="2" s="1"/>
  <c r="S14" i="2"/>
  <c r="S3" i="2"/>
  <c r="BC71" i="2" s="1"/>
  <c r="S13" i="2"/>
  <c r="AD422" i="2" s="1"/>
  <c r="S3" i="6"/>
  <c r="AC116" i="2"/>
  <c r="AC406" i="2"/>
  <c r="AC130" i="2"/>
  <c r="AC138" i="2"/>
  <c r="AC122" i="2"/>
  <c r="AC119" i="2"/>
  <c r="AC385" i="2"/>
  <c r="AC392" i="2"/>
  <c r="AC386" i="2"/>
  <c r="AC426" i="2"/>
  <c r="AC424" i="2"/>
  <c r="AC425" i="2"/>
  <c r="AC423" i="2"/>
  <c r="AC408" i="2"/>
  <c r="AC388" i="2"/>
  <c r="AC381" i="2"/>
  <c r="AC380" i="2"/>
  <c r="AC399" i="2"/>
  <c r="AC400" i="2"/>
  <c r="AC427" i="2"/>
  <c r="AC316" i="2"/>
  <c r="AC363" i="2"/>
  <c r="AC395" i="2"/>
  <c r="AC387" i="2"/>
  <c r="AC407" i="2"/>
  <c r="AC308" i="2"/>
  <c r="AC428" i="2"/>
  <c r="AC312" i="2"/>
  <c r="AC383" i="2"/>
  <c r="AC401" i="2"/>
  <c r="AC382" i="2"/>
  <c r="AC145" i="2"/>
  <c r="AC362" i="2"/>
  <c r="AC359" i="2"/>
  <c r="AC129" i="2"/>
  <c r="AC361" i="2"/>
  <c r="AC353" i="2"/>
  <c r="AC367" i="2"/>
  <c r="AC126" i="2"/>
  <c r="AC135" i="2"/>
  <c r="AC410" i="2"/>
  <c r="AC318" i="2"/>
  <c r="AC357" i="2"/>
  <c r="AC364" i="2"/>
  <c r="AC396" i="2"/>
  <c r="AC390" i="2"/>
  <c r="AC118" i="2"/>
  <c r="AC123" i="2"/>
  <c r="AC409" i="2"/>
  <c r="AC309" i="2"/>
  <c r="AC403" i="2"/>
  <c r="AC317" i="2"/>
  <c r="AC371" i="2"/>
  <c r="AC394" i="2"/>
  <c r="AC136" i="2"/>
  <c r="AC313" i="2"/>
  <c r="AC430" i="2"/>
  <c r="AC141" i="2"/>
  <c r="AC133" i="2"/>
  <c r="AC128" i="2"/>
  <c r="AC393" i="2"/>
  <c r="AC303" i="2"/>
  <c r="AC144" i="2"/>
  <c r="AC374" i="2"/>
  <c r="AC140" i="2"/>
  <c r="AC379" i="2"/>
  <c r="AC132" i="2"/>
  <c r="AC418" i="2"/>
  <c r="AC125" i="2"/>
  <c r="AC124" i="2"/>
  <c r="AC419" i="2"/>
  <c r="AC415" i="2"/>
  <c r="AC397" i="2"/>
  <c r="AC117" i="2"/>
  <c r="AC120" i="2"/>
  <c r="AC421" i="2"/>
  <c r="AC414" i="2"/>
  <c r="AC405" i="2"/>
  <c r="AC391" i="2"/>
  <c r="AC142" i="2"/>
  <c r="AC147" i="2"/>
  <c r="AC413" i="2"/>
  <c r="AC304" i="2"/>
  <c r="AC315" i="2"/>
  <c r="AC370" i="2"/>
  <c r="AC358" i="2"/>
  <c r="AC355" i="2"/>
  <c r="AC420" i="2"/>
  <c r="AC417" i="2"/>
  <c r="AC134" i="2"/>
  <c r="AC143" i="2"/>
  <c r="AC411" i="2"/>
  <c r="AC306" i="2"/>
  <c r="AC352" i="2"/>
  <c r="AC376" i="2"/>
  <c r="AC372" i="2"/>
  <c r="AC351" i="2"/>
  <c r="AC375" i="2"/>
  <c r="AC373" i="2"/>
  <c r="AC368" i="2"/>
  <c r="AC365" i="2"/>
  <c r="AC360" i="2"/>
  <c r="AC356" i="2"/>
  <c r="AC246" i="2"/>
  <c r="AC310" i="2"/>
  <c r="AC314" i="2"/>
  <c r="AC137" i="2"/>
  <c r="AC139" i="2"/>
  <c r="AC389" i="2"/>
  <c r="AC121" i="2"/>
  <c r="AC131" i="2"/>
  <c r="AC369" i="2"/>
  <c r="AC146" i="2"/>
  <c r="AC416" i="2"/>
  <c r="AC244" i="2"/>
  <c r="AC234" i="2"/>
  <c r="AC235" i="2"/>
  <c r="AC319" i="2"/>
  <c r="AC177" i="2"/>
  <c r="AC180" i="2"/>
  <c r="AC311" i="2"/>
  <c r="AC217" i="2"/>
  <c r="AC307" i="2"/>
  <c r="AC184" i="2"/>
  <c r="W258" i="2"/>
  <c r="J40" i="28" s="1"/>
  <c r="W286" i="2"/>
  <c r="J68" i="28" s="1"/>
  <c r="AC155" i="2"/>
  <c r="AC95" i="2"/>
  <c r="W267" i="2"/>
  <c r="J49" i="28" s="1"/>
  <c r="AC189" i="2"/>
  <c r="W269" i="2"/>
  <c r="J51" i="28" s="1"/>
  <c r="AC196" i="2"/>
  <c r="AC93" i="2"/>
  <c r="AC211" i="2"/>
  <c r="AC212" i="2"/>
  <c r="AC190" i="2"/>
  <c r="AC200" i="2"/>
  <c r="AC199" i="2"/>
  <c r="AC213" i="2"/>
  <c r="AC100" i="2"/>
  <c r="AC207" i="2"/>
  <c r="AC163" i="2"/>
  <c r="AC203" i="2"/>
  <c r="AC187" i="2"/>
  <c r="AC106" i="2"/>
  <c r="AC185" i="2"/>
  <c r="AC197" i="2"/>
  <c r="AC161" i="2"/>
  <c r="AC233" i="2"/>
  <c r="AC112" i="2"/>
  <c r="AC182" i="2"/>
  <c r="AC194" i="2"/>
  <c r="AC236" i="2"/>
  <c r="AC113" i="2"/>
  <c r="AC107" i="2"/>
  <c r="AC214" i="2"/>
  <c r="AC151" i="2"/>
  <c r="AC175" i="2"/>
  <c r="AC223" i="2"/>
  <c r="AC109" i="2"/>
  <c r="AC105" i="2"/>
  <c r="AC183" i="2"/>
  <c r="AC154" i="2"/>
  <c r="AC104" i="2"/>
  <c r="AC237" i="2"/>
  <c r="AC111" i="2"/>
  <c r="AC210" i="2"/>
  <c r="AC166" i="2"/>
  <c r="AC158" i="2"/>
  <c r="AC96" i="2"/>
  <c r="AC195" i="2"/>
  <c r="AC229" i="2"/>
  <c r="AC206" i="2"/>
  <c r="AC99" i="2"/>
  <c r="AC169" i="2"/>
  <c r="AC219" i="2"/>
  <c r="AC232" i="2"/>
  <c r="AC173" i="2"/>
  <c r="AC202" i="2"/>
  <c r="AC165" i="2"/>
  <c r="AC162" i="2"/>
  <c r="AC167" i="2"/>
  <c r="AC241" i="2"/>
  <c r="AC153" i="2"/>
  <c r="AC102" i="2"/>
  <c r="BB158" i="2"/>
  <c r="AC186" i="2"/>
  <c r="AC159" i="2"/>
  <c r="AC220" i="2"/>
  <c r="AC216" i="2"/>
  <c r="AW238" i="2"/>
  <c r="AC103" i="2"/>
  <c r="AC215" i="2"/>
  <c r="AC168" i="2"/>
  <c r="AC176" i="2"/>
  <c r="AC160" i="2"/>
  <c r="AC98" i="2"/>
  <c r="AC218" i="2"/>
  <c r="AC157" i="2"/>
  <c r="AC97" i="2"/>
  <c r="AC156" i="2"/>
  <c r="AC152" i="2"/>
  <c r="AC208" i="2"/>
  <c r="AC170" i="2"/>
  <c r="AC240" i="2"/>
  <c r="AC110" i="2"/>
  <c r="AC164" i="2"/>
  <c r="AC94" i="2"/>
  <c r="AC230" i="2"/>
  <c r="AC179" i="2"/>
  <c r="AC201" i="2"/>
  <c r="AC188" i="2"/>
  <c r="AC181" i="2"/>
  <c r="AC172" i="2"/>
  <c r="AC101" i="2"/>
  <c r="W369" i="2"/>
  <c r="W418" i="2"/>
  <c r="W417" i="2"/>
  <c r="W427" i="2"/>
  <c r="W54" i="2"/>
  <c r="W90" i="2"/>
  <c r="W40" i="2"/>
  <c r="W81" i="2"/>
  <c r="AC296" i="2"/>
  <c r="P78" i="28" s="1"/>
  <c r="BK286" i="2"/>
  <c r="AC294" i="2"/>
  <c r="P76" i="28" s="1"/>
  <c r="AC298" i="2"/>
  <c r="P80" i="28" s="1"/>
  <c r="AC285" i="2"/>
  <c r="P67" i="28" s="1"/>
  <c r="AC292" i="2"/>
  <c r="P74" i="28" s="1"/>
  <c r="AC295" i="2"/>
  <c r="P77" i="28" s="1"/>
  <c r="AC290" i="2"/>
  <c r="P72" i="28" s="1"/>
  <c r="AC271" i="2"/>
  <c r="P53" i="28" s="1"/>
  <c r="AC277" i="2"/>
  <c r="P59" i="28" s="1"/>
  <c r="AC253" i="2"/>
  <c r="P35" i="28" s="1"/>
  <c r="AC251" i="2"/>
  <c r="P33" i="28" s="1"/>
  <c r="AC278" i="2"/>
  <c r="P60" i="28" s="1"/>
  <c r="AC254" i="2"/>
  <c r="P36" i="28" s="1"/>
  <c r="AC291" i="2"/>
  <c r="P73" i="28" s="1"/>
  <c r="AC299" i="2"/>
  <c r="P81" i="28" s="1"/>
  <c r="AC275" i="2"/>
  <c r="P57" i="28" s="1"/>
  <c r="AC276" i="2"/>
  <c r="P58" i="28" s="1"/>
  <c r="AC287" i="2"/>
  <c r="P69" i="28" s="1"/>
  <c r="AC272" i="2"/>
  <c r="P54" i="28" s="1"/>
  <c r="AC282" i="2"/>
  <c r="P64" i="28" s="1"/>
  <c r="AC297" i="2"/>
  <c r="P79" i="28" s="1"/>
  <c r="AC267" i="2"/>
  <c r="P49" i="28" s="1"/>
  <c r="AC286" i="2"/>
  <c r="P68" i="28" s="1"/>
  <c r="AC274" i="2"/>
  <c r="P56" i="28" s="1"/>
  <c r="AC269" i="2"/>
  <c r="P51" i="28" s="1"/>
  <c r="AC280" i="2"/>
  <c r="P62" i="28" s="1"/>
  <c r="BK254" i="2"/>
  <c r="AC252" i="2"/>
  <c r="P34" i="28" s="1"/>
  <c r="AC256" i="2"/>
  <c r="P38" i="28" s="1"/>
  <c r="AC284" i="2"/>
  <c r="P66" i="28" s="1"/>
  <c r="AC268" i="2"/>
  <c r="P50" i="28" s="1"/>
  <c r="AC273" i="2"/>
  <c r="P55" i="28" s="1"/>
  <c r="AC293" i="2"/>
  <c r="P75" i="28" s="1"/>
  <c r="AC255" i="2"/>
  <c r="P37" i="28" s="1"/>
  <c r="AC289" i="2"/>
  <c r="P71" i="28" s="1"/>
  <c r="AC288" i="2"/>
  <c r="P70" i="28" s="1"/>
  <c r="AC270" i="2"/>
  <c r="P52" i="28" s="1"/>
  <c r="W265" i="2"/>
  <c r="J47" i="28" s="1"/>
  <c r="W85" i="2"/>
  <c r="W79" i="2"/>
  <c r="W359" i="2"/>
  <c r="W162" i="2"/>
  <c r="W56" i="2"/>
  <c r="W52" i="2"/>
  <c r="W83" i="2"/>
  <c r="W39" i="2"/>
  <c r="W89" i="2"/>
  <c r="W53" i="2"/>
  <c r="W78" i="2"/>
  <c r="W43" i="2"/>
  <c r="W45" i="2"/>
  <c r="W271" i="2"/>
  <c r="J53" i="28" s="1"/>
  <c r="W403" i="2"/>
  <c r="W88" i="2"/>
  <c r="W60" i="2"/>
  <c r="Q10" i="2"/>
  <c r="Q5" i="2"/>
  <c r="AB148" i="2" s="1"/>
  <c r="Q13" i="2"/>
  <c r="AB422" i="2" s="1"/>
  <c r="Q6" i="2"/>
  <c r="AB205" i="2" s="1"/>
  <c r="Q8" i="2"/>
  <c r="AV266" i="2" s="1"/>
  <c r="Q9" i="2"/>
  <c r="Q7" i="2"/>
  <c r="Q14" i="2"/>
  <c r="Q3" i="2"/>
  <c r="Q4" i="2"/>
  <c r="Q11" i="2"/>
  <c r="AB366" i="2" s="1"/>
  <c r="O9" i="2"/>
  <c r="O14" i="2"/>
  <c r="O10" i="2"/>
  <c r="O5" i="2"/>
  <c r="Z148" i="2" s="1"/>
  <c r="O3" i="2"/>
  <c r="Z36" i="2" s="1"/>
  <c r="O13" i="2"/>
  <c r="O7" i="2"/>
  <c r="O4" i="2"/>
  <c r="O6" i="2"/>
  <c r="O8" i="2"/>
  <c r="BH259" i="2" s="1"/>
  <c r="N14" i="2"/>
  <c r="W87" i="2"/>
  <c r="W65" i="2"/>
  <c r="W74" i="2"/>
  <c r="W49" i="2"/>
  <c r="W41" i="2"/>
  <c r="W61" i="2"/>
  <c r="W51" i="2"/>
  <c r="W48" i="2"/>
  <c r="W75" i="2"/>
  <c r="W66" i="2"/>
  <c r="W318" i="2"/>
  <c r="W57" i="2"/>
  <c r="W58" i="2"/>
  <c r="W63" i="2"/>
  <c r="W77" i="2"/>
  <c r="W69" i="2"/>
  <c r="AV71" i="2"/>
  <c r="W71" i="2"/>
  <c r="W80" i="2"/>
  <c r="W72" i="2"/>
  <c r="W62" i="2"/>
  <c r="W70" i="2"/>
  <c r="W44" i="2"/>
  <c r="W47" i="2"/>
  <c r="W315" i="2"/>
  <c r="W59" i="2"/>
  <c r="W73" i="2"/>
  <c r="W42" i="2"/>
  <c r="W76" i="2"/>
  <c r="W68" i="2"/>
  <c r="W67" i="2"/>
  <c r="W86" i="2"/>
  <c r="W306" i="2"/>
  <c r="W50" i="2"/>
  <c r="W82" i="2"/>
  <c r="W64" i="2"/>
  <c r="W46" i="2"/>
  <c r="W38" i="2"/>
  <c r="W37" i="2"/>
  <c r="W311" i="2"/>
  <c r="W217" i="2"/>
  <c r="W164" i="2"/>
  <c r="W213" i="2"/>
  <c r="W165" i="2"/>
  <c r="W189" i="2"/>
  <c r="W160" i="2"/>
  <c r="W219" i="2"/>
  <c r="W280" i="2"/>
  <c r="J62" i="28" s="1"/>
  <c r="W290" i="2"/>
  <c r="J72" i="28" s="1"/>
  <c r="W277" i="2"/>
  <c r="J59" i="28" s="1"/>
  <c r="W253" i="2"/>
  <c r="J35" i="28" s="1"/>
  <c r="W252" i="2"/>
  <c r="J34" i="28" s="1"/>
  <c r="W401" i="2"/>
  <c r="W397" i="2"/>
  <c r="W392" i="2"/>
  <c r="W389" i="2"/>
  <c r="W393" i="2"/>
  <c r="W370" i="2"/>
  <c r="W365" i="2"/>
  <c r="W358" i="2"/>
  <c r="W292" i="2"/>
  <c r="J74" i="28" s="1"/>
  <c r="W296" i="2"/>
  <c r="J78" i="28" s="1"/>
  <c r="W251" i="2"/>
  <c r="J33" i="28" s="1"/>
  <c r="W273" i="2"/>
  <c r="J55" i="28" s="1"/>
  <c r="W276" i="2"/>
  <c r="J58" i="28" s="1"/>
  <c r="W299" i="2"/>
  <c r="J81" i="28" s="1"/>
  <c r="W385" i="2"/>
  <c r="W382" i="2"/>
  <c r="W386" i="2"/>
  <c r="W396" i="2"/>
  <c r="W420" i="2"/>
  <c r="W356" i="2"/>
  <c r="W354" i="2"/>
  <c r="W368" i="2"/>
  <c r="W260" i="2"/>
  <c r="J42" i="28" s="1"/>
  <c r="W259" i="2"/>
  <c r="J41" i="28" s="1"/>
  <c r="W297" i="2"/>
  <c r="J79" i="28" s="1"/>
  <c r="W261" i="2"/>
  <c r="J43" i="28" s="1"/>
  <c r="W254" i="2"/>
  <c r="J36" i="28" s="1"/>
  <c r="W278" i="2"/>
  <c r="J60" i="28" s="1"/>
  <c r="W400" i="2"/>
  <c r="W426" i="2"/>
  <c r="W394" i="2"/>
  <c r="W395" i="2"/>
  <c r="W374" i="2"/>
  <c r="W355" i="2"/>
  <c r="W353" i="2"/>
  <c r="W409" i="2"/>
  <c r="W428" i="2"/>
  <c r="W410" i="2"/>
  <c r="W415" i="2"/>
  <c r="W414" i="2"/>
  <c r="W408" i="2"/>
  <c r="W413" i="2"/>
  <c r="W407" i="2"/>
  <c r="W411" i="2"/>
  <c r="W416" i="2"/>
  <c r="W383" i="2"/>
  <c r="W272" i="2"/>
  <c r="J54" i="28" s="1"/>
  <c r="W298" i="2"/>
  <c r="J80" i="28" s="1"/>
  <c r="W293" i="2"/>
  <c r="J75" i="28" s="1"/>
  <c r="W256" i="2"/>
  <c r="J38" i="28" s="1"/>
  <c r="W255" i="2"/>
  <c r="J37" i="28" s="1"/>
  <c r="W282" i="2"/>
  <c r="J64" i="28" s="1"/>
  <c r="W419" i="2"/>
  <c r="W387" i="2"/>
  <c r="W404" i="2"/>
  <c r="W430" i="2"/>
  <c r="W380" i="2"/>
  <c r="W367" i="2"/>
  <c r="W371" i="2"/>
  <c r="W285" i="2"/>
  <c r="J67" i="28" s="1"/>
  <c r="W264" i="2"/>
  <c r="J46" i="28" s="1"/>
  <c r="W291" i="2"/>
  <c r="J73" i="28" s="1"/>
  <c r="W274" i="2"/>
  <c r="J56" i="28" s="1"/>
  <c r="W294" i="2"/>
  <c r="J76" i="28" s="1"/>
  <c r="W266" i="2"/>
  <c r="J48" i="28" s="1"/>
  <c r="W405" i="2"/>
  <c r="W421" i="2"/>
  <c r="W406" i="2"/>
  <c r="W399" i="2"/>
  <c r="W372" i="2"/>
  <c r="W373" i="2"/>
  <c r="W360" i="2"/>
  <c r="W268" i="2"/>
  <c r="J50" i="28" s="1"/>
  <c r="W262" i="2"/>
  <c r="J44" i="28" s="1"/>
  <c r="W289" i="2"/>
  <c r="J71" i="28" s="1"/>
  <c r="W288" i="2"/>
  <c r="J70" i="28" s="1"/>
  <c r="W295" i="2"/>
  <c r="J77" i="28" s="1"/>
  <c r="W425" i="2"/>
  <c r="W423" i="2"/>
  <c r="W381" i="2"/>
  <c r="W391" i="2"/>
  <c r="W364" i="2"/>
  <c r="W375" i="2"/>
  <c r="W376" i="2"/>
  <c r="W270" i="2"/>
  <c r="J52" i="28" s="1"/>
  <c r="W287" i="2"/>
  <c r="J69" i="28" s="1"/>
  <c r="W263" i="2"/>
  <c r="J45" i="28" s="1"/>
  <c r="W275" i="2"/>
  <c r="J57" i="28" s="1"/>
  <c r="M3" i="6"/>
  <c r="W379" i="2"/>
  <c r="W424" i="2"/>
  <c r="W388" i="2"/>
  <c r="W363" i="2"/>
  <c r="W357" i="2"/>
  <c r="W361" i="2"/>
  <c r="W362" i="2"/>
  <c r="W351" i="2"/>
  <c r="W352" i="2"/>
  <c r="W305" i="2"/>
  <c r="W308" i="2"/>
  <c r="W304" i="2"/>
  <c r="W257" i="2"/>
  <c r="J39" i="28" s="1"/>
  <c r="BE254" i="2"/>
  <c r="BE286" i="2"/>
  <c r="W302" i="2"/>
  <c r="W319" i="2"/>
  <c r="W309" i="2"/>
  <c r="W317" i="2"/>
  <c r="W314" i="2"/>
  <c r="W316" i="2"/>
  <c r="W303" i="2"/>
  <c r="W312" i="2"/>
  <c r="AL380" i="6"/>
  <c r="AL172" i="6"/>
  <c r="W172" i="2"/>
  <c r="W184" i="2"/>
  <c r="W153" i="2"/>
  <c r="W207" i="2"/>
  <c r="W177" i="2"/>
  <c r="W197" i="2"/>
  <c r="W201" i="2"/>
  <c r="W199" i="2"/>
  <c r="W156" i="2"/>
  <c r="W152" i="2"/>
  <c r="W208" i="2"/>
  <c r="W185" i="2"/>
  <c r="W179" i="2"/>
  <c r="W193" i="2"/>
  <c r="W175" i="2"/>
  <c r="W183" i="2"/>
  <c r="W181" i="2"/>
  <c r="W211" i="2"/>
  <c r="W182" i="2"/>
  <c r="W204" i="2"/>
  <c r="W216" i="2"/>
  <c r="W154" i="2"/>
  <c r="W176" i="2"/>
  <c r="W212" i="2"/>
  <c r="W210" i="2"/>
  <c r="W186" i="2"/>
  <c r="W157" i="2"/>
  <c r="W155" i="2"/>
  <c r="W159" i="2"/>
  <c r="W215" i="2"/>
  <c r="W220" i="2"/>
  <c r="W209" i="2"/>
  <c r="W151" i="2"/>
  <c r="W195" i="2"/>
  <c r="W174" i="2"/>
  <c r="W168" i="2"/>
  <c r="W166" i="2"/>
  <c r="W190" i="2"/>
  <c r="W158" i="2"/>
  <c r="W200" i="2"/>
  <c r="W196" i="2"/>
  <c r="W218" i="2"/>
  <c r="W170" i="2"/>
  <c r="W202" i="2"/>
  <c r="W194" i="2"/>
  <c r="W169" i="2"/>
  <c r="W188" i="2"/>
  <c r="W180" i="2"/>
  <c r="W214" i="2"/>
  <c r="W187" i="2"/>
  <c r="W173" i="2"/>
  <c r="W171" i="2"/>
  <c r="W203" i="2"/>
  <c r="W167" i="2"/>
  <c r="W163" i="2"/>
  <c r="W161" i="2"/>
  <c r="W118" i="2"/>
  <c r="W122" i="2"/>
  <c r="W126" i="2"/>
  <c r="W130" i="2"/>
  <c r="W134" i="2"/>
  <c r="W138" i="2"/>
  <c r="W142" i="2"/>
  <c r="W146" i="2"/>
  <c r="W119" i="2"/>
  <c r="W123" i="2"/>
  <c r="W127" i="2"/>
  <c r="W131" i="2"/>
  <c r="W135" i="2"/>
  <c r="W139" i="2"/>
  <c r="W143" i="2"/>
  <c r="W147" i="2"/>
  <c r="W121" i="2"/>
  <c r="W129" i="2"/>
  <c r="W137" i="2"/>
  <c r="W145" i="2"/>
  <c r="W120" i="2"/>
  <c r="W128" i="2"/>
  <c r="W136" i="2"/>
  <c r="W144" i="2"/>
  <c r="W117" i="2"/>
  <c r="W125" i="2"/>
  <c r="W133" i="2"/>
  <c r="W141" i="2"/>
  <c r="W124" i="2"/>
  <c r="W132" i="2"/>
  <c r="W140" i="2"/>
  <c r="W307" i="2"/>
  <c r="W310" i="2"/>
  <c r="AL372" i="6"/>
  <c r="AL367" i="6"/>
  <c r="W235" i="2"/>
  <c r="W245" i="2"/>
  <c r="W248" i="2"/>
  <c r="W246" i="2"/>
  <c r="W223" i="2"/>
  <c r="W236" i="2"/>
  <c r="W238" i="2"/>
  <c r="W224" i="2"/>
  <c r="W243" i="2"/>
  <c r="W239" i="2"/>
  <c r="W230" i="2"/>
  <c r="W241" i="2"/>
  <c r="W237" i="2"/>
  <c r="W227" i="2"/>
  <c r="W233" i="2"/>
  <c r="W244" i="2"/>
  <c r="W231" i="2"/>
  <c r="W226" i="2"/>
  <c r="W232" i="2"/>
  <c r="W228" i="2"/>
  <c r="W229" i="2"/>
  <c r="W234" i="2"/>
  <c r="W240" i="2"/>
  <c r="W225" i="2"/>
  <c r="W247" i="2"/>
  <c r="K14" i="2"/>
  <c r="DZ3" i="33"/>
  <c r="DZ4" i="33" s="1"/>
  <c r="K68" i="34" s="1"/>
  <c r="DV3" i="33"/>
  <c r="DV4" i="33" s="1"/>
  <c r="G68" i="34" s="1"/>
  <c r="EB3" i="33"/>
  <c r="EB4" i="33" s="1"/>
  <c r="M68" i="34" s="1"/>
  <c r="DY3" i="33"/>
  <c r="DY4" i="33" s="1"/>
  <c r="J68" i="34" s="1"/>
  <c r="DW3" i="33"/>
  <c r="DW4" i="33" s="1"/>
  <c r="H68" i="34" s="1"/>
  <c r="EA3" i="33"/>
  <c r="EA4" i="33" s="1"/>
  <c r="L68" i="34" s="1"/>
  <c r="I3" i="33"/>
  <c r="I4" i="33" s="1"/>
  <c r="D59" i="34" s="1"/>
  <c r="G3" i="33"/>
  <c r="G4" i="33" s="1"/>
  <c r="K15" i="1"/>
  <c r="AJ376" i="6"/>
  <c r="O17" i="1"/>
  <c r="O19" i="1"/>
  <c r="L15" i="1"/>
  <c r="H3" i="33"/>
  <c r="H4" i="33" s="1"/>
  <c r="D65" i="34" s="1"/>
  <c r="DZ296" i="33"/>
  <c r="DU296" i="33"/>
  <c r="DW296" i="33"/>
  <c r="DV296" i="33"/>
  <c r="DX296" i="33"/>
  <c r="EA296" i="33"/>
  <c r="DY296" i="33"/>
  <c r="EB296" i="33"/>
  <c r="J15" i="1"/>
  <c r="AC23" i="2" l="1"/>
  <c r="W23" i="2"/>
  <c r="AJ51" i="6"/>
  <c r="AJ187" i="6"/>
  <c r="AJ249" i="6"/>
  <c r="AO327" i="6"/>
  <c r="AL390" i="6"/>
  <c r="AW51" i="6"/>
  <c r="BD305" i="2"/>
  <c r="AW305" i="2" s="1"/>
  <c r="R302" i="2" s="1"/>
  <c r="AC302" i="2" s="1"/>
  <c r="AV218" i="2"/>
  <c r="AV247" i="2"/>
  <c r="AV222" i="2"/>
  <c r="AV226" i="2"/>
  <c r="X412" i="2"/>
  <c r="X402" i="2"/>
  <c r="X398" i="2"/>
  <c r="X429" i="2"/>
  <c r="X384" i="2"/>
  <c r="V402" i="2"/>
  <c r="V429" i="2"/>
  <c r="V412" i="2"/>
  <c r="V398" i="2"/>
  <c r="V384" i="2"/>
  <c r="AB384" i="2"/>
  <c r="AB412" i="2"/>
  <c r="AB402" i="2"/>
  <c r="AB398" i="2"/>
  <c r="AB429" i="2"/>
  <c r="AD384" i="2"/>
  <c r="AD412" i="2"/>
  <c r="AD402" i="2"/>
  <c r="AD429" i="2"/>
  <c r="AD398" i="2"/>
  <c r="Z384" i="2"/>
  <c r="Z412" i="2"/>
  <c r="Z402" i="2"/>
  <c r="T370" i="6"/>
  <c r="V7" i="20" s="1"/>
  <c r="T384" i="6"/>
  <c r="V21" i="20" s="1"/>
  <c r="T415" i="6"/>
  <c r="V52" i="20" s="1"/>
  <c r="T388" i="6"/>
  <c r="V25" i="20" s="1"/>
  <c r="T398" i="6"/>
  <c r="V35" i="20" s="1"/>
  <c r="J322" i="2"/>
  <c r="X368" i="2"/>
  <c r="X366" i="2"/>
  <c r="T355" i="6"/>
  <c r="U20" i="19" s="1"/>
  <c r="T352" i="6"/>
  <c r="U17" i="19" s="1"/>
  <c r="T362" i="6"/>
  <c r="U27" i="19" s="1"/>
  <c r="T349" i="6"/>
  <c r="U14" i="19" s="1"/>
  <c r="T359" i="6"/>
  <c r="U24" i="19" s="1"/>
  <c r="T356" i="6"/>
  <c r="U21" i="19" s="1"/>
  <c r="T353" i="6"/>
  <c r="U18" i="19" s="1"/>
  <c r="T350" i="6"/>
  <c r="U15" i="19" s="1"/>
  <c r="T360" i="6"/>
  <c r="U25" i="19" s="1"/>
  <c r="T347" i="6"/>
  <c r="U12" i="19" s="1"/>
  <c r="T357" i="6"/>
  <c r="U22" i="19" s="1"/>
  <c r="T354" i="6"/>
  <c r="U19" i="19" s="1"/>
  <c r="T351" i="6"/>
  <c r="U16" i="19" s="1"/>
  <c r="T358" i="6"/>
  <c r="U23" i="19" s="1"/>
  <c r="T361" i="6"/>
  <c r="U26" i="19" s="1"/>
  <c r="T348" i="6"/>
  <c r="U13" i="19" s="1"/>
  <c r="T281" i="6"/>
  <c r="W46" i="8" s="1"/>
  <c r="T327" i="6"/>
  <c r="U21" i="14" s="1"/>
  <c r="AJ63" i="6"/>
  <c r="AM327" i="6"/>
  <c r="AJ262" i="6"/>
  <c r="Z308" i="2"/>
  <c r="Z315" i="2"/>
  <c r="Z311" i="2"/>
  <c r="Z314" i="2"/>
  <c r="Z307" i="2"/>
  <c r="Z306" i="2"/>
  <c r="Z319" i="2"/>
  <c r="Z305" i="2"/>
  <c r="Z317" i="2"/>
  <c r="Z313" i="2"/>
  <c r="Z316" i="2"/>
  <c r="Z310" i="2"/>
  <c r="Z309" i="2"/>
  <c r="Z302" i="2"/>
  <c r="Z304" i="2"/>
  <c r="Z312" i="2"/>
  <c r="Z318" i="2"/>
  <c r="Z303" i="2"/>
  <c r="K296" i="33"/>
  <c r="X252" i="2"/>
  <c r="K34" i="28" s="1"/>
  <c r="BF259" i="2"/>
  <c r="AV274" i="2"/>
  <c r="BD274" i="2" s="1"/>
  <c r="BJ259" i="2"/>
  <c r="BI260" i="2" s="1"/>
  <c r="H10" i="2"/>
  <c r="G10" i="2"/>
  <c r="Z274" i="2"/>
  <c r="M56" i="28" s="1"/>
  <c r="Z299" i="2"/>
  <c r="M81" i="28" s="1"/>
  <c r="Z275" i="2"/>
  <c r="M57" i="28" s="1"/>
  <c r="Z297" i="2"/>
  <c r="M79" i="28" s="1"/>
  <c r="Z271" i="2"/>
  <c r="M53" i="28" s="1"/>
  <c r="Z295" i="2"/>
  <c r="M77" i="28" s="1"/>
  <c r="Z266" i="2"/>
  <c r="M48" i="28" s="1"/>
  <c r="Z294" i="2"/>
  <c r="M76" i="28" s="1"/>
  <c r="Z292" i="2"/>
  <c r="M74" i="28" s="1"/>
  <c r="Z264" i="2"/>
  <c r="M46" i="28" s="1"/>
  <c r="Z291" i="2"/>
  <c r="M73" i="28" s="1"/>
  <c r="Z267" i="2"/>
  <c r="Z290" i="2"/>
  <c r="M72" i="28" s="1"/>
  <c r="Z268" i="2"/>
  <c r="Z270" i="2"/>
  <c r="M52" i="28" s="1"/>
  <c r="Z285" i="2"/>
  <c r="M67" i="28" s="1"/>
  <c r="Z284" i="2"/>
  <c r="M66" i="28" s="1"/>
  <c r="Z252" i="2"/>
  <c r="M34" i="28" s="1"/>
  <c r="Z296" i="2"/>
  <c r="M78" i="28" s="1"/>
  <c r="Z253" i="2"/>
  <c r="M35" i="28" s="1"/>
  <c r="Z298" i="2"/>
  <c r="M80" i="28" s="1"/>
  <c r="Z254" i="2"/>
  <c r="M36" i="28" s="1"/>
  <c r="Z282" i="2"/>
  <c r="M64" i="28" s="1"/>
  <c r="Z255" i="2"/>
  <c r="M37" i="28" s="1"/>
  <c r="Z286" i="2"/>
  <c r="M68" i="28" s="1"/>
  <c r="Z287" i="2"/>
  <c r="M69" i="28" s="1"/>
  <c r="Z251" i="2"/>
  <c r="M33" i="28" s="1"/>
  <c r="Z289" i="2"/>
  <c r="M71" i="28" s="1"/>
  <c r="Z293" i="2"/>
  <c r="M75" i="28" s="1"/>
  <c r="Z280" i="2"/>
  <c r="M62" i="28" s="1"/>
  <c r="Z277" i="2"/>
  <c r="M59" i="28" s="1"/>
  <c r="Z278" i="2"/>
  <c r="M60" i="28" s="1"/>
  <c r="Z272" i="2"/>
  <c r="M54" i="28" s="1"/>
  <c r="Z273" i="2"/>
  <c r="M55" i="28" s="1"/>
  <c r="Z269" i="2"/>
  <c r="M51" i="28" s="1"/>
  <c r="Z256" i="2"/>
  <c r="M38" i="28" s="1"/>
  <c r="Z276" i="2"/>
  <c r="M58" i="28" s="1"/>
  <c r="V148" i="2"/>
  <c r="H5" i="2"/>
  <c r="G5" i="2"/>
  <c r="H13" i="2"/>
  <c r="G13" i="2"/>
  <c r="V205" i="2"/>
  <c r="H6" i="2"/>
  <c r="G6" i="2"/>
  <c r="H11" i="2"/>
  <c r="G11" i="2"/>
  <c r="H8" i="2"/>
  <c r="G8" i="2"/>
  <c r="H9" i="2"/>
  <c r="G9" i="2"/>
  <c r="H3" i="2"/>
  <c r="G3" i="2"/>
  <c r="H4" i="2"/>
  <c r="G4" i="2"/>
  <c r="H7" i="2"/>
  <c r="G7" i="2"/>
  <c r="AJ224" i="6"/>
  <c r="AY188" i="2"/>
  <c r="Z205" i="2"/>
  <c r="X162" i="2"/>
  <c r="X205" i="2"/>
  <c r="M30" i="2"/>
  <c r="M31" i="2" s="1"/>
  <c r="H52" i="34" s="1"/>
  <c r="AJ81" i="6"/>
  <c r="T191" i="6"/>
  <c r="W56" i="21" s="1"/>
  <c r="T218" i="6"/>
  <c r="V11" i="10" s="1"/>
  <c r="O30" i="2"/>
  <c r="O31" i="2" s="1"/>
  <c r="J52" i="34" s="1"/>
  <c r="AJ220" i="6"/>
  <c r="AJ216" i="6"/>
  <c r="AJ228" i="6"/>
  <c r="AJ211" i="6"/>
  <c r="AL170" i="6"/>
  <c r="AL220" i="6"/>
  <c r="AL216" i="6"/>
  <c r="AL211" i="6"/>
  <c r="AL224" i="6"/>
  <c r="AL228" i="6"/>
  <c r="AJ253" i="6"/>
  <c r="AJ183" i="6"/>
  <c r="AJ170" i="6"/>
  <c r="AJ166" i="6"/>
  <c r="AL187" i="6"/>
  <c r="AL183" i="6"/>
  <c r="AL166" i="6"/>
  <c r="AL151" i="6"/>
  <c r="AL155" i="6"/>
  <c r="AL142" i="6"/>
  <c r="AL146" i="6"/>
  <c r="AJ394" i="6"/>
  <c r="AJ65" i="6"/>
  <c r="AJ155" i="6"/>
  <c r="AJ146" i="6"/>
  <c r="AJ367" i="6"/>
  <c r="AJ162" i="6"/>
  <c r="AV163" i="2"/>
  <c r="AV167" i="2"/>
  <c r="BC167" i="2" s="1"/>
  <c r="BB167" i="2" s="1"/>
  <c r="AJ142" i="6"/>
  <c r="AJ151" i="6"/>
  <c r="AJ323" i="6"/>
  <c r="AL314" i="6"/>
  <c r="AJ319" i="6"/>
  <c r="AJ372" i="6"/>
  <c r="AJ32" i="6"/>
  <c r="AJ53" i="6"/>
  <c r="AJ34" i="6"/>
  <c r="AO175" i="6"/>
  <c r="AO177" i="6" s="1"/>
  <c r="AJ36" i="6"/>
  <c r="AJ172" i="6"/>
  <c r="AJ26" i="6"/>
  <c r="AJ257" i="6"/>
  <c r="AJ55" i="6"/>
  <c r="AJ38" i="6"/>
  <c r="AJ267" i="6"/>
  <c r="AJ71" i="6"/>
  <c r="AJ386" i="6"/>
  <c r="AJ314" i="6"/>
  <c r="AJ380" i="6"/>
  <c r="AJ40" i="6"/>
  <c r="AJ382" i="6"/>
  <c r="AJ310" i="6"/>
  <c r="AJ239" i="6"/>
  <c r="AJ244" i="6"/>
  <c r="AJ57" i="6"/>
  <c r="AJ49" i="6"/>
  <c r="AJ28" i="6"/>
  <c r="AJ42" i="6"/>
  <c r="AJ30" i="6"/>
  <c r="AU51" i="6"/>
  <c r="S30" i="2"/>
  <c r="S31" i="2" s="1"/>
  <c r="N52" i="34" s="1"/>
  <c r="BC174" i="2"/>
  <c r="AL319" i="6"/>
  <c r="AL63" i="6"/>
  <c r="AL253" i="6"/>
  <c r="AL382" i="6"/>
  <c r="AL57" i="6"/>
  <c r="AL267" i="6"/>
  <c r="AL244" i="6"/>
  <c r="AL257" i="6"/>
  <c r="AL386" i="6"/>
  <c r="AL81" i="6"/>
  <c r="AL310" i="6"/>
  <c r="BA174" i="2"/>
  <c r="Q30" i="2"/>
  <c r="Q31" i="2" s="1"/>
  <c r="BA188" i="2"/>
  <c r="AV181" i="2"/>
  <c r="AV178" i="2" s="1"/>
  <c r="AU185" i="2"/>
  <c r="AW188" i="2" s="1"/>
  <c r="AU174" i="2"/>
  <c r="K30" i="2"/>
  <c r="K31" i="2" s="1"/>
  <c r="F52" i="34" s="1"/>
  <c r="AL162" i="6"/>
  <c r="AL323" i="6"/>
  <c r="AL49" i="6"/>
  <c r="AL239" i="6"/>
  <c r="AQ175" i="6"/>
  <c r="AQ177" i="6" s="1"/>
  <c r="AL376" i="6"/>
  <c r="AL84" i="6"/>
  <c r="AL34" i="6"/>
  <c r="AL32" i="6"/>
  <c r="AL71" i="6"/>
  <c r="AL53" i="6"/>
  <c r="AL30" i="6"/>
  <c r="AL28" i="6"/>
  <c r="AL65" i="6"/>
  <c r="AL394" i="6"/>
  <c r="AL51" i="6"/>
  <c r="AL42" i="6"/>
  <c r="AL249" i="6"/>
  <c r="AL40" i="6"/>
  <c r="AL55" i="6"/>
  <c r="AL36" i="6"/>
  <c r="AL38" i="6"/>
  <c r="X409" i="2"/>
  <c r="AW174" i="2"/>
  <c r="X230" i="2"/>
  <c r="T41" i="6"/>
  <c r="V21" i="12" s="1"/>
  <c r="T134" i="6"/>
  <c r="V34" i="9" s="1"/>
  <c r="X253" i="2"/>
  <c r="K35" i="28" s="1"/>
  <c r="X267" i="2"/>
  <c r="K49" i="28" s="1"/>
  <c r="X268" i="2"/>
  <c r="K50" i="28" s="1"/>
  <c r="X291" i="2"/>
  <c r="K73" i="28" s="1"/>
  <c r="X284" i="2"/>
  <c r="K66" i="28" s="1"/>
  <c r="X178" i="2"/>
  <c r="X116" i="2"/>
  <c r="X148" i="2"/>
  <c r="X292" i="2"/>
  <c r="K74" i="28" s="1"/>
  <c r="X289" i="2"/>
  <c r="K71" i="28" s="1"/>
  <c r="X362" i="2"/>
  <c r="V96" i="2"/>
  <c r="V109" i="2"/>
  <c r="V112" i="2"/>
  <c r="V93" i="2"/>
  <c r="V100" i="2"/>
  <c r="V99" i="2"/>
  <c r="V97" i="2"/>
  <c r="V110" i="2"/>
  <c r="V103" i="2"/>
  <c r="V98" i="2"/>
  <c r="V111" i="2"/>
  <c r="V104" i="2"/>
  <c r="V105" i="2"/>
  <c r="V113" i="2"/>
  <c r="V94" i="2"/>
  <c r="V107" i="2"/>
  <c r="V95" i="2"/>
  <c r="V108" i="2"/>
  <c r="V106" i="2"/>
  <c r="V101" i="2"/>
  <c r="V102" i="2"/>
  <c r="X364" i="2"/>
  <c r="X371" i="2"/>
  <c r="X372" i="2"/>
  <c r="Z108" i="2"/>
  <c r="Z102" i="2"/>
  <c r="Z96" i="2"/>
  <c r="Z97" i="2"/>
  <c r="Z111" i="2"/>
  <c r="Z105" i="2"/>
  <c r="Z93" i="2"/>
  <c r="Z94" i="2"/>
  <c r="Z107" i="2"/>
  <c r="Z100" i="2"/>
  <c r="Z99" i="2"/>
  <c r="Z109" i="2"/>
  <c r="Z98" i="2"/>
  <c r="Z110" i="2"/>
  <c r="Z103" i="2"/>
  <c r="Z104" i="2"/>
  <c r="Z113" i="2"/>
  <c r="Z112" i="2"/>
  <c r="Z101" i="2"/>
  <c r="Z106" i="2"/>
  <c r="Z95" i="2"/>
  <c r="X276" i="2"/>
  <c r="K58" i="28" s="1"/>
  <c r="X208" i="2"/>
  <c r="X287" i="2"/>
  <c r="K69" i="28" s="1"/>
  <c r="X187" i="2"/>
  <c r="X108" i="2"/>
  <c r="X111" i="2"/>
  <c r="X102" i="2"/>
  <c r="X104" i="2"/>
  <c r="X105" i="2"/>
  <c r="X112" i="2"/>
  <c r="X96" i="2"/>
  <c r="X109" i="2"/>
  <c r="X99" i="2"/>
  <c r="X97" i="2"/>
  <c r="X110" i="2"/>
  <c r="X103" i="2"/>
  <c r="X98" i="2"/>
  <c r="X93" i="2"/>
  <c r="X100" i="2"/>
  <c r="X106" i="2"/>
  <c r="X94" i="2"/>
  <c r="X101" i="2"/>
  <c r="X107" i="2"/>
  <c r="X95" i="2"/>
  <c r="X113" i="2"/>
  <c r="X219" i="2"/>
  <c r="X361" i="2"/>
  <c r="X258" i="2"/>
  <c r="K40" i="28" s="1"/>
  <c r="X196" i="2"/>
  <c r="X202" i="2"/>
  <c r="X356" i="2"/>
  <c r="X154" i="2"/>
  <c r="X365" i="2"/>
  <c r="X257" i="2"/>
  <c r="K39" i="28" s="1"/>
  <c r="X263" i="2"/>
  <c r="K45" i="28" s="1"/>
  <c r="X47" i="2"/>
  <c r="X369" i="2"/>
  <c r="X79" i="2"/>
  <c r="X358" i="2"/>
  <c r="X373" i="2"/>
  <c r="X62" i="2"/>
  <c r="X262" i="2"/>
  <c r="K44" i="28" s="1"/>
  <c r="X247" i="2"/>
  <c r="X251" i="2"/>
  <c r="K33" i="28" s="1"/>
  <c r="X298" i="2"/>
  <c r="K80" i="28" s="1"/>
  <c r="X272" i="2"/>
  <c r="K54" i="28" s="1"/>
  <c r="X296" i="2"/>
  <c r="K78" i="28" s="1"/>
  <c r="X290" i="2"/>
  <c r="K72" i="28" s="1"/>
  <c r="X286" i="2"/>
  <c r="K68" i="28" s="1"/>
  <c r="X285" i="2"/>
  <c r="K67" i="28" s="1"/>
  <c r="X297" i="2"/>
  <c r="K79" i="28" s="1"/>
  <c r="X266" i="2"/>
  <c r="K48" i="28" s="1"/>
  <c r="X275" i="2"/>
  <c r="K57" i="28" s="1"/>
  <c r="X270" i="2"/>
  <c r="K52" i="28" s="1"/>
  <c r="X295" i="2"/>
  <c r="K77" i="28" s="1"/>
  <c r="X254" i="2"/>
  <c r="K36" i="28" s="1"/>
  <c r="M288" i="2"/>
  <c r="X288" i="2" s="1"/>
  <c r="K70" i="28" s="1"/>
  <c r="X282" i="2"/>
  <c r="K64" i="28" s="1"/>
  <c r="X260" i="2"/>
  <c r="K42" i="28" s="1"/>
  <c r="X259" i="2"/>
  <c r="K41" i="28" s="1"/>
  <c r="X305" i="2"/>
  <c r="BF254" i="2"/>
  <c r="X273" i="2"/>
  <c r="K55" i="28" s="1"/>
  <c r="X261" i="2"/>
  <c r="K43" i="28" s="1"/>
  <c r="X264" i="2"/>
  <c r="K46" i="28" s="1"/>
  <c r="X39" i="2"/>
  <c r="X57" i="2"/>
  <c r="X280" i="2"/>
  <c r="K62" i="28" s="1"/>
  <c r="X277" i="2"/>
  <c r="K59" i="28" s="1"/>
  <c r="X70" i="2"/>
  <c r="X299" i="2"/>
  <c r="K81" i="28" s="1"/>
  <c r="X256" i="2"/>
  <c r="K38" i="28" s="1"/>
  <c r="X278" i="2"/>
  <c r="K60" i="28" s="1"/>
  <c r="X271" i="2"/>
  <c r="K53" i="28" s="1"/>
  <c r="X67" i="2"/>
  <c r="X294" i="2"/>
  <c r="K76" i="28" s="1"/>
  <c r="X59" i="2"/>
  <c r="X46" i="2"/>
  <c r="X237" i="2"/>
  <c r="X63" i="2"/>
  <c r="X226" i="2"/>
  <c r="X352" i="2"/>
  <c r="X229" i="2"/>
  <c r="X313" i="2"/>
  <c r="X351" i="2"/>
  <c r="X241" i="2"/>
  <c r="X37" i="2"/>
  <c r="X413" i="2"/>
  <c r="X363" i="2"/>
  <c r="X269" i="2"/>
  <c r="K51" i="28" s="1"/>
  <c r="X293" i="2"/>
  <c r="K75" i="28" s="1"/>
  <c r="X274" i="2"/>
  <c r="K56" i="28" s="1"/>
  <c r="X309" i="2"/>
  <c r="X82" i="2"/>
  <c r="V36" i="2"/>
  <c r="V55" i="2"/>
  <c r="E13" i="2"/>
  <c r="I8" i="1" s="1"/>
  <c r="E9" i="2"/>
  <c r="G8" i="1" s="1"/>
  <c r="E8" i="2"/>
  <c r="G7" i="1" s="1"/>
  <c r="E12" i="2"/>
  <c r="I7" i="1" s="1"/>
  <c r="E6" i="2"/>
  <c r="E5" i="2"/>
  <c r="E4" i="2"/>
  <c r="E3" i="2"/>
  <c r="X367" i="2"/>
  <c r="X255" i="2"/>
  <c r="K37" i="28" s="1"/>
  <c r="X243" i="2"/>
  <c r="X61" i="2"/>
  <c r="X55" i="2"/>
  <c r="X45" i="2"/>
  <c r="X383" i="2"/>
  <c r="X370" i="2"/>
  <c r="X64" i="2"/>
  <c r="X248" i="2"/>
  <c r="X146" i="2"/>
  <c r="X360" i="2"/>
  <c r="X359" i="2"/>
  <c r="X354" i="2"/>
  <c r="X85" i="2"/>
  <c r="BF286" i="2"/>
  <c r="X265" i="2"/>
  <c r="K47" i="28" s="1"/>
  <c r="BA71" i="2"/>
  <c r="AV53" i="2"/>
  <c r="X83" i="2"/>
  <c r="X48" i="2"/>
  <c r="X41" i="2"/>
  <c r="X43" i="2"/>
  <c r="X65" i="2"/>
  <c r="X318" i="2"/>
  <c r="X60" i="2"/>
  <c r="X312" i="2"/>
  <c r="X68" i="2"/>
  <c r="X87" i="2"/>
  <c r="X66" i="2"/>
  <c r="X77" i="2"/>
  <c r="X38" i="2"/>
  <c r="X374" i="2"/>
  <c r="X52" i="2"/>
  <c r="X69" i="2"/>
  <c r="X304" i="2"/>
  <c r="X314" i="2"/>
  <c r="X234" i="2"/>
  <c r="X244" i="2"/>
  <c r="X72" i="2"/>
  <c r="X238" i="2"/>
  <c r="X49" i="2"/>
  <c r="X88" i="2"/>
  <c r="X232" i="2"/>
  <c r="X225" i="2"/>
  <c r="X53" i="2"/>
  <c r="X240" i="2"/>
  <c r="X246" i="2"/>
  <c r="X375" i="2"/>
  <c r="X245" i="2"/>
  <c r="X242" i="2"/>
  <c r="X90" i="2"/>
  <c r="X86" i="2"/>
  <c r="X235" i="2"/>
  <c r="X231" i="2"/>
  <c r="X84" i="2"/>
  <c r="X73" i="2"/>
  <c r="X71" i="2"/>
  <c r="X236" i="2"/>
  <c r="X40" i="2"/>
  <c r="X308" i="2"/>
  <c r="X233" i="2"/>
  <c r="X353" i="2"/>
  <c r="X311" i="2"/>
  <c r="X416" i="2"/>
  <c r="X407" i="2"/>
  <c r="X89" i="2"/>
  <c r="X227" i="2"/>
  <c r="X224" i="2"/>
  <c r="X306" i="2"/>
  <c r="X307" i="2"/>
  <c r="AD36" i="2"/>
  <c r="X56" i="2"/>
  <c r="X36" i="2"/>
  <c r="X51" i="2"/>
  <c r="X54" i="2"/>
  <c r="X58" i="2"/>
  <c r="X80" i="2"/>
  <c r="X376" i="2"/>
  <c r="X302" i="2"/>
  <c r="X303" i="2"/>
  <c r="X315" i="2"/>
  <c r="X310" i="2"/>
  <c r="X239" i="2"/>
  <c r="X44" i="2"/>
  <c r="AV40" i="2"/>
  <c r="BB40" i="2" s="1"/>
  <c r="BA40" i="2" s="1"/>
  <c r="AB36" i="2"/>
  <c r="X223" i="2"/>
  <c r="X124" i="2"/>
  <c r="X75" i="2"/>
  <c r="X74" i="2"/>
  <c r="X355" i="2"/>
  <c r="X120" i="2"/>
  <c r="X319" i="2"/>
  <c r="X357" i="2"/>
  <c r="X209" i="2"/>
  <c r="X125" i="2"/>
  <c r="X139" i="2"/>
  <c r="X131" i="2"/>
  <c r="X123" i="2"/>
  <c r="X145" i="2"/>
  <c r="X117" i="2"/>
  <c r="X121" i="2"/>
  <c r="X140" i="2"/>
  <c r="X317" i="2"/>
  <c r="X147" i="2"/>
  <c r="X137" i="2"/>
  <c r="X129" i="2"/>
  <c r="X144" i="2"/>
  <c r="X136" i="2"/>
  <c r="X132" i="2"/>
  <c r="X128" i="2"/>
  <c r="X174" i="2"/>
  <c r="X395" i="2"/>
  <c r="X138" i="2"/>
  <c r="AU68" i="2"/>
  <c r="AW71" i="2" s="1"/>
  <c r="AY43" i="2"/>
  <c r="Z87" i="2"/>
  <c r="X390" i="2"/>
  <c r="X122" i="2"/>
  <c r="X391" i="2"/>
  <c r="X118" i="2"/>
  <c r="X78" i="2"/>
  <c r="X76" i="2"/>
  <c r="X134" i="2"/>
  <c r="X430" i="2"/>
  <c r="X142" i="2"/>
  <c r="X386" i="2"/>
  <c r="X425" i="2"/>
  <c r="X126" i="2"/>
  <c r="X135" i="2"/>
  <c r="X399" i="2"/>
  <c r="X397" i="2"/>
  <c r="X421" i="2"/>
  <c r="X423" i="2"/>
  <c r="X417" i="2"/>
  <c r="X143" i="2"/>
  <c r="X394" i="2"/>
  <c r="X127" i="2"/>
  <c r="X119" i="2"/>
  <c r="X81" i="2"/>
  <c r="X141" i="2"/>
  <c r="X426" i="2"/>
  <c r="X400" i="2"/>
  <c r="X379" i="2"/>
  <c r="X130" i="2"/>
  <c r="X133" i="2"/>
  <c r="X392" i="2"/>
  <c r="X42" i="2"/>
  <c r="X186" i="2"/>
  <c r="X159" i="2"/>
  <c r="X381" i="2"/>
  <c r="X420" i="2"/>
  <c r="X418" i="2"/>
  <c r="X382" i="2"/>
  <c r="X387" i="2"/>
  <c r="X393" i="2"/>
  <c r="X380" i="2"/>
  <c r="X406" i="2"/>
  <c r="X214" i="2"/>
  <c r="X173" i="2"/>
  <c r="X211" i="2"/>
  <c r="X216" i="2"/>
  <c r="X203" i="2"/>
  <c r="X201" i="2"/>
  <c r="X204" i="2"/>
  <c r="X157" i="2"/>
  <c r="X176" i="2"/>
  <c r="X217" i="2"/>
  <c r="X168" i="2"/>
  <c r="X155" i="2"/>
  <c r="X220" i="2"/>
  <c r="X164" i="2"/>
  <c r="X165" i="2"/>
  <c r="X195" i="2"/>
  <c r="X169" i="2"/>
  <c r="X171" i="2"/>
  <c r="X215" i="2"/>
  <c r="X182" i="2"/>
  <c r="X180" i="2"/>
  <c r="X163" i="2"/>
  <c r="X199" i="2"/>
  <c r="X207" i="2"/>
  <c r="X181" i="2"/>
  <c r="X153" i="2"/>
  <c r="X189" i="2"/>
  <c r="X213" i="2"/>
  <c r="X166" i="2"/>
  <c r="X218" i="2"/>
  <c r="X210" i="2"/>
  <c r="X179" i="2"/>
  <c r="X158" i="2"/>
  <c r="X194" i="2"/>
  <c r="X193" i="2"/>
  <c r="X183" i="2"/>
  <c r="X172" i="2"/>
  <c r="X151" i="2"/>
  <c r="X184" i="2"/>
  <c r="X177" i="2"/>
  <c r="X156" i="2"/>
  <c r="X167" i="2"/>
  <c r="X197" i="2"/>
  <c r="X161" i="2"/>
  <c r="X190" i="2"/>
  <c r="X170" i="2"/>
  <c r="X200" i="2"/>
  <c r="X212" i="2"/>
  <c r="X175" i="2"/>
  <c r="X206" i="2"/>
  <c r="X185" i="2"/>
  <c r="X160" i="2"/>
  <c r="X152" i="2"/>
  <c r="X405" i="2"/>
  <c r="X385" i="2"/>
  <c r="X410" i="2"/>
  <c r="X388" i="2"/>
  <c r="N3" i="6"/>
  <c r="X389" i="2"/>
  <c r="X414" i="2"/>
  <c r="X427" i="2"/>
  <c r="X408" i="2"/>
  <c r="X424" i="2"/>
  <c r="X411" i="2"/>
  <c r="X419" i="2"/>
  <c r="X396" i="2"/>
  <c r="X415" i="2"/>
  <c r="X404" i="2"/>
  <c r="X401" i="2"/>
  <c r="X428" i="2"/>
  <c r="X403" i="2"/>
  <c r="AD84" i="2"/>
  <c r="AD76" i="2"/>
  <c r="AD45" i="2"/>
  <c r="AD88" i="2"/>
  <c r="AD47" i="2"/>
  <c r="AD77" i="2"/>
  <c r="AD87" i="2"/>
  <c r="AD70" i="2"/>
  <c r="AD53" i="2"/>
  <c r="AD90" i="2"/>
  <c r="AD63" i="2"/>
  <c r="AD62" i="2"/>
  <c r="AD61" i="2"/>
  <c r="AD42" i="2"/>
  <c r="AD75" i="2"/>
  <c r="AD67" i="2"/>
  <c r="AD69" i="2"/>
  <c r="AD37" i="2"/>
  <c r="AD40" i="2"/>
  <c r="AD59" i="2"/>
  <c r="AD71" i="2"/>
  <c r="AD48" i="2"/>
  <c r="AD38" i="2"/>
  <c r="AD57" i="2"/>
  <c r="AD60" i="2"/>
  <c r="AD73" i="2"/>
  <c r="AD64" i="2"/>
  <c r="AD78" i="2"/>
  <c r="AD66" i="2"/>
  <c r="AD83" i="2"/>
  <c r="AD72" i="2"/>
  <c r="AD44" i="2"/>
  <c r="AD65" i="2"/>
  <c r="AD82" i="2"/>
  <c r="AD41" i="2"/>
  <c r="AD46" i="2"/>
  <c r="AD43" i="2"/>
  <c r="AD68" i="2"/>
  <c r="AD81" i="2"/>
  <c r="AD49" i="2"/>
  <c r="AD85" i="2"/>
  <c r="AD79" i="2"/>
  <c r="AD86" i="2"/>
  <c r="AD39" i="2"/>
  <c r="AD52" i="2"/>
  <c r="AD80" i="2"/>
  <c r="AD58" i="2"/>
  <c r="AD50" i="2"/>
  <c r="AD89" i="2"/>
  <c r="AD74" i="2"/>
  <c r="AD51" i="2"/>
  <c r="AD369" i="2"/>
  <c r="AD372" i="2"/>
  <c r="AD365" i="2"/>
  <c r="AD355" i="2"/>
  <c r="AD353" i="2"/>
  <c r="AD374" i="2"/>
  <c r="AD357" i="2"/>
  <c r="AD371" i="2"/>
  <c r="AD375" i="2"/>
  <c r="AD356" i="2"/>
  <c r="AD367" i="2"/>
  <c r="AD376" i="2"/>
  <c r="AD370" i="2"/>
  <c r="AD363" i="2"/>
  <c r="AD359" i="2"/>
  <c r="AD373" i="2"/>
  <c r="AD354" i="2"/>
  <c r="AD364" i="2"/>
  <c r="AD358" i="2"/>
  <c r="AD360" i="2"/>
  <c r="AD362" i="2"/>
  <c r="AD351" i="2"/>
  <c r="AD352" i="2"/>
  <c r="AD361" i="2"/>
  <c r="AD368" i="2"/>
  <c r="AD413" i="2"/>
  <c r="AD383" i="2"/>
  <c r="AD403" i="2"/>
  <c r="AD421" i="2"/>
  <c r="AD392" i="2"/>
  <c r="AD401" i="2"/>
  <c r="AD406" i="2"/>
  <c r="AD414" i="2"/>
  <c r="T3" i="6"/>
  <c r="AD389" i="2"/>
  <c r="AD387" i="2"/>
  <c r="AD419" i="2"/>
  <c r="AD404" i="2"/>
  <c r="AD425" i="2"/>
  <c r="AD393" i="2"/>
  <c r="AD426" i="2"/>
  <c r="AD418" i="2"/>
  <c r="AD424" i="2"/>
  <c r="AD396" i="2"/>
  <c r="AD382" i="2"/>
  <c r="AD391" i="2"/>
  <c r="AD430" i="2"/>
  <c r="AD394" i="2"/>
  <c r="AD380" i="2"/>
  <c r="AD410" i="2"/>
  <c r="AD428" i="2"/>
  <c r="AD415" i="2"/>
  <c r="AD381" i="2"/>
  <c r="AD427" i="2"/>
  <c r="AD379" i="2"/>
  <c r="AD407" i="2"/>
  <c r="AD388" i="2"/>
  <c r="AD423" i="2"/>
  <c r="AD409" i="2"/>
  <c r="AD405" i="2"/>
  <c r="AD420" i="2"/>
  <c r="AD390" i="2"/>
  <c r="AD395" i="2"/>
  <c r="AD399" i="2"/>
  <c r="AD386" i="2"/>
  <c r="AD417" i="2"/>
  <c r="AD385" i="2"/>
  <c r="AD400" i="2"/>
  <c r="AD397" i="2"/>
  <c r="AD408" i="2"/>
  <c r="AD416" i="2"/>
  <c r="AD411" i="2"/>
  <c r="AD93" i="2"/>
  <c r="AD107" i="2"/>
  <c r="AD103" i="2"/>
  <c r="AD94" i="2"/>
  <c r="AD109" i="2"/>
  <c r="AD105" i="2"/>
  <c r="AD100" i="2"/>
  <c r="AD99" i="2"/>
  <c r="AD106" i="2"/>
  <c r="AD113" i="2"/>
  <c r="AD96" i="2"/>
  <c r="AD98" i="2"/>
  <c r="AD95" i="2"/>
  <c r="AD104" i="2"/>
  <c r="AD97" i="2"/>
  <c r="AD110" i="2"/>
  <c r="AD101" i="2"/>
  <c r="AD111" i="2"/>
  <c r="AD102" i="2"/>
  <c r="AD112" i="2"/>
  <c r="AD108" i="2"/>
  <c r="BL254" i="2"/>
  <c r="AD251" i="2"/>
  <c r="Q33" i="28" s="1"/>
  <c r="AD286" i="2"/>
  <c r="Q68" i="28" s="1"/>
  <c r="AD272" i="2"/>
  <c r="Q54" i="28" s="1"/>
  <c r="AD292" i="2"/>
  <c r="Q74" i="28" s="1"/>
  <c r="AD273" i="2"/>
  <c r="Q55" i="28" s="1"/>
  <c r="AD299" i="2"/>
  <c r="Q81" i="28" s="1"/>
  <c r="AD269" i="2"/>
  <c r="Q51" i="28" s="1"/>
  <c r="AD291" i="2"/>
  <c r="Q73" i="28" s="1"/>
  <c r="AD268" i="2"/>
  <c r="Q50" i="28" s="1"/>
  <c r="AD294" i="2"/>
  <c r="Q76" i="28" s="1"/>
  <c r="AD270" i="2"/>
  <c r="Q52" i="28" s="1"/>
  <c r="AD255" i="2"/>
  <c r="Q37" i="28" s="1"/>
  <c r="AD274" i="2"/>
  <c r="Q56" i="28" s="1"/>
  <c r="AD298" i="2"/>
  <c r="Q80" i="28" s="1"/>
  <c r="AD293" i="2"/>
  <c r="Q75" i="28" s="1"/>
  <c r="AD254" i="2"/>
  <c r="Q36" i="28" s="1"/>
  <c r="AD289" i="2"/>
  <c r="Q71" i="28" s="1"/>
  <c r="AD296" i="2"/>
  <c r="Q78" i="28" s="1"/>
  <c r="AD271" i="2"/>
  <c r="Q53" i="28" s="1"/>
  <c r="AD276" i="2"/>
  <c r="Q58" i="28" s="1"/>
  <c r="AD253" i="2"/>
  <c r="Q35" i="28" s="1"/>
  <c r="AD275" i="2"/>
  <c r="Q57" i="28" s="1"/>
  <c r="AD277" i="2"/>
  <c r="Q59" i="28" s="1"/>
  <c r="AD267" i="2"/>
  <c r="Q49" i="28" s="1"/>
  <c r="AD252" i="2"/>
  <c r="Q34" i="28" s="1"/>
  <c r="AD287" i="2"/>
  <c r="Q69" i="28" s="1"/>
  <c r="AD297" i="2"/>
  <c r="Q79" i="28" s="1"/>
  <c r="AD256" i="2"/>
  <c r="Q38" i="28" s="1"/>
  <c r="AD284" i="2"/>
  <c r="Q66" i="28" s="1"/>
  <c r="AD282" i="2"/>
  <c r="Q64" i="28" s="1"/>
  <c r="AD290" i="2"/>
  <c r="Q72" i="28" s="1"/>
  <c r="AD278" i="2"/>
  <c r="Q60" i="28" s="1"/>
  <c r="AD285" i="2"/>
  <c r="Q67" i="28" s="1"/>
  <c r="BL286" i="2"/>
  <c r="AD280" i="2"/>
  <c r="Q62" i="28" s="1"/>
  <c r="AD295" i="2"/>
  <c r="Q77" i="28" s="1"/>
  <c r="AD122" i="2"/>
  <c r="AD124" i="2"/>
  <c r="AD118" i="2"/>
  <c r="AD126" i="2"/>
  <c r="AD136" i="2"/>
  <c r="AD130" i="2"/>
  <c r="AD134" i="2"/>
  <c r="AD142" i="2"/>
  <c r="AD128" i="2"/>
  <c r="AD144" i="2"/>
  <c r="AD138" i="2"/>
  <c r="AD146" i="2"/>
  <c r="AD132" i="2"/>
  <c r="AD140" i="2"/>
  <c r="AD120" i="2"/>
  <c r="AD127" i="2"/>
  <c r="AD131" i="2"/>
  <c r="AD135" i="2"/>
  <c r="AD139" i="2"/>
  <c r="AD143" i="2"/>
  <c r="AD147" i="2"/>
  <c r="AD117" i="2"/>
  <c r="AD121" i="2"/>
  <c r="AD116" i="2"/>
  <c r="AD119" i="2"/>
  <c r="AD123" i="2"/>
  <c r="AD125" i="2"/>
  <c r="AD129" i="2"/>
  <c r="AD141" i="2"/>
  <c r="AD145" i="2"/>
  <c r="AD133" i="2"/>
  <c r="AD137" i="2"/>
  <c r="AD206" i="2"/>
  <c r="AD152" i="2"/>
  <c r="AD159" i="2"/>
  <c r="AD218" i="2"/>
  <c r="AD189" i="2"/>
  <c r="AD161" i="2"/>
  <c r="AD214" i="2"/>
  <c r="AD216" i="2"/>
  <c r="AD155" i="2"/>
  <c r="AD176" i="2"/>
  <c r="AD173" i="2"/>
  <c r="AD220" i="2"/>
  <c r="AD168" i="2"/>
  <c r="AD212" i="2"/>
  <c r="AD188" i="2"/>
  <c r="AD154" i="2"/>
  <c r="AD170" i="2"/>
  <c r="AD187" i="2"/>
  <c r="AD185" i="2"/>
  <c r="AD217" i="2"/>
  <c r="AD153" i="2"/>
  <c r="AD200" i="2"/>
  <c r="AD169" i="2"/>
  <c r="AD196" i="2"/>
  <c r="AD164" i="2"/>
  <c r="AD219" i="2"/>
  <c r="AD163" i="2"/>
  <c r="AD201" i="2"/>
  <c r="AD151" i="2"/>
  <c r="AD208" i="2"/>
  <c r="AD204" i="2"/>
  <c r="AD213" i="2"/>
  <c r="AD182" i="2"/>
  <c r="AD180" i="2"/>
  <c r="AD207" i="2"/>
  <c r="AD190" i="2"/>
  <c r="AD156" i="2"/>
  <c r="AD160" i="2"/>
  <c r="AD211" i="2"/>
  <c r="AD181" i="2"/>
  <c r="AD167" i="2"/>
  <c r="AD157" i="2"/>
  <c r="AD175" i="2"/>
  <c r="AD195" i="2"/>
  <c r="AD186" i="2"/>
  <c r="AD165" i="2"/>
  <c r="BC158" i="2"/>
  <c r="AD177" i="2"/>
  <c r="AD197" i="2"/>
  <c r="AD199" i="2"/>
  <c r="AD184" i="2"/>
  <c r="AD194" i="2"/>
  <c r="AD162" i="2"/>
  <c r="AD183" i="2"/>
  <c r="AD202" i="2"/>
  <c r="AD158" i="2"/>
  <c r="AD179" i="2"/>
  <c r="AD210" i="2"/>
  <c r="AD215" i="2"/>
  <c r="AD166" i="2"/>
  <c r="AD172" i="2"/>
  <c r="AD203" i="2"/>
  <c r="AD318" i="2"/>
  <c r="AD317" i="2"/>
  <c r="AD308" i="2"/>
  <c r="AD312" i="2"/>
  <c r="AD304" i="2"/>
  <c r="AD316" i="2"/>
  <c r="AD309" i="2"/>
  <c r="AD303" i="2"/>
  <c r="AD310" i="2"/>
  <c r="AD307" i="2"/>
  <c r="AD305" i="2"/>
  <c r="AD302" i="2"/>
  <c r="AD315" i="2"/>
  <c r="AD314" i="2"/>
  <c r="AD319" i="2"/>
  <c r="AD313" i="2"/>
  <c r="AD306" i="2"/>
  <c r="AD311" i="2"/>
  <c r="AD233" i="2"/>
  <c r="AD232" i="2"/>
  <c r="AX238" i="2"/>
  <c r="AD241" i="2"/>
  <c r="AD235" i="2"/>
  <c r="AD246" i="2"/>
  <c r="AD244" i="2"/>
  <c r="AD223" i="2"/>
  <c r="AD230" i="2"/>
  <c r="AD234" i="2"/>
  <c r="AD237" i="2"/>
  <c r="AD229" i="2"/>
  <c r="AD236" i="2"/>
  <c r="AD240" i="2"/>
  <c r="O288" i="2"/>
  <c r="Z288" i="2" s="1"/>
  <c r="AY274" i="2"/>
  <c r="T174" i="6"/>
  <c r="W39" i="21" s="1"/>
  <c r="T300" i="6"/>
  <c r="V14" i="15" s="1"/>
  <c r="T270" i="6"/>
  <c r="W35" i="8" s="1"/>
  <c r="BF274" i="2"/>
  <c r="T312" i="6"/>
  <c r="U6" i="14" s="1"/>
  <c r="T333" i="6"/>
  <c r="U27" i="14" s="1"/>
  <c r="T165" i="6"/>
  <c r="W30" i="21" s="1"/>
  <c r="T145" i="6"/>
  <c r="W10" i="21" s="1"/>
  <c r="T299" i="6"/>
  <c r="V13" i="15" s="1"/>
  <c r="T72" i="6"/>
  <c r="V52" i="12" s="1"/>
  <c r="T376" i="6"/>
  <c r="V13" i="20" s="1"/>
  <c r="T170" i="6"/>
  <c r="W35" i="21" s="1"/>
  <c r="T378" i="6"/>
  <c r="V15" i="20" s="1"/>
  <c r="T205" i="6"/>
  <c r="W70" i="21" s="1"/>
  <c r="T368" i="6"/>
  <c r="V5" i="20" s="1"/>
  <c r="T320" i="6"/>
  <c r="U14" i="14" s="1"/>
  <c r="T252" i="6"/>
  <c r="W17" i="8" s="1"/>
  <c r="T124" i="6"/>
  <c r="V24" i="9" s="1"/>
  <c r="T91" i="6"/>
  <c r="V14" i="16" s="1"/>
  <c r="T82" i="6"/>
  <c r="V5" i="16" s="1"/>
  <c r="T54" i="6"/>
  <c r="V34" i="12" s="1"/>
  <c r="T409" i="6"/>
  <c r="V46" i="20" s="1"/>
  <c r="T74" i="6"/>
  <c r="V54" i="12" s="1"/>
  <c r="AV242" i="2"/>
  <c r="AV234" i="2"/>
  <c r="AV229" i="2"/>
  <c r="AV77" i="2"/>
  <c r="AV61" i="2"/>
  <c r="AB246" i="2"/>
  <c r="AB237" i="2"/>
  <c r="AB232" i="2"/>
  <c r="AB236" i="2"/>
  <c r="AB230" i="2"/>
  <c r="AB234" i="2"/>
  <c r="AB244" i="2"/>
  <c r="AB229" i="2"/>
  <c r="AB223" i="2"/>
  <c r="AV238" i="2"/>
  <c r="AB233" i="2"/>
  <c r="AB235" i="2"/>
  <c r="AB240" i="2"/>
  <c r="AB241" i="2"/>
  <c r="AB317" i="2"/>
  <c r="AB316" i="2"/>
  <c r="AB319" i="2"/>
  <c r="AB313" i="2"/>
  <c r="AB305" i="2"/>
  <c r="AB310" i="2"/>
  <c r="AB304" i="2"/>
  <c r="AB302" i="2"/>
  <c r="AB318" i="2"/>
  <c r="AB311" i="2"/>
  <c r="AB303" i="2"/>
  <c r="AB309" i="2"/>
  <c r="AB314" i="2"/>
  <c r="AB315" i="2"/>
  <c r="AB312" i="2"/>
  <c r="AB308" i="2"/>
  <c r="AB307" i="2"/>
  <c r="AB306" i="2"/>
  <c r="AB255" i="2"/>
  <c r="O37" i="28" s="1"/>
  <c r="AB287" i="2"/>
  <c r="O69" i="28" s="1"/>
  <c r="AB276" i="2"/>
  <c r="O58" i="28" s="1"/>
  <c r="AB294" i="2"/>
  <c r="O76" i="28" s="1"/>
  <c r="AB252" i="2"/>
  <c r="O34" i="28" s="1"/>
  <c r="AB256" i="2"/>
  <c r="O38" i="28" s="1"/>
  <c r="AB273" i="2"/>
  <c r="O55" i="28" s="1"/>
  <c r="AB298" i="2"/>
  <c r="O80" i="28" s="1"/>
  <c r="AB277" i="2"/>
  <c r="O59" i="28" s="1"/>
  <c r="AB253" i="2"/>
  <c r="O35" i="28" s="1"/>
  <c r="AB270" i="2"/>
  <c r="O52" i="28" s="1"/>
  <c r="AB269" i="2"/>
  <c r="O51" i="28" s="1"/>
  <c r="AB296" i="2"/>
  <c r="O78" i="28" s="1"/>
  <c r="AB284" i="2"/>
  <c r="O66" i="28" s="1"/>
  <c r="AB274" i="2"/>
  <c r="O56" i="28" s="1"/>
  <c r="AB286" i="2"/>
  <c r="O68" i="28" s="1"/>
  <c r="AB272" i="2"/>
  <c r="O54" i="28" s="1"/>
  <c r="AB285" i="2"/>
  <c r="O67" i="28" s="1"/>
  <c r="AB293" i="2"/>
  <c r="O75" i="28" s="1"/>
  <c r="AB280" i="2"/>
  <c r="O62" i="28" s="1"/>
  <c r="BJ286" i="2"/>
  <c r="AB292" i="2"/>
  <c r="O74" i="28" s="1"/>
  <c r="AB267" i="2"/>
  <c r="O49" i="28" s="1"/>
  <c r="AB282" i="2"/>
  <c r="O64" i="28" s="1"/>
  <c r="AB290" i="2"/>
  <c r="O72" i="28" s="1"/>
  <c r="AB254" i="2"/>
  <c r="O36" i="28" s="1"/>
  <c r="AB275" i="2"/>
  <c r="O57" i="28" s="1"/>
  <c r="AB268" i="2"/>
  <c r="O50" i="28" s="1"/>
  <c r="AB271" i="2"/>
  <c r="O53" i="28" s="1"/>
  <c r="AB291" i="2"/>
  <c r="O73" i="28" s="1"/>
  <c r="BJ254" i="2"/>
  <c r="AB297" i="2"/>
  <c r="O79" i="28" s="1"/>
  <c r="AB251" i="2"/>
  <c r="O33" i="28" s="1"/>
  <c r="AB295" i="2"/>
  <c r="O77" i="28" s="1"/>
  <c r="AB299" i="2"/>
  <c r="O81" i="28" s="1"/>
  <c r="AB278" i="2"/>
  <c r="O60" i="28" s="1"/>
  <c r="AB289" i="2"/>
  <c r="O71" i="28" s="1"/>
  <c r="AB173" i="2"/>
  <c r="AB182" i="2"/>
  <c r="AB188" i="2"/>
  <c r="AB194" i="2"/>
  <c r="AB210" i="2"/>
  <c r="AB163" i="2"/>
  <c r="AB167" i="2"/>
  <c r="AB187" i="2"/>
  <c r="AB164" i="2"/>
  <c r="AB216" i="2"/>
  <c r="AB181" i="2"/>
  <c r="AB158" i="2"/>
  <c r="AB162" i="2"/>
  <c r="AB166" i="2"/>
  <c r="AB170" i="2"/>
  <c r="AB175" i="2"/>
  <c r="AB214" i="2"/>
  <c r="AB218" i="2"/>
  <c r="BA158" i="2"/>
  <c r="AB213" i="2"/>
  <c r="AB217" i="2"/>
  <c r="AB208" i="2"/>
  <c r="AB179" i="2"/>
  <c r="AB183" i="2"/>
  <c r="AB159" i="2"/>
  <c r="AB197" i="2"/>
  <c r="AB201" i="2"/>
  <c r="AB153" i="2"/>
  <c r="AB157" i="2"/>
  <c r="AB200" i="2"/>
  <c r="AB204" i="2"/>
  <c r="AB154" i="2"/>
  <c r="AB207" i="2"/>
  <c r="AB160" i="2"/>
  <c r="AB172" i="2"/>
  <c r="AB212" i="2"/>
  <c r="AB220" i="2"/>
  <c r="AB156" i="2"/>
  <c r="AB199" i="2"/>
  <c r="AB203" i="2"/>
  <c r="AB155" i="2"/>
  <c r="AB202" i="2"/>
  <c r="AB152" i="2"/>
  <c r="AB211" i="2"/>
  <c r="AB185" i="2"/>
  <c r="AB219" i="2"/>
  <c r="AB186" i="2"/>
  <c r="AB176" i="2"/>
  <c r="AB180" i="2"/>
  <c r="AB184" i="2"/>
  <c r="AB190" i="2"/>
  <c r="AB161" i="2"/>
  <c r="AB165" i="2"/>
  <c r="AB169" i="2"/>
  <c r="AB168" i="2"/>
  <c r="AB195" i="2"/>
  <c r="AB177" i="2"/>
  <c r="AB189" i="2"/>
  <c r="AB206" i="2"/>
  <c r="AB196" i="2"/>
  <c r="AB151" i="2"/>
  <c r="AB215" i="2"/>
  <c r="AB356" i="2"/>
  <c r="AB370" i="2"/>
  <c r="AB363" i="2"/>
  <c r="AB372" i="2"/>
  <c r="AB376" i="2"/>
  <c r="AB360" i="2"/>
  <c r="AB355" i="2"/>
  <c r="AB367" i="2"/>
  <c r="AB365" i="2"/>
  <c r="AB369" i="2"/>
  <c r="AB375" i="2"/>
  <c r="AB364" i="2"/>
  <c r="AB351" i="2"/>
  <c r="AB373" i="2"/>
  <c r="AB374" i="2"/>
  <c r="AB368" i="2"/>
  <c r="AB357" i="2"/>
  <c r="AB353" i="2"/>
  <c r="AB352" i="2"/>
  <c r="AB361" i="2"/>
  <c r="AB354" i="2"/>
  <c r="AB358" i="2"/>
  <c r="AB371" i="2"/>
  <c r="AB362" i="2"/>
  <c r="AB359" i="2"/>
  <c r="AB411" i="2"/>
  <c r="AB408" i="2"/>
  <c r="AB417" i="2"/>
  <c r="AB395" i="2"/>
  <c r="AB391" i="2"/>
  <c r="R3" i="6"/>
  <c r="AB394" i="2"/>
  <c r="AB424" i="2"/>
  <c r="AB393" i="2"/>
  <c r="AB413" i="2"/>
  <c r="AB404" i="2"/>
  <c r="AB379" i="2"/>
  <c r="AB381" i="2"/>
  <c r="AB400" i="2"/>
  <c r="AB405" i="2"/>
  <c r="AB390" i="2"/>
  <c r="AB386" i="2"/>
  <c r="AB392" i="2"/>
  <c r="AB397" i="2"/>
  <c r="AB419" i="2"/>
  <c r="AB396" i="2"/>
  <c r="AB414" i="2"/>
  <c r="AB427" i="2"/>
  <c r="AB399" i="2"/>
  <c r="AB423" i="2"/>
  <c r="AB421" i="2"/>
  <c r="AB406" i="2"/>
  <c r="AB380" i="2"/>
  <c r="AB418" i="2"/>
  <c r="AB425" i="2"/>
  <c r="AB403" i="2"/>
  <c r="AB428" i="2"/>
  <c r="AB426" i="2"/>
  <c r="AB415" i="2"/>
  <c r="AB385" i="2"/>
  <c r="AB388" i="2"/>
  <c r="AB387" i="2"/>
  <c r="AB420" i="2"/>
  <c r="AB382" i="2"/>
  <c r="AB401" i="2"/>
  <c r="AB383" i="2"/>
  <c r="AB389" i="2"/>
  <c r="AB409" i="2"/>
  <c r="AB407" i="2"/>
  <c r="AB430" i="2"/>
  <c r="AB410" i="2"/>
  <c r="AB416" i="2"/>
  <c r="AB103" i="2"/>
  <c r="AB94" i="2"/>
  <c r="AB113" i="2"/>
  <c r="AB93" i="2"/>
  <c r="AB97" i="2"/>
  <c r="AB111" i="2"/>
  <c r="AB109" i="2"/>
  <c r="AB100" i="2"/>
  <c r="AB106" i="2"/>
  <c r="AB112" i="2"/>
  <c r="AB99" i="2"/>
  <c r="AB102" i="2"/>
  <c r="AB108" i="2"/>
  <c r="AB96" i="2"/>
  <c r="AB104" i="2"/>
  <c r="AB107" i="2"/>
  <c r="AB110" i="2"/>
  <c r="AB98" i="2"/>
  <c r="AB95" i="2"/>
  <c r="AB105" i="2"/>
  <c r="AB101" i="2"/>
  <c r="AB128" i="2"/>
  <c r="AB130" i="2"/>
  <c r="AB143" i="2"/>
  <c r="AB147" i="2"/>
  <c r="AB132" i="2"/>
  <c r="AB134" i="2"/>
  <c r="AB121" i="2"/>
  <c r="AB117" i="2"/>
  <c r="AB136" i="2"/>
  <c r="AB138" i="2"/>
  <c r="AB129" i="2"/>
  <c r="AB125" i="2"/>
  <c r="AB140" i="2"/>
  <c r="AB142" i="2"/>
  <c r="AB137" i="2"/>
  <c r="AB133" i="2"/>
  <c r="AB144" i="2"/>
  <c r="AB146" i="2"/>
  <c r="AB145" i="2"/>
  <c r="AB141" i="2"/>
  <c r="AB116" i="2"/>
  <c r="AB118" i="2"/>
  <c r="AB119" i="2"/>
  <c r="AB123" i="2"/>
  <c r="AB120" i="2"/>
  <c r="AB122" i="2"/>
  <c r="AB127" i="2"/>
  <c r="AB131" i="2"/>
  <c r="AB124" i="2"/>
  <c r="AB126" i="2"/>
  <c r="AB135" i="2"/>
  <c r="AB139" i="2"/>
  <c r="AB48" i="2"/>
  <c r="AB49" i="2"/>
  <c r="AB47" i="2"/>
  <c r="AB53" i="2"/>
  <c r="AB51" i="2"/>
  <c r="AB68" i="2"/>
  <c r="AB84" i="2"/>
  <c r="AB73" i="2"/>
  <c r="AB74" i="2"/>
  <c r="AB70" i="2"/>
  <c r="AB42" i="2"/>
  <c r="AB40" i="2"/>
  <c r="AB41" i="2"/>
  <c r="AB39" i="2"/>
  <c r="AB45" i="2"/>
  <c r="AB80" i="2"/>
  <c r="AB65" i="2"/>
  <c r="AB59" i="2"/>
  <c r="AB72" i="2"/>
  <c r="AB86" i="2"/>
  <c r="AB57" i="2"/>
  <c r="AB58" i="2"/>
  <c r="AB43" i="2"/>
  <c r="AB38" i="2"/>
  <c r="AB71" i="2"/>
  <c r="AB44" i="2"/>
  <c r="AB90" i="2"/>
  <c r="AB85" i="2"/>
  <c r="AB83" i="2"/>
  <c r="AB37" i="2"/>
  <c r="AB63" i="2"/>
  <c r="AB88" i="2"/>
  <c r="AB52" i="2"/>
  <c r="AB69" i="2"/>
  <c r="AB78" i="2"/>
  <c r="AB50" i="2"/>
  <c r="AB66" i="2"/>
  <c r="AB79" i="2"/>
  <c r="AB61" i="2"/>
  <c r="AB89" i="2"/>
  <c r="AB77" i="2"/>
  <c r="AB87" i="2"/>
  <c r="AB67" i="2"/>
  <c r="AB81" i="2"/>
  <c r="AB82" i="2"/>
  <c r="AB62" i="2"/>
  <c r="AB60" i="2"/>
  <c r="AB76" i="2"/>
  <c r="AB64" i="2"/>
  <c r="AB46" i="2"/>
  <c r="AB75" i="2"/>
  <c r="Z229" i="2"/>
  <c r="Z232" i="2"/>
  <c r="Z227" i="2"/>
  <c r="AY222" i="2"/>
  <c r="Z240" i="2"/>
  <c r="Z241" i="2"/>
  <c r="Z233" i="2"/>
  <c r="Z246" i="2"/>
  <c r="AY218" i="2"/>
  <c r="AY247" i="2"/>
  <c r="Z230" i="2"/>
  <c r="Z235" i="2"/>
  <c r="Z243" i="2"/>
  <c r="AY226" i="2"/>
  <c r="Z242" i="2"/>
  <c r="Z223" i="2"/>
  <c r="Z244" i="2"/>
  <c r="Z228" i="2"/>
  <c r="Z248" i="2"/>
  <c r="AY238" i="2"/>
  <c r="Z237" i="2"/>
  <c r="Z236" i="2"/>
  <c r="Z234" i="2"/>
  <c r="Z415" i="2"/>
  <c r="Z408" i="2"/>
  <c r="Z417" i="2"/>
  <c r="Z406" i="2"/>
  <c r="Z383" i="2"/>
  <c r="Z427" i="2"/>
  <c r="Z405" i="2"/>
  <c r="Z418" i="2"/>
  <c r="Z409" i="2"/>
  <c r="Z403" i="2"/>
  <c r="Z413" i="2"/>
  <c r="Z380" i="2"/>
  <c r="Z399" i="2"/>
  <c r="Z407" i="2"/>
  <c r="Z401" i="2"/>
  <c r="Z404" i="2"/>
  <c r="Z416" i="2"/>
  <c r="Z410" i="2"/>
  <c r="Z400" i="2"/>
  <c r="Z382" i="2"/>
  <c r="P3" i="6"/>
  <c r="X2" i="2"/>
  <c r="Z414" i="2"/>
  <c r="Y2" i="2"/>
  <c r="Z411" i="2"/>
  <c r="Z423" i="2"/>
  <c r="Z385" i="2"/>
  <c r="Z141" i="2"/>
  <c r="Z135" i="2"/>
  <c r="Z138" i="2"/>
  <c r="Z123" i="2"/>
  <c r="Z124" i="2"/>
  <c r="Z137" i="2"/>
  <c r="Z118" i="2"/>
  <c r="Z117" i="2"/>
  <c r="Z145" i="2"/>
  <c r="Z128" i="2"/>
  <c r="Z119" i="2"/>
  <c r="Z122" i="2"/>
  <c r="Z147" i="2"/>
  <c r="Z146" i="2"/>
  <c r="Z129" i="2"/>
  <c r="Z132" i="2"/>
  <c r="Z136" i="2"/>
  <c r="Z126" i="2"/>
  <c r="Z131" i="2"/>
  <c r="Z121" i="2"/>
  <c r="Z142" i="2"/>
  <c r="Z127" i="2"/>
  <c r="Z120" i="2"/>
  <c r="Z144" i="2"/>
  <c r="Z125" i="2"/>
  <c r="Z130" i="2"/>
  <c r="Z143" i="2"/>
  <c r="Z133" i="2"/>
  <c r="Z134" i="2"/>
  <c r="Z140" i="2"/>
  <c r="Z116" i="2"/>
  <c r="Z139" i="2"/>
  <c r="Z69" i="2"/>
  <c r="Z70" i="2"/>
  <c r="Z37" i="2"/>
  <c r="Z57" i="2"/>
  <c r="Z83" i="2"/>
  <c r="Z42" i="2"/>
  <c r="Z58" i="2"/>
  <c r="Z84" i="2"/>
  <c r="Z72" i="2"/>
  <c r="Z80" i="2"/>
  <c r="Z62" i="2"/>
  <c r="Z41" i="2"/>
  <c r="Z51" i="2"/>
  <c r="Z89" i="2"/>
  <c r="Z45" i="2"/>
  <c r="Z76" i="2"/>
  <c r="Z61" i="2"/>
  <c r="Z90" i="2"/>
  <c r="Z49" i="2"/>
  <c r="AY53" i="2"/>
  <c r="Z65" i="2"/>
  <c r="AY61" i="2"/>
  <c r="Z66" i="2"/>
  <c r="Z38" i="2"/>
  <c r="Z50" i="2"/>
  <c r="Z73" i="2"/>
  <c r="Z85" i="2"/>
  <c r="Z52" i="2"/>
  <c r="Z59" i="2"/>
  <c r="Z53" i="2"/>
  <c r="Z63" i="2"/>
  <c r="Z88" i="2"/>
  <c r="Z64" i="2"/>
  <c r="Z47" i="2"/>
  <c r="Z82" i="2"/>
  <c r="Z74" i="2"/>
  <c r="Z71" i="2"/>
  <c r="Z77" i="2"/>
  <c r="Z67" i="2"/>
  <c r="Z81" i="2"/>
  <c r="Z60" i="2"/>
  <c r="Z86" i="2"/>
  <c r="Z79" i="2"/>
  <c r="Z43" i="2"/>
  <c r="Z78" i="2"/>
  <c r="Z40" i="2"/>
  <c r="Z48" i="2"/>
  <c r="Z68" i="2"/>
  <c r="Z39" i="2"/>
  <c r="Z75" i="2"/>
  <c r="Z44" i="2"/>
  <c r="Z46" i="2"/>
  <c r="R54" i="28"/>
  <c r="AE290" i="2"/>
  <c r="R72" i="28" s="1"/>
  <c r="AE256" i="2"/>
  <c r="R38" i="28" s="1"/>
  <c r="R55" i="28"/>
  <c r="AE253" i="2"/>
  <c r="R35" i="28" s="1"/>
  <c r="R80" i="28"/>
  <c r="R56" i="28"/>
  <c r="AE299" i="2"/>
  <c r="R81" i="28" s="1"/>
  <c r="AE291" i="2"/>
  <c r="R73" i="28" s="1"/>
  <c r="AE254" i="2"/>
  <c r="R36" i="28" s="1"/>
  <c r="BH254" i="2"/>
  <c r="R57" i="28"/>
  <c r="AE295" i="2"/>
  <c r="R77" i="28" s="1"/>
  <c r="AE294" i="2"/>
  <c r="R76" i="28" s="1"/>
  <c r="AE251" i="2"/>
  <c r="AE255" i="2"/>
  <c r="AE252" i="2"/>
  <c r="R34" i="28" s="1"/>
  <c r="AE297" i="2"/>
  <c r="R79" i="28" s="1"/>
  <c r="AE292" i="2"/>
  <c r="R74" i="28" s="1"/>
  <c r="BH282" i="2"/>
  <c r="R58" i="28"/>
  <c r="BH286" i="2"/>
  <c r="Z169" i="2"/>
  <c r="Z166" i="2"/>
  <c r="Z211" i="2"/>
  <c r="Z178" i="2"/>
  <c r="Z212" i="2"/>
  <c r="Z159" i="2"/>
  <c r="Z214" i="2"/>
  <c r="Z162" i="2"/>
  <c r="Z165" i="2"/>
  <c r="Z197" i="2"/>
  <c r="Z151" i="2"/>
  <c r="Z201" i="2"/>
  <c r="Z216" i="2"/>
  <c r="Z183" i="2"/>
  <c r="AY163" i="2"/>
  <c r="Z179" i="2"/>
  <c r="Z160" i="2"/>
  <c r="Z200" i="2"/>
  <c r="Z153" i="2"/>
  <c r="Z161" i="2"/>
  <c r="Z173" i="2"/>
  <c r="Z154" i="2"/>
  <c r="Z186" i="2"/>
  <c r="Z217" i="2"/>
  <c r="Z152" i="2"/>
  <c r="AV155" i="2"/>
  <c r="AU155" i="2"/>
  <c r="O188" i="2" s="1"/>
  <c r="Z156" i="2"/>
  <c r="Z204" i="2"/>
  <c r="Z196" i="2"/>
  <c r="Z193" i="2"/>
  <c r="Z207" i="2"/>
  <c r="Z190" i="2"/>
  <c r="Z220" i="2"/>
  <c r="Z187" i="2"/>
  <c r="Z206" i="2"/>
  <c r="Z176" i="2"/>
  <c r="Z210" i="2"/>
  <c r="Z185" i="2"/>
  <c r="Z168" i="2"/>
  <c r="Z194" i="2"/>
  <c r="Z164" i="2"/>
  <c r="Z175" i="2"/>
  <c r="Z177" i="2"/>
  <c r="Z199" i="2"/>
  <c r="Z184" i="2"/>
  <c r="Z181" i="2"/>
  <c r="Z202" i="2"/>
  <c r="Z218" i="2"/>
  <c r="Z208" i="2"/>
  <c r="Z163" i="2"/>
  <c r="Z203" i="2"/>
  <c r="Z180" i="2"/>
  <c r="Z157" i="2"/>
  <c r="Z215" i="2"/>
  <c r="Z170" i="2"/>
  <c r="Z195" i="2"/>
  <c r="Z182" i="2"/>
  <c r="Z189" i="2"/>
  <c r="Z213" i="2"/>
  <c r="Z167" i="2"/>
  <c r="Z155" i="2"/>
  <c r="Z172" i="2"/>
  <c r="Z219" i="2"/>
  <c r="Z158" i="2"/>
  <c r="T367" i="6"/>
  <c r="V4" i="20" s="1"/>
  <c r="T172" i="6"/>
  <c r="W37" i="21" s="1"/>
  <c r="T52" i="6"/>
  <c r="V32" i="12" s="1"/>
  <c r="T188" i="6"/>
  <c r="W53" i="21" s="1"/>
  <c r="T203" i="6"/>
  <c r="W68" i="21" s="1"/>
  <c r="T70" i="6"/>
  <c r="V50" i="12" s="1"/>
  <c r="T64" i="6"/>
  <c r="V44" i="12" s="1"/>
  <c r="T263" i="6"/>
  <c r="W28" i="8" s="1"/>
  <c r="T168" i="6"/>
  <c r="W33" i="21" s="1"/>
  <c r="T83" i="6"/>
  <c r="V6" i="16" s="1"/>
  <c r="T387" i="6"/>
  <c r="V24" i="20" s="1"/>
  <c r="T408" i="6"/>
  <c r="V45" i="20" s="1"/>
  <c r="T385" i="6"/>
  <c r="V22" i="20" s="1"/>
  <c r="T35" i="6"/>
  <c r="V15" i="12" s="1"/>
  <c r="T237" i="6"/>
  <c r="W2" i="8" s="1"/>
  <c r="T187" i="6"/>
  <c r="W52" i="21" s="1"/>
  <c r="T340" i="6"/>
  <c r="U5" i="19" s="1"/>
  <c r="T416" i="6"/>
  <c r="V53" i="20" s="1"/>
  <c r="T36" i="6"/>
  <c r="V16" i="12" s="1"/>
  <c r="T34" i="6"/>
  <c r="V14" i="12" s="1"/>
  <c r="T396" i="6"/>
  <c r="V33" i="20" s="1"/>
  <c r="T143" i="6"/>
  <c r="W8" i="21" s="1"/>
  <c r="T190" i="6"/>
  <c r="W55" i="21" s="1"/>
  <c r="T332" i="6"/>
  <c r="U26" i="14" s="1"/>
  <c r="T173" i="6"/>
  <c r="W38" i="21" s="1"/>
  <c r="T176" i="6"/>
  <c r="W41" i="21" s="1"/>
  <c r="T215" i="6"/>
  <c r="V8" i="10" s="1"/>
  <c r="T395" i="6"/>
  <c r="V32" i="20" s="1"/>
  <c r="T63" i="6"/>
  <c r="V43" i="12" s="1"/>
  <c r="T162" i="6"/>
  <c r="W27" i="21" s="1"/>
  <c r="T123" i="6"/>
  <c r="V23" i="9" s="1"/>
  <c r="T93" i="6"/>
  <c r="V16" i="16" s="1"/>
  <c r="T31" i="6"/>
  <c r="V11" i="12" s="1"/>
  <c r="T402" i="6"/>
  <c r="V39" i="20" s="1"/>
  <c r="T159" i="6"/>
  <c r="W24" i="21" s="1"/>
  <c r="T381" i="6"/>
  <c r="V18" i="20" s="1"/>
  <c r="T247" i="6"/>
  <c r="W12" i="8" s="1"/>
  <c r="T383" i="6"/>
  <c r="V20" i="20" s="1"/>
  <c r="T96" i="6"/>
  <c r="V19" i="16" s="1"/>
  <c r="T59" i="6"/>
  <c r="V39" i="12" s="1"/>
  <c r="T149" i="6"/>
  <c r="W14" i="21" s="1"/>
  <c r="T94" i="6"/>
  <c r="V17" i="16" s="1"/>
  <c r="T282" i="6"/>
  <c r="W47" i="8" s="1"/>
  <c r="T331" i="6"/>
  <c r="U25" i="14" s="1"/>
  <c r="T104" i="6"/>
  <c r="V4" i="9" s="1"/>
  <c r="T27" i="6"/>
  <c r="V7" i="12" s="1"/>
  <c r="T216" i="6"/>
  <c r="V9" i="10" s="1"/>
  <c r="T56" i="6"/>
  <c r="V36" i="12" s="1"/>
  <c r="T181" i="6"/>
  <c r="W46" i="21" s="1"/>
  <c r="T284" i="6"/>
  <c r="W49" i="8" s="1"/>
  <c r="T26" i="6"/>
  <c r="V6" i="12" s="1"/>
  <c r="T204" i="6"/>
  <c r="W69" i="21" s="1"/>
  <c r="T30" i="6"/>
  <c r="V10" i="12" s="1"/>
  <c r="T126" i="6"/>
  <c r="V26" i="9" s="1"/>
  <c r="T298" i="6"/>
  <c r="V12" i="15" s="1"/>
  <c r="T403" i="6"/>
  <c r="V40" i="20" s="1"/>
  <c r="T68" i="6"/>
  <c r="V48" i="12" s="1"/>
  <c r="T69" i="6"/>
  <c r="V49" i="12" s="1"/>
  <c r="T262" i="6"/>
  <c r="W27" i="8" s="1"/>
  <c r="T293" i="6"/>
  <c r="V7" i="15" s="1"/>
  <c r="T394" i="6"/>
  <c r="V31" i="20" s="1"/>
  <c r="T301" i="6"/>
  <c r="V15" i="15" s="1"/>
  <c r="T328" i="6"/>
  <c r="U22" i="14" s="1"/>
  <c r="T397" i="6"/>
  <c r="V34" i="20" s="1"/>
  <c r="T171" i="6"/>
  <c r="W36" i="21" s="1"/>
  <c r="T62" i="6"/>
  <c r="V42" i="12" s="1"/>
  <c r="T324" i="6"/>
  <c r="U18" i="14" s="1"/>
  <c r="T411" i="6"/>
  <c r="V48" i="20" s="1"/>
  <c r="T55" i="6"/>
  <c r="V35" i="12" s="1"/>
  <c r="T274" i="6"/>
  <c r="W39" i="8" s="1"/>
  <c r="T201" i="6"/>
  <c r="W66" i="21" s="1"/>
  <c r="T226" i="6"/>
  <c r="V19" i="10" s="1"/>
  <c r="T186" i="6"/>
  <c r="W51" i="21" s="1"/>
  <c r="T167" i="6"/>
  <c r="W32" i="21" s="1"/>
  <c r="T125" i="6"/>
  <c r="V25" i="9" s="1"/>
  <c r="T80" i="6"/>
  <c r="V3" i="16" s="1"/>
  <c r="T289" i="6"/>
  <c r="V3" i="15" s="1"/>
  <c r="T389" i="6"/>
  <c r="V26" i="20" s="1"/>
  <c r="T130" i="6"/>
  <c r="V30" i="9" s="1"/>
  <c r="T153" i="6"/>
  <c r="W18" i="21" s="1"/>
  <c r="T254" i="6"/>
  <c r="W19" i="8" s="1"/>
  <c r="T406" i="6"/>
  <c r="V43" i="20" s="1"/>
  <c r="T223" i="6"/>
  <c r="V16" i="10" s="1"/>
  <c r="T245" i="6"/>
  <c r="W10" i="8" s="1"/>
  <c r="T99" i="6"/>
  <c r="V22" i="16" s="1"/>
  <c r="T98" i="6"/>
  <c r="V21" i="16" s="1"/>
  <c r="T240" i="6"/>
  <c r="W5" i="8" s="1"/>
  <c r="T38" i="6"/>
  <c r="V18" i="12" s="1"/>
  <c r="T88" i="6"/>
  <c r="V11" i="16" s="1"/>
  <c r="T211" i="6"/>
  <c r="V4" i="10" s="1"/>
  <c r="T157" i="6"/>
  <c r="W22" i="21" s="1"/>
  <c r="T138" i="6"/>
  <c r="W3" i="21" s="1"/>
  <c r="T238" i="6"/>
  <c r="W3" i="8" s="1"/>
  <c r="T256" i="6"/>
  <c r="W21" i="8" s="1"/>
  <c r="T45" i="6"/>
  <c r="V25" i="12" s="1"/>
  <c r="T28" i="6"/>
  <c r="V8" i="12" s="1"/>
  <c r="T92" i="6"/>
  <c r="V15" i="16" s="1"/>
  <c r="T314" i="6"/>
  <c r="U8" i="14" s="1"/>
  <c r="T373" i="6"/>
  <c r="V10" i="20" s="1"/>
  <c r="T22" i="6"/>
  <c r="V2" i="12" s="1"/>
  <c r="T81" i="6"/>
  <c r="V4" i="16" s="1"/>
  <c r="T277" i="6"/>
  <c r="W42" i="8" s="1"/>
  <c r="T334" i="6"/>
  <c r="U28" i="14" s="1"/>
  <c r="T372" i="6"/>
  <c r="V9" i="20" s="1"/>
  <c r="T295" i="6"/>
  <c r="V9" i="15" s="1"/>
  <c r="T317" i="6"/>
  <c r="U11" i="14" s="1"/>
  <c r="T393" i="6"/>
  <c r="V30" i="20" s="1"/>
  <c r="T154" i="6"/>
  <c r="W19" i="21" s="1"/>
  <c r="T133" i="6"/>
  <c r="V33" i="9" s="1"/>
  <c r="T399" i="6"/>
  <c r="V36" i="20" s="1"/>
  <c r="T137" i="6"/>
  <c r="W2" i="21" s="1"/>
  <c r="T151" i="6"/>
  <c r="W16" i="21" s="1"/>
  <c r="T129" i="6"/>
  <c r="V29" i="9" s="1"/>
  <c r="T346" i="6"/>
  <c r="U11" i="19" s="1"/>
  <c r="T127" i="6"/>
  <c r="V27" i="9" s="1"/>
  <c r="T279" i="6"/>
  <c r="W44" i="8" s="1"/>
  <c r="T266" i="6"/>
  <c r="W31" i="8" s="1"/>
  <c r="T193" i="6"/>
  <c r="W58" i="21" s="1"/>
  <c r="T222" i="6"/>
  <c r="V15" i="10" s="1"/>
  <c r="T46" i="6"/>
  <c r="V26" i="12" s="1"/>
  <c r="T221" i="6"/>
  <c r="V14" i="10" s="1"/>
  <c r="T73" i="6"/>
  <c r="V53" i="12" s="1"/>
  <c r="T290" i="6"/>
  <c r="V4" i="15" s="1"/>
  <c r="T269" i="6"/>
  <c r="W34" i="8" s="1"/>
  <c r="T209" i="6"/>
  <c r="V2" i="10" s="1"/>
  <c r="T144" i="6"/>
  <c r="W9" i="21" s="1"/>
  <c r="T43" i="6"/>
  <c r="V23" i="12" s="1"/>
  <c r="T315" i="6"/>
  <c r="U9" i="14" s="1"/>
  <c r="T382" i="6"/>
  <c r="V19" i="20" s="1"/>
  <c r="T39" i="6"/>
  <c r="V19" i="12" s="1"/>
  <c r="T114" i="6"/>
  <c r="V14" i="9" s="1"/>
  <c r="T291" i="6"/>
  <c r="V5" i="15" s="1"/>
  <c r="T213" i="6"/>
  <c r="V6" i="10" s="1"/>
  <c r="T102" i="6"/>
  <c r="V2" i="9" s="1"/>
  <c r="T183" i="6"/>
  <c r="W48" i="21" s="1"/>
  <c r="T119" i="6"/>
  <c r="V19" i="9" s="1"/>
  <c r="T198" i="6"/>
  <c r="W63" i="21" s="1"/>
  <c r="T242" i="6"/>
  <c r="W7" i="8" s="1"/>
  <c r="T407" i="6"/>
  <c r="V44" i="20" s="1"/>
  <c r="T259" i="6"/>
  <c r="W24" i="8" s="1"/>
  <c r="T42" i="6"/>
  <c r="V22" i="12" s="1"/>
  <c r="T197" i="6"/>
  <c r="W62" i="21" s="1"/>
  <c r="T75" i="6"/>
  <c r="V55" i="12" s="1"/>
  <c r="T146" i="6"/>
  <c r="W11" i="21" s="1"/>
  <c r="T304" i="6"/>
  <c r="V18" i="15" s="1"/>
  <c r="T404" i="6"/>
  <c r="V41" i="20" s="1"/>
  <c r="T220" i="6"/>
  <c r="V13" i="10" s="1"/>
  <c r="T60" i="6"/>
  <c r="V40" i="12" s="1"/>
  <c r="T85" i="6"/>
  <c r="V8" i="16" s="1"/>
  <c r="T285" i="6"/>
  <c r="W50" i="8" s="1"/>
  <c r="T214" i="6"/>
  <c r="V7" i="10" s="1"/>
  <c r="T122" i="6"/>
  <c r="V22" i="9" s="1"/>
  <c r="T76" i="6"/>
  <c r="V56" i="12" s="1"/>
  <c r="T255" i="6"/>
  <c r="W20" i="8" s="1"/>
  <c r="T318" i="6"/>
  <c r="U12" i="14" s="1"/>
  <c r="T273" i="6"/>
  <c r="W38" i="8" s="1"/>
  <c r="T330" i="6"/>
  <c r="U24" i="14" s="1"/>
  <c r="T414" i="6"/>
  <c r="V51" i="20" s="1"/>
  <c r="T131" i="6"/>
  <c r="V31" i="9" s="1"/>
  <c r="T243" i="6"/>
  <c r="W8" i="8" s="1"/>
  <c r="T400" i="6"/>
  <c r="V37" i="20" s="1"/>
  <c r="T58" i="6"/>
  <c r="V38" i="12" s="1"/>
  <c r="T341" i="6"/>
  <c r="U6" i="19" s="1"/>
  <c r="T147" i="6"/>
  <c r="W12" i="21" s="1"/>
  <c r="T232" i="6"/>
  <c r="V25" i="10" s="1"/>
  <c r="T305" i="6"/>
  <c r="V19" i="15" s="1"/>
  <c r="T272" i="6"/>
  <c r="W37" i="8" s="1"/>
  <c r="T309" i="6"/>
  <c r="U3" i="14" s="1"/>
  <c r="T110" i="6"/>
  <c r="V10" i="9" s="1"/>
  <c r="T106" i="6"/>
  <c r="V6" i="9" s="1"/>
  <c r="T246" i="6"/>
  <c r="W11" i="8" s="1"/>
  <c r="T229" i="6"/>
  <c r="V22" i="10" s="1"/>
  <c r="T344" i="6"/>
  <c r="U9" i="19" s="1"/>
  <c r="T410" i="6"/>
  <c r="V47" i="20" s="1"/>
  <c r="T49" i="6"/>
  <c r="V29" i="12" s="1"/>
  <c r="T185" i="6"/>
  <c r="W50" i="21" s="1"/>
  <c r="T401" i="6"/>
  <c r="V38" i="20" s="1"/>
  <c r="T265" i="6"/>
  <c r="W30" i="8" s="1"/>
  <c r="T120" i="6"/>
  <c r="V20" i="9" s="1"/>
  <c r="T107" i="6"/>
  <c r="V7" i="9" s="1"/>
  <c r="T379" i="6"/>
  <c r="V16" i="20" s="1"/>
  <c r="T294" i="6"/>
  <c r="V8" i="15" s="1"/>
  <c r="AK175" i="6"/>
  <c r="AK177" i="6" s="1"/>
  <c r="T184" i="6"/>
  <c r="T253" i="6"/>
  <c r="W18" i="8" s="1"/>
  <c r="T326" i="6"/>
  <c r="U20" i="14" s="1"/>
  <c r="T217" i="6"/>
  <c r="V10" i="10" s="1"/>
  <c r="T260" i="6"/>
  <c r="W25" i="8" s="1"/>
  <c r="T84" i="6"/>
  <c r="V7" i="16" s="1"/>
  <c r="T308" i="6"/>
  <c r="U2" i="14" s="1"/>
  <c r="T166" i="6"/>
  <c r="W31" i="21" s="1"/>
  <c r="T105" i="6"/>
  <c r="V5" i="9" s="1"/>
  <c r="T224" i="6"/>
  <c r="V17" i="10" s="1"/>
  <c r="T90" i="6"/>
  <c r="V13" i="16" s="1"/>
  <c r="T65" i="6"/>
  <c r="V45" i="12" s="1"/>
  <c r="T250" i="6"/>
  <c r="W15" i="8" s="1"/>
  <c r="T377" i="6"/>
  <c r="V14" i="20" s="1"/>
  <c r="T390" i="6"/>
  <c r="V27" i="20" s="1"/>
  <c r="T189" i="6"/>
  <c r="W54" i="21" s="1"/>
  <c r="T109" i="6"/>
  <c r="V9" i="9" s="1"/>
  <c r="T48" i="6"/>
  <c r="V28" i="12" s="1"/>
  <c r="T103" i="6"/>
  <c r="V3" i="9" s="1"/>
  <c r="T302" i="6"/>
  <c r="V16" i="15" s="1"/>
  <c r="T405" i="6"/>
  <c r="V42" i="20" s="1"/>
  <c r="T231" i="6"/>
  <c r="V24" i="10" s="1"/>
  <c r="T175" i="6"/>
  <c r="W40" i="21" s="1"/>
  <c r="T112" i="6"/>
  <c r="V12" i="9" s="1"/>
  <c r="T280" i="6"/>
  <c r="W45" i="8" s="1"/>
  <c r="T210" i="6"/>
  <c r="V3" i="10" s="1"/>
  <c r="T79" i="6"/>
  <c r="V2" i="16" s="1"/>
  <c r="T57" i="6"/>
  <c r="V37" i="12" s="1"/>
  <c r="T271" i="6"/>
  <c r="W36" i="8" s="1"/>
  <c r="T239" i="6"/>
  <c r="W4" i="8" s="1"/>
  <c r="T323" i="6"/>
  <c r="U17" i="14" s="1"/>
  <c r="T391" i="6"/>
  <c r="V28" i="20" s="1"/>
  <c r="T132" i="6"/>
  <c r="V32" i="9" s="1"/>
  <c r="T192" i="6"/>
  <c r="W57" i="21" s="1"/>
  <c r="T369" i="6"/>
  <c r="V6" i="20" s="1"/>
  <c r="T195" i="6"/>
  <c r="W60" i="21" s="1"/>
  <c r="T140" i="6"/>
  <c r="W5" i="21" s="1"/>
  <c r="T150" i="6"/>
  <c r="W15" i="21" s="1"/>
  <c r="T128" i="6"/>
  <c r="V28" i="9" s="1"/>
  <c r="T380" i="6"/>
  <c r="V17" i="20" s="1"/>
  <c r="T116" i="6"/>
  <c r="V16" i="9" s="1"/>
  <c r="T249" i="6"/>
  <c r="W14" i="8" s="1"/>
  <c r="T25" i="6"/>
  <c r="V5" i="12" s="1"/>
  <c r="T275" i="6"/>
  <c r="W40" i="8" s="1"/>
  <c r="T156" i="6"/>
  <c r="W21" i="21" s="1"/>
  <c r="T161" i="6"/>
  <c r="W26" i="21" s="1"/>
  <c r="T310" i="6"/>
  <c r="U4" i="14" s="1"/>
  <c r="T196" i="6"/>
  <c r="W61" i="21" s="1"/>
  <c r="T158" i="6"/>
  <c r="W23" i="21" s="1"/>
  <c r="T296" i="6"/>
  <c r="V10" i="15" s="1"/>
  <c r="T89" i="6"/>
  <c r="V12" i="16" s="1"/>
  <c r="T276" i="6"/>
  <c r="W41" i="8" s="1"/>
  <c r="T268" i="6"/>
  <c r="W33" i="8" s="1"/>
  <c r="T345" i="6"/>
  <c r="U10" i="19" s="1"/>
  <c r="T160" i="6"/>
  <c r="W25" i="21" s="1"/>
  <c r="T53" i="6"/>
  <c r="V33" i="12" s="1"/>
  <c r="T261" i="6"/>
  <c r="W26" i="8" s="1"/>
  <c r="T337" i="6"/>
  <c r="U2" i="19" s="1"/>
  <c r="T311" i="6"/>
  <c r="U5" i="14" s="1"/>
  <c r="T303" i="6"/>
  <c r="V17" i="15" s="1"/>
  <c r="T194" i="6"/>
  <c r="W59" i="21" s="1"/>
  <c r="T111" i="6"/>
  <c r="V11" i="9" s="1"/>
  <c r="T95" i="6"/>
  <c r="V18" i="16" s="1"/>
  <c r="T219" i="6"/>
  <c r="V12" i="10" s="1"/>
  <c r="T67" i="6"/>
  <c r="V47" i="12" s="1"/>
  <c r="T37" i="6"/>
  <c r="V17" i="12" s="1"/>
  <c r="T392" i="6"/>
  <c r="V29" i="20" s="1"/>
  <c r="T386" i="6"/>
  <c r="V23" i="20" s="1"/>
  <c r="T66" i="6"/>
  <c r="V46" i="12" s="1"/>
  <c r="T163" i="6"/>
  <c r="W28" i="21" s="1"/>
  <c r="T47" i="6"/>
  <c r="V27" i="12" s="1"/>
  <c r="T40" i="6"/>
  <c r="V20" i="12" s="1"/>
  <c r="T319" i="6"/>
  <c r="U13" i="14" s="1"/>
  <c r="T375" i="6"/>
  <c r="V12" i="20" s="1"/>
  <c r="T225" i="6"/>
  <c r="V18" i="10" s="1"/>
  <c r="T169" i="6"/>
  <c r="W34" i="21" s="1"/>
  <c r="T202" i="6"/>
  <c r="W67" i="21" s="1"/>
  <c r="T283" i="6"/>
  <c r="W48" i="8" s="1"/>
  <c r="T343" i="6"/>
  <c r="U8" i="19" s="1"/>
  <c r="T200" i="6"/>
  <c r="W65" i="21" s="1"/>
  <c r="T199" i="6"/>
  <c r="W64" i="21" s="1"/>
  <c r="T117" i="6"/>
  <c r="V17" i="9" s="1"/>
  <c r="T182" i="6"/>
  <c r="W47" i="21" s="1"/>
  <c r="T251" i="6"/>
  <c r="W16" i="8" s="1"/>
  <c r="T313" i="6"/>
  <c r="U7" i="14" s="1"/>
  <c r="T371" i="6"/>
  <c r="V8" i="20" s="1"/>
  <c r="T413" i="6"/>
  <c r="V50" i="20" s="1"/>
  <c r="T141" i="6"/>
  <c r="W6" i="21" s="1"/>
  <c r="T206" i="6"/>
  <c r="W71" i="21" s="1"/>
  <c r="T87" i="6"/>
  <c r="V10" i="16" s="1"/>
  <c r="T365" i="6"/>
  <c r="V2" i="20" s="1"/>
  <c r="T233" i="6"/>
  <c r="V26" i="10" s="1"/>
  <c r="T139" i="6"/>
  <c r="W4" i="21" s="1"/>
  <c r="T248" i="6"/>
  <c r="W13" i="8" s="1"/>
  <c r="T230" i="6"/>
  <c r="V23" i="10" s="1"/>
  <c r="T51" i="6"/>
  <c r="V31" i="12" s="1"/>
  <c r="T342" i="6"/>
  <c r="U7" i="19" s="1"/>
  <c r="T50" i="6"/>
  <c r="V30" i="12" s="1"/>
  <c r="T61" i="6"/>
  <c r="V41" i="12" s="1"/>
  <c r="T321" i="6"/>
  <c r="U15" i="14" s="1"/>
  <c r="T86" i="6"/>
  <c r="V9" i="16" s="1"/>
  <c r="T152" i="6"/>
  <c r="W17" i="21" s="1"/>
  <c r="T244" i="6"/>
  <c r="W9" i="8" s="1"/>
  <c r="T329" i="6"/>
  <c r="U23" i="14" s="1"/>
  <c r="T257" i="6"/>
  <c r="W22" i="8" s="1"/>
  <c r="T288" i="6"/>
  <c r="V2" i="15" s="1"/>
  <c r="T412" i="6"/>
  <c r="V49" i="20" s="1"/>
  <c r="T180" i="6"/>
  <c r="W45" i="21" s="1"/>
  <c r="T339" i="6"/>
  <c r="U4" i="19" s="1"/>
  <c r="T115" i="6"/>
  <c r="V15" i="9" s="1"/>
  <c r="T108" i="6"/>
  <c r="V8" i="9" s="1"/>
  <c r="T316" i="6"/>
  <c r="U10" i="14" s="1"/>
  <c r="T24" i="6"/>
  <c r="V4" i="12" s="1"/>
  <c r="T292" i="6"/>
  <c r="V6" i="15" s="1"/>
  <c r="T212" i="6"/>
  <c r="V5" i="10" s="1"/>
  <c r="T374" i="6"/>
  <c r="V11" i="20" s="1"/>
  <c r="T164" i="6"/>
  <c r="W29" i="21" s="1"/>
  <c r="T33" i="6"/>
  <c r="V13" i="12" s="1"/>
  <c r="T264" i="6"/>
  <c r="W29" i="8" s="1"/>
  <c r="T322" i="6"/>
  <c r="U16" i="14" s="1"/>
  <c r="T29" i="6"/>
  <c r="V9" i="12" s="1"/>
  <c r="T148" i="6"/>
  <c r="W13" i="21" s="1"/>
  <c r="T118" i="6"/>
  <c r="V18" i="9" s="1"/>
  <c r="T234" i="6"/>
  <c r="V27" i="10" s="1"/>
  <c r="T32" i="6"/>
  <c r="V12" i="12" s="1"/>
  <c r="T44" i="6"/>
  <c r="V24" i="12" s="1"/>
  <c r="T297" i="6"/>
  <c r="V11" i="15" s="1"/>
  <c r="T227" i="6"/>
  <c r="V20" i="10" s="1"/>
  <c r="T228" i="6"/>
  <c r="V21" i="10" s="1"/>
  <c r="T178" i="6"/>
  <c r="W43" i="21" s="1"/>
  <c r="T71" i="6"/>
  <c r="V51" i="12" s="1"/>
  <c r="T97" i="6"/>
  <c r="V20" i="16" s="1"/>
  <c r="T278" i="6"/>
  <c r="W43" i="8" s="1"/>
  <c r="T325" i="6"/>
  <c r="U19" i="14" s="1"/>
  <c r="T113" i="6"/>
  <c r="V13" i="9" s="1"/>
  <c r="T177" i="6"/>
  <c r="W42" i="21" s="1"/>
  <c r="T23" i="6"/>
  <c r="V3" i="12" s="1"/>
  <c r="T142" i="6"/>
  <c r="W7" i="21" s="1"/>
  <c r="T241" i="6"/>
  <c r="W6" i="8" s="1"/>
  <c r="T338" i="6"/>
  <c r="U3" i="19" s="1"/>
  <c r="T179" i="6"/>
  <c r="W44" i="21" s="1"/>
  <c r="T155" i="6"/>
  <c r="W20" i="21" s="1"/>
  <c r="T121" i="6"/>
  <c r="V21" i="9" s="1"/>
  <c r="T258" i="6"/>
  <c r="W23" i="8" s="1"/>
  <c r="T366" i="6"/>
  <c r="V3" i="20" s="1"/>
  <c r="T267" i="6"/>
  <c r="W32" i="8" s="1"/>
  <c r="V414" i="2"/>
  <c r="V413" i="2"/>
  <c r="V411" i="2"/>
  <c r="V410" i="2"/>
  <c r="V409" i="2"/>
  <c r="V408" i="2"/>
  <c r="V407" i="2"/>
  <c r="V416" i="2"/>
  <c r="V428" i="2"/>
  <c r="V415" i="2"/>
  <c r="V383" i="2"/>
  <c r="V361" i="2"/>
  <c r="V362" i="2"/>
  <c r="V351" i="2"/>
  <c r="V352" i="2"/>
  <c r="BD254" i="2"/>
  <c r="BD286" i="2"/>
  <c r="V206" i="2"/>
  <c r="AV192" i="2"/>
  <c r="AU192" i="2"/>
  <c r="V119" i="2"/>
  <c r="V123" i="2"/>
  <c r="V127" i="2"/>
  <c r="V131" i="2"/>
  <c r="V135" i="2"/>
  <c r="V139" i="2"/>
  <c r="V143" i="2"/>
  <c r="V147" i="2"/>
  <c r="V117" i="2"/>
  <c r="V121" i="2"/>
  <c r="V125" i="2"/>
  <c r="V129" i="2"/>
  <c r="V133" i="2"/>
  <c r="V137" i="2"/>
  <c r="V141" i="2"/>
  <c r="V145" i="2"/>
  <c r="V118" i="2"/>
  <c r="V126" i="2"/>
  <c r="V134" i="2"/>
  <c r="V142" i="2"/>
  <c r="V120" i="2"/>
  <c r="V128" i="2"/>
  <c r="V136" i="2"/>
  <c r="V144" i="2"/>
  <c r="V122" i="2"/>
  <c r="V130" i="2"/>
  <c r="V138" i="2"/>
  <c r="V146" i="2"/>
  <c r="V124" i="2"/>
  <c r="V132" i="2"/>
  <c r="V140" i="2"/>
  <c r="M52" i="34"/>
  <c r="M71" i="34"/>
  <c r="G52" i="34"/>
  <c r="G71" i="34"/>
  <c r="K52" i="34"/>
  <c r="K71" i="34"/>
  <c r="V116" i="2"/>
  <c r="V211" i="2"/>
  <c r="V213" i="2"/>
  <c r="V215" i="2"/>
  <c r="V177" i="2"/>
  <c r="V156" i="2"/>
  <c r="V171" i="2"/>
  <c r="V159" i="2"/>
  <c r="V170" i="2"/>
  <c r="V212" i="2"/>
  <c r="V214" i="2"/>
  <c r="V216" i="2"/>
  <c r="V153" i="2"/>
  <c r="V217" i="2"/>
  <c r="V172" i="2"/>
  <c r="V160" i="2"/>
  <c r="V218" i="2"/>
  <c r="V183" i="2"/>
  <c r="V185" i="2"/>
  <c r="V187" i="2"/>
  <c r="V175" i="2"/>
  <c r="V176" i="2"/>
  <c r="V181" i="2"/>
  <c r="V189" i="2"/>
  <c r="V161" i="2"/>
  <c r="V195" i="2"/>
  <c r="V201" i="2"/>
  <c r="V203" i="2"/>
  <c r="V207" i="2"/>
  <c r="V199" i="2"/>
  <c r="V154" i="2"/>
  <c r="V157" i="2"/>
  <c r="V188" i="2"/>
  <c r="V169" i="2"/>
  <c r="V163" i="2"/>
  <c r="V165" i="2"/>
  <c r="V167" i="2"/>
  <c r="V173" i="2"/>
  <c r="V209" i="2"/>
  <c r="V186" i="2"/>
  <c r="V151" i="2"/>
  <c r="V194" i="2"/>
  <c r="V210" i="2"/>
  <c r="V180" i="2"/>
  <c r="V182" i="2"/>
  <c r="V184" i="2"/>
  <c r="V152" i="2"/>
  <c r="V179" i="2"/>
  <c r="V158" i="2"/>
  <c r="V193" i="2"/>
  <c r="V196" i="2"/>
  <c r="AV185" i="2"/>
  <c r="V200" i="2"/>
  <c r="V202" i="2"/>
  <c r="V204" i="2"/>
  <c r="V174" i="2"/>
  <c r="V155" i="2"/>
  <c r="V219" i="2"/>
  <c r="V190" i="2"/>
  <c r="V168" i="2"/>
  <c r="V162" i="2"/>
  <c r="V164" i="2"/>
  <c r="V166" i="2"/>
  <c r="V220" i="2"/>
  <c r="AU158" i="2"/>
  <c r="V208" i="2"/>
  <c r="V197" i="2"/>
  <c r="V266" i="2"/>
  <c r="I48" i="28" s="1"/>
  <c r="V272" i="2"/>
  <c r="I54" i="28" s="1"/>
  <c r="V267" i="2"/>
  <c r="I49" i="28" s="1"/>
  <c r="V256" i="2"/>
  <c r="I38" i="28" s="1"/>
  <c r="V287" i="2"/>
  <c r="V284" i="2"/>
  <c r="I66" i="28" s="1"/>
  <c r="V280" i="2"/>
  <c r="I62" i="28" s="1"/>
  <c r="V271" i="2"/>
  <c r="I53" i="28" s="1"/>
  <c r="V294" i="2"/>
  <c r="I76" i="28" s="1"/>
  <c r="V252" i="2"/>
  <c r="I34" i="28" s="1"/>
  <c r="V278" i="2"/>
  <c r="I60" i="28" s="1"/>
  <c r="V273" i="2"/>
  <c r="I55" i="28" s="1"/>
  <c r="V290" i="2"/>
  <c r="I72" i="28" s="1"/>
  <c r="V275" i="2"/>
  <c r="I57" i="28" s="1"/>
  <c r="V274" i="2"/>
  <c r="I56" i="28" s="1"/>
  <c r="V255" i="2"/>
  <c r="I37" i="28" s="1"/>
  <c r="V292" i="2"/>
  <c r="I74" i="28" s="1"/>
  <c r="V296" i="2"/>
  <c r="I78" i="28" s="1"/>
  <c r="V251" i="2"/>
  <c r="I33" i="28" s="1"/>
  <c r="V285" i="2"/>
  <c r="I67" i="28" s="1"/>
  <c r="V288" i="2"/>
  <c r="I70" i="28" s="1"/>
  <c r="V277" i="2"/>
  <c r="I59" i="28" s="1"/>
  <c r="V268" i="2"/>
  <c r="I50" i="28" s="1"/>
  <c r="V295" i="2"/>
  <c r="I77" i="28" s="1"/>
  <c r="V282" i="2"/>
  <c r="I64" i="28" s="1"/>
  <c r="V253" i="2"/>
  <c r="I35" i="28" s="1"/>
  <c r="V286" i="2"/>
  <c r="I68" i="28" s="1"/>
  <c r="V297" i="2"/>
  <c r="I79" i="28" s="1"/>
  <c r="V291" i="2"/>
  <c r="I73" i="28" s="1"/>
  <c r="V298" i="2"/>
  <c r="I80" i="28" s="1"/>
  <c r="V299" i="2"/>
  <c r="I81" i="28" s="1"/>
  <c r="V269" i="2"/>
  <c r="I51" i="28" s="1"/>
  <c r="V289" i="2"/>
  <c r="I71" i="28" s="1"/>
  <c r="V276" i="2"/>
  <c r="I58" i="28" s="1"/>
  <c r="BD282" i="2"/>
  <c r="V270" i="2"/>
  <c r="I52" i="28" s="1"/>
  <c r="V293" i="2"/>
  <c r="I75" i="28" s="1"/>
  <c r="V254" i="2"/>
  <c r="I36" i="28" s="1"/>
  <c r="BD278" i="2"/>
  <c r="S288" i="2" s="1"/>
  <c r="AD288" i="2" s="1"/>
  <c r="Q70" i="28" s="1"/>
  <c r="V380" i="2"/>
  <c r="V400" i="2"/>
  <c r="V387" i="2"/>
  <c r="V417" i="2"/>
  <c r="V390" i="2"/>
  <c r="V389" i="2"/>
  <c r="V424" i="2"/>
  <c r="V421" i="2"/>
  <c r="V405" i="2"/>
  <c r="V392" i="2"/>
  <c r="V397" i="2"/>
  <c r="V406" i="2"/>
  <c r="V396" i="2"/>
  <c r="L3" i="6"/>
  <c r="V386" i="2"/>
  <c r="V379" i="2"/>
  <c r="V423" i="2"/>
  <c r="V385" i="2"/>
  <c r="V420" i="2"/>
  <c r="V391" i="2"/>
  <c r="V430" i="2"/>
  <c r="V393" i="2"/>
  <c r="V418" i="2"/>
  <c r="V426" i="2"/>
  <c r="V404" i="2"/>
  <c r="V395" i="2"/>
  <c r="V381" i="2"/>
  <c r="V419" i="2"/>
  <c r="V401" i="2"/>
  <c r="V382" i="2"/>
  <c r="V403" i="2"/>
  <c r="V394" i="2"/>
  <c r="V425" i="2"/>
  <c r="V399" i="2"/>
  <c r="V388" i="2"/>
  <c r="V427" i="2"/>
  <c r="V316" i="2"/>
  <c r="V318" i="2"/>
  <c r="V317" i="2"/>
  <c r="V306" i="2"/>
  <c r="V313" i="2"/>
  <c r="V319" i="2"/>
  <c r="V314" i="2"/>
  <c r="V304" i="2"/>
  <c r="V311" i="2"/>
  <c r="V309" i="2"/>
  <c r="V315" i="2"/>
  <c r="V302" i="2"/>
  <c r="V307" i="2"/>
  <c r="V312" i="2"/>
  <c r="V310" i="2"/>
  <c r="V303" i="2"/>
  <c r="V305" i="2"/>
  <c r="V308" i="2"/>
  <c r="V233" i="2"/>
  <c r="V245" i="2"/>
  <c r="V243" i="2"/>
  <c r="V242" i="2"/>
  <c r="V244" i="2"/>
  <c r="V230" i="2"/>
  <c r="V224" i="2"/>
  <c r="V232" i="2"/>
  <c r="V228" i="2"/>
  <c r="V235" i="2"/>
  <c r="V227" i="2"/>
  <c r="V226" i="2"/>
  <c r="V238" i="2"/>
  <c r="V231" i="2"/>
  <c r="V248" i="2"/>
  <c r="V246" i="2"/>
  <c r="V236" i="2"/>
  <c r="V234" i="2"/>
  <c r="V237" i="2"/>
  <c r="V223" i="2"/>
  <c r="V240" i="2"/>
  <c r="V225" i="2"/>
  <c r="V241" i="2"/>
  <c r="V247" i="2"/>
  <c r="V229" i="2"/>
  <c r="V239" i="2"/>
  <c r="V363" i="2"/>
  <c r="V365" i="2"/>
  <c r="V374" i="2"/>
  <c r="V369" i="2"/>
  <c r="V355" i="2"/>
  <c r="V359" i="2"/>
  <c r="V367" i="2"/>
  <c r="V370" i="2"/>
  <c r="V360" i="2"/>
  <c r="V356" i="2"/>
  <c r="V354" i="2"/>
  <c r="V375" i="2"/>
  <c r="V353" i="2"/>
  <c r="V357" i="2"/>
  <c r="V372" i="2"/>
  <c r="V373" i="2"/>
  <c r="V376" i="2"/>
  <c r="V358" i="2"/>
  <c r="V364" i="2"/>
  <c r="V371" i="2"/>
  <c r="V368" i="2"/>
  <c r="V83" i="2"/>
  <c r="V52" i="2"/>
  <c r="V74" i="2"/>
  <c r="V45" i="2"/>
  <c r="V38" i="2"/>
  <c r="V51" i="2"/>
  <c r="AU71" i="2"/>
  <c r="V59" i="2"/>
  <c r="V44" i="2"/>
  <c r="V66" i="2"/>
  <c r="V79" i="2"/>
  <c r="V42" i="2"/>
  <c r="V48" i="2"/>
  <c r="V69" i="2"/>
  <c r="V49" i="2"/>
  <c r="V46" i="2"/>
  <c r="V58" i="2"/>
  <c r="V71" i="2"/>
  <c r="V40" i="2"/>
  <c r="V80" i="2"/>
  <c r="V53" i="2"/>
  <c r="V57" i="2"/>
  <c r="V70" i="2"/>
  <c r="V63" i="2"/>
  <c r="V84" i="2"/>
  <c r="V37" i="2"/>
  <c r="V90" i="2"/>
  <c r="V75" i="2"/>
  <c r="V77" i="2"/>
  <c r="V67" i="2"/>
  <c r="V76" i="2"/>
  <c r="V62" i="2"/>
  <c r="AU81" i="2"/>
  <c r="V68" i="2"/>
  <c r="V85" i="2"/>
  <c r="V65" i="2"/>
  <c r="V56" i="2"/>
  <c r="V89" i="2"/>
  <c r="AU57" i="2"/>
  <c r="V72" i="2"/>
  <c r="V86" i="2"/>
  <c r="V87" i="2"/>
  <c r="V54" i="2"/>
  <c r="AU64" i="2"/>
  <c r="V47" i="2"/>
  <c r="V82" i="2"/>
  <c r="V50" i="2"/>
  <c r="V73" i="2"/>
  <c r="V41" i="2"/>
  <c r="V43" i="2"/>
  <c r="AU46" i="2"/>
  <c r="V39" i="2"/>
  <c r="V61" i="2"/>
  <c r="V60" i="2"/>
  <c r="V88" i="2"/>
  <c r="V64" i="2"/>
  <c r="V81" i="2"/>
  <c r="V78" i="2"/>
  <c r="D71" i="34"/>
  <c r="AD23" i="2" l="1"/>
  <c r="AB23" i="2"/>
  <c r="X23" i="2"/>
  <c r="V23" i="2"/>
  <c r="N13" i="2"/>
  <c r="Y422" i="2" s="1"/>
  <c r="AI422" i="2" s="1"/>
  <c r="AM422" i="2"/>
  <c r="AJ62" i="2"/>
  <c r="AK62" i="2"/>
  <c r="AL62" i="2"/>
  <c r="AM62" i="2"/>
  <c r="AN62" i="2"/>
  <c r="AO62" i="2"/>
  <c r="Z23" i="2"/>
  <c r="AK224" i="6"/>
  <c r="AQ224" i="6" s="1"/>
  <c r="W229" i="6" s="1"/>
  <c r="Y22" i="10" s="1"/>
  <c r="AK211" i="6"/>
  <c r="AK228" i="6"/>
  <c r="AK220" i="6"/>
  <c r="AQ220" i="6" s="1"/>
  <c r="W228" i="6" s="1"/>
  <c r="Y21" i="10" s="1"/>
  <c r="AK216" i="6"/>
  <c r="AQ216" i="6" s="1"/>
  <c r="AK170" i="6"/>
  <c r="AQ170" i="6" s="1"/>
  <c r="X187" i="6" s="1"/>
  <c r="AA52" i="21" s="1"/>
  <c r="AK187" i="6"/>
  <c r="AQ187" i="6" s="1"/>
  <c r="AK183" i="6"/>
  <c r="AK166" i="6"/>
  <c r="AK262" i="6"/>
  <c r="AQ262" i="6" s="1"/>
  <c r="W260" i="6" s="1"/>
  <c r="Z25" i="8" s="1"/>
  <c r="N11" i="2"/>
  <c r="Y366" i="2" s="1"/>
  <c r="AI366" i="2" s="1"/>
  <c r="N9" i="2"/>
  <c r="N5" i="2"/>
  <c r="Y116" i="2" s="1"/>
  <c r="N6" i="2"/>
  <c r="N7" i="2"/>
  <c r="N4" i="2"/>
  <c r="Y114" i="2" s="1"/>
  <c r="N3" i="2"/>
  <c r="N8" i="2"/>
  <c r="BG254" i="2" s="1"/>
  <c r="BG255" i="2" s="1"/>
  <c r="X289" i="6"/>
  <c r="Z3" i="15" s="1"/>
  <c r="X290" i="6"/>
  <c r="Z4" i="15" s="1"/>
  <c r="X299" i="6"/>
  <c r="Z13" i="15" s="1"/>
  <c r="X291" i="6"/>
  <c r="Z5" i="15" s="1"/>
  <c r="X303" i="6"/>
  <c r="Z17" i="15" s="1"/>
  <c r="X292" i="6"/>
  <c r="Z6" i="15" s="1"/>
  <c r="X294" i="6"/>
  <c r="Z8" i="15" s="1"/>
  <c r="X296" i="6"/>
  <c r="Z10" i="15" s="1"/>
  <c r="X297" i="6"/>
  <c r="Z11" i="15" s="1"/>
  <c r="X298" i="6"/>
  <c r="Z12" i="15" s="1"/>
  <c r="X304" i="6"/>
  <c r="Z18" i="15" s="1"/>
  <c r="X305" i="6"/>
  <c r="Z19" i="15" s="1"/>
  <c r="X288" i="6"/>
  <c r="Z2" i="15" s="1"/>
  <c r="X293" i="6"/>
  <c r="Z7" i="15" s="1"/>
  <c r="X295" i="6"/>
  <c r="Z9" i="15" s="1"/>
  <c r="X300" i="6"/>
  <c r="Z14" i="15" s="1"/>
  <c r="X301" i="6"/>
  <c r="Z15" i="15" s="1"/>
  <c r="X302" i="6"/>
  <c r="Z16" i="15" s="1"/>
  <c r="AN61" i="2"/>
  <c r="AJ61" i="2"/>
  <c r="AF61" i="2"/>
  <c r="AM61" i="2"/>
  <c r="AH61" i="2"/>
  <c r="W49" i="21"/>
  <c r="T18" i="6"/>
  <c r="AL61" i="2"/>
  <c r="AL389" i="2"/>
  <c r="AO61" i="2"/>
  <c r="AK61" i="2"/>
  <c r="AN390" i="2"/>
  <c r="AL388" i="2"/>
  <c r="AM385" i="2"/>
  <c r="AL391" i="2"/>
  <c r="W384" i="6"/>
  <c r="Y21" i="20" s="1"/>
  <c r="AL387" i="2"/>
  <c r="AL386" i="2"/>
  <c r="AO390" i="2"/>
  <c r="AN389" i="2"/>
  <c r="AJ391" i="2"/>
  <c r="AN386" i="2"/>
  <c r="AK391" i="2"/>
  <c r="AO386" i="2"/>
  <c r="X394" i="6"/>
  <c r="Z31" i="20" s="1"/>
  <c r="X395" i="6"/>
  <c r="Z32" i="20" s="1"/>
  <c r="X396" i="6"/>
  <c r="Z33" i="20" s="1"/>
  <c r="X397" i="6"/>
  <c r="Z34" i="20" s="1"/>
  <c r="X398" i="6"/>
  <c r="Z35" i="20" s="1"/>
  <c r="X399" i="6"/>
  <c r="Z36" i="20" s="1"/>
  <c r="X400" i="6"/>
  <c r="Z37" i="20" s="1"/>
  <c r="W369" i="6"/>
  <c r="Y6" i="20" s="1"/>
  <c r="X401" i="6"/>
  <c r="Z38" i="20" s="1"/>
  <c r="W370" i="6"/>
  <c r="Y7" i="20" s="1"/>
  <c r="X402" i="6"/>
  <c r="Z39" i="20" s="1"/>
  <c r="W368" i="6"/>
  <c r="Y5" i="20" s="1"/>
  <c r="X403" i="6"/>
  <c r="Z40" i="20" s="1"/>
  <c r="W366" i="6"/>
  <c r="Y3" i="20" s="1"/>
  <c r="X404" i="6"/>
  <c r="Z41" i="20" s="1"/>
  <c r="X385" i="6"/>
  <c r="Z22" i="20" s="1"/>
  <c r="X386" i="6"/>
  <c r="Z23" i="20" s="1"/>
  <c r="X387" i="6"/>
  <c r="Z24" i="20" s="1"/>
  <c r="W398" i="6"/>
  <c r="Y35" i="20" s="1"/>
  <c r="W388" i="6"/>
  <c r="Y25" i="20" s="1"/>
  <c r="X388" i="6"/>
  <c r="Z25" i="20" s="1"/>
  <c r="X389" i="6"/>
  <c r="Z26" i="20" s="1"/>
  <c r="X390" i="6"/>
  <c r="Z27" i="20" s="1"/>
  <c r="X391" i="6"/>
  <c r="Z28" i="20" s="1"/>
  <c r="X392" i="6"/>
  <c r="Z29" i="20" s="1"/>
  <c r="X393" i="6"/>
  <c r="Z30" i="20" s="1"/>
  <c r="AL385" i="2"/>
  <c r="U370" i="6"/>
  <c r="W7" i="20" s="1"/>
  <c r="U384" i="6"/>
  <c r="W21" i="20" s="1"/>
  <c r="U415" i="6"/>
  <c r="W52" i="20" s="1"/>
  <c r="U388" i="6"/>
  <c r="W25" i="20" s="1"/>
  <c r="U398" i="6"/>
  <c r="W35" i="20" s="1"/>
  <c r="AJ386" i="2"/>
  <c r="AK386" i="2"/>
  <c r="AN388" i="2"/>
  <c r="AM386" i="2"/>
  <c r="AO387" i="2"/>
  <c r="AJ387" i="2"/>
  <c r="AK387" i="2"/>
  <c r="W415" i="6"/>
  <c r="Y52" i="20" s="1"/>
  <c r="W367" i="6"/>
  <c r="Y4" i="20" s="1"/>
  <c r="W372" i="6"/>
  <c r="Y9" i="20" s="1"/>
  <c r="AK385" i="2"/>
  <c r="AO389" i="2"/>
  <c r="AJ389" i="2"/>
  <c r="AK389" i="2"/>
  <c r="AM390" i="2"/>
  <c r="BK260" i="2"/>
  <c r="AM389" i="2"/>
  <c r="AN391" i="2"/>
  <c r="AM387" i="2"/>
  <c r="AL390" i="2"/>
  <c r="AJ390" i="2"/>
  <c r="AM388" i="2"/>
  <c r="S370" i="6"/>
  <c r="U7" i="20" s="1"/>
  <c r="S415" i="6"/>
  <c r="U52" i="20" s="1"/>
  <c r="S398" i="6"/>
  <c r="U35" i="20" s="1"/>
  <c r="S388" i="6"/>
  <c r="U25" i="20" s="1"/>
  <c r="S384" i="6"/>
  <c r="U21" i="20" s="1"/>
  <c r="AK390" i="2"/>
  <c r="AO388" i="2"/>
  <c r="AJ388" i="2"/>
  <c r="AK388" i="2"/>
  <c r="AM391" i="2"/>
  <c r="AJ385" i="2"/>
  <c r="AO385" i="2"/>
  <c r="AN385" i="2"/>
  <c r="AN387" i="2"/>
  <c r="AO391" i="2"/>
  <c r="BD260" i="2"/>
  <c r="BH260" i="2"/>
  <c r="BJ260" i="2"/>
  <c r="AU305" i="2"/>
  <c r="P302" i="2" s="1"/>
  <c r="AA302" i="2" s="1"/>
  <c r="BL260" i="2"/>
  <c r="S352" i="6"/>
  <c r="T17" i="19" s="1"/>
  <c r="S362" i="6"/>
  <c r="T27" i="19" s="1"/>
  <c r="S349" i="6"/>
  <c r="T14" i="19" s="1"/>
  <c r="S359" i="6"/>
  <c r="T24" i="19" s="1"/>
  <c r="S356" i="6"/>
  <c r="T21" i="19" s="1"/>
  <c r="S353" i="6"/>
  <c r="T18" i="19" s="1"/>
  <c r="S350" i="6"/>
  <c r="T15" i="19" s="1"/>
  <c r="S360" i="6"/>
  <c r="T25" i="19" s="1"/>
  <c r="S347" i="6"/>
  <c r="T12" i="19" s="1"/>
  <c r="S357" i="6"/>
  <c r="T22" i="19" s="1"/>
  <c r="S354" i="6"/>
  <c r="T19" i="19" s="1"/>
  <c r="S351" i="6"/>
  <c r="T16" i="19" s="1"/>
  <c r="S361" i="6"/>
  <c r="T26" i="19" s="1"/>
  <c r="S348" i="6"/>
  <c r="T13" i="19" s="1"/>
  <c r="S355" i="6"/>
  <c r="T20" i="19" s="1"/>
  <c r="S358" i="6"/>
  <c r="T23" i="19" s="1"/>
  <c r="W358" i="6"/>
  <c r="X23" i="19" s="1"/>
  <c r="X358" i="6"/>
  <c r="Y23" i="19" s="1"/>
  <c r="W355" i="6"/>
  <c r="X20" i="19" s="1"/>
  <c r="X355" i="6"/>
  <c r="Y20" i="19" s="1"/>
  <c r="W352" i="6"/>
  <c r="X17" i="19" s="1"/>
  <c r="X352" i="6"/>
  <c r="Y17" i="19" s="1"/>
  <c r="W362" i="6"/>
  <c r="X27" i="19" s="1"/>
  <c r="W349" i="6"/>
  <c r="X14" i="19" s="1"/>
  <c r="X362" i="6"/>
  <c r="Y27" i="19" s="1"/>
  <c r="X349" i="6"/>
  <c r="Y14" i="19" s="1"/>
  <c r="W359" i="6"/>
  <c r="X24" i="19" s="1"/>
  <c r="X359" i="6"/>
  <c r="Y24" i="19" s="1"/>
  <c r="W356" i="6"/>
  <c r="X21" i="19" s="1"/>
  <c r="X356" i="6"/>
  <c r="Y21" i="19" s="1"/>
  <c r="W353" i="6"/>
  <c r="X18" i="19" s="1"/>
  <c r="X353" i="6"/>
  <c r="Y18" i="19" s="1"/>
  <c r="W350" i="6"/>
  <c r="X15" i="19" s="1"/>
  <c r="X350" i="6"/>
  <c r="Y15" i="19" s="1"/>
  <c r="W360" i="6"/>
  <c r="X25" i="19" s="1"/>
  <c r="W347" i="6"/>
  <c r="X12" i="19" s="1"/>
  <c r="X360" i="6"/>
  <c r="Y25" i="19" s="1"/>
  <c r="X347" i="6"/>
  <c r="Y12" i="19" s="1"/>
  <c r="W357" i="6"/>
  <c r="X22" i="19" s="1"/>
  <c r="X357" i="6"/>
  <c r="Y22" i="19" s="1"/>
  <c r="W354" i="6"/>
  <c r="X19" i="19" s="1"/>
  <c r="W351" i="6"/>
  <c r="X16" i="19" s="1"/>
  <c r="X351" i="6"/>
  <c r="Y16" i="19" s="1"/>
  <c r="W361" i="6"/>
  <c r="X26" i="19" s="1"/>
  <c r="X354" i="6"/>
  <c r="Y19" i="19" s="1"/>
  <c r="X361" i="6"/>
  <c r="Y26" i="19" s="1"/>
  <c r="W348" i="6"/>
  <c r="X13" i="19" s="1"/>
  <c r="X348" i="6"/>
  <c r="Y13" i="19" s="1"/>
  <c r="U355" i="6"/>
  <c r="V20" i="19" s="1"/>
  <c r="U352" i="6"/>
  <c r="V17" i="19" s="1"/>
  <c r="U362" i="6"/>
  <c r="V27" i="19" s="1"/>
  <c r="U349" i="6"/>
  <c r="V14" i="19" s="1"/>
  <c r="U359" i="6"/>
  <c r="V24" i="19" s="1"/>
  <c r="U356" i="6"/>
  <c r="V21" i="19" s="1"/>
  <c r="U353" i="6"/>
  <c r="V18" i="19" s="1"/>
  <c r="U350" i="6"/>
  <c r="V15" i="19" s="1"/>
  <c r="U360" i="6"/>
  <c r="V25" i="19" s="1"/>
  <c r="U347" i="6"/>
  <c r="V12" i="19" s="1"/>
  <c r="U357" i="6"/>
  <c r="V22" i="19" s="1"/>
  <c r="U354" i="6"/>
  <c r="V19" i="19" s="1"/>
  <c r="U358" i="6"/>
  <c r="V23" i="19" s="1"/>
  <c r="U351" i="6"/>
  <c r="V16" i="19" s="1"/>
  <c r="U361" i="6"/>
  <c r="V26" i="19" s="1"/>
  <c r="U348" i="6"/>
  <c r="V13" i="19" s="1"/>
  <c r="S327" i="6"/>
  <c r="X337" i="6"/>
  <c r="Y2" i="19" s="1"/>
  <c r="X339" i="6"/>
  <c r="Y4" i="19" s="1"/>
  <c r="X343" i="6"/>
  <c r="Y8" i="19" s="1"/>
  <c r="X338" i="6"/>
  <c r="Y3" i="19" s="1"/>
  <c r="X340" i="6"/>
  <c r="Y5" i="19" s="1"/>
  <c r="X341" i="6"/>
  <c r="Y6" i="19" s="1"/>
  <c r="X342" i="6"/>
  <c r="Y7" i="19" s="1"/>
  <c r="X344" i="6"/>
  <c r="Y9" i="19" s="1"/>
  <c r="X345" i="6"/>
  <c r="Y10" i="19" s="1"/>
  <c r="W327" i="6"/>
  <c r="X21" i="14" s="1"/>
  <c r="X346" i="6"/>
  <c r="Y11" i="19" s="1"/>
  <c r="X327" i="6"/>
  <c r="Y21" i="14" s="1"/>
  <c r="AJ327" i="6"/>
  <c r="U327" i="6"/>
  <c r="V21" i="14" s="1"/>
  <c r="W188" i="6"/>
  <c r="Z53" i="21" s="1"/>
  <c r="AN327" i="6"/>
  <c r="AR175" i="6"/>
  <c r="AR177" i="6" s="1"/>
  <c r="AP327" i="6"/>
  <c r="X308" i="6"/>
  <c r="Y2" i="14" s="1"/>
  <c r="W289" i="6"/>
  <c r="Y3" i="15" s="1"/>
  <c r="W311" i="6"/>
  <c r="X5" i="14" s="1"/>
  <c r="X309" i="6"/>
  <c r="Y3" i="14" s="1"/>
  <c r="W291" i="6"/>
  <c r="Y5" i="15" s="1"/>
  <c r="X310" i="6"/>
  <c r="Y4" i="14" s="1"/>
  <c r="X311" i="6"/>
  <c r="Y5" i="14" s="1"/>
  <c r="W293" i="6"/>
  <c r="Y7" i="15" s="1"/>
  <c r="X312" i="6"/>
  <c r="Y6" i="14" s="1"/>
  <c r="W294" i="6"/>
  <c r="Y8" i="15" s="1"/>
  <c r="X313" i="6"/>
  <c r="Y7" i="14" s="1"/>
  <c r="W295" i="6"/>
  <c r="Y9" i="15" s="1"/>
  <c r="X314" i="6"/>
  <c r="Y8" i="14" s="1"/>
  <c r="W296" i="6"/>
  <c r="Y10" i="15" s="1"/>
  <c r="X315" i="6"/>
  <c r="Y9" i="14" s="1"/>
  <c r="W297" i="6"/>
  <c r="Y11" i="15" s="1"/>
  <c r="X316" i="6"/>
  <c r="Y10" i="14" s="1"/>
  <c r="W298" i="6"/>
  <c r="Y12" i="15" s="1"/>
  <c r="X317" i="6"/>
  <c r="Y11" i="14" s="1"/>
  <c r="X265" i="6"/>
  <c r="AA30" i="8" s="1"/>
  <c r="W299" i="6"/>
  <c r="Y13" i="15" s="1"/>
  <c r="X318" i="6"/>
  <c r="Y12" i="14" s="1"/>
  <c r="X267" i="6"/>
  <c r="AA32" i="8" s="1"/>
  <c r="W300" i="6"/>
  <c r="Y14" i="15" s="1"/>
  <c r="X319" i="6"/>
  <c r="Y13" i="14" s="1"/>
  <c r="X259" i="6"/>
  <c r="AA24" i="8" s="1"/>
  <c r="W301" i="6"/>
  <c r="Y15" i="15" s="1"/>
  <c r="X321" i="6"/>
  <c r="Y15" i="14" s="1"/>
  <c r="W302" i="6"/>
  <c r="Y16" i="15" s="1"/>
  <c r="X322" i="6"/>
  <c r="Y16" i="14" s="1"/>
  <c r="X245" i="6"/>
  <c r="AA10" i="8" s="1"/>
  <c r="W303" i="6"/>
  <c r="Y17" i="15" s="1"/>
  <c r="X323" i="6"/>
  <c r="Y17" i="14" s="1"/>
  <c r="X237" i="6"/>
  <c r="AA2" i="8" s="1"/>
  <c r="W304" i="6"/>
  <c r="Y18" i="15" s="1"/>
  <c r="X324" i="6"/>
  <c r="Y18" i="14" s="1"/>
  <c r="W265" i="6"/>
  <c r="Z30" i="8" s="1"/>
  <c r="W305" i="6"/>
  <c r="Y19" i="15" s="1"/>
  <c r="X325" i="6"/>
  <c r="Y19" i="14" s="1"/>
  <c r="W288" i="6"/>
  <c r="Y2" i="15" s="1"/>
  <c r="X326" i="6"/>
  <c r="Y20" i="14" s="1"/>
  <c r="X328" i="6"/>
  <c r="Y22" i="14" s="1"/>
  <c r="X329" i="6"/>
  <c r="Y23" i="14" s="1"/>
  <c r="X330" i="6"/>
  <c r="Y24" i="14" s="1"/>
  <c r="X331" i="6"/>
  <c r="Y25" i="14" s="1"/>
  <c r="X332" i="6"/>
  <c r="Y26" i="14" s="1"/>
  <c r="X333" i="6"/>
  <c r="Y27" i="14" s="1"/>
  <c r="X334" i="6"/>
  <c r="Y28" i="14" s="1"/>
  <c r="W290" i="6"/>
  <c r="Y4" i="15" s="1"/>
  <c r="AL327" i="6"/>
  <c r="W292" i="6"/>
  <c r="Y6" i="15" s="1"/>
  <c r="S191" i="6"/>
  <c r="V56" i="21" s="1"/>
  <c r="S309" i="6"/>
  <c r="S310" i="6"/>
  <c r="S311" i="6"/>
  <c r="S312" i="6"/>
  <c r="T6" i="14" s="1"/>
  <c r="S308" i="6"/>
  <c r="BA274" i="2"/>
  <c r="BB274" i="2"/>
  <c r="M49" i="28"/>
  <c r="M70" i="28"/>
  <c r="J341" i="2"/>
  <c r="R37" i="28"/>
  <c r="R33" i="28"/>
  <c r="X226" i="6"/>
  <c r="Z19" i="10" s="1"/>
  <c r="X230" i="6"/>
  <c r="Z23" i="10" s="1"/>
  <c r="X177" i="6"/>
  <c r="AA42" i="21" s="1"/>
  <c r="W226" i="6"/>
  <c r="Y19" i="10" s="1"/>
  <c r="W230" i="6"/>
  <c r="Y23" i="10" s="1"/>
  <c r="X164" i="6"/>
  <c r="AA29" i="21" s="1"/>
  <c r="X185" i="6"/>
  <c r="AA50" i="21" s="1"/>
  <c r="AN183" i="6"/>
  <c r="X178" i="6"/>
  <c r="AA43" i="21" s="1"/>
  <c r="BC163" i="2"/>
  <c r="BB163" i="2" s="1"/>
  <c r="Q209" i="2" s="1"/>
  <c r="AB209" i="2" s="1"/>
  <c r="P178" i="2"/>
  <c r="AA178" i="2" s="1"/>
  <c r="S178" i="2"/>
  <c r="AD178" i="2" s="1"/>
  <c r="Q178" i="2"/>
  <c r="AB178" i="2" s="1"/>
  <c r="R178" i="2"/>
  <c r="AC178" i="2" s="1"/>
  <c r="AK26" i="6"/>
  <c r="AQ26" i="6" s="1"/>
  <c r="AK172" i="6"/>
  <c r="AT170" i="6" s="1"/>
  <c r="AK380" i="6"/>
  <c r="AQ380" i="6" s="1"/>
  <c r="AP380" i="6" s="1"/>
  <c r="U134" i="6"/>
  <c r="W34" i="9" s="1"/>
  <c r="U191" i="6"/>
  <c r="X56" i="21" s="1"/>
  <c r="X166" i="6"/>
  <c r="AA31" i="21" s="1"/>
  <c r="X191" i="6"/>
  <c r="AA56" i="21" s="1"/>
  <c r="AK142" i="6"/>
  <c r="AK55" i="6"/>
  <c r="AK146" i="6"/>
  <c r="AK155" i="6"/>
  <c r="AT155" i="6" s="1"/>
  <c r="AS155" i="6" s="1"/>
  <c r="AK151" i="6"/>
  <c r="AK84" i="6"/>
  <c r="AQ84" i="6" s="1"/>
  <c r="AP84" i="6" s="1"/>
  <c r="AK249" i="6"/>
  <c r="AQ249" i="6" s="1"/>
  <c r="AK34" i="6"/>
  <c r="AQ34" i="6" s="1"/>
  <c r="AP34" i="6" s="1"/>
  <c r="AK32" i="6"/>
  <c r="AK38" i="6"/>
  <c r="AK51" i="6"/>
  <c r="AQ51" i="6" s="1"/>
  <c r="AK376" i="6"/>
  <c r="AQ376" i="6" s="1"/>
  <c r="AK57" i="6"/>
  <c r="W191" i="6"/>
  <c r="Z56" i="21" s="1"/>
  <c r="AU178" i="2"/>
  <c r="Q193" i="2" s="1"/>
  <c r="AB193" i="2" s="1"/>
  <c r="AV188" i="2"/>
  <c r="AN145" i="2"/>
  <c r="AJ137" i="2"/>
  <c r="AO145" i="2"/>
  <c r="AN137" i="2"/>
  <c r="AL137" i="2"/>
  <c r="AK137" i="2"/>
  <c r="AL132" i="2"/>
  <c r="AM137" i="2"/>
  <c r="AL145" i="2"/>
  <c r="AM145" i="2"/>
  <c r="S41" i="6"/>
  <c r="U21" i="12" s="1"/>
  <c r="S134" i="6"/>
  <c r="AJ145" i="2"/>
  <c r="AN55" i="6"/>
  <c r="W134" i="6"/>
  <c r="Y34" i="9" s="1"/>
  <c r="X134" i="6"/>
  <c r="Z34" i="9" s="1"/>
  <c r="AK145" i="2"/>
  <c r="AM132" i="2"/>
  <c r="AN132" i="2"/>
  <c r="AK132" i="2"/>
  <c r="AJ132" i="2"/>
  <c r="AO137" i="2"/>
  <c r="AO132" i="2"/>
  <c r="AM95" i="2"/>
  <c r="AM106" i="2"/>
  <c r="AN107" i="2"/>
  <c r="AK36" i="2"/>
  <c r="AM107" i="2"/>
  <c r="AM94" i="2"/>
  <c r="H71" i="34"/>
  <c r="AN105" i="2"/>
  <c r="L52" i="34"/>
  <c r="L71" i="34"/>
  <c r="F71" i="34"/>
  <c r="J71" i="34"/>
  <c r="AL112" i="2"/>
  <c r="AL106" i="2"/>
  <c r="AL111" i="2"/>
  <c r="AL94" i="2"/>
  <c r="AL110" i="2"/>
  <c r="AN106" i="2"/>
  <c r="AM110" i="2"/>
  <c r="AL107" i="2"/>
  <c r="AJ95" i="2"/>
  <c r="AK95" i="2"/>
  <c r="AL104" i="2"/>
  <c r="AJ106" i="2"/>
  <c r="AK106" i="2"/>
  <c r="AJ112" i="2"/>
  <c r="AK112" i="2"/>
  <c r="AN94" i="2"/>
  <c r="AJ104" i="2"/>
  <c r="AK104" i="2"/>
  <c r="AJ110" i="2"/>
  <c r="AK110" i="2"/>
  <c r="AJ107" i="2"/>
  <c r="AK107" i="2"/>
  <c r="AJ94" i="2"/>
  <c r="AK94" i="2"/>
  <c r="AJ105" i="2"/>
  <c r="AK105" i="2"/>
  <c r="AJ111" i="2"/>
  <c r="AK111" i="2"/>
  <c r="AN112" i="2"/>
  <c r="AN111" i="2"/>
  <c r="AM111" i="2"/>
  <c r="AN110" i="2"/>
  <c r="AM104" i="2"/>
  <c r="AN104" i="2"/>
  <c r="AM112" i="2"/>
  <c r="AN95" i="2"/>
  <c r="AM105" i="2"/>
  <c r="AL105" i="2"/>
  <c r="AL95" i="2"/>
  <c r="AL36" i="2"/>
  <c r="AN71" i="2"/>
  <c r="U112" i="6"/>
  <c r="W12" i="9" s="1"/>
  <c r="U41" i="6"/>
  <c r="W21" i="12" s="1"/>
  <c r="AM71" i="2"/>
  <c r="AK71" i="2"/>
  <c r="AO71" i="2"/>
  <c r="AL71" i="2"/>
  <c r="AL65" i="2"/>
  <c r="AK65" i="2"/>
  <c r="AN65" i="2"/>
  <c r="AO65" i="2"/>
  <c r="AM65" i="2"/>
  <c r="AK89" i="2"/>
  <c r="AL89" i="2"/>
  <c r="AM89" i="2"/>
  <c r="AN89" i="2"/>
  <c r="AJ89" i="2"/>
  <c r="AM66" i="2"/>
  <c r="AJ66" i="2"/>
  <c r="AK66" i="2"/>
  <c r="AL66" i="2"/>
  <c r="AN66" i="2"/>
  <c r="AO66" i="2"/>
  <c r="AM88" i="2"/>
  <c r="AL88" i="2"/>
  <c r="AK88" i="2"/>
  <c r="AN88" i="2"/>
  <c r="AK40" i="6"/>
  <c r="AK42" i="6"/>
  <c r="AK30" i="6"/>
  <c r="AK36" i="6"/>
  <c r="AQ36" i="6" s="1"/>
  <c r="AP36" i="6" s="1"/>
  <c r="AK71" i="6"/>
  <c r="AQ71" i="6" s="1"/>
  <c r="AK65" i="6"/>
  <c r="AQ65" i="6" s="1"/>
  <c r="W75" i="6" s="1"/>
  <c r="Y55" i="12" s="1"/>
  <c r="AK53" i="6"/>
  <c r="AK28" i="6"/>
  <c r="AV51" i="6"/>
  <c r="BA51" i="6" s="1"/>
  <c r="X41" i="6"/>
  <c r="Z21" i="12" s="1"/>
  <c r="AJ90" i="2"/>
  <c r="AK90" i="2"/>
  <c r="AL90" i="2"/>
  <c r="AM90" i="2"/>
  <c r="AN90" i="2"/>
  <c r="AM86" i="2"/>
  <c r="AK86" i="2"/>
  <c r="AL86" i="2"/>
  <c r="AO86" i="2"/>
  <c r="AN86" i="2"/>
  <c r="AO60" i="2"/>
  <c r="AK60" i="2"/>
  <c r="AN60" i="2"/>
  <c r="AM60" i="2"/>
  <c r="AL60" i="2"/>
  <c r="AK58" i="2"/>
  <c r="AL58" i="2"/>
  <c r="AM58" i="2"/>
  <c r="AN58" i="2"/>
  <c r="AO58" i="2"/>
  <c r="AN59" i="2"/>
  <c r="AO59" i="2"/>
  <c r="AK59" i="2"/>
  <c r="AJ59" i="2"/>
  <c r="AL59" i="2"/>
  <c r="AM59" i="2"/>
  <c r="U42" i="6"/>
  <c r="W22" i="12" s="1"/>
  <c r="U126" i="6"/>
  <c r="W26" i="9" s="1"/>
  <c r="AA56" i="2"/>
  <c r="U414" i="6"/>
  <c r="W51" i="20" s="1"/>
  <c r="U211" i="6"/>
  <c r="W4" i="10" s="1"/>
  <c r="AJ36" i="2"/>
  <c r="U326" i="6"/>
  <c r="V20" i="14" s="1"/>
  <c r="AN36" i="2"/>
  <c r="U247" i="6"/>
  <c r="X12" i="8" s="1"/>
  <c r="U186" i="6"/>
  <c r="X51" i="21" s="1"/>
  <c r="U185" i="6"/>
  <c r="X50" i="21" s="1"/>
  <c r="AO36" i="2"/>
  <c r="U416" i="6"/>
  <c r="W53" i="20" s="1"/>
  <c r="U271" i="6"/>
  <c r="X36" i="8" s="1"/>
  <c r="AM36" i="2"/>
  <c r="U184" i="6"/>
  <c r="U92" i="6"/>
  <c r="W15" i="16" s="1"/>
  <c r="U393" i="6"/>
  <c r="W30" i="20" s="1"/>
  <c r="U65" i="6"/>
  <c r="W45" i="12" s="1"/>
  <c r="U71" i="6"/>
  <c r="W51" i="12" s="1"/>
  <c r="U64" i="6"/>
  <c r="W44" i="12" s="1"/>
  <c r="U265" i="6"/>
  <c r="X30" i="8" s="1"/>
  <c r="U83" i="6"/>
  <c r="W6" i="16" s="1"/>
  <c r="U26" i="6"/>
  <c r="W6" i="12" s="1"/>
  <c r="AY71" i="2"/>
  <c r="U248" i="6"/>
  <c r="X13" i="8" s="1"/>
  <c r="U162" i="6"/>
  <c r="X27" i="21" s="1"/>
  <c r="U292" i="6"/>
  <c r="W6" i="15" s="1"/>
  <c r="U142" i="6"/>
  <c r="X7" i="21" s="1"/>
  <c r="U377" i="6"/>
  <c r="W14" i="20" s="1"/>
  <c r="U289" i="6"/>
  <c r="W3" i="15" s="1"/>
  <c r="U343" i="6"/>
  <c r="V8" i="19" s="1"/>
  <c r="U199" i="6"/>
  <c r="X64" i="21" s="1"/>
  <c r="U157" i="6"/>
  <c r="X22" i="21" s="1"/>
  <c r="U241" i="6"/>
  <c r="X6" i="8" s="1"/>
  <c r="U104" i="6"/>
  <c r="W4" i="9" s="1"/>
  <c r="U43" i="6"/>
  <c r="W23" i="12" s="1"/>
  <c r="U214" i="6"/>
  <c r="W7" i="10" s="1"/>
  <c r="U145" i="6"/>
  <c r="X10" i="21" s="1"/>
  <c r="U106" i="6"/>
  <c r="W6" i="9" s="1"/>
  <c r="U232" i="6"/>
  <c r="W25" i="10" s="1"/>
  <c r="U220" i="6"/>
  <c r="W13" i="10" s="1"/>
  <c r="AV43" i="2"/>
  <c r="AW43" i="2"/>
  <c r="AX43" i="2"/>
  <c r="AU43" i="2"/>
  <c r="U231" i="6"/>
  <c r="W24" i="10" s="1"/>
  <c r="U169" i="6"/>
  <c r="X34" i="21" s="1"/>
  <c r="U392" i="6"/>
  <c r="W29" i="20" s="1"/>
  <c r="U212" i="6"/>
  <c r="W5" i="10" s="1"/>
  <c r="U90" i="6"/>
  <c r="W13" i="16" s="1"/>
  <c r="U51" i="6"/>
  <c r="W31" i="12" s="1"/>
  <c r="U149" i="6"/>
  <c r="X14" i="21" s="1"/>
  <c r="U373" i="6"/>
  <c r="W10" i="20" s="1"/>
  <c r="U374" i="6"/>
  <c r="W11" i="20" s="1"/>
  <c r="U107" i="6"/>
  <c r="W7" i="9" s="1"/>
  <c r="U237" i="6"/>
  <c r="X2" i="8" s="1"/>
  <c r="AS51" i="6"/>
  <c r="U59" i="6"/>
  <c r="W39" i="12" s="1"/>
  <c r="U189" i="6"/>
  <c r="X54" i="21" s="1"/>
  <c r="U47" i="6"/>
  <c r="W27" i="12" s="1"/>
  <c r="U233" i="6"/>
  <c r="W26" i="10" s="1"/>
  <c r="U95" i="6"/>
  <c r="W18" i="16" s="1"/>
  <c r="U24" i="6"/>
  <c r="W4" i="12" s="1"/>
  <c r="U268" i="6"/>
  <c r="X33" i="8" s="1"/>
  <c r="U181" i="6"/>
  <c r="X46" i="21" s="1"/>
  <c r="U201" i="6"/>
  <c r="X66" i="21" s="1"/>
  <c r="U380" i="6"/>
  <c r="W17" i="20" s="1"/>
  <c r="U168" i="6"/>
  <c r="X33" i="21" s="1"/>
  <c r="U234" i="6"/>
  <c r="W27" i="10" s="1"/>
  <c r="U308" i="6"/>
  <c r="V2" i="14" s="1"/>
  <c r="U49" i="6"/>
  <c r="W29" i="12" s="1"/>
  <c r="U321" i="6"/>
  <c r="V15" i="14" s="1"/>
  <c r="U329" i="6"/>
  <c r="V23" i="14" s="1"/>
  <c r="U57" i="6"/>
  <c r="W37" i="12" s="1"/>
  <c r="U62" i="6"/>
  <c r="W42" i="12" s="1"/>
  <c r="U139" i="6"/>
  <c r="X4" i="21" s="1"/>
  <c r="U315" i="6"/>
  <c r="V9" i="14" s="1"/>
  <c r="U173" i="6"/>
  <c r="X38" i="21" s="1"/>
  <c r="U275" i="6"/>
  <c r="X40" i="8" s="1"/>
  <c r="U85" i="6"/>
  <c r="W8" i="16" s="1"/>
  <c r="U401" i="6"/>
  <c r="W38" i="20" s="1"/>
  <c r="U252" i="6"/>
  <c r="X17" i="8" s="1"/>
  <c r="U310" i="6"/>
  <c r="V4" i="14" s="1"/>
  <c r="U228" i="6"/>
  <c r="W21" i="10" s="1"/>
  <c r="U72" i="6"/>
  <c r="W52" i="12" s="1"/>
  <c r="U202" i="6"/>
  <c r="X67" i="21" s="1"/>
  <c r="U164" i="6"/>
  <c r="X29" i="21" s="1"/>
  <c r="U156" i="6"/>
  <c r="X21" i="21" s="1"/>
  <c r="U390" i="6"/>
  <c r="W27" i="20" s="1"/>
  <c r="U105" i="6"/>
  <c r="W5" i="9" s="1"/>
  <c r="U56" i="6"/>
  <c r="W36" i="12" s="1"/>
  <c r="U97" i="6"/>
  <c r="W20" i="16" s="1"/>
  <c r="U179" i="6"/>
  <c r="X44" i="21" s="1"/>
  <c r="U45" i="6"/>
  <c r="W25" i="12" s="1"/>
  <c r="U250" i="6"/>
  <c r="X15" i="8" s="1"/>
  <c r="U58" i="6"/>
  <c r="W38" i="12" s="1"/>
  <c r="U143" i="6"/>
  <c r="X8" i="21" s="1"/>
  <c r="U132" i="6"/>
  <c r="W32" i="9" s="1"/>
  <c r="U36" i="6"/>
  <c r="W16" i="12" s="1"/>
  <c r="U73" i="6"/>
  <c r="W53" i="12" s="1"/>
  <c r="U304" i="6"/>
  <c r="W18" i="15" s="1"/>
  <c r="U54" i="6"/>
  <c r="W34" i="12" s="1"/>
  <c r="AL175" i="6"/>
  <c r="AL177" i="6" s="1"/>
  <c r="U382" i="6"/>
  <c r="W19" i="20" s="1"/>
  <c r="U316" i="6"/>
  <c r="V10" i="14" s="1"/>
  <c r="U259" i="6"/>
  <c r="X24" i="8" s="1"/>
  <c r="U144" i="6"/>
  <c r="X9" i="21" s="1"/>
  <c r="U196" i="6"/>
  <c r="X61" i="21" s="1"/>
  <c r="U55" i="6"/>
  <c r="W35" i="12" s="1"/>
  <c r="U204" i="6"/>
  <c r="X69" i="21" s="1"/>
  <c r="U174" i="6"/>
  <c r="X39" i="21" s="1"/>
  <c r="U256" i="6"/>
  <c r="X21" i="8" s="1"/>
  <c r="U385" i="6"/>
  <c r="W22" i="20" s="1"/>
  <c r="U219" i="6"/>
  <c r="W12" i="10" s="1"/>
  <c r="U67" i="6"/>
  <c r="W47" i="12" s="1"/>
  <c r="U110" i="6"/>
  <c r="W10" i="9" s="1"/>
  <c r="U301" i="6"/>
  <c r="W15" i="15" s="1"/>
  <c r="U133" i="6"/>
  <c r="W33" i="9" s="1"/>
  <c r="U379" i="6"/>
  <c r="W16" i="20" s="1"/>
  <c r="U403" i="6"/>
  <c r="W40" i="20" s="1"/>
  <c r="U187" i="6"/>
  <c r="X52" i="21" s="1"/>
  <c r="U209" i="6"/>
  <c r="W2" i="10" s="1"/>
  <c r="U79" i="6"/>
  <c r="W2" i="16" s="1"/>
  <c r="U118" i="6"/>
  <c r="W18" i="9" s="1"/>
  <c r="U291" i="6"/>
  <c r="W5" i="15" s="1"/>
  <c r="U413" i="6"/>
  <c r="W50" i="20" s="1"/>
  <c r="U272" i="6"/>
  <c r="X37" i="8" s="1"/>
  <c r="U80" i="6"/>
  <c r="W3" i="16" s="1"/>
  <c r="U311" i="6"/>
  <c r="V5" i="14" s="1"/>
  <c r="U160" i="6"/>
  <c r="X25" i="21" s="1"/>
  <c r="U337" i="6"/>
  <c r="V2" i="19" s="1"/>
  <c r="U293" i="6"/>
  <c r="W7" i="15" s="1"/>
  <c r="U22" i="6"/>
  <c r="W2" i="12" s="1"/>
  <c r="U223" i="6"/>
  <c r="W16" i="10" s="1"/>
  <c r="U332" i="6"/>
  <c r="V26" i="14" s="1"/>
  <c r="U333" i="6"/>
  <c r="V27" i="14" s="1"/>
  <c r="U314" i="6"/>
  <c r="V8" i="14" s="1"/>
  <c r="U367" i="6"/>
  <c r="W4" i="20" s="1"/>
  <c r="U35" i="6"/>
  <c r="W15" i="12" s="1"/>
  <c r="U114" i="6"/>
  <c r="W14" i="9" s="1"/>
  <c r="U159" i="6"/>
  <c r="X24" i="21" s="1"/>
  <c r="U285" i="6"/>
  <c r="X50" i="8" s="1"/>
  <c r="U342" i="6"/>
  <c r="V7" i="19" s="1"/>
  <c r="U305" i="6"/>
  <c r="W19" i="15" s="1"/>
  <c r="U368" i="6"/>
  <c r="W5" i="20" s="1"/>
  <c r="AJ139" i="6"/>
  <c r="AN139" i="6" s="1"/>
  <c r="U155" i="6" s="1"/>
  <c r="X20" i="21" s="1"/>
  <c r="U113" i="6"/>
  <c r="W13" i="9" s="1"/>
  <c r="U280" i="6"/>
  <c r="X45" i="8" s="1"/>
  <c r="U341" i="6"/>
  <c r="V6" i="19" s="1"/>
  <c r="U404" i="6"/>
  <c r="W41" i="20" s="1"/>
  <c r="U407" i="6"/>
  <c r="W44" i="20" s="1"/>
  <c r="U346" i="6"/>
  <c r="V11" i="19" s="1"/>
  <c r="U192" i="6"/>
  <c r="X57" i="21" s="1"/>
  <c r="U119" i="6"/>
  <c r="W19" i="9" s="1"/>
  <c r="U225" i="6"/>
  <c r="W18" i="10" s="1"/>
  <c r="U325" i="6"/>
  <c r="V19" i="14" s="1"/>
  <c r="U410" i="6"/>
  <c r="W47" i="20" s="1"/>
  <c r="U339" i="6"/>
  <c r="V4" i="19" s="1"/>
  <c r="U376" i="6"/>
  <c r="W13" i="20" s="1"/>
  <c r="U153" i="6"/>
  <c r="X18" i="21" s="1"/>
  <c r="U194" i="6"/>
  <c r="X59" i="21" s="1"/>
  <c r="U115" i="6"/>
  <c r="W15" i="9" s="1"/>
  <c r="U261" i="6"/>
  <c r="X26" i="8" s="1"/>
  <c r="U210" i="6"/>
  <c r="W3" i="10" s="1"/>
  <c r="U381" i="6"/>
  <c r="W18" i="20" s="1"/>
  <c r="U267" i="6"/>
  <c r="X32" i="8" s="1"/>
  <c r="U27" i="6"/>
  <c r="W7" i="12" s="1"/>
  <c r="U273" i="6"/>
  <c r="X38" i="8" s="1"/>
  <c r="U190" i="6"/>
  <c r="X55" i="21" s="1"/>
  <c r="U366" i="6"/>
  <c r="W3" i="20" s="1"/>
  <c r="U300" i="6"/>
  <c r="W14" i="15" s="1"/>
  <c r="U125" i="6"/>
  <c r="W25" i="9" s="1"/>
  <c r="U229" i="6"/>
  <c r="W22" i="10" s="1"/>
  <c r="U406" i="6"/>
  <c r="W43" i="20" s="1"/>
  <c r="U177" i="6"/>
  <c r="X42" i="21" s="1"/>
  <c r="U409" i="6"/>
  <c r="W46" i="20" s="1"/>
  <c r="U344" i="6"/>
  <c r="V9" i="19" s="1"/>
  <c r="U127" i="6"/>
  <c r="W27" i="9" s="1"/>
  <c r="U89" i="6"/>
  <c r="W12" i="16" s="1"/>
  <c r="U281" i="6"/>
  <c r="X46" i="8" s="1"/>
  <c r="U383" i="6"/>
  <c r="W20" i="20" s="1"/>
  <c r="U46" i="6"/>
  <c r="W26" i="12" s="1"/>
  <c r="U84" i="6"/>
  <c r="W7" i="16" s="1"/>
  <c r="U240" i="6"/>
  <c r="X5" i="8" s="1"/>
  <c r="U288" i="6"/>
  <c r="W2" i="15" s="1"/>
  <c r="U120" i="6"/>
  <c r="W20" i="9" s="1"/>
  <c r="U277" i="6"/>
  <c r="X42" i="8" s="1"/>
  <c r="U400" i="6"/>
  <c r="W37" i="20" s="1"/>
  <c r="U93" i="6"/>
  <c r="W16" i="16" s="1"/>
  <c r="U33" i="6"/>
  <c r="W13" i="12" s="1"/>
  <c r="U161" i="6"/>
  <c r="X26" i="21" s="1"/>
  <c r="U91" i="6"/>
  <c r="W14" i="16" s="1"/>
  <c r="U249" i="6"/>
  <c r="X14" i="8" s="1"/>
  <c r="U396" i="6"/>
  <c r="W33" i="20" s="1"/>
  <c r="U124" i="6"/>
  <c r="W24" i="9" s="1"/>
  <c r="U151" i="6"/>
  <c r="X16" i="21" s="1"/>
  <c r="U99" i="6"/>
  <c r="W22" i="16" s="1"/>
  <c r="U32" i="6"/>
  <c r="W12" i="12" s="1"/>
  <c r="U278" i="6"/>
  <c r="X43" i="8" s="1"/>
  <c r="U81" i="6"/>
  <c r="W4" i="16" s="1"/>
  <c r="U88" i="6"/>
  <c r="W11" i="16" s="1"/>
  <c r="U412" i="6"/>
  <c r="W49" i="20" s="1"/>
  <c r="U86" i="6"/>
  <c r="W9" i="16" s="1"/>
  <c r="U102" i="6"/>
  <c r="W2" i="9" s="1"/>
  <c r="U296" i="6"/>
  <c r="W10" i="15" s="1"/>
  <c r="U294" i="6"/>
  <c r="W8" i="15" s="1"/>
  <c r="U166" i="6"/>
  <c r="X31" i="21" s="1"/>
  <c r="U330" i="6"/>
  <c r="V24" i="14" s="1"/>
  <c r="U175" i="6"/>
  <c r="X40" i="21" s="1"/>
  <c r="U138" i="6"/>
  <c r="X3" i="21" s="1"/>
  <c r="U180" i="6"/>
  <c r="X45" i="21" s="1"/>
  <c r="U109" i="6"/>
  <c r="W9" i="9" s="1"/>
  <c r="U298" i="6"/>
  <c r="W12" i="15" s="1"/>
  <c r="U130" i="6"/>
  <c r="W30" i="9" s="1"/>
  <c r="U29" i="6"/>
  <c r="W9" i="12" s="1"/>
  <c r="U226" i="6"/>
  <c r="W19" i="10" s="1"/>
  <c r="U213" i="6"/>
  <c r="W6" i="10" s="1"/>
  <c r="U279" i="6"/>
  <c r="X44" i="8" s="1"/>
  <c r="U270" i="6"/>
  <c r="X35" i="8" s="1"/>
  <c r="U309" i="6"/>
  <c r="V3" i="14" s="1"/>
  <c r="U76" i="6"/>
  <c r="W56" i="12" s="1"/>
  <c r="U251" i="6"/>
  <c r="X16" i="8" s="1"/>
  <c r="U375" i="6"/>
  <c r="W12" i="20" s="1"/>
  <c r="U324" i="6"/>
  <c r="V18" i="14" s="1"/>
  <c r="U365" i="6"/>
  <c r="W2" i="20" s="1"/>
  <c r="U205" i="6"/>
  <c r="X70" i="21" s="1"/>
  <c r="U263" i="6"/>
  <c r="X28" i="8" s="1"/>
  <c r="U38" i="6"/>
  <c r="W18" i="12" s="1"/>
  <c r="U40" i="6"/>
  <c r="W20" i="12" s="1"/>
  <c r="U172" i="6"/>
  <c r="X37" i="21" s="1"/>
  <c r="U39" i="6"/>
  <c r="W19" i="12" s="1"/>
  <c r="U389" i="6"/>
  <c r="W26" i="20" s="1"/>
  <c r="U37" i="6"/>
  <c r="W17" i="12" s="1"/>
  <c r="U391" i="6"/>
  <c r="W28" i="20" s="1"/>
  <c r="U239" i="6"/>
  <c r="X4" i="8" s="1"/>
  <c r="U408" i="6"/>
  <c r="W45" i="20" s="1"/>
  <c r="U243" i="6"/>
  <c r="X8" i="8" s="1"/>
  <c r="U302" i="6"/>
  <c r="W16" i="15" s="1"/>
  <c r="U163" i="6"/>
  <c r="X28" i="21" s="1"/>
  <c r="U44" i="6"/>
  <c r="W24" i="12" s="1"/>
  <c r="U284" i="6"/>
  <c r="X49" i="8" s="1"/>
  <c r="U122" i="6"/>
  <c r="W22" i="9" s="1"/>
  <c r="U171" i="6"/>
  <c r="X36" i="21" s="1"/>
  <c r="U269" i="6"/>
  <c r="X34" i="8" s="1"/>
  <c r="U227" i="6"/>
  <c r="W20" i="10" s="1"/>
  <c r="U182" i="6"/>
  <c r="X47" i="21" s="1"/>
  <c r="U290" i="6"/>
  <c r="W4" i="15" s="1"/>
  <c r="U369" i="6"/>
  <c r="W6" i="20" s="1"/>
  <c r="U146" i="6"/>
  <c r="X11" i="21" s="1"/>
  <c r="U183" i="6"/>
  <c r="X48" i="21" s="1"/>
  <c r="U372" i="6"/>
  <c r="W9" i="20" s="1"/>
  <c r="U242" i="6"/>
  <c r="X7" i="8" s="1"/>
  <c r="U245" i="6"/>
  <c r="X10" i="8" s="1"/>
  <c r="U253" i="6"/>
  <c r="X18" i="8" s="1"/>
  <c r="U387" i="6"/>
  <c r="W24" i="20" s="1"/>
  <c r="U48" i="6"/>
  <c r="W28" i="12" s="1"/>
  <c r="U87" i="6"/>
  <c r="W10" i="16" s="1"/>
  <c r="U52" i="6"/>
  <c r="W32" i="12" s="1"/>
  <c r="U262" i="6"/>
  <c r="X27" i="8" s="1"/>
  <c r="U221" i="6"/>
  <c r="W14" i="10" s="1"/>
  <c r="U103" i="6"/>
  <c r="W3" i="9" s="1"/>
  <c r="U75" i="6"/>
  <c r="W55" i="12" s="1"/>
  <c r="U338" i="6"/>
  <c r="V3" i="19" s="1"/>
  <c r="U244" i="6"/>
  <c r="X9" i="8" s="1"/>
  <c r="U283" i="6"/>
  <c r="X48" i="8" s="1"/>
  <c r="U318" i="6"/>
  <c r="V12" i="14" s="1"/>
  <c r="U108" i="6"/>
  <c r="W8" i="9" s="1"/>
  <c r="U317" i="6"/>
  <c r="V11" i="14" s="1"/>
  <c r="U158" i="6"/>
  <c r="X23" i="21" s="1"/>
  <c r="U299" i="6"/>
  <c r="W13" i="15" s="1"/>
  <c r="U94" i="6"/>
  <c r="W17" i="16" s="1"/>
  <c r="U129" i="6"/>
  <c r="W29" i="9" s="1"/>
  <c r="U165" i="6"/>
  <c r="X30" i="21" s="1"/>
  <c r="U238" i="6"/>
  <c r="X3" i="8" s="1"/>
  <c r="U313" i="6"/>
  <c r="V7" i="14" s="1"/>
  <c r="U121" i="6"/>
  <c r="W21" i="9" s="1"/>
  <c r="U334" i="6"/>
  <c r="V28" i="14" s="1"/>
  <c r="U328" i="6"/>
  <c r="V22" i="14" s="1"/>
  <c r="U260" i="6"/>
  <c r="X25" i="8" s="1"/>
  <c r="U216" i="6"/>
  <c r="W9" i="10" s="1"/>
  <c r="U23" i="6"/>
  <c r="W3" i="12" s="1"/>
  <c r="U405" i="6"/>
  <c r="W42" i="20" s="1"/>
  <c r="U266" i="6"/>
  <c r="X31" i="8" s="1"/>
  <c r="U31" i="6"/>
  <c r="W11" i="12" s="1"/>
  <c r="U74" i="6"/>
  <c r="W54" i="12" s="1"/>
  <c r="U141" i="6"/>
  <c r="X6" i="21" s="1"/>
  <c r="U34" i="6"/>
  <c r="W14" i="12" s="1"/>
  <c r="U303" i="6"/>
  <c r="W17" i="15" s="1"/>
  <c r="U397" i="6"/>
  <c r="W34" i="20" s="1"/>
  <c r="U340" i="6"/>
  <c r="V5" i="19" s="1"/>
  <c r="U345" i="6"/>
  <c r="V10" i="19" s="1"/>
  <c r="U188" i="6"/>
  <c r="X53" i="21" s="1"/>
  <c r="U148" i="6"/>
  <c r="X13" i="21" s="1"/>
  <c r="U319" i="6"/>
  <c r="V13" i="14" s="1"/>
  <c r="U154" i="6"/>
  <c r="X19" i="21" s="1"/>
  <c r="U206" i="6"/>
  <c r="X71" i="21" s="1"/>
  <c r="U69" i="6"/>
  <c r="W49" i="12" s="1"/>
  <c r="U230" i="6"/>
  <c r="W23" i="10" s="1"/>
  <c r="U30" i="6"/>
  <c r="W10" i="12" s="1"/>
  <c r="U152" i="6"/>
  <c r="X17" i="21" s="1"/>
  <c r="U395" i="6"/>
  <c r="W32" i="20" s="1"/>
  <c r="U218" i="6"/>
  <c r="W11" i="10" s="1"/>
  <c r="U246" i="6"/>
  <c r="X11" i="8" s="1"/>
  <c r="U116" i="6"/>
  <c r="W16" i="9" s="1"/>
  <c r="U322" i="6"/>
  <c r="V16" i="14" s="1"/>
  <c r="U50" i="6"/>
  <c r="W30" i="12" s="1"/>
  <c r="U254" i="6"/>
  <c r="X19" i="8" s="1"/>
  <c r="U200" i="6"/>
  <c r="X65" i="21" s="1"/>
  <c r="U170" i="6"/>
  <c r="X35" i="21" s="1"/>
  <c r="U386" i="6"/>
  <c r="W23" i="20" s="1"/>
  <c r="U297" i="6"/>
  <c r="W11" i="15" s="1"/>
  <c r="U25" i="6"/>
  <c r="W5" i="12" s="1"/>
  <c r="U137" i="6"/>
  <c r="X2" i="21" s="1"/>
  <c r="U193" i="6"/>
  <c r="X58" i="21" s="1"/>
  <c r="U111" i="6"/>
  <c r="W11" i="9" s="1"/>
  <c r="U28" i="6"/>
  <c r="W8" i="12" s="1"/>
  <c r="U323" i="6"/>
  <c r="V17" i="14" s="1"/>
  <c r="U217" i="6"/>
  <c r="W10" i="10" s="1"/>
  <c r="U224" i="6"/>
  <c r="W17" i="10" s="1"/>
  <c r="U312" i="6"/>
  <c r="V6" i="14" s="1"/>
  <c r="U123" i="6"/>
  <c r="W23" i="9" s="1"/>
  <c r="U66" i="6"/>
  <c r="W46" i="12" s="1"/>
  <c r="U60" i="6"/>
  <c r="W40" i="12" s="1"/>
  <c r="U371" i="6"/>
  <c r="W8" i="20" s="1"/>
  <c r="U222" i="6"/>
  <c r="W15" i="10" s="1"/>
  <c r="U274" i="6"/>
  <c r="X39" i="8" s="1"/>
  <c r="U215" i="6"/>
  <c r="W8" i="10" s="1"/>
  <c r="U331" i="6"/>
  <c r="V25" i="14" s="1"/>
  <c r="U203" i="6"/>
  <c r="X68" i="21" s="1"/>
  <c r="U195" i="6"/>
  <c r="X60" i="21" s="1"/>
  <c r="U282" i="6"/>
  <c r="X47" i="8" s="1"/>
  <c r="U63" i="6"/>
  <c r="W43" i="12" s="1"/>
  <c r="U68" i="6"/>
  <c r="W48" i="12" s="1"/>
  <c r="U378" i="6"/>
  <c r="W15" i="20" s="1"/>
  <c r="U394" i="6"/>
  <c r="W31" i="20" s="1"/>
  <c r="U147" i="6"/>
  <c r="X12" i="21" s="1"/>
  <c r="AJ159" i="6"/>
  <c r="AL159" i="6" s="1"/>
  <c r="U176" i="6" s="1"/>
  <c r="X41" i="21" s="1"/>
  <c r="U140" i="6"/>
  <c r="X5" i="21" s="1"/>
  <c r="U402" i="6"/>
  <c r="W39" i="20" s="1"/>
  <c r="U82" i="6"/>
  <c r="W5" i="16" s="1"/>
  <c r="U264" i="6"/>
  <c r="X29" i="8" s="1"/>
  <c r="U128" i="6"/>
  <c r="W28" i="9" s="1"/>
  <c r="U117" i="6"/>
  <c r="W17" i="9" s="1"/>
  <c r="U178" i="6"/>
  <c r="X43" i="21" s="1"/>
  <c r="U98" i="6"/>
  <c r="W21" i="16" s="1"/>
  <c r="U53" i="6"/>
  <c r="W33" i="12" s="1"/>
  <c r="U276" i="6"/>
  <c r="X41" i="8" s="1"/>
  <c r="U399" i="6"/>
  <c r="W36" i="20" s="1"/>
  <c r="U295" i="6"/>
  <c r="W9" i="15" s="1"/>
  <c r="U150" i="6"/>
  <c r="X15" i="21" s="1"/>
  <c r="U96" i="6"/>
  <c r="W19" i="16" s="1"/>
  <c r="U131" i="6"/>
  <c r="W31" i="9" s="1"/>
  <c r="U197" i="6"/>
  <c r="X62" i="21" s="1"/>
  <c r="U411" i="6"/>
  <c r="W48" i="20" s="1"/>
  <c r="U257" i="6"/>
  <c r="X22" i="8" s="1"/>
  <c r="U167" i="6"/>
  <c r="X32" i="21" s="1"/>
  <c r="U198" i="6"/>
  <c r="X63" i="21" s="1"/>
  <c r="U258" i="6"/>
  <c r="X23" i="8" s="1"/>
  <c r="U70" i="6"/>
  <c r="W50" i="12" s="1"/>
  <c r="U255" i="6"/>
  <c r="X20" i="8" s="1"/>
  <c r="BC274" i="2"/>
  <c r="I69" i="28"/>
  <c r="AK390" i="6"/>
  <c r="AQ390" i="6" s="1"/>
  <c r="AP390" i="6" s="1"/>
  <c r="BB278" i="2"/>
  <c r="Q288" i="2" s="1"/>
  <c r="AB288" i="2" s="1"/>
  <c r="O70" i="28" s="1"/>
  <c r="BA266" i="2"/>
  <c r="BA278" i="2"/>
  <c r="BB282" i="2"/>
  <c r="BB266" i="2"/>
  <c r="BA282" i="2"/>
  <c r="BA229" i="2"/>
  <c r="BB229" i="2"/>
  <c r="AK367" i="6"/>
  <c r="AQ367" i="6" s="1"/>
  <c r="AK394" i="6"/>
  <c r="AQ394" i="6" s="1"/>
  <c r="AK162" i="6"/>
  <c r="AQ162" i="6" s="1"/>
  <c r="AK253" i="6"/>
  <c r="AQ253" i="6" s="1"/>
  <c r="AK81" i="6"/>
  <c r="AQ81" i="6" s="1"/>
  <c r="AP81" i="6" s="1"/>
  <c r="AK63" i="6"/>
  <c r="AK267" i="6"/>
  <c r="AQ267" i="6" s="1"/>
  <c r="AK386" i="6"/>
  <c r="AK319" i="6"/>
  <c r="AQ319" i="6" s="1"/>
  <c r="W329" i="6" s="1"/>
  <c r="X23" i="14" s="1"/>
  <c r="AK372" i="6"/>
  <c r="AQ372" i="6" s="1"/>
  <c r="AP372" i="6" s="1"/>
  <c r="AK310" i="6"/>
  <c r="AQ310" i="6" s="1"/>
  <c r="AP310" i="6" s="1"/>
  <c r="AK382" i="6"/>
  <c r="AQ382" i="6" s="1"/>
  <c r="AP382" i="6" s="1"/>
  <c r="AK314" i="6"/>
  <c r="AQ314" i="6" s="1"/>
  <c r="AK239" i="6"/>
  <c r="AQ239" i="6" s="1"/>
  <c r="AK257" i="6"/>
  <c r="AK49" i="6"/>
  <c r="AK323" i="6"/>
  <c r="AK244" i="6"/>
  <c r="AQ244" i="6" s="1"/>
  <c r="BB61" i="2"/>
  <c r="BA61" i="2" s="1"/>
  <c r="BA77" i="2"/>
  <c r="AZ77" i="2" s="1"/>
  <c r="BC77" i="2"/>
  <c r="BB77" i="2" s="1"/>
  <c r="BB234" i="2"/>
  <c r="BA234" i="2"/>
  <c r="BB53" i="2"/>
  <c r="BA53" i="2" s="1"/>
  <c r="BC64" i="2" s="1"/>
  <c r="BB242" i="2"/>
  <c r="BA242" i="2"/>
  <c r="W405" i="6"/>
  <c r="Y42" i="20" s="1"/>
  <c r="W237" i="6"/>
  <c r="Z2" i="8" s="1"/>
  <c r="W164" i="6"/>
  <c r="Z29" i="21" s="1"/>
  <c r="W276" i="6"/>
  <c r="Z41" i="8" s="1"/>
  <c r="W373" i="6"/>
  <c r="Y10" i="20" s="1"/>
  <c r="W281" i="6"/>
  <c r="Z46" i="8" s="1"/>
  <c r="AP175" i="6"/>
  <c r="AP177" i="6" s="1"/>
  <c r="W280" i="6"/>
  <c r="Z45" i="8" s="1"/>
  <c r="W285" i="6"/>
  <c r="Z50" i="8" s="1"/>
  <c r="W408" i="6"/>
  <c r="Y45" i="20" s="1"/>
  <c r="W240" i="6"/>
  <c r="Z5" i="8" s="1"/>
  <c r="W273" i="6"/>
  <c r="Z38" i="8" s="1"/>
  <c r="W278" i="6"/>
  <c r="Z43" i="8" s="1"/>
  <c r="W239" i="6"/>
  <c r="Z4" i="8" s="1"/>
  <c r="W377" i="6"/>
  <c r="Y14" i="20" s="1"/>
  <c r="W406" i="6"/>
  <c r="Y43" i="20" s="1"/>
  <c r="W374" i="6"/>
  <c r="Y11" i="20" s="1"/>
  <c r="W411" i="6"/>
  <c r="Y48" i="20" s="1"/>
  <c r="W258" i="6"/>
  <c r="Z23" i="8" s="1"/>
  <c r="W375" i="6"/>
  <c r="Y12" i="20" s="1"/>
  <c r="W378" i="6"/>
  <c r="Y15" i="20" s="1"/>
  <c r="W383" i="6"/>
  <c r="Y20" i="20" s="1"/>
  <c r="W412" i="6"/>
  <c r="Y49" i="20" s="1"/>
  <c r="W282" i="6"/>
  <c r="Z47" i="8" s="1"/>
  <c r="W277" i="6"/>
  <c r="Z42" i="8" s="1"/>
  <c r="W241" i="6"/>
  <c r="Z6" i="8" s="1"/>
  <c r="W410" i="6"/>
  <c r="Y47" i="20" s="1"/>
  <c r="W243" i="6"/>
  <c r="Z8" i="8" s="1"/>
  <c r="W242" i="6"/>
  <c r="Z7" i="8" s="1"/>
  <c r="W283" i="6"/>
  <c r="Z48" i="8" s="1"/>
  <c r="W376" i="6"/>
  <c r="Y13" i="20" s="1"/>
  <c r="W414" i="6"/>
  <c r="Y51" i="20" s="1"/>
  <c r="W284" i="6"/>
  <c r="Z49" i="8" s="1"/>
  <c r="W267" i="6"/>
  <c r="Z32" i="8" s="1"/>
  <c r="W407" i="6"/>
  <c r="Y44" i="20" s="1"/>
  <c r="W238" i="6"/>
  <c r="Z3" i="8" s="1"/>
  <c r="AN40" i="2"/>
  <c r="AK40" i="2"/>
  <c r="AL40" i="2"/>
  <c r="AM40" i="2"/>
  <c r="AJ40" i="2"/>
  <c r="AO40" i="2"/>
  <c r="AL45" i="2"/>
  <c r="AM45" i="2"/>
  <c r="AN45" i="2"/>
  <c r="AK45" i="2"/>
  <c r="AJ45" i="2"/>
  <c r="AO45" i="2"/>
  <c r="AO93" i="2"/>
  <c r="AL93" i="2"/>
  <c r="AK93" i="2"/>
  <c r="AN93" i="2"/>
  <c r="AM93" i="2"/>
  <c r="AJ93" i="2"/>
  <c r="BB247" i="2"/>
  <c r="BA247" i="2"/>
  <c r="AJ220" i="2"/>
  <c r="AN220" i="2"/>
  <c r="AM220" i="2"/>
  <c r="AL220" i="2"/>
  <c r="AK220" i="2"/>
  <c r="AO220" i="2"/>
  <c r="BB218" i="2"/>
  <c r="BF226" i="2"/>
  <c r="BA218" i="2"/>
  <c r="BC218" i="2"/>
  <c r="BD218" i="2"/>
  <c r="AO194" i="2"/>
  <c r="AL194" i="2"/>
  <c r="AK194" i="2"/>
  <c r="AN194" i="2"/>
  <c r="AJ194" i="2"/>
  <c r="AM194" i="2"/>
  <c r="AM44" i="2"/>
  <c r="AO44" i="2"/>
  <c r="AK44" i="2"/>
  <c r="AJ44" i="2"/>
  <c r="AL44" i="2"/>
  <c r="AN44" i="2"/>
  <c r="AJ52" i="2"/>
  <c r="AO52" i="2"/>
  <c r="AN52" i="2"/>
  <c r="AK52" i="2"/>
  <c r="AM52" i="2"/>
  <c r="AL52" i="2"/>
  <c r="AN41" i="2"/>
  <c r="AO41" i="2"/>
  <c r="AL41" i="2"/>
  <c r="AM41" i="2"/>
  <c r="AJ41" i="2"/>
  <c r="AK41" i="2"/>
  <c r="AO49" i="2"/>
  <c r="AK49" i="2"/>
  <c r="AN49" i="2"/>
  <c r="AM49" i="2"/>
  <c r="AJ49" i="2"/>
  <c r="AL49" i="2"/>
  <c r="AY158" i="2"/>
  <c r="Z188" i="2"/>
  <c r="M188" i="2"/>
  <c r="X188" i="2" s="1"/>
  <c r="AW158" i="2"/>
  <c r="AN167" i="2"/>
  <c r="AJ167" i="2"/>
  <c r="AL167" i="2"/>
  <c r="AO167" i="2"/>
  <c r="AK167" i="2"/>
  <c r="AM167" i="2"/>
  <c r="AK39" i="2"/>
  <c r="AL39" i="2"/>
  <c r="AM39" i="2"/>
  <c r="AN39" i="2"/>
  <c r="AJ39" i="2"/>
  <c r="AO39" i="2"/>
  <c r="AJ60" i="2"/>
  <c r="AJ47" i="2"/>
  <c r="AK47" i="2"/>
  <c r="AL47" i="2"/>
  <c r="AO47" i="2"/>
  <c r="AM47" i="2"/>
  <c r="AN47" i="2"/>
  <c r="AL37" i="2"/>
  <c r="AK37" i="2"/>
  <c r="AM37" i="2"/>
  <c r="AO37" i="2"/>
  <c r="AN37" i="2"/>
  <c r="AJ37" i="2"/>
  <c r="BB226" i="2"/>
  <c r="BA226" i="2"/>
  <c r="BE226" i="2"/>
  <c r="BG226" i="2" s="1"/>
  <c r="AL197" i="2"/>
  <c r="AM197" i="2"/>
  <c r="AN197" i="2"/>
  <c r="AK197" i="2"/>
  <c r="AJ197" i="2"/>
  <c r="AO197" i="2"/>
  <c r="AN46" i="2"/>
  <c r="AO46" i="2"/>
  <c r="AJ46" i="2"/>
  <c r="AL46" i="2"/>
  <c r="AK46" i="2"/>
  <c r="AM46" i="2"/>
  <c r="AJ43" i="2"/>
  <c r="AN43" i="2"/>
  <c r="AM43" i="2"/>
  <c r="AK43" i="2"/>
  <c r="AO43" i="2"/>
  <c r="AL43" i="2"/>
  <c r="AN51" i="2"/>
  <c r="AL51" i="2"/>
  <c r="AK51" i="2"/>
  <c r="AJ51" i="2"/>
  <c r="AM51" i="2"/>
  <c r="AO51" i="2"/>
  <c r="AN42" i="2"/>
  <c r="AK42" i="2"/>
  <c r="AL42" i="2"/>
  <c r="AJ42" i="2"/>
  <c r="AM42" i="2"/>
  <c r="AO42" i="2"/>
  <c r="AK196" i="2"/>
  <c r="AN196" i="2"/>
  <c r="AJ196" i="2"/>
  <c r="AM196" i="2"/>
  <c r="AO196" i="2"/>
  <c r="AL196" i="2"/>
  <c r="AM50" i="2"/>
  <c r="AJ50" i="2"/>
  <c r="AO50" i="2"/>
  <c r="AK50" i="2"/>
  <c r="AN50" i="2"/>
  <c r="AL50" i="2"/>
  <c r="M50" i="28"/>
  <c r="AL173" i="2"/>
  <c r="AN173" i="2"/>
  <c r="AJ173" i="2"/>
  <c r="AM173" i="2"/>
  <c r="AK173" i="2"/>
  <c r="AO173" i="2"/>
  <c r="AJ48" i="2"/>
  <c r="AM48" i="2"/>
  <c r="AN48" i="2"/>
  <c r="AK48" i="2"/>
  <c r="AL48" i="2"/>
  <c r="AO48" i="2"/>
  <c r="W397" i="6"/>
  <c r="Y34" i="20" s="1"/>
  <c r="X192" i="6"/>
  <c r="AA57" i="21" s="1"/>
  <c r="W129" i="6"/>
  <c r="Y29" i="9" s="1"/>
  <c r="W263" i="6"/>
  <c r="Z28" i="8" s="1"/>
  <c r="X62" i="6"/>
  <c r="Z42" i="12" s="1"/>
  <c r="W43" i="6"/>
  <c r="Y23" i="12" s="1"/>
  <c r="X206" i="6"/>
  <c r="AA71" i="21" s="1"/>
  <c r="W33" i="6"/>
  <c r="Y13" i="12" s="1"/>
  <c r="X28" i="6"/>
  <c r="Z8" i="12" s="1"/>
  <c r="X159" i="6"/>
  <c r="AA24" i="21" s="1"/>
  <c r="W233" i="6"/>
  <c r="Y26" i="10" s="1"/>
  <c r="X93" i="6"/>
  <c r="Z16" i="16" s="1"/>
  <c r="X26" i="6"/>
  <c r="Z6" i="12" s="1"/>
  <c r="X182" i="6"/>
  <c r="AA47" i="21" s="1"/>
  <c r="X200" i="6"/>
  <c r="AA65" i="21" s="1"/>
  <c r="X27" i="6"/>
  <c r="Z7" i="12" s="1"/>
  <c r="W44" i="6"/>
  <c r="Y24" i="12" s="1"/>
  <c r="W50" i="6"/>
  <c r="Y30" i="12" s="1"/>
  <c r="W232" i="6"/>
  <c r="Y25" i="10" s="1"/>
  <c r="X95" i="6"/>
  <c r="Z18" i="16" s="1"/>
  <c r="W102" i="6"/>
  <c r="Y2" i="9" s="1"/>
  <c r="X106" i="6"/>
  <c r="Z6" i="9" s="1"/>
  <c r="X81" i="6"/>
  <c r="Z4" i="16" s="1"/>
  <c r="X153" i="6"/>
  <c r="AA18" i="21" s="1"/>
  <c r="X102" i="6"/>
  <c r="Z2" i="9" s="1"/>
  <c r="W38" i="6"/>
  <c r="Y18" i="12" s="1"/>
  <c r="X138" i="6"/>
  <c r="AA3" i="21" s="1"/>
  <c r="X58" i="6"/>
  <c r="Z38" i="12" s="1"/>
  <c r="W204" i="6"/>
  <c r="Z69" i="21" s="1"/>
  <c r="X225" i="6"/>
  <c r="Z18" i="10" s="1"/>
  <c r="X56" i="6"/>
  <c r="Z36" i="12" s="1"/>
  <c r="X23" i="6"/>
  <c r="Z3" i="12" s="1"/>
  <c r="W308" i="6"/>
  <c r="X2" i="14" s="1"/>
  <c r="W219" i="6"/>
  <c r="Y12" i="10" s="1"/>
  <c r="X231" i="6"/>
  <c r="Z24" i="10" s="1"/>
  <c r="W340" i="6"/>
  <c r="X5" i="19" s="1"/>
  <c r="W84" i="6"/>
  <c r="Y7" i="16" s="1"/>
  <c r="X250" i="6"/>
  <c r="AA15" i="8" s="1"/>
  <c r="W97" i="6"/>
  <c r="Y20" i="16" s="1"/>
  <c r="W90" i="6"/>
  <c r="Y13" i="16" s="1"/>
  <c r="W396" i="6"/>
  <c r="Y33" i="20" s="1"/>
  <c r="W124" i="6"/>
  <c r="Y24" i="9" s="1"/>
  <c r="X174" i="6"/>
  <c r="AA39" i="21" s="1"/>
  <c r="X90" i="6"/>
  <c r="Z13" i="16" s="1"/>
  <c r="X91" i="6"/>
  <c r="Z14" i="16" s="1"/>
  <c r="W32" i="6"/>
  <c r="Y12" i="12" s="1"/>
  <c r="X113" i="6"/>
  <c r="Z13" i="9" s="1"/>
  <c r="X167" i="6"/>
  <c r="AA32" i="21" s="1"/>
  <c r="W170" i="6"/>
  <c r="Z35" i="21" s="1"/>
  <c r="AN49" i="6"/>
  <c r="AN38" i="6"/>
  <c r="AN32" i="6"/>
  <c r="AN323" i="6"/>
  <c r="X242" i="6"/>
  <c r="AA7" i="8" s="1"/>
  <c r="W385" i="6"/>
  <c r="Y22" i="20" s="1"/>
  <c r="X215" i="6"/>
  <c r="Z8" i="10" s="1"/>
  <c r="W399" i="6"/>
  <c r="Y36" i="20" s="1"/>
  <c r="W192" i="6"/>
  <c r="Z57" i="21" s="1"/>
  <c r="X118" i="6"/>
  <c r="Z18" i="9" s="1"/>
  <c r="W159" i="6"/>
  <c r="Z24" i="21" s="1"/>
  <c r="X228" i="6"/>
  <c r="Z21" i="10" s="1"/>
  <c r="W142" i="6"/>
  <c r="Z7" i="21" s="1"/>
  <c r="X213" i="6"/>
  <c r="Z6" i="10" s="1"/>
  <c r="W163" i="6"/>
  <c r="Z28" i="21" s="1"/>
  <c r="X99" i="6"/>
  <c r="Z22" i="16" s="1"/>
  <c r="X72" i="6"/>
  <c r="Z52" i="12" s="1"/>
  <c r="X157" i="6"/>
  <c r="AA22" i="21" s="1"/>
  <c r="W221" i="6"/>
  <c r="Y14" i="10" s="1"/>
  <c r="W182" i="6"/>
  <c r="Z47" i="21" s="1"/>
  <c r="W113" i="6"/>
  <c r="Y13" i="9" s="1"/>
  <c r="X266" i="6"/>
  <c r="AA31" i="8" s="1"/>
  <c r="X227" i="6"/>
  <c r="Z20" i="10" s="1"/>
  <c r="X128" i="6"/>
  <c r="Z28" i="9" s="1"/>
  <c r="W108" i="6"/>
  <c r="Y8" i="9" s="1"/>
  <c r="X180" i="6"/>
  <c r="AA45" i="21" s="1"/>
  <c r="W127" i="6"/>
  <c r="Y27" i="9" s="1"/>
  <c r="W58" i="6"/>
  <c r="Y38" i="12" s="1"/>
  <c r="W181" i="6"/>
  <c r="Z46" i="21" s="1"/>
  <c r="W45" i="6"/>
  <c r="Y25" i="12" s="1"/>
  <c r="X94" i="6"/>
  <c r="Z17" i="16" s="1"/>
  <c r="W91" i="6"/>
  <c r="Y14" i="16" s="1"/>
  <c r="W24" i="6"/>
  <c r="Y4" i="12" s="1"/>
  <c r="W82" i="6"/>
  <c r="Y5" i="16" s="1"/>
  <c r="W141" i="6"/>
  <c r="Z6" i="21" s="1"/>
  <c r="X57" i="6"/>
  <c r="Z37" i="12" s="1"/>
  <c r="W130" i="6"/>
  <c r="Y30" i="9" s="1"/>
  <c r="X46" i="6"/>
  <c r="Z26" i="12" s="1"/>
  <c r="X160" i="6"/>
  <c r="AA25" i="21" s="1"/>
  <c r="X85" i="6"/>
  <c r="Z8" i="16" s="1"/>
  <c r="W22" i="6"/>
  <c r="Y2" i="12" s="1"/>
  <c r="W196" i="6"/>
  <c r="Z61" i="21" s="1"/>
  <c r="W85" i="6"/>
  <c r="Y8" i="16" s="1"/>
  <c r="X125" i="6"/>
  <c r="Z25" i="9" s="1"/>
  <c r="X66" i="6"/>
  <c r="Z46" i="12" s="1"/>
  <c r="X156" i="6"/>
  <c r="AA21" i="21" s="1"/>
  <c r="W220" i="6"/>
  <c r="Y13" i="10" s="1"/>
  <c r="X88" i="6"/>
  <c r="Z11" i="16" s="1"/>
  <c r="W253" i="6"/>
  <c r="Z18" i="8" s="1"/>
  <c r="X114" i="6"/>
  <c r="Z14" i="9" s="1"/>
  <c r="X181" i="6"/>
  <c r="AA46" i="21" s="1"/>
  <c r="W150" i="6"/>
  <c r="Z15" i="21" s="1"/>
  <c r="X179" i="6"/>
  <c r="AA44" i="21" s="1"/>
  <c r="AN155" i="6"/>
  <c r="AN228" i="6"/>
  <c r="AN28" i="6"/>
  <c r="X277" i="6"/>
  <c r="AA42" i="8" s="1"/>
  <c r="X261" i="6"/>
  <c r="AA26" i="8" s="1"/>
  <c r="W390" i="6"/>
  <c r="Y27" i="20" s="1"/>
  <c r="W133" i="6"/>
  <c r="Y33" i="9" s="1"/>
  <c r="X146" i="6"/>
  <c r="AA11" i="21" s="1"/>
  <c r="X38" i="6"/>
  <c r="Z18" i="12" s="1"/>
  <c r="W123" i="6"/>
  <c r="Y23" i="9" s="1"/>
  <c r="W206" i="6"/>
  <c r="Z71" i="21" s="1"/>
  <c r="X32" i="6"/>
  <c r="Z12" i="12" s="1"/>
  <c r="X154" i="6"/>
  <c r="AA19" i="21" s="1"/>
  <c r="X126" i="6"/>
  <c r="Z26" i="9" s="1"/>
  <c r="W39" i="6"/>
  <c r="Y19" i="12" s="1"/>
  <c r="X44" i="6"/>
  <c r="Z24" i="12" s="1"/>
  <c r="W314" i="6"/>
  <c r="X8" i="14" s="1"/>
  <c r="X87" i="6"/>
  <c r="Z10" i="16" s="1"/>
  <c r="W198" i="6"/>
  <c r="Z63" i="21" s="1"/>
  <c r="W87" i="6"/>
  <c r="Y10" i="16" s="1"/>
  <c r="W343" i="6"/>
  <c r="X8" i="19" s="1"/>
  <c r="W116" i="6"/>
  <c r="Y16" i="9" s="1"/>
  <c r="X31" i="6"/>
  <c r="Z11" i="12" s="1"/>
  <c r="W23" i="6"/>
  <c r="Y3" i="12" s="1"/>
  <c r="X223" i="6"/>
  <c r="Z16" i="10" s="1"/>
  <c r="X54" i="6"/>
  <c r="Z34" i="12" s="1"/>
  <c r="X244" i="6"/>
  <c r="AA9" i="8" s="1"/>
  <c r="X24" i="6"/>
  <c r="Z4" i="12" s="1"/>
  <c r="W148" i="6"/>
  <c r="Z13" i="21" s="1"/>
  <c r="X198" i="6"/>
  <c r="AA63" i="21" s="1"/>
  <c r="W111" i="6"/>
  <c r="Y11" i="9" s="1"/>
  <c r="X130" i="6"/>
  <c r="Z30" i="9" s="1"/>
  <c r="W109" i="6"/>
  <c r="Y9" i="9" s="1"/>
  <c r="X232" i="6"/>
  <c r="Z25" i="10" s="1"/>
  <c r="W144" i="6"/>
  <c r="Z9" i="21" s="1"/>
  <c r="X22" i="6"/>
  <c r="Z2" i="12" s="1"/>
  <c r="W161" i="6"/>
  <c r="Z26" i="21" s="1"/>
  <c r="X162" i="6"/>
  <c r="AA27" i="21" s="1"/>
  <c r="X69" i="6"/>
  <c r="Z49" i="12" s="1"/>
  <c r="W48" i="6"/>
  <c r="Y28" i="12" s="1"/>
  <c r="W217" i="6"/>
  <c r="Y10" i="10" s="1"/>
  <c r="W104" i="6"/>
  <c r="Y4" i="9" s="1"/>
  <c r="W122" i="6"/>
  <c r="Y22" i="9" s="1"/>
  <c r="X152" i="6"/>
  <c r="AA17" i="21" s="1"/>
  <c r="W346" i="6"/>
  <c r="X11" i="19" s="1"/>
  <c r="W54" i="6"/>
  <c r="Y34" i="12" s="1"/>
  <c r="X64" i="6"/>
  <c r="Z44" i="12" s="1"/>
  <c r="X48" i="6"/>
  <c r="Z28" i="12" s="1"/>
  <c r="W331" i="6"/>
  <c r="X25" i="14" s="1"/>
  <c r="AN42" i="6"/>
  <c r="AN175" i="6"/>
  <c r="AN177" i="6" s="1"/>
  <c r="AN30" i="6"/>
  <c r="W190" i="6"/>
  <c r="Z55" i="21" s="1"/>
  <c r="X262" i="6"/>
  <c r="AA27" i="8" s="1"/>
  <c r="X278" i="6"/>
  <c r="AA43" i="8" s="1"/>
  <c r="X239" i="6"/>
  <c r="AA4" i="8" s="1"/>
  <c r="AN257" i="6"/>
  <c r="W328" i="6"/>
  <c r="X22" i="14" s="1"/>
  <c r="X133" i="6"/>
  <c r="Z33" i="9" s="1"/>
  <c r="X169" i="6"/>
  <c r="AA34" i="21" s="1"/>
  <c r="W205" i="6"/>
  <c r="Z70" i="21" s="1"/>
  <c r="W121" i="6"/>
  <c r="Y21" i="9" s="1"/>
  <c r="X51" i="6"/>
  <c r="Z31" i="12" s="1"/>
  <c r="W321" i="6"/>
  <c r="X15" i="14" s="1"/>
  <c r="W137" i="6"/>
  <c r="Z2" i="21" s="1"/>
  <c r="X107" i="6"/>
  <c r="Z7" i="9" s="1"/>
  <c r="W158" i="6"/>
  <c r="Z23" i="21" s="1"/>
  <c r="X252" i="6"/>
  <c r="AA17" i="8" s="1"/>
  <c r="X148" i="6"/>
  <c r="AA13" i="21" s="1"/>
  <c r="W25" i="6"/>
  <c r="Y5" i="12" s="1"/>
  <c r="X103" i="6"/>
  <c r="Z3" i="9" s="1"/>
  <c r="X142" i="6"/>
  <c r="AA7" i="21" s="1"/>
  <c r="W222" i="6"/>
  <c r="Y15" i="10" s="1"/>
  <c r="X158" i="6"/>
  <c r="AA23" i="21" s="1"/>
  <c r="W36" i="6"/>
  <c r="Y16" i="12" s="1"/>
  <c r="X163" i="6"/>
  <c r="AA28" i="21" s="1"/>
  <c r="W223" i="6"/>
  <c r="Y16" i="10" s="1"/>
  <c r="W46" i="6"/>
  <c r="Y26" i="12" s="1"/>
  <c r="X199" i="6"/>
  <c r="AA64" i="21" s="1"/>
  <c r="X209" i="6"/>
  <c r="Z2" i="10" s="1"/>
  <c r="W156" i="6"/>
  <c r="Z21" i="21" s="1"/>
  <c r="W193" i="6"/>
  <c r="Z58" i="21" s="1"/>
  <c r="X47" i="6"/>
  <c r="Z27" i="12" s="1"/>
  <c r="W147" i="6"/>
  <c r="Z12" i="21" s="1"/>
  <c r="W194" i="6"/>
  <c r="Z59" i="21" s="1"/>
  <c r="X194" i="6"/>
  <c r="AA59" i="21" s="1"/>
  <c r="W110" i="6"/>
  <c r="Y10" i="9" s="1"/>
  <c r="X43" i="6"/>
  <c r="Z23" i="12" s="1"/>
  <c r="X42" i="6"/>
  <c r="Z22" i="12" s="1"/>
  <c r="W279" i="6"/>
  <c r="Z44" i="8" s="1"/>
  <c r="W203" i="6"/>
  <c r="Z68" i="21" s="1"/>
  <c r="X255" i="6"/>
  <c r="AA20" i="8" s="1"/>
  <c r="X176" i="6"/>
  <c r="AA41" i="21" s="1"/>
  <c r="W152" i="6"/>
  <c r="Z17" i="21" s="1"/>
  <c r="X60" i="6"/>
  <c r="Z40" i="12" s="1"/>
  <c r="W112" i="6"/>
  <c r="Y12" i="9" s="1"/>
  <c r="W105" i="6"/>
  <c r="Y5" i="9" s="1"/>
  <c r="X144" i="6"/>
  <c r="AA9" i="21" s="1"/>
  <c r="W201" i="6"/>
  <c r="Z66" i="21" s="1"/>
  <c r="X105" i="6"/>
  <c r="Z5" i="9" s="1"/>
  <c r="AN142" i="6"/>
  <c r="X276" i="6"/>
  <c r="AA41" i="8" s="1"/>
  <c r="X243" i="6"/>
  <c r="AA8" i="8" s="1"/>
  <c r="W224" i="6"/>
  <c r="Y17" i="10" s="1"/>
  <c r="X141" i="6"/>
  <c r="AA6" i="21" s="1"/>
  <c r="X218" i="6"/>
  <c r="Z11" i="10" s="1"/>
  <c r="W345" i="6"/>
  <c r="X10" i="19" s="1"/>
  <c r="X233" i="6"/>
  <c r="Z26" i="10" s="1"/>
  <c r="X120" i="6"/>
  <c r="Z20" i="9" s="1"/>
  <c r="X195" i="6"/>
  <c r="AA60" i="21" s="1"/>
  <c r="X254" i="6"/>
  <c r="AA19" i="8" s="1"/>
  <c r="W30" i="6"/>
  <c r="Y10" i="12" s="1"/>
  <c r="W81" i="6"/>
  <c r="Y4" i="16" s="1"/>
  <c r="W160" i="6"/>
  <c r="Z25" i="21" s="1"/>
  <c r="X33" i="6"/>
  <c r="Z13" i="12" s="1"/>
  <c r="X212" i="6"/>
  <c r="Z5" i="10" s="1"/>
  <c r="W118" i="6"/>
  <c r="Y18" i="9" s="1"/>
  <c r="X83" i="6"/>
  <c r="Z6" i="16" s="1"/>
  <c r="W117" i="6"/>
  <c r="Y17" i="9" s="1"/>
  <c r="X222" i="6"/>
  <c r="Z15" i="10" s="1"/>
  <c r="X52" i="6"/>
  <c r="Z32" i="12" s="1"/>
  <c r="X139" i="6"/>
  <c r="AA4" i="21" s="1"/>
  <c r="X35" i="6"/>
  <c r="Z15" i="12" s="1"/>
  <c r="W215" i="6"/>
  <c r="Y8" i="10" s="1"/>
  <c r="W49" i="6"/>
  <c r="Y29" i="12" s="1"/>
  <c r="X214" i="6"/>
  <c r="Z7" i="10" s="1"/>
  <c r="W52" i="6"/>
  <c r="Y32" i="12" s="1"/>
  <c r="X186" i="6"/>
  <c r="AA51" i="21" s="1"/>
  <c r="AN386" i="6"/>
  <c r="X281" i="6"/>
  <c r="AA46" i="8" s="1"/>
  <c r="W342" i="6"/>
  <c r="X7" i="19" s="1"/>
  <c r="X275" i="6"/>
  <c r="AA40" i="8" s="1"/>
  <c r="W322" i="6"/>
  <c r="X16" i="14" s="1"/>
  <c r="W244" i="6"/>
  <c r="Z9" i="8" s="1"/>
  <c r="W395" i="6"/>
  <c r="Y32" i="20" s="1"/>
  <c r="W31" i="6"/>
  <c r="Y11" i="12" s="1"/>
  <c r="X150" i="6"/>
  <c r="AA15" i="21" s="1"/>
  <c r="X127" i="6"/>
  <c r="Z27" i="9" s="1"/>
  <c r="X122" i="6"/>
  <c r="Z22" i="9" s="1"/>
  <c r="X165" i="6"/>
  <c r="AA30" i="21" s="1"/>
  <c r="W51" i="6"/>
  <c r="Y31" i="12" s="1"/>
  <c r="X25" i="6"/>
  <c r="Z5" i="12" s="1"/>
  <c r="X121" i="6"/>
  <c r="Z21" i="9" s="1"/>
  <c r="X92" i="6"/>
  <c r="Z15" i="16" s="1"/>
  <c r="W143" i="6"/>
  <c r="Z8" i="21" s="1"/>
  <c r="X201" i="6"/>
  <c r="AA66" i="21" s="1"/>
  <c r="X34" i="6"/>
  <c r="Z14" i="12" s="1"/>
  <c r="W341" i="6"/>
  <c r="X6" i="19" s="1"/>
  <c r="X151" i="6"/>
  <c r="AA16" i="21" s="1"/>
  <c r="W176" i="6"/>
  <c r="Z41" i="21" s="1"/>
  <c r="X183" i="6"/>
  <c r="AA48" i="21" s="1"/>
  <c r="W225" i="6"/>
  <c r="Y18" i="10" s="1"/>
  <c r="X197" i="6"/>
  <c r="AA62" i="21" s="1"/>
  <c r="X211" i="6"/>
  <c r="Z4" i="10" s="1"/>
  <c r="X224" i="6"/>
  <c r="Z17" i="10" s="1"/>
  <c r="W92" i="6"/>
  <c r="Y15" i="16" s="1"/>
  <c r="W28" i="6"/>
  <c r="Y8" i="12" s="1"/>
  <c r="W394" i="6"/>
  <c r="Y31" i="20" s="1"/>
  <c r="W153" i="6"/>
  <c r="Z18" i="21" s="1"/>
  <c r="AW65" i="6"/>
  <c r="X282" i="6"/>
  <c r="AA47" i="8" s="1"/>
  <c r="X283" i="6"/>
  <c r="AA48" i="8" s="1"/>
  <c r="X280" i="6"/>
  <c r="AA45" i="8" s="1"/>
  <c r="W257" i="6"/>
  <c r="Z22" i="8" s="1"/>
  <c r="W402" i="6"/>
  <c r="Y39" i="20" s="1"/>
  <c r="W404" i="6"/>
  <c r="Y41" i="20" s="1"/>
  <c r="W325" i="6"/>
  <c r="X19" i="14" s="1"/>
  <c r="W371" i="6"/>
  <c r="Y8" i="20" s="1"/>
  <c r="W132" i="6"/>
  <c r="Y32" i="9" s="1"/>
  <c r="W94" i="6"/>
  <c r="Y17" i="16" s="1"/>
  <c r="X216" i="6"/>
  <c r="Z9" i="10" s="1"/>
  <c r="X97" i="6"/>
  <c r="Z20" i="16" s="1"/>
  <c r="W169" i="6"/>
  <c r="Z34" i="21" s="1"/>
  <c r="X84" i="6"/>
  <c r="Z7" i="16" s="1"/>
  <c r="X219" i="6"/>
  <c r="Z12" i="10" s="1"/>
  <c r="W119" i="6"/>
  <c r="Y19" i="9" s="1"/>
  <c r="W27" i="6"/>
  <c r="Y7" i="12" s="1"/>
  <c r="X112" i="6"/>
  <c r="Z12" i="9" s="1"/>
  <c r="X39" i="6"/>
  <c r="Z19" i="12" s="1"/>
  <c r="W120" i="6"/>
  <c r="Y20" i="9" s="1"/>
  <c r="X116" i="6"/>
  <c r="Z16" i="9" s="1"/>
  <c r="W157" i="6"/>
  <c r="Z22" i="21" s="1"/>
  <c r="X65" i="6"/>
  <c r="Z45" i="12" s="1"/>
  <c r="W115" i="6"/>
  <c r="Y15" i="9" s="1"/>
  <c r="W53" i="6"/>
  <c r="Y33" i="12" s="1"/>
  <c r="W344" i="6"/>
  <c r="X9" i="19" s="1"/>
  <c r="X124" i="6"/>
  <c r="Z24" i="9" s="1"/>
  <c r="X210" i="6"/>
  <c r="Z3" i="10" s="1"/>
  <c r="X68" i="6"/>
  <c r="Z48" i="12" s="1"/>
  <c r="W138" i="6"/>
  <c r="Z3" i="21" s="1"/>
  <c r="W37" i="6"/>
  <c r="Y17" i="12" s="1"/>
  <c r="X98" i="6"/>
  <c r="Z21" i="16" s="1"/>
  <c r="X203" i="6"/>
  <c r="AA68" i="21" s="1"/>
  <c r="AN53" i="6"/>
  <c r="X285" i="6"/>
  <c r="AA50" i="8" s="1"/>
  <c r="X240" i="6"/>
  <c r="AA5" i="8" s="1"/>
  <c r="W316" i="6"/>
  <c r="X10" i="14" s="1"/>
  <c r="W339" i="6"/>
  <c r="X4" i="19" s="1"/>
  <c r="W246" i="6"/>
  <c r="Z11" i="8" s="1"/>
  <c r="W312" i="6"/>
  <c r="X6" i="14" s="1"/>
  <c r="W389" i="6"/>
  <c r="Y26" i="20" s="1"/>
  <c r="W131" i="6"/>
  <c r="Y31" i="9" s="1"/>
  <c r="X37" i="6"/>
  <c r="Z17" i="12" s="1"/>
  <c r="W99" i="6"/>
  <c r="Y22" i="16" s="1"/>
  <c r="X45" i="6"/>
  <c r="Z25" i="12" s="1"/>
  <c r="W55" i="6"/>
  <c r="Y35" i="12" s="1"/>
  <c r="X123" i="6"/>
  <c r="Z23" i="9" s="1"/>
  <c r="W93" i="6"/>
  <c r="Y16" i="16" s="1"/>
  <c r="W255" i="6"/>
  <c r="Z20" i="8" s="1"/>
  <c r="W162" i="6"/>
  <c r="Z27" i="21" s="1"/>
  <c r="X50" i="6"/>
  <c r="Z30" i="12" s="1"/>
  <c r="X234" i="6"/>
  <c r="Z27" i="10" s="1"/>
  <c r="X189" i="6"/>
  <c r="AA54" i="21" s="1"/>
  <c r="X86" i="6"/>
  <c r="Z9" i="16" s="1"/>
  <c r="X71" i="6"/>
  <c r="Z51" i="12" s="1"/>
  <c r="W26" i="6"/>
  <c r="Y6" i="12" s="1"/>
  <c r="X55" i="6"/>
  <c r="Z35" i="12" s="1"/>
  <c r="W199" i="6"/>
  <c r="Z64" i="21" s="1"/>
  <c r="W165" i="6"/>
  <c r="Z30" i="21" s="1"/>
  <c r="X147" i="6"/>
  <c r="AA12" i="21" s="1"/>
  <c r="W254" i="6"/>
  <c r="Z19" i="8" s="1"/>
  <c r="W386" i="6"/>
  <c r="Y23" i="20" s="1"/>
  <c r="X110" i="6"/>
  <c r="Z10" i="9" s="1"/>
  <c r="X149" i="6"/>
  <c r="AA14" i="21" s="1"/>
  <c r="X137" i="6"/>
  <c r="AA2" i="21" s="1"/>
  <c r="X273" i="6"/>
  <c r="AA38" i="8" s="1"/>
  <c r="AN40" i="6"/>
  <c r="X284" i="6"/>
  <c r="AA49" i="8" s="1"/>
  <c r="X241" i="6"/>
  <c r="AA6" i="8" s="1"/>
  <c r="X270" i="6"/>
  <c r="AA35" i="8" s="1"/>
  <c r="X257" i="6"/>
  <c r="AA22" i="8" s="1"/>
  <c r="X253" i="6"/>
  <c r="AA18" i="8" s="1"/>
  <c r="X251" i="6"/>
  <c r="AA16" i="8" s="1"/>
  <c r="W334" i="6"/>
  <c r="X28" i="14" s="1"/>
  <c r="X131" i="6"/>
  <c r="Z31" i="9" s="1"/>
  <c r="X217" i="6"/>
  <c r="Z10" i="10" s="1"/>
  <c r="W151" i="6"/>
  <c r="Z16" i="21" s="1"/>
  <c r="X202" i="6"/>
  <c r="AA67" i="21" s="1"/>
  <c r="X221" i="6"/>
  <c r="Z14" i="10" s="1"/>
  <c r="W114" i="6"/>
  <c r="Y14" i="9" s="1"/>
  <c r="W79" i="6"/>
  <c r="Y2" i="16" s="1"/>
  <c r="X36" i="6"/>
  <c r="Z16" i="12" s="1"/>
  <c r="W154" i="6"/>
  <c r="Z19" i="21" s="1"/>
  <c r="W103" i="6"/>
  <c r="Y3" i="9" s="1"/>
  <c r="W125" i="6"/>
  <c r="Y25" i="9" s="1"/>
  <c r="AN211" i="6"/>
  <c r="W250" i="6"/>
  <c r="Z15" i="8" s="1"/>
  <c r="W245" i="6"/>
  <c r="Z10" i="8" s="1"/>
  <c r="W315" i="6"/>
  <c r="X9" i="14" s="1"/>
  <c r="W140" i="6"/>
  <c r="Z5" i="21" s="1"/>
  <c r="X171" i="6"/>
  <c r="AA36" i="21" s="1"/>
  <c r="W391" i="6"/>
  <c r="Y28" i="20" s="1"/>
  <c r="X80" i="6"/>
  <c r="Z3" i="16" s="1"/>
  <c r="W309" i="6"/>
  <c r="X3" i="14" s="1"/>
  <c r="W310" i="6"/>
  <c r="X4" i="14" s="1"/>
  <c r="AN146" i="6"/>
  <c r="W128" i="6"/>
  <c r="Y28" i="9" s="1"/>
  <c r="X175" i="6"/>
  <c r="AA40" i="21" s="1"/>
  <c r="W145" i="6"/>
  <c r="Z10" i="21" s="1"/>
  <c r="W107" i="6"/>
  <c r="Y7" i="9" s="1"/>
  <c r="X79" i="6"/>
  <c r="Z2" i="16" s="1"/>
  <c r="X229" i="6"/>
  <c r="Z22" i="10" s="1"/>
  <c r="W126" i="6"/>
  <c r="Y26" i="9" s="1"/>
  <c r="X96" i="6"/>
  <c r="Z19" i="16" s="1"/>
  <c r="W139" i="6"/>
  <c r="Z4" i="21" s="1"/>
  <c r="X268" i="6"/>
  <c r="AA33" i="8" s="1"/>
  <c r="W29" i="6"/>
  <c r="Y9" i="12" s="1"/>
  <c r="W324" i="6"/>
  <c r="X18" i="14" s="1"/>
  <c r="X82" i="6"/>
  <c r="Z5" i="16" s="1"/>
  <c r="AL139" i="6"/>
  <c r="X246" i="6"/>
  <c r="AA11" i="8" s="1"/>
  <c r="X247" i="6"/>
  <c r="AA12" i="8" s="1"/>
  <c r="X279" i="6"/>
  <c r="AA44" i="8" s="1"/>
  <c r="W95" i="6"/>
  <c r="Y18" i="16" s="1"/>
  <c r="W401" i="6"/>
  <c r="Y38" i="20" s="1"/>
  <c r="W216" i="6"/>
  <c r="Y9" i="10" s="1"/>
  <c r="X115" i="6"/>
  <c r="Z15" i="9" s="1"/>
  <c r="W98" i="6"/>
  <c r="Y21" i="16" s="1"/>
  <c r="AN151" i="6"/>
  <c r="X145" i="6"/>
  <c r="AA10" i="21" s="1"/>
  <c r="X184" i="6"/>
  <c r="X220" i="6"/>
  <c r="Z13" i="10" s="1"/>
  <c r="X264" i="6"/>
  <c r="AA29" i="8" s="1"/>
  <c r="W337" i="6"/>
  <c r="X2" i="19" s="1"/>
  <c r="X132" i="6"/>
  <c r="Z32" i="9" s="1"/>
  <c r="W83" i="6"/>
  <c r="Y6" i="16" s="1"/>
  <c r="W80" i="6"/>
  <c r="Y3" i="16" s="1"/>
  <c r="X271" i="6"/>
  <c r="AA36" i="8" s="1"/>
  <c r="W179" i="6"/>
  <c r="Z44" i="21" s="1"/>
  <c r="X108" i="6"/>
  <c r="Z8" i="9" s="1"/>
  <c r="X111" i="6"/>
  <c r="Z11" i="9" s="1"/>
  <c r="W149" i="6"/>
  <c r="Z14" i="21" s="1"/>
  <c r="W155" i="6"/>
  <c r="Z20" i="21" s="1"/>
  <c r="X204" i="6"/>
  <c r="AA69" i="21" s="1"/>
  <c r="W318" i="6"/>
  <c r="X12" i="14" s="1"/>
  <c r="X161" i="6"/>
  <c r="AA26" i="21" s="1"/>
  <c r="W338" i="6"/>
  <c r="X3" i="19" s="1"/>
  <c r="X117" i="6"/>
  <c r="Z17" i="9" s="1"/>
  <c r="W403" i="6"/>
  <c r="Y40" i="20" s="1"/>
  <c r="X188" i="6"/>
  <c r="AA53" i="21" s="1"/>
  <c r="X274" i="6"/>
  <c r="AA39" i="8" s="1"/>
  <c r="W248" i="6"/>
  <c r="Z13" i="8" s="1"/>
  <c r="W387" i="6"/>
  <c r="Y24" i="20" s="1"/>
  <c r="W106" i="6"/>
  <c r="Y6" i="9" s="1"/>
  <c r="X29" i="6"/>
  <c r="Z9" i="12" s="1"/>
  <c r="X49" i="6"/>
  <c r="Z29" i="12" s="1"/>
  <c r="W392" i="6"/>
  <c r="Y29" i="20" s="1"/>
  <c r="W35" i="6"/>
  <c r="Y15" i="12" s="1"/>
  <c r="X260" i="6"/>
  <c r="AA25" i="8" s="1"/>
  <c r="X104" i="6"/>
  <c r="Z4" i="9" s="1"/>
  <c r="W57" i="6"/>
  <c r="Y37" i="12" s="1"/>
  <c r="W34" i="6"/>
  <c r="Y14" i="12" s="1"/>
  <c r="W251" i="6"/>
  <c r="Z16" i="8" s="1"/>
  <c r="W333" i="6"/>
  <c r="X27" i="14" s="1"/>
  <c r="W227" i="6"/>
  <c r="Y20" i="10" s="1"/>
  <c r="W42" i="6"/>
  <c r="Y22" i="12" s="1"/>
  <c r="W400" i="6"/>
  <c r="Y37" i="20" s="1"/>
  <c r="X140" i="6"/>
  <c r="AA5" i="21" s="1"/>
  <c r="W218" i="6"/>
  <c r="Y11" i="10" s="1"/>
  <c r="X89" i="6"/>
  <c r="Z12" i="16" s="1"/>
  <c r="X119" i="6"/>
  <c r="Z19" i="9" s="1"/>
  <c r="W202" i="6"/>
  <c r="Z67" i="21" s="1"/>
  <c r="X205" i="6"/>
  <c r="AA70" i="21" s="1"/>
  <c r="X193" i="6"/>
  <c r="AA58" i="21" s="1"/>
  <c r="W195" i="6"/>
  <c r="Z60" i="21" s="1"/>
  <c r="W197" i="6"/>
  <c r="Z62" i="21" s="1"/>
  <c r="W47" i="6"/>
  <c r="Y27" i="12" s="1"/>
  <c r="AN57" i="6"/>
  <c r="X238" i="6"/>
  <c r="AA3" i="8" s="1"/>
  <c r="X256" i="6"/>
  <c r="AA21" i="8" s="1"/>
  <c r="W323" i="6"/>
  <c r="X17" i="14" s="1"/>
  <c r="W332" i="6"/>
  <c r="X26" i="14" s="1"/>
  <c r="X249" i="6"/>
  <c r="AA14" i="8" s="1"/>
  <c r="X63" i="6"/>
  <c r="Z43" i="12" s="1"/>
  <c r="W326" i="6"/>
  <c r="X20" i="14" s="1"/>
  <c r="W86" i="6"/>
  <c r="Y9" i="16" s="1"/>
  <c r="X30" i="6"/>
  <c r="Z10" i="12" s="1"/>
  <c r="W56" i="6"/>
  <c r="Y36" i="12" s="1"/>
  <c r="X40" i="6"/>
  <c r="Z20" i="12" s="1"/>
  <c r="X109" i="6"/>
  <c r="Z9" i="9" s="1"/>
  <c r="X53" i="6"/>
  <c r="Z33" i="12" s="1"/>
  <c r="X143" i="6"/>
  <c r="AA8" i="21" s="1"/>
  <c r="W264" i="6"/>
  <c r="Z29" i="8" s="1"/>
  <c r="X196" i="6"/>
  <c r="AA61" i="21" s="1"/>
  <c r="AN166" i="6"/>
  <c r="X269" i="6"/>
  <c r="AA34" i="8" s="1"/>
  <c r="W317" i="6"/>
  <c r="X11" i="14" s="1"/>
  <c r="X170" i="6"/>
  <c r="AA35" i="21" s="1"/>
  <c r="W200" i="6"/>
  <c r="Z65" i="21" s="1"/>
  <c r="X129" i="6"/>
  <c r="Z29" i="9" s="1"/>
  <c r="X263" i="6"/>
  <c r="AA28" i="8" s="1"/>
  <c r="W146" i="6"/>
  <c r="Z11" i="21" s="1"/>
  <c r="W96" i="6"/>
  <c r="Y19" i="16" s="1"/>
  <c r="X248" i="6"/>
  <c r="AA13" i="8" s="1"/>
  <c r="X67" i="6"/>
  <c r="Z47" i="12" s="1"/>
  <c r="X173" i="6"/>
  <c r="AA38" i="21" s="1"/>
  <c r="X258" i="6"/>
  <c r="AA23" i="8" s="1"/>
  <c r="BA238" i="2"/>
  <c r="BB238" i="2"/>
  <c r="BB222" i="2"/>
  <c r="BF222" i="2"/>
  <c r="BE222" i="2"/>
  <c r="BG222" i="2" s="1"/>
  <c r="BA222" i="2"/>
  <c r="L178" i="2"/>
  <c r="W178" i="2" s="1"/>
  <c r="K178" i="2"/>
  <c r="V178" i="2" s="1"/>
  <c r="S413" i="6"/>
  <c r="U50" i="20" s="1"/>
  <c r="S393" i="6"/>
  <c r="U30" i="20" s="1"/>
  <c r="S400" i="6"/>
  <c r="U37" i="20" s="1"/>
  <c r="S369" i="6"/>
  <c r="U6" i="20" s="1"/>
  <c r="S399" i="6"/>
  <c r="U36" i="20" s="1"/>
  <c r="S397" i="6"/>
  <c r="U34" i="20" s="1"/>
  <c r="S317" i="6"/>
  <c r="S328" i="6"/>
  <c r="S192" i="6"/>
  <c r="V57" i="21" s="1"/>
  <c r="S243" i="6"/>
  <c r="V8" i="8" s="1"/>
  <c r="S131" i="6"/>
  <c r="S133" i="6"/>
  <c r="S132" i="6"/>
  <c r="AN163" i="2"/>
  <c r="AG163" i="2"/>
  <c r="AO163" i="2"/>
  <c r="AL163" i="2"/>
  <c r="AJ163" i="2"/>
  <c r="AH163" i="2"/>
  <c r="AK163" i="2"/>
  <c r="AM163" i="2"/>
  <c r="AF163" i="2"/>
  <c r="S365" i="6"/>
  <c r="S396" i="6"/>
  <c r="U33" i="20" s="1"/>
  <c r="S293" i="6"/>
  <c r="U7" i="15" s="1"/>
  <c r="S382" i="6"/>
  <c r="U19" i="20" s="1"/>
  <c r="S323" i="6"/>
  <c r="S257" i="6"/>
  <c r="V22" i="8" s="1"/>
  <c r="S269" i="6"/>
  <c r="V34" i="8" s="1"/>
  <c r="S71" i="6"/>
  <c r="U51" i="12" s="1"/>
  <c r="S322" i="6"/>
  <c r="S406" i="6"/>
  <c r="U43" i="20" s="1"/>
  <c r="S274" i="6"/>
  <c r="V39" i="8" s="1"/>
  <c r="S94" i="6"/>
  <c r="S51" i="6"/>
  <c r="U31" i="12" s="1"/>
  <c r="S403" i="6"/>
  <c r="U40" i="20" s="1"/>
  <c r="S242" i="6"/>
  <c r="V7" i="8" s="1"/>
  <c r="S122" i="6"/>
  <c r="S22" i="6"/>
  <c r="U2" i="12" s="1"/>
  <c r="S40" i="6"/>
  <c r="U20" i="12" s="1"/>
  <c r="S395" i="6"/>
  <c r="U32" i="20" s="1"/>
  <c r="S217" i="6"/>
  <c r="S337" i="6"/>
  <c r="S52" i="6"/>
  <c r="U32" i="12" s="1"/>
  <c r="S175" i="6"/>
  <c r="V40" i="21" s="1"/>
  <c r="S409" i="6"/>
  <c r="U46" i="20" s="1"/>
  <c r="S45" i="6"/>
  <c r="U25" i="12" s="1"/>
  <c r="S173" i="6"/>
  <c r="V38" i="21" s="1"/>
  <c r="S37" i="6"/>
  <c r="U17" i="12" s="1"/>
  <c r="S141" i="6"/>
  <c r="V6" i="21" s="1"/>
  <c r="S25" i="6"/>
  <c r="U5" i="12" s="1"/>
  <c r="S234" i="6"/>
  <c r="U27" i="10" s="1"/>
  <c r="S115" i="6"/>
  <c r="S170" i="6"/>
  <c r="V35" i="21" s="1"/>
  <c r="S106" i="6"/>
  <c r="S226" i="6"/>
  <c r="S28" i="6"/>
  <c r="U8" i="12" s="1"/>
  <c r="S163" i="6"/>
  <c r="V28" i="21" s="1"/>
  <c r="S34" i="6"/>
  <c r="U14" i="12" s="1"/>
  <c r="S329" i="6"/>
  <c r="S102" i="6"/>
  <c r="S182" i="6"/>
  <c r="V47" i="21" s="1"/>
  <c r="S301" i="6"/>
  <c r="U15" i="15" s="1"/>
  <c r="S412" i="6"/>
  <c r="U49" i="20" s="1"/>
  <c r="S378" i="6"/>
  <c r="U15" i="20" s="1"/>
  <c r="S247" i="6"/>
  <c r="V12" i="8" s="1"/>
  <c r="S366" i="6"/>
  <c r="U3" i="20" s="1"/>
  <c r="S324" i="6"/>
  <c r="S241" i="6"/>
  <c r="V6" i="8" s="1"/>
  <c r="S341" i="6"/>
  <c r="T6" i="19" s="1"/>
  <c r="S271" i="6"/>
  <c r="V36" i="8" s="1"/>
  <c r="S345" i="6"/>
  <c r="T10" i="19" s="1"/>
  <c r="S61" i="6"/>
  <c r="U41" i="12" s="1"/>
  <c r="S320" i="6"/>
  <c r="T14" i="14" s="1"/>
  <c r="S277" i="6"/>
  <c r="V42" i="8" s="1"/>
  <c r="S119" i="6"/>
  <c r="S23" i="6"/>
  <c r="U3" i="12" s="1"/>
  <c r="S385" i="6"/>
  <c r="U22" i="20" s="1"/>
  <c r="S279" i="6"/>
  <c r="V44" i="8" s="1"/>
  <c r="S31" i="6"/>
  <c r="U11" i="12" s="1"/>
  <c r="S319" i="6"/>
  <c r="S67" i="6"/>
  <c r="U47" i="12" s="1"/>
  <c r="S93" i="6"/>
  <c r="S219" i="6"/>
  <c r="S305" i="6"/>
  <c r="U19" i="15" s="1"/>
  <c r="S107" i="6"/>
  <c r="S225" i="6"/>
  <c r="S346" i="6"/>
  <c r="T11" i="19" s="1"/>
  <c r="S47" i="6"/>
  <c r="U27" i="12" s="1"/>
  <c r="S176" i="6"/>
  <c r="V41" i="21" s="1"/>
  <c r="S254" i="6"/>
  <c r="V19" i="8" s="1"/>
  <c r="S46" i="6"/>
  <c r="U26" i="12" s="1"/>
  <c r="S229" i="6"/>
  <c r="S252" i="6"/>
  <c r="V17" i="8" s="1"/>
  <c r="S185" i="6"/>
  <c r="V50" i="21" s="1"/>
  <c r="S130" i="6"/>
  <c r="S30" i="6"/>
  <c r="U10" i="12" s="1"/>
  <c r="S228" i="6"/>
  <c r="S338" i="6"/>
  <c r="T3" i="19" s="1"/>
  <c r="S181" i="6"/>
  <c r="V46" i="21" s="1"/>
  <c r="S296" i="6"/>
  <c r="U10" i="15" s="1"/>
  <c r="S160" i="6"/>
  <c r="V25" i="21" s="1"/>
  <c r="S139" i="6"/>
  <c r="V4" i="21" s="1"/>
  <c r="S164" i="6"/>
  <c r="V29" i="21" s="1"/>
  <c r="S62" i="6"/>
  <c r="U42" i="12" s="1"/>
  <c r="S375" i="6"/>
  <c r="U12" i="20" s="1"/>
  <c r="S410" i="6"/>
  <c r="U47" i="20" s="1"/>
  <c r="S280" i="6"/>
  <c r="V45" i="8" s="1"/>
  <c r="S342" i="6"/>
  <c r="T7" i="19" s="1"/>
  <c r="S298" i="6"/>
  <c r="U12" i="15" s="1"/>
  <c r="S408" i="6"/>
  <c r="U45" i="20" s="1"/>
  <c r="S326" i="6"/>
  <c r="S270" i="6"/>
  <c r="V35" i="8" s="1"/>
  <c r="S318" i="6"/>
  <c r="S95" i="6"/>
  <c r="S291" i="6"/>
  <c r="U5" i="15" s="1"/>
  <c r="S344" i="6"/>
  <c r="T9" i="19" s="1"/>
  <c r="S266" i="6"/>
  <c r="V31" i="8" s="1"/>
  <c r="S103" i="6"/>
  <c r="S285" i="6"/>
  <c r="V50" i="8" s="1"/>
  <c r="S123" i="6"/>
  <c r="S203" i="6"/>
  <c r="V68" i="21" s="1"/>
  <c r="S258" i="6"/>
  <c r="V23" i="8" s="1"/>
  <c r="S83" i="6"/>
  <c r="S272" i="6"/>
  <c r="V37" i="8" s="1"/>
  <c r="S230" i="6"/>
  <c r="S244" i="6"/>
  <c r="V9" i="8" s="1"/>
  <c r="S124" i="6"/>
  <c r="S227" i="6"/>
  <c r="S321" i="6"/>
  <c r="S105" i="6"/>
  <c r="S260" i="6"/>
  <c r="V25" i="8" s="1"/>
  <c r="S188" i="6"/>
  <c r="V53" i="21" s="1"/>
  <c r="S55" i="6"/>
  <c r="U35" i="12" s="1"/>
  <c r="S72" i="6"/>
  <c r="U52" i="12" s="1"/>
  <c r="S223" i="6"/>
  <c r="S108" i="6"/>
  <c r="S172" i="6"/>
  <c r="V37" i="21" s="1"/>
  <c r="AJ175" i="6"/>
  <c r="S155" i="6"/>
  <c r="V20" i="21" s="1"/>
  <c r="S84" i="6"/>
  <c r="S57" i="6"/>
  <c r="U37" i="12" s="1"/>
  <c r="S233" i="6"/>
  <c r="S245" i="6"/>
  <c r="V10" i="8" s="1"/>
  <c r="S148" i="6"/>
  <c r="V13" i="21" s="1"/>
  <c r="S162" i="6"/>
  <c r="V27" i="21" s="1"/>
  <c r="S154" i="6"/>
  <c r="V19" i="21" s="1"/>
  <c r="S213" i="6"/>
  <c r="S394" i="6"/>
  <c r="U31" i="20" s="1"/>
  <c r="S248" i="6"/>
  <c r="V13" i="8" s="1"/>
  <c r="S339" i="6"/>
  <c r="T4" i="19" s="1"/>
  <c r="S297" i="6"/>
  <c r="U11" i="15" s="1"/>
  <c r="S401" i="6"/>
  <c r="U38" i="20" s="1"/>
  <c r="S325" i="6"/>
  <c r="S246" i="6"/>
  <c r="V11" i="8" s="1"/>
  <c r="S386" i="6"/>
  <c r="U23" i="20" s="1"/>
  <c r="S204" i="6"/>
  <c r="V69" i="21" s="1"/>
  <c r="S59" i="6"/>
  <c r="U39" i="12" s="1"/>
  <c r="S120" i="6"/>
  <c r="S144" i="6"/>
  <c r="V9" i="21" s="1"/>
  <c r="S275" i="6"/>
  <c r="V40" i="8" s="1"/>
  <c r="S35" i="6"/>
  <c r="U15" i="12" s="1"/>
  <c r="S374" i="6"/>
  <c r="U11" i="20" s="1"/>
  <c r="S292" i="6"/>
  <c r="U6" i="15" s="1"/>
  <c r="S237" i="6"/>
  <c r="V2" i="8" s="1"/>
  <c r="S183" i="6"/>
  <c r="V48" i="21" s="1"/>
  <c r="S54" i="6"/>
  <c r="U34" i="12" s="1"/>
  <c r="S63" i="6"/>
  <c r="U43" i="12" s="1"/>
  <c r="S224" i="6"/>
  <c r="S302" i="6"/>
  <c r="U16" i="15" s="1"/>
  <c r="S112" i="6"/>
  <c r="S210" i="6"/>
  <c r="U3" i="10" s="1"/>
  <c r="S169" i="6"/>
  <c r="V34" i="21" s="1"/>
  <c r="S70" i="6"/>
  <c r="U50" i="12" s="1"/>
  <c r="S187" i="6"/>
  <c r="V52" i="21" s="1"/>
  <c r="S218" i="6"/>
  <c r="S151" i="6"/>
  <c r="V16" i="21" s="1"/>
  <c r="S36" i="6"/>
  <c r="U16" i="12" s="1"/>
  <c r="S146" i="6"/>
  <c r="V11" i="21" s="1"/>
  <c r="S145" i="6"/>
  <c r="V10" i="21" s="1"/>
  <c r="S116" i="6"/>
  <c r="S153" i="6"/>
  <c r="V18" i="21" s="1"/>
  <c r="S87" i="6"/>
  <c r="U10" i="16" s="1"/>
  <c r="S414" i="6"/>
  <c r="U51" i="20" s="1"/>
  <c r="S379" i="6"/>
  <c r="U16" i="20" s="1"/>
  <c r="S314" i="6"/>
  <c r="S281" i="6"/>
  <c r="S255" i="6"/>
  <c r="V20" i="8" s="1"/>
  <c r="S416" i="6"/>
  <c r="U53" i="20" s="1"/>
  <c r="S331" i="6"/>
  <c r="S268" i="6"/>
  <c r="V33" i="8" s="1"/>
  <c r="S289" i="6"/>
  <c r="U3" i="15" s="1"/>
  <c r="S380" i="6"/>
  <c r="U17" i="20" s="1"/>
  <c r="S284" i="6"/>
  <c r="V49" i="8" s="1"/>
  <c r="S332" i="6"/>
  <c r="S27" i="6"/>
  <c r="U7" i="12" s="1"/>
  <c r="S76" i="6"/>
  <c r="U56" i="12" s="1"/>
  <c r="S195" i="6"/>
  <c r="V60" i="21" s="1"/>
  <c r="S110" i="6"/>
  <c r="S68" i="6"/>
  <c r="U48" i="12" s="1"/>
  <c r="S405" i="6"/>
  <c r="U42" i="20" s="1"/>
  <c r="S251" i="6"/>
  <c r="V16" i="8" s="1"/>
  <c r="S38" i="6"/>
  <c r="U18" i="12" s="1"/>
  <c r="S58" i="6"/>
  <c r="U38" i="12" s="1"/>
  <c r="S147" i="6"/>
  <c r="V12" i="21" s="1"/>
  <c r="S39" i="6"/>
  <c r="U19" i="12" s="1"/>
  <c r="S80" i="6"/>
  <c r="S186" i="6"/>
  <c r="V51" i="21" s="1"/>
  <c r="S261" i="6"/>
  <c r="V26" i="8" s="1"/>
  <c r="S111" i="6"/>
  <c r="S129" i="6"/>
  <c r="S220" i="6"/>
  <c r="S197" i="6"/>
  <c r="V62" i="21" s="1"/>
  <c r="S85" i="6"/>
  <c r="S137" i="6"/>
  <c r="V2" i="21" s="1"/>
  <c r="S75" i="6"/>
  <c r="U55" i="12" s="1"/>
  <c r="S216" i="6"/>
  <c r="S121" i="6"/>
  <c r="S156" i="6"/>
  <c r="V21" i="21" s="1"/>
  <c r="S152" i="6"/>
  <c r="V17" i="21" s="1"/>
  <c r="S140" i="6"/>
  <c r="V5" i="21" s="1"/>
  <c r="S117" i="6"/>
  <c r="S32" i="6"/>
  <c r="U12" i="12" s="1"/>
  <c r="S373" i="6"/>
  <c r="U10" i="20" s="1"/>
  <c r="S387" i="6"/>
  <c r="U24" i="20" s="1"/>
  <c r="S407" i="6"/>
  <c r="U44" i="20" s="1"/>
  <c r="S315" i="6"/>
  <c r="S249" i="6"/>
  <c r="V14" i="8" s="1"/>
  <c r="S263" i="6"/>
  <c r="V28" i="8" s="1"/>
  <c r="S376" i="6"/>
  <c r="U13" i="20" s="1"/>
  <c r="S288" i="6"/>
  <c r="U2" i="15" s="1"/>
  <c r="S381" i="6"/>
  <c r="U18" i="20" s="1"/>
  <c r="S276" i="6"/>
  <c r="V41" i="8" s="1"/>
  <c r="S273" i="6"/>
  <c r="V38" i="8" s="1"/>
  <c r="S330" i="6"/>
  <c r="S69" i="6"/>
  <c r="U49" i="12" s="1"/>
  <c r="S198" i="6"/>
  <c r="V63" i="21" s="1"/>
  <c r="S79" i="6"/>
  <c r="S26" i="6"/>
  <c r="U6" i="12" s="1"/>
  <c r="S372" i="6"/>
  <c r="U9" i="20" s="1"/>
  <c r="S239" i="6"/>
  <c r="V4" i="8" s="1"/>
  <c r="S125" i="6"/>
  <c r="S113" i="6"/>
  <c r="S196" i="6"/>
  <c r="V61" i="21" s="1"/>
  <c r="S149" i="6"/>
  <c r="V14" i="21" s="1"/>
  <c r="S104" i="6"/>
  <c r="S189" i="6"/>
  <c r="V54" i="21" s="1"/>
  <c r="S150" i="6"/>
  <c r="V15" i="21" s="1"/>
  <c r="S48" i="6"/>
  <c r="U28" i="12" s="1"/>
  <c r="S114" i="6"/>
  <c r="S215" i="6"/>
  <c r="S98" i="6"/>
  <c r="S167" i="6"/>
  <c r="V32" i="21" s="1"/>
  <c r="S99" i="6"/>
  <c r="S232" i="6"/>
  <c r="S157" i="6"/>
  <c r="V22" i="21" s="1"/>
  <c r="S294" i="6"/>
  <c r="U8" i="15" s="1"/>
  <c r="S193" i="6"/>
  <c r="V58" i="21" s="1"/>
  <c r="S392" i="6"/>
  <c r="U29" i="20" s="1"/>
  <c r="S222" i="6"/>
  <c r="S86" i="6"/>
  <c r="S391" i="6"/>
  <c r="U28" i="20" s="1"/>
  <c r="S368" i="6"/>
  <c r="U5" i="20" s="1"/>
  <c r="S290" i="6"/>
  <c r="U4" i="15" s="1"/>
  <c r="S282" i="6"/>
  <c r="V47" i="8" s="1"/>
  <c r="S256" i="6"/>
  <c r="V21" i="8" s="1"/>
  <c r="S300" i="6"/>
  <c r="U14" i="15" s="1"/>
  <c r="S367" i="6"/>
  <c r="U4" i="20" s="1"/>
  <c r="S265" i="6"/>
  <c r="V30" i="8" s="1"/>
  <c r="S340" i="6"/>
  <c r="T5" i="19" s="1"/>
  <c r="S262" i="6"/>
  <c r="V27" i="8" s="1"/>
  <c r="S295" i="6"/>
  <c r="U9" i="15" s="1"/>
  <c r="S53" i="6"/>
  <c r="U33" i="12" s="1"/>
  <c r="S60" i="6"/>
  <c r="U40" i="12" s="1"/>
  <c r="S138" i="6"/>
  <c r="V3" i="21" s="1"/>
  <c r="S334" i="6"/>
  <c r="S43" i="6"/>
  <c r="U23" i="12" s="1"/>
  <c r="S33" i="6"/>
  <c r="U13" i="12" s="1"/>
  <c r="S343" i="6"/>
  <c r="T8" i="19" s="1"/>
  <c r="S259" i="6"/>
  <c r="V24" i="8" s="1"/>
  <c r="S44" i="6"/>
  <c r="U24" i="12" s="1"/>
  <c r="S74" i="6"/>
  <c r="U54" i="12" s="1"/>
  <c r="S161" i="6"/>
  <c r="V26" i="21" s="1"/>
  <c r="S166" i="6"/>
  <c r="V31" i="21" s="1"/>
  <c r="S90" i="6"/>
  <c r="S165" i="6"/>
  <c r="V30" i="21" s="1"/>
  <c r="S171" i="6"/>
  <c r="V36" i="21" s="1"/>
  <c r="S65" i="6"/>
  <c r="U45" i="12" s="1"/>
  <c r="S81" i="6"/>
  <c r="S56" i="6"/>
  <c r="U36" i="12" s="1"/>
  <c r="S184" i="6"/>
  <c r="S264" i="6"/>
  <c r="V29" i="8" s="1"/>
  <c r="S199" i="6"/>
  <c r="V64" i="21" s="1"/>
  <c r="S390" i="6"/>
  <c r="U27" i="20" s="1"/>
  <c r="S126" i="6"/>
  <c r="S190" i="6"/>
  <c r="V55" i="21" s="1"/>
  <c r="S250" i="6"/>
  <c r="V15" i="8" s="1"/>
  <c r="S168" i="6"/>
  <c r="V33" i="21" s="1"/>
  <c r="S240" i="6"/>
  <c r="V5" i="8" s="1"/>
  <c r="S221" i="6"/>
  <c r="S142" i="6"/>
  <c r="V7" i="21" s="1"/>
  <c r="S96" i="6"/>
  <c r="S411" i="6"/>
  <c r="U48" i="20" s="1"/>
  <c r="S377" i="6"/>
  <c r="U14" i="20" s="1"/>
  <c r="S299" i="6"/>
  <c r="U13" i="15" s="1"/>
  <c r="S383" i="6"/>
  <c r="U20" i="20" s="1"/>
  <c r="S313" i="6"/>
  <c r="S267" i="6"/>
  <c r="V32" i="8" s="1"/>
  <c r="S283" i="6"/>
  <c r="V48" i="8" s="1"/>
  <c r="S253" i="6"/>
  <c r="V18" i="8" s="1"/>
  <c r="S389" i="6"/>
  <c r="U26" i="20" s="1"/>
  <c r="S238" i="6"/>
  <c r="V3" i="8" s="1"/>
  <c r="S24" i="6"/>
  <c r="U4" i="12" s="1"/>
  <c r="S29" i="6"/>
  <c r="U9" i="12" s="1"/>
  <c r="S211" i="6"/>
  <c r="U4" i="10" s="1"/>
  <c r="S303" i="6"/>
  <c r="U17" i="15" s="1"/>
  <c r="S97" i="6"/>
  <c r="S50" i="6"/>
  <c r="U30" i="12" s="1"/>
  <c r="S278" i="6"/>
  <c r="V43" i="8" s="1"/>
  <c r="S64" i="6"/>
  <c r="U44" i="12" s="1"/>
  <c r="S66" i="6"/>
  <c r="U46" i="12" s="1"/>
  <c r="S206" i="6"/>
  <c r="V71" i="21" s="1"/>
  <c r="S371" i="6"/>
  <c r="U8" i="20" s="1"/>
  <c r="S82" i="6"/>
  <c r="S177" i="6"/>
  <c r="V42" i="21" s="1"/>
  <c r="S159" i="6"/>
  <c r="V24" i="21" s="1"/>
  <c r="S128" i="6"/>
  <c r="S127" i="6"/>
  <c r="S88" i="6"/>
  <c r="U11" i="16" s="1"/>
  <c r="S178" i="6"/>
  <c r="V43" i="21" s="1"/>
  <c r="S118" i="6"/>
  <c r="S180" i="6"/>
  <c r="V45" i="21" s="1"/>
  <c r="S89" i="6"/>
  <c r="S143" i="6"/>
  <c r="V8" i="21" s="1"/>
  <c r="S73" i="6"/>
  <c r="U53" i="12" s="1"/>
  <c r="S205" i="6"/>
  <c r="V70" i="21" s="1"/>
  <c r="S91" i="6"/>
  <c r="S179" i="6"/>
  <c r="V44" i="21" s="1"/>
  <c r="S42" i="6"/>
  <c r="U22" i="12" s="1"/>
  <c r="S402" i="6"/>
  <c r="U39" i="20" s="1"/>
  <c r="S92" i="6"/>
  <c r="S194" i="6"/>
  <c r="V59" i="21" s="1"/>
  <c r="S200" i="6"/>
  <c r="V65" i="21" s="1"/>
  <c r="S49" i="6"/>
  <c r="U29" i="12" s="1"/>
  <c r="S209" i="6"/>
  <c r="U2" i="10" s="1"/>
  <c r="S174" i="6"/>
  <c r="V39" i="21" s="1"/>
  <c r="S214" i="6"/>
  <c r="U7" i="10" s="1"/>
  <c r="S404" i="6"/>
  <c r="U41" i="20" s="1"/>
  <c r="S333" i="6"/>
  <c r="S304" i="6"/>
  <c r="U18" i="15" s="1"/>
  <c r="S212" i="6"/>
  <c r="U5" i="10" s="1"/>
  <c r="S231" i="6"/>
  <c r="S316" i="6"/>
  <c r="S202" i="6"/>
  <c r="V67" i="21" s="1"/>
  <c r="S109" i="6"/>
  <c r="S158" i="6"/>
  <c r="V23" i="21" s="1"/>
  <c r="S201" i="6"/>
  <c r="V66" i="21" s="1"/>
  <c r="AO286" i="2"/>
  <c r="AK422" i="2" l="1"/>
  <c r="AN422" i="2"/>
  <c r="AO422" i="2"/>
  <c r="AL422" i="2"/>
  <c r="AJ422" i="2"/>
  <c r="AG422" i="2"/>
  <c r="AF422" i="2"/>
  <c r="AH422" i="2"/>
  <c r="BI242" i="2"/>
  <c r="BI229" i="2"/>
  <c r="BI247" i="2"/>
  <c r="W262" i="6"/>
  <c r="Z27" i="8" s="1"/>
  <c r="AP262" i="6"/>
  <c r="W259" i="6"/>
  <c r="Z24" i="8" s="1"/>
  <c r="AP187" i="6"/>
  <c r="W180" i="6"/>
  <c r="Z45" i="21" s="1"/>
  <c r="AQ183" i="6"/>
  <c r="AP183" i="6" s="1"/>
  <c r="X49" i="21"/>
  <c r="U18" i="6"/>
  <c r="AA49" i="21"/>
  <c r="X18" i="6"/>
  <c r="V49" i="21"/>
  <c r="S18" i="6"/>
  <c r="H21" i="14"/>
  <c r="J21" i="14" s="1"/>
  <c r="T9" i="14"/>
  <c r="T26" i="14"/>
  <c r="T15" i="14"/>
  <c r="T10" i="14"/>
  <c r="T22" i="14"/>
  <c r="T21" i="14"/>
  <c r="Y412" i="2"/>
  <c r="Y402" i="2"/>
  <c r="Y429" i="2"/>
  <c r="Y398" i="2"/>
  <c r="Y384" i="2"/>
  <c r="AU259" i="2"/>
  <c r="T25" i="14"/>
  <c r="T23" i="14"/>
  <c r="V46" i="8"/>
  <c r="T17" i="14"/>
  <c r="T27" i="14"/>
  <c r="T8" i="14"/>
  <c r="T19" i="14"/>
  <c r="T12" i="14"/>
  <c r="T13" i="14"/>
  <c r="T20" i="14"/>
  <c r="T7" i="14"/>
  <c r="T5" i="14"/>
  <c r="T28" i="14"/>
  <c r="T4" i="14"/>
  <c r="T3" i="14"/>
  <c r="T16" i="14"/>
  <c r="T11" i="14"/>
  <c r="T24" i="14"/>
  <c r="T18" i="14"/>
  <c r="AV259" i="2"/>
  <c r="AZ259" i="2" s="1"/>
  <c r="AW259" i="2"/>
  <c r="O262" i="2" s="1"/>
  <c r="AK366" i="2"/>
  <c r="AL366" i="2"/>
  <c r="AO366" i="2"/>
  <c r="AJ366" i="2"/>
  <c r="AM366" i="2"/>
  <c r="AF366" i="2"/>
  <c r="AN366" i="2"/>
  <c r="AH366" i="2"/>
  <c r="AG366" i="2"/>
  <c r="W320" i="6"/>
  <c r="X14" i="14" s="1"/>
  <c r="V320" i="6"/>
  <c r="W14" i="14" s="1"/>
  <c r="U320" i="6"/>
  <c r="V14" i="14" s="1"/>
  <c r="W271" i="6"/>
  <c r="Z36" i="8" s="1"/>
  <c r="W268" i="6"/>
  <c r="Z33" i="8" s="1"/>
  <c r="W256" i="6"/>
  <c r="Z21" i="8" s="1"/>
  <c r="W275" i="6"/>
  <c r="Z40" i="8" s="1"/>
  <c r="W269" i="6"/>
  <c r="Z34" i="8" s="1"/>
  <c r="W261" i="6"/>
  <c r="Z26" i="8" s="1"/>
  <c r="W274" i="6"/>
  <c r="Z39" i="8" s="1"/>
  <c r="W270" i="6"/>
  <c r="Z35" i="8" s="1"/>
  <c r="W266" i="6"/>
  <c r="Z31" i="8" s="1"/>
  <c r="AP239" i="6"/>
  <c r="W247" i="6"/>
  <c r="Z12" i="8" s="1"/>
  <c r="W319" i="6"/>
  <c r="X13" i="14" s="1"/>
  <c r="W252" i="6"/>
  <c r="Z17" i="8" s="1"/>
  <c r="Q266" i="2"/>
  <c r="AB266" i="2" s="1"/>
  <c r="O48" i="28" s="1"/>
  <c r="S266" i="2"/>
  <c r="AD266" i="2" s="1"/>
  <c r="Q48" i="28" s="1"/>
  <c r="P266" i="2"/>
  <c r="R266" i="2"/>
  <c r="AC266" i="2" s="1"/>
  <c r="P48" i="28" s="1"/>
  <c r="O209" i="2"/>
  <c r="Z209" i="2" s="1"/>
  <c r="P171" i="2"/>
  <c r="AA171" i="2" s="1"/>
  <c r="W213" i="6"/>
  <c r="Y6" i="10" s="1"/>
  <c r="W234" i="6"/>
  <c r="Y27" i="10" s="1"/>
  <c r="Q171" i="2"/>
  <c r="AB171" i="2" s="1"/>
  <c r="Q174" i="2"/>
  <c r="AB174" i="2" s="1"/>
  <c r="R171" i="2"/>
  <c r="AC171" i="2" s="1"/>
  <c r="P209" i="2"/>
  <c r="AA209" i="2" s="1"/>
  <c r="S174" i="2"/>
  <c r="AD174" i="2" s="1"/>
  <c r="O174" i="2"/>
  <c r="Z174" i="2" s="1"/>
  <c r="S209" i="2"/>
  <c r="AD209" i="2" s="1"/>
  <c r="R174" i="2"/>
  <c r="AC174" i="2" s="1"/>
  <c r="R209" i="2"/>
  <c r="AC209" i="2" s="1"/>
  <c r="P174" i="2"/>
  <c r="AA174" i="2" s="1"/>
  <c r="S171" i="2"/>
  <c r="AD171" i="2" s="1"/>
  <c r="W173" i="6"/>
  <c r="Z38" i="21" s="1"/>
  <c r="W177" i="6"/>
  <c r="Z42" i="21" s="1"/>
  <c r="W183" i="6"/>
  <c r="Z48" i="21" s="1"/>
  <c r="W187" i="6"/>
  <c r="Z52" i="21" s="1"/>
  <c r="AP170" i="6"/>
  <c r="W186" i="6"/>
  <c r="Z51" i="21" s="1"/>
  <c r="O171" i="2"/>
  <c r="Z171" i="2" s="1"/>
  <c r="X190" i="6"/>
  <c r="AA55" i="21" s="1"/>
  <c r="W60" i="6"/>
  <c r="Y40" i="12" s="1"/>
  <c r="AP26" i="6"/>
  <c r="AS170" i="6"/>
  <c r="AQ57" i="6"/>
  <c r="W71" i="6" s="1"/>
  <c r="Y51" i="12" s="1"/>
  <c r="AQ55" i="6"/>
  <c r="AP55" i="6" s="1"/>
  <c r="R193" i="2"/>
  <c r="AC193" i="2" s="1"/>
  <c r="W89" i="6"/>
  <c r="Y12" i="16" s="1"/>
  <c r="P193" i="2"/>
  <c r="AA193" i="2" s="1"/>
  <c r="AQ32" i="6"/>
  <c r="W65" i="6" s="1"/>
  <c r="Y45" i="12" s="1"/>
  <c r="S193" i="2"/>
  <c r="AD193" i="2" s="1"/>
  <c r="W67" i="6"/>
  <c r="Y47" i="12" s="1"/>
  <c r="AP376" i="6"/>
  <c r="W379" i="6"/>
  <c r="Y16" i="20" s="1"/>
  <c r="AP249" i="6"/>
  <c r="AP51" i="6"/>
  <c r="W61" i="6"/>
  <c r="Y41" i="12" s="1"/>
  <c r="AP162" i="6"/>
  <c r="W189" i="6"/>
  <c r="Z54" i="21" s="1"/>
  <c r="AX174" i="2"/>
  <c r="AZ171" i="2" s="1"/>
  <c r="Y223" i="2"/>
  <c r="U34" i="9"/>
  <c r="Y36" i="2"/>
  <c r="J36" i="2" s="1"/>
  <c r="I2" i="12" s="1"/>
  <c r="Y55" i="2"/>
  <c r="AP71" i="6"/>
  <c r="W41" i="6"/>
  <c r="Y21" i="12" s="1"/>
  <c r="Y148" i="2"/>
  <c r="Y50" i="2"/>
  <c r="J50" i="2" s="1"/>
  <c r="Y41" i="2"/>
  <c r="J41" i="2" s="1"/>
  <c r="Y87" i="2"/>
  <c r="Y65" i="2"/>
  <c r="AJ65" i="2" s="1"/>
  <c r="Y43" i="2"/>
  <c r="J43" i="2" s="1"/>
  <c r="Y38" i="2"/>
  <c r="Y73" i="2"/>
  <c r="Y49" i="2"/>
  <c r="J49" i="2" s="1"/>
  <c r="Y84" i="2"/>
  <c r="Y57" i="2"/>
  <c r="AF57" i="2" s="1"/>
  <c r="Y72" i="2"/>
  <c r="Y80" i="2"/>
  <c r="Y70" i="2"/>
  <c r="Y67" i="2"/>
  <c r="Y52" i="2"/>
  <c r="J52" i="2" s="1"/>
  <c r="Y81" i="2"/>
  <c r="Y60" i="2"/>
  <c r="J60" i="2" s="1"/>
  <c r="Y88" i="2"/>
  <c r="AJ88" i="2" s="1"/>
  <c r="Y56" i="2"/>
  <c r="Y64" i="2"/>
  <c r="Y63" i="2"/>
  <c r="Y69" i="2"/>
  <c r="Y79" i="2"/>
  <c r="Y83" i="2"/>
  <c r="Y48" i="2"/>
  <c r="J48" i="2" s="1"/>
  <c r="Y51" i="2"/>
  <c r="J51" i="2" s="1"/>
  <c r="Y46" i="2"/>
  <c r="J46" i="2" s="1"/>
  <c r="Y74" i="2"/>
  <c r="Y40" i="2"/>
  <c r="J40" i="2" s="1"/>
  <c r="Y77" i="2"/>
  <c r="Y78" i="2"/>
  <c r="AX81" i="2"/>
  <c r="Y71" i="2"/>
  <c r="AJ71" i="2" s="1"/>
  <c r="Y89" i="2"/>
  <c r="J89" i="2" s="1"/>
  <c r="Y44" i="2"/>
  <c r="J44" i="2" s="1"/>
  <c r="Y75" i="2"/>
  <c r="Y76" i="2"/>
  <c r="Y62" i="2"/>
  <c r="Y59" i="2"/>
  <c r="J59" i="2" s="1"/>
  <c r="Y85" i="2"/>
  <c r="Y82" i="2"/>
  <c r="Y37" i="2"/>
  <c r="J37" i="2" s="1"/>
  <c r="Y90" i="2"/>
  <c r="J90" i="2" s="1"/>
  <c r="Y45" i="2"/>
  <c r="J45" i="2" s="1"/>
  <c r="Y86" i="2"/>
  <c r="AJ86" i="2" s="1"/>
  <c r="Y47" i="2"/>
  <c r="J47" i="2" s="1"/>
  <c r="AX64" i="2"/>
  <c r="Y58" i="2"/>
  <c r="AJ58" i="2" s="1"/>
  <c r="Y39" i="2"/>
  <c r="J39" i="2" s="1"/>
  <c r="Y53" i="2"/>
  <c r="AF53" i="2" s="1"/>
  <c r="Y66" i="2"/>
  <c r="J66" i="2" s="1"/>
  <c r="Y61" i="2"/>
  <c r="AI61" i="2" s="1"/>
  <c r="Y54" i="2"/>
  <c r="Y68" i="2"/>
  <c r="Y42" i="2"/>
  <c r="J42" i="2" s="1"/>
  <c r="AO139" i="6"/>
  <c r="X155" i="6" s="1"/>
  <c r="AA20" i="21" s="1"/>
  <c r="AQ42" i="6"/>
  <c r="W416" i="6"/>
  <c r="Y53" i="20" s="1"/>
  <c r="AQ228" i="6"/>
  <c r="W178" i="6"/>
  <c r="Z43" i="21" s="1"/>
  <c r="AQ30" i="6"/>
  <c r="AP319" i="6"/>
  <c r="AQ151" i="6"/>
  <c r="AQ28" i="6"/>
  <c r="AQ386" i="6"/>
  <c r="AP386" i="6" s="1"/>
  <c r="AQ166" i="6"/>
  <c r="AQ146" i="6"/>
  <c r="W184" i="6" s="1"/>
  <c r="W380" i="6"/>
  <c r="Y17" i="20" s="1"/>
  <c r="AQ38" i="6"/>
  <c r="AP38" i="6" s="1"/>
  <c r="AP314" i="6"/>
  <c r="BL274" i="2"/>
  <c r="BM274" i="2"/>
  <c r="BN274" i="2"/>
  <c r="BJ274" i="2"/>
  <c r="BK274" i="2"/>
  <c r="BB43" i="2"/>
  <c r="BA43" i="2" s="1"/>
  <c r="Q55" i="2" s="1"/>
  <c r="AB55" i="2" s="1"/>
  <c r="W40" i="6"/>
  <c r="Y20" i="12" s="1"/>
  <c r="W88" i="6"/>
  <c r="Y11" i="16" s="1"/>
  <c r="AP244" i="6"/>
  <c r="AP220" i="6"/>
  <c r="W68" i="6"/>
  <c r="Y48" i="12" s="1"/>
  <c r="AY64" i="2"/>
  <c r="W74" i="6"/>
  <c r="Y54" i="12" s="1"/>
  <c r="AP65" i="6"/>
  <c r="AT64" i="6" s="1"/>
  <c r="AT65" i="6" s="1"/>
  <c r="W76" i="6"/>
  <c r="Y56" i="12" s="1"/>
  <c r="AP224" i="6"/>
  <c r="W214" i="6"/>
  <c r="Y7" i="10" s="1"/>
  <c r="AQ53" i="6"/>
  <c r="AP53" i="6" s="1"/>
  <c r="AQ323" i="6"/>
  <c r="AQ155" i="6"/>
  <c r="W168" i="6" s="1"/>
  <c r="Z33" i="21" s="1"/>
  <c r="W313" i="6"/>
  <c r="X7" i="14" s="1"/>
  <c r="AQ142" i="6"/>
  <c r="W166" i="6" s="1"/>
  <c r="Z31" i="21" s="1"/>
  <c r="AP216" i="6"/>
  <c r="AP253" i="6"/>
  <c r="AZ64" i="2"/>
  <c r="AZ57" i="2"/>
  <c r="AZ51" i="6"/>
  <c r="U61" i="6"/>
  <c r="W41" i="12" s="1"/>
  <c r="X61" i="6"/>
  <c r="Z41" i="12" s="1"/>
  <c r="BM229" i="2"/>
  <c r="S248" i="2"/>
  <c r="AD248" i="2" s="1"/>
  <c r="BC229" i="2"/>
  <c r="P227" i="2" s="1"/>
  <c r="BF229" i="2"/>
  <c r="BJ229" i="2"/>
  <c r="BO229" i="2"/>
  <c r="BK229" i="2"/>
  <c r="BN229" i="2"/>
  <c r="S227" i="2"/>
  <c r="AD227" i="2" s="1"/>
  <c r="S228" i="2"/>
  <c r="AD228" i="2" s="1"/>
  <c r="BL229" i="2"/>
  <c r="AP394" i="6"/>
  <c r="W393" i="6"/>
  <c r="Y30" i="20" s="1"/>
  <c r="AP367" i="6"/>
  <c r="W365" i="6"/>
  <c r="Y2" i="20" s="1"/>
  <c r="W381" i="6"/>
  <c r="Y18" i="20" s="1"/>
  <c r="W382" i="6"/>
  <c r="Y19" i="20" s="1"/>
  <c r="BM242" i="2"/>
  <c r="BC242" i="2"/>
  <c r="P243" i="2" s="1"/>
  <c r="AA243" i="2" s="1"/>
  <c r="S243" i="2"/>
  <c r="AD243" i="2" s="1"/>
  <c r="BN242" i="2"/>
  <c r="BF242" i="2"/>
  <c r="BJ242" i="2"/>
  <c r="BK242" i="2"/>
  <c r="BO242" i="2"/>
  <c r="BL242" i="2"/>
  <c r="AP267" i="6"/>
  <c r="W249" i="6"/>
  <c r="Z14" i="8" s="1"/>
  <c r="S242" i="2"/>
  <c r="AD242" i="2" s="1"/>
  <c r="BJ234" i="2"/>
  <c r="BC234" i="2"/>
  <c r="R242" i="2" s="1"/>
  <c r="AC242" i="2" s="1"/>
  <c r="BL234" i="2"/>
  <c r="BF234" i="2"/>
  <c r="BO234" i="2"/>
  <c r="BN234" i="2"/>
  <c r="BK234" i="2"/>
  <c r="BM234" i="2"/>
  <c r="AS63" i="6"/>
  <c r="AQ63" i="6"/>
  <c r="BL282" i="2"/>
  <c r="BI282" i="2"/>
  <c r="BL278" i="2"/>
  <c r="BK278" i="2"/>
  <c r="BJ278" i="2"/>
  <c r="BK282" i="2"/>
  <c r="P288" i="2"/>
  <c r="AA288" i="2" s="1"/>
  <c r="N70" i="28" s="1"/>
  <c r="BJ282" i="2"/>
  <c r="BI278" i="2"/>
  <c r="BD270" i="2"/>
  <c r="BL270" i="2"/>
  <c r="BI270" i="2"/>
  <c r="BM270" i="2"/>
  <c r="BF266" i="2"/>
  <c r="BD266" i="2"/>
  <c r="BJ266" i="2"/>
  <c r="BJ270" i="2"/>
  <c r="BK270" i="2"/>
  <c r="BE266" i="2"/>
  <c r="BH266" i="2"/>
  <c r="BK266" i="2"/>
  <c r="BI266" i="2"/>
  <c r="BL266" i="2"/>
  <c r="BH270" i="2"/>
  <c r="BB64" i="2"/>
  <c r="BA64" i="2"/>
  <c r="AW57" i="2"/>
  <c r="BA57" i="2"/>
  <c r="AX57" i="2"/>
  <c r="AY57" i="2"/>
  <c r="AZ81" i="2"/>
  <c r="BB81" i="2"/>
  <c r="BA81" i="2"/>
  <c r="BC81" i="2"/>
  <c r="AS40" i="6"/>
  <c r="AQ40" i="6"/>
  <c r="BM218" i="2"/>
  <c r="BK218" i="2"/>
  <c r="BF218" i="2"/>
  <c r="BL218" i="2"/>
  <c r="BN218" i="2"/>
  <c r="BO218" i="2"/>
  <c r="BJ218" i="2"/>
  <c r="BN226" i="2"/>
  <c r="BO226" i="2"/>
  <c r="BP226" i="2"/>
  <c r="BQ226" i="2"/>
  <c r="BR226" i="2"/>
  <c r="S225" i="2"/>
  <c r="AD225" i="2" s="1"/>
  <c r="BC226" i="2"/>
  <c r="O225" i="2" s="1"/>
  <c r="BM226" i="2"/>
  <c r="BI226" i="2"/>
  <c r="AS211" i="6"/>
  <c r="AR211" i="6" s="1"/>
  <c r="AQ211" i="6"/>
  <c r="W209" i="6" s="1"/>
  <c r="AS49" i="6"/>
  <c r="AQ49" i="6"/>
  <c r="BM238" i="2"/>
  <c r="BL238" i="2"/>
  <c r="BJ238" i="2"/>
  <c r="BO238" i="2"/>
  <c r="BC238" i="2"/>
  <c r="R231" i="2" s="1"/>
  <c r="AC231" i="2" s="1"/>
  <c r="BF238" i="2"/>
  <c r="BK238" i="2"/>
  <c r="BN238" i="2"/>
  <c r="BM222" i="2"/>
  <c r="BI222" i="2"/>
  <c r="BR222" i="2"/>
  <c r="BQ222" i="2"/>
  <c r="BC222" i="2"/>
  <c r="P224" i="2" s="1"/>
  <c r="AA224" i="2" s="1"/>
  <c r="BO222" i="2"/>
  <c r="BP222" i="2"/>
  <c r="BN222" i="2"/>
  <c r="S224" i="2"/>
  <c r="AD224" i="2" s="1"/>
  <c r="S226" i="2"/>
  <c r="AD226" i="2" s="1"/>
  <c r="AS257" i="6"/>
  <c r="X272" i="6" s="1"/>
  <c r="AA37" i="8" s="1"/>
  <c r="AQ257" i="6"/>
  <c r="W272" i="6" s="1"/>
  <c r="Z37" i="8" s="1"/>
  <c r="BF247" i="2"/>
  <c r="BN247" i="2"/>
  <c r="S245" i="2"/>
  <c r="AD245" i="2" s="1"/>
  <c r="BO247" i="2"/>
  <c r="BK247" i="2"/>
  <c r="BL247" i="2"/>
  <c r="BJ247" i="2"/>
  <c r="BM247" i="2"/>
  <c r="BC247" i="2"/>
  <c r="R245" i="2" s="1"/>
  <c r="AC245" i="2" s="1"/>
  <c r="U24" i="10"/>
  <c r="U14" i="16"/>
  <c r="U14" i="9"/>
  <c r="U25" i="9"/>
  <c r="U13" i="10"/>
  <c r="U16" i="10"/>
  <c r="U24" i="9"/>
  <c r="U27" i="9"/>
  <c r="U13" i="16"/>
  <c r="U29" i="9"/>
  <c r="U12" i="9"/>
  <c r="U26" i="10"/>
  <c r="U3" i="9"/>
  <c r="U30" i="9"/>
  <c r="T2" i="19"/>
  <c r="U28" i="9"/>
  <c r="U14" i="10"/>
  <c r="U25" i="10"/>
  <c r="U21" i="9"/>
  <c r="U11" i="9"/>
  <c r="T2" i="14"/>
  <c r="U23" i="10"/>
  <c r="U10" i="10"/>
  <c r="U17" i="16"/>
  <c r="U9" i="16"/>
  <c r="U22" i="16"/>
  <c r="U9" i="10"/>
  <c r="U17" i="10"/>
  <c r="U7" i="16"/>
  <c r="U18" i="10"/>
  <c r="U15" i="16"/>
  <c r="U12" i="16"/>
  <c r="U15" i="10"/>
  <c r="U4" i="9"/>
  <c r="U2" i="16"/>
  <c r="U11" i="10"/>
  <c r="U6" i="10"/>
  <c r="U6" i="16"/>
  <c r="U22" i="10"/>
  <c r="U7" i="9"/>
  <c r="U19" i="10"/>
  <c r="U32" i="9"/>
  <c r="U9" i="9"/>
  <c r="U5" i="16"/>
  <c r="U20" i="16"/>
  <c r="U4" i="16"/>
  <c r="U21" i="16"/>
  <c r="U3" i="16"/>
  <c r="U10" i="9"/>
  <c r="U5" i="9"/>
  <c r="U18" i="16"/>
  <c r="U6" i="9"/>
  <c r="U33" i="9"/>
  <c r="U18" i="9"/>
  <c r="U17" i="9"/>
  <c r="U8" i="16"/>
  <c r="U20" i="9"/>
  <c r="U12" i="10"/>
  <c r="U19" i="9"/>
  <c r="U22" i="9"/>
  <c r="U2" i="20"/>
  <c r="U31" i="9"/>
  <c r="U19" i="16"/>
  <c r="U26" i="9"/>
  <c r="U8" i="10"/>
  <c r="U13" i="9"/>
  <c r="U16" i="9"/>
  <c r="U8" i="9"/>
  <c r="U20" i="10"/>
  <c r="U23" i="9"/>
  <c r="U21" i="10"/>
  <c r="U16" i="16"/>
  <c r="U2" i="9"/>
  <c r="U15" i="9"/>
  <c r="AJ177" i="6"/>
  <c r="AY185" i="2"/>
  <c r="BC185" i="2"/>
  <c r="BD185" i="2" s="1"/>
  <c r="BA185" i="2"/>
  <c r="BB185" i="2" s="1"/>
  <c r="J422" i="2" l="1"/>
  <c r="BI231" i="2"/>
  <c r="BI244" i="2"/>
  <c r="BI248" i="2"/>
  <c r="Z49" i="21"/>
  <c r="K265" i="2"/>
  <c r="O265" i="2"/>
  <c r="Q265" i="2"/>
  <c r="P265" i="2"/>
  <c r="R262" i="2"/>
  <c r="R265" i="2"/>
  <c r="R260" i="2"/>
  <c r="P262" i="2"/>
  <c r="I21" i="14"/>
  <c r="I55" i="12"/>
  <c r="K55" i="12" s="1"/>
  <c r="I6" i="12"/>
  <c r="J6" i="12" s="1"/>
  <c r="I17" i="12"/>
  <c r="K17" i="12" s="1"/>
  <c r="I11" i="12"/>
  <c r="J11" i="12" s="1"/>
  <c r="I56" i="12"/>
  <c r="K56" i="12" s="1"/>
  <c r="I15" i="12"/>
  <c r="K15" i="12" s="1"/>
  <c r="I32" i="12"/>
  <c r="K32" i="12" s="1"/>
  <c r="I26" i="12"/>
  <c r="J26" i="12" s="1"/>
  <c r="I9" i="12"/>
  <c r="K9" i="12" s="1"/>
  <c r="I5" i="12"/>
  <c r="J5" i="12" s="1"/>
  <c r="I10" i="12"/>
  <c r="J10" i="12" s="1"/>
  <c r="AI402" i="2"/>
  <c r="AL402" i="2"/>
  <c r="AF402" i="2"/>
  <c r="AN402" i="2"/>
  <c r="AG402" i="2"/>
  <c r="AK402" i="2"/>
  <c r="AO402" i="2"/>
  <c r="AH402" i="2"/>
  <c r="AM402" i="2"/>
  <c r="AJ402" i="2"/>
  <c r="S265" i="2"/>
  <c r="Q262" i="2"/>
  <c r="T265" i="2"/>
  <c r="K260" i="2"/>
  <c r="S260" i="2"/>
  <c r="Q260" i="2"/>
  <c r="P260" i="2"/>
  <c r="O260" i="2"/>
  <c r="T260" i="2"/>
  <c r="K264" i="2"/>
  <c r="P264" i="2"/>
  <c r="Q264" i="2"/>
  <c r="R264" i="2"/>
  <c r="S264" i="2"/>
  <c r="S262" i="2"/>
  <c r="T262" i="2"/>
  <c r="T264" i="2"/>
  <c r="K262" i="2"/>
  <c r="J366" i="2"/>
  <c r="AP323" i="6"/>
  <c r="W330" i="6"/>
  <c r="X24" i="14" s="1"/>
  <c r="AR257" i="6"/>
  <c r="BN275" i="2"/>
  <c r="BF275" i="2"/>
  <c r="Z225" i="2"/>
  <c r="AA266" i="2"/>
  <c r="N48" i="28" s="1"/>
  <c r="W231" i="6"/>
  <c r="Y24" i="10" s="1"/>
  <c r="AP57" i="6"/>
  <c r="W185" i="6"/>
  <c r="Z50" i="21" s="1"/>
  <c r="W66" i="6"/>
  <c r="Y46" i="12" s="1"/>
  <c r="AL193" i="2"/>
  <c r="W172" i="6"/>
  <c r="Z37" i="21" s="1"/>
  <c r="W174" i="6"/>
  <c r="Z39" i="21" s="1"/>
  <c r="W175" i="6"/>
  <c r="Z40" i="21" s="1"/>
  <c r="AO193" i="2"/>
  <c r="AN193" i="2"/>
  <c r="W171" i="6"/>
  <c r="Z36" i="21" s="1"/>
  <c r="Q226" i="2"/>
  <c r="AB226" i="2" s="1"/>
  <c r="Q224" i="2"/>
  <c r="AB224" i="2" s="1"/>
  <c r="AP32" i="6"/>
  <c r="AK193" i="2"/>
  <c r="AJ193" i="2"/>
  <c r="AM193" i="2"/>
  <c r="Q231" i="2"/>
  <c r="AB231" i="2" s="1"/>
  <c r="Q247" i="2"/>
  <c r="AB247" i="2" s="1"/>
  <c r="Q238" i="2"/>
  <c r="AB238" i="2" s="1"/>
  <c r="Q239" i="2"/>
  <c r="AB239" i="2" s="1"/>
  <c r="AU171" i="2"/>
  <c r="AJ191" i="2" s="1"/>
  <c r="K198" i="2"/>
  <c r="R243" i="2"/>
  <c r="AC243" i="2" s="1"/>
  <c r="BB171" i="2"/>
  <c r="AY171" i="2"/>
  <c r="AI148" i="2"/>
  <c r="AL148" i="2"/>
  <c r="AO148" i="2"/>
  <c r="AK148" i="2"/>
  <c r="AN148" i="2"/>
  <c r="AH148" i="2"/>
  <c r="AM148" i="2"/>
  <c r="AG148" i="2"/>
  <c r="AF148" i="2"/>
  <c r="AJ148" i="2"/>
  <c r="AZ65" i="2"/>
  <c r="AK81" i="2" s="1"/>
  <c r="W63" i="6"/>
  <c r="Y43" i="12" s="1"/>
  <c r="AF75" i="2"/>
  <c r="AG75" i="2"/>
  <c r="AH75" i="2"/>
  <c r="AI75" i="2"/>
  <c r="AN75" i="2"/>
  <c r="AM75" i="2"/>
  <c r="AL75" i="2"/>
  <c r="AJ75" i="2"/>
  <c r="AK75" i="2"/>
  <c r="AO73" i="2"/>
  <c r="AN73" i="2"/>
  <c r="AM73" i="2"/>
  <c r="AL73" i="2"/>
  <c r="AJ73" i="2"/>
  <c r="AI73" i="2"/>
  <c r="AH73" i="2"/>
  <c r="AG73" i="2"/>
  <c r="AF73" i="2"/>
  <c r="AK73" i="2"/>
  <c r="W72" i="6"/>
  <c r="Y52" i="12" s="1"/>
  <c r="O55" i="2"/>
  <c r="Z55" i="2" s="1"/>
  <c r="S55" i="2"/>
  <c r="AD55" i="2" s="1"/>
  <c r="R55" i="2"/>
  <c r="AC55" i="2" s="1"/>
  <c r="P55" i="2"/>
  <c r="AA55" i="2" s="1"/>
  <c r="J61" i="2"/>
  <c r="W62" i="6"/>
  <c r="Y42" i="12" s="1"/>
  <c r="AV65" i="2"/>
  <c r="AG81" i="2" s="1"/>
  <c r="AX65" i="2"/>
  <c r="AI81" i="2" s="1"/>
  <c r="BD65" i="2"/>
  <c r="AO81" i="2" s="1"/>
  <c r="AU65" i="2"/>
  <c r="AF81" i="2" s="1"/>
  <c r="AY65" i="2"/>
  <c r="AJ81" i="2" s="1"/>
  <c r="BA65" i="2"/>
  <c r="AL81" i="2" s="1"/>
  <c r="BB65" i="2"/>
  <c r="AM81" i="2" s="1"/>
  <c r="BC65" i="2"/>
  <c r="AN81" i="2" s="1"/>
  <c r="Z56" i="2"/>
  <c r="AD56" i="2"/>
  <c r="AB56" i="2"/>
  <c r="AC56" i="2"/>
  <c r="BC46" i="2"/>
  <c r="Q54" i="2"/>
  <c r="AB54" i="2" s="1"/>
  <c r="AN68" i="2"/>
  <c r="AJ68" i="2"/>
  <c r="AL68" i="2"/>
  <c r="AF68" i="2"/>
  <c r="AM68" i="2"/>
  <c r="AO68" i="2"/>
  <c r="AH68" i="2"/>
  <c r="AI68" i="2"/>
  <c r="AK68" i="2"/>
  <c r="AL83" i="2"/>
  <c r="AN83" i="2"/>
  <c r="AO83" i="2"/>
  <c r="AI83" i="2"/>
  <c r="AJ83" i="2"/>
  <c r="AF83" i="2"/>
  <c r="AM83" i="2"/>
  <c r="AK83" i="2"/>
  <c r="AO53" i="2"/>
  <c r="AM53" i="2"/>
  <c r="AI53" i="2"/>
  <c r="AJ53" i="2"/>
  <c r="AL53" i="2"/>
  <c r="AN53" i="2"/>
  <c r="AH53" i="2"/>
  <c r="AK53" i="2"/>
  <c r="AI63" i="2"/>
  <c r="AJ63" i="2"/>
  <c r="AO63" i="2"/>
  <c r="AK63" i="2"/>
  <c r="AL63" i="2"/>
  <c r="AF63" i="2"/>
  <c r="AM63" i="2"/>
  <c r="AN63" i="2"/>
  <c r="AH63" i="2"/>
  <c r="AI67" i="2"/>
  <c r="AK67" i="2"/>
  <c r="AO67" i="2"/>
  <c r="AH67" i="2"/>
  <c r="AL67" i="2"/>
  <c r="AF67" i="2"/>
  <c r="AM67" i="2"/>
  <c r="AJ67" i="2"/>
  <c r="AN67" i="2"/>
  <c r="AM79" i="2"/>
  <c r="AL79" i="2"/>
  <c r="AF79" i="2"/>
  <c r="AK79" i="2"/>
  <c r="AO79" i="2"/>
  <c r="AN79" i="2"/>
  <c r="AJ79" i="2"/>
  <c r="AI79" i="2"/>
  <c r="AG79" i="2"/>
  <c r="AK80" i="2"/>
  <c r="AN80" i="2"/>
  <c r="AJ80" i="2"/>
  <c r="AO80" i="2"/>
  <c r="AL80" i="2"/>
  <c r="AF80" i="2"/>
  <c r="AG80" i="2"/>
  <c r="AI80" i="2"/>
  <c r="AM80" i="2"/>
  <c r="AO38" i="2"/>
  <c r="AF38" i="2"/>
  <c r="AM38" i="2"/>
  <c r="AL38" i="2"/>
  <c r="AN38" i="2"/>
  <c r="AK38" i="2"/>
  <c r="AJ38" i="2"/>
  <c r="AI38" i="2"/>
  <c r="AO57" i="2"/>
  <c r="AH57" i="2"/>
  <c r="AN57" i="2"/>
  <c r="AI57" i="2"/>
  <c r="AK57" i="2"/>
  <c r="AM57" i="2"/>
  <c r="AL57" i="2"/>
  <c r="AJ57" i="2"/>
  <c r="AH84" i="2"/>
  <c r="AO84" i="2"/>
  <c r="AM84" i="2"/>
  <c r="AI84" i="2"/>
  <c r="AK84" i="2"/>
  <c r="AL84" i="2"/>
  <c r="AN84" i="2"/>
  <c r="AF84" i="2"/>
  <c r="AJ84" i="2"/>
  <c r="AM85" i="2"/>
  <c r="AF85" i="2"/>
  <c r="AO85" i="2"/>
  <c r="AN85" i="2"/>
  <c r="AI85" i="2"/>
  <c r="AJ85" i="2"/>
  <c r="AK85" i="2"/>
  <c r="AL85" i="2"/>
  <c r="AI78" i="2"/>
  <c r="AO78" i="2"/>
  <c r="AL78" i="2"/>
  <c r="AM78" i="2"/>
  <c r="AF78" i="2"/>
  <c r="AN78" i="2"/>
  <c r="AJ78" i="2"/>
  <c r="AG78" i="2"/>
  <c r="AK78" i="2"/>
  <c r="AF69" i="2"/>
  <c r="AK69" i="2"/>
  <c r="AN69" i="2"/>
  <c r="AM69" i="2"/>
  <c r="AI69" i="2"/>
  <c r="AH69" i="2"/>
  <c r="AL69" i="2"/>
  <c r="AJ69" i="2"/>
  <c r="AO69" i="2"/>
  <c r="AI72" i="2"/>
  <c r="AH72" i="2"/>
  <c r="AM72" i="2"/>
  <c r="AN72" i="2"/>
  <c r="AJ72" i="2"/>
  <c r="AK72" i="2"/>
  <c r="AL72" i="2"/>
  <c r="AF72" i="2"/>
  <c r="AO72" i="2"/>
  <c r="AN77" i="2"/>
  <c r="AL77" i="2"/>
  <c r="AK77" i="2"/>
  <c r="AJ77" i="2"/>
  <c r="AO77" i="2"/>
  <c r="AI77" i="2"/>
  <c r="AM77" i="2"/>
  <c r="AF77" i="2"/>
  <c r="Y132" i="2"/>
  <c r="J132" i="2" s="1"/>
  <c r="Y136" i="2"/>
  <c r="Y125" i="2"/>
  <c r="Y126" i="2"/>
  <c r="Y140" i="2"/>
  <c r="Y144" i="2"/>
  <c r="AF116" i="2"/>
  <c r="Y129" i="2"/>
  <c r="Y130" i="2"/>
  <c r="Y123" i="2"/>
  <c r="Y119" i="2"/>
  <c r="Y133" i="2"/>
  <c r="Y134" i="2"/>
  <c r="Y131" i="2"/>
  <c r="Y127" i="2"/>
  <c r="Y137" i="2"/>
  <c r="J137" i="2" s="1"/>
  <c r="Y138" i="2"/>
  <c r="Y139" i="2"/>
  <c r="Y135" i="2"/>
  <c r="Y141" i="2"/>
  <c r="Y142" i="2"/>
  <c r="Y147" i="2"/>
  <c r="Y143" i="2"/>
  <c r="Y145" i="2"/>
  <c r="J145" i="2" s="1"/>
  <c r="Y120" i="2"/>
  <c r="Y146" i="2"/>
  <c r="Y117" i="2"/>
  <c r="Y118" i="2"/>
  <c r="Y124" i="2"/>
  <c r="Y128" i="2"/>
  <c r="Y121" i="2"/>
  <c r="Y122" i="2"/>
  <c r="AI82" i="2"/>
  <c r="AY72" i="2"/>
  <c r="AJ82" i="2" s="1"/>
  <c r="AW72" i="2"/>
  <c r="AH82" i="2" s="1"/>
  <c r="AZ72" i="2"/>
  <c r="AK82" i="2" s="1"/>
  <c r="AU72" i="2"/>
  <c r="AF82" i="2" s="1"/>
  <c r="BB72" i="2"/>
  <c r="AM82" i="2" s="1"/>
  <c r="BD72" i="2"/>
  <c r="AO82" i="2" s="1"/>
  <c r="AV72" i="2"/>
  <c r="AG82" i="2" s="1"/>
  <c r="BC72" i="2"/>
  <c r="AN82" i="2" s="1"/>
  <c r="BA72" i="2"/>
  <c r="AL82" i="2" s="1"/>
  <c r="AJ64" i="2"/>
  <c r="AL64" i="2"/>
  <c r="AM64" i="2"/>
  <c r="AF64" i="2"/>
  <c r="AI64" i="2"/>
  <c r="AK64" i="2"/>
  <c r="AH64" i="2"/>
  <c r="AN64" i="2"/>
  <c r="AO64" i="2"/>
  <c r="AF70" i="2"/>
  <c r="AO70" i="2"/>
  <c r="AN70" i="2"/>
  <c r="AL70" i="2"/>
  <c r="AJ70" i="2"/>
  <c r="AI70" i="2"/>
  <c r="AH70" i="2"/>
  <c r="AK70" i="2"/>
  <c r="AM70" i="2"/>
  <c r="AI74" i="2"/>
  <c r="AJ74" i="2"/>
  <c r="AL74" i="2"/>
  <c r="AH74" i="2"/>
  <c r="AK74" i="2"/>
  <c r="AF74" i="2"/>
  <c r="AN74" i="2"/>
  <c r="AO74" i="2"/>
  <c r="AM74" i="2"/>
  <c r="AP42" i="6"/>
  <c r="I12" i="12"/>
  <c r="I16" i="12"/>
  <c r="I25" i="12"/>
  <c r="I18" i="12"/>
  <c r="I7" i="12"/>
  <c r="I3" i="12"/>
  <c r="I14" i="12"/>
  <c r="K2" i="12"/>
  <c r="J2" i="12"/>
  <c r="I13" i="12"/>
  <c r="I8" i="12"/>
  <c r="Q243" i="2"/>
  <c r="AB243" i="2" s="1"/>
  <c r="Q245" i="2"/>
  <c r="AB245" i="2" s="1"/>
  <c r="W167" i="6"/>
  <c r="Z32" i="21" s="1"/>
  <c r="AU64" i="6"/>
  <c r="AU65" i="6" s="1"/>
  <c r="AS64" i="6"/>
  <c r="AS65" i="6" s="1"/>
  <c r="AV64" i="6"/>
  <c r="AV65" i="6" s="1"/>
  <c r="AP151" i="6"/>
  <c r="AP28" i="6"/>
  <c r="AP228" i="6"/>
  <c r="S54" i="2"/>
  <c r="AD54" i="2" s="1"/>
  <c r="AP166" i="6"/>
  <c r="W413" i="6"/>
  <c r="Y50" i="20" s="1"/>
  <c r="AP30" i="6"/>
  <c r="W409" i="6"/>
  <c r="Y46" i="20" s="1"/>
  <c r="AP146" i="6"/>
  <c r="W69" i="6"/>
  <c r="Y49" i="12" s="1"/>
  <c r="AZ46" i="2"/>
  <c r="R54" i="2"/>
  <c r="AC54" i="2" s="1"/>
  <c r="AY46" i="2"/>
  <c r="BA46" i="2"/>
  <c r="P54" i="2"/>
  <c r="AA54" i="2" s="1"/>
  <c r="BB46" i="2"/>
  <c r="O54" i="2"/>
  <c r="Z54" i="2" s="1"/>
  <c r="R226" i="2"/>
  <c r="AC226" i="2" s="1"/>
  <c r="S238" i="2"/>
  <c r="AD238" i="2" s="1"/>
  <c r="R247" i="2"/>
  <c r="AC247" i="2" s="1"/>
  <c r="R238" i="2"/>
  <c r="AC238" i="2" s="1"/>
  <c r="R224" i="2"/>
  <c r="AC224" i="2" s="1"/>
  <c r="R227" i="2"/>
  <c r="AC227" i="2" s="1"/>
  <c r="R228" i="2"/>
  <c r="AC228" i="2" s="1"/>
  <c r="R248" i="2"/>
  <c r="AC248" i="2" s="1"/>
  <c r="R239" i="2"/>
  <c r="AC239" i="2" s="1"/>
  <c r="R225" i="2"/>
  <c r="AC225" i="2" s="1"/>
  <c r="O245" i="2"/>
  <c r="Z245" i="2" s="1"/>
  <c r="P245" i="2"/>
  <c r="AA245" i="2" s="1"/>
  <c r="W64" i="6"/>
  <c r="Y44" i="12" s="1"/>
  <c r="AP142" i="6"/>
  <c r="AP155" i="6"/>
  <c r="S231" i="2"/>
  <c r="AD231" i="2" s="1"/>
  <c r="S239" i="2"/>
  <c r="AD239" i="2" s="1"/>
  <c r="S247" i="2"/>
  <c r="AD247" i="2" s="1"/>
  <c r="AX58" i="2"/>
  <c r="AK76" i="2" s="1"/>
  <c r="BA58" i="2"/>
  <c r="AN76" i="2" s="1"/>
  <c r="I21" i="17"/>
  <c r="P228" i="2"/>
  <c r="AA228" i="2" s="1"/>
  <c r="AA227" i="2"/>
  <c r="AZ58" i="2"/>
  <c r="AM76" i="2" s="1"/>
  <c r="BB82" i="2"/>
  <c r="AM87" i="2" s="1"/>
  <c r="AX82" i="2"/>
  <c r="AI87" i="2" s="1"/>
  <c r="AZ82" i="2"/>
  <c r="AK87" i="2" s="1"/>
  <c r="AY82" i="2"/>
  <c r="AJ87" i="2" s="1"/>
  <c r="AU82" i="2"/>
  <c r="AF87" i="2" s="1"/>
  <c r="AO289" i="2"/>
  <c r="P248" i="2"/>
  <c r="AA248" i="2" s="1"/>
  <c r="Q228" i="2"/>
  <c r="AB228" i="2" s="1"/>
  <c r="Q248" i="2"/>
  <c r="AB248" i="2" s="1"/>
  <c r="Q227" i="2"/>
  <c r="AB227" i="2" s="1"/>
  <c r="AY58" i="2"/>
  <c r="AL76" i="2" s="1"/>
  <c r="AU58" i="2"/>
  <c r="AF76" i="2" s="1"/>
  <c r="AW58" i="2"/>
  <c r="AJ76" i="2" s="1"/>
  <c r="AP63" i="6"/>
  <c r="W73" i="6"/>
  <c r="Y53" i="12" s="1"/>
  <c r="BB58" i="2"/>
  <c r="AO76" i="2" s="1"/>
  <c r="AR63" i="6"/>
  <c r="X73" i="6"/>
  <c r="Z53" i="12" s="1"/>
  <c r="P242" i="2"/>
  <c r="AA242" i="2" s="1"/>
  <c r="Q242" i="2"/>
  <c r="AB242" i="2" s="1"/>
  <c r="P226" i="2"/>
  <c r="AA226" i="2" s="1"/>
  <c r="BC82" i="2"/>
  <c r="AN87" i="2" s="1"/>
  <c r="Q225" i="2"/>
  <c r="AB225" i="2" s="1"/>
  <c r="BA82" i="2"/>
  <c r="AL87" i="2" s="1"/>
  <c r="P238" i="2"/>
  <c r="AA238" i="2" s="1"/>
  <c r="P231" i="2"/>
  <c r="AA231" i="2" s="1"/>
  <c r="P239" i="2"/>
  <c r="AA239" i="2" s="1"/>
  <c r="P247" i="2"/>
  <c r="AA247" i="2" s="1"/>
  <c r="P225" i="2"/>
  <c r="AA225" i="2" s="1"/>
  <c r="AP257" i="6"/>
  <c r="X70" i="6"/>
  <c r="Z50" i="12" s="1"/>
  <c r="AR40" i="6"/>
  <c r="O238" i="2"/>
  <c r="Z238" i="2" s="1"/>
  <c r="O239" i="2"/>
  <c r="Z239" i="2" s="1"/>
  <c r="O247" i="2"/>
  <c r="Z247" i="2" s="1"/>
  <c r="O231" i="2"/>
  <c r="Z231" i="2" s="1"/>
  <c r="AP49" i="6"/>
  <c r="W59" i="6"/>
  <c r="Y39" i="12" s="1"/>
  <c r="O224" i="2"/>
  <c r="Z224" i="2" s="1"/>
  <c r="O226" i="2"/>
  <c r="Z226" i="2" s="1"/>
  <c r="AR49" i="6"/>
  <c r="X59" i="6"/>
  <c r="Z39" i="12" s="1"/>
  <c r="AP40" i="6"/>
  <c r="W70" i="6"/>
  <c r="Y50" i="12" s="1"/>
  <c r="W210" i="6"/>
  <c r="AP211" i="6"/>
  <c r="W211" i="6"/>
  <c r="W18" i="6" s="1"/>
  <c r="W212" i="6"/>
  <c r="AZ185" i="2"/>
  <c r="M198" i="2" s="1"/>
  <c r="T198" i="2"/>
  <c r="S198" i="2"/>
  <c r="J17" i="12" l="1"/>
  <c r="J55" i="12"/>
  <c r="K10" i="12"/>
  <c r="K6" i="12"/>
  <c r="O198" i="2"/>
  <c r="J9" i="12"/>
  <c r="J32" i="12"/>
  <c r="J56" i="12"/>
  <c r="I31" i="9"/>
  <c r="J31" i="9" s="1"/>
  <c r="J15" i="12"/>
  <c r="K11" i="12"/>
  <c r="H17" i="19"/>
  <c r="K26" i="12"/>
  <c r="K5" i="12"/>
  <c r="I18" i="9"/>
  <c r="K18" i="9" s="1"/>
  <c r="J402" i="2"/>
  <c r="L198" i="2"/>
  <c r="W198" i="2" s="1"/>
  <c r="AT151" i="6"/>
  <c r="X168" i="6" s="1"/>
  <c r="AA33" i="21" s="1"/>
  <c r="AT146" i="6"/>
  <c r="X172" i="6" s="1"/>
  <c r="AA37" i="21" s="1"/>
  <c r="O192" i="2"/>
  <c r="Z192" i="2" s="1"/>
  <c r="AJ192" i="2"/>
  <c r="O191" i="2"/>
  <c r="Z191" i="2" s="1"/>
  <c r="R198" i="2"/>
  <c r="AC198" i="2" s="1"/>
  <c r="N192" i="2"/>
  <c r="P192" i="2"/>
  <c r="AA192" i="2" s="1"/>
  <c r="Q192" i="2"/>
  <c r="AB192" i="2" s="1"/>
  <c r="R192" i="2"/>
  <c r="AC192" i="2" s="1"/>
  <c r="L192" i="2"/>
  <c r="W192" i="2" s="1"/>
  <c r="S192" i="2"/>
  <c r="AD192" i="2" s="1"/>
  <c r="T192" i="2"/>
  <c r="AE192" i="2" s="1"/>
  <c r="P191" i="2"/>
  <c r="AA191" i="2" s="1"/>
  <c r="Q191" i="2"/>
  <c r="AB191" i="2" s="1"/>
  <c r="R191" i="2"/>
  <c r="AC191" i="2" s="1"/>
  <c r="K192" i="2"/>
  <c r="V192" i="2" s="1"/>
  <c r="S191" i="2"/>
  <c r="AD191" i="2" s="1"/>
  <c r="T191" i="2"/>
  <c r="AE191" i="2" s="1"/>
  <c r="M192" i="2"/>
  <c r="X192" i="2" s="1"/>
  <c r="L191" i="2"/>
  <c r="W191" i="2" s="1"/>
  <c r="M191" i="2"/>
  <c r="X191" i="2" s="1"/>
  <c r="N191" i="2"/>
  <c r="N24" i="2" s="1"/>
  <c r="I53" i="34" s="1"/>
  <c r="K191" i="2"/>
  <c r="V191" i="2" s="1"/>
  <c r="AI128" i="2"/>
  <c r="AK128" i="2"/>
  <c r="AH128" i="2"/>
  <c r="AN128" i="2"/>
  <c r="AG128" i="2"/>
  <c r="AJ128" i="2"/>
  <c r="AF128" i="2"/>
  <c r="AL128" i="2"/>
  <c r="AO128" i="2"/>
  <c r="AM128" i="2"/>
  <c r="AI141" i="2"/>
  <c r="AO141" i="2"/>
  <c r="AL141" i="2"/>
  <c r="AM141" i="2"/>
  <c r="AF141" i="2"/>
  <c r="AK141" i="2"/>
  <c r="AJ141" i="2"/>
  <c r="AN141" i="2"/>
  <c r="AG141" i="2"/>
  <c r="AH141" i="2"/>
  <c r="AK135" i="2"/>
  <c r="AJ135" i="2"/>
  <c r="AI135" i="2"/>
  <c r="AN135" i="2"/>
  <c r="AH135" i="2"/>
  <c r="AM135" i="2"/>
  <c r="AO135" i="2"/>
  <c r="AL135" i="2"/>
  <c r="AI138" i="2"/>
  <c r="AL138" i="2"/>
  <c r="AH138" i="2"/>
  <c r="AJ138" i="2"/>
  <c r="AN138" i="2"/>
  <c r="AM138" i="2"/>
  <c r="AG138" i="2"/>
  <c r="AO138" i="2"/>
  <c r="AK138" i="2"/>
  <c r="AF138" i="2"/>
  <c r="AI134" i="2"/>
  <c r="AN134" i="2"/>
  <c r="AL134" i="2"/>
  <c r="AO134" i="2"/>
  <c r="AF134" i="2"/>
  <c r="AK134" i="2"/>
  <c r="AJ134" i="2"/>
  <c r="AH134" i="2"/>
  <c r="AM134" i="2"/>
  <c r="AG134" i="2"/>
  <c r="AI133" i="2"/>
  <c r="AG133" i="2"/>
  <c r="AH133" i="2"/>
  <c r="AK133" i="2"/>
  <c r="AL133" i="2"/>
  <c r="AJ133" i="2"/>
  <c r="AO133" i="2"/>
  <c r="AF133" i="2"/>
  <c r="AM133" i="2"/>
  <c r="AN133" i="2"/>
  <c r="AI119" i="2"/>
  <c r="AN119" i="2"/>
  <c r="AF119" i="2"/>
  <c r="AH119" i="2"/>
  <c r="AL119" i="2"/>
  <c r="AG119" i="2"/>
  <c r="AO119" i="2"/>
  <c r="AK119" i="2"/>
  <c r="AJ119" i="2"/>
  <c r="AM119" i="2"/>
  <c r="AI127" i="2"/>
  <c r="AJ127" i="2"/>
  <c r="AK127" i="2"/>
  <c r="AN127" i="2"/>
  <c r="AO127" i="2"/>
  <c r="AF127" i="2"/>
  <c r="AG127" i="2"/>
  <c r="AH127" i="2"/>
  <c r="AM127" i="2"/>
  <c r="AL127" i="2"/>
  <c r="AI146" i="2"/>
  <c r="AL146" i="2"/>
  <c r="AF146" i="2"/>
  <c r="AH146" i="2"/>
  <c r="AN146" i="2"/>
  <c r="AJ146" i="2"/>
  <c r="AK146" i="2"/>
  <c r="AO146" i="2"/>
  <c r="AG146" i="2"/>
  <c r="AM146" i="2"/>
  <c r="AI123" i="2"/>
  <c r="AF123" i="2"/>
  <c r="AK123" i="2"/>
  <c r="AG123" i="2"/>
  <c r="AH123" i="2"/>
  <c r="AL123" i="2"/>
  <c r="AO123" i="2"/>
  <c r="AJ123" i="2"/>
  <c r="AM123" i="2"/>
  <c r="AN123" i="2"/>
  <c r="AI139" i="2"/>
  <c r="AK139" i="2"/>
  <c r="AL139" i="2"/>
  <c r="AF139" i="2"/>
  <c r="AM139" i="2"/>
  <c r="AG139" i="2"/>
  <c r="AH139" i="2"/>
  <c r="AJ139" i="2"/>
  <c r="AN139" i="2"/>
  <c r="AO139" i="2"/>
  <c r="AI121" i="2"/>
  <c r="AM121" i="2"/>
  <c r="AF121" i="2"/>
  <c r="AJ121" i="2"/>
  <c r="AN121" i="2"/>
  <c r="AG121" i="2"/>
  <c r="AH121" i="2"/>
  <c r="AK121" i="2"/>
  <c r="AL121" i="2"/>
  <c r="AO121" i="2"/>
  <c r="AK131" i="2"/>
  <c r="AI131" i="2"/>
  <c r="AJ131" i="2"/>
  <c r="AL131" i="2"/>
  <c r="AM131" i="2"/>
  <c r="AN131" i="2"/>
  <c r="AO131" i="2"/>
  <c r="AH131" i="2"/>
  <c r="AI120" i="2"/>
  <c r="AO120" i="2"/>
  <c r="AM120" i="2"/>
  <c r="AK120" i="2"/>
  <c r="AH120" i="2"/>
  <c r="AJ120" i="2"/>
  <c r="AN120" i="2"/>
  <c r="AG120" i="2"/>
  <c r="AL120" i="2"/>
  <c r="AF120" i="2"/>
  <c r="AI130" i="2"/>
  <c r="AL130" i="2"/>
  <c r="AF130" i="2"/>
  <c r="AN130" i="2"/>
  <c r="AG130" i="2"/>
  <c r="AH130" i="2"/>
  <c r="AK130" i="2"/>
  <c r="AM130" i="2"/>
  <c r="AJ130" i="2"/>
  <c r="AO130" i="2"/>
  <c r="AI126" i="2"/>
  <c r="AJ126" i="2"/>
  <c r="AH126" i="2"/>
  <c r="AK126" i="2"/>
  <c r="AL126" i="2"/>
  <c r="AN126" i="2"/>
  <c r="AO126" i="2"/>
  <c r="AF126" i="2"/>
  <c r="AG126" i="2"/>
  <c r="AM126" i="2"/>
  <c r="AI129" i="2"/>
  <c r="AN129" i="2"/>
  <c r="AJ129" i="2"/>
  <c r="AG129" i="2"/>
  <c r="AH129" i="2"/>
  <c r="AK129" i="2"/>
  <c r="AO129" i="2"/>
  <c r="AL129" i="2"/>
  <c r="AF129" i="2"/>
  <c r="AM129" i="2"/>
  <c r="AI140" i="2"/>
  <c r="AJ140" i="2"/>
  <c r="AN140" i="2"/>
  <c r="AK140" i="2"/>
  <c r="AL140" i="2"/>
  <c r="AM140" i="2"/>
  <c r="AO140" i="2"/>
  <c r="AF140" i="2"/>
  <c r="AG140" i="2"/>
  <c r="AH140" i="2"/>
  <c r="AI125" i="2"/>
  <c r="AH125" i="2"/>
  <c r="AN125" i="2"/>
  <c r="AF125" i="2"/>
  <c r="AJ125" i="2"/>
  <c r="AO125" i="2"/>
  <c r="AK125" i="2"/>
  <c r="AM125" i="2"/>
  <c r="AL125" i="2"/>
  <c r="AG125" i="2"/>
  <c r="AI122" i="2"/>
  <c r="AK122" i="2"/>
  <c r="AH122" i="2"/>
  <c r="AN122" i="2"/>
  <c r="AO122" i="2"/>
  <c r="AG122" i="2"/>
  <c r="AL122" i="2"/>
  <c r="AF122" i="2"/>
  <c r="AJ122" i="2"/>
  <c r="AM122" i="2"/>
  <c r="AI142" i="2"/>
  <c r="AK142" i="2"/>
  <c r="AL142" i="2"/>
  <c r="AO142" i="2"/>
  <c r="AF142" i="2"/>
  <c r="AM142" i="2"/>
  <c r="AN142" i="2"/>
  <c r="AH142" i="2"/>
  <c r="AJ142" i="2"/>
  <c r="AG142" i="2"/>
  <c r="AI136" i="2"/>
  <c r="AN136" i="2"/>
  <c r="AL136" i="2"/>
  <c r="AK136" i="2"/>
  <c r="AH136" i="2"/>
  <c r="AF136" i="2"/>
  <c r="AG136" i="2"/>
  <c r="AO136" i="2"/>
  <c r="AJ136" i="2"/>
  <c r="AM136" i="2"/>
  <c r="AI124" i="2"/>
  <c r="AO124" i="2"/>
  <c r="AK124" i="2"/>
  <c r="AF124" i="2"/>
  <c r="AJ124" i="2"/>
  <c r="AL124" i="2"/>
  <c r="AN124" i="2"/>
  <c r="AM124" i="2"/>
  <c r="AH124" i="2"/>
  <c r="AG124" i="2"/>
  <c r="AI143" i="2"/>
  <c r="AF143" i="2"/>
  <c r="AN143" i="2"/>
  <c r="AK143" i="2"/>
  <c r="AJ143" i="2"/>
  <c r="AL143" i="2"/>
  <c r="AG143" i="2"/>
  <c r="AH143" i="2"/>
  <c r="AM143" i="2"/>
  <c r="AO143" i="2"/>
  <c r="AI147" i="2"/>
  <c r="AL147" i="2"/>
  <c r="AN147" i="2"/>
  <c r="AM147" i="2"/>
  <c r="AO147" i="2"/>
  <c r="AG147" i="2"/>
  <c r="AF147" i="2"/>
  <c r="AH147" i="2"/>
  <c r="AJ147" i="2"/>
  <c r="AK147" i="2"/>
  <c r="AI144" i="2"/>
  <c r="AN144" i="2"/>
  <c r="AL144" i="2"/>
  <c r="AO144" i="2"/>
  <c r="AF144" i="2"/>
  <c r="AG144" i="2"/>
  <c r="AH144" i="2"/>
  <c r="AK144" i="2"/>
  <c r="AJ144" i="2"/>
  <c r="AM144" i="2"/>
  <c r="J148" i="2"/>
  <c r="I34" i="9" s="1"/>
  <c r="AF56" i="2"/>
  <c r="AH56" i="2"/>
  <c r="AK56" i="2"/>
  <c r="AJ56" i="2"/>
  <c r="AM56" i="2"/>
  <c r="AI56" i="2"/>
  <c r="AO56" i="2"/>
  <c r="AL56" i="2"/>
  <c r="I27" i="12"/>
  <c r="J12" i="12"/>
  <c r="K12" i="12"/>
  <c r="J78" i="2"/>
  <c r="J8" i="12"/>
  <c r="K8" i="12"/>
  <c r="J14" i="12"/>
  <c r="K14" i="12"/>
  <c r="K3" i="12"/>
  <c r="J3" i="12"/>
  <c r="J7" i="12"/>
  <c r="K7" i="12"/>
  <c r="J18" i="12"/>
  <c r="K18" i="12"/>
  <c r="J13" i="12"/>
  <c r="K13" i="12"/>
  <c r="J16" i="12"/>
  <c r="K16" i="12"/>
  <c r="J25" i="12"/>
  <c r="K25" i="12"/>
  <c r="AN56" i="2"/>
  <c r="J58" i="2"/>
  <c r="J62" i="2"/>
  <c r="J71" i="2"/>
  <c r="J88" i="2"/>
  <c r="J86" i="2"/>
  <c r="J65" i="2"/>
  <c r="J53" i="2"/>
  <c r="I23" i="9"/>
  <c r="J23" i="9" s="1"/>
  <c r="J67" i="2"/>
  <c r="J38" i="2"/>
  <c r="J77" i="2"/>
  <c r="J63" i="2"/>
  <c r="AL118" i="2"/>
  <c r="AH118" i="2"/>
  <c r="AG118" i="2"/>
  <c r="AF118" i="2"/>
  <c r="AK118" i="2"/>
  <c r="AI118" i="2"/>
  <c r="AO118" i="2"/>
  <c r="AJ118" i="2"/>
  <c r="AN118" i="2"/>
  <c r="AM118" i="2"/>
  <c r="AF117" i="2"/>
  <c r="AK117" i="2"/>
  <c r="AN117" i="2"/>
  <c r="AG117" i="2"/>
  <c r="AM117" i="2"/>
  <c r="AI117" i="2"/>
  <c r="AJ117" i="2"/>
  <c r="AL117" i="2"/>
  <c r="AH117" i="2"/>
  <c r="AO117" i="2"/>
  <c r="J80" i="2"/>
  <c r="J72" i="2"/>
  <c r="J70" i="2"/>
  <c r="J75" i="2"/>
  <c r="J57" i="2"/>
  <c r="J79" i="2"/>
  <c r="J64" i="2"/>
  <c r="J83" i="2"/>
  <c r="J85" i="2"/>
  <c r="AM116" i="2"/>
  <c r="AL116" i="2"/>
  <c r="AH116" i="2"/>
  <c r="AG116" i="2"/>
  <c r="AO116" i="2"/>
  <c r="AJ116" i="2"/>
  <c r="AI116" i="2"/>
  <c r="AK116" i="2"/>
  <c r="AN116" i="2"/>
  <c r="J69" i="2"/>
  <c r="J82" i="2"/>
  <c r="J73" i="2"/>
  <c r="J68" i="2"/>
  <c r="J74" i="2"/>
  <c r="Y228" i="2"/>
  <c r="Y230" i="2"/>
  <c r="Y240" i="2"/>
  <c r="Y242" i="2"/>
  <c r="Y225" i="2"/>
  <c r="Y224" i="2"/>
  <c r="Y247" i="2"/>
  <c r="Y227" i="2"/>
  <c r="Y244" i="2"/>
  <c r="Y246" i="2"/>
  <c r="Y233" i="2"/>
  <c r="Y238" i="2"/>
  <c r="Y239" i="2"/>
  <c r="Y241" i="2"/>
  <c r="Y237" i="2"/>
  <c r="Y229" i="2"/>
  <c r="Y234" i="2"/>
  <c r="Y232" i="2"/>
  <c r="Y235" i="2"/>
  <c r="Y226" i="2"/>
  <c r="Y248" i="2"/>
  <c r="Y245" i="2"/>
  <c r="Y243" i="2"/>
  <c r="Y231" i="2"/>
  <c r="Y236" i="2"/>
  <c r="BN223" i="2"/>
  <c r="AK224" i="2" s="1"/>
  <c r="BL244" i="2"/>
  <c r="AL243" i="2" s="1"/>
  <c r="BL248" i="2"/>
  <c r="AL245" i="2" s="1"/>
  <c r="BI238" i="2"/>
  <c r="BK239" i="2" s="1"/>
  <c r="AK231" i="2" s="1"/>
  <c r="BO227" i="2"/>
  <c r="AL225" i="2" s="1"/>
  <c r="BL235" i="2"/>
  <c r="AL242" i="2" s="1"/>
  <c r="J84" i="2"/>
  <c r="AZ65" i="6"/>
  <c r="AY65" i="6" s="1"/>
  <c r="BB47" i="2"/>
  <c r="BA47" i="2"/>
  <c r="AZ47" i="2"/>
  <c r="BC47" i="2"/>
  <c r="BD47" i="2"/>
  <c r="AU47" i="2"/>
  <c r="AY47" i="2"/>
  <c r="T24" i="2"/>
  <c r="O53" i="34" s="1"/>
  <c r="J81" i="2"/>
  <c r="J76" i="2"/>
  <c r="J87" i="2"/>
  <c r="Y4" i="10"/>
  <c r="Y2" i="10"/>
  <c r="Y3" i="10"/>
  <c r="Y5" i="10"/>
  <c r="AO288" i="2"/>
  <c r="AD198" i="2"/>
  <c r="P198" i="2"/>
  <c r="Q198" i="2"/>
  <c r="R24" i="2" l="1"/>
  <c r="M53" i="34" s="1"/>
  <c r="J18" i="9"/>
  <c r="K31" i="9"/>
  <c r="I54" i="12"/>
  <c r="J54" i="12" s="1"/>
  <c r="J17" i="19"/>
  <c r="I17" i="19"/>
  <c r="I25" i="20"/>
  <c r="J25" i="20" s="1"/>
  <c r="I19" i="12"/>
  <c r="K19" i="12" s="1"/>
  <c r="I28" i="12"/>
  <c r="J28" i="12" s="1"/>
  <c r="I53" i="12"/>
  <c r="K53" i="12" s="1"/>
  <c r="I52" i="12"/>
  <c r="J52" i="12" s="1"/>
  <c r="AS151" i="6"/>
  <c r="AS146" i="6"/>
  <c r="AO191" i="2"/>
  <c r="AO192" i="2"/>
  <c r="AM191" i="2"/>
  <c r="AL191" i="2"/>
  <c r="AM192" i="2"/>
  <c r="AK192" i="2"/>
  <c r="AN191" i="2"/>
  <c r="AK191" i="2"/>
  <c r="AL192" i="2"/>
  <c r="AC24" i="2"/>
  <c r="M54" i="34" s="1"/>
  <c r="AN192" i="2"/>
  <c r="S24" i="2"/>
  <c r="N53" i="34" s="1"/>
  <c r="AD24" i="2"/>
  <c r="N54" i="34" s="1"/>
  <c r="AE24" i="2"/>
  <c r="O54" i="34" s="1"/>
  <c r="L24" i="2"/>
  <c r="G53" i="34" s="1"/>
  <c r="O24" i="2"/>
  <c r="J53" i="34" s="1"/>
  <c r="W24" i="2"/>
  <c r="G54" i="34" s="1"/>
  <c r="AL54" i="2"/>
  <c r="AL55" i="2"/>
  <c r="J34" i="9"/>
  <c r="K34" i="9"/>
  <c r="J56" i="2"/>
  <c r="I24" i="12"/>
  <c r="K24" i="12" s="1"/>
  <c r="AN54" i="2"/>
  <c r="AN55" i="2"/>
  <c r="AF55" i="2"/>
  <c r="AF54" i="2"/>
  <c r="AJ54" i="2"/>
  <c r="AJ55" i="2"/>
  <c r="AK54" i="2"/>
  <c r="AK55" i="2"/>
  <c r="AO54" i="2"/>
  <c r="AO55" i="2"/>
  <c r="AM54" i="2"/>
  <c r="AM55" i="2"/>
  <c r="AI54" i="2"/>
  <c r="AI55" i="2"/>
  <c r="K27" i="12"/>
  <c r="J27" i="12"/>
  <c r="K23" i="9"/>
  <c r="I37" i="12"/>
  <c r="I31" i="12"/>
  <c r="BL231" i="2"/>
  <c r="AL248" i="2" s="1"/>
  <c r="BL230" i="2"/>
  <c r="J120" i="2"/>
  <c r="AK239" i="2"/>
  <c r="AK238" i="2"/>
  <c r="J122" i="2"/>
  <c r="AK247" i="2"/>
  <c r="J117" i="2"/>
  <c r="AI244" i="2"/>
  <c r="I4" i="12"/>
  <c r="AK226" i="2"/>
  <c r="I33" i="12"/>
  <c r="J143" i="2"/>
  <c r="AN233" i="2"/>
  <c r="AJ233" i="2"/>
  <c r="AI233" i="2"/>
  <c r="AO233" i="2"/>
  <c r="AL233" i="2"/>
  <c r="AF233" i="2"/>
  <c r="AM233" i="2"/>
  <c r="AK233" i="2"/>
  <c r="I30" i="12"/>
  <c r="J139" i="2"/>
  <c r="AF246" i="2"/>
  <c r="AN246" i="2"/>
  <c r="AL246" i="2"/>
  <c r="AJ246" i="2"/>
  <c r="AO246" i="2"/>
  <c r="AM246" i="2"/>
  <c r="AI246" i="2"/>
  <c r="AK246" i="2"/>
  <c r="I40" i="12"/>
  <c r="J129" i="2"/>
  <c r="J119" i="2"/>
  <c r="I45" i="12"/>
  <c r="I38" i="12"/>
  <c r="I48" i="12"/>
  <c r="I51" i="12"/>
  <c r="I35" i="12"/>
  <c r="J135" i="2"/>
  <c r="J130" i="2"/>
  <c r="J124" i="2"/>
  <c r="J125" i="2"/>
  <c r="J146" i="2"/>
  <c r="AM240" i="2"/>
  <c r="AN240" i="2"/>
  <c r="AJ240" i="2"/>
  <c r="AK240" i="2"/>
  <c r="AO240" i="2"/>
  <c r="AI240" i="2"/>
  <c r="AL240" i="2"/>
  <c r="AH240" i="2"/>
  <c r="J144" i="2"/>
  <c r="I50" i="12"/>
  <c r="AI230" i="2"/>
  <c r="AL230" i="2"/>
  <c r="AO230" i="2"/>
  <c r="AM230" i="2"/>
  <c r="AJ230" i="2"/>
  <c r="AN230" i="2"/>
  <c r="AF230" i="2"/>
  <c r="AK230" i="2"/>
  <c r="I34" i="12"/>
  <c r="BO235" i="2"/>
  <c r="AO242" i="2" s="1"/>
  <c r="BF235" i="2"/>
  <c r="AF242" i="2" s="1"/>
  <c r="BK235" i="2"/>
  <c r="AK242" i="2" s="1"/>
  <c r="BN235" i="2"/>
  <c r="AN242" i="2" s="1"/>
  <c r="AI242" i="2"/>
  <c r="BJ235" i="2"/>
  <c r="AJ242" i="2" s="1"/>
  <c r="BM235" i="2"/>
  <c r="AM242" i="2" s="1"/>
  <c r="J147" i="2"/>
  <c r="I46" i="12"/>
  <c r="J128" i="2"/>
  <c r="BP227" i="2"/>
  <c r="AM225" i="2" s="1"/>
  <c r="BR227" i="2"/>
  <c r="AO225" i="2" s="1"/>
  <c r="BN227" i="2"/>
  <c r="AK225" i="2" s="1"/>
  <c r="BI227" i="2"/>
  <c r="AF225" i="2" s="1"/>
  <c r="BQ227" i="2"/>
  <c r="AN225" i="2" s="1"/>
  <c r="BM227" i="2"/>
  <c r="AJ225" i="2" s="1"/>
  <c r="J127" i="2"/>
  <c r="I41" i="12"/>
  <c r="BO231" i="2"/>
  <c r="AO248" i="2" s="1"/>
  <c r="BO230" i="2"/>
  <c r="BJ230" i="2"/>
  <c r="BM230" i="2"/>
  <c r="BN230" i="2"/>
  <c r="BN231" i="2"/>
  <c r="AN248" i="2" s="1"/>
  <c r="BM231" i="2"/>
  <c r="AM248" i="2" s="1"/>
  <c r="AI248" i="2"/>
  <c r="BJ231" i="2"/>
  <c r="AJ248" i="2" s="1"/>
  <c r="BK231" i="2"/>
  <c r="AK248" i="2" s="1"/>
  <c r="BK230" i="2"/>
  <c r="BF231" i="2"/>
  <c r="AF248" i="2" s="1"/>
  <c r="BF230" i="2"/>
  <c r="Y316" i="2"/>
  <c r="Y302" i="2"/>
  <c r="Y307" i="2"/>
  <c r="Y309" i="2"/>
  <c r="Y304" i="2"/>
  <c r="Y305" i="2"/>
  <c r="Y315" i="2"/>
  <c r="Y317" i="2"/>
  <c r="Y318" i="2"/>
  <c r="Y303" i="2"/>
  <c r="Y312" i="2"/>
  <c r="Y319" i="2"/>
  <c r="Y313" i="2"/>
  <c r="Y311" i="2"/>
  <c r="Y308" i="2"/>
  <c r="Y310" i="2"/>
  <c r="Y306" i="2"/>
  <c r="Y314" i="2"/>
  <c r="J133" i="2"/>
  <c r="I23" i="12"/>
  <c r="BF239" i="2"/>
  <c r="BJ239" i="2"/>
  <c r="BN239" i="2"/>
  <c r="BI239" i="2"/>
  <c r="BM239" i="2"/>
  <c r="BO239" i="2"/>
  <c r="BL239" i="2"/>
  <c r="BK219" i="2"/>
  <c r="AK223" i="2" s="1"/>
  <c r="BN219" i="2"/>
  <c r="AN223" i="2" s="1"/>
  <c r="BJ219" i="2"/>
  <c r="AJ223" i="2" s="1"/>
  <c r="BF219" i="2"/>
  <c r="AF223" i="2" s="1"/>
  <c r="BO219" i="2"/>
  <c r="AO223" i="2" s="1"/>
  <c r="AI223" i="2"/>
  <c r="BM219" i="2"/>
  <c r="AM223" i="2" s="1"/>
  <c r="BL219" i="2"/>
  <c r="AL223" i="2" s="1"/>
  <c r="I39" i="12"/>
  <c r="BF248" i="2"/>
  <c r="AF245" i="2" s="1"/>
  <c r="BO248" i="2"/>
  <c r="AO245" i="2" s="1"/>
  <c r="AI245" i="2"/>
  <c r="BJ248" i="2"/>
  <c r="AJ245" i="2" s="1"/>
  <c r="BN248" i="2"/>
  <c r="AN245" i="2" s="1"/>
  <c r="BM248" i="2"/>
  <c r="AM245" i="2" s="1"/>
  <c r="BK248" i="2"/>
  <c r="AK245" i="2" s="1"/>
  <c r="BJ244" i="2"/>
  <c r="AJ243" i="2" s="1"/>
  <c r="BF244" i="2"/>
  <c r="AF243" i="2" s="1"/>
  <c r="BO244" i="2"/>
  <c r="AO243" i="2" s="1"/>
  <c r="AI243" i="2"/>
  <c r="BN244" i="2"/>
  <c r="AN243" i="2" s="1"/>
  <c r="BK244" i="2"/>
  <c r="AK243" i="2" s="1"/>
  <c r="BM244" i="2"/>
  <c r="AM243" i="2" s="1"/>
  <c r="BO223" i="2"/>
  <c r="BM223" i="2"/>
  <c r="BI223" i="2"/>
  <c r="BP223" i="2"/>
  <c r="BR223" i="2"/>
  <c r="BQ223" i="2"/>
  <c r="J138" i="2"/>
  <c r="AF236" i="2"/>
  <c r="AM236" i="2"/>
  <c r="AJ236" i="2"/>
  <c r="AK236" i="2"/>
  <c r="AL236" i="2"/>
  <c r="AN236" i="2"/>
  <c r="AI236" i="2"/>
  <c r="AO236" i="2"/>
  <c r="J141" i="2"/>
  <c r="I29" i="12"/>
  <c r="I43" i="12"/>
  <c r="J123" i="2"/>
  <c r="J134" i="2"/>
  <c r="AO235" i="2"/>
  <c r="AI235" i="2"/>
  <c r="AL235" i="2"/>
  <c r="AF235" i="2"/>
  <c r="AJ235" i="2"/>
  <c r="AN235" i="2"/>
  <c r="AM235" i="2"/>
  <c r="AK235" i="2"/>
  <c r="J116" i="2"/>
  <c r="J131" i="2"/>
  <c r="J121" i="2"/>
  <c r="AJ232" i="2"/>
  <c r="AF232" i="2"/>
  <c r="AK232" i="2"/>
  <c r="AL232" i="2"/>
  <c r="AM232" i="2"/>
  <c r="AI232" i="2"/>
  <c r="AN232" i="2"/>
  <c r="AO232" i="2"/>
  <c r="J126" i="2"/>
  <c r="AO234" i="2"/>
  <c r="AK234" i="2"/>
  <c r="AF234" i="2"/>
  <c r="AJ234" i="2"/>
  <c r="AI234" i="2"/>
  <c r="AN234" i="2"/>
  <c r="AM234" i="2"/>
  <c r="AL234" i="2"/>
  <c r="I36" i="12"/>
  <c r="I44" i="12"/>
  <c r="I49" i="12"/>
  <c r="AF229" i="2"/>
  <c r="AJ244" i="2"/>
  <c r="AF244" i="2"/>
  <c r="AN229" i="2"/>
  <c r="AL229" i="2"/>
  <c r="AJ229" i="2"/>
  <c r="AO229" i="2"/>
  <c r="AI229" i="2"/>
  <c r="AM229" i="2"/>
  <c r="AM244" i="2"/>
  <c r="AK229" i="2"/>
  <c r="AK244" i="2"/>
  <c r="AN244" i="2"/>
  <c r="AL244" i="2"/>
  <c r="AO244" i="2"/>
  <c r="J140" i="2"/>
  <c r="J118" i="2"/>
  <c r="AL237" i="2"/>
  <c r="AO237" i="2"/>
  <c r="AN237" i="2"/>
  <c r="AM237" i="2"/>
  <c r="AJ237" i="2"/>
  <c r="AF237" i="2"/>
  <c r="AK237" i="2"/>
  <c r="AI237" i="2"/>
  <c r="AI241" i="2"/>
  <c r="AO241" i="2"/>
  <c r="AL241" i="2"/>
  <c r="AN241" i="2"/>
  <c r="AM241" i="2"/>
  <c r="AF241" i="2"/>
  <c r="AJ241" i="2"/>
  <c r="AK241" i="2"/>
  <c r="J136" i="2"/>
  <c r="J142" i="2"/>
  <c r="I42" i="12"/>
  <c r="I47" i="12"/>
  <c r="X74" i="6"/>
  <c r="X75" i="6"/>
  <c r="X76" i="6"/>
  <c r="Z198" i="2"/>
  <c r="Z24" i="2" s="1"/>
  <c r="J54" i="34" s="1"/>
  <c r="V198" i="2"/>
  <c r="V24" i="2" s="1"/>
  <c r="F54" i="34" s="1"/>
  <c r="K24" i="2"/>
  <c r="F53" i="34" s="1"/>
  <c r="AB198" i="2"/>
  <c r="AB24" i="2" s="1"/>
  <c r="L54" i="34" s="1"/>
  <c r="Q24" i="2"/>
  <c r="L53" i="34" s="1"/>
  <c r="AA198" i="2"/>
  <c r="AA24" i="2" s="1"/>
  <c r="K54" i="34" s="1"/>
  <c r="P24" i="2"/>
  <c r="K53" i="34" s="1"/>
  <c r="X198" i="2"/>
  <c r="X24" i="2" s="1"/>
  <c r="H54" i="34" s="1"/>
  <c r="M24" i="2"/>
  <c r="H53" i="34" s="1"/>
  <c r="K54" i="12" l="1"/>
  <c r="K52" i="12"/>
  <c r="J19" i="12"/>
  <c r="J53" i="12"/>
  <c r="K25" i="20"/>
  <c r="I8" i="9"/>
  <c r="J8" i="9" s="1"/>
  <c r="K28" i="12"/>
  <c r="I22" i="12"/>
  <c r="J22" i="12" s="1"/>
  <c r="J54" i="2"/>
  <c r="J24" i="12"/>
  <c r="J36" i="12"/>
  <c r="K36" i="12"/>
  <c r="J30" i="12"/>
  <c r="K30" i="12"/>
  <c r="J43" i="12"/>
  <c r="K43" i="12"/>
  <c r="K46" i="12"/>
  <c r="J46" i="12"/>
  <c r="J51" i="12"/>
  <c r="K51" i="12"/>
  <c r="J33" i="12"/>
  <c r="K33" i="12"/>
  <c r="J4" i="12"/>
  <c r="K4" i="12"/>
  <c r="J38" i="12"/>
  <c r="K38" i="12"/>
  <c r="J29" i="12"/>
  <c r="K29" i="12"/>
  <c r="J35" i="12"/>
  <c r="K35" i="12"/>
  <c r="J45" i="12"/>
  <c r="K45" i="12"/>
  <c r="J40" i="12"/>
  <c r="K40" i="12"/>
  <c r="J50" i="12"/>
  <c r="K50" i="12"/>
  <c r="J48" i="12"/>
  <c r="K48" i="12"/>
  <c r="J55" i="2"/>
  <c r="J34" i="12"/>
  <c r="K34" i="12"/>
  <c r="J42" i="12"/>
  <c r="K42" i="12"/>
  <c r="K49" i="12"/>
  <c r="J49" i="12"/>
  <c r="K37" i="12"/>
  <c r="J37" i="12"/>
  <c r="J47" i="12"/>
  <c r="K47" i="12"/>
  <c r="K41" i="12"/>
  <c r="J41" i="12"/>
  <c r="J39" i="12"/>
  <c r="K39" i="12"/>
  <c r="J31" i="12"/>
  <c r="K31" i="12"/>
  <c r="J23" i="12"/>
  <c r="K23" i="12"/>
  <c r="J44" i="12"/>
  <c r="K44" i="12"/>
  <c r="I6" i="9"/>
  <c r="K6" i="9" s="1"/>
  <c r="I3" i="9"/>
  <c r="J3" i="9" s="1"/>
  <c r="J240" i="2"/>
  <c r="AL227" i="2"/>
  <c r="AL228" i="2"/>
  <c r="J241" i="2"/>
  <c r="J223" i="2"/>
  <c r="J248" i="2"/>
  <c r="J236" i="2"/>
  <c r="Y371" i="2"/>
  <c r="Y361" i="2"/>
  <c r="Y374" i="2"/>
  <c r="Y362" i="2"/>
  <c r="Y369" i="2"/>
  <c r="Y365" i="2"/>
  <c r="Y358" i="2"/>
  <c r="Y355" i="2"/>
  <c r="Y351" i="2"/>
  <c r="AF351" i="2" s="1"/>
  <c r="Y353" i="2"/>
  <c r="Y360" i="2"/>
  <c r="Y373" i="2"/>
  <c r="Y352" i="2"/>
  <c r="Y367" i="2"/>
  <c r="Y368" i="2"/>
  <c r="Y354" i="2"/>
  <c r="Y364" i="2"/>
  <c r="Y375" i="2"/>
  <c r="Y363" i="2"/>
  <c r="Y372" i="2"/>
  <c r="Y356" i="2"/>
  <c r="Y376" i="2"/>
  <c r="Y357" i="2"/>
  <c r="Y359" i="2"/>
  <c r="Y370" i="2"/>
  <c r="AN224" i="2"/>
  <c r="AN226" i="2"/>
  <c r="I2" i="9"/>
  <c r="I22" i="9"/>
  <c r="I15" i="9"/>
  <c r="J229" i="2"/>
  <c r="AI226" i="2"/>
  <c r="AI224" i="2"/>
  <c r="AF247" i="2"/>
  <c r="AF239" i="2"/>
  <c r="AF238" i="2"/>
  <c r="AF231" i="2"/>
  <c r="AN227" i="2"/>
  <c r="AN228" i="2"/>
  <c r="J235" i="2"/>
  <c r="AL224" i="2"/>
  <c r="AL226" i="2"/>
  <c r="AM228" i="2"/>
  <c r="AM227" i="2"/>
  <c r="AF228" i="2"/>
  <c r="AF227" i="2"/>
  <c r="I7" i="9"/>
  <c r="AO231" i="2"/>
  <c r="AO239" i="2"/>
  <c r="AO247" i="2"/>
  <c r="AO238" i="2"/>
  <c r="AI227" i="2"/>
  <c r="AI228" i="2"/>
  <c r="AI247" i="2"/>
  <c r="AI239" i="2"/>
  <c r="AI231" i="2"/>
  <c r="AI238" i="2"/>
  <c r="J244" i="2"/>
  <c r="I19" i="9"/>
  <c r="I9" i="9"/>
  <c r="AJ310" i="2"/>
  <c r="AF310" i="2"/>
  <c r="AN310" i="2"/>
  <c r="AL310" i="2"/>
  <c r="AO310" i="2"/>
  <c r="AM310" i="2"/>
  <c r="AK310" i="2"/>
  <c r="AH310" i="2"/>
  <c r="AI310" i="2"/>
  <c r="AG310" i="2"/>
  <c r="I30" i="9"/>
  <c r="AJ228" i="2"/>
  <c r="AJ227" i="2"/>
  <c r="I20" i="9"/>
  <c r="J234" i="2"/>
  <c r="AH303" i="2"/>
  <c r="AF303" i="2"/>
  <c r="AM303" i="2"/>
  <c r="AK303" i="2"/>
  <c r="AL303" i="2"/>
  <c r="AI303" i="2"/>
  <c r="AO303" i="2"/>
  <c r="AN303" i="2"/>
  <c r="AG303" i="2"/>
  <c r="AJ303" i="2"/>
  <c r="AK227" i="2"/>
  <c r="AK228" i="2"/>
  <c r="AL247" i="2"/>
  <c r="AL238" i="2"/>
  <c r="AL239" i="2"/>
  <c r="AL231" i="2"/>
  <c r="AO224" i="2"/>
  <c r="AO226" i="2"/>
  <c r="AJ247" i="2"/>
  <c r="AJ239" i="2"/>
  <c r="AJ238" i="2"/>
  <c r="AJ231" i="2"/>
  <c r="AO228" i="2"/>
  <c r="AO227" i="2"/>
  <c r="AO306" i="2"/>
  <c r="AM306" i="2"/>
  <c r="AH306" i="2"/>
  <c r="AL306" i="2"/>
  <c r="AJ306" i="2"/>
  <c r="AG306" i="2"/>
  <c r="AI306" i="2"/>
  <c r="AN306" i="2"/>
  <c r="AF306" i="2"/>
  <c r="AK306" i="2"/>
  <c r="AJ308" i="2"/>
  <c r="AO308" i="2"/>
  <c r="AF308" i="2"/>
  <c r="AK308" i="2"/>
  <c r="AM308" i="2"/>
  <c r="AL308" i="2"/>
  <c r="AN308" i="2"/>
  <c r="AG308" i="2"/>
  <c r="AH308" i="2"/>
  <c r="AI308" i="2"/>
  <c r="J246" i="2"/>
  <c r="J225" i="2"/>
  <c r="I12" i="9"/>
  <c r="J245" i="2"/>
  <c r="AH315" i="2"/>
  <c r="AL315" i="2"/>
  <c r="AN315" i="2"/>
  <c r="AM315" i="2"/>
  <c r="AI315" i="2"/>
  <c r="AJ315" i="2"/>
  <c r="AO315" i="2"/>
  <c r="AG315" i="2"/>
  <c r="AK315" i="2"/>
  <c r="AF315" i="2"/>
  <c r="I14" i="9"/>
  <c r="I32" i="9"/>
  <c r="J233" i="2"/>
  <c r="I24" i="9"/>
  <c r="AN317" i="2"/>
  <c r="AK317" i="2"/>
  <c r="AG317" i="2"/>
  <c r="AO317" i="2"/>
  <c r="AL317" i="2"/>
  <c r="AF317" i="2"/>
  <c r="AM317" i="2"/>
  <c r="AH317" i="2"/>
  <c r="AJ317" i="2"/>
  <c r="AI317" i="2"/>
  <c r="I4" i="9"/>
  <c r="AJ305" i="2"/>
  <c r="AN305" i="2"/>
  <c r="AL305" i="2"/>
  <c r="AF305" i="2"/>
  <c r="AM305" i="2"/>
  <c r="AO305" i="2"/>
  <c r="AH305" i="2"/>
  <c r="AG305" i="2"/>
  <c r="AK305" i="2"/>
  <c r="AI305" i="2"/>
  <c r="I11" i="9"/>
  <c r="AM226" i="2"/>
  <c r="AM224" i="2"/>
  <c r="AF224" i="2"/>
  <c r="AF226" i="2"/>
  <c r="AJ314" i="2"/>
  <c r="AO314" i="2"/>
  <c r="AL314" i="2"/>
  <c r="AK314" i="2"/>
  <c r="AF314" i="2"/>
  <c r="AG314" i="2"/>
  <c r="AI314" i="2"/>
  <c r="AM314" i="2"/>
  <c r="AN314" i="2"/>
  <c r="AH314" i="2"/>
  <c r="AM311" i="2"/>
  <c r="AF311" i="2"/>
  <c r="AN311" i="2"/>
  <c r="AL311" i="2"/>
  <c r="AI311" i="2"/>
  <c r="AK311" i="2"/>
  <c r="AO311" i="2"/>
  <c r="AH311" i="2"/>
  <c r="AJ311" i="2"/>
  <c r="AG311" i="2"/>
  <c r="I26" i="9"/>
  <c r="I27" i="9"/>
  <c r="AM304" i="2"/>
  <c r="AO304" i="2"/>
  <c r="AN304" i="2"/>
  <c r="AG304" i="2"/>
  <c r="AJ304" i="2"/>
  <c r="AI304" i="2"/>
  <c r="AF304" i="2"/>
  <c r="AH304" i="2"/>
  <c r="AL304" i="2"/>
  <c r="AK304" i="2"/>
  <c r="I10" i="9"/>
  <c r="J242" i="2"/>
  <c r="I17" i="9"/>
  <c r="AM239" i="2"/>
  <c r="AM238" i="2"/>
  <c r="AM247" i="2"/>
  <c r="AM231" i="2"/>
  <c r="I5" i="9"/>
  <c r="AI309" i="2"/>
  <c r="AL309" i="2"/>
  <c r="AH309" i="2"/>
  <c r="AO309" i="2"/>
  <c r="AN309" i="2"/>
  <c r="AF309" i="2"/>
  <c r="AJ309" i="2"/>
  <c r="AG309" i="2"/>
  <c r="AK309" i="2"/>
  <c r="AM309" i="2"/>
  <c r="I33" i="9"/>
  <c r="I16" i="9"/>
  <c r="J230" i="2"/>
  <c r="I28" i="9"/>
  <c r="J243" i="2"/>
  <c r="I13" i="9"/>
  <c r="AH313" i="2"/>
  <c r="AN313" i="2"/>
  <c r="AG313" i="2"/>
  <c r="AO313" i="2"/>
  <c r="AJ313" i="2"/>
  <c r="AL313" i="2"/>
  <c r="AK313" i="2"/>
  <c r="AF313" i="2"/>
  <c r="AI313" i="2"/>
  <c r="AM313" i="2"/>
  <c r="I21" i="9"/>
  <c r="AG302" i="2"/>
  <c r="AO302" i="2"/>
  <c r="AJ302" i="2"/>
  <c r="AM302" i="2"/>
  <c r="AI302" i="2"/>
  <c r="AL302" i="2"/>
  <c r="AH302" i="2"/>
  <c r="AF302" i="2"/>
  <c r="AN302" i="2"/>
  <c r="AK302" i="2"/>
  <c r="J232" i="2"/>
  <c r="AN247" i="2"/>
  <c r="AN239" i="2"/>
  <c r="AN231" i="2"/>
  <c r="AN238" i="2"/>
  <c r="AJ224" i="2"/>
  <c r="AJ226" i="2"/>
  <c r="J237" i="2"/>
  <c r="AH319" i="2"/>
  <c r="AG319" i="2"/>
  <c r="AO319" i="2"/>
  <c r="AI319" i="2"/>
  <c r="AF319" i="2"/>
  <c r="AJ319" i="2"/>
  <c r="AM319" i="2"/>
  <c r="AL319" i="2"/>
  <c r="AN319" i="2"/>
  <c r="AK319" i="2"/>
  <c r="I25" i="9"/>
  <c r="AN312" i="2"/>
  <c r="AI312" i="2"/>
  <c r="AG312" i="2"/>
  <c r="AH312" i="2"/>
  <c r="AO312" i="2"/>
  <c r="AL312" i="2"/>
  <c r="AJ312" i="2"/>
  <c r="AK312" i="2"/>
  <c r="AM312" i="2"/>
  <c r="AF312" i="2"/>
  <c r="AG318" i="2"/>
  <c r="AI318" i="2"/>
  <c r="AO318" i="2"/>
  <c r="AJ318" i="2"/>
  <c r="AN318" i="2"/>
  <c r="AK318" i="2"/>
  <c r="AM318" i="2"/>
  <c r="AL318" i="2"/>
  <c r="AH318" i="2"/>
  <c r="AF318" i="2"/>
  <c r="AO307" i="2"/>
  <c r="AM307" i="2"/>
  <c r="AL307" i="2"/>
  <c r="AG307" i="2"/>
  <c r="AF307" i="2"/>
  <c r="AN307" i="2"/>
  <c r="AK307" i="2"/>
  <c r="AH307" i="2"/>
  <c r="AI307" i="2"/>
  <c r="AJ307" i="2"/>
  <c r="AL316" i="2"/>
  <c r="AK316" i="2"/>
  <c r="AJ316" i="2"/>
  <c r="AG316" i="2"/>
  <c r="AI316" i="2"/>
  <c r="AN316" i="2"/>
  <c r="AF316" i="2"/>
  <c r="AM316" i="2"/>
  <c r="AO316" i="2"/>
  <c r="AH316" i="2"/>
  <c r="I29" i="9"/>
  <c r="Z56" i="12"/>
  <c r="Z54" i="12"/>
  <c r="Z55" i="12"/>
  <c r="K8" i="9" l="1"/>
  <c r="K22" i="12"/>
  <c r="I19" i="10"/>
  <c r="I20" i="12"/>
  <c r="K20" i="12" s="1"/>
  <c r="AI370" i="2"/>
  <c r="AL370" i="2"/>
  <c r="AM370" i="2"/>
  <c r="AN370" i="2"/>
  <c r="AK370" i="2"/>
  <c r="AG370" i="2"/>
  <c r="AJ370" i="2"/>
  <c r="AH370" i="2"/>
  <c r="AF370" i="2"/>
  <c r="AO370" i="2"/>
  <c r="AI357" i="2"/>
  <c r="AG357" i="2"/>
  <c r="AF357" i="2"/>
  <c r="AH357" i="2"/>
  <c r="AN357" i="2"/>
  <c r="AJ357" i="2"/>
  <c r="AK357" i="2"/>
  <c r="AL357" i="2"/>
  <c r="AM357" i="2"/>
  <c r="AO357" i="2"/>
  <c r="AI376" i="2"/>
  <c r="AL376" i="2"/>
  <c r="AN376" i="2"/>
  <c r="AH376" i="2"/>
  <c r="AJ376" i="2"/>
  <c r="AO376" i="2"/>
  <c r="AG376" i="2"/>
  <c r="AM376" i="2"/>
  <c r="AF376" i="2"/>
  <c r="AK376" i="2"/>
  <c r="AI356" i="2"/>
  <c r="AK356" i="2"/>
  <c r="AG356" i="2"/>
  <c r="AL356" i="2"/>
  <c r="AM356" i="2"/>
  <c r="AF356" i="2"/>
  <c r="AH356" i="2"/>
  <c r="AN356" i="2"/>
  <c r="AO356" i="2"/>
  <c r="AJ356" i="2"/>
  <c r="AI359" i="2"/>
  <c r="AF359" i="2"/>
  <c r="AJ359" i="2"/>
  <c r="AH359" i="2"/>
  <c r="AK359" i="2"/>
  <c r="AL359" i="2"/>
  <c r="AG359" i="2"/>
  <c r="AO359" i="2"/>
  <c r="AM359" i="2"/>
  <c r="AN359" i="2"/>
  <c r="AI372" i="2"/>
  <c r="AJ372" i="2"/>
  <c r="AH372" i="2"/>
  <c r="AN372" i="2"/>
  <c r="AK372" i="2"/>
  <c r="AL372" i="2"/>
  <c r="AG372" i="2"/>
  <c r="AM372" i="2"/>
  <c r="AO372" i="2"/>
  <c r="AF372" i="2"/>
  <c r="AI375" i="2"/>
  <c r="AH375" i="2"/>
  <c r="AJ375" i="2"/>
  <c r="AO375" i="2"/>
  <c r="AK375" i="2"/>
  <c r="AL375" i="2"/>
  <c r="AM375" i="2"/>
  <c r="AG375" i="2"/>
  <c r="AF375" i="2"/>
  <c r="AN375" i="2"/>
  <c r="AI364" i="2"/>
  <c r="AL364" i="2"/>
  <c r="AM364" i="2"/>
  <c r="AO364" i="2"/>
  <c r="AN364" i="2"/>
  <c r="AK364" i="2"/>
  <c r="AF364" i="2"/>
  <c r="AG364" i="2"/>
  <c r="AH364" i="2"/>
  <c r="AJ364" i="2"/>
  <c r="AI354" i="2"/>
  <c r="AG354" i="2"/>
  <c r="AN354" i="2"/>
  <c r="AK354" i="2"/>
  <c r="AM354" i="2"/>
  <c r="AO354" i="2"/>
  <c r="AF354" i="2"/>
  <c r="AH354" i="2"/>
  <c r="AJ354" i="2"/>
  <c r="AL354" i="2"/>
  <c r="AI367" i="2"/>
  <c r="AH367" i="2"/>
  <c r="AM367" i="2"/>
  <c r="AF367" i="2"/>
  <c r="AN367" i="2"/>
  <c r="AO367" i="2"/>
  <c r="AG367" i="2"/>
  <c r="AJ367" i="2"/>
  <c r="AK367" i="2"/>
  <c r="AL367" i="2"/>
  <c r="AI360" i="2"/>
  <c r="AG360" i="2"/>
  <c r="AF360" i="2"/>
  <c r="AH360" i="2"/>
  <c r="AL360" i="2"/>
  <c r="AK360" i="2"/>
  <c r="AJ360" i="2"/>
  <c r="AM360" i="2"/>
  <c r="AN360" i="2"/>
  <c r="AO360" i="2"/>
  <c r="AI353" i="2"/>
  <c r="AF353" i="2"/>
  <c r="AG353" i="2"/>
  <c r="AH353" i="2"/>
  <c r="AK353" i="2"/>
  <c r="AL353" i="2"/>
  <c r="AM353" i="2"/>
  <c r="AJ353" i="2"/>
  <c r="AN353" i="2"/>
  <c r="AO353" i="2"/>
  <c r="AI351" i="2"/>
  <c r="AM351" i="2"/>
  <c r="AN351" i="2"/>
  <c r="AH351" i="2"/>
  <c r="AK351" i="2"/>
  <c r="AG351" i="2"/>
  <c r="AL351" i="2"/>
  <c r="AO351" i="2"/>
  <c r="AJ351" i="2"/>
  <c r="AI355" i="2"/>
  <c r="AF355" i="2"/>
  <c r="AJ355" i="2"/>
  <c r="AO355" i="2"/>
  <c r="AK355" i="2"/>
  <c r="AG355" i="2"/>
  <c r="AL355" i="2"/>
  <c r="AM355" i="2"/>
  <c r="AN355" i="2"/>
  <c r="AH355" i="2"/>
  <c r="AI358" i="2"/>
  <c r="AL358" i="2"/>
  <c r="AG358" i="2"/>
  <c r="AH358" i="2"/>
  <c r="AK358" i="2"/>
  <c r="AN358" i="2"/>
  <c r="AM358" i="2"/>
  <c r="AJ358" i="2"/>
  <c r="AO358" i="2"/>
  <c r="AF358" i="2"/>
  <c r="AI368" i="2"/>
  <c r="AJ368" i="2"/>
  <c r="AK368" i="2"/>
  <c r="AL368" i="2"/>
  <c r="AF368" i="2"/>
  <c r="AH368" i="2"/>
  <c r="AM368" i="2"/>
  <c r="AN368" i="2"/>
  <c r="AO368" i="2"/>
  <c r="AG368" i="2"/>
  <c r="AI352" i="2"/>
  <c r="AJ352" i="2"/>
  <c r="AK352" i="2"/>
  <c r="AL352" i="2"/>
  <c r="AM352" i="2"/>
  <c r="AN352" i="2"/>
  <c r="AO352" i="2"/>
  <c r="AH352" i="2"/>
  <c r="AF352" i="2"/>
  <c r="AG352" i="2"/>
  <c r="AI365" i="2"/>
  <c r="AG365" i="2"/>
  <c r="AK365" i="2"/>
  <c r="AM365" i="2"/>
  <c r="AO365" i="2"/>
  <c r="AF365" i="2"/>
  <c r="AH365" i="2"/>
  <c r="AJ365" i="2"/>
  <c r="AL365" i="2"/>
  <c r="AN365" i="2"/>
  <c r="AI369" i="2"/>
  <c r="AK369" i="2"/>
  <c r="AH369" i="2"/>
  <c r="AL369" i="2"/>
  <c r="AJ369" i="2"/>
  <c r="AN369" i="2"/>
  <c r="AG369" i="2"/>
  <c r="AM369" i="2"/>
  <c r="AO369" i="2"/>
  <c r="AF369" i="2"/>
  <c r="AI362" i="2"/>
  <c r="AO362" i="2"/>
  <c r="AM362" i="2"/>
  <c r="AN362" i="2"/>
  <c r="AF362" i="2"/>
  <c r="AG362" i="2"/>
  <c r="AH362" i="2"/>
  <c r="AJ362" i="2"/>
  <c r="AK362" i="2"/>
  <c r="AL362" i="2"/>
  <c r="AI363" i="2"/>
  <c r="AG363" i="2"/>
  <c r="AH363" i="2"/>
  <c r="AL363" i="2"/>
  <c r="AF363" i="2"/>
  <c r="AJ363" i="2"/>
  <c r="AK363" i="2"/>
  <c r="AM363" i="2"/>
  <c r="AN363" i="2"/>
  <c r="AO363" i="2"/>
  <c r="AI373" i="2"/>
  <c r="AL373" i="2"/>
  <c r="AM373" i="2"/>
  <c r="AN373" i="2"/>
  <c r="AH373" i="2"/>
  <c r="AJ373" i="2"/>
  <c r="AO373" i="2"/>
  <c r="AF373" i="2"/>
  <c r="AK373" i="2"/>
  <c r="AG373" i="2"/>
  <c r="AI374" i="2"/>
  <c r="AH374" i="2"/>
  <c r="AL374" i="2"/>
  <c r="AN374" i="2"/>
  <c r="AO374" i="2"/>
  <c r="AK374" i="2"/>
  <c r="AM374" i="2"/>
  <c r="AJ374" i="2"/>
  <c r="AF374" i="2"/>
  <c r="AG374" i="2"/>
  <c r="AI361" i="2"/>
  <c r="AJ361" i="2"/>
  <c r="AO361" i="2"/>
  <c r="AM361" i="2"/>
  <c r="AN361" i="2"/>
  <c r="AL361" i="2"/>
  <c r="AK361" i="2"/>
  <c r="AH361" i="2"/>
  <c r="AF361" i="2"/>
  <c r="AG361" i="2"/>
  <c r="AI371" i="2"/>
  <c r="AM371" i="2"/>
  <c r="AG371" i="2"/>
  <c r="AJ371" i="2"/>
  <c r="AH371" i="2"/>
  <c r="AF371" i="2"/>
  <c r="AK371" i="2"/>
  <c r="AL371" i="2"/>
  <c r="AN371" i="2"/>
  <c r="AO371" i="2"/>
  <c r="J20" i="12"/>
  <c r="K3" i="9"/>
  <c r="J6" i="9"/>
  <c r="I20" i="10"/>
  <c r="J20" i="10" s="1"/>
  <c r="I27" i="10"/>
  <c r="I2" i="10"/>
  <c r="K2" i="10" s="1"/>
  <c r="J312" i="2"/>
  <c r="J316" i="2"/>
  <c r="J226" i="2"/>
  <c r="J303" i="2"/>
  <c r="J2" i="9"/>
  <c r="K2" i="9"/>
  <c r="J5" i="9"/>
  <c r="K5" i="9"/>
  <c r="J26" i="9"/>
  <c r="K26" i="9"/>
  <c r="I13" i="10"/>
  <c r="J305" i="2"/>
  <c r="K29" i="9"/>
  <c r="J29" i="9"/>
  <c r="K13" i="9"/>
  <c r="J13" i="9"/>
  <c r="K20" i="9"/>
  <c r="J20" i="9"/>
  <c r="J19" i="10"/>
  <c r="K19" i="10"/>
  <c r="J17" i="9"/>
  <c r="K17" i="9"/>
  <c r="J12" i="9"/>
  <c r="K12" i="9"/>
  <c r="J228" i="2"/>
  <c r="I24" i="10"/>
  <c r="K7" i="9"/>
  <c r="J7" i="9"/>
  <c r="J311" i="2"/>
  <c r="J4" i="9"/>
  <c r="K4" i="9"/>
  <c r="K10" i="9"/>
  <c r="J10" i="9"/>
  <c r="I4" i="10"/>
  <c r="J28" i="9"/>
  <c r="K28" i="9"/>
  <c r="I21" i="10"/>
  <c r="I9" i="10"/>
  <c r="I25" i="10"/>
  <c r="J30" i="9"/>
  <c r="K30" i="9"/>
  <c r="J227" i="2"/>
  <c r="I11" i="10"/>
  <c r="J16" i="9"/>
  <c r="K16" i="9"/>
  <c r="J317" i="2"/>
  <c r="J302" i="2"/>
  <c r="K33" i="9"/>
  <c r="J33" i="9"/>
  <c r="J314" i="2"/>
  <c r="I14" i="10"/>
  <c r="J25" i="9"/>
  <c r="K25" i="9"/>
  <c r="J304" i="2"/>
  <c r="J310" i="2"/>
  <c r="J231" i="2"/>
  <c r="J308" i="2"/>
  <c r="J238" i="2"/>
  <c r="K9" i="9"/>
  <c r="J9" i="9"/>
  <c r="J239" i="2"/>
  <c r="J309" i="2"/>
  <c r="J224" i="2"/>
  <c r="J24" i="9"/>
  <c r="K24" i="9"/>
  <c r="J247" i="2"/>
  <c r="J307" i="2"/>
  <c r="I12" i="10"/>
  <c r="J319" i="2"/>
  <c r="J21" i="9"/>
  <c r="K21" i="9"/>
  <c r="J32" i="9"/>
  <c r="K32" i="9"/>
  <c r="J19" i="9"/>
  <c r="K19" i="9"/>
  <c r="I8" i="10"/>
  <c r="K14" i="9"/>
  <c r="J14" i="9"/>
  <c r="J306" i="2"/>
  <c r="J27" i="9"/>
  <c r="K27" i="9"/>
  <c r="J11" i="9"/>
  <c r="K11" i="9"/>
  <c r="I23" i="10"/>
  <c r="K15" i="9"/>
  <c r="J15" i="9"/>
  <c r="J318" i="2"/>
  <c r="J315" i="2"/>
  <c r="J22" i="9"/>
  <c r="K22" i="9"/>
  <c r="J313" i="2"/>
  <c r="I28" i="1"/>
  <c r="Y382" i="2"/>
  <c r="Y386" i="2"/>
  <c r="J386" i="2" s="1"/>
  <c r="Y401" i="2"/>
  <c r="Y426" i="2"/>
  <c r="Y388" i="2"/>
  <c r="J388" i="2" s="1"/>
  <c r="Y410" i="2"/>
  <c r="Y192" i="2"/>
  <c r="J192" i="2" s="1"/>
  <c r="I177" i="17" s="1"/>
  <c r="Y430" i="2"/>
  <c r="Y404" i="2"/>
  <c r="Y411" i="2"/>
  <c r="Y395" i="2"/>
  <c r="Y383" i="2"/>
  <c r="Y419" i="2"/>
  <c r="Y424" i="2"/>
  <c r="Y379" i="2"/>
  <c r="Y385" i="2"/>
  <c r="J385" i="2" s="1"/>
  <c r="Y414" i="2"/>
  <c r="Y417" i="2"/>
  <c r="Y399" i="2"/>
  <c r="Y403" i="2"/>
  <c r="Y397" i="2"/>
  <c r="Y400" i="2"/>
  <c r="O3" i="6"/>
  <c r="Y416" i="2"/>
  <c r="Y387" i="2"/>
  <c r="J387" i="2" s="1"/>
  <c r="Y392" i="2"/>
  <c r="Y380" i="2"/>
  <c r="Y421" i="2"/>
  <c r="Y423" i="2"/>
  <c r="Y407" i="2"/>
  <c r="Y428" i="2"/>
  <c r="Y413" i="2"/>
  <c r="Y389" i="2"/>
  <c r="J389" i="2" s="1"/>
  <c r="Y420" i="2"/>
  <c r="Y381" i="2"/>
  <c r="Y425" i="2"/>
  <c r="Y390" i="2"/>
  <c r="J390" i="2" s="1"/>
  <c r="Y393" i="2"/>
  <c r="Y396" i="2"/>
  <c r="Y418" i="2"/>
  <c r="Y191" i="2"/>
  <c r="J191" i="2" s="1"/>
  <c r="I176" i="17" s="1"/>
  <c r="Y394" i="2"/>
  <c r="Y408" i="2"/>
  <c r="Y409" i="2"/>
  <c r="Y391" i="2"/>
  <c r="J391" i="2" s="1"/>
  <c r="Y415" i="2"/>
  <c r="Y427" i="2"/>
  <c r="Y405" i="2"/>
  <c r="Y406" i="2"/>
  <c r="I22" i="10"/>
  <c r="I16" i="10"/>
  <c r="I15" i="10"/>
  <c r="I18" i="15" l="1"/>
  <c r="I17" i="15"/>
  <c r="I14" i="15"/>
  <c r="J14" i="15" s="1"/>
  <c r="I8" i="15"/>
  <c r="J8" i="15" s="1"/>
  <c r="AI428" i="2"/>
  <c r="AF428" i="2"/>
  <c r="AH428" i="2"/>
  <c r="AG428" i="2"/>
  <c r="AO428" i="2"/>
  <c r="AN428" i="2"/>
  <c r="AM428" i="2"/>
  <c r="AL428" i="2"/>
  <c r="AK428" i="2"/>
  <c r="AJ428" i="2"/>
  <c r="I10" i="20"/>
  <c r="I3" i="15"/>
  <c r="J3" i="15" s="1"/>
  <c r="I16" i="15"/>
  <c r="K16" i="15" s="1"/>
  <c r="I4" i="15"/>
  <c r="J4" i="15" s="1"/>
  <c r="I2" i="15"/>
  <c r="K2" i="15" s="1"/>
  <c r="I8" i="20"/>
  <c r="I11" i="20"/>
  <c r="I11" i="15"/>
  <c r="K11" i="15" s="1"/>
  <c r="I10" i="15"/>
  <c r="K10" i="15" s="1"/>
  <c r="I19" i="15"/>
  <c r="J19" i="15" s="1"/>
  <c r="I7" i="15"/>
  <c r="K7" i="15" s="1"/>
  <c r="I13" i="15"/>
  <c r="K13" i="15" s="1"/>
  <c r="I15" i="15"/>
  <c r="J15" i="15" s="1"/>
  <c r="I5" i="15"/>
  <c r="J5" i="15" s="1"/>
  <c r="I14" i="20"/>
  <c r="J43" i="21"/>
  <c r="K43" i="21" s="1"/>
  <c r="I13" i="20"/>
  <c r="I6" i="15"/>
  <c r="J6" i="15" s="1"/>
  <c r="J42" i="21"/>
  <c r="K42" i="21" s="1"/>
  <c r="I12" i="20"/>
  <c r="I9" i="20"/>
  <c r="I9" i="15"/>
  <c r="J9" i="15" s="1"/>
  <c r="AI397" i="2"/>
  <c r="AO397" i="2"/>
  <c r="AJ397" i="2"/>
  <c r="AH397" i="2"/>
  <c r="AM397" i="2"/>
  <c r="AL397" i="2"/>
  <c r="AG397" i="2"/>
  <c r="AN397" i="2"/>
  <c r="AF397" i="2"/>
  <c r="AK397" i="2"/>
  <c r="AI403" i="2"/>
  <c r="AG403" i="2"/>
  <c r="AF403" i="2"/>
  <c r="AO403" i="2"/>
  <c r="AJ403" i="2"/>
  <c r="AL403" i="2"/>
  <c r="AM403" i="2"/>
  <c r="AH403" i="2"/>
  <c r="AK403" i="2"/>
  <c r="AN403" i="2"/>
  <c r="AI379" i="2"/>
  <c r="AH379" i="2"/>
  <c r="AL379" i="2"/>
  <c r="AO379" i="2"/>
  <c r="AF379" i="2"/>
  <c r="AJ379" i="2"/>
  <c r="AM379" i="2"/>
  <c r="AN379" i="2"/>
  <c r="AG379" i="2"/>
  <c r="AK379" i="2"/>
  <c r="AI415" i="2"/>
  <c r="AG415" i="2"/>
  <c r="AM415" i="2"/>
  <c r="AL415" i="2"/>
  <c r="AH415" i="2"/>
  <c r="AN415" i="2"/>
  <c r="AF415" i="2"/>
  <c r="AO415" i="2"/>
  <c r="AK415" i="2"/>
  <c r="AJ415" i="2"/>
  <c r="AI424" i="2"/>
  <c r="AM424" i="2"/>
  <c r="AG424" i="2"/>
  <c r="AK424" i="2"/>
  <c r="AF424" i="2"/>
  <c r="AN424" i="2"/>
  <c r="AO424" i="2"/>
  <c r="AJ424" i="2"/>
  <c r="AL424" i="2"/>
  <c r="AH424" i="2"/>
  <c r="AI409" i="2"/>
  <c r="AJ409" i="2"/>
  <c r="AF409" i="2"/>
  <c r="AL409" i="2"/>
  <c r="AO409" i="2"/>
  <c r="AM409" i="2"/>
  <c r="AK409" i="2"/>
  <c r="AH409" i="2"/>
  <c r="AG409" i="2"/>
  <c r="AN409" i="2"/>
  <c r="AI419" i="2"/>
  <c r="AK419" i="2"/>
  <c r="AM419" i="2"/>
  <c r="AN419" i="2"/>
  <c r="AL419" i="2"/>
  <c r="AF419" i="2"/>
  <c r="AJ419" i="2"/>
  <c r="AO419" i="2"/>
  <c r="AG419" i="2"/>
  <c r="AH419" i="2"/>
  <c r="AI417" i="2"/>
  <c r="AG417" i="2"/>
  <c r="AJ417" i="2"/>
  <c r="AL417" i="2"/>
  <c r="AF417" i="2"/>
  <c r="AK417" i="2"/>
  <c r="AN417" i="2"/>
  <c r="AO417" i="2"/>
  <c r="AH417" i="2"/>
  <c r="AM417" i="2"/>
  <c r="AJ404" i="2"/>
  <c r="AK404" i="2"/>
  <c r="AM404" i="2"/>
  <c r="AL404" i="2"/>
  <c r="AF404" i="2"/>
  <c r="AG404" i="2"/>
  <c r="AH404" i="2"/>
  <c r="AI404" i="2"/>
  <c r="AN404" i="2"/>
  <c r="AO404" i="2"/>
  <c r="AI408" i="2"/>
  <c r="AM408" i="2"/>
  <c r="AJ408" i="2"/>
  <c r="AG408" i="2"/>
  <c r="AN408" i="2"/>
  <c r="AL408" i="2"/>
  <c r="AH408" i="2"/>
  <c r="AO408" i="2"/>
  <c r="AK408" i="2"/>
  <c r="AF408" i="2"/>
  <c r="AI396" i="2"/>
  <c r="AF396" i="2"/>
  <c r="AO396" i="2"/>
  <c r="AN396" i="2"/>
  <c r="AJ396" i="2"/>
  <c r="AM396" i="2"/>
  <c r="AH396" i="2"/>
  <c r="AK396" i="2"/>
  <c r="AG396" i="2"/>
  <c r="AL396" i="2"/>
  <c r="AI410" i="2"/>
  <c r="AM410" i="2"/>
  <c r="AF410" i="2"/>
  <c r="AN410" i="2"/>
  <c r="AG410" i="2"/>
  <c r="AL410" i="2"/>
  <c r="AO410" i="2"/>
  <c r="AK410" i="2"/>
  <c r="AH410" i="2"/>
  <c r="AJ410" i="2"/>
  <c r="AI394" i="2"/>
  <c r="AK394" i="2"/>
  <c r="AM394" i="2"/>
  <c r="AF394" i="2"/>
  <c r="AO394" i="2"/>
  <c r="AL394" i="2"/>
  <c r="AJ394" i="2"/>
  <c r="AH394" i="2"/>
  <c r="AG394" i="2"/>
  <c r="AN394" i="2"/>
  <c r="AI381" i="2"/>
  <c r="AK381" i="2"/>
  <c r="AF381" i="2"/>
  <c r="AO381" i="2"/>
  <c r="AJ381" i="2"/>
  <c r="AH381" i="2"/>
  <c r="AG381" i="2"/>
  <c r="AN381" i="2"/>
  <c r="AL381" i="2"/>
  <c r="AM381" i="2"/>
  <c r="AI401" i="2"/>
  <c r="AO401" i="2"/>
  <c r="AN401" i="2"/>
  <c r="AK401" i="2"/>
  <c r="AH401" i="2"/>
  <c r="AJ401" i="2"/>
  <c r="AL401" i="2"/>
  <c r="AG401" i="2"/>
  <c r="AF401" i="2"/>
  <c r="AM401" i="2"/>
  <c r="AI400" i="2"/>
  <c r="AG400" i="2"/>
  <c r="AF400" i="2"/>
  <c r="AN400" i="2"/>
  <c r="AL400" i="2"/>
  <c r="AH400" i="2"/>
  <c r="AK400" i="2"/>
  <c r="AJ400" i="2"/>
  <c r="AO400" i="2"/>
  <c r="AM400" i="2"/>
  <c r="AI399" i="2"/>
  <c r="AG399" i="2"/>
  <c r="AM399" i="2"/>
  <c r="AF399" i="2"/>
  <c r="AL399" i="2"/>
  <c r="AK399" i="2"/>
  <c r="AN399" i="2"/>
  <c r="AH399" i="2"/>
  <c r="AJ399" i="2"/>
  <c r="AO399" i="2"/>
  <c r="AI406" i="2"/>
  <c r="AM406" i="2"/>
  <c r="AK406" i="2"/>
  <c r="AH406" i="2"/>
  <c r="AO406" i="2"/>
  <c r="AF406" i="2"/>
  <c r="AG406" i="2"/>
  <c r="AJ406" i="2"/>
  <c r="AN406" i="2"/>
  <c r="AL406" i="2"/>
  <c r="AL405" i="2"/>
  <c r="AJ405" i="2"/>
  <c r="AM405" i="2"/>
  <c r="AK405" i="2"/>
  <c r="AN405" i="2"/>
  <c r="AO405" i="2"/>
  <c r="AF405" i="2"/>
  <c r="AG405" i="2"/>
  <c r="AH405" i="2"/>
  <c r="AI405" i="2"/>
  <c r="AI427" i="2"/>
  <c r="AN427" i="2"/>
  <c r="AL427" i="2"/>
  <c r="AJ427" i="2"/>
  <c r="AM427" i="2"/>
  <c r="AH427" i="2"/>
  <c r="AG427" i="2"/>
  <c r="AK427" i="2"/>
  <c r="AF427" i="2"/>
  <c r="AO427" i="2"/>
  <c r="AI430" i="2"/>
  <c r="AO430" i="2"/>
  <c r="AG430" i="2"/>
  <c r="AN430" i="2"/>
  <c r="AM430" i="2"/>
  <c r="AF430" i="2"/>
  <c r="AJ430" i="2"/>
  <c r="AK430" i="2"/>
  <c r="AL430" i="2"/>
  <c r="AH430" i="2"/>
  <c r="AI423" i="2"/>
  <c r="AH423" i="2"/>
  <c r="AM423" i="2"/>
  <c r="AN423" i="2"/>
  <c r="AK423" i="2"/>
  <c r="AL423" i="2"/>
  <c r="AJ423" i="2"/>
  <c r="AG423" i="2"/>
  <c r="AF423" i="2"/>
  <c r="AO423" i="2"/>
  <c r="AI421" i="2"/>
  <c r="AH421" i="2"/>
  <c r="AF421" i="2"/>
  <c r="AO421" i="2"/>
  <c r="AJ421" i="2"/>
  <c r="AL421" i="2"/>
  <c r="AG421" i="2"/>
  <c r="AN421" i="2"/>
  <c r="AK421" i="2"/>
  <c r="AM421" i="2"/>
  <c r="AI383" i="2"/>
  <c r="AO383" i="2"/>
  <c r="AF383" i="2"/>
  <c r="AL383" i="2"/>
  <c r="AN383" i="2"/>
  <c r="AM383" i="2"/>
  <c r="AJ383" i="2"/>
  <c r="AH383" i="2"/>
  <c r="AG383" i="2"/>
  <c r="AK383" i="2"/>
  <c r="AI411" i="2"/>
  <c r="AO411" i="2"/>
  <c r="AH411" i="2"/>
  <c r="AF411" i="2"/>
  <c r="AG411" i="2"/>
  <c r="AK411" i="2"/>
  <c r="AN411" i="2"/>
  <c r="AJ411" i="2"/>
  <c r="AL411" i="2"/>
  <c r="AM411" i="2"/>
  <c r="AI418" i="2"/>
  <c r="AN418" i="2"/>
  <c r="AM418" i="2"/>
  <c r="AG418" i="2"/>
  <c r="AJ418" i="2"/>
  <c r="AL418" i="2"/>
  <c r="AK418" i="2"/>
  <c r="AO418" i="2"/>
  <c r="AH418" i="2"/>
  <c r="AF418" i="2"/>
  <c r="AI395" i="2"/>
  <c r="AH395" i="2"/>
  <c r="AL395" i="2"/>
  <c r="AF395" i="2"/>
  <c r="AO395" i="2"/>
  <c r="AJ395" i="2"/>
  <c r="AK395" i="2"/>
  <c r="AN395" i="2"/>
  <c r="AM395" i="2"/>
  <c r="AG395" i="2"/>
  <c r="AI414" i="2"/>
  <c r="AM414" i="2"/>
  <c r="AF414" i="2"/>
  <c r="AL414" i="2"/>
  <c r="AO414" i="2"/>
  <c r="AG414" i="2"/>
  <c r="AJ414" i="2"/>
  <c r="AN414" i="2"/>
  <c r="AH414" i="2"/>
  <c r="AK414" i="2"/>
  <c r="AI393" i="2"/>
  <c r="AM393" i="2"/>
  <c r="AN393" i="2"/>
  <c r="AL393" i="2"/>
  <c r="AF393" i="2"/>
  <c r="AO393" i="2"/>
  <c r="AJ393" i="2"/>
  <c r="AK393" i="2"/>
  <c r="AG393" i="2"/>
  <c r="AH393" i="2"/>
  <c r="AI425" i="2"/>
  <c r="AG425" i="2"/>
  <c r="AM425" i="2"/>
  <c r="AF425" i="2"/>
  <c r="AO425" i="2"/>
  <c r="AJ425" i="2"/>
  <c r="AN425" i="2"/>
  <c r="AK425" i="2"/>
  <c r="AH425" i="2"/>
  <c r="AL425" i="2"/>
  <c r="AI413" i="2"/>
  <c r="AO413" i="2"/>
  <c r="AG413" i="2"/>
  <c r="AK413" i="2"/>
  <c r="AF413" i="2"/>
  <c r="AJ413" i="2"/>
  <c r="AH413" i="2"/>
  <c r="AM413" i="2"/>
  <c r="AL413" i="2"/>
  <c r="AN413" i="2"/>
  <c r="AI382" i="2"/>
  <c r="AM382" i="2"/>
  <c r="AJ382" i="2"/>
  <c r="AG382" i="2"/>
  <c r="AH382" i="2"/>
  <c r="AL382" i="2"/>
  <c r="AF382" i="2"/>
  <c r="AO382" i="2"/>
  <c r="AN382" i="2"/>
  <c r="AK382" i="2"/>
  <c r="AI407" i="2"/>
  <c r="AM407" i="2"/>
  <c r="AL407" i="2"/>
  <c r="AH407" i="2"/>
  <c r="AF407" i="2"/>
  <c r="AN407" i="2"/>
  <c r="AK407" i="2"/>
  <c r="AJ407" i="2"/>
  <c r="AO407" i="2"/>
  <c r="AG407" i="2"/>
  <c r="AI392" i="2"/>
  <c r="AH392" i="2"/>
  <c r="AG392" i="2"/>
  <c r="AN392" i="2"/>
  <c r="AK392" i="2"/>
  <c r="AO392" i="2"/>
  <c r="AL392" i="2"/>
  <c r="AF392" i="2"/>
  <c r="AJ392" i="2"/>
  <c r="AM392" i="2"/>
  <c r="V370" i="6"/>
  <c r="V384" i="6"/>
  <c r="V415" i="6"/>
  <c r="V398" i="6"/>
  <c r="V388" i="6"/>
  <c r="AI426" i="2"/>
  <c r="AK426" i="2"/>
  <c r="AM426" i="2"/>
  <c r="AN426" i="2"/>
  <c r="AG426" i="2"/>
  <c r="AH426" i="2"/>
  <c r="AL426" i="2"/>
  <c r="AF426" i="2"/>
  <c r="AJ426" i="2"/>
  <c r="AO426" i="2"/>
  <c r="AI420" i="2"/>
  <c r="AN420" i="2"/>
  <c r="AF420" i="2"/>
  <c r="AJ420" i="2"/>
  <c r="AO420" i="2"/>
  <c r="AL420" i="2"/>
  <c r="AH420" i="2"/>
  <c r="AK420" i="2"/>
  <c r="AG420" i="2"/>
  <c r="AM420" i="2"/>
  <c r="AI380" i="2"/>
  <c r="AF380" i="2"/>
  <c r="AO380" i="2"/>
  <c r="AL380" i="2"/>
  <c r="AJ380" i="2"/>
  <c r="AG380" i="2"/>
  <c r="AN380" i="2"/>
  <c r="AK380" i="2"/>
  <c r="AM380" i="2"/>
  <c r="AH380" i="2"/>
  <c r="AI416" i="2"/>
  <c r="AL416" i="2"/>
  <c r="AN416" i="2"/>
  <c r="AM416" i="2"/>
  <c r="AJ416" i="2"/>
  <c r="AK416" i="2"/>
  <c r="AG416" i="2"/>
  <c r="AF416" i="2"/>
  <c r="AO416" i="2"/>
  <c r="AH416" i="2"/>
  <c r="J356" i="2"/>
  <c r="J372" i="2"/>
  <c r="J362" i="2"/>
  <c r="J373" i="2"/>
  <c r="J365" i="2"/>
  <c r="J363" i="2"/>
  <c r="J357" i="2"/>
  <c r="J360" i="2"/>
  <c r="J375" i="2"/>
  <c r="J374" i="2"/>
  <c r="J376" i="2"/>
  <c r="J354" i="2"/>
  <c r="J353" i="2"/>
  <c r="J358" i="2"/>
  <c r="J359" i="2"/>
  <c r="J361" i="2"/>
  <c r="J364" i="2"/>
  <c r="J355" i="2"/>
  <c r="J352" i="2"/>
  <c r="J351" i="2"/>
  <c r="V355" i="6"/>
  <c r="V352" i="6"/>
  <c r="V362" i="6"/>
  <c r="V349" i="6"/>
  <c r="V359" i="6"/>
  <c r="V356" i="6"/>
  <c r="V353" i="6"/>
  <c r="V350" i="6"/>
  <c r="V360" i="6"/>
  <c r="V347" i="6"/>
  <c r="V357" i="6"/>
  <c r="V354" i="6"/>
  <c r="V358" i="6"/>
  <c r="V351" i="6"/>
  <c r="V361" i="6"/>
  <c r="V348" i="6"/>
  <c r="V191" i="6"/>
  <c r="Y56" i="21" s="1"/>
  <c r="V327" i="6"/>
  <c r="Z327" i="6" s="1"/>
  <c r="J17" i="15"/>
  <c r="K17" i="15"/>
  <c r="K8" i="15"/>
  <c r="I12" i="15"/>
  <c r="J18" i="15"/>
  <c r="K18" i="15"/>
  <c r="V41" i="6"/>
  <c r="X21" i="12" s="1"/>
  <c r="V134" i="6"/>
  <c r="J2" i="10"/>
  <c r="K20" i="10"/>
  <c r="J27" i="10"/>
  <c r="K27" i="10"/>
  <c r="I5" i="10"/>
  <c r="I10" i="10"/>
  <c r="J22" i="10"/>
  <c r="K22" i="10"/>
  <c r="J371" i="2"/>
  <c r="J368" i="2"/>
  <c r="J4" i="10"/>
  <c r="K4" i="10"/>
  <c r="V233" i="6"/>
  <c r="V331" i="6"/>
  <c r="V392" i="6"/>
  <c r="V202" i="6"/>
  <c r="Y67" i="21" s="1"/>
  <c r="V129" i="6"/>
  <c r="V206" i="6"/>
  <c r="Y71" i="21" s="1"/>
  <c r="V29" i="6"/>
  <c r="V377" i="6"/>
  <c r="V113" i="6"/>
  <c r="V253" i="6"/>
  <c r="Y18" i="8" s="1"/>
  <c r="V194" i="6"/>
  <c r="V142" i="6"/>
  <c r="Y7" i="21" s="1"/>
  <c r="V89" i="6"/>
  <c r="V56" i="6"/>
  <c r="V110" i="6"/>
  <c r="V294" i="6"/>
  <c r="V413" i="6"/>
  <c r="V251" i="6"/>
  <c r="Y16" i="8" s="1"/>
  <c r="V189" i="6"/>
  <c r="Y54" i="21" s="1"/>
  <c r="V408" i="6"/>
  <c r="V252" i="6"/>
  <c r="Y17" i="8" s="1"/>
  <c r="V24" i="6"/>
  <c r="V230" i="6"/>
  <c r="V27" i="6"/>
  <c r="V216" i="6"/>
  <c r="V284" i="6"/>
  <c r="Y49" i="8" s="1"/>
  <c r="V244" i="6"/>
  <c r="Y9" i="8" s="1"/>
  <c r="V240" i="6"/>
  <c r="Y5" i="8" s="1"/>
  <c r="V238" i="6"/>
  <c r="Y3" i="8" s="1"/>
  <c r="V340" i="6"/>
  <c r="V400" i="6"/>
  <c r="V300" i="6"/>
  <c r="V97" i="6"/>
  <c r="V159" i="6"/>
  <c r="Y24" i="21" s="1"/>
  <c r="V406" i="6"/>
  <c r="V214" i="6"/>
  <c r="V196" i="6"/>
  <c r="V315" i="6"/>
  <c r="V371" i="6"/>
  <c r="V98" i="6"/>
  <c r="V386" i="6"/>
  <c r="V243" i="6"/>
  <c r="Y8" i="8" s="1"/>
  <c r="V157" i="6"/>
  <c r="Y22" i="21" s="1"/>
  <c r="V273" i="6"/>
  <c r="Y38" i="8" s="1"/>
  <c r="V59" i="6"/>
  <c r="V255" i="6"/>
  <c r="Y20" i="8" s="1"/>
  <c r="V221" i="6"/>
  <c r="V249" i="6"/>
  <c r="Y14" i="8" s="1"/>
  <c r="V324" i="6"/>
  <c r="Z324" i="6" s="1"/>
  <c r="V116" i="6"/>
  <c r="V270" i="6"/>
  <c r="Y35" i="8" s="1"/>
  <c r="V102" i="6"/>
  <c r="V74" i="6"/>
  <c r="V70" i="6"/>
  <c r="V280" i="6"/>
  <c r="Y45" i="8" s="1"/>
  <c r="V409" i="6"/>
  <c r="V218" i="6"/>
  <c r="V122" i="6"/>
  <c r="V399" i="6"/>
  <c r="V372" i="6"/>
  <c r="V68" i="6"/>
  <c r="V254" i="6"/>
  <c r="Y19" i="8" s="1"/>
  <c r="V319" i="6"/>
  <c r="V91" i="6"/>
  <c r="V330" i="6"/>
  <c r="V99" i="6"/>
  <c r="V209" i="6"/>
  <c r="V169" i="6"/>
  <c r="Y34" i="21" s="1"/>
  <c r="V58" i="6"/>
  <c r="V241" i="6"/>
  <c r="Y6" i="8" s="1"/>
  <c r="V43" i="6"/>
  <c r="V154" i="6"/>
  <c r="Y19" i="21" s="1"/>
  <c r="V291" i="6"/>
  <c r="V375" i="6"/>
  <c r="V112" i="6"/>
  <c r="V217" i="6"/>
  <c r="V184" i="6"/>
  <c r="V237" i="6"/>
  <c r="Y2" i="8" s="1"/>
  <c r="V132" i="6"/>
  <c r="V109" i="6"/>
  <c r="V257" i="6"/>
  <c r="Y22" i="8" s="1"/>
  <c r="V402" i="6"/>
  <c r="V321" i="6"/>
  <c r="V342" i="6"/>
  <c r="V274" i="6"/>
  <c r="Y39" i="8" s="1"/>
  <c r="V124" i="6"/>
  <c r="V247" i="6"/>
  <c r="Y12" i="8" s="1"/>
  <c r="V42" i="6"/>
  <c r="V199" i="6"/>
  <c r="Y64" i="21" s="1"/>
  <c r="V234" i="6"/>
  <c r="V345" i="6"/>
  <c r="V155" i="6"/>
  <c r="Y20" i="21" s="1"/>
  <c r="V84" i="6"/>
  <c r="V166" i="6"/>
  <c r="Y31" i="21" s="1"/>
  <c r="V62" i="6"/>
  <c r="V313" i="6"/>
  <c r="V308" i="6"/>
  <c r="Z308" i="6" s="1"/>
  <c r="V37" i="6"/>
  <c r="V165" i="6"/>
  <c r="Y30" i="21" s="1"/>
  <c r="V263" i="6"/>
  <c r="Y28" i="8" s="1"/>
  <c r="V197" i="6"/>
  <c r="V137" i="6"/>
  <c r="Y2" i="21" s="1"/>
  <c r="V305" i="6"/>
  <c r="V47" i="6"/>
  <c r="V346" i="6"/>
  <c r="V195" i="6"/>
  <c r="V161" i="6"/>
  <c r="Y26" i="21" s="1"/>
  <c r="V211" i="6"/>
  <c r="V397" i="6"/>
  <c r="V264" i="6"/>
  <c r="Y29" i="8" s="1"/>
  <c r="V310" i="6"/>
  <c r="V266" i="6"/>
  <c r="Y31" i="8" s="1"/>
  <c r="V108" i="6"/>
  <c r="V149" i="6"/>
  <c r="Y14" i="21" s="1"/>
  <c r="V341" i="6"/>
  <c r="V379" i="6"/>
  <c r="V210" i="6"/>
  <c r="V373" i="6"/>
  <c r="V39" i="6"/>
  <c r="V198" i="6"/>
  <c r="Y63" i="21" s="1"/>
  <c r="V147" i="6"/>
  <c r="Y12" i="21" s="1"/>
  <c r="V256" i="6"/>
  <c r="Y21" i="8" s="1"/>
  <c r="V220" i="6"/>
  <c r="V271" i="6"/>
  <c r="Y36" i="8" s="1"/>
  <c r="V152" i="6"/>
  <c r="Y17" i="21" s="1"/>
  <c r="V301" i="6"/>
  <c r="V83" i="6"/>
  <c r="V275" i="6"/>
  <c r="Y40" i="8" s="1"/>
  <c r="V145" i="6"/>
  <c r="Y10" i="21" s="1"/>
  <c r="V79" i="6"/>
  <c r="V267" i="6"/>
  <c r="Y32" i="8" s="1"/>
  <c r="V177" i="6"/>
  <c r="Y42" i="21" s="1"/>
  <c r="V48" i="6"/>
  <c r="V176" i="6"/>
  <c r="Y41" i="21" s="1"/>
  <c r="V304" i="6"/>
  <c r="V323" i="6"/>
  <c r="Z323" i="6" s="1"/>
  <c r="V117" i="6"/>
  <c r="V369" i="6"/>
  <c r="V185" i="6"/>
  <c r="Y50" i="21" s="1"/>
  <c r="V260" i="6"/>
  <c r="Y25" i="8" s="1"/>
  <c r="V279" i="6"/>
  <c r="Y44" i="8" s="1"/>
  <c r="V170" i="6"/>
  <c r="Y35" i="21" s="1"/>
  <c r="V125" i="6"/>
  <c r="V212" i="6"/>
  <c r="V259" i="6"/>
  <c r="Y24" i="8" s="1"/>
  <c r="V71" i="6"/>
  <c r="V188" i="6"/>
  <c r="Y53" i="21" s="1"/>
  <c r="V318" i="6"/>
  <c r="V81" i="6"/>
  <c r="V223" i="6"/>
  <c r="V69" i="6"/>
  <c r="V50" i="6"/>
  <c r="V26" i="6"/>
  <c r="V23" i="6"/>
  <c r="V213" i="6"/>
  <c r="V80" i="6"/>
  <c r="V407" i="6"/>
  <c r="V414" i="6"/>
  <c r="V114" i="6"/>
  <c r="V334" i="6"/>
  <c r="V168" i="6"/>
  <c r="Y33" i="21" s="1"/>
  <c r="V295" i="6"/>
  <c r="V32" i="6"/>
  <c r="V383" i="6"/>
  <c r="V94" i="6"/>
  <c r="V337" i="6"/>
  <c r="Z337" i="6" s="1"/>
  <c r="V374" i="6"/>
  <c r="V33" i="6"/>
  <c r="V261" i="6"/>
  <c r="Y26" i="8" s="1"/>
  <c r="V67" i="6"/>
  <c r="V290" i="6"/>
  <c r="V86" i="6"/>
  <c r="V311" i="6"/>
  <c r="V139" i="6"/>
  <c r="Y4" i="21" s="1"/>
  <c r="V205" i="6"/>
  <c r="Y70" i="21" s="1"/>
  <c r="V171" i="6"/>
  <c r="Y36" i="21" s="1"/>
  <c r="V118" i="6"/>
  <c r="V344" i="6"/>
  <c r="V285" i="6"/>
  <c r="Y50" i="8" s="1"/>
  <c r="V289" i="6"/>
  <c r="V88" i="6"/>
  <c r="V380" i="6"/>
  <c r="V262" i="6"/>
  <c r="Y27" i="8" s="1"/>
  <c r="V325" i="6"/>
  <c r="V46" i="6"/>
  <c r="V269" i="6"/>
  <c r="Y34" i="8" s="1"/>
  <c r="V314" i="6"/>
  <c r="V403" i="6"/>
  <c r="V35" i="6"/>
  <c r="V312" i="6"/>
  <c r="W6" i="14" s="1"/>
  <c r="V92" i="6"/>
  <c r="V128" i="6"/>
  <c r="V38" i="6"/>
  <c r="V219" i="6"/>
  <c r="V303" i="6"/>
  <c r="V73" i="6"/>
  <c r="V329" i="6"/>
  <c r="V365" i="6"/>
  <c r="V378" i="6"/>
  <c r="V61" i="6"/>
  <c r="V156" i="6"/>
  <c r="Y21" i="21" s="1"/>
  <c r="V276" i="6"/>
  <c r="Y41" i="8" s="1"/>
  <c r="V49" i="6"/>
  <c r="V141" i="6"/>
  <c r="Y6" i="21" s="1"/>
  <c r="V164" i="6"/>
  <c r="Y29" i="21" s="1"/>
  <c r="V140" i="6"/>
  <c r="Y5" i="21" s="1"/>
  <c r="V75" i="6"/>
  <c r="V138" i="6"/>
  <c r="Y3" i="21" s="1"/>
  <c r="V278" i="6"/>
  <c r="Y43" i="8" s="1"/>
  <c r="V242" i="6"/>
  <c r="Y7" i="8" s="1"/>
  <c r="AM175" i="6"/>
  <c r="V182" i="6"/>
  <c r="Y47" i="21" s="1"/>
  <c r="V173" i="6"/>
  <c r="Y38" i="21" s="1"/>
  <c r="V151" i="6"/>
  <c r="Y16" i="21" s="1"/>
  <c r="V416" i="6"/>
  <c r="V104" i="6"/>
  <c r="V229" i="6"/>
  <c r="V103" i="6"/>
  <c r="V412" i="6"/>
  <c r="V368" i="6"/>
  <c r="V163" i="6"/>
  <c r="Y28" i="21" s="1"/>
  <c r="V395" i="6"/>
  <c r="V226" i="6"/>
  <c r="V298" i="6"/>
  <c r="V55" i="6"/>
  <c r="V150" i="6"/>
  <c r="Y15" i="21" s="1"/>
  <c r="V22" i="6"/>
  <c r="V231" i="6"/>
  <c r="V153" i="6"/>
  <c r="Y18" i="21" s="1"/>
  <c r="V181" i="6"/>
  <c r="Y46" i="21" s="1"/>
  <c r="V405" i="6"/>
  <c r="V143" i="6"/>
  <c r="Y8" i="21" s="1"/>
  <c r="V64" i="6"/>
  <c r="V121" i="6"/>
  <c r="V190" i="6"/>
  <c r="Y55" i="21" s="1"/>
  <c r="V389" i="6"/>
  <c r="V30" i="6"/>
  <c r="V258" i="6"/>
  <c r="Y23" i="8" s="1"/>
  <c r="V175" i="6"/>
  <c r="Y40" i="21" s="1"/>
  <c r="V277" i="6"/>
  <c r="Y42" i="8" s="1"/>
  <c r="V239" i="6"/>
  <c r="Y4" i="8" s="1"/>
  <c r="V82" i="6"/>
  <c r="V224" i="6"/>
  <c r="V45" i="6"/>
  <c r="V53" i="6"/>
  <c r="V76" i="6"/>
  <c r="V200" i="6"/>
  <c r="Y65" i="21" s="1"/>
  <c r="V119" i="6"/>
  <c r="V158" i="6"/>
  <c r="Y23" i="21" s="1"/>
  <c r="V326" i="6"/>
  <c r="V268" i="6"/>
  <c r="Y33" i="8" s="1"/>
  <c r="V115" i="6"/>
  <c r="V174" i="6"/>
  <c r="Y39" i="21" s="1"/>
  <c r="V54" i="6"/>
  <c r="V146" i="6"/>
  <c r="Y11" i="21" s="1"/>
  <c r="V411" i="6"/>
  <c r="V178" i="6"/>
  <c r="Y43" i="21" s="1"/>
  <c r="V382" i="6"/>
  <c r="V187" i="6"/>
  <c r="Y52" i="21" s="1"/>
  <c r="V25" i="6"/>
  <c r="V90" i="6"/>
  <c r="V296" i="6"/>
  <c r="V40" i="6"/>
  <c r="V204" i="6"/>
  <c r="Y69" i="21" s="1"/>
  <c r="V393" i="6"/>
  <c r="V343" i="6"/>
  <c r="V404" i="6"/>
  <c r="V292" i="6"/>
  <c r="V317" i="6"/>
  <c r="V180" i="6"/>
  <c r="Y45" i="21" s="1"/>
  <c r="V333" i="6"/>
  <c r="Z333" i="6" s="1"/>
  <c r="V250" i="6"/>
  <c r="Y15" i="8" s="1"/>
  <c r="V394" i="6"/>
  <c r="V282" i="6"/>
  <c r="Y47" i="8" s="1"/>
  <c r="V36" i="6"/>
  <c r="V186" i="6"/>
  <c r="Y51" i="21" s="1"/>
  <c r="V162" i="6"/>
  <c r="Y27" i="21" s="1"/>
  <c r="V272" i="6"/>
  <c r="Y37" i="8" s="1"/>
  <c r="V401" i="6"/>
  <c r="V245" i="6"/>
  <c r="Y10" i="8" s="1"/>
  <c r="V106" i="6"/>
  <c r="V95" i="6"/>
  <c r="V130" i="6"/>
  <c r="V57" i="6"/>
  <c r="V96" i="6"/>
  <c r="V131" i="6"/>
  <c r="V160" i="6"/>
  <c r="Y25" i="21" s="1"/>
  <c r="V126" i="6"/>
  <c r="V367" i="6"/>
  <c r="V120" i="6"/>
  <c r="V338" i="6"/>
  <c r="V193" i="6"/>
  <c r="V66" i="6"/>
  <c r="V179" i="6"/>
  <c r="Y44" i="21" s="1"/>
  <c r="V391" i="6"/>
  <c r="V133" i="6"/>
  <c r="V192" i="6"/>
  <c r="Y57" i="21" s="1"/>
  <c r="V34" i="6"/>
  <c r="V215" i="6"/>
  <c r="V111" i="6"/>
  <c r="V309" i="6"/>
  <c r="V281" i="6"/>
  <c r="V328" i="6"/>
  <c r="V227" i="6"/>
  <c r="V107" i="6"/>
  <c r="V63" i="6"/>
  <c r="V232" i="6"/>
  <c r="V183" i="6"/>
  <c r="Y48" i="21" s="1"/>
  <c r="V144" i="6"/>
  <c r="Y9" i="21" s="1"/>
  <c r="V72" i="6"/>
  <c r="V390" i="6"/>
  <c r="V87" i="6"/>
  <c r="V203" i="6"/>
  <c r="Y68" i="21" s="1"/>
  <c r="V60" i="6"/>
  <c r="V385" i="6"/>
  <c r="V297" i="6"/>
  <c r="V31" i="6"/>
  <c r="V376" i="6"/>
  <c r="V127" i="6"/>
  <c r="V316" i="6"/>
  <c r="V167" i="6"/>
  <c r="Y32" i="21" s="1"/>
  <c r="V387" i="6"/>
  <c r="V265" i="6"/>
  <c r="Y30" i="8" s="1"/>
  <c r="V248" i="6"/>
  <c r="Y13" i="8" s="1"/>
  <c r="V225" i="6"/>
  <c r="V293" i="6"/>
  <c r="V246" i="6"/>
  <c r="Y11" i="8" s="1"/>
  <c r="V222" i="6"/>
  <c r="V148" i="6"/>
  <c r="Y13" i="21" s="1"/>
  <c r="V332" i="6"/>
  <c r="Z332" i="6" s="1"/>
  <c r="V172" i="6"/>
  <c r="Y37" i="21" s="1"/>
  <c r="V299" i="6"/>
  <c r="V396" i="6"/>
  <c r="V52" i="6"/>
  <c r="V201" i="6"/>
  <c r="Y66" i="21" s="1"/>
  <c r="V322" i="6"/>
  <c r="V228" i="6"/>
  <c r="V105" i="6"/>
  <c r="V339" i="6"/>
  <c r="V93" i="6"/>
  <c r="V288" i="6"/>
  <c r="V283" i="6"/>
  <c r="Y48" i="8" s="1"/>
  <c r="V302" i="6"/>
  <c r="V65" i="6"/>
  <c r="V44" i="6"/>
  <c r="V123" i="6"/>
  <c r="V381" i="6"/>
  <c r="V85" i="6"/>
  <c r="V51" i="6"/>
  <c r="V410" i="6"/>
  <c r="V366" i="6"/>
  <c r="V28" i="6"/>
  <c r="K12" i="10"/>
  <c r="J12" i="10"/>
  <c r="J11" i="10"/>
  <c r="K11" i="10"/>
  <c r="K24" i="10"/>
  <c r="J24" i="10"/>
  <c r="K23" i="10"/>
  <c r="J23" i="10"/>
  <c r="H25" i="28"/>
  <c r="J16" i="10"/>
  <c r="K16" i="10"/>
  <c r="J14" i="10"/>
  <c r="K14" i="10"/>
  <c r="H26" i="28"/>
  <c r="I3" i="10"/>
  <c r="I26" i="10"/>
  <c r="K9" i="10"/>
  <c r="J9" i="10"/>
  <c r="J13" i="10"/>
  <c r="K13" i="10"/>
  <c r="J15" i="10"/>
  <c r="K15" i="10"/>
  <c r="I17" i="10"/>
  <c r="J369" i="2"/>
  <c r="I6" i="10"/>
  <c r="I18" i="10"/>
  <c r="J8" i="10"/>
  <c r="K8" i="10"/>
  <c r="J25" i="10"/>
  <c r="K25" i="10"/>
  <c r="J21" i="10"/>
  <c r="K21" i="10"/>
  <c r="I7" i="10"/>
  <c r="J370" i="2"/>
  <c r="J367" i="2"/>
  <c r="H25" i="19" l="1"/>
  <c r="H26" i="19"/>
  <c r="I26" i="19" s="1"/>
  <c r="J7" i="15"/>
  <c r="K5" i="15"/>
  <c r="X11" i="15"/>
  <c r="Z297" i="6"/>
  <c r="X16" i="15"/>
  <c r="Z302" i="6"/>
  <c r="X2" i="15"/>
  <c r="Z288" i="6"/>
  <c r="X3" i="15"/>
  <c r="Z289" i="6"/>
  <c r="X8" i="15"/>
  <c r="Z294" i="6"/>
  <c r="Y49" i="21"/>
  <c r="V18" i="6"/>
  <c r="X5" i="15"/>
  <c r="Z291" i="6"/>
  <c r="X4" i="15"/>
  <c r="Z290" i="6"/>
  <c r="X15" i="15"/>
  <c r="Z301" i="6"/>
  <c r="X17" i="15"/>
  <c r="Z303" i="6"/>
  <c r="X19" i="15"/>
  <c r="Z305" i="6"/>
  <c r="X7" i="15"/>
  <c r="Z293" i="6"/>
  <c r="X10" i="15"/>
  <c r="Z296" i="6"/>
  <c r="X9" i="15"/>
  <c r="Z295" i="6"/>
  <c r="X6" i="15"/>
  <c r="Z292" i="6"/>
  <c r="X18" i="15"/>
  <c r="Z304" i="6"/>
  <c r="X13" i="15"/>
  <c r="Z299" i="6"/>
  <c r="X12" i="15"/>
  <c r="Z298" i="6"/>
  <c r="X14" i="15"/>
  <c r="Z300" i="6"/>
  <c r="K19" i="15"/>
  <c r="K14" i="15"/>
  <c r="J13" i="15"/>
  <c r="K9" i="15"/>
  <c r="K4" i="15"/>
  <c r="J2" i="15"/>
  <c r="L43" i="21"/>
  <c r="L42" i="21"/>
  <c r="J428" i="2"/>
  <c r="K15" i="15"/>
  <c r="Z407" i="6"/>
  <c r="X44" i="20"/>
  <c r="Z362" i="6"/>
  <c r="L27" i="19" s="1"/>
  <c r="W27" i="19"/>
  <c r="Z352" i="6"/>
  <c r="W17" i="19"/>
  <c r="Z390" i="6"/>
  <c r="X27" i="20"/>
  <c r="Z416" i="6"/>
  <c r="M53" i="20" s="1"/>
  <c r="X53" i="20"/>
  <c r="H6" i="19"/>
  <c r="Z380" i="6"/>
  <c r="X17" i="20"/>
  <c r="Z373" i="6"/>
  <c r="X10" i="20"/>
  <c r="H15" i="19"/>
  <c r="J9" i="20"/>
  <c r="K9" i="20"/>
  <c r="H12" i="19"/>
  <c r="Z379" i="6"/>
  <c r="X16" i="20"/>
  <c r="Z342" i="6"/>
  <c r="W7" i="19"/>
  <c r="Z408" i="6"/>
  <c r="X45" i="20"/>
  <c r="H10" i="19"/>
  <c r="J12" i="20"/>
  <c r="K12" i="20"/>
  <c r="Z339" i="6"/>
  <c r="W4" i="19"/>
  <c r="Z341" i="6"/>
  <c r="W6" i="19"/>
  <c r="J10" i="15"/>
  <c r="H9" i="19"/>
  <c r="Z388" i="6"/>
  <c r="X25" i="20"/>
  <c r="Z344" i="6"/>
  <c r="W9" i="19"/>
  <c r="Z402" i="6"/>
  <c r="X39" i="20"/>
  <c r="H4" i="19"/>
  <c r="Z398" i="6"/>
  <c r="X35" i="20"/>
  <c r="Z372" i="6"/>
  <c r="X9" i="20"/>
  <c r="Z381" i="6"/>
  <c r="X18" i="20"/>
  <c r="H20" i="19"/>
  <c r="Z370" i="6"/>
  <c r="X7" i="20"/>
  <c r="Z389" i="6"/>
  <c r="X26" i="20"/>
  <c r="Z404" i="6"/>
  <c r="X41" i="20"/>
  <c r="Z375" i="6"/>
  <c r="X12" i="20"/>
  <c r="Z393" i="6"/>
  <c r="X30" i="20"/>
  <c r="Z371" i="6"/>
  <c r="X8" i="20"/>
  <c r="H18" i="19"/>
  <c r="Z338" i="6"/>
  <c r="W3" i="19"/>
  <c r="Z406" i="6"/>
  <c r="X43" i="20"/>
  <c r="Z392" i="6"/>
  <c r="X29" i="20"/>
  <c r="Z347" i="6"/>
  <c r="W12" i="19"/>
  <c r="Z412" i="6"/>
  <c r="X49" i="20"/>
  <c r="Z399" i="6"/>
  <c r="X36" i="20"/>
  <c r="H3" i="19"/>
  <c r="Z401" i="6"/>
  <c r="X38" i="20"/>
  <c r="Z415" i="6"/>
  <c r="M52" i="20" s="1"/>
  <c r="X52" i="20"/>
  <c r="I25" i="19"/>
  <c r="J25" i="19"/>
  <c r="K10" i="20"/>
  <c r="J10" i="20"/>
  <c r="Z397" i="6"/>
  <c r="X34" i="20"/>
  <c r="Z377" i="6"/>
  <c r="X14" i="20"/>
  <c r="Z378" i="6"/>
  <c r="X15" i="20"/>
  <c r="Z351" i="6"/>
  <c r="W16" i="19"/>
  <c r="L2" i="19"/>
  <c r="Z387" i="6"/>
  <c r="X24" i="20"/>
  <c r="Z382" i="6"/>
  <c r="X19" i="20"/>
  <c r="Z360" i="6"/>
  <c r="W25" i="19"/>
  <c r="Z368" i="6"/>
  <c r="X5" i="20"/>
  <c r="Z355" i="6"/>
  <c r="W20" i="19"/>
  <c r="Z409" i="6"/>
  <c r="X46" i="20"/>
  <c r="H5" i="19"/>
  <c r="H27" i="19"/>
  <c r="Z396" i="6"/>
  <c r="X33" i="20"/>
  <c r="Z343" i="6"/>
  <c r="W8" i="19"/>
  <c r="Z346" i="6"/>
  <c r="W11" i="19"/>
  <c r="H24" i="19"/>
  <c r="J16" i="15"/>
  <c r="K6" i="15"/>
  <c r="Z383" i="6"/>
  <c r="X20" i="20"/>
  <c r="H21" i="19"/>
  <c r="Z367" i="6"/>
  <c r="X4" i="20"/>
  <c r="J11" i="15"/>
  <c r="Z350" i="6"/>
  <c r="W15" i="19"/>
  <c r="Z385" i="6"/>
  <c r="X22" i="20"/>
  <c r="H11" i="19"/>
  <c r="H8" i="19"/>
  <c r="Z369" i="6"/>
  <c r="X6" i="20"/>
  <c r="H16" i="19"/>
  <c r="J14" i="20"/>
  <c r="K14" i="20"/>
  <c r="Z374" i="6"/>
  <c r="X11" i="20"/>
  <c r="Z358" i="6"/>
  <c r="W23" i="19"/>
  <c r="Z354" i="6"/>
  <c r="W19" i="19"/>
  <c r="Z411" i="6"/>
  <c r="X48" i="20"/>
  <c r="Z353" i="6"/>
  <c r="W18" i="19"/>
  <c r="H22" i="19"/>
  <c r="K11" i="20"/>
  <c r="J11" i="20"/>
  <c r="Z394" i="6"/>
  <c r="X31" i="20"/>
  <c r="H14" i="19"/>
  <c r="Z386" i="6"/>
  <c r="X23" i="20"/>
  <c r="H13" i="19"/>
  <c r="Z405" i="6"/>
  <c r="X42" i="20"/>
  <c r="H23" i="19"/>
  <c r="Z400" i="6"/>
  <c r="X37" i="20"/>
  <c r="K3" i="15"/>
  <c r="Z356" i="6"/>
  <c r="W21" i="19"/>
  <c r="Z349" i="6"/>
  <c r="W14" i="19"/>
  <c r="Z403" i="6"/>
  <c r="X40" i="20"/>
  <c r="Z345" i="6"/>
  <c r="W10" i="19"/>
  <c r="J8" i="20"/>
  <c r="K8" i="20"/>
  <c r="Z413" i="6"/>
  <c r="X50" i="20"/>
  <c r="Z384" i="6"/>
  <c r="X21" i="20"/>
  <c r="J13" i="20"/>
  <c r="K13" i="20"/>
  <c r="Z348" i="6"/>
  <c r="W13" i="19"/>
  <c r="Z361" i="6"/>
  <c r="W26" i="19"/>
  <c r="Z391" i="6"/>
  <c r="X28" i="20"/>
  <c r="H7" i="19"/>
  <c r="Z357" i="6"/>
  <c r="W22" i="19"/>
  <c r="Z366" i="6"/>
  <c r="X3" i="20"/>
  <c r="Z410" i="6"/>
  <c r="X47" i="20"/>
  <c r="Z376" i="6"/>
  <c r="X13" i="20"/>
  <c r="Z395" i="6"/>
  <c r="X32" i="20"/>
  <c r="Z414" i="6"/>
  <c r="X51" i="20"/>
  <c r="Z340" i="6"/>
  <c r="W5" i="19"/>
  <c r="H19" i="19"/>
  <c r="Z359" i="6"/>
  <c r="W24" i="19"/>
  <c r="J421" i="2"/>
  <c r="J379" i="2"/>
  <c r="J411" i="2"/>
  <c r="J382" i="2"/>
  <c r="J405" i="2"/>
  <c r="W19" i="14"/>
  <c r="Z325" i="6"/>
  <c r="J400" i="2"/>
  <c r="W8" i="14"/>
  <c r="Z314" i="6"/>
  <c r="W12" i="14"/>
  <c r="Z318" i="6"/>
  <c r="W15" i="14"/>
  <c r="Z321" i="6"/>
  <c r="J401" i="2"/>
  <c r="J404" i="2"/>
  <c r="J409" i="2"/>
  <c r="W20" i="14"/>
  <c r="Z326" i="6"/>
  <c r="J410" i="2"/>
  <c r="J380" i="2"/>
  <c r="J406" i="2"/>
  <c r="W3" i="14"/>
  <c r="Z309" i="6"/>
  <c r="W11" i="14"/>
  <c r="Z317" i="6"/>
  <c r="W5" i="14"/>
  <c r="Z311" i="6"/>
  <c r="Y46" i="8"/>
  <c r="Z281" i="6"/>
  <c r="W16" i="14"/>
  <c r="Z322" i="6"/>
  <c r="W4" i="14"/>
  <c r="Z310" i="6"/>
  <c r="J403" i="2"/>
  <c r="J423" i="2"/>
  <c r="J424" i="2"/>
  <c r="J417" i="2"/>
  <c r="J414" i="2"/>
  <c r="J383" i="2"/>
  <c r="J413" i="2"/>
  <c r="W9" i="14"/>
  <c r="Z315" i="6"/>
  <c r="W23" i="14"/>
  <c r="Z329" i="6"/>
  <c r="J425" i="2"/>
  <c r="J418" i="2"/>
  <c r="J381" i="2"/>
  <c r="J415" i="2"/>
  <c r="W25" i="14"/>
  <c r="Z331" i="6"/>
  <c r="J399" i="2"/>
  <c r="J408" i="2"/>
  <c r="W24" i="14"/>
  <c r="Z330" i="6"/>
  <c r="J420" i="2"/>
  <c r="J427" i="2"/>
  <c r="W10" i="14"/>
  <c r="Z316" i="6"/>
  <c r="W28" i="14"/>
  <c r="Z334" i="6"/>
  <c r="W7" i="14"/>
  <c r="Z313" i="6"/>
  <c r="J426" i="2"/>
  <c r="J419" i="2"/>
  <c r="W22" i="14"/>
  <c r="Z328" i="6"/>
  <c r="W13" i="14"/>
  <c r="Z319" i="6"/>
  <c r="J407" i="2"/>
  <c r="J416" i="2"/>
  <c r="H2" i="19"/>
  <c r="I2" i="19" s="1"/>
  <c r="J393" i="2"/>
  <c r="J394" i="2"/>
  <c r="J430" i="2"/>
  <c r="J396" i="2"/>
  <c r="J397" i="2"/>
  <c r="J395" i="2"/>
  <c r="J392" i="2"/>
  <c r="Z191" i="6"/>
  <c r="L17" i="14"/>
  <c r="W17" i="14"/>
  <c r="L27" i="14"/>
  <c r="W27" i="14"/>
  <c r="L26" i="14"/>
  <c r="W26" i="14"/>
  <c r="L18" i="14"/>
  <c r="W18" i="14"/>
  <c r="W21" i="14"/>
  <c r="L21" i="14"/>
  <c r="J12" i="15"/>
  <c r="K12" i="15"/>
  <c r="Z193" i="6"/>
  <c r="Y58" i="21"/>
  <c r="Z195" i="6"/>
  <c r="Y60" i="21"/>
  <c r="Z197" i="6"/>
  <c r="Y62" i="21"/>
  <c r="Z194" i="6"/>
  <c r="Y59" i="21"/>
  <c r="Z196" i="6"/>
  <c r="Y61" i="21"/>
  <c r="Z41" i="6"/>
  <c r="Z178" i="6"/>
  <c r="Z192" i="6"/>
  <c r="X34" i="9"/>
  <c r="Z134" i="6"/>
  <c r="J5" i="10"/>
  <c r="K5" i="10"/>
  <c r="Z144" i="6"/>
  <c r="Z272" i="6"/>
  <c r="X56" i="12"/>
  <c r="Z76" i="6"/>
  <c r="Z269" i="6"/>
  <c r="X6" i="10"/>
  <c r="Z213" i="6"/>
  <c r="Z166" i="6"/>
  <c r="Z159" i="6"/>
  <c r="X29" i="9"/>
  <c r="Z129" i="6"/>
  <c r="X40" i="12"/>
  <c r="Z60" i="6"/>
  <c r="Z312" i="6"/>
  <c r="Z145" i="6"/>
  <c r="Z245" i="6"/>
  <c r="X19" i="9"/>
  <c r="Z119" i="6"/>
  <c r="X22" i="10"/>
  <c r="Z229" i="6"/>
  <c r="Z275" i="6"/>
  <c r="X9" i="12"/>
  <c r="Z29" i="6"/>
  <c r="Z283" i="6"/>
  <c r="X52" i="12"/>
  <c r="Z72" i="6"/>
  <c r="Z200" i="6"/>
  <c r="X4" i="9"/>
  <c r="Z104" i="6"/>
  <c r="X3" i="16"/>
  <c r="Z80" i="6"/>
  <c r="X6" i="16"/>
  <c r="Z83" i="6"/>
  <c r="X42" i="12"/>
  <c r="Z62" i="6"/>
  <c r="X14" i="16"/>
  <c r="Z91" i="6"/>
  <c r="Z206" i="6"/>
  <c r="X16" i="16"/>
  <c r="Z93" i="6"/>
  <c r="Z183" i="6"/>
  <c r="Z162" i="6"/>
  <c r="X33" i="12"/>
  <c r="Z53" i="6"/>
  <c r="X26" i="12"/>
  <c r="Z46" i="6"/>
  <c r="X3" i="12"/>
  <c r="Z23" i="6"/>
  <c r="Z152" i="6"/>
  <c r="X7" i="16"/>
  <c r="Z84" i="6"/>
  <c r="Z254" i="6"/>
  <c r="X20" i="16"/>
  <c r="Z97" i="6"/>
  <c r="Z202" i="6"/>
  <c r="X7" i="10"/>
  <c r="Z214" i="6"/>
  <c r="X25" i="10"/>
  <c r="Z232" i="6"/>
  <c r="Z186" i="6"/>
  <c r="X25" i="12"/>
  <c r="Z45" i="6"/>
  <c r="Z151" i="6"/>
  <c r="Z271" i="6"/>
  <c r="Z155" i="6"/>
  <c r="X48" i="12"/>
  <c r="Z68" i="6"/>
  <c r="Z165" i="6"/>
  <c r="Z203" i="6"/>
  <c r="X3" i="9"/>
  <c r="Z103" i="6"/>
  <c r="X24" i="12"/>
  <c r="Z44" i="6"/>
  <c r="Z253" i="6"/>
  <c r="X15" i="12"/>
  <c r="Z35" i="6"/>
  <c r="X43" i="12"/>
  <c r="Z63" i="6"/>
  <c r="X16" i="12"/>
  <c r="Z36" i="6"/>
  <c r="X17" i="10"/>
  <c r="Z224" i="6"/>
  <c r="Z173" i="6"/>
  <c r="Z262" i="6"/>
  <c r="X6" i="12"/>
  <c r="Z26" i="6"/>
  <c r="X13" i="10"/>
  <c r="Z220" i="6"/>
  <c r="J7" i="10"/>
  <c r="K7" i="10"/>
  <c r="X21" i="10"/>
  <c r="Z228" i="6"/>
  <c r="X7" i="9"/>
  <c r="Z107" i="6"/>
  <c r="Z282" i="6"/>
  <c r="X5" i="16"/>
  <c r="Z82" i="6"/>
  <c r="Z182" i="6"/>
  <c r="X30" i="12"/>
  <c r="Z50" i="6"/>
  <c r="Z256" i="6"/>
  <c r="X27" i="10"/>
  <c r="Z234" i="6"/>
  <c r="X20" i="10"/>
  <c r="Z227" i="6"/>
  <c r="Z239" i="6"/>
  <c r="AM177" i="6"/>
  <c r="AN179" i="6" s="1"/>
  <c r="AP176" i="6"/>
  <c r="AN176" i="6"/>
  <c r="AS176" i="6"/>
  <c r="AK176" i="6"/>
  <c r="AJ176" i="6"/>
  <c r="AM176" i="6"/>
  <c r="AO176" i="6"/>
  <c r="AR176" i="6"/>
  <c r="AL176" i="6"/>
  <c r="AQ176" i="6"/>
  <c r="X11" i="16"/>
  <c r="Z88" i="6"/>
  <c r="Z147" i="6"/>
  <c r="Z199" i="6"/>
  <c r="X26" i="10"/>
  <c r="Z233" i="6"/>
  <c r="J17" i="10"/>
  <c r="K17" i="10"/>
  <c r="Z201" i="6"/>
  <c r="Z250" i="6"/>
  <c r="Z277" i="6"/>
  <c r="Z242" i="6"/>
  <c r="X49" i="12"/>
  <c r="Z69" i="6"/>
  <c r="Z198" i="6"/>
  <c r="X22" i="12"/>
  <c r="Z42" i="6"/>
  <c r="X22" i="9"/>
  <c r="Z122" i="6"/>
  <c r="Z238" i="6"/>
  <c r="X45" i="12"/>
  <c r="Z65" i="6"/>
  <c r="X10" i="16"/>
  <c r="Z87" i="6"/>
  <c r="Z158" i="6"/>
  <c r="X22" i="16"/>
  <c r="Z99" i="6"/>
  <c r="X5" i="9"/>
  <c r="Z105" i="6"/>
  <c r="X32" i="12"/>
  <c r="Z52" i="6"/>
  <c r="Z175" i="6"/>
  <c r="Z278" i="6"/>
  <c r="Z285" i="6"/>
  <c r="X16" i="10"/>
  <c r="Z223" i="6"/>
  <c r="X19" i="12"/>
  <c r="Z39" i="6"/>
  <c r="Z247" i="6"/>
  <c r="X11" i="10"/>
  <c r="Z218" i="6"/>
  <c r="Z240" i="6"/>
  <c r="Z180" i="6"/>
  <c r="Z258" i="6"/>
  <c r="Z138" i="6"/>
  <c r="X4" i="16"/>
  <c r="Z81" i="6"/>
  <c r="X24" i="9"/>
  <c r="Z124" i="6"/>
  <c r="Z244" i="6"/>
  <c r="Z284" i="6"/>
  <c r="J26" i="10"/>
  <c r="K26" i="10"/>
  <c r="X8" i="10"/>
  <c r="Z215" i="6"/>
  <c r="Z190" i="6"/>
  <c r="Z164" i="6"/>
  <c r="Z171" i="6"/>
  <c r="X51" i="12"/>
  <c r="Z71" i="6"/>
  <c r="X50" i="12"/>
  <c r="Z70" i="6"/>
  <c r="X7" i="12"/>
  <c r="Z27" i="6"/>
  <c r="X10" i="12"/>
  <c r="Z30" i="6"/>
  <c r="X21" i="9"/>
  <c r="Z121" i="6"/>
  <c r="Z141" i="6"/>
  <c r="Z205" i="6"/>
  <c r="X23" i="10"/>
  <c r="Z230" i="6"/>
  <c r="X15" i="10"/>
  <c r="Z222" i="6"/>
  <c r="X44" i="12"/>
  <c r="Z64" i="6"/>
  <c r="X29" i="12"/>
  <c r="Z49" i="6"/>
  <c r="Z139" i="6"/>
  <c r="X5" i="10"/>
  <c r="Z212" i="6"/>
  <c r="X8" i="9"/>
  <c r="Z108" i="6"/>
  <c r="Z257" i="6"/>
  <c r="X54" i="12"/>
  <c r="Z74" i="6"/>
  <c r="X4" i="12"/>
  <c r="Z24" i="6"/>
  <c r="Z268" i="6"/>
  <c r="Z274" i="6"/>
  <c r="Z140" i="6"/>
  <c r="X20" i="12"/>
  <c r="Z40" i="6"/>
  <c r="Z156" i="6"/>
  <c r="X9" i="16"/>
  <c r="Z86" i="6"/>
  <c r="Z170" i="6"/>
  <c r="X32" i="9"/>
  <c r="Z132" i="6"/>
  <c r="Z270" i="6"/>
  <c r="X9" i="10"/>
  <c r="Z216" i="6"/>
  <c r="Z148" i="6"/>
  <c r="Z179" i="6"/>
  <c r="Z181" i="6"/>
  <c r="X41" i="12"/>
  <c r="Z61" i="6"/>
  <c r="Z279" i="6"/>
  <c r="Z264" i="6"/>
  <c r="Z237" i="6"/>
  <c r="X16" i="9"/>
  <c r="Z116" i="6"/>
  <c r="Z189" i="6"/>
  <c r="Z248" i="6"/>
  <c r="X46" i="12"/>
  <c r="Z66" i="6"/>
  <c r="X13" i="16"/>
  <c r="Z90" i="6"/>
  <c r="Z153" i="6"/>
  <c r="X47" i="12"/>
  <c r="Z67" i="6"/>
  <c r="Z260" i="6"/>
  <c r="Z184" i="6"/>
  <c r="X33" i="9"/>
  <c r="Z133" i="6"/>
  <c r="X18" i="16"/>
  <c r="Z95" i="6"/>
  <c r="X14" i="9"/>
  <c r="Z114" i="6"/>
  <c r="W2" i="14"/>
  <c r="Z185" i="6"/>
  <c r="J18" i="10"/>
  <c r="K18" i="10"/>
  <c r="X8" i="12"/>
  <c r="Z28" i="6"/>
  <c r="Z187" i="6"/>
  <c r="X2" i="12"/>
  <c r="Z22" i="6"/>
  <c r="X13" i="12"/>
  <c r="Z33" i="6"/>
  <c r="Z161" i="6"/>
  <c r="X12" i="9"/>
  <c r="Z112" i="6"/>
  <c r="X14" i="10"/>
  <c r="Z221" i="6"/>
  <c r="X13" i="9"/>
  <c r="Z113" i="6"/>
  <c r="Z265" i="6"/>
  <c r="X5" i="12"/>
  <c r="Z25" i="6"/>
  <c r="X24" i="10"/>
  <c r="Z231" i="6"/>
  <c r="X2" i="20"/>
  <c r="Z365" i="6"/>
  <c r="Z261" i="6"/>
  <c r="X10" i="10"/>
  <c r="Z217" i="6"/>
  <c r="Z167" i="6"/>
  <c r="X20" i="9"/>
  <c r="Z120" i="6"/>
  <c r="Z150" i="6"/>
  <c r="X17" i="9"/>
  <c r="Z117" i="6"/>
  <c r="Z255" i="6"/>
  <c r="Z320" i="6"/>
  <c r="X14" i="12"/>
  <c r="Z34" i="6"/>
  <c r="Z204" i="6"/>
  <c r="X10" i="9"/>
  <c r="Z110" i="6"/>
  <c r="X27" i="9"/>
  <c r="Z127" i="6"/>
  <c r="X26" i="9"/>
  <c r="Z126" i="6"/>
  <c r="X53" i="12"/>
  <c r="Z73" i="6"/>
  <c r="X17" i="16"/>
  <c r="Z94" i="6"/>
  <c r="X27" i="12"/>
  <c r="Z47" i="6"/>
  <c r="Z154" i="6"/>
  <c r="Z273" i="6"/>
  <c r="X36" i="12"/>
  <c r="Z56" i="6"/>
  <c r="Z267" i="6"/>
  <c r="X17" i="12"/>
  <c r="Z37" i="6"/>
  <c r="X6" i="9"/>
  <c r="Z106" i="6"/>
  <c r="X3" i="10"/>
  <c r="Z210" i="6"/>
  <c r="Z280" i="6"/>
  <c r="K10" i="10"/>
  <c r="J10" i="10"/>
  <c r="J6" i="10"/>
  <c r="K6" i="10"/>
  <c r="X31" i="12"/>
  <c r="Z51" i="6"/>
  <c r="Z160" i="6"/>
  <c r="Z146" i="6"/>
  <c r="X19" i="10"/>
  <c r="Z226" i="6"/>
  <c r="X23" i="12"/>
  <c r="Z43" i="6"/>
  <c r="Z157" i="6"/>
  <c r="X12" i="16"/>
  <c r="Z89" i="6"/>
  <c r="Z149" i="6"/>
  <c r="Z252" i="6"/>
  <c r="Z251" i="6"/>
  <c r="X8" i="16"/>
  <c r="Z85" i="6"/>
  <c r="X11" i="12"/>
  <c r="Z31" i="6"/>
  <c r="X31" i="9"/>
  <c r="Z131" i="6"/>
  <c r="X34" i="12"/>
  <c r="Z54" i="6"/>
  <c r="X12" i="10"/>
  <c r="Z219" i="6"/>
  <c r="X12" i="12"/>
  <c r="Z32" i="6"/>
  <c r="Z176" i="6"/>
  <c r="Z137" i="6"/>
  <c r="Z241" i="6"/>
  <c r="Z243" i="6"/>
  <c r="Z142" i="6"/>
  <c r="X30" i="9"/>
  <c r="Z130" i="6"/>
  <c r="X15" i="16"/>
  <c r="Z92" i="6"/>
  <c r="X2" i="10"/>
  <c r="Z209" i="6"/>
  <c r="X2" i="16"/>
  <c r="Z79" i="6"/>
  <c r="X55" i="12"/>
  <c r="Z75" i="6"/>
  <c r="Z172" i="6"/>
  <c r="X11" i="9"/>
  <c r="Z111" i="6"/>
  <c r="X18" i="9"/>
  <c r="Z118" i="6"/>
  <c r="Z188" i="6"/>
  <c r="Z259" i="6"/>
  <c r="Z246" i="6"/>
  <c r="Z143" i="6"/>
  <c r="Z276" i="6"/>
  <c r="X25" i="9"/>
  <c r="Z125" i="6"/>
  <c r="Z266" i="6"/>
  <c r="X9" i="9"/>
  <c r="Z109" i="6"/>
  <c r="X2" i="9"/>
  <c r="Z102" i="6"/>
  <c r="X18" i="10"/>
  <c r="Z225" i="6"/>
  <c r="X4" i="10"/>
  <c r="Z211" i="6"/>
  <c r="X35" i="12"/>
  <c r="Z55" i="6"/>
  <c r="W2" i="19"/>
  <c r="X39" i="12"/>
  <c r="Z59" i="6"/>
  <c r="K3" i="10"/>
  <c r="J3" i="10"/>
  <c r="X19" i="16"/>
  <c r="Z96" i="6"/>
  <c r="Z174" i="6"/>
  <c r="Z163" i="6"/>
  <c r="X18" i="12"/>
  <c r="Z38" i="6"/>
  <c r="X28" i="12"/>
  <c r="Z48" i="6"/>
  <c r="X38" i="12"/>
  <c r="Z58" i="6"/>
  <c r="Z249" i="6"/>
  <c r="X23" i="9"/>
  <c r="Z123" i="6"/>
  <c r="X37" i="12"/>
  <c r="Z57" i="6"/>
  <c r="X15" i="9"/>
  <c r="Z115" i="6"/>
  <c r="X28" i="9"/>
  <c r="Z128" i="6"/>
  <c r="Z168" i="6"/>
  <c r="Z177" i="6"/>
  <c r="Z263" i="6"/>
  <c r="Z169" i="6"/>
  <c r="X21" i="16"/>
  <c r="Z98" i="6"/>
  <c r="M17" i="1"/>
  <c r="M19" i="1"/>
  <c r="I53" i="20" l="1"/>
  <c r="I51" i="20"/>
  <c r="K51" i="20" s="1"/>
  <c r="J26" i="19"/>
  <c r="Z18" i="6"/>
  <c r="L4" i="14"/>
  <c r="J51" i="20"/>
  <c r="L20" i="14"/>
  <c r="L22" i="14"/>
  <c r="L12" i="14"/>
  <c r="L3" i="14"/>
  <c r="L19" i="14"/>
  <c r="M50" i="20"/>
  <c r="N60" i="21"/>
  <c r="M8" i="12"/>
  <c r="L16" i="14"/>
  <c r="N18" i="8"/>
  <c r="I19" i="19"/>
  <c r="J19" i="19"/>
  <c r="M8" i="15"/>
  <c r="N13" i="21"/>
  <c r="N3" i="21"/>
  <c r="M24" i="12"/>
  <c r="N20" i="8"/>
  <c r="M49" i="12"/>
  <c r="N48" i="21"/>
  <c r="L23" i="19"/>
  <c r="L7" i="19"/>
  <c r="L10" i="14"/>
  <c r="N45" i="21"/>
  <c r="N21" i="8"/>
  <c r="N14" i="8"/>
  <c r="N41" i="8"/>
  <c r="M34" i="12"/>
  <c r="N50" i="21"/>
  <c r="N35" i="8"/>
  <c r="N46" i="8"/>
  <c r="M3" i="15"/>
  <c r="I50" i="20"/>
  <c r="M11" i="20"/>
  <c r="I20" i="19"/>
  <c r="J20" i="19"/>
  <c r="M16" i="20"/>
  <c r="M38" i="12"/>
  <c r="N8" i="21"/>
  <c r="L23" i="14"/>
  <c r="N5" i="8"/>
  <c r="N7" i="8"/>
  <c r="N68" i="21"/>
  <c r="N71" i="21"/>
  <c r="I43" i="20"/>
  <c r="N6" i="8"/>
  <c r="N69" i="21"/>
  <c r="M41" i="12"/>
  <c r="N4" i="8"/>
  <c r="M26" i="12"/>
  <c r="N10" i="8"/>
  <c r="I44" i="20"/>
  <c r="M12" i="20"/>
  <c r="M12" i="12"/>
  <c r="L6" i="14"/>
  <c r="N58" i="21"/>
  <c r="L19" i="19"/>
  <c r="M45" i="20"/>
  <c r="N45" i="8"/>
  <c r="M44" i="12"/>
  <c r="N63" i="21"/>
  <c r="N27" i="21"/>
  <c r="M40" i="12"/>
  <c r="L10" i="19"/>
  <c r="L8" i="19"/>
  <c r="M26" i="20"/>
  <c r="N23" i="8"/>
  <c r="L5" i="14"/>
  <c r="L5" i="19"/>
  <c r="M40" i="20"/>
  <c r="M33" i="20"/>
  <c r="M7" i="20"/>
  <c r="M30" i="12"/>
  <c r="N24" i="21"/>
  <c r="M51" i="20"/>
  <c r="L14" i="19"/>
  <c r="I12" i="19"/>
  <c r="J12" i="19"/>
  <c r="N11" i="8"/>
  <c r="M17" i="12"/>
  <c r="N15" i="21"/>
  <c r="N42" i="8"/>
  <c r="N47" i="21"/>
  <c r="N30" i="21"/>
  <c r="N31" i="21"/>
  <c r="I27" i="19"/>
  <c r="J27" i="19"/>
  <c r="M28" i="12"/>
  <c r="N24" i="8"/>
  <c r="N70" i="21"/>
  <c r="N15" i="8"/>
  <c r="M48" i="12"/>
  <c r="M15" i="15"/>
  <c r="M32" i="20"/>
  <c r="L21" i="19"/>
  <c r="I16" i="19"/>
  <c r="J16" i="19"/>
  <c r="M38" i="20"/>
  <c r="M18" i="20"/>
  <c r="N53" i="21"/>
  <c r="M11" i="12"/>
  <c r="N32" i="8"/>
  <c r="N35" i="21"/>
  <c r="N6" i="21"/>
  <c r="N12" i="8"/>
  <c r="M42" i="12"/>
  <c r="I31" i="20"/>
  <c r="I29" i="20"/>
  <c r="I5" i="19"/>
  <c r="J5" i="19"/>
  <c r="J3" i="19"/>
  <c r="I3" i="19"/>
  <c r="M15" i="12"/>
  <c r="M14" i="12"/>
  <c r="N41" i="21"/>
  <c r="N46" i="21"/>
  <c r="N10" i="21"/>
  <c r="M9" i="15"/>
  <c r="N47" i="8"/>
  <c r="M9" i="20"/>
  <c r="N34" i="8"/>
  <c r="I33" i="20"/>
  <c r="M6" i="15"/>
  <c r="N21" i="21"/>
  <c r="M47" i="20"/>
  <c r="M35" i="20"/>
  <c r="M20" i="12"/>
  <c r="M25" i="12"/>
  <c r="L20" i="19"/>
  <c r="N43" i="8"/>
  <c r="I15" i="20"/>
  <c r="N5" i="21"/>
  <c r="I48" i="20"/>
  <c r="I13" i="19"/>
  <c r="J13" i="19"/>
  <c r="M39" i="20"/>
  <c r="M55" i="12"/>
  <c r="I7" i="19"/>
  <c r="J7" i="19"/>
  <c r="M5" i="12"/>
  <c r="M51" i="12"/>
  <c r="M23" i="20"/>
  <c r="M41" i="20"/>
  <c r="N31" i="8"/>
  <c r="N44" i="21"/>
  <c r="N32" i="21"/>
  <c r="M19" i="12"/>
  <c r="I3" i="20"/>
  <c r="M13" i="20"/>
  <c r="I15" i="19"/>
  <c r="J15" i="19"/>
  <c r="M18" i="12"/>
  <c r="N36" i="8"/>
  <c r="M6" i="20"/>
  <c r="M56" i="12"/>
  <c r="J23" i="19"/>
  <c r="I23" i="19"/>
  <c r="N28" i="21"/>
  <c r="M5" i="15"/>
  <c r="N49" i="21"/>
  <c r="N39" i="21"/>
  <c r="N56" i="21"/>
  <c r="M3" i="20"/>
  <c r="N37" i="21"/>
  <c r="N17" i="8"/>
  <c r="M7" i="15"/>
  <c r="N9" i="21"/>
  <c r="M18" i="15"/>
  <c r="I24" i="20"/>
  <c r="M5" i="20"/>
  <c r="I20" i="20"/>
  <c r="L9" i="19"/>
  <c r="M53" i="12"/>
  <c r="L25" i="14"/>
  <c r="L15" i="19"/>
  <c r="N30" i="8"/>
  <c r="L11" i="14"/>
  <c r="M6" i="12"/>
  <c r="J14" i="19"/>
  <c r="I14" i="19"/>
  <c r="M25" i="20"/>
  <c r="M12" i="15"/>
  <c r="M4" i="12"/>
  <c r="N36" i="21"/>
  <c r="N67" i="21"/>
  <c r="N57" i="21"/>
  <c r="N43" i="21"/>
  <c r="L28" i="14"/>
  <c r="N54" i="21"/>
  <c r="N23" i="21"/>
  <c r="N19" i="8"/>
  <c r="L7" i="14"/>
  <c r="I30" i="20"/>
  <c r="I37" i="20"/>
  <c r="L13" i="19"/>
  <c r="I49" i="20"/>
  <c r="J10" i="19"/>
  <c r="I10" i="19"/>
  <c r="N4" i="21"/>
  <c r="M48" i="20"/>
  <c r="N52" i="21"/>
  <c r="L11" i="19"/>
  <c r="M36" i="12"/>
  <c r="M46" i="20"/>
  <c r="N19" i="21"/>
  <c r="I38" i="20"/>
  <c r="M27" i="12"/>
  <c r="N50" i="8"/>
  <c r="N37" i="8"/>
  <c r="I32" i="20"/>
  <c r="M47" i="12"/>
  <c r="N64" i="21"/>
  <c r="I41" i="20"/>
  <c r="M17" i="20"/>
  <c r="N14" i="21"/>
  <c r="N40" i="21"/>
  <c r="M2" i="15"/>
  <c r="L22" i="19"/>
  <c r="I6" i="19"/>
  <c r="J6" i="19"/>
  <c r="M11" i="15"/>
  <c r="M32" i="12"/>
  <c r="M22" i="20"/>
  <c r="M13" i="15"/>
  <c r="M29" i="20"/>
  <c r="J53" i="20"/>
  <c r="K53" i="20"/>
  <c r="M9" i="12"/>
  <c r="L8" i="14"/>
  <c r="I9" i="19"/>
  <c r="J9" i="19"/>
  <c r="I36" i="20"/>
  <c r="I23" i="20"/>
  <c r="I21" i="19"/>
  <c r="J21" i="19"/>
  <c r="N40" i="8"/>
  <c r="L13" i="14"/>
  <c r="I40" i="20"/>
  <c r="L6" i="19"/>
  <c r="M28" i="20"/>
  <c r="L26" i="19"/>
  <c r="L3" i="19"/>
  <c r="M35" i="12"/>
  <c r="N55" i="21"/>
  <c r="N38" i="21"/>
  <c r="M21" i="12"/>
  <c r="L17" i="19"/>
  <c r="N28" i="8"/>
  <c r="N61" i="21"/>
  <c r="N42" i="21"/>
  <c r="N11" i="21"/>
  <c r="N22" i="8"/>
  <c r="M16" i="12"/>
  <c r="I47" i="20"/>
  <c r="I28" i="20"/>
  <c r="I22" i="19"/>
  <c r="J22" i="19"/>
  <c r="M20" i="20"/>
  <c r="L16" i="19"/>
  <c r="M8" i="20"/>
  <c r="N2" i="21"/>
  <c r="M37" i="12"/>
  <c r="M29" i="12"/>
  <c r="M22" i="12"/>
  <c r="M33" i="12"/>
  <c r="L24" i="19"/>
  <c r="I22" i="20"/>
  <c r="M37" i="20"/>
  <c r="N38" i="8"/>
  <c r="M36" i="20"/>
  <c r="N26" i="8"/>
  <c r="N16" i="21"/>
  <c r="M10" i="20"/>
  <c r="N16" i="8"/>
  <c r="N25" i="8"/>
  <c r="J11" i="19"/>
  <c r="I11" i="19"/>
  <c r="M42" i="20"/>
  <c r="M50" i="12"/>
  <c r="N12" i="21"/>
  <c r="N51" i="21"/>
  <c r="I18" i="20"/>
  <c r="L12" i="19"/>
  <c r="N65" i="21"/>
  <c r="I45" i="20"/>
  <c r="M52" i="12"/>
  <c r="I19" i="20"/>
  <c r="L25" i="19"/>
  <c r="N22" i="21"/>
  <c r="N33" i="8"/>
  <c r="M34" i="9"/>
  <c r="M39" i="12"/>
  <c r="I17" i="20"/>
  <c r="M43" i="20"/>
  <c r="I16" i="20"/>
  <c r="M4" i="20"/>
  <c r="M17" i="15"/>
  <c r="M54" i="12"/>
  <c r="I6" i="20"/>
  <c r="I18" i="19"/>
  <c r="J18" i="19"/>
  <c r="N34" i="21"/>
  <c r="N33" i="21"/>
  <c r="N25" i="21"/>
  <c r="N26" i="21"/>
  <c r="N2" i="8"/>
  <c r="M45" i="12"/>
  <c r="N17" i="21"/>
  <c r="N59" i="21"/>
  <c r="I46" i="20"/>
  <c r="I5" i="20"/>
  <c r="L4" i="19"/>
  <c r="M44" i="20"/>
  <c r="M14" i="20"/>
  <c r="M16" i="15"/>
  <c r="M34" i="20"/>
  <c r="L14" i="14"/>
  <c r="N66" i="21"/>
  <c r="N20" i="21"/>
  <c r="M10" i="12"/>
  <c r="J8" i="19"/>
  <c r="I8" i="19"/>
  <c r="I4" i="19"/>
  <c r="J4" i="19"/>
  <c r="M7" i="12"/>
  <c r="I4" i="20"/>
  <c r="M49" i="20"/>
  <c r="I27" i="20"/>
  <c r="N18" i="21"/>
  <c r="N39" i="8"/>
  <c r="M14" i="15"/>
  <c r="L15" i="14"/>
  <c r="M23" i="12"/>
  <c r="M46" i="12"/>
  <c r="N13" i="8"/>
  <c r="N27" i="8"/>
  <c r="M24" i="20"/>
  <c r="I39" i="20"/>
  <c r="M31" i="20"/>
  <c r="M13" i="12"/>
  <c r="I26" i="20"/>
  <c r="M21" i="20"/>
  <c r="M30" i="20"/>
  <c r="N48" i="8"/>
  <c r="M19" i="20"/>
  <c r="M27" i="20"/>
  <c r="M19" i="15"/>
  <c r="N29" i="21"/>
  <c r="L24" i="14"/>
  <c r="N7" i="21"/>
  <c r="M31" i="12"/>
  <c r="M4" i="15"/>
  <c r="N29" i="8"/>
  <c r="N49" i="8"/>
  <c r="M43" i="12"/>
  <c r="M3" i="12"/>
  <c r="I34" i="20"/>
  <c r="M15" i="20"/>
  <c r="N8" i="8"/>
  <c r="M10" i="15"/>
  <c r="N44" i="8"/>
  <c r="N9" i="8"/>
  <c r="N3" i="8"/>
  <c r="N62" i="21"/>
  <c r="I42" i="20"/>
  <c r="I2" i="20"/>
  <c r="J2" i="20" s="1"/>
  <c r="L18" i="19"/>
  <c r="I24" i="19"/>
  <c r="J24" i="19"/>
  <c r="J2" i="19"/>
  <c r="L9" i="14"/>
  <c r="M10" i="9"/>
  <c r="M12" i="16"/>
  <c r="M22" i="9"/>
  <c r="M13" i="9"/>
  <c r="M4" i="16"/>
  <c r="M9" i="10"/>
  <c r="M11" i="16"/>
  <c r="M3" i="10"/>
  <c r="L2" i="14"/>
  <c r="M27" i="10"/>
  <c r="M3" i="9"/>
  <c r="M16" i="16"/>
  <c r="M29" i="9"/>
  <c r="M14" i="10"/>
  <c r="M18" i="16"/>
  <c r="M17" i="10"/>
  <c r="M6" i="9"/>
  <c r="M2" i="16"/>
  <c r="M32" i="9"/>
  <c r="M19" i="16"/>
  <c r="M14" i="16"/>
  <c r="AK179" i="6"/>
  <c r="AQ179" i="6" s="1"/>
  <c r="L11" i="34" s="1"/>
  <c r="M2" i="10"/>
  <c r="M23" i="10"/>
  <c r="M8" i="10"/>
  <c r="M7" i="10"/>
  <c r="M31" i="9"/>
  <c r="M8" i="16"/>
  <c r="M33" i="9"/>
  <c r="M5" i="16"/>
  <c r="M6" i="16"/>
  <c r="M19" i="10"/>
  <c r="M5" i="9"/>
  <c r="M30" i="9"/>
  <c r="M9" i="16"/>
  <c r="M6" i="10"/>
  <c r="M16" i="9"/>
  <c r="M20" i="16"/>
  <c r="M3" i="16"/>
  <c r="M22" i="10"/>
  <c r="M15" i="10"/>
  <c r="M10" i="10"/>
  <c r="M7" i="9"/>
  <c r="M25" i="9"/>
  <c r="M19" i="9"/>
  <c r="M2" i="12"/>
  <c r="M21" i="17"/>
  <c r="M21" i="9"/>
  <c r="M20" i="10"/>
  <c r="M21" i="10"/>
  <c r="M7" i="16"/>
  <c r="M4" i="9"/>
  <c r="M28" i="9"/>
  <c r="M18" i="9"/>
  <c r="M22" i="16"/>
  <c r="M11" i="10"/>
  <c r="M26" i="10"/>
  <c r="M14" i="9"/>
  <c r="M12" i="9"/>
  <c r="M10" i="16"/>
  <c r="M24" i="10"/>
  <c r="M8" i="9"/>
  <c r="M4" i="10"/>
  <c r="M11" i="9"/>
  <c r="M21" i="16"/>
  <c r="M18" i="10"/>
  <c r="M5" i="10"/>
  <c r="M15" i="9"/>
  <c r="M2" i="20"/>
  <c r="M12" i="10"/>
  <c r="M23" i="9"/>
  <c r="M2" i="9"/>
  <c r="M26" i="9"/>
  <c r="M24" i="9"/>
  <c r="M15" i="16"/>
  <c r="M17" i="16"/>
  <c r="M13" i="16"/>
  <c r="M20" i="9"/>
  <c r="M16" i="10"/>
  <c r="M9" i="9"/>
  <c r="M27" i="9"/>
  <c r="M17" i="9"/>
  <c r="M13" i="10"/>
  <c r="M25" i="10"/>
  <c r="G9" i="17"/>
  <c r="C9" i="17"/>
  <c r="B9" i="17"/>
  <c r="H9" i="17"/>
  <c r="D9" i="17"/>
  <c r="F9" i="17"/>
  <c r="F7" i="17"/>
  <c r="B7" i="17"/>
  <c r="H7" i="17"/>
  <c r="C7" i="17"/>
  <c r="D7" i="17"/>
  <c r="G7" i="17"/>
  <c r="J20" i="1" l="1"/>
  <c r="L18" i="1"/>
  <c r="K18" i="1"/>
  <c r="K20" i="1"/>
  <c r="J18" i="1"/>
  <c r="L20" i="1"/>
  <c r="M16" i="17"/>
  <c r="Q15" i="1" s="1"/>
  <c r="K2" i="20"/>
  <c r="J22" i="20"/>
  <c r="K22" i="20"/>
  <c r="K6" i="20"/>
  <c r="J6" i="20"/>
  <c r="J41" i="20"/>
  <c r="K41" i="20"/>
  <c r="J49" i="20"/>
  <c r="K49" i="20"/>
  <c r="K31" i="20"/>
  <c r="J31" i="20"/>
  <c r="K36" i="20"/>
  <c r="J36" i="20"/>
  <c r="K18" i="20"/>
  <c r="J18" i="20"/>
  <c r="J42" i="20"/>
  <c r="K42" i="20"/>
  <c r="K37" i="20"/>
  <c r="J37" i="20"/>
  <c r="J32" i="20"/>
  <c r="K32" i="20"/>
  <c r="K30" i="20"/>
  <c r="J30" i="20"/>
  <c r="K33" i="20"/>
  <c r="J33" i="20"/>
  <c r="J5" i="20"/>
  <c r="K5" i="20"/>
  <c r="K20" i="20"/>
  <c r="J20" i="20"/>
  <c r="K46" i="20"/>
  <c r="J46" i="20"/>
  <c r="J16" i="20"/>
  <c r="K16" i="20"/>
  <c r="J43" i="20"/>
  <c r="K43" i="20"/>
  <c r="J38" i="20"/>
  <c r="K38" i="20"/>
  <c r="J26" i="20"/>
  <c r="K26" i="20"/>
  <c r="J15" i="20"/>
  <c r="K15" i="20"/>
  <c r="K47" i="20"/>
  <c r="J47" i="20"/>
  <c r="J40" i="20"/>
  <c r="K40" i="20"/>
  <c r="J3" i="20"/>
  <c r="K3" i="20"/>
  <c r="J4" i="20"/>
  <c r="K4" i="20"/>
  <c r="K45" i="20"/>
  <c r="J45" i="20"/>
  <c r="J17" i="20"/>
  <c r="K17" i="20"/>
  <c r="J24" i="20"/>
  <c r="K24" i="20"/>
  <c r="J19" i="20"/>
  <c r="K19" i="20"/>
  <c r="J28" i="20"/>
  <c r="K28" i="20"/>
  <c r="K23" i="20"/>
  <c r="J23" i="20"/>
  <c r="J29" i="20"/>
  <c r="K29" i="20"/>
  <c r="J44" i="20"/>
  <c r="K44" i="20"/>
  <c r="J50" i="20"/>
  <c r="K50" i="20"/>
  <c r="K27" i="20"/>
  <c r="J27" i="20"/>
  <c r="J48" i="20"/>
  <c r="K48" i="20"/>
  <c r="K34" i="20"/>
  <c r="J34" i="20"/>
  <c r="J39" i="20"/>
  <c r="K39" i="20"/>
  <c r="Y96" i="2"/>
  <c r="Y95" i="2"/>
  <c r="J95" i="2" s="1"/>
  <c r="Y108" i="2"/>
  <c r="Y111" i="2"/>
  <c r="J111" i="2" s="1"/>
  <c r="Y105" i="2"/>
  <c r="J105" i="2" s="1"/>
  <c r="Y112" i="2"/>
  <c r="J112" i="2" s="1"/>
  <c r="Y102" i="2"/>
  <c r="Y98" i="2"/>
  <c r="Y109" i="2"/>
  <c r="Y97" i="2"/>
  <c r="Y99" i="2"/>
  <c r="Y110" i="2"/>
  <c r="J110" i="2" s="1"/>
  <c r="Y103" i="2"/>
  <c r="Y104" i="2"/>
  <c r="J104" i="2" s="1"/>
  <c r="Y113" i="2"/>
  <c r="Y106" i="2"/>
  <c r="J106" i="2" s="1"/>
  <c r="Y94" i="2"/>
  <c r="J94" i="2" s="1"/>
  <c r="Y101" i="2"/>
  <c r="Y107" i="2"/>
  <c r="J107" i="2" s="1"/>
  <c r="Y93" i="2"/>
  <c r="J93" i="2" s="1"/>
  <c r="Y100" i="2"/>
  <c r="I19" i="16" l="1"/>
  <c r="I13" i="16"/>
  <c r="K13" i="16" s="1"/>
  <c r="I21" i="16"/>
  <c r="I15" i="16"/>
  <c r="I2" i="16"/>
  <c r="I3" i="16"/>
  <c r="I20" i="16"/>
  <c r="I16" i="16"/>
  <c r="K16" i="16" s="1"/>
  <c r="I4" i="16"/>
  <c r="K4" i="16" s="1"/>
  <c r="I71" i="34"/>
  <c r="I14" i="16"/>
  <c r="K14" i="16" s="1"/>
  <c r="AI103" i="2"/>
  <c r="AH103" i="2"/>
  <c r="AM103" i="2"/>
  <c r="AF103" i="2"/>
  <c r="AK103" i="2"/>
  <c r="AN103" i="2"/>
  <c r="AL103" i="2"/>
  <c r="AG103" i="2"/>
  <c r="AJ103" i="2"/>
  <c r="AI101" i="2"/>
  <c r="AM101" i="2"/>
  <c r="AL101" i="2"/>
  <c r="AF101" i="2"/>
  <c r="AK101" i="2"/>
  <c r="AG101" i="2"/>
  <c r="AJ101" i="2"/>
  <c r="AH101" i="2"/>
  <c r="AN101" i="2"/>
  <c r="AI108" i="2"/>
  <c r="AN108" i="2"/>
  <c r="AJ108" i="2"/>
  <c r="AL108" i="2"/>
  <c r="AH108" i="2"/>
  <c r="AF108" i="2"/>
  <c r="AK108" i="2"/>
  <c r="AM108" i="2"/>
  <c r="AG108" i="2"/>
  <c r="AI109" i="2"/>
  <c r="AG109" i="2"/>
  <c r="AL109" i="2"/>
  <c r="AJ109" i="2"/>
  <c r="AM109" i="2"/>
  <c r="AF109" i="2"/>
  <c r="AN109" i="2"/>
  <c r="AK109" i="2"/>
  <c r="AH109" i="2"/>
  <c r="AI97" i="2"/>
  <c r="AG97" i="2"/>
  <c r="AJ97" i="2"/>
  <c r="AL97" i="2"/>
  <c r="AH97" i="2"/>
  <c r="AM97" i="2"/>
  <c r="AF97" i="2"/>
  <c r="AK97" i="2"/>
  <c r="AN97" i="2"/>
  <c r="AI98" i="2"/>
  <c r="AG98" i="2"/>
  <c r="AJ98" i="2"/>
  <c r="AH98" i="2"/>
  <c r="AF98" i="2"/>
  <c r="AN98" i="2"/>
  <c r="AK98" i="2"/>
  <c r="AL98" i="2"/>
  <c r="AM98" i="2"/>
  <c r="AI102" i="2"/>
  <c r="AG102" i="2"/>
  <c r="AM102" i="2"/>
  <c r="AF102" i="2"/>
  <c r="AK102" i="2"/>
  <c r="AH102" i="2"/>
  <c r="AJ102" i="2"/>
  <c r="AN102" i="2"/>
  <c r="AL102" i="2"/>
  <c r="AI96" i="2"/>
  <c r="AM96" i="2"/>
  <c r="AG96" i="2"/>
  <c r="AJ96" i="2"/>
  <c r="AL96" i="2"/>
  <c r="AN96" i="2"/>
  <c r="AF96" i="2"/>
  <c r="AK96" i="2"/>
  <c r="AH96" i="2"/>
  <c r="AI100" i="2"/>
  <c r="AG100" i="2"/>
  <c r="AM100" i="2"/>
  <c r="AL100" i="2"/>
  <c r="AF100" i="2"/>
  <c r="AK100" i="2"/>
  <c r="AN100" i="2"/>
  <c r="AJ100" i="2"/>
  <c r="AH100" i="2"/>
  <c r="AI113" i="2"/>
  <c r="AM113" i="2"/>
  <c r="AF113" i="2"/>
  <c r="AK113" i="2"/>
  <c r="AH113" i="2"/>
  <c r="AL113" i="2"/>
  <c r="AG113" i="2"/>
  <c r="AJ113" i="2"/>
  <c r="AN113" i="2"/>
  <c r="AI99" i="2"/>
  <c r="AN99" i="2"/>
  <c r="AJ99" i="2"/>
  <c r="AG99" i="2"/>
  <c r="AH99" i="2"/>
  <c r="AL99" i="2"/>
  <c r="AM99" i="2"/>
  <c r="AF99" i="2"/>
  <c r="AK99" i="2"/>
  <c r="K19" i="16"/>
  <c r="J3" i="16"/>
  <c r="K3" i="16"/>
  <c r="K2" i="16"/>
  <c r="J2" i="16"/>
  <c r="K15" i="16"/>
  <c r="J15" i="16"/>
  <c r="J16" i="16" l="1"/>
  <c r="J4" i="16"/>
  <c r="J13" i="16"/>
  <c r="AI204" i="2"/>
  <c r="AF204" i="2"/>
  <c r="AG204" i="2"/>
  <c r="AH204" i="2"/>
  <c r="AK204" i="2"/>
  <c r="AM204" i="2"/>
  <c r="AJ204" i="2"/>
  <c r="AN204" i="2"/>
  <c r="AO204" i="2"/>
  <c r="AL204" i="2"/>
  <c r="J14" i="16"/>
  <c r="J102" i="2"/>
  <c r="J108" i="2"/>
  <c r="J113" i="2"/>
  <c r="J98" i="2"/>
  <c r="J101" i="2"/>
  <c r="J97" i="2"/>
  <c r="J99" i="2"/>
  <c r="J103" i="2"/>
  <c r="J96" i="2"/>
  <c r="J109" i="2"/>
  <c r="J100" i="2"/>
  <c r="J19" i="16"/>
  <c r="K21" i="16"/>
  <c r="I22" i="16" l="1"/>
  <c r="J22" i="16" s="1"/>
  <c r="I10" i="16"/>
  <c r="J10" i="16" s="1"/>
  <c r="I9" i="16"/>
  <c r="K9" i="16" s="1"/>
  <c r="I5" i="16"/>
  <c r="I8" i="16"/>
  <c r="K8" i="16" s="1"/>
  <c r="I17" i="16"/>
  <c r="K17" i="16" s="1"/>
  <c r="I18" i="16"/>
  <c r="K18" i="16" s="1"/>
  <c r="I12" i="16"/>
  <c r="J12" i="16" s="1"/>
  <c r="I7" i="16"/>
  <c r="K7" i="16" s="1"/>
  <c r="I11" i="16"/>
  <c r="J11" i="16" s="1"/>
  <c r="I6" i="16"/>
  <c r="J6" i="16" s="1"/>
  <c r="AO266" i="2"/>
  <c r="J9" i="16"/>
  <c r="J18" i="16"/>
  <c r="J21" i="16"/>
  <c r="K5" i="16"/>
  <c r="J17" i="16"/>
  <c r="K12" i="16"/>
  <c r="K22" i="16" l="1"/>
  <c r="K10" i="16"/>
  <c r="J7" i="16"/>
  <c r="K11" i="16"/>
  <c r="K6" i="16"/>
  <c r="J8" i="16"/>
  <c r="J5" i="16"/>
  <c r="J20" i="16"/>
  <c r="K20" i="16"/>
  <c r="J326" i="2"/>
  <c r="Y266" i="2"/>
  <c r="L48" i="28" s="1"/>
  <c r="J348" i="2"/>
  <c r="J333" i="2"/>
  <c r="J329" i="2"/>
  <c r="J325" i="2"/>
  <c r="Y272" i="2"/>
  <c r="J343" i="2"/>
  <c r="J331" i="2"/>
  <c r="Y204" i="2"/>
  <c r="J204" i="2" s="1"/>
  <c r="I189" i="17" s="1"/>
  <c r="Y219" i="2"/>
  <c r="AG219" i="2" s="1"/>
  <c r="J327" i="2"/>
  <c r="J328" i="2"/>
  <c r="J340" i="2"/>
  <c r="J332" i="2"/>
  <c r="J336" i="2"/>
  <c r="Y200" i="2"/>
  <c r="AL200" i="2" s="1"/>
  <c r="Y196" i="2"/>
  <c r="J196" i="2" s="1"/>
  <c r="I181" i="17" s="1"/>
  <c r="AF286" i="2"/>
  <c r="Y256" i="2"/>
  <c r="AF256" i="2" s="1"/>
  <c r="Y193" i="2"/>
  <c r="J193" i="2" s="1"/>
  <c r="I178" i="17" s="1"/>
  <c r="Y151" i="2"/>
  <c r="AF151" i="2" s="1"/>
  <c r="J334" i="2"/>
  <c r="Y154" i="2"/>
  <c r="AL154" i="2" s="1"/>
  <c r="Y182" i="2"/>
  <c r="AH182" i="2" s="1"/>
  <c r="Y270" i="2"/>
  <c r="L52" i="28" s="1"/>
  <c r="Y286" i="2"/>
  <c r="L68" i="28" s="1"/>
  <c r="Y288" i="2"/>
  <c r="L70" i="28" s="1"/>
  <c r="Y289" i="2"/>
  <c r="L71" i="28" s="1"/>
  <c r="Y163" i="2"/>
  <c r="AI163" i="2" s="1"/>
  <c r="Y172" i="2"/>
  <c r="AM172" i="2" s="1"/>
  <c r="Y212" i="2"/>
  <c r="Y268" i="2"/>
  <c r="J338" i="2"/>
  <c r="J345" i="2"/>
  <c r="Y278" i="2"/>
  <c r="AH278" i="2" s="1"/>
  <c r="Y198" i="2"/>
  <c r="AF198" i="2" s="1"/>
  <c r="J337" i="2"/>
  <c r="Y156" i="2"/>
  <c r="AN156" i="2" s="1"/>
  <c r="J342" i="2"/>
  <c r="Y276" i="2"/>
  <c r="AJ276" i="2" s="1"/>
  <c r="Y290" i="2"/>
  <c r="AF290" i="2" s="1"/>
  <c r="Y197" i="2"/>
  <c r="J197" i="2" s="1"/>
  <c r="I182" i="17" s="1"/>
  <c r="Y203" i="2"/>
  <c r="AH203" i="2" s="1"/>
  <c r="Y157" i="2"/>
  <c r="AG157" i="2" s="1"/>
  <c r="Y295" i="2"/>
  <c r="AF295" i="2" s="1"/>
  <c r="Y167" i="2"/>
  <c r="J167" i="2" s="1"/>
  <c r="I152" i="17" s="1"/>
  <c r="Y292" i="2"/>
  <c r="AO292" i="2" s="1"/>
  <c r="Y296" i="2"/>
  <c r="L78" i="28" s="1"/>
  <c r="J323" i="2"/>
  <c r="Y274" i="2"/>
  <c r="AF274" i="2" s="1"/>
  <c r="Y297" i="2"/>
  <c r="AF297" i="2" s="1"/>
  <c r="Y294" i="2"/>
  <c r="AO294" i="2" s="1"/>
  <c r="Y273" i="2"/>
  <c r="AK273" i="2" s="1"/>
  <c r="Y298" i="2"/>
  <c r="AO298" i="2" s="1"/>
  <c r="Y251" i="2"/>
  <c r="AH251" i="2" s="1"/>
  <c r="Y220" i="2"/>
  <c r="J220" i="2" s="1"/>
  <c r="I205" i="17" s="1"/>
  <c r="Y214" i="2"/>
  <c r="AG214" i="2" s="1"/>
  <c r="Y165" i="2"/>
  <c r="AN165" i="2" s="1"/>
  <c r="Y211" i="2"/>
  <c r="AL211" i="2" s="1"/>
  <c r="Y170" i="2"/>
  <c r="AG170" i="2" s="1"/>
  <c r="Y166" i="2"/>
  <c r="AO166" i="2" s="1"/>
  <c r="Y168" i="2"/>
  <c r="AM168" i="2" s="1"/>
  <c r="Y188" i="2"/>
  <c r="AK188" i="2" s="1"/>
  <c r="Y184" i="2"/>
  <c r="AH184" i="2" s="1"/>
  <c r="N30" i="2"/>
  <c r="N31" i="2" s="1"/>
  <c r="I52" i="34" s="1"/>
  <c r="Y161" i="2"/>
  <c r="AN161" i="2" s="1"/>
  <c r="Y275" i="2"/>
  <c r="AI275" i="2" s="1"/>
  <c r="Y202" i="2"/>
  <c r="AO202" i="2" s="1"/>
  <c r="Y183" i="2"/>
  <c r="AG183" i="2" s="1"/>
  <c r="J347" i="2"/>
  <c r="J330" i="2"/>
  <c r="BK267" i="2"/>
  <c r="AM266" i="2" s="1"/>
  <c r="BL283" i="2"/>
  <c r="AN289" i="2" s="1"/>
  <c r="Y180" i="2"/>
  <c r="AK180" i="2" s="1"/>
  <c r="Y194" i="2"/>
  <c r="J194" i="2" s="1"/>
  <c r="I179" i="17" s="1"/>
  <c r="Y291" i="2"/>
  <c r="Y186" i="2"/>
  <c r="AN186" i="2" s="1"/>
  <c r="Y155" i="2"/>
  <c r="AK155" i="2" s="1"/>
  <c r="Y169" i="2"/>
  <c r="Y205" i="2"/>
  <c r="Y173" i="2"/>
  <c r="J173" i="2" s="1"/>
  <c r="I158" i="17" s="1"/>
  <c r="Y199" i="2"/>
  <c r="AK199" i="2" s="1"/>
  <c r="Y287" i="2"/>
  <c r="AI287" i="2" s="1"/>
  <c r="Y174" i="2"/>
  <c r="AG174" i="2" s="1"/>
  <c r="Y208" i="2"/>
  <c r="AK208" i="2" s="1"/>
  <c r="Y177" i="2"/>
  <c r="AJ177" i="2" s="1"/>
  <c r="Y159" i="2"/>
  <c r="AL159" i="2" s="1"/>
  <c r="Y158" i="2"/>
  <c r="AI158" i="2" s="1"/>
  <c r="BD287" i="2"/>
  <c r="Y255" i="2"/>
  <c r="AK255" i="2" s="1"/>
  <c r="Y293" i="2"/>
  <c r="J346" i="2"/>
  <c r="Y299" i="2"/>
  <c r="AO299" i="2" s="1"/>
  <c r="J324" i="2"/>
  <c r="Y215" i="2"/>
  <c r="AF215" i="2" s="1"/>
  <c r="Y252" i="2"/>
  <c r="AK252" i="2" s="1"/>
  <c r="J344" i="2"/>
  <c r="Y253" i="2"/>
  <c r="AL253" i="2" s="1"/>
  <c r="Y218" i="2"/>
  <c r="AL218" i="2" s="1"/>
  <c r="Y207" i="2"/>
  <c r="AK207" i="2" s="1"/>
  <c r="Y210" i="2"/>
  <c r="AG210" i="2" s="1"/>
  <c r="Y179" i="2"/>
  <c r="AM179" i="2" s="1"/>
  <c r="Y209" i="2"/>
  <c r="AF209" i="2" s="1"/>
  <c r="Y206" i="2"/>
  <c r="AN206" i="2" s="1"/>
  <c r="J339" i="2"/>
  <c r="Y285" i="2"/>
  <c r="AK285" i="2" s="1"/>
  <c r="J335" i="2"/>
  <c r="Y153" i="2"/>
  <c r="AJ153" i="2" s="1"/>
  <c r="Y267" i="2"/>
  <c r="Y176" i="2"/>
  <c r="AG176" i="2" s="1"/>
  <c r="Y284" i="2"/>
  <c r="AF284" i="2" s="1"/>
  <c r="Y254" i="2"/>
  <c r="AF254" i="2" s="1"/>
  <c r="Y160" i="2"/>
  <c r="AL160" i="2" s="1"/>
  <c r="Y271" i="2"/>
  <c r="AF271" i="2" s="1"/>
  <c r="BL255" i="2"/>
  <c r="Y280" i="2"/>
  <c r="AK280" i="2" s="1"/>
  <c r="Y269" i="2"/>
  <c r="AH269" i="2" s="1"/>
  <c r="Y277" i="2"/>
  <c r="AL277" i="2" s="1"/>
  <c r="Y282" i="2"/>
  <c r="Y185" i="2"/>
  <c r="AF185" i="2" s="1"/>
  <c r="Y162" i="2"/>
  <c r="AF162" i="2" s="1"/>
  <c r="Y217" i="2"/>
  <c r="AL217" i="2" s="1"/>
  <c r="Y178" i="2"/>
  <c r="AM178" i="2" s="1"/>
  <c r="Y171" i="2"/>
  <c r="AF171" i="2" s="1"/>
  <c r="Y189" i="2"/>
  <c r="AH189" i="2" s="1"/>
  <c r="Y190" i="2"/>
  <c r="AM190" i="2" s="1"/>
  <c r="Y152" i="2"/>
  <c r="AF152" i="2" s="1"/>
  <c r="Y164" i="2"/>
  <c r="AF164" i="2" s="1"/>
  <c r="Y216" i="2"/>
  <c r="AL216" i="2" s="1"/>
  <c r="Y175" i="2"/>
  <c r="AL175" i="2" s="1"/>
  <c r="Y213" i="2"/>
  <c r="AF213" i="2" s="1"/>
  <c r="AX158" i="2"/>
  <c r="Y181" i="2"/>
  <c r="AL181" i="2" s="1"/>
  <c r="Y201" i="2"/>
  <c r="AL201" i="2" s="1"/>
  <c r="Y195" i="2"/>
  <c r="AJ195" i="2" s="1"/>
  <c r="Y187" i="2"/>
  <c r="AK187" i="2" s="1"/>
  <c r="AG282" i="2" l="1"/>
  <c r="AG23" i="2" s="1"/>
  <c r="Y23" i="2"/>
  <c r="Y24" i="2" s="1"/>
  <c r="I54" i="34" s="1"/>
  <c r="AG181" i="2"/>
  <c r="AO190" i="2"/>
  <c r="AF292" i="2"/>
  <c r="AL272" i="2"/>
  <c r="AF272" i="2"/>
  <c r="AH268" i="2"/>
  <c r="AN268" i="2"/>
  <c r="AO268" i="2"/>
  <c r="AI268" i="2"/>
  <c r="AG268" i="2"/>
  <c r="AJ268" i="2"/>
  <c r="AK268" i="2"/>
  <c r="AL268" i="2"/>
  <c r="AM268" i="2"/>
  <c r="AG152" i="2"/>
  <c r="AM273" i="2"/>
  <c r="J24" i="21"/>
  <c r="L24" i="21" s="1"/>
  <c r="H12" i="14"/>
  <c r="I12" i="14" s="1"/>
  <c r="H15" i="28"/>
  <c r="H7" i="14"/>
  <c r="J7" i="14" s="1"/>
  <c r="H10" i="14"/>
  <c r="I10" i="14" s="1"/>
  <c r="H16" i="14"/>
  <c r="J16" i="14" s="1"/>
  <c r="H19" i="14"/>
  <c r="I19" i="14" s="1"/>
  <c r="BD159" i="2"/>
  <c r="AO169" i="2" s="1"/>
  <c r="AW159" i="2"/>
  <c r="AH169" i="2" s="1"/>
  <c r="H22" i="14"/>
  <c r="I22" i="14" s="1"/>
  <c r="H25" i="14"/>
  <c r="I25" i="14" s="1"/>
  <c r="H14" i="14"/>
  <c r="J14" i="14" s="1"/>
  <c r="J48" i="21"/>
  <c r="L48" i="21" s="1"/>
  <c r="H11" i="14"/>
  <c r="I11" i="14" s="1"/>
  <c r="H3" i="14"/>
  <c r="J3" i="14" s="1"/>
  <c r="H8" i="14"/>
  <c r="I8" i="14" s="1"/>
  <c r="H5" i="14"/>
  <c r="I5" i="14" s="1"/>
  <c r="H13" i="14"/>
  <c r="I13" i="14" s="1"/>
  <c r="H18" i="14"/>
  <c r="I18" i="14" s="1"/>
  <c r="J47" i="21"/>
  <c r="K47" i="21" s="1"/>
  <c r="H17" i="14"/>
  <c r="I17" i="14" s="1"/>
  <c r="H28" i="14"/>
  <c r="I28" i="14" s="1"/>
  <c r="H4" i="14"/>
  <c r="J4" i="14" s="1"/>
  <c r="AK216" i="2"/>
  <c r="AG211" i="2"/>
  <c r="AL209" i="2"/>
  <c r="H20" i="14"/>
  <c r="H26" i="14"/>
  <c r="H6" i="14"/>
  <c r="H27" i="14"/>
  <c r="H24" i="14"/>
  <c r="H23" i="14"/>
  <c r="H15" i="14"/>
  <c r="H9" i="14"/>
  <c r="AN280" i="2"/>
  <c r="L69" i="28"/>
  <c r="AK254" i="2"/>
  <c r="AI182" i="2"/>
  <c r="AM186" i="2"/>
  <c r="AL187" i="2"/>
  <c r="AI154" i="2"/>
  <c r="AK290" i="2"/>
  <c r="AF186" i="2"/>
  <c r="AG297" i="2"/>
  <c r="AJ175" i="2"/>
  <c r="AN159" i="2"/>
  <c r="AF183" i="2"/>
  <c r="AJ164" i="2"/>
  <c r="AF210" i="2"/>
  <c r="AJ186" i="2"/>
  <c r="AL271" i="2"/>
  <c r="AL186" i="2"/>
  <c r="AI292" i="2"/>
  <c r="AF218" i="2"/>
  <c r="AJ171" i="2"/>
  <c r="AH295" i="2"/>
  <c r="AG201" i="2"/>
  <c r="AN255" i="2"/>
  <c r="AN189" i="2"/>
  <c r="AH255" i="2"/>
  <c r="AF275" i="2"/>
  <c r="AN151" i="2"/>
  <c r="AF179" i="2"/>
  <c r="AF207" i="2"/>
  <c r="AJ251" i="2"/>
  <c r="AF278" i="2"/>
  <c r="AI219" i="2"/>
  <c r="AM153" i="2"/>
  <c r="L50" i="28"/>
  <c r="AJ188" i="2"/>
  <c r="J18" i="21"/>
  <c r="K18" i="21" s="1"/>
  <c r="AK186" i="2"/>
  <c r="AG186" i="2"/>
  <c r="AF267" i="2"/>
  <c r="AH267" i="2"/>
  <c r="AK267" i="2"/>
  <c r="AL267" i="2"/>
  <c r="AI267" i="2"/>
  <c r="AM267" i="2"/>
  <c r="AN267" i="2"/>
  <c r="AO267" i="2"/>
  <c r="AJ267" i="2"/>
  <c r="AI186" i="2"/>
  <c r="AY159" i="2"/>
  <c r="AJ169" i="2" s="1"/>
  <c r="BC159" i="2"/>
  <c r="AN169" i="2" s="1"/>
  <c r="H2" i="14"/>
  <c r="I2" i="14" s="1"/>
  <c r="AF219" i="2"/>
  <c r="AL290" i="2"/>
  <c r="AH292" i="2"/>
  <c r="AN198" i="2"/>
  <c r="AM290" i="2"/>
  <c r="AL292" i="2"/>
  <c r="AG292" i="2"/>
  <c r="AF174" i="2"/>
  <c r="L74" i="28"/>
  <c r="AF252" i="2"/>
  <c r="AI153" i="2"/>
  <c r="AK292" i="2"/>
  <c r="AG251" i="2"/>
  <c r="AL251" i="2"/>
  <c r="L33" i="28"/>
  <c r="AK251" i="2"/>
  <c r="AN182" i="2"/>
  <c r="AM154" i="2"/>
  <c r="AH201" i="2"/>
  <c r="AO287" i="2"/>
  <c r="AH154" i="2"/>
  <c r="AI201" i="2"/>
  <c r="AN287" i="2"/>
  <c r="AN292" i="2"/>
  <c r="AG154" i="2"/>
  <c r="AL287" i="2"/>
  <c r="AM292" i="2"/>
  <c r="AO154" i="2"/>
  <c r="BD255" i="2"/>
  <c r="AH188" i="2"/>
  <c r="AO274" i="2"/>
  <c r="AF253" i="2"/>
  <c r="AM188" i="2"/>
  <c r="AF156" i="2"/>
  <c r="AK274" i="2"/>
  <c r="AM287" i="2"/>
  <c r="AK287" i="2"/>
  <c r="AG175" i="2"/>
  <c r="AL189" i="2"/>
  <c r="AJ189" i="2"/>
  <c r="AN201" i="2"/>
  <c r="AI253" i="2"/>
  <c r="AJ158" i="2"/>
  <c r="AH253" i="2"/>
  <c r="AI290" i="2"/>
  <c r="AN275" i="2"/>
  <c r="L53" i="28"/>
  <c r="AH271" i="2"/>
  <c r="AK151" i="2"/>
  <c r="AI151" i="2"/>
  <c r="AO151" i="2"/>
  <c r="L72" i="28"/>
  <c r="AH290" i="2"/>
  <c r="AO278" i="2"/>
  <c r="AG189" i="2"/>
  <c r="AK182" i="2"/>
  <c r="AF154" i="2"/>
  <c r="AL275" i="2"/>
  <c r="AK275" i="2"/>
  <c r="AN175" i="2"/>
  <c r="AH175" i="2"/>
  <c r="AO186" i="2"/>
  <c r="AH151" i="2"/>
  <c r="AO175" i="2"/>
  <c r="AG151" i="2"/>
  <c r="AJ151" i="2"/>
  <c r="AI254" i="2"/>
  <c r="L38" i="28"/>
  <c r="AK152" i="2"/>
  <c r="AH158" i="2"/>
  <c r="AK190" i="2"/>
  <c r="AO290" i="2"/>
  <c r="AK170" i="2"/>
  <c r="AN180" i="2"/>
  <c r="AG187" i="2"/>
  <c r="AK200" i="2"/>
  <c r="AG216" i="2"/>
  <c r="AN207" i="2"/>
  <c r="AM187" i="2"/>
  <c r="AG207" i="2"/>
  <c r="AH254" i="2"/>
  <c r="AH179" i="2"/>
  <c r="AM214" i="2"/>
  <c r="AN273" i="2"/>
  <c r="AL295" i="2"/>
  <c r="AI272" i="2"/>
  <c r="AM180" i="2"/>
  <c r="AH164" i="2"/>
  <c r="AK201" i="2"/>
  <c r="AN164" i="2"/>
  <c r="AO254" i="2"/>
  <c r="AO179" i="2"/>
  <c r="AH214" i="2"/>
  <c r="AI273" i="2"/>
  <c r="AO295" i="2"/>
  <c r="AJ272" i="2"/>
  <c r="AI180" i="2"/>
  <c r="AM254" i="2"/>
  <c r="AG179" i="2"/>
  <c r="L66" i="28"/>
  <c r="AN253" i="2"/>
  <c r="AL151" i="2"/>
  <c r="AO219" i="2"/>
  <c r="AL164" i="2"/>
  <c r="AL179" i="2"/>
  <c r="AM269" i="2"/>
  <c r="AJ253" i="2"/>
  <c r="AO253" i="2"/>
  <c r="AH297" i="2"/>
  <c r="AM203" i="2"/>
  <c r="AF168" i="2"/>
  <c r="AM219" i="2"/>
  <c r="AK272" i="2"/>
  <c r="AK164" i="2"/>
  <c r="AN272" i="2"/>
  <c r="AN295" i="2"/>
  <c r="AH219" i="2"/>
  <c r="AG164" i="2"/>
  <c r="AJ219" i="2"/>
  <c r="AO180" i="2"/>
  <c r="AL170" i="2"/>
  <c r="AM272" i="2"/>
  <c r="AL252" i="2"/>
  <c r="AN297" i="2"/>
  <c r="AG203" i="2"/>
  <c r="AM182" i="2"/>
  <c r="AI256" i="2"/>
  <c r="AK219" i="2"/>
  <c r="AO178" i="2"/>
  <c r="AO273" i="2"/>
  <c r="AK295" i="2"/>
  <c r="AG295" i="2"/>
  <c r="AG253" i="2"/>
  <c r="AG213" i="2"/>
  <c r="L81" i="28"/>
  <c r="AG168" i="2"/>
  <c r="AJ252" i="2"/>
  <c r="AN218" i="2"/>
  <c r="AM210" i="2"/>
  <c r="AH256" i="2"/>
  <c r="AN219" i="2"/>
  <c r="BH267" i="2"/>
  <c r="AJ266" i="2" s="1"/>
  <c r="AM211" i="2"/>
  <c r="AN179" i="2"/>
  <c r="AM164" i="2"/>
  <c r="AL219" i="2"/>
  <c r="AJ180" i="2"/>
  <c r="AO170" i="2"/>
  <c r="AN168" i="2"/>
  <c r="AG218" i="2"/>
  <c r="AO156" i="2"/>
  <c r="AG180" i="2"/>
  <c r="AO177" i="2"/>
  <c r="L36" i="28"/>
  <c r="AN254" i="2"/>
  <c r="AJ295" i="2"/>
  <c r="H20" i="28"/>
  <c r="AF255" i="2"/>
  <c r="AG190" i="2"/>
  <c r="AJ218" i="2"/>
  <c r="AJ168" i="2"/>
  <c r="AM156" i="2"/>
  <c r="AK179" i="2"/>
  <c r="AI280" i="2"/>
  <c r="L35" i="28"/>
  <c r="AM213" i="2"/>
  <c r="AO168" i="2"/>
  <c r="AN213" i="2"/>
  <c r="AH252" i="2"/>
  <c r="AO209" i="2"/>
  <c r="AH168" i="2"/>
  <c r="AH156" i="2"/>
  <c r="AK154" i="2"/>
  <c r="AO187" i="2"/>
  <c r="AJ187" i="2"/>
  <c r="AI178" i="2"/>
  <c r="AG178" i="2"/>
  <c r="L51" i="28"/>
  <c r="AO297" i="2"/>
  <c r="AL203" i="2"/>
  <c r="AG280" i="2"/>
  <c r="AL168" i="2"/>
  <c r="AI213" i="2"/>
  <c r="AM299" i="2"/>
  <c r="AJ156" i="2"/>
  <c r="AH299" i="2"/>
  <c r="AL190" i="2"/>
  <c r="AJ209" i="2"/>
  <c r="AK209" i="2"/>
  <c r="AG158" i="2"/>
  <c r="AK168" i="2"/>
  <c r="AM251" i="2"/>
  <c r="BH287" i="2"/>
  <c r="AI156" i="2"/>
  <c r="AN154" i="2"/>
  <c r="AG254" i="2"/>
  <c r="AH187" i="2"/>
  <c r="AL299" i="2"/>
  <c r="AG299" i="2"/>
  <c r="AI190" i="2"/>
  <c r="AG209" i="2"/>
  <c r="AJ256" i="2"/>
  <c r="BK255" i="2"/>
  <c r="AL213" i="2"/>
  <c r="AF273" i="2"/>
  <c r="BK287" i="2"/>
  <c r="AK156" i="2"/>
  <c r="AK278" i="2"/>
  <c r="AN178" i="2"/>
  <c r="AO164" i="2"/>
  <c r="L55" i="28"/>
  <c r="L79" i="28"/>
  <c r="AM253" i="2"/>
  <c r="AU159" i="2"/>
  <c r="AF169" i="2" s="1"/>
  <c r="AJ297" i="2"/>
  <c r="BJ255" i="2"/>
  <c r="AH213" i="2"/>
  <c r="AJ213" i="2"/>
  <c r="AO189" i="2"/>
  <c r="AH209" i="2"/>
  <c r="AI174" i="2"/>
  <c r="AN271" i="2"/>
  <c r="AM209" i="2"/>
  <c r="AO158" i="2"/>
  <c r="AH174" i="2"/>
  <c r="AI251" i="2"/>
  <c r="AL156" i="2"/>
  <c r="AJ154" i="2"/>
  <c r="L60" i="28"/>
  <c r="AX159" i="2"/>
  <c r="AI169" i="2" s="1"/>
  <c r="AH170" i="2"/>
  <c r="AJ254" i="2"/>
  <c r="AI164" i="2"/>
  <c r="AI295" i="2"/>
  <c r="AI202" i="2"/>
  <c r="AM297" i="2"/>
  <c r="AN203" i="2"/>
  <c r="AO213" i="2"/>
  <c r="AK210" i="2"/>
  <c r="AI209" i="2"/>
  <c r="AF178" i="2"/>
  <c r="AK213" i="2"/>
  <c r="AF177" i="2"/>
  <c r="AI168" i="2"/>
  <c r="AM189" i="2"/>
  <c r="AI271" i="2"/>
  <c r="AN209" i="2"/>
  <c r="AF180" i="2"/>
  <c r="AJ170" i="2"/>
  <c r="AO251" i="2"/>
  <c r="BJ283" i="2"/>
  <c r="AL289" i="2" s="1"/>
  <c r="AN278" i="2"/>
  <c r="AJ183" i="2"/>
  <c r="J71" i="21"/>
  <c r="H29" i="28"/>
  <c r="J45" i="21"/>
  <c r="H27" i="28"/>
  <c r="AO153" i="2"/>
  <c r="AI157" i="2"/>
  <c r="AO211" i="2"/>
  <c r="AJ211" i="2"/>
  <c r="AH211" i="2"/>
  <c r="AO157" i="2"/>
  <c r="AF190" i="2"/>
  <c r="AJ190" i="2"/>
  <c r="AN282" i="2"/>
  <c r="AN23" i="2" s="1"/>
  <c r="AH190" i="2"/>
  <c r="AL282" i="2"/>
  <c r="AL23" i="2" s="1"/>
  <c r="BI255" i="2"/>
  <c r="AG284" i="2"/>
  <c r="AF206" i="2"/>
  <c r="AN153" i="2"/>
  <c r="AJ155" i="2"/>
  <c r="AK211" i="2"/>
  <c r="AM157" i="2"/>
  <c r="AI199" i="2"/>
  <c r="AI161" i="2"/>
  <c r="AI211" i="2"/>
  <c r="AJ198" i="2"/>
  <c r="L64" i="28"/>
  <c r="AJ161" i="2"/>
  <c r="AN211" i="2"/>
  <c r="AM181" i="2"/>
  <c r="AH216" i="2"/>
  <c r="AN190" i="2"/>
  <c r="AO217" i="2"/>
  <c r="AI282" i="2"/>
  <c r="AI23" i="2" s="1"/>
  <c r="BH255" i="2"/>
  <c r="AJ284" i="2"/>
  <c r="AL215" i="2"/>
  <c r="AJ215" i="2"/>
  <c r="AN215" i="2"/>
  <c r="AI215" i="2"/>
  <c r="AK159" i="2"/>
  <c r="AM161" i="2"/>
  <c r="AO165" i="2"/>
  <c r="AF195" i="2"/>
  <c r="AK161" i="2"/>
  <c r="AG217" i="2"/>
  <c r="AN217" i="2"/>
  <c r="AG159" i="2"/>
  <c r="AL161" i="2"/>
  <c r="AI181" i="2"/>
  <c r="AM216" i="2"/>
  <c r="AK277" i="2"/>
  <c r="AI284" i="2"/>
  <c r="AI159" i="2"/>
  <c r="AN284" i="2"/>
  <c r="AH206" i="2"/>
  <c r="AF165" i="2"/>
  <c r="AG165" i="2"/>
  <c r="AM165" i="2"/>
  <c r="AK165" i="2"/>
  <c r="AH165" i="2"/>
  <c r="AJ165" i="2"/>
  <c r="AI165" i="2"/>
  <c r="AJ217" i="2"/>
  <c r="AK181" i="2"/>
  <c r="AN216" i="2"/>
  <c r="AI277" i="2"/>
  <c r="AG271" i="2"/>
  <c r="AM159" i="2"/>
  <c r="AL165" i="2"/>
  <c r="AI187" i="2"/>
  <c r="AJ216" i="2"/>
  <c r="AF189" i="2"/>
  <c r="AI189" i="2"/>
  <c r="AK189" i="2"/>
  <c r="AM162" i="2"/>
  <c r="L59" i="28"/>
  <c r="AM271" i="2"/>
  <c r="AO284" i="2"/>
  <c r="AN299" i="2"/>
  <c r="AF299" i="2"/>
  <c r="AJ299" i="2"/>
  <c r="AK299" i="2"/>
  <c r="AO159" i="2"/>
  <c r="AF291" i="2"/>
  <c r="AK291" i="2"/>
  <c r="AM291" i="2"/>
  <c r="AH291" i="2"/>
  <c r="AG291" i="2"/>
  <c r="L73" i="28"/>
  <c r="AJ291" i="2"/>
  <c r="AL291" i="2"/>
  <c r="AI299" i="2"/>
  <c r="AF214" i="2"/>
  <c r="AK214" i="2"/>
  <c r="AJ214" i="2"/>
  <c r="AI214" i="2"/>
  <c r="AL214" i="2"/>
  <c r="AN214" i="2"/>
  <c r="AO214" i="2"/>
  <c r="AJ298" i="2"/>
  <c r="L80" i="28"/>
  <c r="AM298" i="2"/>
  <c r="AN298" i="2"/>
  <c r="AL298" i="2"/>
  <c r="AI298" i="2"/>
  <c r="AK298" i="2"/>
  <c r="AF298" i="2"/>
  <c r="J44" i="21"/>
  <c r="AH217" i="2"/>
  <c r="AK217" i="2"/>
  <c r="AI217" i="2"/>
  <c r="AO181" i="2"/>
  <c r="AF181" i="2"/>
  <c r="AJ282" i="2"/>
  <c r="AJ23" i="2" s="1"/>
  <c r="AF282" i="2"/>
  <c r="AF23" i="2" s="1"/>
  <c r="AH282" i="2"/>
  <c r="AH23" i="2" s="1"/>
  <c r="AM206" i="2"/>
  <c r="AK206" i="2"/>
  <c r="AG206" i="2"/>
  <c r="AO206" i="2"/>
  <c r="AI216" i="2"/>
  <c r="AO282" i="2"/>
  <c r="AO23" i="2" s="1"/>
  <c r="AH181" i="2"/>
  <c r="AN162" i="2"/>
  <c r="AM277" i="2"/>
  <c r="AL284" i="2"/>
  <c r="AJ206" i="2"/>
  <c r="AF211" i="2"/>
  <c r="AG162" i="2"/>
  <c r="AJ159" i="2"/>
  <c r="AF159" i="2"/>
  <c r="AJ166" i="2"/>
  <c r="AG166" i="2"/>
  <c r="AF166" i="2"/>
  <c r="AI166" i="2"/>
  <c r="AI255" i="2"/>
  <c r="AI212" i="2"/>
  <c r="AF212" i="2"/>
  <c r="AN212" i="2"/>
  <c r="AL212" i="2"/>
  <c r="AH212" i="2"/>
  <c r="AK212" i="2"/>
  <c r="AM212" i="2"/>
  <c r="AJ212" i="2"/>
  <c r="AO212" i="2"/>
  <c r="AG212" i="2"/>
  <c r="AM177" i="2"/>
  <c r="AN177" i="2"/>
  <c r="AI206" i="2"/>
  <c r="AL162" i="2"/>
  <c r="AO277" i="2"/>
  <c r="AO271" i="2"/>
  <c r="AK177" i="2"/>
  <c r="AF184" i="2"/>
  <c r="AN184" i="2"/>
  <c r="AO184" i="2"/>
  <c r="AK184" i="2"/>
  <c r="AM184" i="2"/>
  <c r="AI184" i="2"/>
  <c r="AJ184" i="2"/>
  <c r="AN187" i="2"/>
  <c r="AK162" i="2"/>
  <c r="AN277" i="2"/>
  <c r="AJ271" i="2"/>
  <c r="AH177" i="2"/>
  <c r="AG184" i="2"/>
  <c r="AH166" i="2"/>
  <c r="BM287" i="2"/>
  <c r="AF175" i="2"/>
  <c r="AH159" i="2"/>
  <c r="AI162" i="2"/>
  <c r="AJ269" i="2"/>
  <c r="AK271" i="2"/>
  <c r="AF293" i="2"/>
  <c r="AK293" i="2"/>
  <c r="AI293" i="2"/>
  <c r="AH293" i="2"/>
  <c r="AO293" i="2"/>
  <c r="AJ293" i="2"/>
  <c r="AM293" i="2"/>
  <c r="AN293" i="2"/>
  <c r="AL177" i="2"/>
  <c r="AL184" i="2"/>
  <c r="AM166" i="2"/>
  <c r="BE287" i="2"/>
  <c r="AJ172" i="2"/>
  <c r="AL172" i="2"/>
  <c r="AK172" i="2"/>
  <c r="AH172" i="2"/>
  <c r="AI172" i="2"/>
  <c r="AF172" i="2"/>
  <c r="AN172" i="2"/>
  <c r="AO172" i="2"/>
  <c r="J55" i="21"/>
  <c r="AH162" i="2"/>
  <c r="AN176" i="2"/>
  <c r="AL176" i="2"/>
  <c r="AO176" i="2"/>
  <c r="AJ176" i="2"/>
  <c r="AM176" i="2"/>
  <c r="AH176" i="2"/>
  <c r="AI177" i="2"/>
  <c r="AN166" i="2"/>
  <c r="BK271" i="2"/>
  <c r="AM270" i="2" s="1"/>
  <c r="BH271" i="2"/>
  <c r="AJ270" i="2" s="1"/>
  <c r="BJ271" i="2"/>
  <c r="AL270" i="2" s="1"/>
  <c r="AI270" i="2"/>
  <c r="BL271" i="2"/>
  <c r="AN270" i="2" s="1"/>
  <c r="BI271" i="2"/>
  <c r="AK270" i="2" s="1"/>
  <c r="BD271" i="2"/>
  <c r="AF270" i="2" s="1"/>
  <c r="BM271" i="2"/>
  <c r="AO270" i="2" s="1"/>
  <c r="AK157" i="2"/>
  <c r="AF157" i="2"/>
  <c r="AN157" i="2"/>
  <c r="AH157" i="2"/>
  <c r="AJ157" i="2"/>
  <c r="AM282" i="2"/>
  <c r="AM23" i="2" s="1"/>
  <c r="L49" i="28"/>
  <c r="AF208" i="2"/>
  <c r="AN208" i="2"/>
  <c r="AJ208" i="2"/>
  <c r="AM208" i="2"/>
  <c r="AO208" i="2"/>
  <c r="AH208" i="2"/>
  <c r="AF155" i="2"/>
  <c r="AM155" i="2"/>
  <c r="AN155" i="2"/>
  <c r="AI155" i="2"/>
  <c r="AO155" i="2"/>
  <c r="AL155" i="2"/>
  <c r="AH155" i="2"/>
  <c r="AG155" i="2"/>
  <c r="BH283" i="2"/>
  <c r="AJ289" i="2" s="1"/>
  <c r="BK283" i="2"/>
  <c r="AM289" i="2" s="1"/>
  <c r="BD283" i="2"/>
  <c r="AF289" i="2" s="1"/>
  <c r="AI289" i="2"/>
  <c r="BI283" i="2"/>
  <c r="AK289" i="2" s="1"/>
  <c r="AK166" i="2"/>
  <c r="BI287" i="2"/>
  <c r="AF201" i="2"/>
  <c r="AO162" i="2"/>
  <c r="AG198" i="2"/>
  <c r="AK198" i="2"/>
  <c r="AO198" i="2"/>
  <c r="AM198" i="2"/>
  <c r="AH198" i="2"/>
  <c r="AI198" i="2"/>
  <c r="AL198" i="2"/>
  <c r="AH195" i="2"/>
  <c r="AN171" i="2"/>
  <c r="AJ162" i="2"/>
  <c r="AO195" i="2"/>
  <c r="AO171" i="2"/>
  <c r="AJ185" i="2"/>
  <c r="AN269" i="2"/>
  <c r="AG208" i="2"/>
  <c r="AO160" i="2"/>
  <c r="AI176" i="2"/>
  <c r="AF160" i="2"/>
  <c r="AI179" i="2"/>
  <c r="AJ179" i="2"/>
  <c r="AO255" i="2"/>
  <c r="AJ255" i="2"/>
  <c r="AL255" i="2"/>
  <c r="L37" i="28"/>
  <c r="AM255" i="2"/>
  <c r="AL208" i="2"/>
  <c r="AO188" i="2"/>
  <c r="AL188" i="2"/>
  <c r="AG188" i="2"/>
  <c r="AF188" i="2"/>
  <c r="AN274" i="2"/>
  <c r="AJ274" i="2"/>
  <c r="AI274" i="2"/>
  <c r="AM274" i="2"/>
  <c r="AL274" i="2"/>
  <c r="L56" i="28"/>
  <c r="AK176" i="2"/>
  <c r="AL157" i="2"/>
  <c r="AJ181" i="2"/>
  <c r="AF277" i="2"/>
  <c r="AH277" i="2"/>
  <c r="AJ277" i="2"/>
  <c r="AL206" i="2"/>
  <c r="AL269" i="2"/>
  <c r="AN160" i="2"/>
  <c r="AK160" i="2"/>
  <c r="AF216" i="2"/>
  <c r="AH160" i="2"/>
  <c r="AF294" i="2"/>
  <c r="AI294" i="2"/>
  <c r="AH294" i="2"/>
  <c r="AM294" i="2"/>
  <c r="AL294" i="2"/>
  <c r="AH285" i="2"/>
  <c r="AF153" i="2"/>
  <c r="AH153" i="2"/>
  <c r="AK153" i="2"/>
  <c r="AL153" i="2"/>
  <c r="AM195" i="2"/>
  <c r="AM152" i="2"/>
  <c r="AH171" i="2"/>
  <c r="AO185" i="2"/>
  <c r="AI269" i="2"/>
  <c r="AI160" i="2"/>
  <c r="AN188" i="2"/>
  <c r="AG294" i="2"/>
  <c r="AI296" i="2"/>
  <c r="AM296" i="2"/>
  <c r="AN296" i="2"/>
  <c r="AO296" i="2"/>
  <c r="AL296" i="2"/>
  <c r="AK296" i="2"/>
  <c r="AF296" i="2"/>
  <c r="AI285" i="2"/>
  <c r="BF287" i="2"/>
  <c r="BL287" i="2"/>
  <c r="BJ287" i="2"/>
  <c r="AM160" i="2"/>
  <c r="AO291" i="2"/>
  <c r="AN294" i="2"/>
  <c r="AO285" i="2"/>
  <c r="AJ160" i="2"/>
  <c r="AI188" i="2"/>
  <c r="AK215" i="2"/>
  <c r="AN291" i="2"/>
  <c r="AJ294" i="2"/>
  <c r="AO161" i="2"/>
  <c r="AH161" i="2"/>
  <c r="AO216" i="2"/>
  <c r="AK185" i="2"/>
  <c r="AI208" i="2"/>
  <c r="AI152" i="2"/>
  <c r="AL171" i="2"/>
  <c r="AI185" i="2"/>
  <c r="AH152" i="2"/>
  <c r="AM171" i="2"/>
  <c r="AG185" i="2"/>
  <c r="AF280" i="2"/>
  <c r="AO280" i="2"/>
  <c r="L62" i="28"/>
  <c r="AO201" i="2"/>
  <c r="AM175" i="2"/>
  <c r="AL152" i="2"/>
  <c r="AL178" i="2"/>
  <c r="AL185" i="2"/>
  <c r="AJ280" i="2"/>
  <c r="AO174" i="2"/>
  <c r="AM174" i="2"/>
  <c r="AL174" i="2"/>
  <c r="AN174" i="2"/>
  <c r="AK174" i="2"/>
  <c r="AJ174" i="2"/>
  <c r="AO215" i="2"/>
  <c r="AI291" i="2"/>
  <c r="AK294" i="2"/>
  <c r="AL293" i="2"/>
  <c r="AI171" i="2"/>
  <c r="AM201" i="2"/>
  <c r="AI175" i="2"/>
  <c r="AO152" i="2"/>
  <c r="AM185" i="2"/>
  <c r="AM280" i="2"/>
  <c r="AI266" i="2"/>
  <c r="BL267" i="2"/>
  <c r="AN266" i="2" s="1"/>
  <c r="BE267" i="2"/>
  <c r="AG266" i="2" s="1"/>
  <c r="BI267" i="2"/>
  <c r="AK266" i="2" s="1"/>
  <c r="BD267" i="2"/>
  <c r="AF266" i="2" s="1"/>
  <c r="BF267" i="2"/>
  <c r="AH266" i="2" s="1"/>
  <c r="BJ267" i="2"/>
  <c r="AL266" i="2" s="1"/>
  <c r="AF202" i="2"/>
  <c r="AN202" i="2"/>
  <c r="AL202" i="2"/>
  <c r="AJ202" i="2"/>
  <c r="AM202" i="2"/>
  <c r="AK202" i="2"/>
  <c r="AG215" i="2"/>
  <c r="L76" i="28"/>
  <c r="AM276" i="2"/>
  <c r="AN276" i="2"/>
  <c r="AF276" i="2"/>
  <c r="AO276" i="2"/>
  <c r="AI276" i="2"/>
  <c r="L58" i="28"/>
  <c r="AL276" i="2"/>
  <c r="L75" i="28"/>
  <c r="AF217" i="2"/>
  <c r="AG195" i="2"/>
  <c r="AK195" i="2"/>
  <c r="AI195" i="2"/>
  <c r="AL166" i="2"/>
  <c r="AK171" i="2"/>
  <c r="AO269" i="2"/>
  <c r="AG160" i="2"/>
  <c r="AL195" i="2"/>
  <c r="AG171" i="2"/>
  <c r="AH185" i="2"/>
  <c r="AK269" i="2"/>
  <c r="AJ152" i="2"/>
  <c r="AL280" i="2"/>
  <c r="AJ285" i="2"/>
  <c r="AN285" i="2"/>
  <c r="AF285" i="2"/>
  <c r="AM285" i="2"/>
  <c r="AL285" i="2"/>
  <c r="AG285" i="2"/>
  <c r="L67" i="28"/>
  <c r="AH202" i="2"/>
  <c r="AH215" i="2"/>
  <c r="AF187" i="2"/>
  <c r="AG293" i="2"/>
  <c r="AN181" i="2"/>
  <c r="AM217" i="2"/>
  <c r="AK284" i="2"/>
  <c r="AM284" i="2"/>
  <c r="AF199" i="2"/>
  <c r="AL199" i="2"/>
  <c r="AJ199" i="2"/>
  <c r="AM199" i="2"/>
  <c r="AO199" i="2"/>
  <c r="AG199" i="2"/>
  <c r="AN199" i="2"/>
  <c r="AH199" i="2"/>
  <c r="AH284" i="2"/>
  <c r="AN195" i="2"/>
  <c r="AJ201" i="2"/>
  <c r="AK175" i="2"/>
  <c r="AK178" i="2"/>
  <c r="AN185" i="2"/>
  <c r="AN152" i="2"/>
  <c r="AK282" i="2"/>
  <c r="AK23" i="2" s="1"/>
  <c r="AH280" i="2"/>
  <c r="AL207" i="2"/>
  <c r="AO207" i="2"/>
  <c r="AI207" i="2"/>
  <c r="AH207" i="2"/>
  <c r="AM207" i="2"/>
  <c r="AJ207" i="2"/>
  <c r="L34" i="28"/>
  <c r="AO252" i="2"/>
  <c r="AM252" i="2"/>
  <c r="AG252" i="2"/>
  <c r="AI252" i="2"/>
  <c r="AL158" i="2"/>
  <c r="AK158" i="2"/>
  <c r="AN158" i="2"/>
  <c r="AM158" i="2"/>
  <c r="AF158" i="2"/>
  <c r="AG153" i="2"/>
  <c r="AG202" i="2"/>
  <c r="AM215" i="2"/>
  <c r="AN252" i="2"/>
  <c r="AK276" i="2"/>
  <c r="L54" i="28"/>
  <c r="AO272" i="2"/>
  <c r="AM275" i="2"/>
  <c r="AM151" i="2"/>
  <c r="AN286" i="2"/>
  <c r="AH186" i="2"/>
  <c r="AN183" i="2"/>
  <c r="AI183" i="2"/>
  <c r="AL183" i="2"/>
  <c r="BA159" i="2"/>
  <c r="AL169" i="2" s="1"/>
  <c r="AF170" i="2"/>
  <c r="AM170" i="2"/>
  <c r="AI203" i="2"/>
  <c r="AF287" i="2"/>
  <c r="AK183" i="2"/>
  <c r="AI170" i="2"/>
  <c r="AH183" i="2"/>
  <c r="BL275" i="2"/>
  <c r="AL286" i="2" s="1"/>
  <c r="AO203" i="2"/>
  <c r="AN290" i="2"/>
  <c r="AO183" i="2"/>
  <c r="AN170" i="2"/>
  <c r="AK203" i="2"/>
  <c r="AJ290" i="2"/>
  <c r="AN256" i="2"/>
  <c r="AM183" i="2"/>
  <c r="AJ200" i="2"/>
  <c r="AZ159" i="2"/>
  <c r="AK169" i="2" s="1"/>
  <c r="AF182" i="2"/>
  <c r="AF203" i="2"/>
  <c r="BK275" i="2"/>
  <c r="AK286" i="2" s="1"/>
  <c r="AJ203" i="2"/>
  <c r="AO256" i="2"/>
  <c r="AM278" i="2"/>
  <c r="AG200" i="2"/>
  <c r="BM275" i="2"/>
  <c r="AM286" i="2" s="1"/>
  <c r="AO200" i="2"/>
  <c r="AL182" i="2"/>
  <c r="AI200" i="2"/>
  <c r="AL297" i="2"/>
  <c r="BB159" i="2"/>
  <c r="AM169" i="2" s="1"/>
  <c r="AG290" i="2"/>
  <c r="AG156" i="2"/>
  <c r="AO182" i="2"/>
  <c r="AL256" i="2"/>
  <c r="AJ278" i="2"/>
  <c r="AH200" i="2"/>
  <c r="AL254" i="2"/>
  <c r="AI297" i="2"/>
  <c r="AM218" i="2"/>
  <c r="AG182" i="2"/>
  <c r="AM256" i="2"/>
  <c r="AL278" i="2"/>
  <c r="AN200" i="2"/>
  <c r="AF200" i="2"/>
  <c r="AK297" i="2"/>
  <c r="AO218" i="2"/>
  <c r="AJ182" i="2"/>
  <c r="AK256" i="2"/>
  <c r="AI278" i="2"/>
  <c r="AM200" i="2"/>
  <c r="AF251" i="2"/>
  <c r="AK218" i="2"/>
  <c r="BJ275" i="2"/>
  <c r="AJ286" i="2" s="1"/>
  <c r="AI286" i="2"/>
  <c r="AH218" i="2"/>
  <c r="AH210" i="2"/>
  <c r="AI218" i="2"/>
  <c r="AJ210" i="2"/>
  <c r="AJ273" i="2"/>
  <c r="L77" i="28"/>
  <c r="AO210" i="2"/>
  <c r="AH180" i="2"/>
  <c r="AJ292" i="2"/>
  <c r="AN210" i="2"/>
  <c r="AO275" i="2"/>
  <c r="AL210" i="2"/>
  <c r="L57" i="28"/>
  <c r="AK253" i="2"/>
  <c r="AN251" i="2"/>
  <c r="AL273" i="2"/>
  <c r="AL180" i="2"/>
  <c r="AM295" i="2"/>
  <c r="AI210" i="2"/>
  <c r="AJ275" i="2"/>
  <c r="J12" i="14" l="1"/>
  <c r="K24" i="21"/>
  <c r="L47" i="21"/>
  <c r="J13" i="14"/>
  <c r="J18" i="14"/>
  <c r="J19" i="14"/>
  <c r="I14" i="14"/>
  <c r="AH24" i="2"/>
  <c r="H49" i="34" s="1"/>
  <c r="AK24" i="2"/>
  <c r="K49" i="34" s="1"/>
  <c r="AG24" i="2"/>
  <c r="G49" i="34" s="1"/>
  <c r="AO24" i="2"/>
  <c r="O49" i="34" s="1"/>
  <c r="J10" i="14"/>
  <c r="J11" i="14"/>
  <c r="I16" i="14"/>
  <c r="I7" i="14"/>
  <c r="I4" i="14"/>
  <c r="K48" i="21"/>
  <c r="J28" i="14"/>
  <c r="J8" i="14"/>
  <c r="J5" i="14"/>
  <c r="J25" i="14"/>
  <c r="J17" i="14"/>
  <c r="I3" i="14"/>
  <c r="J22" i="14"/>
  <c r="AM24" i="2"/>
  <c r="M49" i="34" s="1"/>
  <c r="I26" i="14"/>
  <c r="J26" i="14"/>
  <c r="J23" i="14"/>
  <c r="I23" i="14"/>
  <c r="I27" i="14"/>
  <c r="J27" i="14"/>
  <c r="I9" i="14"/>
  <c r="J9" i="14"/>
  <c r="J15" i="14"/>
  <c r="I15" i="14"/>
  <c r="J24" i="14"/>
  <c r="I24" i="14"/>
  <c r="I6" i="14"/>
  <c r="J6" i="14"/>
  <c r="I20" i="14"/>
  <c r="J20" i="14"/>
  <c r="AN24" i="2"/>
  <c r="N49" i="34" s="1"/>
  <c r="AI24" i="2"/>
  <c r="I49" i="34" s="1"/>
  <c r="J297" i="2"/>
  <c r="AJ24" i="2"/>
  <c r="J49" i="34" s="1"/>
  <c r="AL24" i="2"/>
  <c r="L49" i="34" s="1"/>
  <c r="J2" i="14"/>
  <c r="J296" i="2"/>
  <c r="J267" i="2"/>
  <c r="J268" i="2"/>
  <c r="L18" i="21"/>
  <c r="J168" i="2"/>
  <c r="I153" i="17" s="1"/>
  <c r="J295" i="2"/>
  <c r="J164" i="2"/>
  <c r="I149" i="17" s="1"/>
  <c r="J152" i="2"/>
  <c r="I137" i="17" s="1"/>
  <c r="J254" i="2"/>
  <c r="J213" i="2"/>
  <c r="I198" i="17" s="1"/>
  <c r="J256" i="2"/>
  <c r="J219" i="2"/>
  <c r="I204" i="17" s="1"/>
  <c r="J271" i="2"/>
  <c r="J292" i="2"/>
  <c r="J287" i="2"/>
  <c r="AW254" i="2"/>
  <c r="K258" i="2" s="1"/>
  <c r="V258" i="2" s="1"/>
  <c r="J180" i="2"/>
  <c r="I165" i="17" s="1"/>
  <c r="J290" i="2"/>
  <c r="J186" i="2"/>
  <c r="I171" i="17" s="1"/>
  <c r="J176" i="2"/>
  <c r="I161" i="17" s="1"/>
  <c r="J275" i="2"/>
  <c r="J154" i="2"/>
  <c r="I139" i="17" s="1"/>
  <c r="J209" i="2"/>
  <c r="I194" i="17" s="1"/>
  <c r="J207" i="2"/>
  <c r="I192" i="17" s="1"/>
  <c r="J218" i="2"/>
  <c r="I203" i="17" s="1"/>
  <c r="J179" i="2"/>
  <c r="I164" i="17" s="1"/>
  <c r="J286" i="2"/>
  <c r="J178" i="2"/>
  <c r="I163" i="17" s="1"/>
  <c r="J151" i="2"/>
  <c r="I136" i="17" s="1"/>
  <c r="J162" i="2"/>
  <c r="I147" i="17" s="1"/>
  <c r="J156" i="2"/>
  <c r="I141" i="17" s="1"/>
  <c r="J171" i="2"/>
  <c r="I156" i="17" s="1"/>
  <c r="J187" i="2"/>
  <c r="I172" i="17" s="1"/>
  <c r="J273" i="2"/>
  <c r="J189" i="2"/>
  <c r="I174" i="17" s="1"/>
  <c r="AV254" i="2"/>
  <c r="AZ254" i="2" s="1"/>
  <c r="J212" i="2"/>
  <c r="I197" i="17" s="1"/>
  <c r="J210" i="2"/>
  <c r="I195" i="17" s="1"/>
  <c r="J278" i="2"/>
  <c r="J255" i="2"/>
  <c r="J185" i="2"/>
  <c r="I170" i="17" s="1"/>
  <c r="J169" i="2"/>
  <c r="I154" i="17" s="1"/>
  <c r="J274" i="2"/>
  <c r="J253" i="2"/>
  <c r="AV286" i="2"/>
  <c r="AZ286" i="2" s="1"/>
  <c r="J251" i="2"/>
  <c r="J177" i="2"/>
  <c r="I162" i="17" s="1"/>
  <c r="J198" i="2"/>
  <c r="I183" i="17" s="1"/>
  <c r="J298" i="2"/>
  <c r="J158" i="2"/>
  <c r="I143" i="17" s="1"/>
  <c r="J174" i="2"/>
  <c r="I159" i="17" s="1"/>
  <c r="J188" i="2"/>
  <c r="I173" i="17" s="1"/>
  <c r="J269" i="2"/>
  <c r="J159" i="2"/>
  <c r="I144" i="17" s="1"/>
  <c r="J299" i="2"/>
  <c r="J184" i="2"/>
  <c r="I169" i="17" s="1"/>
  <c r="J289" i="2"/>
  <c r="J216" i="2"/>
  <c r="I201" i="17" s="1"/>
  <c r="AU254" i="2"/>
  <c r="J214" i="2"/>
  <c r="I199" i="17" s="1"/>
  <c r="J195" i="2"/>
  <c r="I180" i="17" s="1"/>
  <c r="J208" i="2"/>
  <c r="I193" i="17" s="1"/>
  <c r="J206" i="2"/>
  <c r="I191" i="17" s="1"/>
  <c r="J166" i="2"/>
  <c r="I151" i="17" s="1"/>
  <c r="J201" i="2"/>
  <c r="I186" i="17" s="1"/>
  <c r="J293" i="2"/>
  <c r="J284" i="2"/>
  <c r="J170" i="2"/>
  <c r="I155" i="17" s="1"/>
  <c r="K44" i="21"/>
  <c r="L44" i="21"/>
  <c r="AU286" i="2"/>
  <c r="J172" i="2"/>
  <c r="I157" i="17" s="1"/>
  <c r="J285" i="2"/>
  <c r="J200" i="2"/>
  <c r="I185" i="17" s="1"/>
  <c r="AF24" i="2"/>
  <c r="F49" i="34" s="1"/>
  <c r="J199" i="2"/>
  <c r="I184" i="17" s="1"/>
  <c r="J161" i="2"/>
  <c r="I146" i="17" s="1"/>
  <c r="J277" i="2"/>
  <c r="J215" i="2"/>
  <c r="I200" i="17" s="1"/>
  <c r="J294" i="2"/>
  <c r="J280" i="2"/>
  <c r="J276" i="2"/>
  <c r="K45" i="21"/>
  <c r="L45" i="21"/>
  <c r="J203" i="2"/>
  <c r="I188" i="17" s="1"/>
  <c r="J211" i="2"/>
  <c r="I196" i="17" s="1"/>
  <c r="J182" i="2"/>
  <c r="I167" i="17" s="1"/>
  <c r="J252" i="2"/>
  <c r="J217" i="2"/>
  <c r="I202" i="17" s="1"/>
  <c r="J165" i="2"/>
  <c r="I150" i="17" s="1"/>
  <c r="J202" i="2"/>
  <c r="I187" i="17" s="1"/>
  <c r="J266" i="2"/>
  <c r="AW286" i="2"/>
  <c r="J183" i="2"/>
  <c r="I168" i="17" s="1"/>
  <c r="J155" i="2"/>
  <c r="I140" i="17" s="1"/>
  <c r="J282" i="2"/>
  <c r="K71" i="21"/>
  <c r="L71" i="21"/>
  <c r="J153" i="2"/>
  <c r="I138" i="17" s="1"/>
  <c r="J157" i="2"/>
  <c r="I142" i="17" s="1"/>
  <c r="J272" i="2"/>
  <c r="J190" i="2"/>
  <c r="I175" i="17" s="1"/>
  <c r="L55" i="21"/>
  <c r="K55" i="21"/>
  <c r="J270" i="2"/>
  <c r="J160" i="2"/>
  <c r="I145" i="17" s="1"/>
  <c r="J175" i="2"/>
  <c r="I160" i="17" s="1"/>
  <c r="J181" i="2"/>
  <c r="I166" i="17" s="1"/>
  <c r="J291" i="2"/>
  <c r="J69" i="21" l="1"/>
  <c r="J23" i="2"/>
  <c r="J48" i="8"/>
  <c r="J40" i="8"/>
  <c r="L40" i="8" s="1"/>
  <c r="J3" i="8"/>
  <c r="K3" i="8" s="1"/>
  <c r="J29" i="21"/>
  <c r="L29" i="21" s="1"/>
  <c r="J31" i="8"/>
  <c r="J31" i="21"/>
  <c r="L31" i="21" s="1"/>
  <c r="J43" i="8"/>
  <c r="L43" i="8" s="1"/>
  <c r="J21" i="8"/>
  <c r="L21" i="8" s="1"/>
  <c r="H24" i="28"/>
  <c r="H50" i="28"/>
  <c r="J3" i="21"/>
  <c r="L3" i="21" s="1"/>
  <c r="J44" i="8"/>
  <c r="L44" i="8" s="1"/>
  <c r="J33" i="8"/>
  <c r="L33" i="8" s="1"/>
  <c r="H19" i="28"/>
  <c r="J20" i="8"/>
  <c r="L20" i="8" s="1"/>
  <c r="J28" i="8"/>
  <c r="K28" i="8" s="1"/>
  <c r="H13" i="28"/>
  <c r="J60" i="21"/>
  <c r="K60" i="21" s="1"/>
  <c r="J20" i="21"/>
  <c r="L20" i="21" s="1"/>
  <c r="J61" i="21"/>
  <c r="L61" i="21" s="1"/>
  <c r="J40" i="21"/>
  <c r="L40" i="21" s="1"/>
  <c r="J18" i="8"/>
  <c r="L18" i="8" s="1"/>
  <c r="J2" i="21"/>
  <c r="L2" i="21" s="1"/>
  <c r="J50" i="8"/>
  <c r="L50" i="8" s="1"/>
  <c r="J5" i="21"/>
  <c r="L5" i="21" s="1"/>
  <c r="J27" i="8"/>
  <c r="L27" i="8" s="1"/>
  <c r="J36" i="8"/>
  <c r="K36" i="8" s="1"/>
  <c r="J35" i="8"/>
  <c r="L35" i="8" s="1"/>
  <c r="J17" i="8"/>
  <c r="K17" i="8" s="1"/>
  <c r="J26" i="8"/>
  <c r="K26" i="8" s="1"/>
  <c r="J45" i="8"/>
  <c r="K45" i="8" s="1"/>
  <c r="J42" i="8"/>
  <c r="K42" i="8" s="1"/>
  <c r="J23" i="8"/>
  <c r="K23" i="8" s="1"/>
  <c r="H49" i="28"/>
  <c r="J6" i="8"/>
  <c r="H72" i="28"/>
  <c r="J41" i="8"/>
  <c r="H80" i="28"/>
  <c r="J49" i="8"/>
  <c r="H33" i="28"/>
  <c r="J2" i="8"/>
  <c r="H36" i="28"/>
  <c r="J5" i="8"/>
  <c r="L31" i="8"/>
  <c r="K31" i="8"/>
  <c r="J38" i="8"/>
  <c r="H53" i="28"/>
  <c r="J22" i="8"/>
  <c r="H35" i="28"/>
  <c r="J4" i="8"/>
  <c r="H56" i="28"/>
  <c r="J25" i="8"/>
  <c r="H38" i="28"/>
  <c r="J7" i="8"/>
  <c r="J46" i="8"/>
  <c r="H60" i="28"/>
  <c r="J29" i="8"/>
  <c r="J19" i="8"/>
  <c r="J47" i="8"/>
  <c r="H55" i="28"/>
  <c r="J24" i="8"/>
  <c r="J37" i="8"/>
  <c r="K48" i="8"/>
  <c r="L48" i="8"/>
  <c r="J19" i="21"/>
  <c r="L19" i="21" s="1"/>
  <c r="H16" i="28"/>
  <c r="H78" i="28"/>
  <c r="M279" i="2"/>
  <c r="X279" i="2" s="1"/>
  <c r="T281" i="2"/>
  <c r="AE281" i="2" s="1"/>
  <c r="S281" i="2"/>
  <c r="AD281" i="2" s="1"/>
  <c r="R281" i="2"/>
  <c r="AC281" i="2" s="1"/>
  <c r="P281" i="2"/>
  <c r="AA281" i="2" s="1"/>
  <c r="O281" i="2"/>
  <c r="Z281" i="2" s="1"/>
  <c r="M63" i="28" s="1"/>
  <c r="M281" i="2"/>
  <c r="X281" i="2" s="1"/>
  <c r="L281" i="2"/>
  <c r="W281" i="2" s="1"/>
  <c r="K281" i="2"/>
  <c r="V281" i="2" s="1"/>
  <c r="Q281" i="2"/>
  <c r="AB281" i="2" s="1"/>
  <c r="J15" i="21"/>
  <c r="L15" i="21" s="1"/>
  <c r="H77" i="28"/>
  <c r="H51" i="28"/>
  <c r="H23" i="28"/>
  <c r="S263" i="2"/>
  <c r="AD263" i="2" s="1"/>
  <c r="Q45" i="28" s="1"/>
  <c r="R263" i="2"/>
  <c r="AC263" i="2" s="1"/>
  <c r="P45" i="28" s="1"/>
  <c r="Q263" i="2"/>
  <c r="AB263" i="2" s="1"/>
  <c r="O45" i="28" s="1"/>
  <c r="P263" i="2"/>
  <c r="AA263" i="2" s="1"/>
  <c r="N45" i="28" s="1"/>
  <c r="O263" i="2"/>
  <c r="Z263" i="2" s="1"/>
  <c r="M45" i="28" s="1"/>
  <c r="N263" i="2"/>
  <c r="Y263" i="2" s="1"/>
  <c r="L45" i="28" s="1"/>
  <c r="K263" i="2"/>
  <c r="V263" i="2" s="1"/>
  <c r="T261" i="2"/>
  <c r="S261" i="2"/>
  <c r="AD261" i="2" s="1"/>
  <c r="Q43" i="28" s="1"/>
  <c r="R261" i="2"/>
  <c r="AC261" i="2" s="1"/>
  <c r="P43" i="28" s="1"/>
  <c r="Q261" i="2"/>
  <c r="AB261" i="2" s="1"/>
  <c r="O43" i="28" s="1"/>
  <c r="P261" i="2"/>
  <c r="AA261" i="2" s="1"/>
  <c r="O261" i="2"/>
  <c r="Z261" i="2" s="1"/>
  <c r="M43" i="28" s="1"/>
  <c r="K261" i="2"/>
  <c r="V261" i="2" s="1"/>
  <c r="I43" i="28" s="1"/>
  <c r="N261" i="2"/>
  <c r="Y261" i="2" s="1"/>
  <c r="L43" i="28" s="1"/>
  <c r="T263" i="2"/>
  <c r="H22" i="28"/>
  <c r="J27" i="21"/>
  <c r="K27" i="21" s="1"/>
  <c r="J13" i="21"/>
  <c r="K13" i="21" s="1"/>
  <c r="J64" i="21"/>
  <c r="L64" i="21" s="1"/>
  <c r="H69" i="28"/>
  <c r="H74" i="28"/>
  <c r="J70" i="21"/>
  <c r="L70" i="21" s="1"/>
  <c r="V260" i="2"/>
  <c r="I42" i="28" s="1"/>
  <c r="Q257" i="2"/>
  <c r="AB257" i="2" s="1"/>
  <c r="R258" i="2"/>
  <c r="AC258" i="2" s="1"/>
  <c r="N257" i="2"/>
  <c r="Y257" i="2" s="1"/>
  <c r="L39" i="28" s="1"/>
  <c r="P257" i="2"/>
  <c r="AA257" i="2" s="1"/>
  <c r="N39" i="28" s="1"/>
  <c r="R257" i="2"/>
  <c r="AC257" i="2" s="1"/>
  <c r="P39" i="28" s="1"/>
  <c r="O258" i="2"/>
  <c r="Z258" i="2" s="1"/>
  <c r="P258" i="2"/>
  <c r="AA258" i="2" s="1"/>
  <c r="N40" i="28" s="1"/>
  <c r="Q258" i="2"/>
  <c r="AB258" i="2" s="1"/>
  <c r="O40" i="28" s="1"/>
  <c r="S258" i="2"/>
  <c r="AD258" i="2" s="1"/>
  <c r="Q40" i="28" s="1"/>
  <c r="K257" i="2"/>
  <c r="V257" i="2" s="1"/>
  <c r="I39" i="28" s="1"/>
  <c r="O257" i="2"/>
  <c r="Z257" i="2" s="1"/>
  <c r="S257" i="2"/>
  <c r="AD257" i="2" s="1"/>
  <c r="Q39" i="28" s="1"/>
  <c r="N258" i="2"/>
  <c r="Y258" i="2" s="1"/>
  <c r="L40" i="28" s="1"/>
  <c r="T257" i="2"/>
  <c r="T258" i="2"/>
  <c r="N259" i="2"/>
  <c r="Y259" i="2" s="1"/>
  <c r="L41" i="28" s="1"/>
  <c r="O259" i="2"/>
  <c r="Z259" i="2" s="1"/>
  <c r="M41" i="28" s="1"/>
  <c r="P259" i="2"/>
  <c r="AA259" i="2" s="1"/>
  <c r="N41" i="28" s="1"/>
  <c r="Q259" i="2"/>
  <c r="AB259" i="2" s="1"/>
  <c r="O41" i="28" s="1"/>
  <c r="R259" i="2"/>
  <c r="AC259" i="2" s="1"/>
  <c r="P41" i="28" s="1"/>
  <c r="S259" i="2"/>
  <c r="AD259" i="2" s="1"/>
  <c r="Q41" i="28" s="1"/>
  <c r="T259" i="2"/>
  <c r="H57" i="28"/>
  <c r="J63" i="21"/>
  <c r="L63" i="21" s="1"/>
  <c r="Z262" i="2"/>
  <c r="M44" i="28" s="1"/>
  <c r="H28" i="28"/>
  <c r="AD262" i="2"/>
  <c r="Q44" i="28" s="1"/>
  <c r="K259" i="2"/>
  <c r="V259" i="2" s="1"/>
  <c r="I41" i="28" s="1"/>
  <c r="AB262" i="2"/>
  <c r="O44" i="28" s="1"/>
  <c r="AB260" i="2"/>
  <c r="O42" i="28" s="1"/>
  <c r="AA265" i="2"/>
  <c r="N47" i="28" s="1"/>
  <c r="Z265" i="2"/>
  <c r="M47" i="28" s="1"/>
  <c r="Z260" i="2"/>
  <c r="M42" i="28" s="1"/>
  <c r="AA262" i="2"/>
  <c r="N44" i="28" s="1"/>
  <c r="AB265" i="2"/>
  <c r="O47" i="28" s="1"/>
  <c r="V265" i="2"/>
  <c r="I47" i="28" s="1"/>
  <c r="AD265" i="2"/>
  <c r="Q47" i="28" s="1"/>
  <c r="J58" i="21"/>
  <c r="K58" i="21" s="1"/>
  <c r="J37" i="21"/>
  <c r="L37" i="21" s="1"/>
  <c r="H37" i="28"/>
  <c r="AC262" i="2"/>
  <c r="P44" i="28" s="1"/>
  <c r="AA260" i="2"/>
  <c r="N42" i="28" s="1"/>
  <c r="Y265" i="2"/>
  <c r="Y262" i="2"/>
  <c r="L44" i="28" s="1"/>
  <c r="AC260" i="2"/>
  <c r="AD260" i="2"/>
  <c r="Q42" i="28" s="1"/>
  <c r="Y260" i="2"/>
  <c r="J49" i="21"/>
  <c r="K49" i="21" s="1"/>
  <c r="J30" i="21"/>
  <c r="L30" i="21" s="1"/>
  <c r="H68" i="28"/>
  <c r="AC265" i="2"/>
  <c r="J38" i="21"/>
  <c r="L38" i="21" s="1"/>
  <c r="J39" i="21"/>
  <c r="L39" i="21" s="1"/>
  <c r="J25" i="21"/>
  <c r="K25" i="21" s="1"/>
  <c r="J7" i="21"/>
  <c r="L7" i="21" s="1"/>
  <c r="V262" i="2"/>
  <c r="H79" i="28"/>
  <c r="J22" i="21"/>
  <c r="K22" i="21" s="1"/>
  <c r="AC264" i="2"/>
  <c r="P46" i="28" s="1"/>
  <c r="J28" i="21"/>
  <c r="L28" i="21" s="1"/>
  <c r="H17" i="28"/>
  <c r="V264" i="2"/>
  <c r="J9" i="21"/>
  <c r="L9" i="21" s="1"/>
  <c r="J36" i="21"/>
  <c r="L36" i="21" s="1"/>
  <c r="AA264" i="2"/>
  <c r="Y264" i="2"/>
  <c r="L46" i="28" s="1"/>
  <c r="AB264" i="2"/>
  <c r="O46" i="28" s="1"/>
  <c r="AD264" i="2"/>
  <c r="Q46" i="28" s="1"/>
  <c r="J11" i="21"/>
  <c r="H76" i="28"/>
  <c r="J46" i="21"/>
  <c r="H52" i="28"/>
  <c r="J16" i="21"/>
  <c r="H62" i="28"/>
  <c r="J59" i="21"/>
  <c r="J65" i="21"/>
  <c r="J68" i="21"/>
  <c r="BH278" i="2"/>
  <c r="BF278" i="2"/>
  <c r="H34" i="28"/>
  <c r="J66" i="21"/>
  <c r="J67" i="21"/>
  <c r="J54" i="21"/>
  <c r="H59" i="28"/>
  <c r="I40" i="28"/>
  <c r="J12" i="21"/>
  <c r="J35" i="21"/>
  <c r="J33" i="21"/>
  <c r="H64" i="28"/>
  <c r="H18" i="28"/>
  <c r="J21" i="21"/>
  <c r="H66" i="28"/>
  <c r="J4" i="21"/>
  <c r="J24" i="2"/>
  <c r="D52" i="34" s="1"/>
  <c r="J50" i="21"/>
  <c r="H81" i="28"/>
  <c r="H67" i="28"/>
  <c r="J53" i="21"/>
  <c r="H14" i="28"/>
  <c r="J17" i="21"/>
  <c r="H58" i="28"/>
  <c r="H71" i="28"/>
  <c r="J8" i="21"/>
  <c r="J57" i="21"/>
  <c r="J52" i="21"/>
  <c r="J62" i="21"/>
  <c r="J51" i="21"/>
  <c r="J6" i="21"/>
  <c r="J41" i="21"/>
  <c r="H54" i="28"/>
  <c r="J23" i="21"/>
  <c r="H75" i="28"/>
  <c r="J34" i="21"/>
  <c r="K283" i="2"/>
  <c r="V283" i="2" s="1"/>
  <c r="P279" i="2"/>
  <c r="AA279" i="2" s="1"/>
  <c r="L283" i="2"/>
  <c r="W283" i="2" s="1"/>
  <c r="T279" i="2"/>
  <c r="AE279" i="2" s="1"/>
  <c r="Q283" i="2"/>
  <c r="AB283" i="2" s="1"/>
  <c r="T283" i="2"/>
  <c r="AE283" i="2" s="1"/>
  <c r="Q279" i="2"/>
  <c r="AB279" i="2" s="1"/>
  <c r="S279" i="2"/>
  <c r="AD279" i="2" s="1"/>
  <c r="M283" i="2"/>
  <c r="X283" i="2" s="1"/>
  <c r="P283" i="2"/>
  <c r="AA283" i="2" s="1"/>
  <c r="R279" i="2"/>
  <c r="AC279" i="2" s="1"/>
  <c r="R283" i="2"/>
  <c r="AC283" i="2" s="1"/>
  <c r="L279" i="2"/>
  <c r="W279" i="2" s="1"/>
  <c r="O283" i="2"/>
  <c r="Z283" i="2" s="1"/>
  <c r="M65" i="28" s="1"/>
  <c r="O279" i="2"/>
  <c r="Z279" i="2" s="1"/>
  <c r="M61" i="28" s="1"/>
  <c r="Y283" i="2"/>
  <c r="S283" i="2"/>
  <c r="AD283" i="2" s="1"/>
  <c r="Y281" i="2"/>
  <c r="Y279" i="2"/>
  <c r="K279" i="2"/>
  <c r="V279" i="2" s="1"/>
  <c r="K69" i="21"/>
  <c r="L69" i="21"/>
  <c r="H48" i="28"/>
  <c r="J10" i="21"/>
  <c r="H73" i="28"/>
  <c r="J32" i="21"/>
  <c r="J26" i="21"/>
  <c r="H21" i="28"/>
  <c r="L3" i="8" l="1"/>
  <c r="K20" i="21"/>
  <c r="K61" i="21"/>
  <c r="K40" i="21"/>
  <c r="K29" i="21"/>
  <c r="K2" i="21"/>
  <c r="L60" i="21"/>
  <c r="K40" i="8"/>
  <c r="K31" i="21"/>
  <c r="K18" i="8"/>
  <c r="K43" i="8"/>
  <c r="K21" i="8"/>
  <c r="K33" i="8"/>
  <c r="L17" i="8"/>
  <c r="K35" i="8"/>
  <c r="L23" i="8"/>
  <c r="L28" i="8"/>
  <c r="K3" i="21"/>
  <c r="L45" i="8"/>
  <c r="L26" i="8"/>
  <c r="K44" i="8"/>
  <c r="K20" i="8"/>
  <c r="K19" i="21"/>
  <c r="K50" i="8"/>
  <c r="L42" i="8"/>
  <c r="L36" i="8"/>
  <c r="K5" i="21"/>
  <c r="K27" i="8"/>
  <c r="K38" i="8"/>
  <c r="L38" i="8"/>
  <c r="L19" i="8"/>
  <c r="K19" i="8"/>
  <c r="L5" i="8"/>
  <c r="K5" i="8"/>
  <c r="K47" i="8"/>
  <c r="L47" i="8"/>
  <c r="K24" i="8"/>
  <c r="L24" i="8"/>
  <c r="L46" i="8"/>
  <c r="K46" i="8"/>
  <c r="K7" i="8"/>
  <c r="L7" i="8"/>
  <c r="K49" i="8"/>
  <c r="L49" i="8"/>
  <c r="K29" i="8"/>
  <c r="L29" i="8"/>
  <c r="K37" i="8"/>
  <c r="L37" i="8"/>
  <c r="L2" i="8"/>
  <c r="K2" i="8"/>
  <c r="K25" i="8"/>
  <c r="L25" i="8"/>
  <c r="L22" i="8"/>
  <c r="K22" i="8"/>
  <c r="K41" i="8"/>
  <c r="L41" i="8"/>
  <c r="K6" i="8"/>
  <c r="L6" i="8"/>
  <c r="L4" i="8"/>
  <c r="K4" i="8"/>
  <c r="K15" i="21"/>
  <c r="K63" i="21"/>
  <c r="L27" i="21"/>
  <c r="K64" i="21"/>
  <c r="K70" i="21"/>
  <c r="L13" i="21"/>
  <c r="AO257" i="2"/>
  <c r="AF262" i="2"/>
  <c r="AL261" i="2"/>
  <c r="K38" i="21"/>
  <c r="K37" i="21"/>
  <c r="L58" i="21"/>
  <c r="L25" i="21"/>
  <c r="I44" i="28"/>
  <c r="AO262" i="2"/>
  <c r="AI258" i="2"/>
  <c r="AN257" i="2"/>
  <c r="AM257" i="2"/>
  <c r="M39" i="28"/>
  <c r="N43" i="28"/>
  <c r="AM258" i="2"/>
  <c r="AF257" i="2"/>
  <c r="AF260" i="2"/>
  <c r="AF258" i="2"/>
  <c r="AM265" i="2"/>
  <c r="AJ262" i="2"/>
  <c r="AN261" i="2"/>
  <c r="AO258" i="2"/>
  <c r="AK265" i="2"/>
  <c r="AM260" i="2"/>
  <c r="AK260" i="2"/>
  <c r="L42" i="28"/>
  <c r="AI260" i="2"/>
  <c r="AL265" i="2"/>
  <c r="AN258" i="2"/>
  <c r="AI257" i="2"/>
  <c r="P47" i="28"/>
  <c r="AM259" i="2"/>
  <c r="K9" i="21"/>
  <c r="AJ258" i="2"/>
  <c r="AK258" i="2"/>
  <c r="AN260" i="2"/>
  <c r="AL262" i="2"/>
  <c r="AJ265" i="2"/>
  <c r="AF265" i="2"/>
  <c r="AJ260" i="2"/>
  <c r="AJ257" i="2"/>
  <c r="AO265" i="2"/>
  <c r="L49" i="21"/>
  <c r="AJ263" i="2"/>
  <c r="P42" i="28"/>
  <c r="AK257" i="2"/>
  <c r="AK263" i="2"/>
  <c r="P40" i="28"/>
  <c r="AI262" i="2"/>
  <c r="L47" i="28"/>
  <c r="AN265" i="2"/>
  <c r="K36" i="21"/>
  <c r="AL258" i="2"/>
  <c r="AO260" i="2"/>
  <c r="AL260" i="2"/>
  <c r="AN259" i="2"/>
  <c r="AL257" i="2"/>
  <c r="AI265" i="2"/>
  <c r="AK264" i="2"/>
  <c r="M40" i="28"/>
  <c r="O39" i="28"/>
  <c r="AF259" i="2"/>
  <c r="K28" i="21"/>
  <c r="AO259" i="2"/>
  <c r="AJ261" i="2"/>
  <c r="K7" i="21"/>
  <c r="AM261" i="2"/>
  <c r="AN264" i="2"/>
  <c r="AO263" i="2"/>
  <c r="AF261" i="2"/>
  <c r="AO261" i="2"/>
  <c r="AK261" i="2"/>
  <c r="AI261" i="2"/>
  <c r="AM262" i="2"/>
  <c r="AK262" i="2"/>
  <c r="AN262" i="2"/>
  <c r="AK259" i="2"/>
  <c r="L22" i="21"/>
  <c r="N46" i="28"/>
  <c r="AM264" i="2"/>
  <c r="AL259" i="2"/>
  <c r="K39" i="21"/>
  <c r="K30" i="21"/>
  <c r="AF264" i="2"/>
  <c r="AI259" i="2"/>
  <c r="AJ259" i="2"/>
  <c r="AI263" i="2"/>
  <c r="AL263" i="2"/>
  <c r="AM263" i="2"/>
  <c r="AI264" i="2"/>
  <c r="AL264" i="2"/>
  <c r="AN263" i="2"/>
  <c r="AF263" i="2"/>
  <c r="AO264" i="2"/>
  <c r="I45" i="28"/>
  <c r="I46" i="28"/>
  <c r="K10" i="21"/>
  <c r="L10" i="21"/>
  <c r="P61" i="28"/>
  <c r="AM279" i="2"/>
  <c r="O61" i="28"/>
  <c r="AL279" i="2"/>
  <c r="L52" i="21"/>
  <c r="K52" i="21"/>
  <c r="K59" i="21"/>
  <c r="L59" i="21"/>
  <c r="AM281" i="2"/>
  <c r="P63" i="28"/>
  <c r="K6" i="21"/>
  <c r="L6" i="21"/>
  <c r="D67" i="34"/>
  <c r="D61" i="34"/>
  <c r="D73" i="34"/>
  <c r="L32" i="21"/>
  <c r="K32" i="21"/>
  <c r="AO283" i="2"/>
  <c r="R65" i="28"/>
  <c r="L41" i="21"/>
  <c r="K41" i="21"/>
  <c r="AL283" i="2"/>
  <c r="O65" i="28"/>
  <c r="AO279" i="2"/>
  <c r="R61" i="28"/>
  <c r="J65" i="28"/>
  <c r="AG283" i="2"/>
  <c r="AK279" i="2"/>
  <c r="N61" i="28"/>
  <c r="K57" i="21"/>
  <c r="L57" i="21"/>
  <c r="K53" i="21"/>
  <c r="L53" i="21"/>
  <c r="L33" i="21"/>
  <c r="K33" i="21"/>
  <c r="L12" i="21"/>
  <c r="K12" i="21"/>
  <c r="L67" i="21"/>
  <c r="K67" i="21"/>
  <c r="AH281" i="2"/>
  <c r="K63" i="28"/>
  <c r="K61" i="28"/>
  <c r="AH279" i="2"/>
  <c r="K35" i="21"/>
  <c r="L35" i="21"/>
  <c r="L34" i="21"/>
  <c r="K34" i="21"/>
  <c r="K66" i="21"/>
  <c r="L66" i="21"/>
  <c r="K16" i="21"/>
  <c r="L16" i="21"/>
  <c r="K21" i="21"/>
  <c r="L21" i="21"/>
  <c r="BJ279" i="2"/>
  <c r="AL288" i="2" s="1"/>
  <c r="BL279" i="2"/>
  <c r="AN288" i="2" s="1"/>
  <c r="BF279" i="2"/>
  <c r="AH288" i="2" s="1"/>
  <c r="BI279" i="2"/>
  <c r="AK288" i="2" s="1"/>
  <c r="BD279" i="2"/>
  <c r="AF288" i="2" s="1"/>
  <c r="BK279" i="2"/>
  <c r="AM288" i="2" s="1"/>
  <c r="AI288" i="2"/>
  <c r="AF283" i="2"/>
  <c r="AJ283" i="2"/>
  <c r="I65" i="28"/>
  <c r="K23" i="21"/>
  <c r="L23" i="21"/>
  <c r="BH279" i="2"/>
  <c r="AJ288" i="2" s="1"/>
  <c r="L8" i="21"/>
  <c r="K8" i="21"/>
  <c r="K50" i="21"/>
  <c r="L50" i="21"/>
  <c r="L63" i="28"/>
  <c r="AI281" i="2"/>
  <c r="AN283" i="2"/>
  <c r="Q65" i="28"/>
  <c r="K68" i="21"/>
  <c r="L68" i="21"/>
  <c r="AN281" i="2"/>
  <c r="Q63" i="28"/>
  <c r="L46" i="21"/>
  <c r="K46" i="21"/>
  <c r="L65" i="21"/>
  <c r="K65" i="21"/>
  <c r="L61" i="28"/>
  <c r="AI279" i="2"/>
  <c r="AO281" i="2"/>
  <c r="R63" i="28"/>
  <c r="AM283" i="2"/>
  <c r="P65" i="28"/>
  <c r="L51" i="21"/>
  <c r="K51" i="21"/>
  <c r="K54" i="21"/>
  <c r="L54" i="21"/>
  <c r="AG279" i="2"/>
  <c r="J61" i="28"/>
  <c r="AJ281" i="2"/>
  <c r="I63" i="28"/>
  <c r="AF281" i="2"/>
  <c r="AF279" i="2"/>
  <c r="AJ279" i="2"/>
  <c r="I61" i="28"/>
  <c r="L65" i="28"/>
  <c r="AI283" i="2"/>
  <c r="N63" i="28"/>
  <c r="AK281" i="2"/>
  <c r="L17" i="21"/>
  <c r="K17" i="21"/>
  <c r="AK283" i="2"/>
  <c r="N65" i="28"/>
  <c r="AG281" i="2"/>
  <c r="J63" i="28"/>
  <c r="O63" i="28"/>
  <c r="AL281" i="2"/>
  <c r="AH283" i="2"/>
  <c r="K65" i="28"/>
  <c r="K62" i="21"/>
  <c r="L62" i="21"/>
  <c r="L11" i="21"/>
  <c r="K11" i="21"/>
  <c r="L26" i="21"/>
  <c r="K26" i="21"/>
  <c r="AN279" i="2"/>
  <c r="Q61" i="28"/>
  <c r="L4" i="21"/>
  <c r="K4" i="21"/>
  <c r="J265" i="2" l="1"/>
  <c r="J259" i="2"/>
  <c r="J257" i="2"/>
  <c r="J258" i="2"/>
  <c r="J260" i="2"/>
  <c r="J262" i="2"/>
  <c r="J261" i="2"/>
  <c r="J264" i="2"/>
  <c r="J263" i="2"/>
  <c r="J283" i="2"/>
  <c r="J288" i="2"/>
  <c r="J281" i="2"/>
  <c r="J279" i="2"/>
  <c r="J39" i="8" l="1"/>
  <c r="K39" i="8" s="1"/>
  <c r="J30" i="8"/>
  <c r="K30" i="8" s="1"/>
  <c r="I16" i="17"/>
  <c r="M15" i="1" s="1"/>
  <c r="J34" i="8"/>
  <c r="L34" i="8" s="1"/>
  <c r="J13" i="8"/>
  <c r="K13" i="8" s="1"/>
  <c r="J32" i="8"/>
  <c r="L32" i="8" s="1"/>
  <c r="J12" i="8"/>
  <c r="K12" i="8" s="1"/>
  <c r="J10" i="8"/>
  <c r="L10" i="8" s="1"/>
  <c r="H41" i="28"/>
  <c r="H39" i="28"/>
  <c r="J8" i="8"/>
  <c r="J14" i="8"/>
  <c r="H46" i="28"/>
  <c r="J15" i="8"/>
  <c r="H42" i="28"/>
  <c r="J11" i="8"/>
  <c r="J9" i="8"/>
  <c r="H47" i="28"/>
  <c r="J16" i="8"/>
  <c r="H43" i="28"/>
  <c r="H44" i="28"/>
  <c r="H40" i="28"/>
  <c r="H45" i="28"/>
  <c r="H61" i="28"/>
  <c r="H63" i="28"/>
  <c r="H70" i="28"/>
  <c r="H65" i="28"/>
  <c r="H5" i="17" l="1"/>
  <c r="L16" i="1" s="1"/>
  <c r="C5" i="17"/>
  <c r="F5" i="17"/>
  <c r="J16" i="1" s="1"/>
  <c r="B5" i="17"/>
  <c r="G5" i="17"/>
  <c r="K16" i="1" s="1"/>
  <c r="D5" i="17"/>
  <c r="L39" i="8"/>
  <c r="L12" i="8"/>
  <c r="L30" i="8"/>
  <c r="K10" i="8"/>
  <c r="K32" i="8"/>
  <c r="K34" i="8"/>
  <c r="L13" i="8"/>
  <c r="K16" i="8"/>
  <c r="L16" i="8"/>
  <c r="L9" i="8"/>
  <c r="K9" i="8"/>
  <c r="L14" i="8"/>
  <c r="K14" i="8"/>
  <c r="K11" i="8"/>
  <c r="L11" i="8"/>
  <c r="K15" i="8"/>
  <c r="L15" i="8"/>
  <c r="K8" i="8"/>
  <c r="L8" i="8"/>
  <c r="G251"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Chan</author>
  </authors>
  <commentList>
    <comment ref="K14" authorId="0" shapeId="0" xr:uid="{00000000-0006-0000-0300-000001000000}">
      <text>
        <r>
          <rPr>
            <b/>
            <sz val="9"/>
            <color rgb="FF000000"/>
            <rFont val="細明體"/>
            <family val="3"/>
            <charset val="136"/>
          </rPr>
          <t>或</t>
        </r>
        <r>
          <rPr>
            <b/>
            <sz val="9"/>
            <color rgb="FF000000"/>
            <rFont val="Tahoma"/>
            <family val="2"/>
          </rPr>
          <t>Mean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Chan</author>
    <author>CHAN, Koon Ho</author>
  </authors>
  <commentList>
    <comment ref="E86" authorId="0" shapeId="0" xr:uid="{00000000-0006-0000-0000-000023000000}">
      <text>
        <r>
          <rPr>
            <b/>
            <sz val="9"/>
            <color indexed="81"/>
            <rFont val="Tahoma"/>
            <family val="2"/>
          </rPr>
          <t>x2:</t>
        </r>
        <r>
          <rPr>
            <b/>
            <sz val="9"/>
            <color indexed="81"/>
            <rFont val="細明體"/>
            <family val="3"/>
            <charset val="136"/>
          </rPr>
          <t xml:space="preserve">
</t>
        </r>
        <r>
          <rPr>
            <sz val="9"/>
            <color indexed="81"/>
            <rFont val="細明體"/>
            <family val="3"/>
            <charset val="136"/>
          </rPr>
          <t>英文、英語文學</t>
        </r>
        <r>
          <rPr>
            <b/>
            <sz val="9"/>
            <color indexed="81"/>
            <rFont val="細明體"/>
            <family val="3"/>
            <charset val="136"/>
          </rPr>
          <t xml:space="preserve">
</t>
        </r>
        <r>
          <rPr>
            <b/>
            <sz val="9"/>
            <color indexed="81"/>
            <rFont val="Tahoma"/>
            <family val="2"/>
          </rPr>
          <t xml:space="preserve">
x1.5:
</t>
        </r>
        <r>
          <rPr>
            <sz val="9"/>
            <color indexed="81"/>
            <rFont val="細明體"/>
            <family val="3"/>
            <charset val="136"/>
          </rPr>
          <t>中文、中國文學、通識、數學</t>
        </r>
      </text>
    </comment>
    <comment ref="E88" authorId="0" shapeId="0" xr:uid="{00000000-0006-0000-0000-000024000000}">
      <text>
        <r>
          <rPr>
            <b/>
            <sz val="9"/>
            <color indexed="81"/>
            <rFont val="Tahoma"/>
            <family val="2"/>
          </rPr>
          <t xml:space="preserve">x1.5:
英文 
</t>
        </r>
      </text>
    </comment>
    <comment ref="E89" authorId="0" shapeId="0" xr:uid="{00000000-0006-0000-0000-000025000000}">
      <text>
        <r>
          <rPr>
            <b/>
            <sz val="9"/>
            <color indexed="81"/>
            <rFont val="Tahoma"/>
            <family val="2"/>
          </rPr>
          <t xml:space="preserve">x1.5:
英文 
</t>
        </r>
      </text>
    </comment>
    <comment ref="E90" authorId="0" shapeId="0" xr:uid="{00000000-0006-0000-0000-000026000000}">
      <text>
        <r>
          <rPr>
            <b/>
            <sz val="9"/>
            <color indexed="81"/>
            <rFont val="Tahoma"/>
            <family val="2"/>
          </rPr>
          <t xml:space="preserve">Best 5 </t>
        </r>
        <r>
          <rPr>
            <b/>
            <sz val="9"/>
            <color indexed="81"/>
            <rFont val="細明體"/>
            <family val="3"/>
            <charset val="136"/>
          </rPr>
          <t xml:space="preserve">(包括中、英文)
</t>
        </r>
        <r>
          <rPr>
            <b/>
            <sz val="9"/>
            <color indexed="81"/>
            <rFont val="Tahoma"/>
            <family val="2"/>
          </rPr>
          <t>x1.25:
中文、英文</t>
        </r>
      </text>
    </comment>
    <comment ref="E91" authorId="0" shapeId="0" xr:uid="{00000000-0006-0000-0000-000027000000}">
      <text>
        <r>
          <rPr>
            <b/>
            <sz val="9"/>
            <color indexed="81"/>
            <rFont val="Tahoma"/>
            <family val="2"/>
          </rPr>
          <t xml:space="preserve">Best 5 </t>
        </r>
        <r>
          <rPr>
            <b/>
            <sz val="9"/>
            <color indexed="81"/>
            <rFont val="細明體"/>
            <family val="3"/>
            <charset val="136"/>
          </rPr>
          <t xml:space="preserve">(包括中、英文)
</t>
        </r>
        <r>
          <rPr>
            <b/>
            <sz val="9"/>
            <color indexed="81"/>
            <rFont val="Tahoma"/>
            <family val="2"/>
          </rPr>
          <t>x1.25:
中文、英文</t>
        </r>
      </text>
    </comment>
    <comment ref="E92" authorId="0" shapeId="0" xr:uid="{00000000-0006-0000-0000-000028000000}">
      <text>
        <r>
          <rPr>
            <b/>
            <sz val="9"/>
            <color indexed="81"/>
            <rFont val="Tahoma"/>
            <family val="2"/>
          </rPr>
          <t>Best 5 (</t>
        </r>
        <r>
          <rPr>
            <b/>
            <sz val="9"/>
            <color indexed="81"/>
            <rFont val="細明體"/>
            <family val="3"/>
            <charset val="136"/>
          </rPr>
          <t>包括英文</t>
        </r>
        <r>
          <rPr>
            <b/>
            <sz val="9"/>
            <color indexed="81"/>
            <rFont val="Tahoma"/>
            <family val="2"/>
          </rPr>
          <t>)</t>
        </r>
        <r>
          <rPr>
            <sz val="9"/>
            <color indexed="81"/>
            <rFont val="Tahoma"/>
            <family val="2"/>
          </rPr>
          <t xml:space="preserve">
</t>
        </r>
      </text>
    </comment>
    <comment ref="E93" authorId="0" shapeId="0" xr:uid="{00000000-0006-0000-0000-000029000000}">
      <text>
        <r>
          <rPr>
            <b/>
            <sz val="9"/>
            <color indexed="81"/>
            <rFont val="Tahoma"/>
            <family val="2"/>
          </rPr>
          <t>2021</t>
        </r>
        <r>
          <rPr>
            <b/>
            <sz val="9"/>
            <color indexed="81"/>
            <rFont val="細明體"/>
            <family val="3"/>
            <charset val="136"/>
          </rPr>
          <t>年新科目</t>
        </r>
        <r>
          <rPr>
            <b/>
            <sz val="9"/>
            <color indexed="81"/>
            <rFont val="Tahoma"/>
            <family val="2"/>
          </rPr>
          <t xml:space="preserve">
Best 5 </t>
        </r>
        <r>
          <rPr>
            <b/>
            <sz val="9"/>
            <color indexed="81"/>
            <rFont val="細明體"/>
            <family val="3"/>
            <charset val="136"/>
          </rPr>
          <t xml:space="preserve">(包括中、英文)
</t>
        </r>
        <r>
          <rPr>
            <b/>
            <sz val="9"/>
            <color indexed="81"/>
            <rFont val="Tahoma"/>
            <family val="2"/>
          </rPr>
          <t>x1.25:
中文、英文</t>
        </r>
      </text>
    </comment>
    <comment ref="E94" authorId="0" shapeId="0" xr:uid="{00000000-0006-0000-0000-00002A000000}">
      <text>
        <r>
          <rPr>
            <b/>
            <sz val="9"/>
            <color indexed="81"/>
            <rFont val="Tahoma"/>
            <family val="2"/>
          </rPr>
          <t>2021</t>
        </r>
        <r>
          <rPr>
            <b/>
            <sz val="9"/>
            <color indexed="81"/>
            <rFont val="細明體"/>
            <family val="3"/>
            <charset val="136"/>
          </rPr>
          <t>年新科目</t>
        </r>
        <r>
          <rPr>
            <b/>
            <sz val="9"/>
            <color indexed="81"/>
            <rFont val="Tahoma"/>
            <family val="2"/>
          </rPr>
          <t xml:space="preserve">
Best 5 </t>
        </r>
        <r>
          <rPr>
            <b/>
            <sz val="9"/>
            <color indexed="81"/>
            <rFont val="細明體"/>
            <family val="3"/>
            <charset val="136"/>
          </rPr>
          <t xml:space="preserve">(包括中、英文)
</t>
        </r>
        <r>
          <rPr>
            <b/>
            <sz val="9"/>
            <color indexed="81"/>
            <rFont val="Tahoma"/>
            <family val="2"/>
          </rPr>
          <t>x1.25:
中文、英文</t>
        </r>
      </text>
    </comment>
    <comment ref="E95" authorId="0" shapeId="0" xr:uid="{00000000-0006-0000-0000-00002B000000}">
      <text>
        <r>
          <rPr>
            <b/>
            <sz val="9"/>
            <color indexed="81"/>
            <rFont val="Tahoma"/>
            <family val="2"/>
          </rPr>
          <t xml:space="preserve">x1.5: </t>
        </r>
        <r>
          <rPr>
            <sz val="9"/>
            <color indexed="81"/>
            <rFont val="細明體"/>
            <family val="3"/>
            <charset val="136"/>
          </rPr>
          <t>中文、英文、生物</t>
        </r>
        <r>
          <rPr>
            <b/>
            <sz val="9"/>
            <color indexed="81"/>
            <rFont val="細明體"/>
            <family val="3"/>
            <charset val="136"/>
          </rPr>
          <t xml:space="preserve">
</t>
        </r>
        <r>
          <rPr>
            <b/>
            <sz val="9"/>
            <color indexed="81"/>
            <rFont val="Tahoma"/>
            <family val="2"/>
          </rPr>
          <t xml:space="preserve">x1.25: </t>
        </r>
        <r>
          <rPr>
            <sz val="9"/>
            <color indexed="81"/>
            <rFont val="細明體"/>
            <family val="3"/>
            <charset val="136"/>
          </rPr>
          <t>中史、中國文學、化學、組合科學、數學、物理</t>
        </r>
      </text>
    </comment>
    <comment ref="E96" authorId="0" shapeId="0" xr:uid="{00000000-0006-0000-0000-00002C000000}">
      <text>
        <r>
          <rPr>
            <b/>
            <sz val="9"/>
            <color indexed="81"/>
            <rFont val="Tahoma"/>
            <family val="2"/>
          </rPr>
          <t xml:space="preserve">x1.5: </t>
        </r>
        <r>
          <rPr>
            <sz val="9"/>
            <color indexed="81"/>
            <rFont val="細明體"/>
            <family val="3"/>
            <charset val="136"/>
          </rPr>
          <t>中文、英文、化學</t>
        </r>
        <r>
          <rPr>
            <b/>
            <sz val="9"/>
            <color indexed="81"/>
            <rFont val="細明體"/>
            <family val="3"/>
            <charset val="136"/>
          </rPr>
          <t xml:space="preserve">
</t>
        </r>
        <r>
          <rPr>
            <b/>
            <sz val="9"/>
            <color indexed="81"/>
            <rFont val="Tahoma"/>
            <family val="2"/>
          </rPr>
          <t xml:space="preserve">x1.25: </t>
        </r>
        <r>
          <rPr>
            <sz val="9"/>
            <color indexed="81"/>
            <rFont val="細明體"/>
            <family val="3"/>
            <charset val="136"/>
          </rPr>
          <t>生物、中國文學、組合科學、數學、物理</t>
        </r>
      </text>
    </comment>
    <comment ref="E97" authorId="1" shapeId="0" xr:uid="{00000000-0006-0000-0000-00002D000000}">
      <text>
        <r>
          <rPr>
            <b/>
            <sz val="9"/>
            <color indexed="81"/>
            <rFont val="Tahoma"/>
            <family val="2"/>
          </rPr>
          <t>2021年將以4C2X收生
此處仍以Best 6作估算，請注意</t>
        </r>
      </text>
    </comment>
    <comment ref="E98" authorId="0" shapeId="0" xr:uid="{00000000-0006-0000-0000-00002E000000}">
      <text>
        <r>
          <rPr>
            <b/>
            <sz val="9"/>
            <color indexed="81"/>
            <rFont val="Tahoma"/>
            <family val="2"/>
          </rPr>
          <t xml:space="preserve">x2:
英文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author>
    <author>Michael Chan</author>
  </authors>
  <commentList>
    <comment ref="S20" authorId="0" shapeId="0" xr:uid="{00000000-0006-0000-0500-000012000000}">
      <text>
        <r>
          <rPr>
            <b/>
            <sz val="9"/>
            <color rgb="FF000000"/>
            <rFont val="細明體"/>
            <family val="3"/>
            <charset val="136"/>
          </rPr>
          <t>以下一科︰</t>
        </r>
        <r>
          <rPr>
            <sz val="9"/>
            <color rgb="FF000000"/>
            <rFont val="Tahoma"/>
            <family val="2"/>
          </rPr>
          <t xml:space="preserve">
</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Tahoma"/>
            <family val="2"/>
          </rPr>
          <t xml:space="preserve">- </t>
        </r>
        <r>
          <rPr>
            <sz val="9"/>
            <color rgb="FF000000"/>
            <rFont val="細明體"/>
            <family val="3"/>
            <charset val="136"/>
          </rPr>
          <t>物理</t>
        </r>
        <r>
          <rPr>
            <sz val="9"/>
            <color rgb="FF000000"/>
            <rFont val="Tahoma"/>
            <family val="2"/>
          </rPr>
          <t xml:space="preserve">
</t>
        </r>
        <r>
          <rPr>
            <sz val="9"/>
            <color rgb="FF000000"/>
            <rFont val="Tahoma"/>
            <family val="2"/>
          </rPr>
          <t xml:space="preserve">- </t>
        </r>
        <r>
          <rPr>
            <sz val="9"/>
            <color rgb="FF000000"/>
            <rFont val="細明體"/>
            <family val="3"/>
            <charset val="136"/>
          </rPr>
          <t>組合科學</t>
        </r>
        <r>
          <rPr>
            <sz val="9"/>
            <color rgb="FF000000"/>
            <rFont val="Tahoma"/>
            <family val="2"/>
          </rPr>
          <t xml:space="preserve"> (</t>
        </r>
        <r>
          <rPr>
            <sz val="9"/>
            <color rgb="FF000000"/>
            <rFont val="細明體"/>
            <family val="3"/>
            <charset val="136"/>
          </rPr>
          <t>物理、化學</t>
        </r>
        <r>
          <rPr>
            <sz val="9"/>
            <color rgb="FF000000"/>
            <rFont val="Tahoma"/>
            <family val="2"/>
          </rPr>
          <t>)</t>
        </r>
      </text>
    </comment>
    <comment ref="S39" authorId="1" shapeId="0" xr:uid="{1B93A9ED-67AE-4F24-9AFE-A4DA87F61187}">
      <text>
        <r>
          <rPr>
            <b/>
            <sz val="9"/>
            <color rgb="FF000000"/>
            <rFont val="細明體"/>
            <family val="3"/>
            <charset val="136"/>
          </rPr>
          <t>以下兩科︰</t>
        </r>
        <r>
          <rPr>
            <b/>
            <sz val="9"/>
            <color rgb="FF000000"/>
            <rFont val="細明體"/>
            <family val="3"/>
            <charset val="136"/>
          </rPr>
          <t xml:space="preserve">
</t>
        </r>
        <r>
          <rPr>
            <sz val="9"/>
            <color rgb="FF000000"/>
            <rFont val="Tahoma"/>
            <family val="2"/>
          </rPr>
          <t xml:space="preserve">- </t>
        </r>
        <r>
          <rPr>
            <sz val="9"/>
            <color rgb="FF000000"/>
            <rFont val="細明體"/>
            <family val="3"/>
            <charset val="136"/>
          </rPr>
          <t>生物</t>
        </r>
        <r>
          <rPr>
            <sz val="9"/>
            <color rgb="FF000000"/>
            <rFont val="細明體"/>
            <family val="3"/>
            <charset val="136"/>
          </rPr>
          <t xml:space="preserve">
</t>
        </r>
        <r>
          <rPr>
            <sz val="9"/>
            <color rgb="FF000000"/>
            <rFont val="Tahoma"/>
            <family val="2"/>
          </rPr>
          <t xml:space="preserve">- </t>
        </r>
        <r>
          <rPr>
            <sz val="9"/>
            <color rgb="FF000000"/>
            <rFont val="細明體"/>
            <family val="3"/>
            <charset val="136"/>
          </rPr>
          <t>化學</t>
        </r>
        <r>
          <rPr>
            <sz val="9"/>
            <color rgb="FF000000"/>
            <rFont val="細明體"/>
            <family val="3"/>
            <charset val="136"/>
          </rPr>
          <t xml:space="preserve">
</t>
        </r>
        <r>
          <rPr>
            <sz val="9"/>
            <color rgb="FF000000"/>
            <rFont val="Tahoma"/>
            <family val="2"/>
          </rPr>
          <t xml:space="preserve">- </t>
        </r>
        <r>
          <rPr>
            <sz val="9"/>
            <color rgb="FF000000"/>
            <rFont val="細明體"/>
            <family val="3"/>
            <charset val="136"/>
          </rPr>
          <t>經濟</t>
        </r>
        <r>
          <rPr>
            <sz val="9"/>
            <color rgb="FF000000"/>
            <rFont val="細明體"/>
            <family val="3"/>
            <charset val="136"/>
          </rPr>
          <t xml:space="preserve">
</t>
        </r>
        <r>
          <rPr>
            <sz val="9"/>
            <color rgb="FF000000"/>
            <rFont val="Tahoma"/>
            <family val="2"/>
          </rPr>
          <t xml:space="preserve">- M1/2
</t>
        </r>
        <r>
          <rPr>
            <sz val="9"/>
            <color rgb="FF000000"/>
            <rFont val="Tahoma"/>
            <family val="2"/>
          </rPr>
          <t xml:space="preserve">- </t>
        </r>
        <r>
          <rPr>
            <sz val="9"/>
            <color rgb="FF000000"/>
            <rFont val="細明體"/>
            <family val="3"/>
            <charset val="136"/>
          </rPr>
          <t>物理</t>
        </r>
        <r>
          <rPr>
            <sz val="9"/>
            <color rgb="FF000000"/>
            <rFont val="Tahoma"/>
            <family val="2"/>
          </rPr>
          <t xml:space="preserve"> 
</t>
        </r>
      </text>
    </comment>
    <comment ref="T39" authorId="1" shapeId="0" xr:uid="{F09FE0B1-DCBA-458B-9A2C-602BF994AF93}">
      <text>
        <r>
          <rPr>
            <b/>
            <sz val="9"/>
            <color rgb="FF000000"/>
            <rFont val="細明體"/>
            <family val="3"/>
            <charset val="136"/>
          </rPr>
          <t>以下兩科︰</t>
        </r>
        <r>
          <rPr>
            <sz val="9"/>
            <color rgb="FF000000"/>
            <rFont val="細明體"/>
            <family val="3"/>
            <charset val="136"/>
          </rPr>
          <t xml:space="preserve">
</t>
        </r>
        <r>
          <rPr>
            <sz val="9"/>
            <color rgb="FF000000"/>
            <rFont val="Tahoma"/>
            <family val="2"/>
          </rPr>
          <t xml:space="preserve">- </t>
        </r>
        <r>
          <rPr>
            <sz val="9"/>
            <color rgb="FF000000"/>
            <rFont val="細明體"/>
            <family val="3"/>
            <charset val="136"/>
          </rPr>
          <t>生物</t>
        </r>
        <r>
          <rPr>
            <sz val="9"/>
            <color rgb="FF000000"/>
            <rFont val="細明體"/>
            <family val="3"/>
            <charset val="136"/>
          </rPr>
          <t xml:space="preserve">
</t>
        </r>
        <r>
          <rPr>
            <sz val="9"/>
            <color rgb="FF000000"/>
            <rFont val="Tahoma"/>
            <family val="2"/>
          </rPr>
          <t xml:space="preserve">- </t>
        </r>
        <r>
          <rPr>
            <sz val="9"/>
            <color rgb="FF000000"/>
            <rFont val="細明體"/>
            <family val="3"/>
            <charset val="136"/>
          </rPr>
          <t>化學</t>
        </r>
        <r>
          <rPr>
            <sz val="9"/>
            <color rgb="FF000000"/>
            <rFont val="細明體"/>
            <family val="3"/>
            <charset val="136"/>
          </rPr>
          <t xml:space="preserve">
</t>
        </r>
        <r>
          <rPr>
            <sz val="9"/>
            <color rgb="FF000000"/>
            <rFont val="Tahoma"/>
            <family val="2"/>
          </rPr>
          <t xml:space="preserve">- </t>
        </r>
        <r>
          <rPr>
            <sz val="9"/>
            <color rgb="FF000000"/>
            <rFont val="細明體"/>
            <family val="3"/>
            <charset val="136"/>
          </rPr>
          <t>經濟</t>
        </r>
        <r>
          <rPr>
            <sz val="9"/>
            <color rgb="FF000000"/>
            <rFont val="細明體"/>
            <family val="3"/>
            <charset val="136"/>
          </rPr>
          <t xml:space="preserve">
</t>
        </r>
        <r>
          <rPr>
            <sz val="9"/>
            <color rgb="FF000000"/>
            <rFont val="Tahoma"/>
            <family val="2"/>
          </rPr>
          <t xml:space="preserve">- M1/2
</t>
        </r>
        <r>
          <rPr>
            <sz val="9"/>
            <color rgb="FF000000"/>
            <rFont val="Tahoma"/>
            <family val="2"/>
          </rPr>
          <t xml:space="preserve">- </t>
        </r>
        <r>
          <rPr>
            <sz val="9"/>
            <color rgb="FF000000"/>
            <rFont val="細明體"/>
            <family val="3"/>
            <charset val="136"/>
          </rPr>
          <t>物理</t>
        </r>
        <r>
          <rPr>
            <sz val="9"/>
            <color rgb="FF000000"/>
            <rFont val="Tahoma"/>
            <family val="2"/>
          </rPr>
          <t xml:space="preserve"> </t>
        </r>
      </text>
    </comment>
    <comment ref="S40" authorId="1" shapeId="0" xr:uid="{24ED597D-23AB-442F-913F-8BFD480B3C17}">
      <text>
        <r>
          <rPr>
            <b/>
            <sz val="9"/>
            <color indexed="81"/>
            <rFont val="細明體"/>
            <family val="3"/>
            <charset val="136"/>
          </rPr>
          <t>以下一科</t>
        </r>
        <r>
          <rPr>
            <b/>
            <sz val="9"/>
            <color indexed="81"/>
            <rFont val="Tahoma"/>
            <family val="2"/>
          </rPr>
          <t xml:space="preserve">:
</t>
        </r>
        <r>
          <rPr>
            <sz val="9"/>
            <color indexed="81"/>
            <rFont val="Tahoma"/>
            <family val="2"/>
          </rPr>
          <t xml:space="preserve">- </t>
        </r>
        <r>
          <rPr>
            <sz val="9"/>
            <color indexed="81"/>
            <rFont val="細明體"/>
            <family val="3"/>
            <charset val="136"/>
          </rPr>
          <t>組合科學</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 xml:space="preserve">綜合科學
</t>
        </r>
        <r>
          <rPr>
            <sz val="9"/>
            <color indexed="81"/>
            <rFont val="Tahoma"/>
            <family val="2"/>
          </rPr>
          <t xml:space="preserve">- </t>
        </r>
        <r>
          <rPr>
            <sz val="9"/>
            <color indexed="81"/>
            <rFont val="細明體"/>
            <family val="3"/>
            <charset val="136"/>
          </rPr>
          <t>物理</t>
        </r>
        <r>
          <rPr>
            <sz val="9"/>
            <color indexed="81"/>
            <rFont val="Tahoma"/>
            <family val="2"/>
          </rPr>
          <t xml:space="preserve">
</t>
        </r>
      </text>
    </comment>
    <comment ref="Q41" authorId="1" shapeId="0" xr:uid="{B8F809E6-C060-492E-AAEB-91A4A839E82A}">
      <text>
        <r>
          <rPr>
            <sz val="9"/>
            <color indexed="81"/>
            <rFont val="細明體"/>
            <family val="3"/>
            <charset val="136"/>
          </rPr>
          <t>若於數學科中只獲</t>
        </r>
        <r>
          <rPr>
            <sz val="9"/>
            <color indexed="81"/>
            <rFont val="Tahoma"/>
            <family val="2"/>
          </rPr>
          <t>Lv.2</t>
        </r>
        <r>
          <rPr>
            <sz val="9"/>
            <color indexed="81"/>
            <rFont val="細明體"/>
            <family val="3"/>
            <charset val="136"/>
          </rPr>
          <t>的成績︰
則需在</t>
        </r>
        <r>
          <rPr>
            <b/>
            <sz val="9"/>
            <color indexed="81"/>
            <rFont val="細明體"/>
            <family val="3"/>
            <charset val="136"/>
          </rPr>
          <t>以下一科</t>
        </r>
        <r>
          <rPr>
            <sz val="9"/>
            <color indexed="81"/>
            <rFont val="細明體"/>
            <family val="3"/>
            <charset val="136"/>
          </rPr>
          <t>取得</t>
        </r>
        <r>
          <rPr>
            <sz val="9"/>
            <color indexed="81"/>
            <rFont val="Tahoma"/>
            <family val="2"/>
          </rPr>
          <t>Lv.3</t>
        </r>
        <r>
          <rPr>
            <sz val="9"/>
            <color indexed="81"/>
            <rFont val="細明體"/>
            <family val="3"/>
            <charset val="136"/>
          </rPr>
          <t xml:space="preserve">︰
</t>
        </r>
        <r>
          <rPr>
            <sz val="9"/>
            <color indexed="81"/>
            <rFont val="Tahoma"/>
            <family val="2"/>
          </rPr>
          <t xml:space="preserve">- BAFS
- </t>
        </r>
        <r>
          <rPr>
            <sz val="9"/>
            <color indexed="81"/>
            <rFont val="細明體"/>
            <family val="3"/>
            <charset val="136"/>
          </rPr>
          <t xml:space="preserve">生物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DAT
-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t>
        </r>
        <r>
          <rPr>
            <sz val="9"/>
            <color indexed="81"/>
            <rFont val="細明體"/>
            <family val="3"/>
            <charset val="136"/>
          </rPr>
          <t>物理</t>
        </r>
        <r>
          <rPr>
            <sz val="9"/>
            <color indexed="81"/>
            <rFont val="Tahoma"/>
            <family val="2"/>
          </rPr>
          <t xml:space="preserve">
</t>
        </r>
      </text>
    </comment>
    <comment ref="S41" authorId="0" shapeId="0" xr:uid="{00000000-0006-0000-0500-00002D000000}">
      <text>
        <r>
          <rPr>
            <b/>
            <sz val="9"/>
            <color indexed="81"/>
            <rFont val="細明體"/>
            <family val="3"/>
            <charset val="136"/>
          </rPr>
          <t>以下一科︰</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化學</t>
        </r>
        <r>
          <rPr>
            <sz val="9"/>
            <color indexed="81"/>
            <rFont val="Tahoma"/>
            <family val="2"/>
          </rPr>
          <t>)</t>
        </r>
      </text>
    </comment>
    <comment ref="T41" authorId="0" shapeId="0" xr:uid="{00000000-0006-0000-0500-00002E000000}">
      <text>
        <r>
          <rPr>
            <sz val="9"/>
            <color indexed="81"/>
            <rFont val="細明體"/>
            <family val="3"/>
            <charset val="136"/>
          </rPr>
          <t>若於數學科中獲</t>
        </r>
        <r>
          <rPr>
            <sz val="9"/>
            <color indexed="81"/>
            <rFont val="Tahoma"/>
            <family val="2"/>
          </rPr>
          <t>Lv.3</t>
        </r>
        <r>
          <rPr>
            <sz val="9"/>
            <color indexed="81"/>
            <rFont val="細明體"/>
            <family val="3"/>
            <charset val="136"/>
          </rPr>
          <t>或以上的成績︰</t>
        </r>
        <r>
          <rPr>
            <b/>
            <sz val="9"/>
            <color indexed="81"/>
            <rFont val="細明體"/>
            <family val="3"/>
            <charset val="136"/>
          </rPr>
          <t xml:space="preserve">
任何一科
</t>
        </r>
        <r>
          <rPr>
            <sz val="9"/>
            <color indexed="81"/>
            <rFont val="細明體"/>
            <family val="3"/>
            <charset val="136"/>
          </rPr>
          <t>若於數學科中只獲</t>
        </r>
        <r>
          <rPr>
            <sz val="9"/>
            <color indexed="81"/>
            <rFont val="Tahoma"/>
            <family val="2"/>
          </rPr>
          <t>Lv.2</t>
        </r>
        <r>
          <rPr>
            <sz val="9"/>
            <color indexed="81"/>
            <rFont val="細明體"/>
            <family val="3"/>
            <charset val="136"/>
          </rPr>
          <t>的成績</t>
        </r>
        <r>
          <rPr>
            <b/>
            <sz val="9"/>
            <color indexed="81"/>
            <rFont val="細明體"/>
            <family val="3"/>
            <charset val="136"/>
          </rPr>
          <t>︰
以下一科︰</t>
        </r>
        <r>
          <rPr>
            <sz val="9"/>
            <color indexed="81"/>
            <rFont val="細明體"/>
            <family val="3"/>
            <charset val="136"/>
          </rPr>
          <t xml:space="preserve">
</t>
        </r>
        <r>
          <rPr>
            <sz val="9"/>
            <color indexed="81"/>
            <rFont val="Tahoma"/>
            <family val="2"/>
          </rPr>
          <t xml:space="preserve">- BAFS
-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DAT</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綜合科學</t>
        </r>
        <r>
          <rPr>
            <sz val="9"/>
            <color indexed="81"/>
            <rFont val="Tahoma"/>
            <family val="2"/>
          </rPr>
          <t xml:space="preserve">
- ICT
- </t>
        </r>
        <r>
          <rPr>
            <sz val="9"/>
            <color indexed="81"/>
            <rFont val="細明體"/>
            <family val="3"/>
            <charset val="136"/>
          </rPr>
          <t>物理</t>
        </r>
      </text>
    </comment>
    <comment ref="S42" authorId="0" shapeId="0" xr:uid="{00000000-0006-0000-0500-000031000000}">
      <text>
        <r>
          <rPr>
            <b/>
            <sz val="9"/>
            <color indexed="81"/>
            <rFont val="細明體"/>
            <family val="3"/>
            <charset val="136"/>
          </rPr>
          <t>以下一科︰</t>
        </r>
        <r>
          <rPr>
            <sz val="9"/>
            <color indexed="81"/>
            <rFont val="Tahoma"/>
            <family val="2"/>
          </rPr>
          <t xml:space="preserve">
-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r>
          <rPr>
            <sz val="9"/>
            <color indexed="81"/>
            <rFont val="Tahoma"/>
            <family val="2"/>
          </rPr>
          <t xml:space="preserve">
- ICT
- M1/2
- </t>
        </r>
        <r>
          <rPr>
            <sz val="9"/>
            <color indexed="81"/>
            <rFont val="細明體"/>
            <family val="3"/>
            <charset val="136"/>
          </rPr>
          <t>物理</t>
        </r>
      </text>
    </comment>
    <comment ref="S43" authorId="0" shapeId="0" xr:uid="{00000000-0006-0000-0500-000033000000}">
      <text>
        <r>
          <rPr>
            <b/>
            <sz val="9"/>
            <color indexed="81"/>
            <rFont val="細明體"/>
            <family val="3"/>
            <charset val="136"/>
          </rPr>
          <t xml:space="preserve">以下一科︰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M1/2
- </t>
        </r>
        <r>
          <rPr>
            <sz val="9"/>
            <color indexed="81"/>
            <rFont val="細明體"/>
            <family val="3"/>
            <charset val="136"/>
          </rPr>
          <t>物理</t>
        </r>
      </text>
    </comment>
    <comment ref="S44" authorId="0" shapeId="0" xr:uid="{00000000-0006-0000-0500-000036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BAFS</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化學
</t>
        </r>
        <r>
          <rPr>
            <sz val="9"/>
            <color indexed="81"/>
            <rFont val="Tahoma"/>
            <family val="2"/>
          </rPr>
          <t>- DAT</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M1/2
- </t>
        </r>
        <r>
          <rPr>
            <sz val="9"/>
            <color indexed="81"/>
            <rFont val="細明體"/>
            <family val="3"/>
            <charset val="136"/>
          </rPr>
          <t>物理</t>
        </r>
      </text>
    </comment>
    <comment ref="S45" authorId="0" shapeId="0" xr:uid="{00000000-0006-0000-0500-000038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 xml:space="preserve">組合科學
</t>
        </r>
        <r>
          <rPr>
            <sz val="9"/>
            <color indexed="81"/>
            <rFont val="Tahoma"/>
            <family val="2"/>
          </rPr>
          <t xml:space="preserve">- DAT
- M1/2
- </t>
        </r>
        <r>
          <rPr>
            <sz val="9"/>
            <color indexed="81"/>
            <rFont val="細明體"/>
            <family val="3"/>
            <charset val="136"/>
          </rPr>
          <t>物理</t>
        </r>
      </text>
    </comment>
    <comment ref="S46" authorId="0" shapeId="0" xr:uid="{00000000-0006-0000-0500-00003B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組合科學</t>
        </r>
        <r>
          <rPr>
            <sz val="9"/>
            <color indexed="81"/>
            <rFont val="Tahoma"/>
            <family val="2"/>
          </rPr>
          <t xml:space="preserve"> (</t>
        </r>
        <r>
          <rPr>
            <sz val="9"/>
            <color indexed="81"/>
            <rFont val="細明體"/>
            <family val="3"/>
            <charset val="136"/>
          </rPr>
          <t>物理</t>
        </r>
        <r>
          <rPr>
            <sz val="9"/>
            <color indexed="81"/>
            <rFont val="Tahoma"/>
            <family val="2"/>
          </rPr>
          <t>)</t>
        </r>
        <r>
          <rPr>
            <sz val="9"/>
            <color indexed="81"/>
            <rFont val="細明體"/>
            <family val="3"/>
            <charset val="136"/>
          </rPr>
          <t xml:space="preserve">
</t>
        </r>
        <r>
          <rPr>
            <sz val="9"/>
            <color indexed="81"/>
            <rFont val="Tahoma"/>
            <family val="2"/>
          </rPr>
          <t xml:space="preserve">- DAT
- </t>
        </r>
        <r>
          <rPr>
            <sz val="9"/>
            <color indexed="81"/>
            <rFont val="細明體"/>
            <family val="3"/>
            <charset val="136"/>
          </rPr>
          <t>物理</t>
        </r>
      </text>
    </comment>
    <comment ref="S47" authorId="0" shapeId="0" xr:uid="{00000000-0006-0000-0500-00003D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組合科學</t>
        </r>
        <r>
          <rPr>
            <sz val="9"/>
            <color indexed="81"/>
            <rFont val="Tahoma"/>
            <family val="2"/>
          </rPr>
          <t xml:space="preserve"> (</t>
        </r>
        <r>
          <rPr>
            <sz val="9"/>
            <color indexed="81"/>
            <rFont val="細明體"/>
            <family val="3"/>
            <charset val="136"/>
          </rPr>
          <t>物理</t>
        </r>
        <r>
          <rPr>
            <sz val="9"/>
            <color indexed="81"/>
            <rFont val="Tahoma"/>
            <family val="2"/>
          </rPr>
          <t>)</t>
        </r>
        <r>
          <rPr>
            <sz val="9"/>
            <color indexed="81"/>
            <rFont val="細明體"/>
            <family val="3"/>
            <charset val="136"/>
          </rPr>
          <t xml:space="preserve">
</t>
        </r>
        <r>
          <rPr>
            <sz val="9"/>
            <color indexed="81"/>
            <rFont val="Tahoma"/>
            <family val="2"/>
          </rPr>
          <t xml:space="preserve">- DAT
- </t>
        </r>
        <r>
          <rPr>
            <sz val="9"/>
            <color indexed="81"/>
            <rFont val="細明體"/>
            <family val="3"/>
            <charset val="136"/>
          </rPr>
          <t>物理</t>
        </r>
      </text>
    </comment>
    <comment ref="S48" authorId="0" shapeId="0" xr:uid="{00000000-0006-0000-0500-00003F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組合科學</t>
        </r>
        <r>
          <rPr>
            <sz val="9"/>
            <color indexed="81"/>
            <rFont val="Tahoma"/>
            <family val="2"/>
          </rPr>
          <t xml:space="preserve">
- </t>
        </r>
        <r>
          <rPr>
            <sz val="9"/>
            <color indexed="81"/>
            <rFont val="細明體"/>
            <family val="3"/>
            <charset val="136"/>
          </rPr>
          <t>物理</t>
        </r>
      </text>
    </comment>
    <comment ref="S49" authorId="0" shapeId="0" xr:uid="{00000000-0006-0000-0500-000041000000}">
      <text>
        <r>
          <rPr>
            <b/>
            <sz val="9"/>
            <color rgb="FF000000"/>
            <rFont val="細明體"/>
            <family val="3"/>
            <charset val="136"/>
          </rPr>
          <t>以下一科︰</t>
        </r>
        <r>
          <rPr>
            <sz val="9"/>
            <color rgb="FF000000"/>
            <rFont val="細明體"/>
            <family val="3"/>
            <charset val="136"/>
          </rPr>
          <t xml:space="preserve">
</t>
        </r>
        <r>
          <rPr>
            <sz val="9"/>
            <color rgb="FF000000"/>
            <rFont val="Tahoma"/>
            <family val="2"/>
          </rPr>
          <t xml:space="preserve">- </t>
        </r>
        <r>
          <rPr>
            <sz val="9"/>
            <color rgb="FF000000"/>
            <rFont val="細明體"/>
            <family val="3"/>
            <charset val="136"/>
          </rPr>
          <t>化學</t>
        </r>
        <r>
          <rPr>
            <sz val="9"/>
            <color rgb="FF000000"/>
            <rFont val="細明體"/>
            <family val="3"/>
            <charset val="136"/>
          </rPr>
          <t xml:space="preserve">
</t>
        </r>
        <r>
          <rPr>
            <sz val="9"/>
            <color rgb="FF000000"/>
            <rFont val="Tahoma"/>
            <family val="2"/>
          </rPr>
          <t xml:space="preserve">- </t>
        </r>
        <r>
          <rPr>
            <sz val="9"/>
            <color rgb="FF000000"/>
            <rFont val="細明體"/>
            <family val="3"/>
            <charset val="136"/>
          </rPr>
          <t>組合科學</t>
        </r>
        <r>
          <rPr>
            <sz val="9"/>
            <color rgb="FF000000"/>
            <rFont val="Tahoma"/>
            <family val="2"/>
          </rPr>
          <t xml:space="preserve"> (</t>
        </r>
        <r>
          <rPr>
            <sz val="9"/>
            <color rgb="FF000000"/>
            <rFont val="細明體"/>
            <family val="3"/>
            <charset val="136"/>
          </rPr>
          <t>物理</t>
        </r>
        <r>
          <rPr>
            <sz val="9"/>
            <color rgb="FF000000"/>
            <rFont val="Tahoma"/>
            <family val="2"/>
          </rPr>
          <t>)</t>
        </r>
        <r>
          <rPr>
            <sz val="9"/>
            <color rgb="FF000000"/>
            <rFont val="細明體"/>
            <family val="3"/>
            <charset val="136"/>
          </rPr>
          <t xml:space="preserve">
</t>
        </r>
        <r>
          <rPr>
            <sz val="9"/>
            <color rgb="FF000000"/>
            <rFont val="Tahoma"/>
            <family val="2"/>
          </rPr>
          <t>- DAT</t>
        </r>
        <r>
          <rPr>
            <sz val="9"/>
            <color rgb="FF000000"/>
            <rFont val="細明體"/>
            <family val="3"/>
            <charset val="136"/>
          </rPr>
          <t xml:space="preserve">
</t>
        </r>
        <r>
          <rPr>
            <sz val="9"/>
            <color rgb="FF000000"/>
            <rFont val="Tahoma"/>
            <family val="2"/>
          </rPr>
          <t xml:space="preserve">- ICT
</t>
        </r>
        <r>
          <rPr>
            <sz val="9"/>
            <color rgb="FF000000"/>
            <rFont val="Tahoma"/>
            <family val="2"/>
          </rPr>
          <t xml:space="preserve">- M1/2
</t>
        </r>
        <r>
          <rPr>
            <sz val="9"/>
            <color rgb="FF000000"/>
            <rFont val="Tahoma"/>
            <family val="2"/>
          </rPr>
          <t xml:space="preserve">- </t>
        </r>
        <r>
          <rPr>
            <sz val="9"/>
            <color rgb="FF000000"/>
            <rFont val="細明體"/>
            <family val="3"/>
            <charset val="136"/>
          </rPr>
          <t>物理</t>
        </r>
      </text>
    </comment>
    <comment ref="S53" authorId="0" shapeId="0" xr:uid="{00000000-0006-0000-0500-000044000000}">
      <text>
        <r>
          <rPr>
            <b/>
            <sz val="9"/>
            <color rgb="FF000000"/>
            <rFont val="細明體"/>
            <family val="3"/>
            <charset val="136"/>
          </rPr>
          <t>以下兩科︰</t>
        </r>
        <r>
          <rPr>
            <b/>
            <sz val="9"/>
            <color rgb="FF000000"/>
            <rFont val="細明體"/>
            <family val="3"/>
            <charset val="136"/>
          </rPr>
          <t xml:space="preserve">
</t>
        </r>
        <r>
          <rPr>
            <sz val="9"/>
            <color rgb="FF000000"/>
            <rFont val="Tahoma"/>
            <family val="2"/>
          </rPr>
          <t xml:space="preserve">- </t>
        </r>
        <r>
          <rPr>
            <sz val="9"/>
            <color rgb="FF000000"/>
            <rFont val="細明體"/>
            <family val="3"/>
            <charset val="136"/>
          </rPr>
          <t>生物</t>
        </r>
        <r>
          <rPr>
            <sz val="9"/>
            <color rgb="FF000000"/>
            <rFont val="細明體"/>
            <family val="3"/>
            <charset val="136"/>
          </rPr>
          <t xml:space="preserve">
</t>
        </r>
        <r>
          <rPr>
            <sz val="9"/>
            <color rgb="FF000000"/>
            <rFont val="Tahoma"/>
            <family val="2"/>
          </rPr>
          <t xml:space="preserve">- </t>
        </r>
        <r>
          <rPr>
            <sz val="9"/>
            <color rgb="FF000000"/>
            <rFont val="細明體"/>
            <family val="3"/>
            <charset val="136"/>
          </rPr>
          <t>化學</t>
        </r>
      </text>
    </comment>
    <comment ref="T53" authorId="0" shapeId="0" xr:uid="{00000000-0006-0000-0500-000045000000}">
      <text>
        <r>
          <rPr>
            <b/>
            <sz val="9"/>
            <color rgb="FF000000"/>
            <rFont val="細明體"/>
            <family val="3"/>
            <charset val="136"/>
          </rPr>
          <t>以下兩科︰</t>
        </r>
        <r>
          <rPr>
            <b/>
            <sz val="9"/>
            <color rgb="FF000000"/>
            <rFont val="細明體"/>
            <family val="3"/>
            <charset val="136"/>
          </rPr>
          <t xml:space="preserve">
</t>
        </r>
        <r>
          <rPr>
            <sz val="9"/>
            <color rgb="FF000000"/>
            <rFont val="Tahoma"/>
            <family val="2"/>
          </rPr>
          <t xml:space="preserve">- </t>
        </r>
        <r>
          <rPr>
            <sz val="9"/>
            <color rgb="FF000000"/>
            <rFont val="細明體"/>
            <family val="3"/>
            <charset val="136"/>
          </rPr>
          <t>生物</t>
        </r>
        <r>
          <rPr>
            <sz val="9"/>
            <color rgb="FF000000"/>
            <rFont val="細明體"/>
            <family val="3"/>
            <charset val="136"/>
          </rPr>
          <t xml:space="preserve">
</t>
        </r>
        <r>
          <rPr>
            <sz val="9"/>
            <color rgb="FF000000"/>
            <rFont val="Tahoma"/>
            <family val="2"/>
          </rPr>
          <t xml:space="preserve">- </t>
        </r>
        <r>
          <rPr>
            <sz val="9"/>
            <color rgb="FF000000"/>
            <rFont val="細明體"/>
            <family val="3"/>
            <charset val="136"/>
          </rPr>
          <t>化學</t>
        </r>
      </text>
    </comment>
    <comment ref="S54" authorId="0" shapeId="0" xr:uid="{00000000-0006-0000-0500-000047000000}">
      <text>
        <r>
          <rPr>
            <b/>
            <sz val="9"/>
            <color rgb="FF000000"/>
            <rFont val="細明體"/>
            <family val="3"/>
            <charset val="136"/>
          </rPr>
          <t>以下一科︰</t>
        </r>
        <r>
          <rPr>
            <sz val="9"/>
            <color rgb="FF000000"/>
            <rFont val="細明體"/>
            <family val="3"/>
            <charset val="136"/>
          </rPr>
          <t xml:space="preserve">
</t>
        </r>
        <r>
          <rPr>
            <sz val="9"/>
            <color rgb="FF000000"/>
            <rFont val="Tahoma"/>
            <family val="2"/>
          </rPr>
          <t xml:space="preserve">- </t>
        </r>
        <r>
          <rPr>
            <sz val="9"/>
            <color rgb="FF000000"/>
            <rFont val="細明體"/>
            <family val="3"/>
            <charset val="136"/>
          </rPr>
          <t>生物</t>
        </r>
        <r>
          <rPr>
            <sz val="9"/>
            <color rgb="FF000000"/>
            <rFont val="Tahoma"/>
            <family val="2"/>
          </rPr>
          <t xml:space="preserve">
- </t>
        </r>
        <r>
          <rPr>
            <sz val="9"/>
            <color rgb="FF000000"/>
            <rFont val="細明體"/>
            <family val="3"/>
            <charset val="136"/>
          </rPr>
          <t>化學</t>
        </r>
      </text>
    </comment>
    <comment ref="T54" authorId="0" shapeId="0" xr:uid="{00000000-0006-0000-0500-000048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BAFS
- </t>
        </r>
        <r>
          <rPr>
            <sz val="9"/>
            <color indexed="81"/>
            <rFont val="細明體"/>
            <family val="3"/>
            <charset val="136"/>
          </rPr>
          <t xml:space="preserve">化學
</t>
        </r>
        <r>
          <rPr>
            <sz val="9"/>
            <color indexed="81"/>
            <rFont val="Tahoma"/>
            <family val="2"/>
          </rPr>
          <t xml:space="preserve">- DAT
-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M1/2
- </t>
        </r>
        <r>
          <rPr>
            <sz val="9"/>
            <color indexed="81"/>
            <rFont val="細明體"/>
            <family val="3"/>
            <charset val="136"/>
          </rPr>
          <t>物理</t>
        </r>
      </text>
    </comment>
    <comment ref="S55" authorId="0" shapeId="0" xr:uid="{00000000-0006-0000-0500-00004A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生物</t>
        </r>
        <r>
          <rPr>
            <sz val="9"/>
            <color indexed="81"/>
            <rFont val="Tahoma"/>
            <family val="2"/>
          </rPr>
          <t xml:space="preserve">
- </t>
        </r>
        <r>
          <rPr>
            <sz val="9"/>
            <color indexed="81"/>
            <rFont val="細明體"/>
            <family val="3"/>
            <charset val="136"/>
          </rPr>
          <t>化學</t>
        </r>
      </text>
    </comment>
    <comment ref="T55" authorId="0" shapeId="0" xr:uid="{00000000-0006-0000-0500-00004B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BAFS
- </t>
        </r>
        <r>
          <rPr>
            <sz val="9"/>
            <color indexed="81"/>
            <rFont val="細明體"/>
            <family val="3"/>
            <charset val="136"/>
          </rPr>
          <t xml:space="preserve">化學
</t>
        </r>
        <r>
          <rPr>
            <sz val="9"/>
            <color indexed="81"/>
            <rFont val="Tahoma"/>
            <family val="2"/>
          </rPr>
          <t xml:space="preserve">- DAT
-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M1/2
- </t>
        </r>
        <r>
          <rPr>
            <sz val="9"/>
            <color indexed="81"/>
            <rFont val="細明體"/>
            <family val="3"/>
            <charset val="136"/>
          </rPr>
          <t>物理</t>
        </r>
      </text>
    </comment>
    <comment ref="S56" authorId="0" shapeId="0" xr:uid="{00000000-0006-0000-0500-00004D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生物</t>
        </r>
        <r>
          <rPr>
            <sz val="9"/>
            <color indexed="81"/>
            <rFont val="Tahoma"/>
            <family val="2"/>
          </rPr>
          <t xml:space="preserve">
- </t>
        </r>
        <r>
          <rPr>
            <sz val="9"/>
            <color indexed="81"/>
            <rFont val="細明體"/>
            <family val="3"/>
            <charset val="136"/>
          </rPr>
          <t>化學</t>
        </r>
      </text>
    </comment>
    <comment ref="T56" authorId="0" shapeId="0" xr:uid="{00000000-0006-0000-0500-00004E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BAFS
- </t>
        </r>
        <r>
          <rPr>
            <sz val="9"/>
            <color indexed="81"/>
            <rFont val="細明體"/>
            <family val="3"/>
            <charset val="136"/>
          </rPr>
          <t xml:space="preserve">化學
</t>
        </r>
        <r>
          <rPr>
            <sz val="9"/>
            <color indexed="81"/>
            <rFont val="Tahoma"/>
            <family val="2"/>
          </rPr>
          <t xml:space="preserve">- DAT
-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M1/2
- </t>
        </r>
        <r>
          <rPr>
            <sz val="9"/>
            <color indexed="81"/>
            <rFont val="細明體"/>
            <family val="3"/>
            <charset val="136"/>
          </rPr>
          <t>物理</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Chan</author>
  </authors>
  <commentList>
    <comment ref="K1" authorId="0" shapeId="0" xr:uid="{00000000-0006-0000-0A00-000001000000}">
      <text>
        <r>
          <rPr>
            <b/>
            <sz val="9"/>
            <color rgb="FF000000"/>
            <rFont val="細明體"/>
            <family val="3"/>
            <charset val="136"/>
          </rPr>
          <t>可選擇：</t>
        </r>
        <r>
          <rPr>
            <b/>
            <sz val="9"/>
            <color rgb="FF000000"/>
            <rFont val="細明體"/>
            <family val="3"/>
            <charset val="136"/>
          </rPr>
          <t xml:space="preserve">
</t>
        </r>
        <r>
          <rPr>
            <b/>
            <sz val="9"/>
            <color rgb="FF000000"/>
            <rFont val="Tahoma"/>
            <family val="2"/>
          </rPr>
          <t>UQ/Median/LQ</t>
        </r>
        <r>
          <rPr>
            <sz val="9"/>
            <color rgb="FF000000"/>
            <rFont val="Tahoma"/>
            <family val="2"/>
          </rPr>
          <t xml:space="preserve">
</t>
        </r>
      </text>
    </comment>
    <comment ref="N11" authorId="0" shapeId="0" xr:uid="{00000000-0006-0000-0A00-00000C000000}">
      <text>
        <r>
          <rPr>
            <sz val="9"/>
            <color rgb="FF000000"/>
            <rFont val="Tahoma"/>
            <family val="2"/>
          </rPr>
          <t xml:space="preserve">Applicants should have attained a level of proficiency in their main instrument/ voice at or above </t>
        </r>
        <r>
          <rPr>
            <b/>
            <sz val="9"/>
            <color rgb="FF000000"/>
            <rFont val="Tahoma"/>
            <family val="2"/>
          </rPr>
          <t>Grade 8 (ABRSM/ Trinity College)</t>
        </r>
        <r>
          <rPr>
            <sz val="9"/>
            <color rgb="FF000000"/>
            <rFont val="Tahoma"/>
            <family val="2"/>
          </rPr>
          <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Chan</author>
    <author>Michael</author>
  </authors>
  <commentList>
    <comment ref="F2" authorId="0" shapeId="0" xr:uid="{00000000-0006-0000-0B00-000001000000}">
      <text>
        <r>
          <rPr>
            <sz val="9"/>
            <color rgb="FF000000"/>
            <rFont val="細明體"/>
            <family val="3"/>
            <charset val="136"/>
          </rPr>
          <t>英文</t>
        </r>
        <r>
          <rPr>
            <sz val="9"/>
            <color rgb="FF000000"/>
            <rFont val="Tahoma"/>
            <family val="2"/>
          </rPr>
          <t xml:space="preserve"> x1 </t>
        </r>
        <r>
          <rPr>
            <sz val="9"/>
            <color rgb="FF000000"/>
            <rFont val="細明體"/>
            <family val="3"/>
            <charset val="136"/>
          </rPr>
          <t>數學</t>
        </r>
        <r>
          <rPr>
            <sz val="9"/>
            <color rgb="FF000000"/>
            <rFont val="Tahoma"/>
            <family val="2"/>
          </rPr>
          <t xml:space="preserve"> x1
</t>
        </r>
        <r>
          <rPr>
            <sz val="9"/>
            <color rgb="FF000000"/>
            <rFont val="Tahoma"/>
            <family val="2"/>
          </rPr>
          <t>+</t>
        </r>
        <r>
          <rPr>
            <sz val="9"/>
            <color rgb="FF000000"/>
            <rFont val="細明體"/>
            <family val="3"/>
            <charset val="136"/>
          </rPr>
          <t xml:space="preserve">
</t>
        </r>
        <r>
          <rPr>
            <sz val="9"/>
            <color rgb="FF000000"/>
            <rFont val="細明體"/>
            <family val="3"/>
            <charset val="136"/>
          </rPr>
          <t>最佳兩科理科</t>
        </r>
        <r>
          <rPr>
            <sz val="9"/>
            <color rgb="FF000000"/>
            <rFont val="Tahoma"/>
            <family val="2"/>
          </rPr>
          <t xml:space="preserve"> x1
</t>
        </r>
        <r>
          <rPr>
            <sz val="9"/>
            <color rgb="FF000000"/>
            <rFont val="Tahoma"/>
            <family val="2"/>
          </rPr>
          <t xml:space="preserve">(M1/2 /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xml:space="preserve">)
</t>
        </r>
        <r>
          <rPr>
            <sz val="9"/>
            <color rgb="FF000000"/>
            <rFont val="Tahoma"/>
            <family val="2"/>
          </rPr>
          <t xml:space="preserve">+
</t>
        </r>
        <r>
          <rPr>
            <sz val="9"/>
            <color rgb="FF000000"/>
            <rFont val="細明體"/>
            <family val="3"/>
            <charset val="136"/>
          </rPr>
          <t>最佳一科</t>
        </r>
        <r>
          <rPr>
            <sz val="9"/>
            <color rgb="FF000000"/>
            <rFont val="Tahoma"/>
            <family val="2"/>
          </rPr>
          <t xml:space="preserve"> x1</t>
        </r>
      </text>
    </comment>
    <comment ref="F3" authorId="0" shapeId="0" xr:uid="{00000000-0006-0000-0B00-000006000000}">
      <text>
        <r>
          <rPr>
            <sz val="9"/>
            <color indexed="81"/>
            <rFont val="細明體"/>
            <family val="3"/>
            <charset val="136"/>
          </rPr>
          <t>英文</t>
        </r>
        <r>
          <rPr>
            <sz val="9"/>
            <color indexed="81"/>
            <rFont val="Tahoma"/>
            <family val="2"/>
          </rPr>
          <t xml:space="preserve"> x1.5 </t>
        </r>
        <r>
          <rPr>
            <sz val="9"/>
            <color indexed="81"/>
            <rFont val="細明體"/>
            <family val="3"/>
            <charset val="136"/>
          </rPr>
          <t>數學</t>
        </r>
        <r>
          <rPr>
            <sz val="9"/>
            <color indexed="81"/>
            <rFont val="Tahoma"/>
            <family val="2"/>
          </rPr>
          <t xml:space="preserve"> x1
+
</t>
        </r>
        <r>
          <rPr>
            <sz val="9"/>
            <color indexed="81"/>
            <rFont val="細明體"/>
            <family val="3"/>
            <charset val="136"/>
          </rPr>
          <t>最佳</t>
        </r>
        <r>
          <rPr>
            <sz val="9"/>
            <color indexed="81"/>
            <rFont val="Tahoma"/>
            <family val="2"/>
          </rPr>
          <t>2</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1</t>
        </r>
        <r>
          <rPr>
            <sz val="9"/>
            <color indexed="81"/>
            <rFont val="細明體"/>
            <family val="3"/>
            <charset val="136"/>
          </rPr>
          <t>科</t>
        </r>
        <r>
          <rPr>
            <sz val="9"/>
            <color indexed="81"/>
            <rFont val="Tahoma"/>
            <family val="2"/>
          </rPr>
          <t xml:space="preserve"> </t>
        </r>
        <r>
          <rPr>
            <sz val="9"/>
            <color indexed="81"/>
            <rFont val="細明體"/>
            <family val="3"/>
            <charset val="136"/>
          </rPr>
          <t>或
最佳</t>
        </r>
        <r>
          <rPr>
            <sz val="9"/>
            <color indexed="81"/>
            <rFont val="Tahoma"/>
            <family val="2"/>
          </rPr>
          <t>1</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 xml:space="preserve">科
</t>
        </r>
        <r>
          <rPr>
            <sz val="9"/>
            <color indexed="81"/>
            <rFont val="Tahoma"/>
            <family val="2"/>
          </rPr>
          <t>x2:</t>
        </r>
        <r>
          <rPr>
            <b/>
            <sz val="9"/>
            <color indexed="81"/>
            <rFont val="Tahoma"/>
            <family val="2"/>
          </rPr>
          <t xml:space="preserve"> </t>
        </r>
        <r>
          <rPr>
            <sz val="9"/>
            <color indexed="81"/>
            <rFont val="Tahoma"/>
            <family val="2"/>
          </rPr>
          <t xml:space="preserve">M1/2/ </t>
        </r>
        <r>
          <rPr>
            <sz val="9"/>
            <color indexed="81"/>
            <rFont val="細明體"/>
            <family val="3"/>
            <charset val="136"/>
          </rPr>
          <t>物理</t>
        </r>
        <r>
          <rPr>
            <sz val="9"/>
            <color indexed="81"/>
            <rFont val="Tahoma"/>
            <family val="2"/>
          </rPr>
          <t xml:space="preserve">
x1.5: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text>
    </comment>
    <comment ref="F4" authorId="0" shapeId="0" xr:uid="{00000000-0006-0000-0B00-00000A000000}">
      <text>
        <r>
          <rPr>
            <sz val="9"/>
            <color indexed="81"/>
            <rFont val="細明體"/>
            <family val="3"/>
            <charset val="136"/>
          </rPr>
          <t>英文</t>
        </r>
        <r>
          <rPr>
            <sz val="9"/>
            <color indexed="81"/>
            <rFont val="Tahoma"/>
            <family val="2"/>
          </rPr>
          <t xml:space="preserve"> x1.5 </t>
        </r>
        <r>
          <rPr>
            <sz val="9"/>
            <color indexed="81"/>
            <rFont val="細明體"/>
            <family val="3"/>
            <charset val="136"/>
          </rPr>
          <t>數學</t>
        </r>
        <r>
          <rPr>
            <sz val="9"/>
            <color indexed="81"/>
            <rFont val="Tahoma"/>
            <family val="2"/>
          </rPr>
          <t xml:space="preserve"> x1
+</t>
        </r>
        <r>
          <rPr>
            <sz val="9"/>
            <color indexed="81"/>
            <rFont val="細明體"/>
            <family val="3"/>
            <charset val="136"/>
          </rPr>
          <t xml:space="preserve">
最佳</t>
        </r>
        <r>
          <rPr>
            <sz val="9"/>
            <color indexed="81"/>
            <rFont val="Tahoma"/>
            <family val="2"/>
          </rPr>
          <t>2</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1</t>
        </r>
        <r>
          <rPr>
            <sz val="9"/>
            <color indexed="81"/>
            <rFont val="細明體"/>
            <family val="3"/>
            <charset val="136"/>
          </rPr>
          <t>科</t>
        </r>
        <r>
          <rPr>
            <sz val="9"/>
            <color indexed="81"/>
            <rFont val="Tahoma"/>
            <family val="2"/>
          </rPr>
          <t xml:space="preserve"> </t>
        </r>
        <r>
          <rPr>
            <sz val="9"/>
            <color indexed="81"/>
            <rFont val="細明體"/>
            <family val="3"/>
            <charset val="136"/>
          </rPr>
          <t>或
最佳</t>
        </r>
        <r>
          <rPr>
            <sz val="9"/>
            <color indexed="81"/>
            <rFont val="Tahoma"/>
            <family val="2"/>
          </rPr>
          <t>1</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 xml:space="preserve">科
</t>
        </r>
        <r>
          <rPr>
            <sz val="9"/>
            <color indexed="81"/>
            <rFont val="Tahoma"/>
            <family val="2"/>
          </rPr>
          <t xml:space="preserve">x2: </t>
        </r>
        <r>
          <rPr>
            <sz val="9"/>
            <color indexed="81"/>
            <rFont val="細明體"/>
            <family val="3"/>
            <charset val="136"/>
          </rPr>
          <t>生物</t>
        </r>
        <r>
          <rPr>
            <sz val="9"/>
            <color indexed="81"/>
            <rFont val="Tahoma"/>
            <family val="2"/>
          </rPr>
          <t>/</t>
        </r>
        <r>
          <rPr>
            <sz val="9"/>
            <color indexed="81"/>
            <rFont val="細明體"/>
            <family val="3"/>
            <charset val="136"/>
          </rPr>
          <t>化學</t>
        </r>
        <r>
          <rPr>
            <sz val="9"/>
            <color indexed="81"/>
            <rFont val="Tahoma"/>
            <family val="2"/>
          </rPr>
          <t xml:space="preserve">
x1.5: M1/2 /</t>
        </r>
        <r>
          <rPr>
            <sz val="9"/>
            <color indexed="81"/>
            <rFont val="細明體"/>
            <family val="3"/>
            <charset val="136"/>
          </rPr>
          <t>物理</t>
        </r>
        <r>
          <rPr>
            <sz val="9"/>
            <color indexed="81"/>
            <rFont val="Tahoma"/>
            <family val="2"/>
          </rPr>
          <t>/</t>
        </r>
        <r>
          <rPr>
            <sz val="9"/>
            <color indexed="81"/>
            <rFont val="細明體"/>
            <family val="3"/>
            <charset val="136"/>
          </rPr>
          <t>組合科學</t>
        </r>
      </text>
    </comment>
    <comment ref="F5" authorId="0" shapeId="0" xr:uid="{00000000-0006-0000-0B00-00000D000000}">
      <text>
        <r>
          <rPr>
            <sz val="9"/>
            <color indexed="81"/>
            <rFont val="細明體"/>
            <family val="3"/>
            <charset val="136"/>
          </rPr>
          <t>英文</t>
        </r>
        <r>
          <rPr>
            <sz val="9"/>
            <color indexed="81"/>
            <rFont val="Tahoma"/>
            <family val="2"/>
          </rPr>
          <t xml:space="preserve"> x1.5 </t>
        </r>
        <r>
          <rPr>
            <sz val="9"/>
            <color indexed="81"/>
            <rFont val="細明體"/>
            <family val="3"/>
            <charset val="136"/>
          </rPr>
          <t>數學</t>
        </r>
        <r>
          <rPr>
            <sz val="9"/>
            <color indexed="81"/>
            <rFont val="Tahoma"/>
            <family val="2"/>
          </rPr>
          <t xml:space="preserve"> x1
+
</t>
        </r>
        <r>
          <rPr>
            <sz val="9"/>
            <color indexed="81"/>
            <rFont val="細明體"/>
            <family val="3"/>
            <charset val="136"/>
          </rPr>
          <t>最佳</t>
        </r>
        <r>
          <rPr>
            <sz val="9"/>
            <color indexed="81"/>
            <rFont val="Tahoma"/>
            <family val="2"/>
          </rPr>
          <t>2</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1</t>
        </r>
        <r>
          <rPr>
            <sz val="9"/>
            <color indexed="81"/>
            <rFont val="細明體"/>
            <family val="3"/>
            <charset val="136"/>
          </rPr>
          <t>科</t>
        </r>
        <r>
          <rPr>
            <sz val="9"/>
            <color indexed="81"/>
            <rFont val="Tahoma"/>
            <family val="2"/>
          </rPr>
          <t xml:space="preserve"> </t>
        </r>
        <r>
          <rPr>
            <sz val="9"/>
            <color indexed="81"/>
            <rFont val="細明體"/>
            <family val="3"/>
            <charset val="136"/>
          </rPr>
          <t>或
最佳</t>
        </r>
        <r>
          <rPr>
            <sz val="9"/>
            <color indexed="81"/>
            <rFont val="Tahoma"/>
            <family val="2"/>
          </rPr>
          <t>1</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 xml:space="preserve">科
</t>
        </r>
        <r>
          <rPr>
            <sz val="9"/>
            <color indexed="81"/>
            <rFont val="Tahoma"/>
            <family val="2"/>
          </rPr>
          <t xml:space="preserve">x2: M1/2/ </t>
        </r>
        <r>
          <rPr>
            <sz val="9"/>
            <color indexed="81"/>
            <rFont val="細明體"/>
            <family val="3"/>
            <charset val="136"/>
          </rPr>
          <t>物理</t>
        </r>
        <r>
          <rPr>
            <sz val="9"/>
            <color indexed="81"/>
            <rFont val="Tahoma"/>
            <family val="2"/>
          </rPr>
          <t xml:space="preserve">
x1.5: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text>
    </comment>
    <comment ref="F6" authorId="0" shapeId="0" xr:uid="{00000000-0006-0000-0B00-000010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最佳理科</t>
        </r>
        <r>
          <rPr>
            <sz val="9"/>
            <color indexed="81"/>
            <rFont val="Tahoma"/>
            <family val="2"/>
          </rPr>
          <t xml:space="preserve"> x2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或</t>
        </r>
        <r>
          <rPr>
            <sz val="9"/>
            <color indexed="81"/>
            <rFont val="Tahoma"/>
            <family val="2"/>
          </rPr>
          <t xml:space="preserve">
ICT x1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 (M1/2 x1.5)
</t>
        </r>
      </text>
    </comment>
    <comment ref="F7" authorId="0" shapeId="0" xr:uid="{00000000-0006-0000-0B00-000017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最佳理科</t>
        </r>
        <r>
          <rPr>
            <sz val="9"/>
            <color indexed="81"/>
            <rFont val="Tahoma"/>
            <family val="2"/>
          </rPr>
          <t xml:space="preserve"> x2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或</t>
        </r>
        <r>
          <rPr>
            <sz val="9"/>
            <color indexed="81"/>
            <rFont val="Tahoma"/>
            <family val="2"/>
          </rPr>
          <t xml:space="preserve">
ICT x1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 (M1/2 x1.5)
</t>
        </r>
      </text>
    </comment>
    <comment ref="F8" authorId="0" shapeId="0" xr:uid="{00000000-0006-0000-0B00-00001A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9" authorId="0" shapeId="0" xr:uid="{00000000-0006-0000-0B00-00001C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0" authorId="0" shapeId="0" xr:uid="{00000000-0006-0000-0B00-00001F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r>
          <rPr>
            <sz val="9"/>
            <color indexed="81"/>
            <rFont val="細明體"/>
            <family val="3"/>
            <charset val="136"/>
          </rPr>
          <t xml:space="preserve">
或</t>
        </r>
        <r>
          <rPr>
            <sz val="9"/>
            <color indexed="81"/>
            <rFont val="Tahoma"/>
            <family val="2"/>
          </rPr>
          <t xml:space="preserve">
</t>
        </r>
        <r>
          <rPr>
            <sz val="9"/>
            <color indexed="81"/>
            <rFont val="細明體"/>
            <family val="3"/>
            <charset val="136"/>
          </rPr>
          <t>下列最佳科目</t>
        </r>
        <r>
          <rPr>
            <sz val="9"/>
            <color indexed="81"/>
            <rFont val="Tahoma"/>
            <family val="2"/>
          </rPr>
          <t xml:space="preserve"> x1.5
(M1/2/</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t>
        </r>
      </text>
    </comment>
    <comment ref="F11" authorId="0" shapeId="0" xr:uid="{00000000-0006-0000-0B00-000021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2" authorId="0" shapeId="0" xr:uid="{00000000-0006-0000-0B00-000023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3" authorId="0" shapeId="0" xr:uid="{00000000-0006-0000-0B00-000026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4" authorId="0" shapeId="0" xr:uid="{00000000-0006-0000-0B00-000028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5" authorId="0" shapeId="0" xr:uid="{00000000-0006-0000-0B00-00002A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6" authorId="0" shapeId="0" xr:uid="{00000000-0006-0000-0B00-00002C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7" authorId="0" shapeId="0" xr:uid="{00000000-0006-0000-0B00-00002E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r>
          <rPr>
            <sz val="9"/>
            <color indexed="81"/>
            <rFont val="細明體"/>
            <family val="3"/>
            <charset val="136"/>
          </rPr>
          <t xml:space="preserve">
或</t>
        </r>
        <r>
          <rPr>
            <sz val="9"/>
            <color indexed="81"/>
            <rFont val="Tahoma"/>
            <family val="2"/>
          </rPr>
          <t xml:space="preserve">
</t>
        </r>
        <r>
          <rPr>
            <sz val="9"/>
            <color indexed="81"/>
            <rFont val="細明體"/>
            <family val="3"/>
            <charset val="136"/>
          </rPr>
          <t>下列最佳科目</t>
        </r>
        <r>
          <rPr>
            <sz val="9"/>
            <color indexed="81"/>
            <rFont val="Tahoma"/>
            <family val="2"/>
          </rPr>
          <t xml:space="preserve"> x1.5
(M1/2/</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t>
        </r>
      </text>
    </comment>
    <comment ref="F18" authorId="0" shapeId="0" xr:uid="{00000000-0006-0000-0B00-000030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r>
          <rPr>
            <sz val="9"/>
            <color indexed="81"/>
            <rFont val="細明體"/>
            <family val="3"/>
            <charset val="136"/>
          </rPr>
          <t xml:space="preserve">
或</t>
        </r>
        <r>
          <rPr>
            <sz val="9"/>
            <color indexed="81"/>
            <rFont val="Tahoma"/>
            <family val="2"/>
          </rPr>
          <t xml:space="preserve">
</t>
        </r>
        <r>
          <rPr>
            <sz val="9"/>
            <color indexed="81"/>
            <rFont val="細明體"/>
            <family val="3"/>
            <charset val="136"/>
          </rPr>
          <t>下列最佳科目</t>
        </r>
        <r>
          <rPr>
            <sz val="9"/>
            <color indexed="81"/>
            <rFont val="Tahoma"/>
            <family val="2"/>
          </rPr>
          <t xml:space="preserve"> x1.5
(M1/2/</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t>
        </r>
      </text>
    </comment>
    <comment ref="F19" authorId="0" shapeId="0" xr:uid="{00000000-0006-0000-0B00-000032000000}">
      <text>
        <r>
          <rPr>
            <sz val="9"/>
            <color indexed="81"/>
            <rFont val="細明體"/>
            <family val="3"/>
            <charset val="136"/>
          </rPr>
          <t>英文</t>
        </r>
        <r>
          <rPr>
            <sz val="9"/>
            <color indexed="81"/>
            <rFont val="Tahoma"/>
            <family val="2"/>
          </rPr>
          <t xml:space="preserve"> x2 </t>
        </r>
        <r>
          <rPr>
            <sz val="9"/>
            <color indexed="81"/>
            <rFont val="細明體"/>
            <family val="3"/>
            <charset val="136"/>
          </rPr>
          <t>中文</t>
        </r>
        <r>
          <rPr>
            <sz val="9"/>
            <color indexed="81"/>
            <rFont val="Tahoma"/>
            <family val="2"/>
          </rPr>
          <t xml:space="preserve"> x1.5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t>
        </r>
      </text>
    </comment>
    <comment ref="F20" authorId="0" shapeId="0" xr:uid="{00000000-0006-0000-0B00-000034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(M1/2 x1.5)
</t>
        </r>
      </text>
    </comment>
    <comment ref="F21" authorId="0" shapeId="0" xr:uid="{00000000-0006-0000-0B00-000013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最佳理科</t>
        </r>
        <r>
          <rPr>
            <sz val="9"/>
            <color indexed="81"/>
            <rFont val="Tahoma"/>
            <family val="2"/>
          </rPr>
          <t xml:space="preserve"> x2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/DAT)
</t>
        </r>
        <r>
          <rPr>
            <sz val="9"/>
            <color indexed="81"/>
            <rFont val="細明體"/>
            <family val="3"/>
            <charset val="136"/>
          </rPr>
          <t>或</t>
        </r>
        <r>
          <rPr>
            <sz val="9"/>
            <color indexed="81"/>
            <rFont val="Tahoma"/>
            <family val="2"/>
          </rPr>
          <t xml:space="preserve">
ICT x1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 (M1/2 x1.5)</t>
        </r>
      </text>
    </comment>
    <comment ref="M21" authorId="1" shapeId="0" xr:uid="{00000000-0006-0000-0B00-000014000000}">
      <text>
        <r>
          <rPr>
            <sz val="9"/>
            <color indexed="81"/>
            <rFont val="Tahoma"/>
            <family val="2"/>
          </rPr>
          <t>Submission of Design and Technology Project experience document (</t>
        </r>
        <r>
          <rPr>
            <b/>
            <sz val="9"/>
            <color indexed="81"/>
            <rFont val="Tahoma"/>
            <family val="2"/>
          </rPr>
          <t>DTP</t>
        </r>
        <r>
          <rPr>
            <sz val="9"/>
            <color indexed="81"/>
            <rFont val="Tahoma"/>
            <family val="2"/>
          </rPr>
          <t>)/ Student Learning Profile (</t>
        </r>
        <r>
          <rPr>
            <b/>
            <sz val="9"/>
            <color indexed="81"/>
            <rFont val="Tahoma"/>
            <family val="2"/>
          </rPr>
          <t>SLP</t>
        </r>
        <r>
          <rPr>
            <sz val="9"/>
            <color indexed="81"/>
            <rFont val="Tahoma"/>
            <family val="2"/>
          </rPr>
          <t>)/ Other Experiences and Achievements (</t>
        </r>
        <r>
          <rPr>
            <b/>
            <sz val="9"/>
            <color indexed="81"/>
            <rFont val="Tahoma"/>
            <family val="2"/>
          </rPr>
          <t>OEA</t>
        </r>
        <r>
          <rPr>
            <sz val="9"/>
            <color indexed="81"/>
            <rFont val="Tahoma"/>
            <family val="2"/>
          </rPr>
          <t xml:space="preserve">) are </t>
        </r>
        <r>
          <rPr>
            <b/>
            <sz val="9"/>
            <color indexed="81"/>
            <rFont val="Tahoma"/>
            <family val="2"/>
          </rPr>
          <t>compulsory for admissions</t>
        </r>
        <r>
          <rPr>
            <sz val="9"/>
            <color indexed="81"/>
            <rFont val="Tahoma"/>
            <family val="2"/>
          </rPr>
          <t xml:space="preserve"> to this program.</t>
        </r>
      </text>
    </comment>
    <comment ref="F22" authorId="0" shapeId="0" xr:uid="{00000000-0006-0000-0B00-000036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最佳下列理科</t>
        </r>
        <r>
          <rPr>
            <sz val="9"/>
            <color indexed="81"/>
            <rFont val="Tahoma"/>
            <family val="2"/>
          </rPr>
          <t xml:space="preserve"> x1.5
(</t>
        </r>
        <r>
          <rPr>
            <sz val="9"/>
            <color indexed="81"/>
            <rFont val="細明體"/>
            <family val="3"/>
            <charset val="136"/>
          </rPr>
          <t>生物</t>
        </r>
        <r>
          <rPr>
            <sz val="9"/>
            <color indexed="81"/>
            <rFont val="Tahoma"/>
            <family val="2"/>
          </rPr>
          <t>/</t>
        </r>
        <r>
          <rPr>
            <sz val="9"/>
            <color indexed="81"/>
            <rFont val="細明體"/>
            <family val="3"/>
            <charset val="136"/>
          </rPr>
          <t>化學</t>
        </r>
        <r>
          <rPr>
            <sz val="9"/>
            <color indexed="81"/>
            <rFont val="Tahoma"/>
            <family val="2"/>
          </rPr>
          <t xml:space="preserve">)
+
</t>
        </r>
        <r>
          <rPr>
            <sz val="9"/>
            <color indexed="81"/>
            <rFont val="細明體"/>
            <family val="3"/>
            <charset val="136"/>
          </rPr>
          <t>最佳</t>
        </r>
        <r>
          <rPr>
            <sz val="9"/>
            <color indexed="81"/>
            <rFont val="Tahoma"/>
            <family val="2"/>
          </rPr>
          <t>3</t>
        </r>
        <r>
          <rPr>
            <sz val="9"/>
            <color indexed="81"/>
            <rFont val="細明體"/>
            <family val="3"/>
            <charset val="136"/>
          </rPr>
          <t>科</t>
        </r>
        <r>
          <rPr>
            <sz val="9"/>
            <color indexed="81"/>
            <rFont val="Tahoma"/>
            <family val="2"/>
          </rPr>
          <t xml:space="preserve"> x1
</t>
        </r>
      </text>
    </comment>
    <comment ref="S22" authorId="1" shapeId="0" xr:uid="{00000000-0006-0000-0B00-000038000000}">
      <text>
        <r>
          <rPr>
            <b/>
            <sz val="9"/>
            <color indexed="81"/>
            <rFont val="細明體"/>
            <family val="3"/>
            <charset val="136"/>
          </rPr>
          <t>以下一科</t>
        </r>
        <r>
          <rPr>
            <b/>
            <sz val="9"/>
            <color indexed="81"/>
            <rFont val="Tahoma"/>
            <family val="2"/>
          </rPr>
          <t>:</t>
        </r>
        <r>
          <rPr>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text>
    </comment>
    <comment ref="F23" authorId="0" shapeId="0" xr:uid="{00000000-0006-0000-0B00-000039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t>
        </r>
      </text>
    </comment>
    <comment ref="F24" authorId="0" shapeId="0" xr:uid="{00000000-0006-0000-0B00-00003B000000}">
      <text>
        <r>
          <rPr>
            <sz val="9"/>
            <color rgb="FF000000"/>
            <rFont val="細明體"/>
            <family val="3"/>
            <charset val="136"/>
          </rPr>
          <t>英文</t>
        </r>
        <r>
          <rPr>
            <sz val="9"/>
            <color rgb="FF000000"/>
            <rFont val="Tahoma"/>
            <family val="2"/>
          </rPr>
          <t xml:space="preserve"> x2 </t>
        </r>
        <r>
          <rPr>
            <sz val="9"/>
            <color rgb="FF000000"/>
            <rFont val="細明體"/>
            <family val="3"/>
            <charset val="136"/>
          </rPr>
          <t>數學</t>
        </r>
        <r>
          <rPr>
            <sz val="9"/>
            <color rgb="FF000000"/>
            <rFont val="Tahoma"/>
            <family val="2"/>
          </rPr>
          <t xml:space="preserve"> x2
</t>
        </r>
        <r>
          <rPr>
            <sz val="9"/>
            <color rgb="FF000000"/>
            <rFont val="Tahoma"/>
            <family val="2"/>
          </rPr>
          <t xml:space="preserve">+
</t>
        </r>
        <r>
          <rPr>
            <sz val="9"/>
            <color rgb="FF000000"/>
            <rFont val="Tahoma"/>
            <family val="2"/>
          </rPr>
          <t xml:space="preserve">M1/2 x 2 </t>
        </r>
        <r>
          <rPr>
            <sz val="9"/>
            <color rgb="FF000000"/>
            <rFont val="細明體"/>
            <family val="3"/>
            <charset val="136"/>
          </rPr>
          <t>或</t>
        </r>
        <r>
          <rPr>
            <sz val="9"/>
            <color rgb="FF000000"/>
            <rFont val="Tahoma"/>
            <family val="2"/>
          </rPr>
          <t xml:space="preserve">
</t>
        </r>
        <r>
          <rPr>
            <sz val="9"/>
            <color rgb="FF000000"/>
            <rFont val="細明體"/>
            <family val="3"/>
            <charset val="136"/>
          </rPr>
          <t>最佳下列科目</t>
        </r>
        <r>
          <rPr>
            <sz val="9"/>
            <color rgb="FF000000"/>
            <rFont val="Tahoma"/>
            <family val="2"/>
          </rPr>
          <t xml:space="preserve"> x1.5
</t>
        </r>
        <r>
          <rPr>
            <sz val="9"/>
            <color rgb="FF000000"/>
            <rFont val="Tahoma"/>
            <family val="2"/>
          </rPr>
          <t>(</t>
        </r>
        <r>
          <rPr>
            <sz val="9"/>
            <color rgb="FF000000"/>
            <rFont val="細明體"/>
            <family val="3"/>
            <charset val="136"/>
          </rPr>
          <t>生物</t>
        </r>
        <r>
          <rPr>
            <sz val="9"/>
            <color rgb="FF000000"/>
            <rFont val="Tahoma"/>
            <family val="2"/>
          </rPr>
          <t>/</t>
        </r>
        <r>
          <rPr>
            <sz val="9"/>
            <color rgb="FF000000"/>
            <rFont val="細明體"/>
            <family val="3"/>
            <charset val="136"/>
          </rPr>
          <t>化學</t>
        </r>
        <r>
          <rPr>
            <sz val="9"/>
            <color rgb="FF000000"/>
            <rFont val="Tahoma"/>
            <family val="2"/>
          </rPr>
          <t>/</t>
        </r>
        <r>
          <rPr>
            <sz val="9"/>
            <color rgb="FF000000"/>
            <rFont val="細明體"/>
            <family val="3"/>
            <charset val="136"/>
          </rPr>
          <t>物理</t>
        </r>
        <r>
          <rPr>
            <sz val="9"/>
            <color rgb="FF000000"/>
            <rFont val="Tahoma"/>
            <family val="2"/>
          </rPr>
          <t>/</t>
        </r>
        <r>
          <rPr>
            <sz val="9"/>
            <color rgb="FF000000"/>
            <rFont val="細明體"/>
            <family val="3"/>
            <charset val="136"/>
          </rPr>
          <t>組合科學</t>
        </r>
        <r>
          <rPr>
            <sz val="9"/>
            <color rgb="FF000000"/>
            <rFont val="Tahoma"/>
            <family val="2"/>
          </rPr>
          <t>/</t>
        </r>
        <r>
          <rPr>
            <sz val="9"/>
            <color rgb="FF000000"/>
            <rFont val="細明體"/>
            <family val="3"/>
            <charset val="136"/>
          </rPr>
          <t>綜合科學</t>
        </r>
        <r>
          <rPr>
            <sz val="9"/>
            <color rgb="FF000000"/>
            <rFont val="Tahoma"/>
            <family val="2"/>
          </rPr>
          <t>/</t>
        </r>
        <r>
          <rPr>
            <sz val="9"/>
            <color rgb="FF000000"/>
            <rFont val="細明體"/>
            <family val="3"/>
            <charset val="136"/>
          </rPr>
          <t>經濟</t>
        </r>
        <r>
          <rPr>
            <sz val="9"/>
            <color rgb="FF000000"/>
            <rFont val="Tahoma"/>
            <family val="2"/>
          </rPr>
          <t xml:space="preserve">)
</t>
        </r>
        <r>
          <rPr>
            <sz val="9"/>
            <color rgb="FF000000"/>
            <rFont val="Tahoma"/>
            <family val="2"/>
          </rPr>
          <t xml:space="preserve">+
</t>
        </r>
        <r>
          <rPr>
            <sz val="9"/>
            <color rgb="FF000000"/>
            <rFont val="細明體"/>
            <family val="3"/>
            <charset val="136"/>
          </rPr>
          <t>最佳</t>
        </r>
        <r>
          <rPr>
            <sz val="9"/>
            <color rgb="FF000000"/>
            <rFont val="Tahoma"/>
            <family val="2"/>
          </rPr>
          <t>3</t>
        </r>
        <r>
          <rPr>
            <sz val="9"/>
            <color rgb="FF000000"/>
            <rFont val="細明體"/>
            <family val="3"/>
            <charset val="136"/>
          </rPr>
          <t>科</t>
        </r>
        <r>
          <rPr>
            <sz val="9"/>
            <color rgb="FF000000"/>
            <rFont val="Tahoma"/>
            <family val="2"/>
          </rPr>
          <t xml:space="preserve"> x1
</t>
        </r>
      </text>
    </comment>
    <comment ref="S24" authorId="0" shapeId="0" xr:uid="{00000000-0006-0000-0B00-00003D000000}">
      <text>
        <r>
          <rPr>
            <b/>
            <sz val="9"/>
            <color indexed="81"/>
            <rFont val="細明體"/>
            <family val="3"/>
            <charset val="136"/>
          </rPr>
          <t>以下一科</t>
        </r>
        <r>
          <rPr>
            <b/>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綜合科學</t>
        </r>
        <r>
          <rPr>
            <sz val="9"/>
            <color indexed="81"/>
            <rFont val="Tahoma"/>
            <family val="2"/>
          </rPr>
          <t xml:space="preserve">/
</t>
        </r>
        <r>
          <rPr>
            <sz val="9"/>
            <color indexed="81"/>
            <rFont val="細明體"/>
            <family val="3"/>
            <charset val="136"/>
          </rPr>
          <t>經濟</t>
        </r>
        <r>
          <rPr>
            <sz val="9"/>
            <color indexed="81"/>
            <rFont val="Tahoma"/>
            <family val="2"/>
          </rPr>
          <t>/ M1/2</t>
        </r>
      </text>
    </comment>
    <comment ref="F25" authorId="0" shapeId="0" xr:uid="{00000000-0006-0000-0B00-00003E000000}">
      <text>
        <r>
          <rPr>
            <sz val="9"/>
            <color rgb="FF000000"/>
            <rFont val="細明體"/>
            <family val="3"/>
            <charset val="136"/>
          </rPr>
          <t>英文</t>
        </r>
        <r>
          <rPr>
            <sz val="9"/>
            <color rgb="FF000000"/>
            <rFont val="Tahoma"/>
            <family val="2"/>
          </rPr>
          <t xml:space="preserve"> x2 </t>
        </r>
        <r>
          <rPr>
            <sz val="9"/>
            <color rgb="FF000000"/>
            <rFont val="細明體"/>
            <family val="3"/>
            <charset val="136"/>
          </rPr>
          <t>數學</t>
        </r>
        <r>
          <rPr>
            <sz val="9"/>
            <color rgb="FF000000"/>
            <rFont val="Tahoma"/>
            <family val="2"/>
          </rPr>
          <t xml:space="preserve"> x2
</t>
        </r>
        <r>
          <rPr>
            <sz val="9"/>
            <color rgb="FF000000"/>
            <rFont val="Tahoma"/>
            <family val="2"/>
          </rPr>
          <t xml:space="preserve">+
</t>
        </r>
        <r>
          <rPr>
            <sz val="9"/>
            <color rgb="FF000000"/>
            <rFont val="細明體"/>
            <family val="3"/>
            <charset val="136"/>
          </rPr>
          <t>最佳</t>
        </r>
        <r>
          <rPr>
            <sz val="9"/>
            <color rgb="FF000000"/>
            <rFont val="Tahoma"/>
            <family val="2"/>
          </rPr>
          <t>4</t>
        </r>
        <r>
          <rPr>
            <sz val="9"/>
            <color rgb="FF000000"/>
            <rFont val="細明體"/>
            <family val="3"/>
            <charset val="136"/>
          </rPr>
          <t>科</t>
        </r>
        <r>
          <rPr>
            <sz val="9"/>
            <color rgb="FF000000"/>
            <rFont val="Tahoma"/>
            <family val="2"/>
          </rPr>
          <t xml:space="preserve"> x1 (M1/2 x1.5)
</t>
        </r>
      </text>
    </comment>
    <comment ref="F26" authorId="0" shapeId="0" xr:uid="{2199F5B3-DB31-472C-820E-00A3068FD516}">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t>
        </r>
        <r>
          <rPr>
            <sz val="9"/>
            <color indexed="81"/>
            <rFont val="細明體"/>
            <family val="3"/>
            <charset val="136"/>
          </rPr>
          <t>或
下列最佳理科</t>
        </r>
        <r>
          <rPr>
            <sz val="9"/>
            <color indexed="81"/>
            <rFont val="Tahoma"/>
            <family val="2"/>
          </rPr>
          <t xml:space="preserve"> x1.5
(</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/M1/2)
+
</t>
        </r>
        <r>
          <rPr>
            <sz val="9"/>
            <color indexed="81"/>
            <rFont val="細明體"/>
            <family val="3"/>
            <charset val="136"/>
          </rPr>
          <t>最佳</t>
        </r>
        <r>
          <rPr>
            <sz val="9"/>
            <color indexed="81"/>
            <rFont val="Tahoma"/>
            <family val="2"/>
          </rPr>
          <t>3</t>
        </r>
        <r>
          <rPr>
            <sz val="9"/>
            <color indexed="81"/>
            <rFont val="細明體"/>
            <family val="3"/>
            <charset val="136"/>
          </rPr>
          <t>科</t>
        </r>
        <r>
          <rPr>
            <sz val="9"/>
            <color indexed="81"/>
            <rFont val="Tahoma"/>
            <family val="2"/>
          </rPr>
          <t xml:space="preserve"> x1</t>
        </r>
      </text>
    </comment>
    <comment ref="F27" authorId="0" shapeId="0" xr:uid="{00000000-0006-0000-0B00-000040000000}">
      <text>
        <r>
          <rPr>
            <sz val="9"/>
            <color rgb="FF000000"/>
            <rFont val="細明體"/>
            <family val="3"/>
            <charset val="136"/>
          </rPr>
          <t>英文</t>
        </r>
        <r>
          <rPr>
            <sz val="9"/>
            <color rgb="FF000000"/>
            <rFont val="Tahoma"/>
            <family val="2"/>
          </rPr>
          <t xml:space="preserve"> x2 </t>
        </r>
        <r>
          <rPr>
            <sz val="9"/>
            <color rgb="FF000000"/>
            <rFont val="細明體"/>
            <family val="3"/>
            <charset val="136"/>
          </rPr>
          <t>數學</t>
        </r>
        <r>
          <rPr>
            <sz val="9"/>
            <color rgb="FF000000"/>
            <rFont val="Tahoma"/>
            <family val="2"/>
          </rPr>
          <t xml:space="preserve"> x2
</t>
        </r>
        <r>
          <rPr>
            <sz val="9"/>
            <color rgb="FF000000"/>
            <rFont val="Tahoma"/>
            <family val="2"/>
          </rPr>
          <t xml:space="preserve">+
</t>
        </r>
        <r>
          <rPr>
            <sz val="9"/>
            <color rgb="FF000000"/>
            <rFont val="細明體"/>
            <family val="3"/>
            <charset val="136"/>
          </rPr>
          <t>最佳理科</t>
        </r>
        <r>
          <rPr>
            <sz val="9"/>
            <color rgb="FF000000"/>
            <rFont val="Tahoma"/>
            <family val="2"/>
          </rPr>
          <t xml:space="preserve"> x2
</t>
        </r>
        <r>
          <rPr>
            <sz val="9"/>
            <color rgb="FF000000"/>
            <rFont val="Tahoma"/>
            <family val="2"/>
          </rPr>
          <t>(</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xml:space="preserve">)
</t>
        </r>
        <r>
          <rPr>
            <sz val="9"/>
            <color rgb="FF000000"/>
            <rFont val="細明體"/>
            <family val="3"/>
            <charset val="136"/>
          </rPr>
          <t>或</t>
        </r>
        <r>
          <rPr>
            <sz val="9"/>
            <color rgb="FF000000"/>
            <rFont val="Tahoma"/>
            <family val="2"/>
          </rPr>
          <t xml:space="preserve">
</t>
        </r>
        <r>
          <rPr>
            <sz val="9"/>
            <color rgb="FF000000"/>
            <rFont val="Tahoma"/>
            <family val="2"/>
          </rPr>
          <t xml:space="preserve">ICT x1
</t>
        </r>
        <r>
          <rPr>
            <sz val="9"/>
            <color rgb="FF000000"/>
            <rFont val="Tahoma"/>
            <family val="2"/>
          </rPr>
          <t xml:space="preserve">+
</t>
        </r>
        <r>
          <rPr>
            <sz val="9"/>
            <color rgb="FF000000"/>
            <rFont val="細明體"/>
            <family val="3"/>
            <charset val="136"/>
          </rPr>
          <t>最佳</t>
        </r>
        <r>
          <rPr>
            <sz val="9"/>
            <color rgb="FF000000"/>
            <rFont val="Tahoma"/>
            <family val="2"/>
          </rPr>
          <t>3</t>
        </r>
        <r>
          <rPr>
            <sz val="9"/>
            <color rgb="FF000000"/>
            <rFont val="細明體"/>
            <family val="3"/>
            <charset val="136"/>
          </rPr>
          <t>科</t>
        </r>
        <r>
          <rPr>
            <sz val="9"/>
            <color rgb="FF000000"/>
            <rFont val="Tahoma"/>
            <family val="2"/>
          </rPr>
          <t xml:space="preserve"> x1 (M1/2 x1.5)
</t>
        </r>
      </text>
    </comment>
    <comment ref="S27" authorId="0" shapeId="0" xr:uid="{00000000-0006-0000-0B00-000042000000}">
      <text>
        <r>
          <rPr>
            <b/>
            <sz val="9"/>
            <color indexed="81"/>
            <rFont val="細明體"/>
            <family val="3"/>
            <charset val="136"/>
          </rPr>
          <t>以下一科</t>
        </r>
        <r>
          <rPr>
            <b/>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ICT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Chan</author>
  </authors>
  <commentList>
    <comment ref="L6" authorId="0" shapeId="0" xr:uid="{00000000-0006-0000-0E00-000009000000}">
      <text>
        <r>
          <rPr>
            <sz val="9"/>
            <color indexed="81"/>
            <rFont val="細明體"/>
            <family val="3"/>
            <charset val="136"/>
          </rPr>
          <t>同學亦須在額外的</t>
        </r>
        <r>
          <rPr>
            <sz val="9"/>
            <color indexed="81"/>
            <rFont val="Tahoma"/>
            <family val="2"/>
          </rPr>
          <t xml:space="preserve"> </t>
        </r>
        <r>
          <rPr>
            <b/>
            <sz val="9"/>
            <color indexed="81"/>
            <rFont val="細明體"/>
            <family val="3"/>
            <charset val="136"/>
          </rPr>
          <t>入學測試</t>
        </r>
        <r>
          <rPr>
            <b/>
            <sz val="9"/>
            <color indexed="81"/>
            <rFont val="Tahoma"/>
            <family val="2"/>
          </rPr>
          <t>/</t>
        </r>
        <r>
          <rPr>
            <b/>
            <sz val="9"/>
            <color indexed="81"/>
            <rFont val="細明體"/>
            <family val="3"/>
            <charset val="136"/>
          </rPr>
          <t>面試</t>
        </r>
        <r>
          <rPr>
            <b/>
            <sz val="9"/>
            <color indexed="81"/>
            <rFont val="Tahoma"/>
            <family val="2"/>
          </rPr>
          <t xml:space="preserve"> </t>
        </r>
        <r>
          <rPr>
            <sz val="9"/>
            <color indexed="81"/>
            <rFont val="細明體"/>
            <family val="3"/>
            <charset val="136"/>
          </rPr>
          <t>中考獲優異成績</t>
        </r>
      </text>
    </comment>
    <comment ref="L17" authorId="0" shapeId="0" xr:uid="{EAFC96E0-2E98-44EF-B8BC-A609B938244E}">
      <text>
        <r>
          <rPr>
            <sz val="9"/>
            <color indexed="81"/>
            <rFont val="細明體"/>
            <family val="3"/>
            <charset val="136"/>
          </rPr>
          <t>同學亦須在額外的</t>
        </r>
        <r>
          <rPr>
            <sz val="9"/>
            <color indexed="81"/>
            <rFont val="Tahoma"/>
            <family val="2"/>
          </rPr>
          <t xml:space="preserve"> </t>
        </r>
        <r>
          <rPr>
            <b/>
            <sz val="9"/>
            <color indexed="81"/>
            <rFont val="細明體"/>
            <family val="3"/>
            <charset val="136"/>
          </rPr>
          <t>入學測試</t>
        </r>
        <r>
          <rPr>
            <b/>
            <sz val="9"/>
            <color indexed="81"/>
            <rFont val="Tahoma"/>
            <family val="2"/>
          </rPr>
          <t>/</t>
        </r>
        <r>
          <rPr>
            <b/>
            <sz val="9"/>
            <color indexed="81"/>
            <rFont val="細明體"/>
            <family val="3"/>
            <charset val="136"/>
          </rPr>
          <t>面試</t>
        </r>
        <r>
          <rPr>
            <b/>
            <sz val="9"/>
            <color indexed="81"/>
            <rFont val="Tahoma"/>
            <family val="2"/>
          </rPr>
          <t xml:space="preserve"> </t>
        </r>
        <r>
          <rPr>
            <sz val="9"/>
            <color indexed="81"/>
            <rFont val="細明體"/>
            <family val="3"/>
            <charset val="136"/>
          </rPr>
          <t>中考獲優異成績</t>
        </r>
      </text>
    </comment>
    <comment ref="L18" authorId="0" shapeId="0" xr:uid="{1AD08173-DBFE-4F97-8E04-3A07366E3C0B}">
      <text>
        <r>
          <rPr>
            <sz val="9"/>
            <color indexed="81"/>
            <rFont val="細明體"/>
            <family val="3"/>
            <charset val="136"/>
          </rPr>
          <t>同學亦須在額外的</t>
        </r>
        <r>
          <rPr>
            <sz val="9"/>
            <color indexed="81"/>
            <rFont val="Tahoma"/>
            <family val="2"/>
          </rPr>
          <t xml:space="preserve"> </t>
        </r>
        <r>
          <rPr>
            <b/>
            <sz val="9"/>
            <color indexed="81"/>
            <rFont val="細明體"/>
            <family val="3"/>
            <charset val="136"/>
          </rPr>
          <t>入學測試</t>
        </r>
        <r>
          <rPr>
            <b/>
            <sz val="9"/>
            <color indexed="81"/>
            <rFont val="Tahoma"/>
            <family val="2"/>
          </rPr>
          <t>/</t>
        </r>
        <r>
          <rPr>
            <b/>
            <sz val="9"/>
            <color indexed="81"/>
            <rFont val="細明體"/>
            <family val="3"/>
            <charset val="136"/>
          </rPr>
          <t>面試</t>
        </r>
        <r>
          <rPr>
            <b/>
            <sz val="9"/>
            <color indexed="81"/>
            <rFont val="Tahoma"/>
            <family val="2"/>
          </rPr>
          <t xml:space="preserve"> </t>
        </r>
        <r>
          <rPr>
            <sz val="9"/>
            <color indexed="81"/>
            <rFont val="細明體"/>
            <family val="3"/>
            <charset val="136"/>
          </rPr>
          <t>中考獲優異成績</t>
        </r>
      </text>
    </comment>
    <comment ref="L26" authorId="0" shapeId="0" xr:uid="{764737D5-990D-4880-9993-9799CED8CF3F}">
      <text>
        <r>
          <rPr>
            <sz val="9"/>
            <color indexed="81"/>
            <rFont val="細明體"/>
            <family val="3"/>
            <charset val="136"/>
          </rPr>
          <t>同學亦須在額外的</t>
        </r>
        <r>
          <rPr>
            <sz val="9"/>
            <color indexed="81"/>
            <rFont val="Tahoma"/>
            <family val="2"/>
          </rPr>
          <t xml:space="preserve"> </t>
        </r>
        <r>
          <rPr>
            <b/>
            <sz val="9"/>
            <color indexed="81"/>
            <rFont val="細明體"/>
            <family val="3"/>
            <charset val="136"/>
          </rPr>
          <t>入學測試</t>
        </r>
        <r>
          <rPr>
            <b/>
            <sz val="9"/>
            <color indexed="81"/>
            <rFont val="Tahoma"/>
            <family val="2"/>
          </rPr>
          <t>/</t>
        </r>
        <r>
          <rPr>
            <b/>
            <sz val="9"/>
            <color indexed="81"/>
            <rFont val="細明體"/>
            <family val="3"/>
            <charset val="136"/>
          </rPr>
          <t>面試</t>
        </r>
        <r>
          <rPr>
            <b/>
            <sz val="9"/>
            <color indexed="81"/>
            <rFont val="Tahoma"/>
            <family val="2"/>
          </rPr>
          <t xml:space="preserve"> </t>
        </r>
        <r>
          <rPr>
            <sz val="9"/>
            <color indexed="81"/>
            <rFont val="細明體"/>
            <family val="3"/>
            <charset val="136"/>
          </rPr>
          <t>中考獲優異成績</t>
        </r>
      </text>
    </comment>
    <comment ref="L27" authorId="0" shapeId="0" xr:uid="{929E9026-7744-4547-AA1C-0BD13AF00241}">
      <text>
        <r>
          <rPr>
            <sz val="9"/>
            <color indexed="81"/>
            <rFont val="細明體"/>
            <family val="3"/>
            <charset val="136"/>
          </rPr>
          <t>同學亦須在額外的</t>
        </r>
        <r>
          <rPr>
            <sz val="9"/>
            <color indexed="81"/>
            <rFont val="Tahoma"/>
            <family val="2"/>
          </rPr>
          <t xml:space="preserve"> </t>
        </r>
        <r>
          <rPr>
            <b/>
            <sz val="9"/>
            <color indexed="81"/>
            <rFont val="細明體"/>
            <family val="3"/>
            <charset val="136"/>
          </rPr>
          <t>入學測試</t>
        </r>
        <r>
          <rPr>
            <b/>
            <sz val="9"/>
            <color indexed="81"/>
            <rFont val="Tahoma"/>
            <family val="2"/>
          </rPr>
          <t>/</t>
        </r>
        <r>
          <rPr>
            <b/>
            <sz val="9"/>
            <color indexed="81"/>
            <rFont val="細明體"/>
            <family val="3"/>
            <charset val="136"/>
          </rPr>
          <t>面試</t>
        </r>
        <r>
          <rPr>
            <b/>
            <sz val="9"/>
            <color indexed="81"/>
            <rFont val="Tahoma"/>
            <family val="2"/>
          </rPr>
          <t xml:space="preserve"> </t>
        </r>
        <r>
          <rPr>
            <sz val="9"/>
            <color indexed="81"/>
            <rFont val="細明體"/>
            <family val="3"/>
            <charset val="136"/>
          </rPr>
          <t>中考獲優異成績</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User</author>
    <author>Michael Chan</author>
    <author>Michael</author>
  </authors>
  <commentList>
    <comment ref="N140" authorId="0" shapeId="0" xr:uid="{1B0A2212-67BB-4E5A-8EC5-FDAD42D8D971}">
      <text>
        <r>
          <rPr>
            <b/>
            <sz val="9"/>
            <color indexed="81"/>
            <rFont val="Tahoma"/>
            <family val="2"/>
          </rPr>
          <t>Exception as here LS x10</t>
        </r>
      </text>
    </comment>
    <comment ref="N212" authorId="0" shapeId="0" xr:uid="{EBDFB735-47AC-4D0A-B367-5A89AD10C638}">
      <text>
        <r>
          <rPr>
            <b/>
            <sz val="9"/>
            <color indexed="81"/>
            <rFont val="Tahoma"/>
            <family val="2"/>
          </rPr>
          <t xml:space="preserve">Except as here LS x1.25
</t>
        </r>
      </text>
    </comment>
    <comment ref="N217" authorId="0" shapeId="0" xr:uid="{E6379CF3-93FE-448D-8572-C6383FC881AF}">
      <text>
        <r>
          <rPr>
            <b/>
            <sz val="9"/>
            <color indexed="81"/>
            <rFont val="Tahoma"/>
            <family val="2"/>
          </rPr>
          <t>Exception as here LS x 1.5</t>
        </r>
      </text>
    </comment>
    <comment ref="E386" authorId="1" shapeId="0" xr:uid="{00000000-0006-0000-0400-0000DD000000}">
      <text>
        <r>
          <rPr>
            <b/>
            <sz val="9"/>
            <color rgb="FF000000"/>
            <rFont val="Tahoma"/>
            <family val="2"/>
          </rPr>
          <t>Best 5 (</t>
        </r>
        <r>
          <rPr>
            <b/>
            <sz val="9"/>
            <color rgb="FF000000"/>
            <rFont val="細明體"/>
            <family val="3"/>
            <charset val="136"/>
          </rPr>
          <t>包括英文、數學</t>
        </r>
        <r>
          <rPr>
            <b/>
            <sz val="9"/>
            <color rgb="FF000000"/>
            <rFont val="Tahoma"/>
            <family val="2"/>
          </rPr>
          <t xml:space="preserve">)
</t>
        </r>
        <r>
          <rPr>
            <sz val="9"/>
            <color rgb="FF000000"/>
            <rFont val="Tahoma"/>
            <family val="2"/>
          </rPr>
          <t xml:space="preserve">
</t>
        </r>
        <r>
          <rPr>
            <b/>
            <sz val="9"/>
            <color rgb="FF000000"/>
            <rFont val="細明體"/>
            <family val="3"/>
            <charset val="136"/>
          </rPr>
          <t>此處並無計算比重</t>
        </r>
        <r>
          <rPr>
            <sz val="9"/>
            <color rgb="FF000000"/>
            <rFont val="細明體"/>
            <family val="3"/>
            <charset val="136"/>
          </rPr>
          <t xml:space="preserve">
</t>
        </r>
        <r>
          <rPr>
            <sz val="9"/>
            <color rgb="FF000000"/>
            <rFont val="細明體"/>
            <family val="3"/>
            <charset val="136"/>
          </rPr>
          <t xml:space="preserve">
</t>
        </r>
        <r>
          <rPr>
            <b/>
            <sz val="9"/>
            <color rgb="FF000000"/>
            <rFont val="Tahoma"/>
            <family val="2"/>
          </rPr>
          <t>x10:</t>
        </r>
        <r>
          <rPr>
            <sz val="9"/>
            <color rgb="FF000000"/>
            <rFont val="Tahoma"/>
            <family val="2"/>
          </rPr>
          <t xml:space="preserve"> </t>
        </r>
        <r>
          <rPr>
            <sz val="9"/>
            <color rgb="FF000000"/>
            <rFont val="細明體"/>
            <family val="3"/>
            <charset val="136"/>
          </rPr>
          <t>英文、數學、</t>
        </r>
        <r>
          <rPr>
            <sz val="9"/>
            <color rgb="FF000000"/>
            <rFont val="Tahoma"/>
            <family val="2"/>
          </rPr>
          <t>BAFS</t>
        </r>
        <r>
          <rPr>
            <sz val="9"/>
            <color rgb="FF000000"/>
            <rFont val="細明體"/>
            <family val="3"/>
            <charset val="136"/>
          </rPr>
          <t>、經濟、地理、</t>
        </r>
        <r>
          <rPr>
            <sz val="9"/>
            <color rgb="FF000000"/>
            <rFont val="Tahoma"/>
            <family val="2"/>
          </rPr>
          <t>ICT</t>
        </r>
        <r>
          <rPr>
            <sz val="9"/>
            <color rgb="FF000000"/>
            <rFont val="細明體"/>
            <family val="3"/>
            <charset val="136"/>
          </rPr>
          <t>、物理、</t>
        </r>
        <r>
          <rPr>
            <sz val="9"/>
            <color rgb="FF000000"/>
            <rFont val="Tahoma"/>
            <family val="2"/>
          </rPr>
          <t xml:space="preserve">M1/2
</t>
        </r>
        <r>
          <rPr>
            <sz val="9"/>
            <color rgb="FF000000"/>
            <rFont val="Tahoma"/>
            <family val="2"/>
          </rPr>
          <t xml:space="preserve">
</t>
        </r>
        <r>
          <rPr>
            <b/>
            <sz val="9"/>
            <color rgb="FF000000"/>
            <rFont val="Tahoma"/>
            <family val="2"/>
          </rPr>
          <t xml:space="preserve">x7: </t>
        </r>
        <r>
          <rPr>
            <sz val="9"/>
            <color rgb="FF000000"/>
            <rFont val="細明體"/>
            <family val="3"/>
            <charset val="136"/>
          </rPr>
          <t>中文、通識、組合科學、綜合科學、化學、生物</t>
        </r>
        <r>
          <rPr>
            <sz val="9"/>
            <color rgb="FF000000"/>
            <rFont val="細明體"/>
            <family val="3"/>
            <charset val="136"/>
          </rPr>
          <t xml:space="preserve">
</t>
        </r>
        <r>
          <rPr>
            <sz val="9"/>
            <color rgb="FF000000"/>
            <rFont val="細明體"/>
            <family val="3"/>
            <charset val="136"/>
          </rPr>
          <t xml:space="preserve">
</t>
        </r>
        <r>
          <rPr>
            <b/>
            <sz val="9"/>
            <color rgb="FF000000"/>
            <rFont val="Tahoma"/>
            <family val="2"/>
          </rPr>
          <t xml:space="preserve">x5: </t>
        </r>
        <r>
          <rPr>
            <sz val="9"/>
            <color rgb="FF000000"/>
            <rFont val="細明體"/>
            <family val="3"/>
            <charset val="136"/>
          </rPr>
          <t>其他選修科目</t>
        </r>
        <r>
          <rPr>
            <sz val="9"/>
            <color rgb="FF000000"/>
            <rFont val="Tahoma"/>
            <family val="2"/>
          </rPr>
          <t xml:space="preserve"> (1</t>
        </r>
        <r>
          <rPr>
            <sz val="9"/>
            <color rgb="FF000000"/>
            <rFont val="細明體"/>
            <family val="3"/>
            <charset val="136"/>
          </rPr>
          <t>個選修科</t>
        </r>
        <r>
          <rPr>
            <sz val="9"/>
            <color rgb="FF000000"/>
            <rFont val="Tahoma"/>
            <family val="2"/>
          </rPr>
          <t>)</t>
        </r>
      </text>
    </comment>
    <comment ref="E387" authorId="1" shapeId="0" xr:uid="{00000000-0006-0000-0400-0000DE000000}">
      <text>
        <r>
          <rPr>
            <b/>
            <sz val="9"/>
            <color rgb="FF000000"/>
            <rFont val="細明體"/>
            <family val="3"/>
            <charset val="136"/>
          </rPr>
          <t>此處並無計算比重</t>
        </r>
        <r>
          <rPr>
            <b/>
            <sz val="9"/>
            <color rgb="FF000000"/>
            <rFont val="細明體"/>
            <family val="3"/>
            <charset val="136"/>
          </rPr>
          <t xml:space="preserve">
</t>
        </r>
        <r>
          <rPr>
            <b/>
            <sz val="9"/>
            <color rgb="FF000000"/>
            <rFont val="細明體"/>
            <family val="3"/>
            <charset val="136"/>
          </rPr>
          <t xml:space="preserve">
</t>
        </r>
        <r>
          <rPr>
            <b/>
            <sz val="9"/>
            <color rgb="FF000000"/>
            <rFont val="Tahoma"/>
            <family val="2"/>
          </rPr>
          <t xml:space="preserve">x5: </t>
        </r>
        <r>
          <rPr>
            <sz val="9"/>
            <color rgb="FF000000"/>
            <rFont val="細明體"/>
            <family val="3"/>
            <charset val="136"/>
          </rPr>
          <t>英文、數學、</t>
        </r>
        <r>
          <rPr>
            <sz val="9"/>
            <color rgb="FF000000"/>
            <rFont val="Tahoma"/>
            <family val="2"/>
          </rPr>
          <t>BAFS</t>
        </r>
        <r>
          <rPr>
            <sz val="9"/>
            <color rgb="FF000000"/>
            <rFont val="細明體"/>
            <family val="3"/>
            <charset val="136"/>
          </rPr>
          <t>、經濟、</t>
        </r>
        <r>
          <rPr>
            <sz val="9"/>
            <color rgb="FF000000"/>
            <rFont val="Tahoma"/>
            <family val="2"/>
          </rPr>
          <t>M1/2</t>
        </r>
        <r>
          <rPr>
            <sz val="9"/>
            <color rgb="FF000000"/>
            <rFont val="細明體"/>
            <family val="3"/>
            <charset val="136"/>
          </rPr>
          <t>、經濟、物理</t>
        </r>
        <r>
          <rPr>
            <b/>
            <sz val="9"/>
            <color rgb="FF000000"/>
            <rFont val="細明體"/>
            <family val="3"/>
            <charset val="136"/>
          </rPr>
          <t xml:space="preserve">
</t>
        </r>
        <r>
          <rPr>
            <b/>
            <sz val="9"/>
            <color rgb="FF000000"/>
            <rFont val="細明體"/>
            <family val="3"/>
            <charset val="136"/>
          </rPr>
          <t xml:space="preserve">
</t>
        </r>
        <r>
          <rPr>
            <b/>
            <sz val="9"/>
            <color rgb="FF000000"/>
            <rFont val="Tahoma"/>
            <family val="2"/>
          </rPr>
          <t xml:space="preserve">x3: </t>
        </r>
        <r>
          <rPr>
            <sz val="9"/>
            <color rgb="FF000000"/>
            <rFont val="細明體"/>
            <family val="3"/>
            <charset val="136"/>
          </rPr>
          <t>中文、通識、</t>
        </r>
        <r>
          <rPr>
            <sz val="9"/>
            <color rgb="FF000000"/>
            <rFont val="Tahoma"/>
            <family val="2"/>
          </rPr>
          <t>ICT</t>
        </r>
        <r>
          <rPr>
            <sz val="9"/>
            <color rgb="FF000000"/>
            <rFont val="細明體"/>
            <family val="3"/>
            <charset val="136"/>
          </rPr>
          <t>、組合科學、綜合科學、化學、生物</t>
        </r>
        <r>
          <rPr>
            <b/>
            <sz val="9"/>
            <color rgb="FF000000"/>
            <rFont val="Tahoma"/>
            <family val="2"/>
          </rPr>
          <t xml:space="preserve">
</t>
        </r>
        <r>
          <rPr>
            <b/>
            <sz val="9"/>
            <color rgb="FF000000"/>
            <rFont val="細明體"/>
            <family val="3"/>
            <charset val="136"/>
          </rPr>
          <t xml:space="preserve">
</t>
        </r>
        <r>
          <rPr>
            <b/>
            <sz val="9"/>
            <color rgb="FF000000"/>
            <rFont val="Tahoma"/>
            <family val="2"/>
          </rPr>
          <t>x2:</t>
        </r>
        <r>
          <rPr>
            <sz val="9"/>
            <color rgb="FF000000"/>
            <rFont val="Tahoma"/>
            <family val="2"/>
          </rPr>
          <t xml:space="preserve"> </t>
        </r>
        <r>
          <rPr>
            <sz val="9"/>
            <color rgb="FF000000"/>
            <rFont val="細明體"/>
            <family val="3"/>
            <charset val="136"/>
          </rPr>
          <t>其他選修科</t>
        </r>
        <r>
          <rPr>
            <sz val="9"/>
            <color rgb="FF000000"/>
            <rFont val="Tahoma"/>
            <family val="2"/>
          </rPr>
          <t xml:space="preserve"> (1</t>
        </r>
        <r>
          <rPr>
            <sz val="9"/>
            <color rgb="FF000000"/>
            <rFont val="細明體"/>
            <family val="3"/>
            <charset val="136"/>
          </rPr>
          <t>個選修科</t>
        </r>
        <r>
          <rPr>
            <sz val="9"/>
            <color rgb="FF000000"/>
            <rFont val="Tahoma"/>
            <family val="2"/>
          </rPr>
          <t>)</t>
        </r>
      </text>
    </comment>
    <comment ref="E388" authorId="1" shapeId="0" xr:uid="{00000000-0006-0000-0400-0000DF000000}">
      <text>
        <r>
          <rPr>
            <b/>
            <sz val="9"/>
            <color rgb="FF000000"/>
            <rFont val="細明體"/>
            <family val="3"/>
            <charset val="136"/>
          </rPr>
          <t>此處並無計算比重</t>
        </r>
        <r>
          <rPr>
            <b/>
            <sz val="9"/>
            <color rgb="FF000000"/>
            <rFont val="Tahoma"/>
            <family val="2"/>
          </rPr>
          <t xml:space="preserve">
</t>
        </r>
        <r>
          <rPr>
            <b/>
            <sz val="9"/>
            <color rgb="FF000000"/>
            <rFont val="Tahoma"/>
            <family val="2"/>
          </rPr>
          <t xml:space="preserve">
</t>
        </r>
        <r>
          <rPr>
            <b/>
            <sz val="9"/>
            <color rgb="FF000000"/>
            <rFont val="Tahoma"/>
            <family val="2"/>
          </rPr>
          <t>x3:</t>
        </r>
        <r>
          <rPr>
            <sz val="9"/>
            <color rgb="FF000000"/>
            <rFont val="Tahoma"/>
            <family val="2"/>
          </rPr>
          <t xml:space="preserve"> </t>
        </r>
        <r>
          <rPr>
            <sz val="9"/>
            <color rgb="FF000000"/>
            <rFont val="細明體"/>
            <family val="3"/>
            <charset val="136"/>
          </rPr>
          <t>數學、</t>
        </r>
        <r>
          <rPr>
            <sz val="9"/>
            <color rgb="FF000000"/>
            <rFont val="Tahoma"/>
            <family val="2"/>
          </rPr>
          <t>ICT</t>
        </r>
        <r>
          <rPr>
            <sz val="9"/>
            <color rgb="FF000000"/>
            <rFont val="細明體"/>
            <family val="3"/>
            <charset val="136"/>
          </rPr>
          <t>、</t>
        </r>
        <r>
          <rPr>
            <sz val="9"/>
            <color rgb="FF000000"/>
            <rFont val="Tahoma"/>
            <family val="2"/>
          </rPr>
          <t>M1/2</t>
        </r>
        <r>
          <rPr>
            <sz val="9"/>
            <color rgb="FF000000"/>
            <rFont val="細明體"/>
            <family val="3"/>
            <charset val="136"/>
          </rPr>
          <t>、經濟、</t>
        </r>
        <r>
          <rPr>
            <sz val="9"/>
            <color rgb="FF000000"/>
            <rFont val="Tahoma"/>
            <family val="2"/>
          </rPr>
          <t>BAFS</t>
        </r>
        <r>
          <rPr>
            <sz val="9"/>
            <color rgb="FF000000"/>
            <rFont val="細明體"/>
            <family val="3"/>
            <charset val="136"/>
          </rPr>
          <t>、物理</t>
        </r>
        <r>
          <rPr>
            <sz val="9"/>
            <color rgb="FF000000"/>
            <rFont val="細明體"/>
            <family val="3"/>
            <charset val="136"/>
          </rPr>
          <t xml:space="preserve">
</t>
        </r>
        <r>
          <rPr>
            <sz val="9"/>
            <color rgb="FF000000"/>
            <rFont val="細明體"/>
            <family val="3"/>
            <charset val="136"/>
          </rPr>
          <t xml:space="preserve">
</t>
        </r>
        <r>
          <rPr>
            <b/>
            <sz val="9"/>
            <color rgb="FF000000"/>
            <rFont val="Tahoma"/>
            <family val="2"/>
          </rPr>
          <t>x2:</t>
        </r>
        <r>
          <rPr>
            <sz val="9"/>
            <color rgb="FF000000"/>
            <rFont val="Tahoma"/>
            <family val="2"/>
          </rPr>
          <t xml:space="preserve"> </t>
        </r>
        <r>
          <rPr>
            <sz val="9"/>
            <color rgb="FF000000"/>
            <rFont val="細明體"/>
            <family val="3"/>
            <charset val="136"/>
          </rPr>
          <t>中文、英文、通識、生物、化學、組合科學、綜合科學</t>
        </r>
      </text>
    </comment>
    <comment ref="E389" authorId="1" shapeId="0" xr:uid="{00000000-0006-0000-0400-0000E0000000}">
      <text>
        <r>
          <rPr>
            <b/>
            <sz val="9"/>
            <color rgb="FF000000"/>
            <rFont val="Tahoma"/>
            <family val="2"/>
          </rPr>
          <t>Best 5 (</t>
        </r>
        <r>
          <rPr>
            <b/>
            <sz val="9"/>
            <color rgb="FF000000"/>
            <rFont val="細明體"/>
            <family val="3"/>
            <charset val="136"/>
          </rPr>
          <t>包括數學</t>
        </r>
        <r>
          <rPr>
            <b/>
            <sz val="9"/>
            <color rgb="FF000000"/>
            <rFont val="Tahoma"/>
            <family val="2"/>
          </rPr>
          <t>)</t>
        </r>
      </text>
    </comment>
    <comment ref="E390" authorId="1" shapeId="0" xr:uid="{00000000-0006-0000-0400-0000E1000000}">
      <text>
        <r>
          <rPr>
            <b/>
            <sz val="9"/>
            <color indexed="81"/>
            <rFont val="細明體"/>
            <family val="3"/>
            <charset val="136"/>
          </rPr>
          <t>此處並無計算比重</t>
        </r>
        <r>
          <rPr>
            <b/>
            <sz val="9"/>
            <color indexed="81"/>
            <rFont val="Tahoma"/>
            <family val="2"/>
          </rPr>
          <t xml:space="preserve">
x10:</t>
        </r>
        <r>
          <rPr>
            <sz val="9"/>
            <color indexed="81"/>
            <rFont val="Tahoma"/>
            <family val="2"/>
          </rPr>
          <t xml:space="preserve"> </t>
        </r>
        <r>
          <rPr>
            <sz val="9"/>
            <color indexed="81"/>
            <rFont val="細明體"/>
            <family val="3"/>
            <charset val="136"/>
          </rPr>
          <t>英文、數學、</t>
        </r>
        <r>
          <rPr>
            <sz val="9"/>
            <color indexed="81"/>
            <rFont val="Tahoma"/>
            <family val="2"/>
          </rPr>
          <t>BAFS</t>
        </r>
        <r>
          <rPr>
            <sz val="9"/>
            <color indexed="81"/>
            <rFont val="細明體"/>
            <family val="3"/>
            <charset val="136"/>
          </rPr>
          <t>、經濟、地理、</t>
        </r>
        <r>
          <rPr>
            <sz val="9"/>
            <color indexed="81"/>
            <rFont val="Tahoma"/>
            <family val="2"/>
          </rPr>
          <t>ICT</t>
        </r>
        <r>
          <rPr>
            <sz val="9"/>
            <color indexed="81"/>
            <rFont val="細明體"/>
            <family val="3"/>
            <charset val="136"/>
          </rPr>
          <t>、物理、</t>
        </r>
        <r>
          <rPr>
            <sz val="9"/>
            <color indexed="81"/>
            <rFont val="Tahoma"/>
            <family val="2"/>
          </rPr>
          <t xml:space="preserve">M1/2
</t>
        </r>
        <r>
          <rPr>
            <b/>
            <sz val="9"/>
            <color indexed="81"/>
            <rFont val="Tahoma"/>
            <family val="2"/>
          </rPr>
          <t xml:space="preserve">x7: </t>
        </r>
        <r>
          <rPr>
            <sz val="9"/>
            <color indexed="81"/>
            <rFont val="細明體"/>
            <family val="3"/>
            <charset val="136"/>
          </rPr>
          <t xml:space="preserve">中文、通識、組合科學、綜合科學、化學、生物
</t>
        </r>
        <r>
          <rPr>
            <b/>
            <sz val="9"/>
            <color indexed="81"/>
            <rFont val="Tahoma"/>
            <family val="2"/>
          </rPr>
          <t>x5:</t>
        </r>
        <r>
          <rPr>
            <sz val="9"/>
            <color indexed="81"/>
            <rFont val="Tahoma"/>
            <family val="2"/>
          </rPr>
          <t xml:space="preserve"> </t>
        </r>
        <r>
          <rPr>
            <sz val="9"/>
            <color indexed="81"/>
            <rFont val="細明體"/>
            <family val="3"/>
            <charset val="136"/>
          </rPr>
          <t>其他選修科目</t>
        </r>
        <r>
          <rPr>
            <sz val="9"/>
            <color indexed="81"/>
            <rFont val="Tahoma"/>
            <family val="2"/>
          </rPr>
          <t xml:space="preserve"> (1</t>
        </r>
        <r>
          <rPr>
            <sz val="9"/>
            <color indexed="81"/>
            <rFont val="細明體"/>
            <family val="3"/>
            <charset val="136"/>
          </rPr>
          <t>個選修科</t>
        </r>
        <r>
          <rPr>
            <sz val="9"/>
            <color indexed="81"/>
            <rFont val="Tahoma"/>
            <family val="2"/>
          </rPr>
          <t xml:space="preserve">)
</t>
        </r>
      </text>
    </comment>
    <comment ref="E392" authorId="2" shapeId="0" xr:uid="{00000000-0006-0000-0400-0000E2000000}">
      <text>
        <r>
          <rPr>
            <sz val="9"/>
            <color indexed="81"/>
            <rFont val="細明體"/>
            <family val="3"/>
            <charset val="136"/>
          </rPr>
          <t>只考慮甲類科目</t>
        </r>
      </text>
    </comment>
    <comment ref="E393" authorId="1" shapeId="0" xr:uid="{00000000-0006-0000-0400-0000E3000000}">
      <text>
        <r>
          <rPr>
            <sz val="9"/>
            <color indexed="81"/>
            <rFont val="細明體"/>
            <family val="3"/>
            <charset val="136"/>
          </rPr>
          <t>優先考慮</t>
        </r>
        <r>
          <rPr>
            <sz val="9"/>
            <color indexed="81"/>
            <rFont val="Tahoma"/>
            <family val="2"/>
          </rPr>
          <t>:</t>
        </r>
        <r>
          <rPr>
            <sz val="9"/>
            <color indexed="81"/>
            <rFont val="細明體"/>
            <family val="3"/>
            <charset val="136"/>
          </rPr>
          <t xml:space="preserve">
</t>
        </r>
        <r>
          <rPr>
            <sz val="9"/>
            <color indexed="81"/>
            <rFont val="Tahoma"/>
            <family val="2"/>
          </rPr>
          <t xml:space="preserve">- </t>
        </r>
        <r>
          <rPr>
            <b/>
            <sz val="9"/>
            <color indexed="81"/>
            <rFont val="細明體"/>
            <family val="3"/>
            <charset val="136"/>
          </rPr>
          <t>英文</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 xml:space="preserve">者
</t>
        </r>
        <r>
          <rPr>
            <sz val="9"/>
            <color indexed="81"/>
            <rFont val="Tahoma"/>
            <family val="2"/>
          </rPr>
          <t xml:space="preserve">- </t>
        </r>
        <r>
          <rPr>
            <b/>
            <sz val="9"/>
            <color indexed="81"/>
            <rFont val="細明體"/>
            <family val="3"/>
            <charset val="136"/>
          </rPr>
          <t>化學</t>
        </r>
        <r>
          <rPr>
            <b/>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組合科學</t>
        </r>
        <r>
          <rPr>
            <b/>
            <sz val="9"/>
            <color indexed="81"/>
            <rFont val="Tahoma"/>
            <family val="2"/>
          </rPr>
          <t xml:space="preserve"> (</t>
        </r>
        <r>
          <rPr>
            <b/>
            <sz val="9"/>
            <color indexed="81"/>
            <rFont val="細明體"/>
            <family val="3"/>
            <charset val="136"/>
          </rPr>
          <t>化學</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text>
    </comment>
    <comment ref="E394" authorId="1" shapeId="0" xr:uid="{00000000-0006-0000-0400-0000E4000000}">
      <text>
        <r>
          <rPr>
            <sz val="9"/>
            <color indexed="81"/>
            <rFont val="細明體"/>
            <family val="3"/>
            <charset val="136"/>
          </rPr>
          <t>優先考慮</t>
        </r>
        <r>
          <rPr>
            <sz val="9"/>
            <color indexed="81"/>
            <rFont val="Tahoma"/>
            <family val="2"/>
          </rPr>
          <t>:</t>
        </r>
        <r>
          <rPr>
            <sz val="9"/>
            <color indexed="81"/>
            <rFont val="細明體"/>
            <family val="3"/>
            <charset val="136"/>
          </rPr>
          <t xml:space="preserve">
</t>
        </r>
        <r>
          <rPr>
            <sz val="9"/>
            <color indexed="81"/>
            <rFont val="Tahoma"/>
            <family val="2"/>
          </rPr>
          <t xml:space="preserve">- </t>
        </r>
        <r>
          <rPr>
            <b/>
            <sz val="9"/>
            <color indexed="81"/>
            <rFont val="細明體"/>
            <family val="3"/>
            <charset val="136"/>
          </rPr>
          <t>英文</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r>
          <rPr>
            <sz val="9"/>
            <color indexed="81"/>
            <rFont val="Tahoma"/>
            <family val="2"/>
          </rPr>
          <t xml:space="preserve">
- </t>
        </r>
        <r>
          <rPr>
            <b/>
            <sz val="9"/>
            <color indexed="81"/>
            <rFont val="細明體"/>
            <family val="3"/>
            <charset val="136"/>
          </rPr>
          <t>數學</t>
        </r>
        <r>
          <rPr>
            <sz val="9"/>
            <color indexed="81"/>
            <rFont val="Tahoma"/>
            <family val="2"/>
          </rPr>
          <t xml:space="preserve"> </t>
        </r>
        <r>
          <rPr>
            <sz val="9"/>
            <color indexed="81"/>
            <rFont val="細明體"/>
            <family val="3"/>
            <charset val="136"/>
          </rPr>
          <t>和</t>
        </r>
        <r>
          <rPr>
            <sz val="9"/>
            <color indexed="81"/>
            <rFont val="Tahoma"/>
            <family val="2"/>
          </rPr>
          <t xml:space="preserve"> </t>
        </r>
        <r>
          <rPr>
            <b/>
            <sz val="9"/>
            <color indexed="81"/>
            <rFont val="細明體"/>
            <family val="3"/>
            <charset val="136"/>
          </rPr>
          <t>通識</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 xml:space="preserve">者
</t>
        </r>
        <r>
          <rPr>
            <sz val="9"/>
            <color indexed="81"/>
            <rFont val="Tahoma"/>
            <family val="2"/>
          </rPr>
          <t xml:space="preserve">- </t>
        </r>
        <r>
          <rPr>
            <b/>
            <sz val="9"/>
            <color indexed="81"/>
            <rFont val="細明體"/>
            <family val="3"/>
            <charset val="136"/>
          </rPr>
          <t>物理</t>
        </r>
        <r>
          <rPr>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綜合科學</t>
        </r>
        <r>
          <rPr>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組合科學</t>
        </r>
        <r>
          <rPr>
            <b/>
            <sz val="9"/>
            <color indexed="81"/>
            <rFont val="Tahoma"/>
            <family val="2"/>
          </rPr>
          <t>(</t>
        </r>
        <r>
          <rPr>
            <b/>
            <sz val="9"/>
            <color indexed="81"/>
            <rFont val="細明體"/>
            <family val="3"/>
            <charset val="136"/>
          </rPr>
          <t>物理</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者</t>
        </r>
      </text>
    </comment>
    <comment ref="E395" authorId="1" shapeId="0" xr:uid="{00000000-0006-0000-0400-0000E5000000}">
      <text>
        <r>
          <rPr>
            <sz val="9"/>
            <color indexed="81"/>
            <rFont val="細明體"/>
            <family val="3"/>
            <charset val="136"/>
          </rPr>
          <t>優先考慮</t>
        </r>
        <r>
          <rPr>
            <sz val="9"/>
            <color indexed="81"/>
            <rFont val="Tahoma"/>
            <family val="2"/>
          </rPr>
          <t xml:space="preserve">:
- </t>
        </r>
        <r>
          <rPr>
            <b/>
            <sz val="9"/>
            <color indexed="81"/>
            <rFont val="細明體"/>
            <family val="3"/>
            <charset val="136"/>
          </rPr>
          <t>生物</t>
        </r>
        <r>
          <rPr>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組合科學</t>
        </r>
        <r>
          <rPr>
            <b/>
            <sz val="9"/>
            <color indexed="81"/>
            <rFont val="Tahoma"/>
            <family val="2"/>
          </rPr>
          <t xml:space="preserve"> (</t>
        </r>
        <r>
          <rPr>
            <b/>
            <sz val="9"/>
            <color indexed="81"/>
            <rFont val="細明體"/>
            <family val="3"/>
            <charset val="136"/>
          </rPr>
          <t>生物</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 xml:space="preserve">者
</t>
        </r>
        <r>
          <rPr>
            <sz val="9"/>
            <color indexed="81"/>
            <rFont val="Tahoma"/>
            <family val="2"/>
          </rPr>
          <t xml:space="preserve">- </t>
        </r>
        <r>
          <rPr>
            <b/>
            <sz val="9"/>
            <color indexed="81"/>
            <rFont val="細明體"/>
            <family val="3"/>
            <charset val="136"/>
          </rPr>
          <t>英文</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text>
    </comment>
    <comment ref="E396" authorId="1" shapeId="0" xr:uid="{00000000-0006-0000-0400-0000E6000000}">
      <text>
        <r>
          <rPr>
            <sz val="9"/>
            <color indexed="81"/>
            <rFont val="細明體"/>
            <family val="3"/>
            <charset val="136"/>
          </rPr>
          <t>優先考慮</t>
        </r>
        <r>
          <rPr>
            <sz val="9"/>
            <color indexed="81"/>
            <rFont val="Tahoma"/>
            <family val="2"/>
          </rPr>
          <t xml:space="preserve">:
- </t>
        </r>
        <r>
          <rPr>
            <b/>
            <sz val="9"/>
            <color indexed="81"/>
            <rFont val="細明體"/>
            <family val="3"/>
            <charset val="136"/>
          </rPr>
          <t>生物</t>
        </r>
        <r>
          <rPr>
            <sz val="9"/>
            <color indexed="81"/>
            <rFont val="Tahoma"/>
            <family val="2"/>
          </rPr>
          <t xml:space="preserve"> </t>
        </r>
        <r>
          <rPr>
            <sz val="9"/>
            <color indexed="81"/>
            <rFont val="細明體"/>
            <family val="3"/>
            <charset val="136"/>
          </rPr>
          <t>或</t>
        </r>
        <r>
          <rPr>
            <b/>
            <sz val="9"/>
            <color indexed="81"/>
            <rFont val="Tahoma"/>
            <family val="2"/>
          </rPr>
          <t xml:space="preserve"> </t>
        </r>
        <r>
          <rPr>
            <b/>
            <sz val="9"/>
            <color indexed="81"/>
            <rFont val="細明體"/>
            <family val="3"/>
            <charset val="136"/>
          </rPr>
          <t>組合科學</t>
        </r>
        <r>
          <rPr>
            <b/>
            <sz val="9"/>
            <color indexed="81"/>
            <rFont val="Tahoma"/>
            <family val="2"/>
          </rPr>
          <t xml:space="preserve"> (</t>
        </r>
        <r>
          <rPr>
            <b/>
            <sz val="9"/>
            <color indexed="81"/>
            <rFont val="細明體"/>
            <family val="3"/>
            <charset val="136"/>
          </rPr>
          <t>生物</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 xml:space="preserve">者
</t>
        </r>
        <r>
          <rPr>
            <sz val="9"/>
            <color indexed="81"/>
            <rFont val="Tahoma"/>
            <family val="2"/>
          </rPr>
          <t xml:space="preserve">- </t>
        </r>
        <r>
          <rPr>
            <b/>
            <sz val="9"/>
            <color indexed="81"/>
            <rFont val="細明體"/>
            <family val="3"/>
            <charset val="136"/>
          </rPr>
          <t>英文</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User</author>
    <author>user</author>
    <author>Michael</author>
  </authors>
  <commentList>
    <comment ref="AF31" authorId="0" shapeId="0" xr:uid="{595E2731-45AA-4084-9F76-951B9CE83A6A}">
      <text>
        <r>
          <rPr>
            <b/>
            <sz val="9"/>
            <color indexed="81"/>
            <rFont val="Tahoma"/>
            <family val="2"/>
          </rPr>
          <t xml:space="preserve">No more comb sci &amp; IS
</t>
        </r>
      </text>
    </comment>
    <comment ref="AH31" authorId="0" shapeId="0" xr:uid="{08B749FF-55C9-4B24-BE60-4660B6C4F029}">
      <text>
        <r>
          <rPr>
            <b/>
            <sz val="9"/>
            <color indexed="81"/>
            <rFont val="Tahoma"/>
            <family val="2"/>
          </rPr>
          <t xml:space="preserve">No more comb sci &amp; IS
</t>
        </r>
      </text>
    </comment>
    <comment ref="AI31" authorId="0" shapeId="0" xr:uid="{7C14D23E-3FF2-4F89-87CE-0AC4250AE4F0}">
      <text>
        <r>
          <rPr>
            <b/>
            <sz val="9"/>
            <color indexed="81"/>
            <rFont val="Tahoma"/>
            <family val="2"/>
          </rPr>
          <t>No more comb sci</t>
        </r>
      </text>
    </comment>
    <comment ref="AF32" authorId="0" shapeId="0" xr:uid="{D3CA1FF1-4B7B-4C7B-8D9E-78A5CC421F49}">
      <text>
        <r>
          <rPr>
            <b/>
            <sz val="9"/>
            <color indexed="81"/>
            <rFont val="Tahoma"/>
            <family val="2"/>
          </rPr>
          <t xml:space="preserve">No more comb sci &amp; IS
</t>
        </r>
      </text>
    </comment>
    <comment ref="AE38" authorId="1" shapeId="0" xr:uid="{08202CEA-69DA-4A42-B20E-B66C5B3F22B0}">
      <text>
        <r>
          <rPr>
            <b/>
            <sz val="9"/>
            <color indexed="81"/>
            <rFont val="Tahoma"/>
            <family val="2"/>
          </rPr>
          <t xml:space="preserve">no more LS
</t>
        </r>
      </text>
    </comment>
    <comment ref="AH39" authorId="1" shapeId="0" xr:uid="{975D2004-0401-46F4-A99D-B19A23655108}">
      <text>
        <r>
          <rPr>
            <b/>
            <sz val="9"/>
            <color indexed="81"/>
            <rFont val="Tahoma"/>
            <family val="2"/>
          </rPr>
          <t xml:space="preserve">no more LS
</t>
        </r>
      </text>
    </comment>
    <comment ref="AH40" authorId="1" shapeId="0" xr:uid="{94E43E14-F793-4659-B442-083920897036}">
      <text>
        <r>
          <rPr>
            <b/>
            <sz val="9"/>
            <color indexed="81"/>
            <rFont val="Tahoma"/>
            <family val="2"/>
          </rPr>
          <t>No more LS</t>
        </r>
      </text>
    </comment>
    <comment ref="AG51" authorId="1" shapeId="0" xr:uid="{0DE2A595-6422-412A-ACA5-9C0FEE9B024F}">
      <text>
        <r>
          <rPr>
            <b/>
            <sz val="9"/>
            <color indexed="81"/>
            <rFont val="Tahoma"/>
            <family val="2"/>
          </rPr>
          <t>No more weighting for IS &amp; Combine Sci</t>
        </r>
      </text>
    </comment>
    <comment ref="AH52" authorId="0" shapeId="0" xr:uid="{405683E4-9D59-4411-B4AE-E9998EF92F0A}">
      <text>
        <r>
          <rPr>
            <b/>
            <sz val="9"/>
            <color indexed="81"/>
            <rFont val="Tahoma"/>
            <family val="2"/>
          </rPr>
          <t xml:space="preserve">no more combsci
</t>
        </r>
      </text>
    </comment>
    <comment ref="AG53" authorId="1" shapeId="0" xr:uid="{CCBF818B-48F2-49C9-A4A4-64045C1314D2}">
      <text>
        <r>
          <rPr>
            <b/>
            <sz val="9"/>
            <color indexed="81"/>
            <rFont val="Tahoma"/>
            <family val="2"/>
          </rPr>
          <t>No more weighting.</t>
        </r>
      </text>
    </comment>
    <comment ref="AG54" authorId="1" shapeId="0" xr:uid="{D1E3D449-31E8-46E8-9E1F-C6AF77A7B254}">
      <text>
        <r>
          <rPr>
            <b/>
            <sz val="9"/>
            <color indexed="81"/>
            <rFont val="Tahoma"/>
            <family val="2"/>
          </rPr>
          <t>No more weighting for comb sci &amp; IS</t>
        </r>
      </text>
    </comment>
    <comment ref="AH55" authorId="0" shapeId="0" xr:uid="{557D639F-B468-4D9C-8857-6353343D6AAE}">
      <text>
        <r>
          <rPr>
            <b/>
            <sz val="9"/>
            <color indexed="81"/>
            <rFont val="Tahoma"/>
            <family val="2"/>
          </rPr>
          <t xml:space="preserve">No more Comb Sci
</t>
        </r>
      </text>
    </comment>
    <comment ref="AH56" authorId="1" shapeId="0" xr:uid="{0F0A9D5C-1288-4B2F-B635-B6712307D3E7}">
      <text>
        <r>
          <rPr>
            <b/>
            <sz val="9"/>
            <color indexed="81"/>
            <rFont val="Tahoma"/>
            <family val="2"/>
          </rPr>
          <t>No more weighting for comb sci</t>
        </r>
      </text>
    </comment>
    <comment ref="AG59" authorId="1" shapeId="0" xr:uid="{8CF93302-2B46-441A-95C7-0CBE61D558E2}">
      <text>
        <r>
          <rPr>
            <b/>
            <sz val="9"/>
            <color indexed="81"/>
            <rFont val="Tahoma"/>
            <family val="2"/>
          </rPr>
          <t xml:space="preserve">No more weighting for Combine Sci
</t>
        </r>
      </text>
    </comment>
    <comment ref="AH60" authorId="1" shapeId="0" xr:uid="{2697FFC1-2FE9-47C1-9799-08C92482933B}">
      <text>
        <r>
          <rPr>
            <b/>
            <sz val="9"/>
            <color indexed="81"/>
            <rFont val="Tahoma"/>
            <family val="2"/>
          </rPr>
          <t xml:space="preserve">no comb sci
</t>
        </r>
      </text>
    </comment>
    <comment ref="I61" authorId="1" shapeId="0" xr:uid="{CAF64988-DB7F-4234-BADD-FB1CF42F9A1D}">
      <text>
        <r>
          <rPr>
            <sz val="9"/>
            <color indexed="81"/>
            <rFont val="Tahoma"/>
            <family val="2"/>
          </rPr>
          <t xml:space="preserve">Offical Data is 37, but calculated ref score should be 36. Same issue as last year.
</t>
        </r>
      </text>
    </comment>
    <comment ref="AG61" authorId="1" shapeId="0" xr:uid="{26DAF5A3-85CF-4A76-B150-7CBD4735AF7A}">
      <text>
        <r>
          <rPr>
            <b/>
            <sz val="9"/>
            <color indexed="81"/>
            <rFont val="Tahoma"/>
            <family val="2"/>
          </rPr>
          <t xml:space="preserve">No combsci and IS
</t>
        </r>
      </text>
    </comment>
    <comment ref="AG65" authorId="0" shapeId="0" xr:uid="{B43FA3F7-740E-4B0D-B78A-53A916AE7BB2}">
      <text>
        <r>
          <rPr>
            <b/>
            <sz val="9"/>
            <color indexed="81"/>
            <rFont val="Tahoma"/>
            <family val="2"/>
          </rPr>
          <t xml:space="preserve">No more Comb Sci (same for below)
</t>
        </r>
      </text>
    </comment>
    <comment ref="AH65" authorId="0" shapeId="0" xr:uid="{F5A37A51-5342-4FAE-8699-1868663FC87E}">
      <text>
        <r>
          <rPr>
            <b/>
            <sz val="9"/>
            <color indexed="81"/>
            <rFont val="Tahoma"/>
            <family val="2"/>
          </rPr>
          <t xml:space="preserve">No more IS (same for below)
</t>
        </r>
      </text>
    </comment>
    <comment ref="AH84" authorId="0" shapeId="0" xr:uid="{4E9AD59A-A4C0-487C-84E8-548D9B971213}">
      <text>
        <r>
          <rPr>
            <b/>
            <sz val="9"/>
            <color indexed="81"/>
            <rFont val="Tahoma"/>
            <family val="2"/>
          </rPr>
          <t xml:space="preserve">No more LS
</t>
        </r>
      </text>
    </comment>
    <comment ref="Z248" authorId="2" shapeId="0" xr:uid="{ED0F4FC4-3233-E141-917A-01EFEB2B9372}">
      <text>
        <r>
          <rPr>
            <sz val="10"/>
            <color rgb="FF000000"/>
            <rFont val="Calibri"/>
            <family val="2"/>
          </rPr>
          <t>Candidates must be able to communicate effectively and fluently in both Cantonese and English.</t>
        </r>
      </text>
    </comment>
    <comment ref="Z274" authorId="2" shapeId="0" xr:uid="{16EB05AA-A462-6B4B-BC43-7257C0FAAD8D}">
      <text>
        <r>
          <rPr>
            <sz val="10"/>
            <color rgb="FF000000"/>
            <rFont val="Calibri"/>
            <family val="2"/>
          </rPr>
          <t>Candidates are required to submit at least one example of a creative work (fine art, writing, or other forms of creative output) for consideration. The portfolio should be submitted as a digital file to the Faculty office directly.</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author>
    <author>Michael Chan</author>
  </authors>
  <commentList>
    <comment ref="L208" authorId="0" shapeId="0" xr:uid="{00000000-0006-0000-0200-000087000000}">
      <text>
        <r>
          <rPr>
            <b/>
            <sz val="9"/>
            <color indexed="81"/>
            <rFont val="細明體"/>
            <family val="3"/>
            <charset val="136"/>
          </rPr>
          <t>入學要求</t>
        </r>
      </text>
    </comment>
    <comment ref="S208" authorId="0" shapeId="0" xr:uid="{00000000-0006-0000-0200-000088000000}">
      <text>
        <r>
          <rPr>
            <b/>
            <sz val="9"/>
            <color indexed="81"/>
            <rFont val="細明體"/>
            <family val="3"/>
            <charset val="136"/>
          </rPr>
          <t>入學要求</t>
        </r>
      </text>
    </comment>
    <comment ref="P209" authorId="1" shapeId="0" xr:uid="{00000000-0006-0000-0200-00008A000000}">
      <text>
        <r>
          <rPr>
            <b/>
            <sz val="9"/>
            <color rgb="FF000000"/>
            <rFont val="細明體"/>
            <family val="3"/>
            <charset val="136"/>
          </rPr>
          <t>以下一科</t>
        </r>
        <r>
          <rPr>
            <b/>
            <sz val="9"/>
            <color rgb="FF000000"/>
            <rFont val="Tahoma"/>
            <family val="2"/>
          </rPr>
          <t>:</t>
        </r>
        <r>
          <rPr>
            <sz val="9"/>
            <color rgb="FF000000"/>
            <rFont val="Tahoma"/>
            <family val="2"/>
          </rPr>
          <t xml:space="preserve">
</t>
        </r>
        <r>
          <rPr>
            <sz val="9"/>
            <color rgb="FF000000"/>
            <rFont val="Tahoma"/>
            <family val="2"/>
          </rPr>
          <t xml:space="preserve">M1/2 /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xml:space="preserve">
</t>
        </r>
      </text>
    </comment>
    <comment ref="P210" authorId="1" shapeId="0" xr:uid="{00000000-0006-0000-0200-00008D000000}">
      <text>
        <r>
          <rPr>
            <b/>
            <sz val="9"/>
            <color indexed="81"/>
            <rFont val="細明體"/>
            <family val="3"/>
            <charset val="136"/>
          </rPr>
          <t>以下一科</t>
        </r>
        <r>
          <rPr>
            <b/>
            <sz val="9"/>
            <color indexed="81"/>
            <rFont val="Tahoma"/>
            <family val="2"/>
          </rPr>
          <t>:</t>
        </r>
        <r>
          <rPr>
            <sz val="9"/>
            <color indexed="81"/>
            <rFont val="Tahoma"/>
            <family val="2"/>
          </rPr>
          <t xml:space="preserve">
M1/2 /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text>
    </comment>
    <comment ref="P211" authorId="1" shapeId="0" xr:uid="{00000000-0006-0000-0200-00008F000000}">
      <text>
        <r>
          <rPr>
            <b/>
            <sz val="9"/>
            <color indexed="81"/>
            <rFont val="細明體"/>
            <family val="3"/>
            <charset val="136"/>
          </rPr>
          <t>以下一科</t>
        </r>
        <r>
          <rPr>
            <b/>
            <sz val="9"/>
            <color indexed="81"/>
            <rFont val="Tahoma"/>
            <family val="2"/>
          </rPr>
          <t>:</t>
        </r>
        <r>
          <rPr>
            <sz val="9"/>
            <color indexed="81"/>
            <rFont val="Tahoma"/>
            <family val="2"/>
          </rPr>
          <t xml:space="preserve">
M1/2 /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text>
    </comment>
    <comment ref="P212" authorId="1" shapeId="0" xr:uid="{00000000-0006-0000-0200-000091000000}">
      <text>
        <r>
          <rPr>
            <b/>
            <sz val="9"/>
            <color indexed="81"/>
            <rFont val="細明體"/>
            <family val="3"/>
            <charset val="136"/>
          </rPr>
          <t>以下一科</t>
        </r>
        <r>
          <rPr>
            <b/>
            <sz val="9"/>
            <color indexed="81"/>
            <rFont val="Tahoma"/>
            <family val="2"/>
          </rPr>
          <t>:</t>
        </r>
        <r>
          <rPr>
            <sz val="9"/>
            <color indexed="81"/>
            <rFont val="Tahoma"/>
            <family val="2"/>
          </rPr>
          <t xml:space="preserve">
M1/2 /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text>
    </comment>
    <comment ref="P213" authorId="1" shapeId="0" xr:uid="{00000000-0006-0000-0200-000093000000}">
      <text>
        <r>
          <rPr>
            <b/>
            <sz val="9"/>
            <color indexed="81"/>
            <rFont val="細明體"/>
            <family val="3"/>
            <charset val="136"/>
          </rPr>
          <t>以下一科</t>
        </r>
        <r>
          <rPr>
            <b/>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ICT</t>
        </r>
      </text>
    </comment>
    <comment ref="P214" authorId="1" shapeId="0" xr:uid="{00000000-0006-0000-0200-000097000000}">
      <text>
        <r>
          <rPr>
            <b/>
            <sz val="9"/>
            <color rgb="FF000000"/>
            <rFont val="細明體"/>
            <family val="3"/>
            <charset val="136"/>
          </rPr>
          <t>以下一科</t>
        </r>
        <r>
          <rPr>
            <b/>
            <sz val="9"/>
            <color rgb="FF000000"/>
            <rFont val="Tahoma"/>
            <family val="2"/>
          </rPr>
          <t xml:space="preserve">: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ICT</t>
        </r>
      </text>
    </comment>
    <comment ref="P228" authorId="1" shapeId="0" xr:uid="{00000000-0006-0000-0200-000095000000}">
      <text>
        <r>
          <rPr>
            <b/>
            <sz val="9"/>
            <color indexed="81"/>
            <rFont val="細明體"/>
            <family val="3"/>
            <charset val="136"/>
          </rPr>
          <t>以下一科</t>
        </r>
        <r>
          <rPr>
            <b/>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ICT / DAT</t>
        </r>
      </text>
    </comment>
    <comment ref="P229" authorId="0" shapeId="0" xr:uid="{00000000-0006-0000-0200-0000A6000000}">
      <text>
        <r>
          <rPr>
            <b/>
            <sz val="9"/>
            <color rgb="FF000000"/>
            <rFont val="細明體"/>
            <family val="3"/>
            <charset val="136"/>
          </rPr>
          <t>以下一科</t>
        </r>
        <r>
          <rPr>
            <b/>
            <sz val="9"/>
            <color rgb="FF000000"/>
            <rFont val="Tahoma"/>
            <family val="2"/>
          </rPr>
          <t>:</t>
        </r>
        <r>
          <rPr>
            <sz val="9"/>
            <color rgb="FF000000"/>
            <rFont val="Tahoma"/>
            <family val="2"/>
          </rPr>
          <t xml:space="preserve">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text>
    </comment>
    <comment ref="P231" authorId="1" shapeId="0" xr:uid="{00000000-0006-0000-0200-0000A9000000}">
      <text>
        <r>
          <rPr>
            <b/>
            <sz val="9"/>
            <color rgb="FF000000"/>
            <rFont val="細明體"/>
            <family val="3"/>
            <charset val="136"/>
          </rPr>
          <t>以下一科</t>
        </r>
        <r>
          <rPr>
            <b/>
            <sz val="9"/>
            <color rgb="FF000000"/>
            <rFont val="Tahoma"/>
            <family val="2"/>
          </rPr>
          <t xml:space="preserve">: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xml:space="preserve">/ </t>
        </r>
        <r>
          <rPr>
            <sz val="9"/>
            <color rgb="FF000000"/>
            <rFont val="細明體"/>
            <family val="3"/>
            <charset val="136"/>
          </rPr>
          <t>經濟</t>
        </r>
        <r>
          <rPr>
            <sz val="9"/>
            <color rgb="FF000000"/>
            <rFont val="Tahoma"/>
            <family val="2"/>
          </rPr>
          <t>/ M1/2</t>
        </r>
      </text>
    </comment>
    <comment ref="P234" authorId="1" shapeId="0" xr:uid="{00000000-0006-0000-0200-0000AC000000}">
      <text>
        <r>
          <rPr>
            <b/>
            <sz val="9"/>
            <color rgb="FF000000"/>
            <rFont val="細明體"/>
            <family val="3"/>
            <charset val="136"/>
          </rPr>
          <t>以下一科</t>
        </r>
        <r>
          <rPr>
            <b/>
            <sz val="9"/>
            <color rgb="FF000000"/>
            <rFont val="Tahoma"/>
            <family val="2"/>
          </rPr>
          <t xml:space="preserve">: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ICT</t>
        </r>
      </text>
    </comment>
    <comment ref="Q281" authorId="0" shapeId="0" xr:uid="{00000000-0006-0000-0200-0000EA000000}">
      <text>
        <r>
          <rPr>
            <sz val="9"/>
            <color rgb="FF000000"/>
            <rFont val="Tahoma"/>
            <family val="2"/>
          </rPr>
          <t xml:space="preserve">Level 3 or above in </t>
        </r>
        <r>
          <rPr>
            <b/>
            <sz val="9"/>
            <color rgb="FF000000"/>
            <rFont val="Tahoma"/>
            <family val="2"/>
          </rPr>
          <t xml:space="preserve">M1/2 is preferred </t>
        </r>
        <r>
          <rPr>
            <sz val="9"/>
            <color rgb="FF000000"/>
            <rFont val="Tahoma"/>
            <family val="2"/>
          </rPr>
          <t xml:space="preserve">(but not required).
</t>
        </r>
      </text>
    </comment>
    <comment ref="Q282" authorId="0" shapeId="0" xr:uid="{00000000-0006-0000-0200-0000ED000000}">
      <text>
        <r>
          <rPr>
            <b/>
            <sz val="9"/>
            <color indexed="81"/>
            <rFont val="Tahoma"/>
            <family val="2"/>
          </rPr>
          <t>M1/2 is required.</t>
        </r>
        <r>
          <rPr>
            <sz val="9"/>
            <color indexed="81"/>
            <rFont val="Tahoma"/>
            <family val="2"/>
          </rPr>
          <t xml:space="preserve">
</t>
        </r>
      </text>
    </comment>
    <comment ref="P311" authorId="1" shapeId="0" xr:uid="{8E41B0CB-FBCB-4EC9-9391-EC977DCD2236}">
      <text>
        <r>
          <rPr>
            <sz val="9"/>
            <color rgb="FF000000"/>
            <rFont val="細明體"/>
            <family val="3"/>
            <charset val="136"/>
          </rPr>
          <t>數學科考獲</t>
        </r>
        <r>
          <rPr>
            <sz val="9"/>
            <color rgb="FF000000"/>
            <rFont val="Tahoma"/>
            <family val="2"/>
          </rPr>
          <t xml:space="preserve"> </t>
        </r>
        <r>
          <rPr>
            <b/>
            <sz val="9"/>
            <color rgb="FF000000"/>
            <rFont val="Tahoma"/>
            <family val="2"/>
          </rPr>
          <t>Lv.3</t>
        </r>
        <r>
          <rPr>
            <sz val="9"/>
            <color rgb="FF000000"/>
            <rFont val="Tahoma"/>
            <family val="2"/>
          </rPr>
          <t xml:space="preserve"> </t>
        </r>
        <r>
          <rPr>
            <b/>
            <sz val="9"/>
            <color rgb="FF000000"/>
            <rFont val="細明體"/>
            <family val="3"/>
            <charset val="136"/>
          </rPr>
          <t>及</t>
        </r>
        <r>
          <rPr>
            <sz val="9"/>
            <color rgb="FF000000"/>
            <rFont val="Tahoma"/>
            <family val="2"/>
          </rPr>
          <t xml:space="preserve"> M1/2 </t>
        </r>
        <r>
          <rPr>
            <sz val="9"/>
            <color rgb="FF000000"/>
            <rFont val="細明體"/>
            <family val="3"/>
            <charset val="136"/>
          </rPr>
          <t>考獲</t>
        </r>
        <r>
          <rPr>
            <sz val="9"/>
            <color rgb="FF000000"/>
            <rFont val="Tahoma"/>
            <family val="2"/>
          </rPr>
          <t xml:space="preserve"> </t>
        </r>
        <r>
          <rPr>
            <b/>
            <sz val="9"/>
            <color rgb="FF000000"/>
            <rFont val="Tahoma"/>
            <family val="2"/>
          </rPr>
          <t>Lv.2</t>
        </r>
        <r>
          <rPr>
            <sz val="9"/>
            <color rgb="FF000000"/>
            <rFont val="Tahoma"/>
            <family val="2"/>
          </rPr>
          <t xml:space="preserve">
</t>
        </r>
        <r>
          <rPr>
            <sz val="9"/>
            <color rgb="FF000000"/>
            <rFont val="Tahoma"/>
            <family val="2"/>
          </rPr>
          <t xml:space="preserve">
</t>
        </r>
        <r>
          <rPr>
            <sz val="9"/>
            <color rgb="FF000000"/>
            <rFont val="細明體"/>
            <family val="3"/>
            <charset val="136"/>
          </rPr>
          <t>或</t>
        </r>
        <r>
          <rPr>
            <sz val="9"/>
            <color rgb="FF000000"/>
            <rFont val="細明體"/>
            <family val="3"/>
            <charset val="136"/>
          </rPr>
          <t xml:space="preserve">
</t>
        </r>
        <r>
          <rPr>
            <sz val="9"/>
            <color rgb="FF000000"/>
            <rFont val="細明體"/>
            <family val="3"/>
            <charset val="136"/>
          </rPr>
          <t xml:space="preserve">
</t>
        </r>
        <r>
          <rPr>
            <sz val="9"/>
            <color rgb="FF000000"/>
            <rFont val="細明體"/>
            <family val="3"/>
            <charset val="136"/>
          </rPr>
          <t>數學科考獲</t>
        </r>
        <r>
          <rPr>
            <b/>
            <sz val="9"/>
            <color rgb="FF000000"/>
            <rFont val="Tahoma"/>
            <family val="2"/>
          </rPr>
          <t xml:space="preserve"> Lv.5 </t>
        </r>
        <r>
          <rPr>
            <sz val="9"/>
            <color rgb="FF000000"/>
            <rFont val="細明體"/>
            <family val="3"/>
            <charset val="136"/>
          </rPr>
          <t>但未有修讀</t>
        </r>
        <r>
          <rPr>
            <sz val="9"/>
            <color rgb="FF000000"/>
            <rFont val="Tahoma"/>
            <family val="2"/>
          </rPr>
          <t>M1/2</t>
        </r>
        <r>
          <rPr>
            <sz val="9"/>
            <color rgb="FF000000"/>
            <rFont val="細明體"/>
            <family val="3"/>
            <charset val="136"/>
          </rPr>
          <t>者，將會按個別情況考慮。</t>
        </r>
      </text>
    </comment>
    <comment ref="Z312" authorId="1" shapeId="0" xr:uid="{E65F5EE5-BC36-43A2-ABDB-DFDF7DA210A8}">
      <text>
        <r>
          <rPr>
            <sz val="9"/>
            <color rgb="FF000000"/>
            <rFont val="細明體"/>
            <family val="3"/>
            <charset val="136"/>
          </rPr>
          <t>同學亦須在額外的</t>
        </r>
        <r>
          <rPr>
            <sz val="9"/>
            <color rgb="FF000000"/>
            <rFont val="Tahoma"/>
            <family val="2"/>
          </rPr>
          <t xml:space="preserve"> </t>
        </r>
        <r>
          <rPr>
            <b/>
            <sz val="9"/>
            <color rgb="FF000000"/>
            <rFont val="細明體"/>
            <family val="3"/>
            <charset val="136"/>
          </rPr>
          <t>入學測試</t>
        </r>
        <r>
          <rPr>
            <b/>
            <sz val="9"/>
            <color rgb="FF000000"/>
            <rFont val="Tahoma"/>
            <family val="2"/>
          </rPr>
          <t>/</t>
        </r>
        <r>
          <rPr>
            <b/>
            <sz val="9"/>
            <color rgb="FF000000"/>
            <rFont val="細明體"/>
            <family val="3"/>
            <charset val="136"/>
          </rPr>
          <t>面試</t>
        </r>
        <r>
          <rPr>
            <b/>
            <sz val="9"/>
            <color rgb="FF000000"/>
            <rFont val="Tahoma"/>
            <family val="2"/>
          </rPr>
          <t xml:space="preserve"> </t>
        </r>
        <r>
          <rPr>
            <sz val="9"/>
            <color rgb="FF000000"/>
            <rFont val="細明體"/>
            <family val="3"/>
            <charset val="136"/>
          </rPr>
          <t>中考獲優異成績</t>
        </r>
      </text>
    </comment>
    <comment ref="Z323" authorId="1" shapeId="0" xr:uid="{DE26C8B8-4464-4D51-A260-103FB33CB293}">
      <text>
        <r>
          <rPr>
            <sz val="9"/>
            <color rgb="FF000000"/>
            <rFont val="細明體"/>
            <family val="3"/>
            <charset val="136"/>
          </rPr>
          <t>同學亦須在額外的</t>
        </r>
        <r>
          <rPr>
            <sz val="9"/>
            <color rgb="FF000000"/>
            <rFont val="Tahoma"/>
            <family val="2"/>
          </rPr>
          <t xml:space="preserve"> </t>
        </r>
        <r>
          <rPr>
            <b/>
            <sz val="9"/>
            <color rgb="FF000000"/>
            <rFont val="細明體"/>
            <family val="3"/>
            <charset val="136"/>
          </rPr>
          <t>入學測試</t>
        </r>
        <r>
          <rPr>
            <b/>
            <sz val="9"/>
            <color rgb="FF000000"/>
            <rFont val="Tahoma"/>
            <family val="2"/>
          </rPr>
          <t>/</t>
        </r>
        <r>
          <rPr>
            <b/>
            <sz val="9"/>
            <color rgb="FF000000"/>
            <rFont val="細明體"/>
            <family val="3"/>
            <charset val="136"/>
          </rPr>
          <t>面試</t>
        </r>
        <r>
          <rPr>
            <b/>
            <sz val="9"/>
            <color rgb="FF000000"/>
            <rFont val="Tahoma"/>
            <family val="2"/>
          </rPr>
          <t xml:space="preserve"> </t>
        </r>
        <r>
          <rPr>
            <sz val="9"/>
            <color rgb="FF000000"/>
            <rFont val="細明體"/>
            <family val="3"/>
            <charset val="136"/>
          </rPr>
          <t>中考獲優異成績</t>
        </r>
      </text>
    </comment>
    <comment ref="Z324" authorId="1" shapeId="0" xr:uid="{92BAA19B-7FE2-45B9-B767-EB8FE047179C}">
      <text>
        <r>
          <rPr>
            <sz val="9"/>
            <color rgb="FF000000"/>
            <rFont val="細明體"/>
            <family val="3"/>
            <charset val="136"/>
          </rPr>
          <t>同學亦須在額外的</t>
        </r>
        <r>
          <rPr>
            <sz val="9"/>
            <color rgb="FF000000"/>
            <rFont val="Tahoma"/>
            <family val="2"/>
          </rPr>
          <t xml:space="preserve"> </t>
        </r>
        <r>
          <rPr>
            <b/>
            <sz val="9"/>
            <color rgb="FF000000"/>
            <rFont val="細明體"/>
            <family val="3"/>
            <charset val="136"/>
          </rPr>
          <t>入學測試</t>
        </r>
        <r>
          <rPr>
            <b/>
            <sz val="9"/>
            <color rgb="FF000000"/>
            <rFont val="Tahoma"/>
            <family val="2"/>
          </rPr>
          <t>/</t>
        </r>
        <r>
          <rPr>
            <b/>
            <sz val="9"/>
            <color rgb="FF000000"/>
            <rFont val="細明體"/>
            <family val="3"/>
            <charset val="136"/>
          </rPr>
          <t>面試</t>
        </r>
        <r>
          <rPr>
            <b/>
            <sz val="9"/>
            <color rgb="FF000000"/>
            <rFont val="Tahoma"/>
            <family val="2"/>
          </rPr>
          <t xml:space="preserve"> </t>
        </r>
        <r>
          <rPr>
            <sz val="9"/>
            <color rgb="FF000000"/>
            <rFont val="細明體"/>
            <family val="3"/>
            <charset val="136"/>
          </rPr>
          <t>中考獲優異成績</t>
        </r>
      </text>
    </comment>
    <comment ref="Z332" authorId="1" shapeId="0" xr:uid="{1268F489-4016-431D-899B-9FAEE773F1E6}">
      <text>
        <r>
          <rPr>
            <sz val="9"/>
            <color rgb="FF000000"/>
            <rFont val="細明體"/>
            <family val="3"/>
            <charset val="136"/>
          </rPr>
          <t>同學亦須在額外的</t>
        </r>
        <r>
          <rPr>
            <sz val="9"/>
            <color rgb="FF000000"/>
            <rFont val="Tahoma"/>
            <family val="2"/>
          </rPr>
          <t xml:space="preserve"> </t>
        </r>
        <r>
          <rPr>
            <b/>
            <sz val="9"/>
            <color rgb="FF000000"/>
            <rFont val="細明體"/>
            <family val="3"/>
            <charset val="136"/>
          </rPr>
          <t>入學測試</t>
        </r>
        <r>
          <rPr>
            <b/>
            <sz val="9"/>
            <color rgb="FF000000"/>
            <rFont val="Tahoma"/>
            <family val="2"/>
          </rPr>
          <t>/</t>
        </r>
        <r>
          <rPr>
            <b/>
            <sz val="9"/>
            <color rgb="FF000000"/>
            <rFont val="細明體"/>
            <family val="3"/>
            <charset val="136"/>
          </rPr>
          <t>面試</t>
        </r>
        <r>
          <rPr>
            <b/>
            <sz val="9"/>
            <color rgb="FF000000"/>
            <rFont val="Tahoma"/>
            <family val="2"/>
          </rPr>
          <t xml:space="preserve"> </t>
        </r>
        <r>
          <rPr>
            <sz val="9"/>
            <color rgb="FF000000"/>
            <rFont val="細明體"/>
            <family val="3"/>
            <charset val="136"/>
          </rPr>
          <t>中考獲優異成績</t>
        </r>
      </text>
    </comment>
    <comment ref="Z333" authorId="1" shapeId="0" xr:uid="{95D6EA89-129E-4731-980E-F29F4E9D8DA5}">
      <text>
        <r>
          <rPr>
            <sz val="9"/>
            <color rgb="FF000000"/>
            <rFont val="細明體"/>
            <family val="3"/>
            <charset val="136"/>
          </rPr>
          <t>同學亦須在額外的</t>
        </r>
        <r>
          <rPr>
            <sz val="9"/>
            <color rgb="FF000000"/>
            <rFont val="Tahoma"/>
            <family val="2"/>
          </rPr>
          <t xml:space="preserve"> </t>
        </r>
        <r>
          <rPr>
            <b/>
            <sz val="9"/>
            <color rgb="FF000000"/>
            <rFont val="細明體"/>
            <family val="3"/>
            <charset val="136"/>
          </rPr>
          <t>入學測試</t>
        </r>
        <r>
          <rPr>
            <b/>
            <sz val="9"/>
            <color rgb="FF000000"/>
            <rFont val="Tahoma"/>
            <family val="2"/>
          </rPr>
          <t>/</t>
        </r>
        <r>
          <rPr>
            <b/>
            <sz val="9"/>
            <color rgb="FF000000"/>
            <rFont val="細明體"/>
            <family val="3"/>
            <charset val="136"/>
          </rPr>
          <t>面試</t>
        </r>
        <r>
          <rPr>
            <b/>
            <sz val="9"/>
            <color rgb="FF000000"/>
            <rFont val="Tahoma"/>
            <family val="2"/>
          </rPr>
          <t xml:space="preserve"> </t>
        </r>
        <r>
          <rPr>
            <sz val="9"/>
            <color rgb="FF000000"/>
            <rFont val="細明體"/>
            <family val="3"/>
            <charset val="136"/>
          </rPr>
          <t>中考獲優異成績</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<sst xmlns="http://schemas.openxmlformats.org/spreadsheetml/2006/main" count="41203" uniqueCount="3303">
  <si>
    <t>只供參考</t>
    <phoneticPr fontId="3" type="noConversion"/>
  </si>
  <si>
    <r>
      <t>請在下載後以</t>
    </r>
    <r>
      <rPr>
        <b/>
        <sz val="12"/>
        <color theme="1"/>
        <rFont val="微軟正黑體"/>
        <family val="2"/>
        <charset val="136"/>
      </rPr>
      <t>電腦</t>
    </r>
    <r>
      <rPr>
        <b/>
        <sz val="11"/>
        <color theme="1"/>
        <rFont val="微軟正黑體"/>
        <family val="2"/>
        <charset val="136"/>
      </rPr>
      <t xml:space="preserve"> Excel 開啟及使用。 (不能用Google Sheet) </t>
    </r>
    <phoneticPr fontId="3" type="noConversion"/>
  </si>
  <si>
    <t>包括M1/2?</t>
  </si>
  <si>
    <t>1.</t>
  </si>
  <si>
    <t>請輸入你的成績:</t>
    <phoneticPr fontId="3" type="noConversion"/>
  </si>
  <si>
    <t>以數字輸入成績?</t>
  </si>
  <si>
    <t>2.</t>
  </si>
  <si>
    <t>分數概覽 (未計比重)</t>
  </si>
  <si>
    <t>若開啟數字模式，則無法以下拉選單選擇分數</t>
    <phoneticPr fontId="3" type="noConversion"/>
  </si>
  <si>
    <t>(0/1/2/3/4/5/6/7)</t>
  </si>
  <si>
    <t>核心科目</t>
    <phoneticPr fontId="3" type="noConversion"/>
  </si>
  <si>
    <t>快速輸入</t>
    <phoneticPr fontId="3" type="noConversion"/>
  </si>
  <si>
    <t>Best 5</t>
    <phoneticPr fontId="3" type="noConversion"/>
  </si>
  <si>
    <t>中國語文</t>
    <phoneticPr fontId="3" type="noConversion"/>
  </si>
  <si>
    <t>請選擇等級</t>
  </si>
  <si>
    <t>Best 6</t>
    <phoneticPr fontId="3" type="noConversion"/>
  </si>
  <si>
    <t>英國語文</t>
    <phoneticPr fontId="3" type="noConversion"/>
  </si>
  <si>
    <t>請定期檢查更新</t>
    <phoneticPr fontId="3" type="noConversion"/>
  </si>
  <si>
    <t>一鍵前往</t>
    <phoneticPr fontId="3" type="noConversion"/>
  </si>
  <si>
    <t>數學</t>
    <phoneticPr fontId="3" type="noConversion"/>
  </si>
  <si>
    <t xml:space="preserve"> All in One 超級計分器</t>
    <phoneticPr fontId="3" type="noConversion"/>
  </si>
  <si>
    <t>3.</t>
  </si>
  <si>
    <t>JUPAS排位</t>
    <phoneticPr fontId="3" type="noConversion"/>
  </si>
  <si>
    <t>M1/2</t>
    <phoneticPr fontId="3" type="noConversion"/>
  </si>
  <si>
    <t>請輸入JUPAS編號 (e.g. JS4862)</t>
    <phoneticPr fontId="3" type="noConversion"/>
  </si>
  <si>
    <t>請前往院校版面查看詳細註釋</t>
    <phoneticPr fontId="3" type="noConversion"/>
  </si>
  <si>
    <t>以百分比顯示差距?</t>
  </si>
  <si>
    <t>2022年</t>
  </si>
  <si>
    <t>Band A</t>
    <phoneticPr fontId="3" type="noConversion"/>
  </si>
  <si>
    <t>例如課程要求M1/2，若同學沒有修讀，就會變紅</t>
    <phoneticPr fontId="3" type="noConversion"/>
  </si>
  <si>
    <t>選修科目</t>
    <phoneticPr fontId="3" type="noConversion"/>
  </si>
  <si>
    <t>院校</t>
    <phoneticPr fontId="3" type="noConversion"/>
  </si>
  <si>
    <t>學科</t>
    <phoneticPr fontId="3" type="noConversion"/>
  </si>
  <si>
    <t>計分方式</t>
    <phoneticPr fontId="3" type="noConversion"/>
  </si>
  <si>
    <t>UQ</t>
    <phoneticPr fontId="3" type="noConversion"/>
  </si>
  <si>
    <t>Median</t>
    <phoneticPr fontId="3" type="noConversion"/>
  </si>
  <si>
    <t>LQ</t>
    <phoneticPr fontId="3" type="noConversion"/>
  </si>
  <si>
    <t>你的分數</t>
    <phoneticPr fontId="3" type="noConversion"/>
  </si>
  <si>
    <t>學額</t>
    <phoneticPr fontId="3" type="noConversion"/>
  </si>
  <si>
    <t>取錄人數</t>
    <phoneticPr fontId="3" type="noConversion"/>
  </si>
  <si>
    <t>競爭人數</t>
    <phoneticPr fontId="3" type="noConversion"/>
  </si>
  <si>
    <t>合乎基本入學要求?(並非入讀機率)</t>
    <phoneticPr fontId="3" type="noConversion"/>
  </si>
  <si>
    <t>A1</t>
    <phoneticPr fontId="3" type="noConversion"/>
  </si>
  <si>
    <t>JS4862</t>
  </si>
  <si>
    <t>按此</t>
    <phoneticPr fontId="3" type="noConversion"/>
  </si>
  <si>
    <t>展開</t>
  </si>
  <si>
    <t>請選擇第三選修科</t>
  </si>
  <si>
    <t>A2</t>
    <phoneticPr fontId="3" type="noConversion"/>
  </si>
  <si>
    <r>
      <rPr>
        <b/>
        <sz val="12"/>
        <color theme="1"/>
        <rFont val="微軟正黑體"/>
        <family val="2"/>
        <charset val="136"/>
      </rPr>
      <t>詳細資料及比重</t>
    </r>
    <r>
      <rPr>
        <sz val="12"/>
        <color theme="1"/>
        <rFont val="微軟正黑體"/>
        <family val="2"/>
        <charset val="136"/>
      </rPr>
      <t>請前往院校分頁</t>
    </r>
    <phoneticPr fontId="3" type="noConversion"/>
  </si>
  <si>
    <t>選單</t>
  </si>
  <si>
    <t>請選擇第四選修科</t>
    <phoneticPr fontId="3" type="noConversion"/>
  </si>
  <si>
    <t>請選擇語言科目</t>
  </si>
  <si>
    <t>A3</t>
    <phoneticPr fontId="3" type="noConversion"/>
  </si>
  <si>
    <t>*= 合併學額</t>
    <phoneticPr fontId="3" type="noConversion"/>
  </si>
  <si>
    <t>競爭人數: 幾多人爭一個位</t>
    <phoneticPr fontId="3" type="noConversion"/>
  </si>
  <si>
    <t>(合併學額或有誤導成份，請以取錄人數為準)</t>
  </si>
  <si>
    <r>
      <t>每次使用前請檢查計分器是否為</t>
    </r>
    <r>
      <rPr>
        <b/>
        <sz val="14"/>
        <color rgb="FFFF0000"/>
        <rFont val="微軟正黑體"/>
        <family val="2"/>
        <charset val="136"/>
      </rPr>
      <t>最新版本</t>
    </r>
    <r>
      <rPr>
        <b/>
        <sz val="11"/>
        <color rgb="FFFF0000"/>
        <rFont val="微軟正黑體"/>
        <family val="2"/>
        <charset val="136"/>
      </rPr>
      <t>:</t>
    </r>
    <phoneticPr fontId="3" type="noConversion"/>
  </si>
  <si>
    <t>https://drive.google.com/drive/folders/1PmyDrmQ2CumbWrqY7NRqa0Ol-M9VnkFz?usp=drive_link</t>
  </si>
  <si>
    <t>O&amp;A 及使用須知:</t>
  </si>
  <si>
    <t>4.</t>
    <phoneticPr fontId="3" type="noConversion"/>
  </si>
  <si>
    <t>重考扣分 (測試中)</t>
    <phoneticPr fontId="3" type="noConversion"/>
  </si>
  <si>
    <t>Previous Update Patch</t>
    <phoneticPr fontId="3" type="noConversion"/>
  </si>
  <si>
    <t xml:space="preserve"> 使用須知 及 免責聲明</t>
  </si>
  <si>
    <t>重考?</t>
    <phoneticPr fontId="3" type="noConversion"/>
  </si>
  <si>
    <t>Beta UPDATE PATCH:</t>
  </si>
  <si>
    <t>改善 排版設計</t>
  </si>
  <si>
    <t>更正 資料及計算錯漏</t>
  </si>
  <si>
    <t>目前只得 CUHK 及 HKU 有列明重考扣分</t>
    <phoneticPr fontId="3" type="noConversion"/>
  </si>
  <si>
    <t>.</t>
  </si>
  <si>
    <t>All in One 超級計分器</t>
    <phoneticPr fontId="3" type="noConversion"/>
  </si>
  <si>
    <t>請在此手動輸入科目的JUPAS編號</t>
  </si>
  <si>
    <r>
      <t>（此版面</t>
    </r>
    <r>
      <rPr>
        <b/>
        <i/>
        <sz val="12"/>
        <color theme="1"/>
        <rFont val="微軟正黑體"/>
        <family val="2"/>
        <charset val="136"/>
      </rPr>
      <t xml:space="preserve"> *不等如*</t>
    </r>
    <r>
      <rPr>
        <i/>
        <sz val="12"/>
        <color theme="1"/>
        <rFont val="微軟正黑體"/>
        <family val="2"/>
        <charset val="136"/>
      </rPr>
      <t xml:space="preserve"> 主頁的 A1 / A2 / A3)</t>
    </r>
  </si>
  <si>
    <t>輸入JUPAS編號</t>
    <phoneticPr fontId="3" type="noConversion"/>
  </si>
  <si>
    <t>院校</t>
  </si>
  <si>
    <t>課程/學科</t>
  </si>
  <si>
    <t>學額</t>
  </si>
  <si>
    <t>JS1805</t>
  </si>
  <si>
    <t>中文</t>
    <phoneticPr fontId="3" type="noConversion"/>
  </si>
  <si>
    <t>英文</t>
  </si>
  <si>
    <t>數學</t>
  </si>
  <si>
    <t>通識</t>
  </si>
  <si>
    <t>X1</t>
  </si>
  <si>
    <t>X2</t>
  </si>
  <si>
    <t>合乎基本入學要求?</t>
    <phoneticPr fontId="3" type="noConversion"/>
  </si>
  <si>
    <t>Band A競爭人數</t>
    <phoneticPr fontId="3" type="noConversion"/>
  </si>
  <si>
    <t>基本入學要求</t>
    <phoneticPr fontId="3" type="noConversion"/>
  </si>
  <si>
    <t>(幾多人爭一個位)</t>
    <phoneticPr fontId="3" type="noConversion"/>
  </si>
  <si>
    <t>上年計分方式︰</t>
    <phoneticPr fontId="3" type="noConversion"/>
  </si>
  <si>
    <t>由於每年分數計算方式或會更改，</t>
  </si>
  <si>
    <r>
      <t>此計分器一律會以*</t>
    </r>
    <r>
      <rPr>
        <b/>
        <sz val="10"/>
        <color theme="1"/>
        <rFont val="微軟正黑體"/>
        <family val="2"/>
        <charset val="136"/>
      </rPr>
      <t>上年計分方式*</t>
    </r>
    <r>
      <rPr>
        <sz val="10"/>
        <color theme="1"/>
        <rFont val="微軟正黑體"/>
        <family val="2"/>
        <charset val="136"/>
      </rPr>
      <t>計算你的分數，</t>
    </r>
  </si>
  <si>
    <t>以便估計與上年度收生分數的差距。</t>
  </si>
  <si>
    <t>比重︰</t>
    <phoneticPr fontId="3" type="noConversion"/>
  </si>
  <si>
    <t>加分制 (5**→8.5)</t>
  </si>
  <si>
    <t>今年計分方式︰</t>
    <phoneticPr fontId="3" type="noConversion"/>
  </si>
  <si>
    <t>此處將列出今年度計分方式 及 比重詳情，</t>
  </si>
  <si>
    <t>以供大家參考 及 估算自己入讀機會，敬請留意。</t>
  </si>
  <si>
    <t>其他考慮因素</t>
    <phoneticPr fontId="3" type="noConversion"/>
  </si>
  <si>
    <t>重考扣分</t>
  </si>
  <si>
    <t>面試</t>
    <phoneticPr fontId="3" type="noConversion"/>
  </si>
  <si>
    <t>額外資料</t>
    <phoneticPr fontId="3" type="noConversion"/>
  </si>
  <si>
    <t>中文</t>
  </si>
  <si>
    <t xml:space="preserve"> M1/2</t>
  </si>
  <si>
    <t>比重</t>
    <phoneticPr fontId="3" type="noConversion"/>
  </si>
  <si>
    <t>X1</t>
    <phoneticPr fontId="3" type="noConversion"/>
  </si>
  <si>
    <t>X2</t>
    <phoneticPr fontId="3" type="noConversion"/>
  </si>
  <si>
    <t>X3</t>
    <phoneticPr fontId="3" type="noConversion"/>
  </si>
  <si>
    <t>LQ</t>
  </si>
  <si>
    <t>相差</t>
    <phoneticPr fontId="3" type="noConversion"/>
  </si>
  <si>
    <t>Median</t>
  </si>
  <si>
    <t>UQ</t>
  </si>
  <si>
    <t>編號</t>
  </si>
  <si>
    <t>學院</t>
  </si>
  <si>
    <t>課程/學科</t>
    <phoneticPr fontId="3" type="noConversion"/>
  </si>
  <si>
    <t>計分方式</t>
  </si>
  <si>
    <t>你的分數</t>
  </si>
  <si>
    <t>差距(Median)</t>
  </si>
  <si>
    <t>資格</t>
    <phoneticPr fontId="3" type="noConversion"/>
  </si>
  <si>
    <t>中</t>
    <phoneticPr fontId="3" type="noConversion"/>
  </si>
  <si>
    <t>英</t>
    <phoneticPr fontId="3" type="noConversion"/>
  </si>
  <si>
    <t>數</t>
    <phoneticPr fontId="3" type="noConversion"/>
  </si>
  <si>
    <t>通</t>
    <phoneticPr fontId="3" type="noConversion"/>
  </si>
  <si>
    <t>E1</t>
    <phoneticPr fontId="3" type="noConversion"/>
  </si>
  <si>
    <t>E2</t>
    <phoneticPr fontId="3" type="noConversion"/>
  </si>
  <si>
    <t>Band A 競爭</t>
  </si>
  <si>
    <t>取錄人數</t>
  </si>
  <si>
    <t>Total</t>
    <phoneticPr fontId="3" type="noConversion"/>
  </si>
  <si>
    <t>Band A</t>
  </si>
  <si>
    <t>Band B</t>
  </si>
  <si>
    <t>Band C</t>
  </si>
  <si>
    <t>Band D</t>
  </si>
  <si>
    <t>Band E</t>
  </si>
  <si>
    <t>申請人數</t>
    <phoneticPr fontId="3" type="noConversion"/>
  </si>
  <si>
    <r>
      <t>*入學資格：</t>
    </r>
    <r>
      <rPr>
        <b/>
        <sz val="10"/>
        <color rgb="FF548235"/>
        <rFont val="微軟正黑體"/>
        <family val="2"/>
        <charset val="136"/>
      </rPr>
      <t>綠色</t>
    </r>
    <r>
      <rPr>
        <sz val="10"/>
        <color rgb="FF000000"/>
        <rFont val="微軟正黑體"/>
        <family val="2"/>
        <charset val="136"/>
      </rPr>
      <t>＝合符資格，</t>
    </r>
    <r>
      <rPr>
        <b/>
        <sz val="10"/>
        <color rgb="FFC00000"/>
        <rFont val="微軟正黑體"/>
        <family val="2"/>
        <charset val="136"/>
      </rPr>
      <t>紅色</t>
    </r>
    <r>
      <rPr>
        <sz val="10"/>
        <color rgb="FF000000"/>
        <rFont val="微軟正黑體"/>
        <family val="2"/>
        <charset val="136"/>
      </rPr>
      <t>＝不符資格，</t>
    </r>
    <r>
      <rPr>
        <b/>
        <sz val="10"/>
        <color rgb="FFBF8F00"/>
        <rFont val="微軟正黑體"/>
        <family val="2"/>
        <charset val="136"/>
      </rPr>
      <t>黃色</t>
    </r>
    <r>
      <rPr>
        <sz val="10"/>
        <color rgb="FF000000"/>
        <rFont val="微軟正黑體"/>
        <family val="2"/>
        <charset val="136"/>
      </rPr>
      <t>＝不確定（通常有關其他入學要求，例如作品集，或是個別科目分數）</t>
    </r>
  </si>
  <si>
    <t>估算方式:</t>
    <phoneticPr fontId="3" type="noConversion"/>
  </si>
  <si>
    <t>由於城大每年均會直接公佈加權後分數 (即已計算比重)，故此處直接引用城大數字，未有作任何估算。</t>
    <phoneticPr fontId="3" type="noConversion"/>
  </si>
  <si>
    <t>參考資料:</t>
    <phoneticPr fontId="3" type="noConversion"/>
  </si>
  <si>
    <t>https://www.admo.cityu.edu.hk/jupas/entreq/bd/</t>
  </si>
  <si>
    <t>https://www.admo.cityu.edu.hk/assessment/score_calculation/</t>
  </si>
  <si>
    <t>https://www.admo.cityu.edu.hk/jupas/assessment/bd</t>
    <phoneticPr fontId="3" type="noConversion"/>
  </si>
  <si>
    <t>https://www.admo.cityu.edu.hk/interview_arrangements/jupas</t>
  </si>
  <si>
    <t>編號</t>
    <phoneticPr fontId="3" type="noConversion"/>
  </si>
  <si>
    <t>Total</t>
  </si>
  <si>
    <t>申請人數</t>
  </si>
  <si>
    <r>
      <t>*浸大公佈的分數為4C2X平均分，以及</t>
    </r>
    <r>
      <rPr>
        <b/>
        <sz val="12"/>
        <color theme="1"/>
        <rFont val="微軟正黑體"/>
        <family val="2"/>
        <charset val="136"/>
      </rPr>
      <t>未計比重的原始分數</t>
    </r>
    <r>
      <rPr>
        <sz val="10"/>
        <color theme="1"/>
        <rFont val="微軟正黑體"/>
        <family val="2"/>
        <charset val="136"/>
      </rPr>
      <t>，以上含比重分數一律以</t>
    </r>
    <r>
      <rPr>
        <b/>
        <sz val="12"/>
        <color theme="1"/>
        <rFont val="微軟正黑體"/>
        <family val="2"/>
        <charset val="136"/>
      </rPr>
      <t>最大比重</t>
    </r>
    <r>
      <rPr>
        <sz val="10"/>
        <color theme="1"/>
        <rFont val="微軟正黑體"/>
        <family val="2"/>
        <charset val="136"/>
      </rPr>
      <t>作估算</t>
    </r>
    <r>
      <rPr>
        <b/>
        <sz val="10"/>
        <color theme="1"/>
        <rFont val="微軟正黑體"/>
        <family val="2"/>
        <charset val="136"/>
      </rPr>
      <t>，</t>
    </r>
    <r>
      <rPr>
        <sz val="10"/>
        <color theme="1"/>
        <rFont val="微軟正黑體"/>
        <family val="2"/>
        <charset val="136"/>
      </rPr>
      <t>或會</t>
    </r>
    <r>
      <rPr>
        <b/>
        <sz val="12"/>
        <color theme="1"/>
        <rFont val="微軟正黑體"/>
        <family val="2"/>
        <charset val="136"/>
      </rPr>
      <t>稍高於真實分數</t>
    </r>
    <r>
      <rPr>
        <sz val="10"/>
        <color theme="1"/>
        <rFont val="微軟正黑體"/>
        <family val="2"/>
        <charset val="136"/>
      </rPr>
      <t>，只供參考。</t>
    </r>
    <phoneticPr fontId="3" type="noConversion"/>
  </si>
  <si>
    <t>由於浸大每年除了公佈平均分外，亦會公佈各分布位置(中位數、下四分位數)的同學的詳細分數，故此處即以其細分 加以比重 作估算。</t>
    <phoneticPr fontId="3" type="noConversion"/>
  </si>
  <si>
    <t>*無比重的學科 (如 JS2020, JS2025)，將直接以其計分方式計算 (如 4C2X，將會將4科主科分數相加，再加上最高的2科選修)。</t>
    <phoneticPr fontId="3" type="noConversion"/>
  </si>
  <si>
    <t>*只有主科有比重的學科 (如 JS2310)，則會直接為主科計算比重，然後再加上剩餘科目分數。</t>
    <phoneticPr fontId="3" type="noConversion"/>
  </si>
  <si>
    <t>*而選修有比重的學科 (如 JS2420)，由於浸大並未有列出參考分數的選修科目，此處保守起見，將會假設參考分數的選修科均有最大比重，故估算分數或會高於真實分數，請注意。</t>
    <phoneticPr fontId="3" type="noConversion"/>
  </si>
  <si>
    <r>
      <t>*其中位數(Median)詳細分數為︰中文 4 、英文 4 、數學 4 、通識 4 、選修一  4 、選修二  3 、選修三 3，此處將假設其兩科選修</t>
    </r>
    <r>
      <rPr>
        <b/>
        <sz val="10"/>
        <rFont val="微軟正黑體"/>
        <family val="2"/>
        <charset val="136"/>
      </rPr>
      <t>「食中曬比重」</t>
    </r>
    <r>
      <rPr>
        <sz val="10"/>
        <rFont val="微軟正黑體"/>
        <family val="2"/>
        <charset val="136"/>
      </rPr>
      <t>，即為 「化學」(x1.5) 及「生物」(x1.25)。</t>
    </r>
  </si>
  <si>
    <r>
      <t>*計算比重後，分數為︰中文 4 (</t>
    </r>
    <r>
      <rPr>
        <b/>
        <sz val="10"/>
        <rFont val="微軟正黑體"/>
        <family val="2"/>
        <charset val="136"/>
      </rPr>
      <t>4</t>
    </r>
    <r>
      <rPr>
        <sz val="10"/>
        <rFont val="微軟正黑體"/>
        <family val="2"/>
        <charset val="136"/>
      </rPr>
      <t>)、英文 4x1.5 (</t>
    </r>
    <r>
      <rPr>
        <b/>
        <sz val="10"/>
        <rFont val="微軟正黑體"/>
        <family val="2"/>
        <charset val="136"/>
      </rPr>
      <t>6</t>
    </r>
    <r>
      <rPr>
        <sz val="10"/>
        <rFont val="微軟正黑體"/>
        <family val="2"/>
        <charset val="136"/>
      </rPr>
      <t>) 、數學 4x1.25 (</t>
    </r>
    <r>
      <rPr>
        <b/>
        <sz val="10"/>
        <rFont val="微軟正黑體"/>
        <family val="2"/>
        <charset val="136"/>
      </rPr>
      <t>5</t>
    </r>
    <r>
      <rPr>
        <sz val="10"/>
        <rFont val="微軟正黑體"/>
        <family val="2"/>
        <charset val="136"/>
      </rPr>
      <t>) 、通識 4 (</t>
    </r>
    <r>
      <rPr>
        <b/>
        <sz val="10"/>
        <rFont val="微軟正黑體"/>
        <family val="2"/>
        <charset val="136"/>
      </rPr>
      <t>4</t>
    </r>
    <r>
      <rPr>
        <sz val="10"/>
        <rFont val="微軟正黑體"/>
        <family val="2"/>
        <charset val="136"/>
      </rPr>
      <t>) 、選修一  4x1.5 (</t>
    </r>
    <r>
      <rPr>
        <b/>
        <sz val="10"/>
        <rFont val="微軟正黑體"/>
        <family val="2"/>
        <charset val="136"/>
      </rPr>
      <t>6</t>
    </r>
    <r>
      <rPr>
        <sz val="10"/>
        <rFont val="微軟正黑體"/>
        <family val="2"/>
        <charset val="136"/>
      </rPr>
      <t>) 、選修二  3x1.25 (</t>
    </r>
    <r>
      <rPr>
        <b/>
        <sz val="10"/>
        <rFont val="微軟正黑體"/>
        <family val="2"/>
        <charset val="136"/>
      </rPr>
      <t>3.75</t>
    </r>
    <r>
      <rPr>
        <sz val="10"/>
        <rFont val="微軟正黑體"/>
        <family val="2"/>
        <charset val="136"/>
      </rPr>
      <t>) 、選修三  3 (</t>
    </r>
    <r>
      <rPr>
        <b/>
        <sz val="10"/>
        <rFont val="微軟正黑體"/>
        <family val="2"/>
        <charset val="136"/>
      </rPr>
      <t>3</t>
    </r>
    <r>
      <rPr>
        <sz val="10"/>
        <rFont val="微軟正黑體"/>
        <family val="2"/>
        <charset val="136"/>
      </rPr>
      <t xml:space="preserve">) </t>
    </r>
  </si>
  <si>
    <r>
      <t xml:space="preserve">*最後以其計分方式，即 Best 5 作挑選，得出︰6 + 6 + 5 + 4 + 4 = </t>
    </r>
    <r>
      <rPr>
        <b/>
        <sz val="10"/>
        <rFont val="微軟正黑體"/>
        <family val="2"/>
        <charset val="136"/>
      </rPr>
      <t>25</t>
    </r>
  </si>
  <si>
    <t>*為了公平比較往年數據，新學年修改了計分方式 或 比重的學科 (如 JS2370) 在此處將繼續以往年方式估算，請注意。</t>
  </si>
  <si>
    <t>常見問題:</t>
    <phoneticPr fontId="3" type="noConversion"/>
  </si>
  <si>
    <t>Q:</t>
    <phoneticPr fontId="3" type="noConversion"/>
  </si>
  <si>
    <t>答:</t>
    <phoneticPr fontId="3" type="noConversion"/>
  </si>
  <si>
    <t>浸大公佈的分數的確如此，同學亦可自行驗算。事實上院校在收生時，除了DSE分數，亦有不同考慮，例如面試表現、OEA等，傳理/設計系尤其重視面試。</t>
  </si>
  <si>
    <r>
      <t>由於院校公佈的 LQ/Median等數字，其實以綜合了所有表現的</t>
    </r>
    <r>
      <rPr>
        <b/>
        <sz val="10"/>
        <color theme="1"/>
        <rFont val="微軟正黑體"/>
        <family val="2"/>
        <charset val="136"/>
      </rPr>
      <t>整體收生分數</t>
    </r>
    <r>
      <rPr>
        <sz val="10"/>
        <color theme="1"/>
        <rFont val="微軟正黑體"/>
        <family val="2"/>
        <charset val="136"/>
      </rPr>
      <t>作排序，所以是可以出現DSE分數較低，但其他表現分數較高的情況。</t>
    </r>
    <phoneticPr fontId="3" type="noConversion"/>
  </si>
  <si>
    <t>你是以甚麼作為估算比重的標準？</t>
  </si>
  <si>
    <t>正常情況下，我均會以往年的計分方式作估算，並且一律假設參考分數「食中曬比重」，即是全部科目均有最大比重。</t>
  </si>
  <si>
    <t>由於估算的本質始於是「估」，總會有誤差，所以基於風險為上的原則，必然是估高好過估低，保守好過冒險。</t>
  </si>
  <si>
    <t>https://admissions.hkbu.edu.hk/en/hkdse.html</t>
    <phoneticPr fontId="3" type="noConversion"/>
  </si>
  <si>
    <t>https://admissions.hkbu.edu.hk/en/programmes-offer.html</t>
  </si>
  <si>
    <t>JS1807</t>
  </si>
  <si>
    <t>*理大自2020/21年度起推出「加分制」，考獲5級或以上學科將獲額外加分。( Lv.5 -&gt; 5.5 | Lv.5* -&gt; 7 | Lv. 5** -&gt;8.5)</t>
    <phoneticPr fontId="3" type="noConversion"/>
  </si>
  <si>
    <t>*為了公平比較往年數據，新學年修改了比重的學科在此處將繼續以往年比重估算，請注意。</t>
  </si>
  <si>
    <t>https://www51.polyu.edu.hk/eprospectus/ug/jupas/programme-requirements</t>
    <phoneticPr fontId="3" type="noConversion"/>
  </si>
  <si>
    <t>https://www51.polyu.edu.hk/eprospectus/ug/jupas/admission-selection</t>
    <phoneticPr fontId="3" type="noConversion"/>
  </si>
  <si>
    <t>https://www51.polyu.edu.hk/eprospectus/ug/jupas/interview-arrangement</t>
    <phoneticPr fontId="3" type="noConversion"/>
  </si>
  <si>
    <t>https://www.polyu.edu.hk/aradm/jupas/admission_figures.pdf</t>
    <phoneticPr fontId="3" type="noConversion"/>
  </si>
  <si>
    <t>*中大自2019/20年度起推出「加分制」，考獲5級或以上學科將獲額外加分。( Lv.5 -&gt; 5.5 | Lv.5* -&gt; 7 | Lv. 5** -&gt;8.5) (JS4501及JS4502 除外)</t>
    <phoneticPr fontId="3" type="noConversion"/>
  </si>
  <si>
    <t>IRE</t>
  </si>
  <si>
    <t>SSCI-A</t>
  </si>
  <si>
    <t>SSCI-B</t>
  </si>
  <si>
    <t>SSCI-A (AI)</t>
  </si>
  <si>
    <t>ENGG</t>
  </si>
  <si>
    <t>ISDN</t>
  </si>
  <si>
    <t>ENGG+AI</t>
  </si>
  <si>
    <t>B&amp;M</t>
  </si>
  <si>
    <t>ECON</t>
  </si>
  <si>
    <t>FINA</t>
  </si>
  <si>
    <t>GBUS</t>
  </si>
  <si>
    <t>IS</t>
  </si>
  <si>
    <t>MGMT</t>
  </si>
  <si>
    <t>MARK</t>
  </si>
  <si>
    <t>OM</t>
  </si>
  <si>
    <t>ACCT</t>
  </si>
  <si>
    <t>ECOF</t>
  </si>
  <si>
    <t>QFIN</t>
  </si>
  <si>
    <t>GCS</t>
  </si>
  <si>
    <t>QSA</t>
  </si>
  <si>
    <t>BIBU</t>
  </si>
  <si>
    <t>EVMT</t>
  </si>
  <si>
    <t>MAEC</t>
  </si>
  <si>
    <t>RMBI</t>
  </si>
  <si>
    <t>T&amp;M-DDP</t>
  </si>
  <si>
    <t>*科大自2022/23年度起推出「加分制」，考獲5級或以上學科將獲額外加分。( Lv.5 -&gt; 5.5 | Lv.5* -&gt; 7 | Lv. 5** -&gt;8.5)</t>
    <phoneticPr fontId="3" type="noConversion"/>
  </si>
  <si>
    <r>
      <t>*換言之，</t>
    </r>
    <r>
      <rPr>
        <b/>
        <sz val="10"/>
        <color theme="1"/>
        <rFont val="微軟正黑體"/>
        <family val="2"/>
        <charset val="136"/>
      </rPr>
      <t>你的分數</t>
    </r>
    <r>
      <rPr>
        <sz val="10"/>
        <color theme="1"/>
        <rFont val="微軟正黑體"/>
        <family val="2"/>
        <charset val="136"/>
      </rPr>
      <t xml:space="preserve"> 及 </t>
    </r>
    <r>
      <rPr>
        <b/>
        <sz val="10"/>
        <color theme="1"/>
        <rFont val="微軟正黑體"/>
        <family val="2"/>
        <charset val="136"/>
      </rPr>
      <t>往年分數</t>
    </r>
    <r>
      <rPr>
        <sz val="10"/>
        <color theme="1"/>
        <rFont val="微軟正黑體"/>
        <family val="2"/>
        <charset val="136"/>
      </rPr>
      <t xml:space="preserve"> 亦會</t>
    </r>
    <r>
      <rPr>
        <b/>
        <sz val="10"/>
        <color theme="1"/>
        <rFont val="微軟正黑體"/>
        <family val="2"/>
        <charset val="136"/>
      </rPr>
      <t>一同以「加分制」計算</t>
    </r>
    <r>
      <rPr>
        <sz val="10"/>
        <color theme="1"/>
        <rFont val="微軟正黑體"/>
        <family val="2"/>
        <charset val="136"/>
      </rPr>
      <t>，敬請注意。</t>
    </r>
    <phoneticPr fontId="3" type="noConversion"/>
  </si>
  <si>
    <t>由於科大每年均會直接公佈加權後分數 (即已計算比重)，故此處直接引用科大數字，未有作任何估算。</t>
    <phoneticPr fontId="3" type="noConversion"/>
  </si>
  <si>
    <r>
      <t>*港大公佈的分數為</t>
    </r>
    <r>
      <rPr>
        <b/>
        <sz val="12"/>
        <color theme="1"/>
        <rFont val="微軟正黑體"/>
        <family val="2"/>
        <charset val="136"/>
      </rPr>
      <t>已計加分制及比重的分數</t>
    </r>
    <r>
      <rPr>
        <sz val="10"/>
        <color theme="1"/>
        <rFont val="微軟正黑體"/>
        <family val="2"/>
        <charset val="136"/>
      </rPr>
      <t>，只供參考。</t>
    </r>
    <phoneticPr fontId="3" type="noConversion"/>
  </si>
  <si>
    <t>*港大自2019/20年度起推出「加分制」，考獲5級或以上學科將獲額外加分。( Lv.5 -&gt; 5.5 | Lv.5* -&gt; 7 | Lv. 5** -&gt;8.5)</t>
    <phoneticPr fontId="3" type="noConversion"/>
  </si>
  <si>
    <t>一鍵前住</t>
    <phoneticPr fontId="3" type="noConversion"/>
  </si>
  <si>
    <t>由於港大今年直接公佈加權後分數 (即已計算比重)，故此處直接引用港大數字，未有作任何估算。</t>
    <phoneticPr fontId="3" type="noConversion"/>
  </si>
  <si>
    <t>https://admissions.hku.hk/apply/jupas</t>
  </si>
  <si>
    <r>
      <t>*嶺大公佈的分數為</t>
    </r>
    <r>
      <rPr>
        <b/>
        <sz val="12"/>
        <color theme="1"/>
        <rFont val="微軟正黑體"/>
        <family val="2"/>
        <charset val="136"/>
      </rPr>
      <t xml:space="preserve">已乘比重的分數 </t>
    </r>
    <r>
      <rPr>
        <sz val="10"/>
        <color theme="1"/>
        <rFont val="微軟正黑體"/>
        <family val="2"/>
        <charset val="136"/>
      </rPr>
      <t xml:space="preserve">及 </t>
    </r>
    <r>
      <rPr>
        <b/>
        <sz val="12"/>
        <color theme="1"/>
        <rFont val="微軟正黑體"/>
        <family val="2"/>
        <charset val="136"/>
      </rPr>
      <t>未計比重的原始分數</t>
    </r>
    <r>
      <rPr>
        <sz val="10"/>
        <color theme="1"/>
        <rFont val="微軟正黑體"/>
        <family val="2"/>
        <charset val="136"/>
      </rPr>
      <t>，只供參考。</t>
    </r>
  </si>
  <si>
    <r>
      <t>*入學資格：</t>
    </r>
    <r>
      <rPr>
        <b/>
        <sz val="10"/>
        <color theme="9" tint="-0.249977111117893"/>
        <rFont val="微軟正黑體"/>
        <family val="2"/>
        <charset val="136"/>
      </rPr>
      <t>綠色</t>
    </r>
    <r>
      <rPr>
        <sz val="10"/>
        <color theme="1"/>
        <rFont val="微軟正黑體"/>
        <family val="2"/>
        <charset val="136"/>
      </rPr>
      <t>＝合符資格，</t>
    </r>
    <r>
      <rPr>
        <b/>
        <sz val="10"/>
        <color rgb="FFC00000"/>
        <rFont val="微軟正黑體"/>
        <family val="2"/>
        <charset val="136"/>
      </rPr>
      <t>紅色</t>
    </r>
    <r>
      <rPr>
        <sz val="10"/>
        <color theme="1"/>
        <rFont val="微軟正黑體"/>
        <family val="2"/>
        <charset val="136"/>
      </rPr>
      <t>＝不符資格，</t>
    </r>
    <r>
      <rPr>
        <b/>
        <sz val="10"/>
        <color theme="7" tint="-0.249977111117893"/>
        <rFont val="微軟正黑體"/>
        <family val="2"/>
        <charset val="136"/>
      </rPr>
      <t>黃色</t>
    </r>
    <r>
      <rPr>
        <sz val="10"/>
        <color theme="1"/>
        <rFont val="微軟正黑體"/>
        <family val="2"/>
        <charset val="136"/>
      </rPr>
      <t>＝不確定（通常有關其他入學要求，例如作品集，或是個別科目分數）</t>
    </r>
  </si>
  <si>
    <t>由於嶺大每年均會直接公佈加權後分數 (即已計算比重)，已往此處一慣直接引用嶺大數字，不作任何估算。</t>
  </si>
  <si>
    <t>由於不清楚何處出錯，此處將會 *直接使用* 該整合分數，而不會使用其公佈的詳細分數作估算，敬請留意。</t>
  </si>
  <si>
    <t>對分數計算錯誤有與趣的朋友，亦可前往 All in One 計分器查看各科目計分詳情。</t>
  </si>
  <si>
    <t>https://www.ln.edu.hk/admissions/ug/jupas/admission-score/jupas-score-calculator</t>
  </si>
  <si>
    <t>https://www.ln.edu.hk/admissions/ug/jupas/admission-score/subject-weighting</t>
  </si>
  <si>
    <t>https://www.ln.edu.hk/admissions/ug/jupas/interview-arrangement</t>
    <phoneticPr fontId="3" type="noConversion"/>
  </si>
  <si>
    <t>Mean</t>
    <phoneticPr fontId="3" type="noConversion"/>
  </si>
  <si>
    <t>差距(Mean)</t>
    <phoneticPr fontId="3" type="noConversion"/>
  </si>
  <si>
    <r>
      <rPr>
        <sz val="10"/>
        <color theme="1"/>
        <rFont val="微軟正黑體"/>
        <family val="2"/>
        <charset val="136"/>
      </rPr>
      <t>*教大公佈的分數為</t>
    </r>
    <r>
      <rPr>
        <b/>
        <sz val="12"/>
        <color theme="1"/>
        <rFont val="微軟正黑體"/>
        <family val="2"/>
        <charset val="136"/>
      </rPr>
      <t>最佳5科平均分數</t>
    </r>
    <r>
      <rPr>
        <sz val="10"/>
        <color theme="1"/>
        <rFont val="微軟正黑體"/>
        <family val="2"/>
        <charset val="136"/>
      </rPr>
      <t>，但</t>
    </r>
    <r>
      <rPr>
        <b/>
        <sz val="12"/>
        <color theme="1"/>
        <rFont val="微軟正黑體"/>
        <family val="2"/>
        <charset val="136"/>
      </rPr>
      <t>未計比重</t>
    </r>
    <r>
      <rPr>
        <sz val="10"/>
        <color theme="1"/>
        <rFont val="微軟正黑體"/>
        <family val="2"/>
        <charset val="136"/>
      </rPr>
      <t>的分數</t>
    </r>
    <r>
      <rPr>
        <b/>
        <sz val="10"/>
        <color theme="1"/>
        <rFont val="微軟正黑體"/>
        <family val="2"/>
        <charset val="136"/>
      </rPr>
      <t>，</t>
    </r>
    <r>
      <rPr>
        <sz val="10"/>
        <color theme="1"/>
        <rFont val="微軟正黑體"/>
        <family val="2"/>
        <charset val="136"/>
      </rPr>
      <t>以上分數</t>
    </r>
    <r>
      <rPr>
        <b/>
        <sz val="12"/>
        <color theme="1"/>
        <rFont val="微軟正黑體"/>
        <family val="2"/>
        <charset val="136"/>
      </rPr>
      <t>不含比重</t>
    </r>
    <r>
      <rPr>
        <b/>
        <sz val="10"/>
        <color theme="1"/>
        <rFont val="微軟正黑體"/>
        <family val="2"/>
        <charset val="136"/>
      </rPr>
      <t>，</t>
    </r>
    <r>
      <rPr>
        <sz val="10"/>
        <color theme="1"/>
        <rFont val="微軟正黑體"/>
        <family val="2"/>
        <charset val="136"/>
      </rPr>
      <t>或會與</t>
    </r>
    <r>
      <rPr>
        <b/>
        <sz val="12"/>
        <color theme="1"/>
        <rFont val="微軟正黑體"/>
        <family val="2"/>
        <charset val="136"/>
      </rPr>
      <t>真實收生分數有別</t>
    </r>
    <r>
      <rPr>
        <sz val="10"/>
        <color theme="1"/>
        <rFont val="微軟正黑體"/>
        <family val="2"/>
        <charset val="136"/>
      </rPr>
      <t>，只供參考</t>
    </r>
    <r>
      <rPr>
        <b/>
        <sz val="10"/>
        <color theme="1"/>
        <rFont val="微軟正黑體"/>
        <family val="2"/>
        <charset val="136"/>
      </rPr>
      <t>。</t>
    </r>
    <phoneticPr fontId="3" type="noConversion"/>
  </si>
  <si>
    <t>一鍵前住</t>
  </si>
  <si>
    <t>估算方式:</t>
  </si>
  <si>
    <t>由於教大每年只會直接公佈未有計算比重的平均分數，故此處無法為比重作任何估算，只能列出其科目供同學參考。</t>
    <phoneticPr fontId="3" type="noConversion"/>
  </si>
  <si>
    <t>https://www.apply.eduhk.hk/ug/jupas_scores</t>
  </si>
  <si>
    <t>差距(Median)</t>
    <phoneticPr fontId="3" type="noConversion"/>
  </si>
  <si>
    <r>
      <t>*都大公佈的分數為</t>
    </r>
    <r>
      <rPr>
        <b/>
        <sz val="12"/>
        <color theme="1"/>
        <rFont val="微軟正黑體"/>
        <family val="2"/>
        <charset val="136"/>
      </rPr>
      <t>已計比重的分數</t>
    </r>
    <r>
      <rPr>
        <sz val="10"/>
        <color theme="1"/>
        <rFont val="微軟正黑體"/>
        <family val="2"/>
        <charset val="136"/>
      </rPr>
      <t>，只供參考。</t>
    </r>
    <phoneticPr fontId="3" type="noConversion"/>
  </si>
  <si>
    <t>由於都大每年均會直接公佈加權後分數 (即已計算比重)，故此處直接引用都大數字，未有作任何估算。</t>
  </si>
  <si>
    <t>https://admissions.hkmu.edu.hk/ug/jupas/</t>
  </si>
  <si>
    <t>SSSDP 各院校公佈的參考分數各有不同，以下將詳細列出各院校的方式。</t>
    <phoneticPr fontId="3" type="noConversion"/>
  </si>
  <si>
    <t>明愛:</t>
    <phoneticPr fontId="3" type="noConversion"/>
  </si>
  <si>
    <t>公佈的為未有計算比重的平均分數，但無提及科目比重，故未有作出估算。</t>
    <phoneticPr fontId="3" type="noConversion"/>
  </si>
  <si>
    <t>珠海:</t>
    <phoneticPr fontId="3" type="noConversion"/>
  </si>
  <si>
    <t>公佈的為未有計算比重的 上四分位數 及 下四分位數 ，但無提及科目比重，故未有作出估算。</t>
    <phoneticPr fontId="3" type="noConversion"/>
  </si>
  <si>
    <t>恆大:</t>
    <phoneticPr fontId="3" type="noConversion"/>
  </si>
  <si>
    <t>公佈的未有計算比重的平均分數，故此處無法為比重作任何估算，只能列出其科目供同學參考。</t>
    <phoneticPr fontId="3" type="noConversion"/>
  </si>
  <si>
    <t>東華:</t>
    <phoneticPr fontId="3" type="noConversion"/>
  </si>
  <si>
    <t>都大:</t>
    <phoneticPr fontId="3" type="noConversion"/>
  </si>
  <si>
    <t>公佈的為加權後分數 (即已計算比重)，故此處直接引用都大數字，未有作任何估算。</t>
    <phoneticPr fontId="3" type="noConversion"/>
  </si>
  <si>
    <t>THEi:</t>
    <phoneticPr fontId="3" type="noConversion"/>
  </si>
  <si>
    <t>伍倫貢:</t>
    <phoneticPr fontId="3" type="noConversion"/>
  </si>
  <si>
    <t>樹仁:</t>
    <phoneticPr fontId="3" type="noConversion"/>
  </si>
  <si>
    <t>課程:</t>
    <phoneticPr fontId="3" type="noConversion"/>
  </si>
  <si>
    <t>https://www.jupas.edu.hk/en/programme/sssdp/</t>
    <phoneticPr fontId="3" type="noConversion"/>
  </si>
  <si>
    <t>分數:</t>
    <phoneticPr fontId="3" type="noConversion"/>
  </si>
  <si>
    <t>https://www.cihe.edu.hk/en/programmes/index.html</t>
    <phoneticPr fontId="3" type="noConversion"/>
  </si>
  <si>
    <t>https://registry.hsu.edu.hk/prospective-students/undergraduate/programmes-offered/</t>
    <phoneticPr fontId="3" type="noConversion"/>
  </si>
  <si>
    <t>https://www.twc.edu.hk/en/Programme_cat</t>
    <phoneticPr fontId="3" type="noConversion"/>
  </si>
  <si>
    <t>https://admissions.hkmu.edu.hk/ug/jupas/</t>
    <phoneticPr fontId="3" type="noConversion"/>
  </si>
  <si>
    <t>https://www.uowchk.edu.hk/study-at-uowchk/find-programmes/programmes-by-entry-level/bachelor-degrees/</t>
    <phoneticPr fontId="3" type="noConversion"/>
  </si>
  <si>
    <t>https://ef.hksyu.edu/Programmes/BCom-in-FinTech</t>
    <phoneticPr fontId="3" type="noConversion"/>
  </si>
  <si>
    <t>RawScore</t>
    <phoneticPr fontId="3" type="noConversion"/>
  </si>
  <si>
    <t>總分</t>
  </si>
  <si>
    <t>數學延伸</t>
    <phoneticPr fontId="3" type="noConversion"/>
  </si>
  <si>
    <t>最高分選修科</t>
    <phoneticPr fontId="3" type="noConversion"/>
  </si>
  <si>
    <t>等級</t>
  </si>
  <si>
    <t>CityU</t>
    <phoneticPr fontId="3" type="noConversion"/>
  </si>
  <si>
    <t>HKBU</t>
  </si>
  <si>
    <t>數字模式</t>
    <phoneticPr fontId="3" type="noConversion"/>
  </si>
  <si>
    <t>成績(以星星表示)</t>
    <phoneticPr fontId="3" type="noConversion"/>
  </si>
  <si>
    <t>PolyU</t>
    <phoneticPr fontId="3" type="noConversion"/>
  </si>
  <si>
    <t>原始輸入</t>
    <phoneticPr fontId="3" type="noConversion"/>
  </si>
  <si>
    <t>CUHK</t>
    <phoneticPr fontId="3" type="noConversion"/>
  </si>
  <si>
    <t>防錯</t>
    <phoneticPr fontId="3" type="noConversion"/>
  </si>
  <si>
    <t>HKUST</t>
    <phoneticPr fontId="3" type="noConversion"/>
  </si>
  <si>
    <t>轉換後成績</t>
    <phoneticPr fontId="3" type="noConversion"/>
  </si>
  <si>
    <t>HKU</t>
    <phoneticPr fontId="3" type="noConversion"/>
  </si>
  <si>
    <t>LingU</t>
  </si>
  <si>
    <t>EdUHK</t>
  </si>
  <si>
    <t>Thei</t>
    <phoneticPr fontId="3" type="noConversion"/>
  </si>
  <si>
    <t>珠海</t>
    <phoneticPr fontId="3" type="noConversion"/>
  </si>
  <si>
    <t>&lt;- SSSDP 語言科目轉換</t>
    <phoneticPr fontId="3" type="noConversion"/>
  </si>
  <si>
    <t>HKMU</t>
  </si>
  <si>
    <t>無加分制</t>
    <phoneticPr fontId="3" type="noConversion"/>
  </si>
  <si>
    <t>RawScore for Display</t>
    <phoneticPr fontId="3" type="noConversion"/>
  </si>
  <si>
    <t>有Retake過?</t>
    <phoneticPr fontId="3" type="noConversion"/>
  </si>
  <si>
    <t>Retake:</t>
    <phoneticPr fontId="3" type="noConversion"/>
  </si>
  <si>
    <t>IF($D27="v",IF($C27="4C2X",IF(AH27&gt;LARGE($AH27:$AM27,3),TRUE),IF($C27="4C1X",IF(AH27&gt;LARGE($AH27:$AM27,2),TRUE),IF($C27="Best 5",IF(AH27&gt;LARGE($AD27:$AM27,6),TRUE),IF($C27="Best 6",IF(AH27&gt;LARGE($AD27:$AM27,7),TRUE))))),FALSE)</t>
    <phoneticPr fontId="3" type="noConversion"/>
  </si>
  <si>
    <t>IF($E27="E",IF($C27="4C2X",IF(AM27&gt;LARGE($AH27:$AM27,3),TRUE),IF($C27="4C1X",IF(AM27&gt;LARGE($AH27:$AM27,2),TRUE),IF($C27="Best 5",IF(AM27&gt;LARGE($AD27:$AM27,6),TRUE),IF($C27="Best 6",IF(AM27&gt;LARGE($AD27:$AM27,7),TRUE))))),FALSE)</t>
    <phoneticPr fontId="3" type="noConversion"/>
  </si>
  <si>
    <t>For All in One</t>
    <phoneticPr fontId="3" type="noConversion"/>
  </si>
  <si>
    <t>總分</t>
    <phoneticPr fontId="3" type="noConversion"/>
  </si>
  <si>
    <t>中文比重</t>
  </si>
  <si>
    <t>英文比重</t>
  </si>
  <si>
    <t>數學比重</t>
  </si>
  <si>
    <t>通識比重</t>
  </si>
  <si>
    <t xml:space="preserve"> M1/2比重</t>
  </si>
  <si>
    <t xml:space="preserve"> X1比重</t>
  </si>
  <si>
    <t xml:space="preserve"> X2比重</t>
  </si>
  <si>
    <t xml:space="preserve"> X3比重</t>
  </si>
  <si>
    <t xml:space="preserve"> X4比重</t>
  </si>
  <si>
    <t>語言比重</t>
    <phoneticPr fontId="3" type="noConversion"/>
  </si>
  <si>
    <t>中文最後揀咗？</t>
  </si>
  <si>
    <t>英文最後揀咗？</t>
  </si>
  <si>
    <t>數學最後揀咗？</t>
  </si>
  <si>
    <t>通識最後揀咗？</t>
  </si>
  <si>
    <t xml:space="preserve"> M1/2最後揀咗？</t>
  </si>
  <si>
    <t xml:space="preserve"> X1最後揀咗？</t>
  </si>
  <si>
    <t xml:space="preserve"> X2最後揀咗？</t>
  </si>
  <si>
    <t xml:space="preserve"> X3最後揀咗？</t>
  </si>
  <si>
    <t xml:space="preserve"> X4最後揀咗？</t>
  </si>
  <si>
    <t xml:space="preserve"> 語言最後揀咗？</t>
    <phoneticPr fontId="3" type="noConversion"/>
  </si>
  <si>
    <t>粗斜體代表計分方式不是正常的Best 5/6 或 4C2X，而是需要另外處理。(例如 Best 5 (包括英文))</t>
    <phoneticPr fontId="3" type="noConversion"/>
  </si>
  <si>
    <t>Update Check</t>
  </si>
  <si>
    <t>This column is for updating the number of subjects for the new year.</t>
  </si>
  <si>
    <t>M1/2?</t>
    <phoneticPr fontId="3" type="noConversion"/>
  </si>
  <si>
    <t>Cat C</t>
    <phoneticPr fontId="3" type="noConversion"/>
  </si>
  <si>
    <t>ApL</t>
    <phoneticPr fontId="3" type="noConversion"/>
  </si>
  <si>
    <t>特別比重計算</t>
    <phoneticPr fontId="3" type="noConversion"/>
  </si>
  <si>
    <t>School of Energy and Environment</t>
    <phoneticPr fontId="3" type="noConversion"/>
  </si>
  <si>
    <t>JS1051</t>
    <phoneticPr fontId="3" type="noConversion"/>
  </si>
  <si>
    <t>第一選修係?</t>
    <phoneticPr fontId="3" type="noConversion"/>
  </si>
  <si>
    <t>x2.5</t>
    <phoneticPr fontId="3" type="noConversion"/>
  </si>
  <si>
    <t>第一選修(x2.5): 生物、化學、組合科學、綜合科學、物理</t>
  </si>
  <si>
    <t>第二選修係?</t>
    <phoneticPr fontId="3" type="noConversion"/>
  </si>
  <si>
    <t>x1.5</t>
    <phoneticPr fontId="3" type="noConversion"/>
  </si>
  <si>
    <t>College of Engineering</t>
    <phoneticPr fontId="3" type="noConversion"/>
  </si>
  <si>
    <t>最佳理科</t>
    <phoneticPr fontId="3" type="noConversion"/>
  </si>
  <si>
    <t>JS1204</t>
    <phoneticPr fontId="3" type="noConversion"/>
  </si>
  <si>
    <t>JS1210</t>
    <phoneticPr fontId="3" type="noConversion"/>
  </si>
  <si>
    <t>數學定M1/2高分啲？</t>
    <phoneticPr fontId="3" type="noConversion"/>
  </si>
  <si>
    <t>若同學同時修讀數學及M1/2，最佳五科只會包含其中一科。</t>
    <phoneticPr fontId="3" type="noConversion"/>
  </si>
  <si>
    <t>JS1211</t>
    <phoneticPr fontId="3" type="noConversion"/>
  </si>
  <si>
    <t>Jockey Club College of Veterinary Medicine and Life Sciences</t>
    <phoneticPr fontId="3" type="noConversion"/>
  </si>
  <si>
    <t>有冇 生物、化學 其中兩科？</t>
    <phoneticPr fontId="3" type="noConversion"/>
  </si>
  <si>
    <t>JS1801</t>
    <phoneticPr fontId="3" type="noConversion"/>
  </si>
  <si>
    <t>HKBU</t>
    <phoneticPr fontId="3" type="noConversion"/>
  </si>
  <si>
    <t>語言比重</t>
  </si>
  <si>
    <t xml:space="preserve"> 語言最後揀咗？</t>
  </si>
  <si>
    <t>IFERROR(INDEX($AS112:$BT112,MATCH(J$1,$AS$111:$BT$111,0)),0)</t>
  </si>
  <si>
    <t>中國語文</t>
  </si>
  <si>
    <t>英國語文</t>
  </si>
  <si>
    <t>通識教育</t>
  </si>
  <si>
    <t>數學延伸</t>
  </si>
  <si>
    <t>物理</t>
  </si>
  <si>
    <t>化學</t>
  </si>
  <si>
    <t>生物</t>
  </si>
  <si>
    <t>經濟</t>
  </si>
  <si>
    <t>地理</t>
  </si>
  <si>
    <t>音樂</t>
  </si>
  <si>
    <t>體育</t>
  </si>
  <si>
    <t>歷史</t>
  </si>
  <si>
    <t>中國歷史</t>
  </si>
  <si>
    <t>視覺藝術</t>
  </si>
  <si>
    <t>綜合科學</t>
  </si>
  <si>
    <t>組合科學(物理、化學)</t>
    <phoneticPr fontId="3" type="noConversion"/>
  </si>
  <si>
    <t>組合科學(生物、化學)</t>
    <phoneticPr fontId="3" type="noConversion"/>
  </si>
  <si>
    <t>組合科學(物理、生物)</t>
    <phoneticPr fontId="3" type="noConversion"/>
  </si>
  <si>
    <t>中國文學</t>
  </si>
  <si>
    <t>英語文學</t>
  </si>
  <si>
    <t>旅遊與款待</t>
  </si>
  <si>
    <t>倫理與宗教</t>
  </si>
  <si>
    <t>科技與生活</t>
  </si>
  <si>
    <t>資訊及通訊科技</t>
    <phoneticPr fontId="3" type="noConversion"/>
  </si>
  <si>
    <t>設計與應用科技</t>
    <phoneticPr fontId="3" type="noConversion"/>
  </si>
  <si>
    <t>健康管理與社會關懷</t>
  </si>
  <si>
    <t>企業、會計與財務概論</t>
    <phoneticPr fontId="3" type="noConversion"/>
  </si>
  <si>
    <t>JS4238</t>
    <phoneticPr fontId="3" type="noConversion"/>
  </si>
  <si>
    <t>JS4460</t>
    <phoneticPr fontId="3" type="noConversion"/>
  </si>
  <si>
    <t>JS4252</t>
    <phoneticPr fontId="3" type="noConversion"/>
  </si>
  <si>
    <t>有冇 M1/2、化學、物理或經濟 其中一科？</t>
    <phoneticPr fontId="3" type="noConversion"/>
  </si>
  <si>
    <t>JS4276</t>
    <phoneticPr fontId="3" type="noConversion"/>
  </si>
  <si>
    <t>係邊一科？</t>
    <phoneticPr fontId="3" type="noConversion"/>
  </si>
  <si>
    <t>JS4824</t>
    <phoneticPr fontId="3" type="noConversion"/>
  </si>
  <si>
    <t>/</t>
  </si>
  <si>
    <t>JS4601</t>
    <phoneticPr fontId="3" type="noConversion"/>
  </si>
  <si>
    <t>中文定英文高分啲？</t>
    <phoneticPr fontId="3" type="noConversion"/>
  </si>
  <si>
    <t>第一最高</t>
  </si>
  <si>
    <t>第二最高</t>
  </si>
  <si>
    <t>第三最高</t>
  </si>
  <si>
    <t>JS4361</t>
  </si>
  <si>
    <t>JS5101</t>
    <phoneticPr fontId="3" type="noConversion"/>
  </si>
  <si>
    <t>第一理科</t>
    <phoneticPr fontId="3" type="noConversion"/>
  </si>
  <si>
    <t>第二理科</t>
    <phoneticPr fontId="3" type="noConversion"/>
  </si>
  <si>
    <t>M1/2 / 生物/ 化學 /物理 / 組合科學</t>
    <phoneticPr fontId="3" type="noConversion"/>
  </si>
  <si>
    <t>JS5102</t>
    <phoneticPr fontId="3" type="noConversion"/>
  </si>
  <si>
    <t>JS5181</t>
    <phoneticPr fontId="3" type="noConversion"/>
  </si>
  <si>
    <t>UST</t>
    <phoneticPr fontId="3" type="noConversion"/>
  </si>
  <si>
    <t>JS5200</t>
    <phoneticPr fontId="3" type="noConversion"/>
  </si>
  <si>
    <t>JS5282</t>
    <phoneticPr fontId="3" type="noConversion"/>
  </si>
  <si>
    <t>JS5901</t>
    <phoneticPr fontId="3" type="noConversion"/>
  </si>
  <si>
    <t>生物/ 化學 /物理 / 組合科學 / ICT</t>
    <phoneticPr fontId="3" type="noConversion"/>
  </si>
  <si>
    <t>For JS5901</t>
    <phoneticPr fontId="3" type="noConversion"/>
  </si>
  <si>
    <t>JS5211</t>
    <phoneticPr fontId="3" type="noConversion"/>
  </si>
  <si>
    <t>生物/ 化學 /物理 / 組合科學 / ICT / DAT</t>
    <phoneticPr fontId="3" type="noConversion"/>
  </si>
  <si>
    <t>JS5312</t>
    <phoneticPr fontId="3" type="noConversion"/>
  </si>
  <si>
    <t>最佳選修</t>
    <phoneticPr fontId="3" type="noConversion"/>
  </si>
  <si>
    <t>JS5331</t>
    <phoneticPr fontId="3" type="noConversion"/>
  </si>
  <si>
    <t>JS5332</t>
    <phoneticPr fontId="3" type="noConversion"/>
  </si>
  <si>
    <t>[化學、經濟、物理、M1/2]中最佳一科</t>
    <phoneticPr fontId="3" type="noConversion"/>
  </si>
  <si>
    <t>JS5822</t>
    <phoneticPr fontId="3" type="noConversion"/>
  </si>
  <si>
    <t>JS5811</t>
    <phoneticPr fontId="3" type="noConversion"/>
  </si>
  <si>
    <t>生物/ 化學</t>
    <phoneticPr fontId="3" type="noConversion"/>
  </si>
  <si>
    <t>JS5813</t>
    <phoneticPr fontId="3" type="noConversion"/>
  </si>
  <si>
    <t>JS6755</t>
  </si>
  <si>
    <t>有冇第七科？</t>
  </si>
  <si>
    <t>x0.2</t>
  </si>
  <si>
    <t>JS6767</t>
  </si>
  <si>
    <t>JS6781</t>
  </si>
  <si>
    <t>JS6860</t>
  </si>
  <si>
    <t>JS6808</t>
  </si>
  <si>
    <t>JS6793</t>
  </si>
  <si>
    <t>JS6896</t>
  </si>
  <si>
    <t>JS6846</t>
  </si>
  <si>
    <t>JS6884</t>
  </si>
  <si>
    <t>JS6107</t>
    <phoneticPr fontId="3" type="noConversion"/>
  </si>
  <si>
    <t>生物、化學、物理、組合科學、綜合科學</t>
    <phoneticPr fontId="3" type="noConversion"/>
  </si>
  <si>
    <t>JS6119</t>
    <phoneticPr fontId="3" type="noConversion"/>
  </si>
  <si>
    <t>Refer to JS6107</t>
    <phoneticPr fontId="3" type="noConversion"/>
  </si>
  <si>
    <t>JS6688</t>
    <phoneticPr fontId="3" type="noConversion"/>
  </si>
  <si>
    <t>生物、化學、物理、組合科學</t>
    <phoneticPr fontId="3" type="noConversion"/>
  </si>
  <si>
    <t>JS6858</t>
    <phoneticPr fontId="3" type="noConversion"/>
  </si>
  <si>
    <t>Refer to JS6781 &amp; JS6107</t>
    <phoneticPr fontId="3" type="noConversion"/>
  </si>
  <si>
    <t>JS6901</t>
    <phoneticPr fontId="3" type="noConversion"/>
  </si>
  <si>
    <t>JS6418</t>
  </si>
  <si>
    <t>有冇第六科？</t>
  </si>
  <si>
    <t>x0.5</t>
  </si>
  <si>
    <t>JS6468</t>
  </si>
  <si>
    <t>JS6482</t>
  </si>
  <si>
    <t>LingU</t>
    <phoneticPr fontId="3" type="noConversion"/>
  </si>
  <si>
    <t>JS7101</t>
  </si>
  <si>
    <t>中國歷史&amp;中國文學 邊個高分啲？</t>
  </si>
  <si>
    <t>中國歷史、中國文學</t>
  </si>
  <si>
    <t>EdU</t>
  </si>
  <si>
    <t>SSSDP</t>
    <phoneticPr fontId="3" type="noConversion"/>
  </si>
  <si>
    <t>M</t>
    <phoneticPr fontId="3" type="noConversion"/>
  </si>
  <si>
    <t>E3</t>
  </si>
  <si>
    <t>E4</t>
  </si>
  <si>
    <t>Lang(Processed)</t>
    <phoneticPr fontId="3" type="noConversion"/>
  </si>
  <si>
    <t>Lang(Original)</t>
    <phoneticPr fontId="3" type="noConversion"/>
  </si>
  <si>
    <t>是否接受以下科目為選修科入學要求？</t>
  </si>
  <si>
    <t>入學要求1</t>
    <phoneticPr fontId="3" type="noConversion"/>
  </si>
  <si>
    <t>要求2</t>
    <phoneticPr fontId="3" type="noConversion"/>
  </si>
  <si>
    <t>DSE分數</t>
  </si>
  <si>
    <t>分數是否符合入學要求？</t>
  </si>
  <si>
    <t>For All in ONE</t>
    <phoneticPr fontId="3" type="noConversion"/>
  </si>
  <si>
    <t>1＝是、0＝否、2＝不確定</t>
  </si>
  <si>
    <t>This column is for updating the correct number of rows for the new year.</t>
  </si>
  <si>
    <t>.</t>
    <phoneticPr fontId="3" type="noConversion"/>
  </si>
  <si>
    <t>入學要求</t>
    <phoneticPr fontId="3" type="noConversion"/>
  </si>
  <si>
    <t>v</t>
    <phoneticPr fontId="3" type="noConversion"/>
  </si>
  <si>
    <t>E</t>
    <phoneticPr fontId="3" type="noConversion"/>
  </si>
  <si>
    <t>NO</t>
    <phoneticPr fontId="3" type="noConversion"/>
  </si>
  <si>
    <t>/</t>
    <phoneticPr fontId="3" type="noConversion"/>
  </si>
  <si>
    <t>JS1201</t>
    <phoneticPr fontId="3" type="noConversion"/>
  </si>
  <si>
    <t>JS1205</t>
    <phoneticPr fontId="3" type="noConversion"/>
  </si>
  <si>
    <t>JS1207</t>
    <phoneticPr fontId="3" type="noConversion"/>
  </si>
  <si>
    <t>JS1216</t>
    <phoneticPr fontId="3" type="noConversion"/>
  </si>
  <si>
    <t>JS1217</t>
    <phoneticPr fontId="3" type="noConversion"/>
  </si>
  <si>
    <t>JS1221</t>
    <phoneticPr fontId="3" type="noConversion"/>
  </si>
  <si>
    <t>College of Science</t>
    <phoneticPr fontId="3" type="noConversion"/>
  </si>
  <si>
    <t>有冇 生物、化學、經濟、M1/2、物理 其中兩科？</t>
    <phoneticPr fontId="3" type="noConversion"/>
  </si>
  <si>
    <t>JS1200</t>
    <phoneticPr fontId="3" type="noConversion"/>
  </si>
  <si>
    <t>數學有Lv.3?</t>
    <phoneticPr fontId="3" type="noConversion"/>
  </si>
  <si>
    <t>JS1202</t>
    <phoneticPr fontId="3" type="noConversion"/>
  </si>
  <si>
    <t>JS1206</t>
    <phoneticPr fontId="3" type="noConversion"/>
  </si>
  <si>
    <t>JS1208</t>
    <phoneticPr fontId="3" type="noConversion"/>
  </si>
  <si>
    <t>有冇 BAFS、化學、M1/2、物理 其中一科？</t>
    <phoneticPr fontId="3" type="noConversion"/>
  </si>
  <si>
    <t>JS1220</t>
    <phoneticPr fontId="3" type="noConversion"/>
  </si>
  <si>
    <t xml:space="preserve">以下兩科選修取得Lv.3︰生物、化學、經濟、M1/2、物理 </t>
    <phoneticPr fontId="3" type="noConversion"/>
  </si>
  <si>
    <t>以下一科選修取得Lv.3︰化學、組合科學(化學)</t>
    <phoneticPr fontId="3" type="noConversion"/>
  </si>
  <si>
    <t>JS1805</t>
    <phoneticPr fontId="3" type="noConversion"/>
  </si>
  <si>
    <t>以下一科選修取得Lv.3︰BAFS、化學、M1/2、物理</t>
    <phoneticPr fontId="3" type="noConversion"/>
  </si>
  <si>
    <t>以下兩科選修取得Lv.3︰生物、化學</t>
    <phoneticPr fontId="3" type="noConversion"/>
  </si>
  <si>
    <t>以下一科選修取得Lv.3︰生物、化學、組合科學</t>
    <phoneticPr fontId="3" type="noConversion"/>
  </si>
  <si>
    <t>有冇 化學、生物 其中一科?</t>
    <phoneticPr fontId="3" type="noConversion"/>
  </si>
  <si>
    <t>JS2410</t>
    <phoneticPr fontId="3" type="noConversion"/>
  </si>
  <si>
    <t>有冇 化學?</t>
    <phoneticPr fontId="3" type="noConversion"/>
  </si>
  <si>
    <t>JS2420</t>
    <phoneticPr fontId="3" type="noConversion"/>
  </si>
  <si>
    <t>以下一科選修取得Lv.3︰生物、化學</t>
    <phoneticPr fontId="3" type="noConversion"/>
  </si>
  <si>
    <t>以下一科選修取得Lv.3︰化學</t>
    <phoneticPr fontId="3" type="noConversion"/>
  </si>
  <si>
    <t>v</t>
  </si>
  <si>
    <t>E</t>
  </si>
  <si>
    <t>NO</t>
  </si>
  <si>
    <t>ApL-Bonus</t>
    <phoneticPr fontId="3" type="noConversion"/>
  </si>
  <si>
    <t>符唔符合資格</t>
    <phoneticPr fontId="3" type="noConversion"/>
  </si>
  <si>
    <t>數學有冇Lv5?</t>
    <phoneticPr fontId="3" type="noConversion"/>
  </si>
  <si>
    <t>M1/2有冇Lv.5?</t>
    <phoneticPr fontId="3" type="noConversion"/>
  </si>
  <si>
    <t>JS4386</t>
  </si>
  <si>
    <t>有冇 理科?</t>
    <phoneticPr fontId="3" type="noConversion"/>
  </si>
  <si>
    <t>JS4412</t>
  </si>
  <si>
    <t>JS4446</t>
  </si>
  <si>
    <t>JS4460</t>
  </si>
  <si>
    <t>申請人應於某種樂器/聲樂考獲8級或以上。</t>
    <phoneticPr fontId="3" type="noConversion"/>
  </si>
  <si>
    <t>JS4408</t>
    <phoneticPr fontId="3" type="noConversion"/>
  </si>
  <si>
    <t>JS4462</t>
    <phoneticPr fontId="3" type="noConversion"/>
  </si>
  <si>
    <t>M1/2、生物、化學、組合科學、DAT、ICT、物理</t>
    <phoneticPr fontId="3" type="noConversion"/>
  </si>
  <si>
    <t>JS4434</t>
    <phoneticPr fontId="3" type="noConversion"/>
  </si>
  <si>
    <t>M1/2、生物、化學、組合科學、ICT、物理</t>
    <phoneticPr fontId="3" type="noConversion"/>
  </si>
  <si>
    <t>申請人應考獲以下資歷︰</t>
    <phoneticPr fontId="3" type="noConversion"/>
  </si>
  <si>
    <t>TOEFL 600分 (紙筆) / 100分 (網上) 或 IELTS 7.0 或 英文母語證明</t>
    <phoneticPr fontId="3" type="noConversion"/>
  </si>
  <si>
    <t xml:space="preserve">若同學於 數學科 只考獲Lv.4或以下，M1/2需考獲Lv.5 </t>
    <phoneticPr fontId="3" type="noConversion"/>
  </si>
  <si>
    <t>JS4468</t>
    <phoneticPr fontId="3" type="noConversion"/>
  </si>
  <si>
    <t>JS4501</t>
    <phoneticPr fontId="3" type="noConversion"/>
  </si>
  <si>
    <t>有冇 生物、化學 其中一科?</t>
    <phoneticPr fontId="3" type="noConversion"/>
  </si>
  <si>
    <t>JS4502</t>
  </si>
  <si>
    <t>JS4550</t>
    <phoneticPr fontId="3" type="noConversion"/>
  </si>
  <si>
    <t>M1/2 需取得Lv.3或以上</t>
    <phoneticPr fontId="3" type="noConversion"/>
  </si>
  <si>
    <t>以下一科選修取得Lv.3︰M1/2、生物、化學、組合科學、物理</t>
    <phoneticPr fontId="3" type="noConversion"/>
  </si>
  <si>
    <t>JS4648</t>
    <phoneticPr fontId="3" type="noConversion"/>
  </si>
  <si>
    <t>以下一科選修取得Lv.3︰M1/2、生物、化學、組合科學、DAT、ICT、物理</t>
    <phoneticPr fontId="3" type="noConversion"/>
  </si>
  <si>
    <t>JS4682</t>
    <phoneticPr fontId="3" type="noConversion"/>
  </si>
  <si>
    <t>以下一科選修取得Lv.3︰M1/2、生物、化學、組合科學、ICT、物理</t>
    <phoneticPr fontId="3" type="noConversion"/>
  </si>
  <si>
    <t>有冇 物理?</t>
    <phoneticPr fontId="3" type="noConversion"/>
  </si>
  <si>
    <t>JS4690</t>
    <phoneticPr fontId="3" type="noConversion"/>
  </si>
  <si>
    <t>數學科考獲 Lv.4 及 其他科目考獲優異成績的考生</t>
    <phoneticPr fontId="3" type="noConversion"/>
  </si>
  <si>
    <t>優先考慮 同時修讀 生物 及 化學 者</t>
  </si>
  <si>
    <t>以下一科選修取得Lv.3︰生物、化學 (優先考慮 同時修讀 者)</t>
  </si>
  <si>
    <t>7科不低於46分，並至少有4科5**</t>
    <phoneticPr fontId="3" type="noConversion"/>
  </si>
  <si>
    <t>JS4502</t>
    <phoneticPr fontId="3" type="noConversion"/>
  </si>
  <si>
    <t>Best 7</t>
    <phoneticPr fontId="3" type="noConversion"/>
  </si>
  <si>
    <t>5**</t>
    <phoneticPr fontId="3" type="noConversion"/>
  </si>
  <si>
    <t>7科46分？</t>
    <phoneticPr fontId="3" type="noConversion"/>
  </si>
  <si>
    <t>4科5**?</t>
    <phoneticPr fontId="3" type="noConversion"/>
  </si>
  <si>
    <t>結果？</t>
    <phoneticPr fontId="3" type="noConversion"/>
  </si>
  <si>
    <t>以下一科選修取得Lv.3︰M1/2、生物、化學、組合科學、綜合科學、物理</t>
    <phoneticPr fontId="3" type="noConversion"/>
  </si>
  <si>
    <t>以下一科選修取得Lv.4︰M1/2、生物、化學、組合科學、地理、物理</t>
    <phoneticPr fontId="3" type="noConversion"/>
  </si>
  <si>
    <t>以下一科選修取得Lv.3︰生物、化學、組合科學、經濟、地理、ICT、綜合科學、物理、科技與生活</t>
    <phoneticPr fontId="3" type="noConversion"/>
  </si>
  <si>
    <t>物理 需考獲Lv.4或以上</t>
    <phoneticPr fontId="3" type="noConversion"/>
  </si>
  <si>
    <t>以下一科選修取得Lv.3︰M1/2、生物、化學、組合科學、經濟、地理、ICT、綜合科學、科技與生活</t>
    <phoneticPr fontId="3" type="noConversion"/>
  </si>
  <si>
    <t>M1/2 需取得Lv.5或以上</t>
    <phoneticPr fontId="3" type="noConversion"/>
  </si>
  <si>
    <t>UST</t>
  </si>
  <si>
    <t>申請人必須出席面試</t>
    <phoneticPr fontId="3" type="noConversion"/>
  </si>
  <si>
    <t>JS5101</t>
  </si>
  <si>
    <t>JS5102</t>
  </si>
  <si>
    <t>JS5103</t>
  </si>
  <si>
    <t>以下一科選修取得Lv.3︰生物、化學、組合科學、物理、ICT</t>
    <phoneticPr fontId="3" type="noConversion"/>
  </si>
  <si>
    <t>JS5181</t>
  </si>
  <si>
    <t>以下一科選修取得Lv.3︰生物、化學、組合科學、物理、ICT、DAT</t>
    <phoneticPr fontId="3" type="noConversion"/>
  </si>
  <si>
    <t>申請人必須以指定連結遞交 設計相關履歷。</t>
    <phoneticPr fontId="3" type="noConversion"/>
  </si>
  <si>
    <t>有冇 理科？</t>
    <phoneticPr fontId="3" type="noConversion"/>
  </si>
  <si>
    <t>英文科應考獲Lv.5 或以上</t>
    <phoneticPr fontId="3" type="noConversion"/>
  </si>
  <si>
    <t>有冇 生物、化學？</t>
    <phoneticPr fontId="3" type="noConversion"/>
  </si>
  <si>
    <t>生物、化學</t>
    <phoneticPr fontId="3" type="noConversion"/>
  </si>
  <si>
    <t>數學科應考獲Lv.4 或以上</t>
    <phoneticPr fontId="3" type="noConversion"/>
  </si>
  <si>
    <t>以下一科選修取得Lv.3︰M1/2、生物、化學、組合科學、物理、經濟</t>
    <phoneticPr fontId="3" type="noConversion"/>
  </si>
  <si>
    <t>申請人須參與 能力傾向測試(Aptitude Test)</t>
    <phoneticPr fontId="3" type="noConversion"/>
  </si>
  <si>
    <t>詳情可細閱課程網站，受邀申請人亦會於電郵收到相應指示。</t>
    <phoneticPr fontId="3" type="noConversion"/>
  </si>
  <si>
    <t>JS6004</t>
  </si>
  <si>
    <t>建築學文學士</t>
  </si>
  <si>
    <t>JS6016</t>
  </si>
  <si>
    <t>理學士(測量學)</t>
  </si>
  <si>
    <t>申請人須參與 能力傾向測試(Aptitude Test) 及 遞交 一份 創意作品 作品集。</t>
  </si>
  <si>
    <t>JS6028</t>
  </si>
  <si>
    <t>園境學文學士</t>
  </si>
  <si>
    <t>生物、化學、組合科學、物理、ICT、綜合科學</t>
    <phoneticPr fontId="3" type="noConversion"/>
  </si>
  <si>
    <t>JS6042</t>
  </si>
  <si>
    <t>文學士(城市研究)</t>
  </si>
  <si>
    <t>JS6054</t>
  </si>
  <si>
    <t>文學士</t>
  </si>
  <si>
    <t>JS6286</t>
  </si>
  <si>
    <t>文學士(人文及數碼科技)</t>
  </si>
  <si>
    <t>經濟學學士 / 經濟金融學學士</t>
  </si>
  <si>
    <t>JS6951</t>
    <phoneticPr fontId="3" type="noConversion"/>
  </si>
  <si>
    <t>生物、化學、組合科學、物理、綜合科學</t>
    <phoneticPr fontId="3" type="noConversion"/>
  </si>
  <si>
    <t>工商管理學學士 / 工商管理學學士(會計及財務)</t>
  </si>
  <si>
    <t>JS6482</t>
    <phoneticPr fontId="3" type="noConversion"/>
  </si>
  <si>
    <t>JS6858</t>
  </si>
  <si>
    <t>金融學學士(資產管理及私人銀行)</t>
  </si>
  <si>
    <t>以下一科選修取得Lv.3︰生物、化學、組合科學、物理、ICT、綜合科學</t>
    <phoneticPr fontId="3" type="noConversion"/>
  </si>
  <si>
    <t>優先考慮 M1/2 考獲Lv. 3 或以上 者</t>
  </si>
  <si>
    <t>工商管理學學士(資訊系統)</t>
  </si>
  <si>
    <t>JS6925</t>
  </si>
  <si>
    <t>工商管理學學士(法學)及法學士 (雙學位課程)</t>
  </si>
  <si>
    <t>以下一科選修取得Lv.3︰生物、化學、組合科學、物理、ICT、綜合科學、經濟、BAFS</t>
  </si>
  <si>
    <t>理學士(營銷分析及科技)</t>
  </si>
  <si>
    <t>M1/2 需考獲Lv. 3 或以上</t>
    <phoneticPr fontId="3" type="noConversion"/>
  </si>
  <si>
    <t>JS6963</t>
    <phoneticPr fontId="3" type="noConversion"/>
  </si>
  <si>
    <t>理學士及法學士(雙學位課程)</t>
  </si>
  <si>
    <t>理學士(計量金融)</t>
  </si>
  <si>
    <t>以下一科選修取得Lv.3︰生物、化學、組合科學、物理、綜合科學</t>
    <phoneticPr fontId="3" type="noConversion"/>
  </si>
  <si>
    <t>工商管理學學士(國際商業及環球管理)</t>
  </si>
  <si>
    <t>JS6456</t>
  </si>
  <si>
    <t>JS6107</t>
  </si>
  <si>
    <t>牙醫學士</t>
  </si>
  <si>
    <t>JS6494</t>
    <phoneticPr fontId="3" type="noConversion"/>
  </si>
  <si>
    <t>化學、組合科學(化學)</t>
    <phoneticPr fontId="3" type="noConversion"/>
  </si>
  <si>
    <t>JS6066</t>
  </si>
  <si>
    <t>文學士及教育學士(語文教育) - 英文教育 (雙學位課程)</t>
  </si>
  <si>
    <t>JS6080</t>
  </si>
  <si>
    <t>文學士及教育學士(語文教育) - 中文教育 (雙學位課程)</t>
  </si>
  <si>
    <t>JS6470</t>
    <phoneticPr fontId="3" type="noConversion"/>
  </si>
  <si>
    <t>JS6092</t>
  </si>
  <si>
    <t>教育學士(幼兒教育及特殊教育)</t>
  </si>
  <si>
    <t>申請人必須掌握流利廣東話及英語。</t>
  </si>
  <si>
    <t>JS6949</t>
    <phoneticPr fontId="3" type="noConversion"/>
  </si>
  <si>
    <t>JS6119</t>
  </si>
  <si>
    <t>教育學士及理學士 (雙學位課程)</t>
  </si>
  <si>
    <t>生物、化學、組合科學</t>
    <phoneticPr fontId="3" type="noConversion"/>
  </si>
  <si>
    <t>以下一科選修取得Lv.3︰物理、組合科學(物理)</t>
    <phoneticPr fontId="3" type="noConversion"/>
  </si>
  <si>
    <t>JS6157</t>
  </si>
  <si>
    <t>理學士(言語及聽覺科學)</t>
  </si>
  <si>
    <t>工學學士(生物醫學工程)</t>
  </si>
  <si>
    <t>JS6937</t>
  </si>
  <si>
    <t>環球工程與商業課程</t>
  </si>
  <si>
    <t>生物、化學、組合科學、物理、M1/2</t>
  </si>
  <si>
    <t>JS6951</t>
  </si>
  <si>
    <t>工學學士(工程科學)</t>
  </si>
  <si>
    <t>JS6963</t>
  </si>
  <si>
    <t>工學學士</t>
  </si>
  <si>
    <t>JS6078</t>
  </si>
  <si>
    <t>文學士及法學士 (雙學位課程)</t>
  </si>
  <si>
    <t>如欲升讀至MBBS，申請人必須有修讀化學 或 組合科學(化學)。</t>
    <phoneticPr fontId="3" type="noConversion"/>
  </si>
  <si>
    <t>JS6406</t>
  </si>
  <si>
    <t>法學士</t>
  </si>
  <si>
    <t>JS6846</t>
    <phoneticPr fontId="3" type="noConversion"/>
  </si>
  <si>
    <t>護理學學士菁英領袖培育專修組別</t>
  </si>
  <si>
    <t>生物、化學、組合科學、物理、ICT、綜合科學、經濟、BAFS</t>
  </si>
  <si>
    <t>內外全科醫學士</t>
  </si>
  <si>
    <t>JS6494</t>
  </si>
  <si>
    <t>藥劑學學士</t>
  </si>
  <si>
    <t>護理學學士</t>
  </si>
  <si>
    <t>中醫全科學士</t>
  </si>
  <si>
    <t>JS6470</t>
  </si>
  <si>
    <t>理學士(生物訊息學)</t>
  </si>
  <si>
    <t>以下兩科選修取得Lv.3︰生物、化學、組合科學、物理、M1/2</t>
  </si>
  <si>
    <t>JS6949</t>
  </si>
  <si>
    <t>生物醫學學士</t>
  </si>
  <si>
    <t>M1/2 需考獲Lv. 4 或以上</t>
    <phoneticPr fontId="3" type="noConversion"/>
  </si>
  <si>
    <t>JS6688</t>
  </si>
  <si>
    <t>科研專才啟導課程</t>
  </si>
  <si>
    <t>JS6729</t>
  </si>
  <si>
    <t>理學士(精算學)</t>
  </si>
  <si>
    <t>JS6901</t>
  </si>
  <si>
    <t>理學士</t>
  </si>
  <si>
    <t>JS6717</t>
  </si>
  <si>
    <t>社會科學學士</t>
  </si>
  <si>
    <t>JS6731</t>
  </si>
  <si>
    <t>社會工作學學士</t>
  </si>
  <si>
    <t>JS6810</t>
  </si>
  <si>
    <t>社會科學學士(政治學與法學)及法學士 (雙學位課程)</t>
  </si>
  <si>
    <t>JS6822</t>
  </si>
  <si>
    <t>新聞學學士</t>
  </si>
  <si>
    <t>英文科考獲 Lv.4 及 其他科目考獲優異成績的考生，將會按個別情況考慮。</t>
    <phoneticPr fontId="3" type="noConversion"/>
  </si>
  <si>
    <t>JS6212</t>
  </si>
  <si>
    <t>文理學士</t>
  </si>
  <si>
    <t>JS6224</t>
  </si>
  <si>
    <t>文理學士(應用人工智能)</t>
  </si>
  <si>
    <t>申請人須遞交 一份 創意作品 作品集。</t>
  </si>
  <si>
    <t>詳情可細閱課程網站。</t>
  </si>
  <si>
    <t>JS6236</t>
  </si>
  <si>
    <t>文理學士(設計＋)</t>
  </si>
  <si>
    <t>JS6248</t>
  </si>
  <si>
    <t>文理學士(金融科技)</t>
  </si>
  <si>
    <t>JS6250</t>
  </si>
  <si>
    <t>文理學士(環球衞生及發展)</t>
  </si>
  <si>
    <t>EdUHK</t>
    <phoneticPr fontId="3" type="noConversion"/>
  </si>
  <si>
    <t>JS8361</t>
    <phoneticPr fontId="3" type="noConversion"/>
  </si>
  <si>
    <t>數學科需考獲 Lv.3 及 M1/2 需考獲 Lv.2</t>
  </si>
  <si>
    <t>數學科考獲 Lv.5 但未有修讀M1/2者，將會按個別情況考慮。</t>
    <phoneticPr fontId="3" type="noConversion"/>
  </si>
  <si>
    <t>ICT、生物、化學、物理、組合科學、綜合科學</t>
    <phoneticPr fontId="3" type="noConversion"/>
  </si>
  <si>
    <t>以下一科選修取得Lv.2︰生物、化學、組合科學、物理、綜合科學、ICT</t>
  </si>
  <si>
    <t>JS8430</t>
    <phoneticPr fontId="3" type="noConversion"/>
  </si>
  <si>
    <t>*注意：本年度未有收生*</t>
  </si>
  <si>
    <t>優先考慮修讀 中國歷史、歷史 者</t>
  </si>
  <si>
    <t>以下一科選修取得Lv.4︰生物、化學、組合科學、物理、綜合科學</t>
  </si>
  <si>
    <t>JS8702</t>
    <phoneticPr fontId="3" type="noConversion"/>
  </si>
  <si>
    <t>生物、化學、組合科學、物理、綜合科學、地理</t>
    <phoneticPr fontId="3" type="noConversion"/>
  </si>
  <si>
    <t>此課程不能以其他資歷取代DSE中國語文科要求。</t>
    <phoneticPr fontId="3" type="noConversion"/>
  </si>
  <si>
    <t>優先考慮 中國文學 考獲 Lv.2 或以上 者</t>
    <phoneticPr fontId="3" type="noConversion"/>
  </si>
  <si>
    <t>優先考慮 英語文學 考獲 Lv.2 或以上 者</t>
    <phoneticPr fontId="3" type="noConversion"/>
  </si>
  <si>
    <t>JS8714</t>
    <phoneticPr fontId="3" type="noConversion"/>
  </si>
  <si>
    <t>同學亦須在額外的 入學測試 中考獲優異成績</t>
    <phoneticPr fontId="3" type="noConversion"/>
  </si>
  <si>
    <t>DSE視覺藝術考獲 Lv.4或以上者 則可豁免該測試</t>
    <phoneticPr fontId="3" type="noConversion"/>
  </si>
  <si>
    <t>ICT、生物、化學、物理、組合科學、綜合科學、M1/2</t>
    <phoneticPr fontId="3" type="noConversion"/>
  </si>
  <si>
    <t>以下一科選修取得Lv.2︰生物、化學、組合科學、物理、綜合科學、地理</t>
  </si>
  <si>
    <t>以下一科選修取得Lv.2︰生物、化學、組合科學、物理、綜合科學、ICT、M1/2</t>
  </si>
  <si>
    <t>優先考慮 修讀 生物 或 體育 者</t>
    <phoneticPr fontId="3" type="noConversion"/>
  </si>
  <si>
    <t>SSSDP</t>
  </si>
  <si>
    <t>優先考慮 生物 或 組合科學 (生物) 考獲Lv.2或以上者</t>
    <phoneticPr fontId="3" type="noConversion"/>
  </si>
  <si>
    <t>申請人在兩個選修科目中的表現將被視為收生過程中的加分項目</t>
  </si>
  <si>
    <t>JSSA01</t>
    <phoneticPr fontId="3" type="noConversion"/>
  </si>
  <si>
    <t>優先考慮:  英文 考獲 Lv.4 或以上 者 及</t>
    <phoneticPr fontId="3" type="noConversion"/>
  </si>
  <si>
    <t>優先考慮 物理 或 生物 或 組合科學 (物理、生物) 考獲Lv.3或以上者</t>
    <phoneticPr fontId="3" type="noConversion"/>
  </si>
  <si>
    <t>JSST04</t>
    <phoneticPr fontId="3" type="noConversion"/>
  </si>
  <si>
    <t>JSST05</t>
    <phoneticPr fontId="3" type="noConversion"/>
  </si>
  <si>
    <t>生物、組合科學(生物)</t>
    <phoneticPr fontId="3" type="noConversion"/>
  </si>
  <si>
    <t>JSSA03</t>
    <phoneticPr fontId="3" type="noConversion"/>
  </si>
  <si>
    <t>物理、生物、組合科學(物理、生物)</t>
    <phoneticPr fontId="3" type="noConversion"/>
  </si>
  <si>
    <t>JSST02</t>
    <phoneticPr fontId="3" type="noConversion"/>
  </si>
  <si>
    <t>優先考慮:  英文 考獲 Lv.4 或以上 者</t>
    <phoneticPr fontId="3" type="noConversion"/>
  </si>
  <si>
    <t>優先考慮:  化學 或 組合科學 (化學) 考獲Lv.4或以上者</t>
    <phoneticPr fontId="3" type="noConversion"/>
  </si>
  <si>
    <t>優先考慮:  英文 Lv.4 或以上，數學 和 通識 及 [物理 或 綜合科學 或 組合科學(物理) ]Lv.3或以上者</t>
    <phoneticPr fontId="3" type="noConversion"/>
  </si>
  <si>
    <t>以下一科選修取得Lv.3︰生物、化學、物理、組合科學、綜合科學 或 健康護理實務(Distinction (I))</t>
    <phoneticPr fontId="3" type="noConversion"/>
  </si>
  <si>
    <t>優先考慮 生物 或 組合科學 (生物) 考獲Lv.3或以上者</t>
    <phoneticPr fontId="3" type="noConversion"/>
  </si>
  <si>
    <t>JSST03</t>
    <phoneticPr fontId="3" type="noConversion"/>
  </si>
  <si>
    <t>優先考慮: 物理、綜合科學、組合科學(物理)</t>
    <phoneticPr fontId="3" type="noConversion"/>
  </si>
  <si>
    <t>JSSV05</t>
    <phoneticPr fontId="3" type="noConversion"/>
  </si>
  <si>
    <t>JSSV10</t>
  </si>
  <si>
    <t>生物、化學、物理、組合科學、綜合科學、M1/2</t>
    <phoneticPr fontId="3" type="noConversion"/>
  </si>
  <si>
    <t>有冇 ICT？</t>
  </si>
  <si>
    <t>優先考慮  生物 或 化學 或 組合科學 (生物、化學) 考獲Lv.2或以上者</t>
  </si>
  <si>
    <t>JSSY01</t>
    <phoneticPr fontId="3" type="noConversion"/>
  </si>
  <si>
    <t>JSSU67</t>
  </si>
  <si>
    <t>生物、化學、組合科學(生物、化學)</t>
  </si>
  <si>
    <t>以下一科選修取得Lv.2︰生物、化學、組合科學、物理、綜合科學、M1/2</t>
    <phoneticPr fontId="3" type="noConversion"/>
  </si>
  <si>
    <t>優先考慮:  數學 及/或 資訊及通訊科技 考獲Lv.3或以上者</t>
  </si>
  <si>
    <t>MEAN</t>
  </si>
  <si>
    <t>取錄</t>
    <phoneticPr fontId="3" type="noConversion"/>
  </si>
  <si>
    <t>Band A Application</t>
    <phoneticPr fontId="3" type="noConversion"/>
  </si>
  <si>
    <t>Band A Offer</t>
    <phoneticPr fontId="3" type="noConversion"/>
  </si>
  <si>
    <t>2023加分制</t>
  </si>
  <si>
    <t>2023計分詳情1</t>
  </si>
  <si>
    <t>2023計分詳情2</t>
  </si>
  <si>
    <t>2023比重1</t>
  </si>
  <si>
    <t>2023比重2</t>
  </si>
  <si>
    <t>2023比重3</t>
  </si>
  <si>
    <t>其他考慮因素1</t>
    <phoneticPr fontId="3" type="noConversion"/>
  </si>
  <si>
    <t>其他考慮因素2</t>
  </si>
  <si>
    <t>其他考慮因素3</t>
  </si>
  <si>
    <t>額外資料1</t>
    <phoneticPr fontId="3" type="noConversion"/>
  </si>
  <si>
    <t>額外資料2</t>
  </si>
  <si>
    <t>額外資料3</t>
  </si>
  <si>
    <t>額外資料4</t>
  </si>
  <si>
    <t>額外資料5</t>
  </si>
  <si>
    <t>額外資料6</t>
  </si>
  <si>
    <t>估算1</t>
  </si>
  <si>
    <t>估算2</t>
  </si>
  <si>
    <t>重考扣分</t>
    <phoneticPr fontId="3" type="noConversion"/>
  </si>
  <si>
    <t>面試1</t>
    <phoneticPr fontId="3" type="noConversion"/>
  </si>
  <si>
    <t>面試2</t>
    <phoneticPr fontId="3" type="noConversion"/>
  </si>
  <si>
    <t>面試3</t>
  </si>
  <si>
    <t>LQ中文比重</t>
    <phoneticPr fontId="3" type="noConversion"/>
  </si>
  <si>
    <t>LQ英文比重</t>
    <phoneticPr fontId="3" type="noConversion"/>
  </si>
  <si>
    <t>LQ數學比重</t>
    <phoneticPr fontId="3" type="noConversion"/>
  </si>
  <si>
    <t>LQ通識比重</t>
    <phoneticPr fontId="3" type="noConversion"/>
  </si>
  <si>
    <t>LQ M1/2比重</t>
    <phoneticPr fontId="3" type="noConversion"/>
  </si>
  <si>
    <t>LQ X1比重</t>
    <phoneticPr fontId="3" type="noConversion"/>
  </si>
  <si>
    <t>LQ X2比重</t>
    <phoneticPr fontId="3" type="noConversion"/>
  </si>
  <si>
    <t>LQ X3比重</t>
    <phoneticPr fontId="3" type="noConversion"/>
  </si>
  <si>
    <t>LQ中文</t>
    <phoneticPr fontId="3" type="noConversion"/>
  </si>
  <si>
    <t>LQ英文</t>
    <phoneticPr fontId="3" type="noConversion"/>
  </si>
  <si>
    <t>LQ數學</t>
    <phoneticPr fontId="3" type="noConversion"/>
  </si>
  <si>
    <t>LQ通識</t>
    <phoneticPr fontId="3" type="noConversion"/>
  </si>
  <si>
    <t>LQ M1/2</t>
    <phoneticPr fontId="3" type="noConversion"/>
  </si>
  <si>
    <t>LQ X1</t>
    <phoneticPr fontId="3" type="noConversion"/>
  </si>
  <si>
    <t>LQ X2</t>
    <phoneticPr fontId="3" type="noConversion"/>
  </si>
  <si>
    <t>LQ X3</t>
    <phoneticPr fontId="3" type="noConversion"/>
  </si>
  <si>
    <t>LQ中文加權後</t>
  </si>
  <si>
    <t>LQ英文加權後</t>
  </si>
  <si>
    <t>LQ數學加權後</t>
  </si>
  <si>
    <t>LQ通識加權後</t>
  </si>
  <si>
    <t>LQ M1/2加權後</t>
  </si>
  <si>
    <t>LQ X1加權後</t>
  </si>
  <si>
    <t>LQ X2加權後</t>
  </si>
  <si>
    <t>LQ X3加權後</t>
  </si>
  <si>
    <t>LQ中文最後揀咗？</t>
    <phoneticPr fontId="3" type="noConversion"/>
  </si>
  <si>
    <t>LQ英文最後揀咗？</t>
  </si>
  <si>
    <t>LQ數學最後揀咗？</t>
  </si>
  <si>
    <t>LQ通識最後揀咗？</t>
  </si>
  <si>
    <t>LQ M1/2最後揀咗？</t>
  </si>
  <si>
    <t>LQ X1最後揀咗？</t>
  </si>
  <si>
    <t>LQ X2最後揀咗？</t>
  </si>
  <si>
    <t>LQ X3最後揀咗？</t>
  </si>
  <si>
    <t>M中文比重</t>
  </si>
  <si>
    <t>M英文比重</t>
  </si>
  <si>
    <t>M數學比重</t>
  </si>
  <si>
    <t>M通識比重</t>
  </si>
  <si>
    <t>M M1/2比重</t>
  </si>
  <si>
    <t>M X1比重</t>
  </si>
  <si>
    <t>M X2比重</t>
  </si>
  <si>
    <t>M X3比重</t>
  </si>
  <si>
    <t>M中文</t>
  </si>
  <si>
    <t>M英文</t>
  </si>
  <si>
    <t>M數學</t>
  </si>
  <si>
    <t>M通識</t>
  </si>
  <si>
    <t>M M1/2</t>
  </si>
  <si>
    <t>M X1</t>
  </si>
  <si>
    <t>M X2</t>
  </si>
  <si>
    <t>M X3</t>
  </si>
  <si>
    <t>M中文加權後</t>
  </si>
  <si>
    <t>M英文加權後</t>
  </si>
  <si>
    <t>M數學加權後</t>
  </si>
  <si>
    <t>M通識加權後</t>
  </si>
  <si>
    <t>M M1/2加權後</t>
  </si>
  <si>
    <t>M X1加權後</t>
  </si>
  <si>
    <t>M X2加權後</t>
  </si>
  <si>
    <t>M X3加權後</t>
  </si>
  <si>
    <t>M中文最後揀咗？</t>
  </si>
  <si>
    <t>M英文最後揀咗？</t>
  </si>
  <si>
    <t>M數學最後揀咗？</t>
  </si>
  <si>
    <t>M通識最後揀咗？</t>
  </si>
  <si>
    <t>M M1/2最後揀咗？</t>
  </si>
  <si>
    <t>M X1最後揀咗？</t>
  </si>
  <si>
    <t>M X2最後揀咗？</t>
  </si>
  <si>
    <t>M X3最後揀咗？</t>
  </si>
  <si>
    <t>UQ中文比重</t>
  </si>
  <si>
    <t>UQ英文比重</t>
  </si>
  <si>
    <t>UQ數學比重</t>
  </si>
  <si>
    <t>UQ通識比重</t>
  </si>
  <si>
    <t>UQ M1/2比重</t>
  </si>
  <si>
    <t>UQ X1比重</t>
  </si>
  <si>
    <t>UQ X2比重</t>
  </si>
  <si>
    <t>UQ X3比重</t>
  </si>
  <si>
    <t>UQ中文</t>
  </si>
  <si>
    <t>UQ英文</t>
  </si>
  <si>
    <t>UQ數學</t>
  </si>
  <si>
    <t>UQ通識</t>
  </si>
  <si>
    <t>UQ M1/2</t>
  </si>
  <si>
    <t>UQ X1</t>
  </si>
  <si>
    <t>UQ X2</t>
  </si>
  <si>
    <t>UQ X3</t>
  </si>
  <si>
    <t>UQ中文加權後</t>
  </si>
  <si>
    <t>UQ英文加權後</t>
  </si>
  <si>
    <t>UQ數學加權後</t>
  </si>
  <si>
    <t>UQ通識加權後</t>
  </si>
  <si>
    <t>UQ M1/2加權後</t>
  </si>
  <si>
    <t>UQ X1加權後</t>
  </si>
  <si>
    <t>UQ X2加權後</t>
  </si>
  <si>
    <t>UQ X3加權後</t>
  </si>
  <si>
    <t>UQ中文最後揀咗？</t>
  </si>
  <si>
    <t>UQ英文最後揀咗？</t>
  </si>
  <si>
    <t>UQ數學最後揀咗？</t>
  </si>
  <si>
    <t>UQ通識最後揀咗？</t>
  </si>
  <si>
    <t>UQ M1/2最後揀咗？</t>
  </si>
  <si>
    <t>UQ X1最後揀咗？</t>
  </si>
  <si>
    <t>UQ X2最後揀咗？</t>
  </si>
  <si>
    <t>UQ X3最後揀咗？</t>
  </si>
  <si>
    <t>Debug</t>
    <phoneticPr fontId="3" type="noConversion"/>
  </si>
  <si>
    <t>2022年</t>
    <phoneticPr fontId="3" type="noConversion"/>
  </si>
  <si>
    <t>JS1000</t>
  </si>
  <si>
    <t>商學院</t>
  </si>
  <si>
    <t>理學士(計算金融及金融科技)</t>
  </si>
  <si>
    <t>4C2X</t>
  </si>
  <si>
    <t>BScCFFT</t>
  </si>
  <si>
    <t>無</t>
    <phoneticPr fontId="3" type="noConversion"/>
  </si>
  <si>
    <t>JUPAS Band排位</t>
    <phoneticPr fontId="3" type="noConversion"/>
  </si>
  <si>
    <t>面試表現/SLP/OEA</t>
    <phoneticPr fontId="3" type="noConversion"/>
  </si>
  <si>
    <t>此參考分數為院校公佈的 已計比重分數，沒有估算成份。</t>
  </si>
  <si>
    <t>JS1001</t>
  </si>
  <si>
    <t>工商管理學士(環球商業)</t>
  </si>
  <si>
    <t>BBAGBU</t>
  </si>
  <si>
    <t>面試表現/SLP/OEA</t>
  </si>
  <si>
    <t>JS1002</t>
  </si>
  <si>
    <t>工商管理學士(會計)</t>
  </si>
  <si>
    <t>BBAAC</t>
  </si>
  <si>
    <t>Best 6</t>
  </si>
  <si>
    <t>最佳六科必須包括︰英文、數學</t>
  </si>
  <si>
    <t>JS1005</t>
  </si>
  <si>
    <t>工商管理學士(管理學)</t>
  </si>
  <si>
    <t>BBAMGMT</t>
  </si>
  <si>
    <t>英文 及 其他選修 成績</t>
    <phoneticPr fontId="3" type="noConversion"/>
  </si>
  <si>
    <t>JS1007</t>
  </si>
  <si>
    <t>工商管理學士(市場營銷)</t>
  </si>
  <si>
    <t>x1.5: 英文</t>
    <phoneticPr fontId="3" type="noConversion"/>
  </si>
  <si>
    <t>BBAMKT</t>
  </si>
  <si>
    <t>x1.5: 英文</t>
  </si>
  <si>
    <t>面試表現</t>
    <phoneticPr fontId="3" type="noConversion"/>
  </si>
  <si>
    <t>JS1012</t>
  </si>
  <si>
    <t>經濟及金融系 [選項: 工商管理學士(商業經濟)、工商管理學士(金融)]</t>
  </si>
  <si>
    <t>EF</t>
  </si>
  <si>
    <t>中文 及 英文 成績</t>
    <phoneticPr fontId="3" type="noConversion"/>
  </si>
  <si>
    <t>OEA</t>
    <phoneticPr fontId="3" type="noConversion"/>
  </si>
  <si>
    <t>JS1013</t>
  </si>
  <si>
    <t>工商管理學士(商業經濟)</t>
  </si>
  <si>
    <t>BBABE</t>
  </si>
  <si>
    <t>JS1014</t>
  </si>
  <si>
    <t>工商管理學士(金融)</t>
  </si>
  <si>
    <t>BBAFIN</t>
  </si>
  <si>
    <t>JS1017</t>
  </si>
  <si>
    <t>資訊系統學系 [選項: 工商管理學士(環球商業系統管理)、工商管理學士(資訊管理)]</t>
  </si>
  <si>
    <t>JS1018</t>
  </si>
  <si>
    <t>工商管理學士(環球商業系統管理)</t>
  </si>
  <si>
    <t>BBAGBSM</t>
  </si>
  <si>
    <t>JS1019</t>
  </si>
  <si>
    <t>工商管理學士(資訊管理)</t>
  </si>
  <si>
    <t>BBAIFMG</t>
  </si>
  <si>
    <t>JS1025</t>
  </si>
  <si>
    <t>管理科學系 [選項: 工商管理學士(商業決策分析)、工商管理學士(環球營運管理)]</t>
  </si>
  <si>
    <t>MS</t>
  </si>
  <si>
    <t>中文、英文 及 數學 成績</t>
    <phoneticPr fontId="3" type="noConversion"/>
  </si>
  <si>
    <t>JS1026</t>
  </si>
  <si>
    <t>工商管理學士(商業決策分析)</t>
  </si>
  <si>
    <t>BBABANL</t>
  </si>
  <si>
    <t>JS1027</t>
  </si>
  <si>
    <t>工商管理學士(環球營運管理)</t>
  </si>
  <si>
    <t>BBABOM</t>
  </si>
  <si>
    <t>JS1041</t>
  </si>
  <si>
    <t>創意媒體學院</t>
  </si>
  <si>
    <t>創意媒體學院 [選項: 文學士(創意媒體)、理學士(創意媒體)、文理學士(新媒體)]</t>
  </si>
  <si>
    <t>x2: 英文</t>
    <phoneticPr fontId="3" type="noConversion"/>
  </si>
  <si>
    <t>SCM</t>
  </si>
  <si>
    <t>x2: 英文</t>
  </si>
  <si>
    <t>個人作品集、創意潛能、電腦能力</t>
    <phoneticPr fontId="3" type="noConversion"/>
  </si>
  <si>
    <t>其他成績 及 資料</t>
    <phoneticPr fontId="3" type="noConversion"/>
  </si>
  <si>
    <t>JS1042</t>
  </si>
  <si>
    <t>文學士(創意媒體)</t>
  </si>
  <si>
    <t>BACM</t>
  </si>
  <si>
    <t>JS1043</t>
  </si>
  <si>
    <t>理學士(創意媒體)</t>
  </si>
  <si>
    <t>x1.5: 數學</t>
    <phoneticPr fontId="3" type="noConversion"/>
  </si>
  <si>
    <t>BScCM</t>
  </si>
  <si>
    <t>x1.5: 數學</t>
  </si>
  <si>
    <t>JS1044</t>
  </si>
  <si>
    <t>文理學士(新媒體)</t>
  </si>
  <si>
    <t>最佳五科必須包括︰英文</t>
    <phoneticPr fontId="3" type="noConversion"/>
  </si>
  <si>
    <t>BAS</t>
  </si>
  <si>
    <t>Best 5</t>
  </si>
  <si>
    <t>最佳五科必須包括︰英文</t>
  </si>
  <si>
    <t>JS1051</t>
  </si>
  <si>
    <t>能源及環境學院</t>
  </si>
  <si>
    <t>能源及環境學院 [選項: 工學士(能源科學及工程學)、工學士(環境科學及工程學)]</t>
  </si>
  <si>
    <t>最佳五科必須包括︰英文、數學 及 以下其中一科︰</t>
  </si>
  <si>
    <t>SEE</t>
  </si>
  <si>
    <t>生物、化學、組合科學、綜合科學、物理</t>
  </si>
  <si>
    <t>x2.5: 數學 | x2: 英文</t>
  </si>
  <si>
    <t>第二選修(x1.5): 生物、化學、組合科學、地理、M1/2、物理</t>
  </si>
  <si>
    <t>其他入學分數</t>
    <phoneticPr fontId="3" type="noConversion"/>
  </si>
  <si>
    <t>其他申請資料</t>
    <phoneticPr fontId="3" type="noConversion"/>
  </si>
  <si>
    <t>JS1061</t>
  </si>
  <si>
    <t>法律學院</t>
  </si>
  <si>
    <t>法律學學士</t>
  </si>
  <si>
    <t>最佳六科必須包括︰英文</t>
    <phoneticPr fontId="3" type="noConversion"/>
  </si>
  <si>
    <t>LLB</t>
  </si>
  <si>
    <t>最佳六科必須包括︰英文</t>
  </si>
  <si>
    <t>面試表現/OEA</t>
    <phoneticPr fontId="3" type="noConversion"/>
  </si>
  <si>
    <t>JS1062</t>
  </si>
  <si>
    <t>法律學院/商學院</t>
  </si>
  <si>
    <t>法律學學士與工商管理學士(會計)</t>
  </si>
  <si>
    <t>LLB&amp;BBAAC</t>
  </si>
  <si>
    <t>JS1071</t>
  </si>
  <si>
    <t>數據科學學院</t>
  </si>
  <si>
    <t>數據科學學院 [選項：理學士 (數據科學)、理學士 (數據與系統工程)]</t>
  </si>
  <si>
    <t>x2: 英文、數學</t>
    <phoneticPr fontId="3" type="noConversion"/>
  </si>
  <si>
    <t>SDSC</t>
  </si>
  <si>
    <t>x2: 英文、數學</t>
  </si>
  <si>
    <t>M1/2 成績</t>
    <phoneticPr fontId="3" type="noConversion"/>
  </si>
  <si>
    <t>JS1072</t>
  </si>
  <si>
    <t>理學士(數據科學)</t>
  </si>
  <si>
    <t>BScDSC</t>
  </si>
  <si>
    <t>JS1074</t>
  </si>
  <si>
    <t>理學士(數據與系統工程)</t>
  </si>
  <si>
    <t>BEngDSE</t>
  </si>
  <si>
    <t>JS1102</t>
  </si>
  <si>
    <t>人文社會科學院</t>
  </si>
  <si>
    <t>社會科學學士(國際關係及全球事務)</t>
  </si>
  <si>
    <t>BSocScASIS</t>
  </si>
  <si>
    <t>最佳五科必須包括︰英文、通識</t>
  </si>
  <si>
    <t>JS1103</t>
  </si>
  <si>
    <t>文學士(中文及歷史)</t>
  </si>
  <si>
    <t>BACHIS</t>
  </si>
  <si>
    <t>x2: 中文、英文</t>
  </si>
  <si>
    <t>x1.5: 通識、中史、中國文學、歷史、藝術</t>
  </si>
  <si>
    <t>JS1104</t>
  </si>
  <si>
    <t>文學士(英語語言)</t>
  </si>
  <si>
    <t>x1.5: 通識、英語文學</t>
  </si>
  <si>
    <t>BAEN</t>
  </si>
  <si>
    <t>x2.5: 英文</t>
  </si>
  <si>
    <t>JS1106</t>
  </si>
  <si>
    <t>媒體與傳播系 [選項: 文學士(數碼電視與廣播)、文學士(媒體與傳播)]</t>
  </si>
  <si>
    <t>x1.25: 中文、英文</t>
    <phoneticPr fontId="3" type="noConversion"/>
  </si>
  <si>
    <t>COM</t>
  </si>
  <si>
    <t>x1.25: 中文、英文</t>
  </si>
  <si>
    <t>OEA/SPN</t>
    <phoneticPr fontId="3" type="noConversion"/>
  </si>
  <si>
    <t>JS1108</t>
  </si>
  <si>
    <t>社會科學學士(公共政策與政治)</t>
  </si>
  <si>
    <t>BSocScPPP</t>
  </si>
  <si>
    <t>JS1109</t>
  </si>
  <si>
    <t>文學士(語言學及語言應用)</t>
  </si>
  <si>
    <t>BALLA</t>
  </si>
  <si>
    <t>x1.5: 中文、數學</t>
  </si>
  <si>
    <t>相關科目 成績</t>
    <phoneticPr fontId="3" type="noConversion"/>
  </si>
  <si>
    <t>此課程JUPAS編號先前為JS1105</t>
    <phoneticPr fontId="3" type="noConversion"/>
  </si>
  <si>
    <t>JS1110</t>
  </si>
  <si>
    <t>社會及行為科學系 [選項: 社會科學學士(犯罪學及社會學)、社會科學學士(心理學)、社會科學學士(社會工作)]</t>
  </si>
  <si>
    <t>SS</t>
  </si>
  <si>
    <t>課程相關科目 成績</t>
    <phoneticPr fontId="3" type="noConversion"/>
  </si>
  <si>
    <t>JS1111</t>
  </si>
  <si>
    <t>社會科學學士(犯罪學及社會學)</t>
  </si>
  <si>
    <t>BSocScCRSO</t>
  </si>
  <si>
    <t>JS1112</t>
  </si>
  <si>
    <t>社會科學學士(心理學)</t>
  </si>
  <si>
    <t>BSocScPSY</t>
  </si>
  <si>
    <t>JS1113</t>
  </si>
  <si>
    <t>社會科學學士(社會工作)</t>
  </si>
  <si>
    <t>BSocScSW</t>
  </si>
  <si>
    <t>JS1122</t>
  </si>
  <si>
    <t>社會科學學士(公共政策)與法律學學士</t>
  </si>
  <si>
    <t>BSocScPP&amp;LLB</t>
  </si>
  <si>
    <t>JS1123</t>
  </si>
  <si>
    <t>社會科學學士(犯罪學)與法律學學士</t>
  </si>
  <si>
    <t>BSocScCR&amp;LLB</t>
  </si>
  <si>
    <t>JS1200</t>
  </si>
  <si>
    <t>理學院</t>
  </si>
  <si>
    <t>環球精研與科創課程</t>
  </si>
  <si>
    <t>GREAT</t>
  </si>
  <si>
    <t>x2.5: 數學、生物、化學、經濟、M1/2、物理</t>
  </si>
  <si>
    <t>JS1201</t>
  </si>
  <si>
    <t>工學院</t>
  </si>
  <si>
    <t>建築學及土木工程學系 [選項: 工學士(建築工程)、工學士(土木工程)、理學士(建築學及測量學)]</t>
  </si>
  <si>
    <t>x1.5: 中文</t>
    <phoneticPr fontId="3" type="noConversion"/>
  </si>
  <si>
    <t>ACE</t>
  </si>
  <si>
    <t>x1.5: 中文</t>
  </si>
  <si>
    <t>JS1202</t>
  </si>
  <si>
    <t>理學士(化學)</t>
  </si>
  <si>
    <t>BScCHEM</t>
  </si>
  <si>
    <t>x2: 英文、化學</t>
  </si>
  <si>
    <t>JS1204</t>
  </si>
  <si>
    <t>理學士(電腦科學)</t>
  </si>
  <si>
    <t>BScCSC</t>
  </si>
  <si>
    <t>生物、化學、組合科學、ICT、綜合科學、M1/2、物理</t>
  </si>
  <si>
    <t>SPN、OEA</t>
    <phoneticPr fontId="3" type="noConversion"/>
  </si>
  <si>
    <t>JS1205</t>
  </si>
  <si>
    <t>電機工程學系 [選項: 工學士(電子計算機及數據工程學)、工學士(電子及電機工程學)、工學士(資訊工程學)、工學士(微電子工程學)]</t>
  </si>
  <si>
    <t>最佳五科必須包括︰英文、數學</t>
    <phoneticPr fontId="3" type="noConversion"/>
  </si>
  <si>
    <t>EE</t>
  </si>
  <si>
    <t>最佳五科必須包括︰英文、數學</t>
  </si>
  <si>
    <t>x1.5: 生物、化學、組合科學(生物、化學)、綜合科學</t>
  </si>
  <si>
    <t>面試表現/SLP/OEA/SPN</t>
    <phoneticPr fontId="3" type="noConversion"/>
  </si>
  <si>
    <t>收生主要考慮2020至2022DSE的成績</t>
    <phoneticPr fontId="3" type="noConversion"/>
  </si>
  <si>
    <t>JS1206</t>
  </si>
  <si>
    <t>理學士(計算數學)</t>
  </si>
  <si>
    <t>最佳五科必須包括︰數學</t>
  </si>
  <si>
    <t>x2.5: 數學 | x2: 英文、M1/2</t>
  </si>
  <si>
    <t>x1.5: 生物、化學、組合科學、物理</t>
  </si>
  <si>
    <t>JS1207</t>
  </si>
  <si>
    <t>機械工程學系 [選項: 工學士(航空航天工程)、工學士(機械工程)、工學士(核子及風險工程)]</t>
  </si>
  <si>
    <t>MNE</t>
  </si>
  <si>
    <t>最佳六科必須包括︰數學</t>
  </si>
  <si>
    <t>x2: 英文、數學、物理</t>
  </si>
  <si>
    <t>x1.5: 化學、組合科學、DAT、M1/2</t>
  </si>
  <si>
    <t>JS1208</t>
  </si>
  <si>
    <t>理學士(物理學)</t>
  </si>
  <si>
    <t>BScPHY</t>
  </si>
  <si>
    <t>x2: 英文、物理 | x1.5: M1/2</t>
  </si>
  <si>
    <t>x1.25: 數學</t>
  </si>
  <si>
    <t>JS1210</t>
  </si>
  <si>
    <t>工學士(材料科學及工程)</t>
  </si>
  <si>
    <t>BEngMASE</t>
  </si>
  <si>
    <t>最佳六科必須包括︰英文、數學 及 以下其中一科︰</t>
  </si>
  <si>
    <t>x2: 數學、物理</t>
  </si>
  <si>
    <t>x1.5: 英文、生物、化學、M1/2</t>
  </si>
  <si>
    <t>JS1211</t>
  </si>
  <si>
    <t>工學士(生物醫學工程)</t>
  </si>
  <si>
    <t>BEngBME</t>
  </si>
  <si>
    <t>若同學同時修讀數學及M1/2，最佳五科只會包含其中一科。</t>
  </si>
  <si>
    <t>x2: 英文、數學、生物、化學、組合化學、M1/2、物理</t>
  </si>
  <si>
    <t>JS1216</t>
  </si>
  <si>
    <t>工學士(智能製造工程學)</t>
  </si>
  <si>
    <t>ITME</t>
  </si>
  <si>
    <t>x2: 英文、數學、ICT、M1/2、物理</t>
  </si>
  <si>
    <t>JS1217</t>
  </si>
  <si>
    <t>工學院(選項: 工學院任何一個主修及工程創業副修)</t>
  </si>
  <si>
    <t>x2: 英文、數學、生物、化學、組合科學、DAT、ICT、綜合科學、M1/2、物理</t>
  </si>
  <si>
    <t>CENG</t>
  </si>
  <si>
    <t>JS1220</t>
  </si>
  <si>
    <t>法律學院/理學院</t>
  </si>
  <si>
    <t>法律學學士與理學士(計算數學)</t>
  </si>
  <si>
    <t>LLB&amp;BScCM</t>
  </si>
  <si>
    <t>無資料</t>
    <phoneticPr fontId="3" type="noConversion"/>
  </si>
  <si>
    <t>x1.5: 英文、M1/2</t>
  </si>
  <si>
    <t>JS1221</t>
  </si>
  <si>
    <t>理學士(電腦科學)與理學士(計算金融及金融科技)</t>
  </si>
  <si>
    <t>BScCS&amp;BScCFFT</t>
  </si>
  <si>
    <t>JS1801</t>
  </si>
  <si>
    <t>賽馬會動物醫學及生命科學院</t>
  </si>
  <si>
    <t>獸醫學學士</t>
  </si>
  <si>
    <t>最佳六科必須包括︰英文、數學、生物 及 化學</t>
  </si>
  <si>
    <t>BVM</t>
  </si>
  <si>
    <t>面試表現/個人自述(OEA)</t>
    <phoneticPr fontId="3" type="noConversion"/>
  </si>
  <si>
    <t>英文水平</t>
    <phoneticPr fontId="3" type="noConversion"/>
  </si>
  <si>
    <t>生物醫學系 [選項: 理學士(生物科學)、理學士(生物醫學)]</t>
  </si>
  <si>
    <t>BMS</t>
  </si>
  <si>
    <t>x2: 英文、生物、化學、組合科學</t>
  </si>
  <si>
    <t>x1.5: 數學、BAFS、DAT、ICT、綜合科學、M1/2、物理</t>
  </si>
  <si>
    <t>JS1806</t>
  </si>
  <si>
    <t>理學士(生物科學)</t>
  </si>
  <si>
    <t>BScBISI</t>
  </si>
  <si>
    <t>理學士(生物醫學)</t>
  </si>
  <si>
    <t>BScBMS</t>
  </si>
  <si>
    <t>BandA競爭人數</t>
  </si>
  <si>
    <t>JS2020</t>
  </si>
  <si>
    <t>文學院</t>
  </si>
  <si>
    <t>文學士(榮譽) (中國語言文學 / 創意及專業寫作 / 英國語言文學 / 人文學 / 翻譯學)</t>
  </si>
  <si>
    <t>BA</t>
  </si>
  <si>
    <t>面試表現/OEA/SPN</t>
    <phoneticPr fontId="3" type="noConversion"/>
  </si>
  <si>
    <t>英文科成績</t>
    <phoneticPr fontId="3" type="noConversion"/>
  </si>
  <si>
    <t>此參考分數 以院校公佈的 原始分數 及 比重 作估算，並非完全準確。</t>
  </si>
  <si>
    <t>以上含比重分數一律以最大比重作估算，或會稍高於真實分數，只供參考。</t>
  </si>
  <si>
    <t>JS2025</t>
  </si>
  <si>
    <t>文學院</t>
    <phoneticPr fontId="3" type="noConversion"/>
  </si>
  <si>
    <t>宗教、哲學及倫理文學士(榮譽)</t>
  </si>
  <si>
    <t>BA(RPE)</t>
  </si>
  <si>
    <t>部份同學或會受邀參與面試。</t>
    <phoneticPr fontId="3" type="noConversion"/>
  </si>
  <si>
    <t>JS2060</t>
  </si>
  <si>
    <t>文學士(榮譽) / 音樂學士(榮譽) (音樂 / 創意產業)</t>
  </si>
  <si>
    <t>BA/BMUS(MUSIC/CI)</t>
  </si>
  <si>
    <t xml:space="preserve">學系將審視申請人的音樂資歷。
</t>
    <phoneticPr fontId="3" type="noConversion"/>
  </si>
  <si>
    <t xml:space="preserve">同學須遞交作品集，或參與入學面試/考試。 </t>
    <phoneticPr fontId="3" type="noConversion"/>
  </si>
  <si>
    <t>詳情請細閱以下網站: https://mus.hkbu.edu.hk/</t>
    <phoneticPr fontId="3" type="noConversion"/>
  </si>
  <si>
    <t>JS2110</t>
  </si>
  <si>
    <t>工商管理學士(榮譽) - 會計學專修</t>
  </si>
  <si>
    <t>x1.2: 英文</t>
    <phoneticPr fontId="3" type="noConversion"/>
  </si>
  <si>
    <t>BBA(ACCT)</t>
  </si>
  <si>
    <t>優先考慮 英文 成績優異者</t>
    <phoneticPr fontId="3" type="noConversion"/>
  </si>
  <si>
    <t>JS2120</t>
  </si>
  <si>
    <t>工商管理學士(榮譽)</t>
  </si>
  <si>
    <t>BBA</t>
  </si>
  <si>
    <t>JS2310</t>
  </si>
  <si>
    <t>傳理學院</t>
  </si>
  <si>
    <t>傳理學學士(榮譽) (新聞與數碼媒體 / 公關及廣告)</t>
  </si>
  <si>
    <t>最佳五科必須包括︰中文、英文</t>
    <phoneticPr fontId="3" type="noConversion"/>
  </si>
  <si>
    <t>BCOMM</t>
  </si>
  <si>
    <t>優先考慮 中文、英文 成績優異者</t>
    <phoneticPr fontId="3" type="noConversion"/>
  </si>
  <si>
    <t>JS2330</t>
  </si>
  <si>
    <t>電影電視文學士(榮譽)</t>
  </si>
  <si>
    <t>BCOMM(FTV)</t>
  </si>
  <si>
    <t>較前JUPAS Band排位</t>
    <phoneticPr fontId="3" type="noConversion"/>
  </si>
  <si>
    <t>優先考慮 中文 及 英文 成績優異者</t>
    <phoneticPr fontId="3" type="noConversion"/>
  </si>
  <si>
    <t>通過初審的申請者將會被安排進行個人或小組面試，申請人只須於面試期間匯報其作品集。</t>
    <phoneticPr fontId="3" type="noConversion"/>
  </si>
  <si>
    <t>考生應以數碼形式準備作品集，以便匯報。作品應表現申請者的創意、講故事技巧和圖像概念。</t>
    <phoneticPr fontId="3" type="noConversion"/>
  </si>
  <si>
    <t>JS2340</t>
  </si>
  <si>
    <t>環球螢幕演技藝術學士(榮譽)</t>
  </si>
  <si>
    <t>BFA(AGS)</t>
  </si>
  <si>
    <t>受邀的同學須參與入學測試及面試。</t>
    <phoneticPr fontId="3" type="noConversion"/>
  </si>
  <si>
    <t>申請人亦須遞交作品集。</t>
    <phoneticPr fontId="3" type="noConversion"/>
  </si>
  <si>
    <t>詳情請細閱以下網站:  http://af.hkbu.edu.hk/en/prog-bfa</t>
    <phoneticPr fontId="3" type="noConversion"/>
  </si>
  <si>
    <t>JS2370</t>
  </si>
  <si>
    <t>傳理學學士(榮譽) - 遊戲設計與動畫主修</t>
  </si>
  <si>
    <t>BCOMM(GDA)</t>
  </si>
  <si>
    <t>x1.25: 英文</t>
  </si>
  <si>
    <t>x1.15: 視覺藝術</t>
  </si>
  <si>
    <t>x1.1: 數學</t>
  </si>
  <si>
    <t>通過初審的申請者將會被安排進行個人或小組面試，申請人只須於面試期間匯報其作品集。</t>
  </si>
  <si>
    <t>考生應以數碼形式準備作品集，以便匯報。作品應表現申請者的創意、視像及設計能力 和 動畫/遊戲設計的潛能。</t>
    <phoneticPr fontId="3" type="noConversion"/>
  </si>
  <si>
    <t>此處經計算後，LQ的分數會比Median略高，原因如下︰</t>
  </si>
  <si>
    <t>由於院校公佈的 LQ/Median是綜合所有表現的整體收生分數，所以可出現DSE分數較低，但其他表現分數較高的情況。</t>
  </si>
  <si>
    <t>JS2410</t>
  </si>
  <si>
    <t>中醫藥學院</t>
  </si>
  <si>
    <t>中醫學學士及生物醫學理學士(榮譽)</t>
  </si>
  <si>
    <t>x1.5: 中文、英文、生物</t>
  </si>
  <si>
    <t>x1.25: 化學</t>
  </si>
  <si>
    <t>BCM&amp;BSc(BIOMED)</t>
  </si>
  <si>
    <t>JS2420</t>
  </si>
  <si>
    <t>中藥學學士(榮譽)</t>
  </si>
  <si>
    <t>x1.5: 英文、化學</t>
  </si>
  <si>
    <t>x1.25: 生物、數學</t>
  </si>
  <si>
    <t>BPharm</t>
  </si>
  <si>
    <t>JS2510</t>
  </si>
  <si>
    <t>理學士(榮譽)</t>
  </si>
  <si>
    <t>其中一科選修必須為甲類科目(包括M1/2)</t>
    <phoneticPr fontId="3" type="noConversion"/>
  </si>
  <si>
    <t>BSc</t>
  </si>
  <si>
    <t>優先考慮 理科* 成績優異者</t>
    <phoneticPr fontId="3" type="noConversion"/>
  </si>
  <si>
    <t>*理科: 化學、生物、物理、數學、ICT、組合科學、綜合科學</t>
    <phoneticPr fontId="3" type="noConversion"/>
  </si>
  <si>
    <t>JS2610</t>
  </si>
  <si>
    <t>社會科學院</t>
  </si>
  <si>
    <t>文學士(榮譽) / 社會科學學士(榮譽) (歐洲研究 [法文/德文] / 地理 / 全球及中國研究 / 政治及國際關係學 / 歷史 / 社會學)</t>
  </si>
  <si>
    <t>BA/BSocSc</t>
  </si>
  <si>
    <t>Applied Learning subjects  will be considered in the admissions selection process.</t>
    <phoneticPr fontId="3" type="noConversion"/>
  </si>
  <si>
    <t>JS2620</t>
  </si>
  <si>
    <t>體育及康樂管理文學士(榮譽)</t>
  </si>
  <si>
    <t>BA(PERM)</t>
  </si>
  <si>
    <t>JS2660</t>
  </si>
  <si>
    <t>社會工作學士(榮譽)</t>
  </si>
  <si>
    <t>x1.5: 通識</t>
    <phoneticPr fontId="3" type="noConversion"/>
  </si>
  <si>
    <t>BSW</t>
  </si>
  <si>
    <t>JS2810</t>
  </si>
  <si>
    <t>視覺藝術院</t>
  </si>
  <si>
    <t>視覺藝術文學士(榮譽)</t>
  </si>
  <si>
    <t>BA(VA)</t>
  </si>
  <si>
    <t>申請人須遞交作品集，受邀的同學須參與入學測試及面試。</t>
    <phoneticPr fontId="3" type="noConversion"/>
  </si>
  <si>
    <t>有關作品集指引、考核詳情及時間表，請查閱以下網站: https://ava.hkbu.edu.hk/en/bachelor/admission</t>
    <phoneticPr fontId="3" type="noConversion"/>
  </si>
  <si>
    <t>JS2910</t>
  </si>
  <si>
    <t>跨學院課程</t>
    <phoneticPr fontId="3" type="noConversion"/>
  </si>
  <si>
    <t>商業計算及數據分析理學士(榮譽)</t>
  </si>
  <si>
    <t>BSc(BCDA)</t>
  </si>
  <si>
    <t>JS2920</t>
  </si>
  <si>
    <t>藝術及科技文理學士(榮譽)</t>
  </si>
  <si>
    <t>x1.2: 數學</t>
    <phoneticPr fontId="3" type="noConversion"/>
  </si>
  <si>
    <t>BASc(ARTT)</t>
  </si>
  <si>
    <t>申請人須遞交作品集及參與入學面試。</t>
    <phoneticPr fontId="3" type="noConversion"/>
  </si>
  <si>
    <t>JS2930</t>
  </si>
  <si>
    <t>工商管理文學士(榮譽)(全球娛樂)</t>
  </si>
  <si>
    <t>BA(BUSADMIN-GE)</t>
  </si>
  <si>
    <t>JS2940</t>
  </si>
  <si>
    <t>創新醫療及社會健康社會科學學士(榮譽) / 理學士(榮譽)</t>
  </si>
  <si>
    <t>BSocSc/BSc(HSWB)</t>
  </si>
  <si>
    <t>1. 院校在收生時，除了DSE分數，亦有不同考慮，例如面試表現、OEA等。</t>
  </si>
  <si>
    <t>JS2950</t>
  </si>
  <si>
    <t>文理及科技學士(榮譽)自訂主修</t>
  </si>
  <si>
    <t>BAScT</t>
  </si>
  <si>
    <t>JS3010</t>
  </si>
  <si>
    <t>生物科技、食物安全及化學科技(榮譽)理學士組合課程</t>
  </si>
  <si>
    <t>x7: 中文、通識、M1/2、綜合科學、物理</t>
  </si>
  <si>
    <t>BIOT, FOOD SAFE &amp; CHEM T</t>
  </si>
  <si>
    <t>有</t>
    <phoneticPr fontId="3" type="noConversion"/>
  </si>
  <si>
    <t>JS3020</t>
  </si>
  <si>
    <t>數據科學(榮譽)理學士組合課程 (數據科學及分析 / 投資科學及金融分析)</t>
  </si>
  <si>
    <t>DATA SCI</t>
  </si>
  <si>
    <t>JS3030</t>
  </si>
  <si>
    <t>物理學(榮譽)理學士 副主修人工智能及數據分析 / 創新及創業</t>
  </si>
  <si>
    <t>x7: 中文、通識、生物、化學、組合科學(生物、化學)、ICT、綜合科學</t>
  </si>
  <si>
    <t>PHYSICS</t>
  </si>
  <si>
    <t>JS3050</t>
  </si>
  <si>
    <t>時裝及紡織學院</t>
  </si>
  <si>
    <t>時裝(榮譽)文學士組合課程 (時裝設計 / 針織時裝設計 / 內衣及運動服裝 / 時裝商務 / 時裝創新及科技)</t>
  </si>
  <si>
    <t>FASHION</t>
  </si>
  <si>
    <t>x7: 中文、英文、數學、通識</t>
  </si>
  <si>
    <t>JS3060</t>
  </si>
  <si>
    <t>工商管理學院</t>
  </si>
  <si>
    <t>會計及金融(榮譽)工商管理學士組合課程 (會計學 / 會計及金融 / 數碼金融及投資學)</t>
  </si>
  <si>
    <t>ACCT &amp; FINANCE</t>
  </si>
  <si>
    <t>JS3070</t>
  </si>
  <si>
    <t>航空、航運及供應鏈管理(榮譽)工商管理學士組合課程 (航空管理及金融 / 國際航運及物流管理 / 供應鏈管理及分析)</t>
  </si>
  <si>
    <t>AVIAT, MARITIME &amp; SC MGT</t>
  </si>
  <si>
    <t>JS3080</t>
  </si>
  <si>
    <t>管理及市場學(榮譽)工商管理學士組合課程 (管理學 / 市場學)</t>
  </si>
  <si>
    <t>MGT &amp; MARKETING</t>
  </si>
  <si>
    <t>JS3100</t>
  </si>
  <si>
    <t>建築及環境學院</t>
  </si>
  <si>
    <t>建築及房地產(榮譽)理學士組合課程 (建築工程及管理學 / 物業管理學 / 地產及建設測量學)</t>
  </si>
  <si>
    <t>BLDG &amp; REAL ESTATE</t>
  </si>
  <si>
    <t>JS3110</t>
  </si>
  <si>
    <t>建築科學及工程學(榮譽)工學士組合課程 (建築科學及工程學 / 建築科學及工程學(屋宇設備工程學))</t>
  </si>
  <si>
    <t>BLDG SCI &amp; ENGG</t>
  </si>
  <si>
    <t>JS3120</t>
  </si>
  <si>
    <t>土木工程及可持續發展學(榮譽)工學士組合課程</t>
  </si>
  <si>
    <t>CIVIL ENGG &amp; SUS DEVELOP</t>
  </si>
  <si>
    <t>JS3130</t>
  </si>
  <si>
    <t>空間數據科學及智慧城市(榮譽)理學士組合課程 (土地測量及地理資訊學)</t>
  </si>
  <si>
    <t>LAND SURV &amp; GEO-INFO</t>
  </si>
  <si>
    <t>JS3140</t>
  </si>
  <si>
    <t>工程學院</t>
  </si>
  <si>
    <t>航空工程學(榮譽)工學士組合課程 (航空工程學 / 民航工程學)</t>
  </si>
  <si>
    <t>AVIATION ENGG</t>
  </si>
  <si>
    <t>JS3150</t>
  </si>
  <si>
    <t>生物醫學工程(榮譽)理學士組合課程</t>
  </si>
  <si>
    <t>x7: 中文、英文、通識</t>
  </si>
  <si>
    <t>BIOMEDICAL ENGG</t>
  </si>
  <si>
    <t>JS3170</t>
  </si>
  <si>
    <t>電機工程學(榮譽)工學士組合課程 (電機工程學 / 運輸系統工程學)</t>
  </si>
  <si>
    <t>x7: 中文、通識、BAFS、中國文學、DAT、經濟、英語文學</t>
  </si>
  <si>
    <t>ELECTRICAL ENGG</t>
  </si>
  <si>
    <t>JS3180</t>
  </si>
  <si>
    <t>資訊及人工智能工程學(榮譽)工學士 / 理學士組合課程 (物聯網 / 人工智能 / 資訊安全)</t>
  </si>
  <si>
    <t>x7: 中文、通識、DAT、綜合科學</t>
  </si>
  <si>
    <t>INFO &amp; AI ENGG</t>
  </si>
  <si>
    <t>JS3240</t>
  </si>
  <si>
    <t>醫療及社會科學院</t>
  </si>
  <si>
    <t>英文及應用語言學(榮譽)文學士組合課程</t>
  </si>
  <si>
    <t>中英Best3</t>
  </si>
  <si>
    <t>ENGL &amp; APP LINGUISTICS</t>
  </si>
  <si>
    <t>JS3250</t>
  </si>
  <si>
    <t>應用社會科學(榮譽)文學士組合課程 (社會工作 / 社會政策及社會創業)</t>
  </si>
  <si>
    <t>APPLIED SOC SCI</t>
  </si>
  <si>
    <t>JS3290</t>
  </si>
  <si>
    <t>眼科視光學(榮譽)理學士組合課程</t>
  </si>
  <si>
    <t>OPTOMETRY</t>
  </si>
  <si>
    <t>JS3310</t>
  </si>
  <si>
    <t>酒店及旅遊業管理學院</t>
  </si>
  <si>
    <t>酒店及旅遊管理(榮譽)理學士組合課程 (酒店管理 / 智慧旅遊及酒店產業 / 會展及體驗管理)</t>
  </si>
  <si>
    <t>x10: 英文</t>
  </si>
  <si>
    <t>x7: 其他科目</t>
  </si>
  <si>
    <t>HOTEL &amp; TOURISM MGT</t>
  </si>
  <si>
    <t>JS3320</t>
  </si>
  <si>
    <t>人文學院</t>
  </si>
  <si>
    <t>中國歷史及文化(榮譽)文學士組合課程</t>
  </si>
  <si>
    <t>2023年新科目</t>
  </si>
  <si>
    <t>CHI HISTORY &amp; CULTURE</t>
  </si>
  <si>
    <t>x7: 數學、通識</t>
  </si>
  <si>
    <t>JS3330</t>
  </si>
  <si>
    <t>語言科學、翻譯學及言語治療(榮譽)文學士/理學士組合課程 (語言學及翻譯學 / 語言科學與語言數據分析 / 言語治療)</t>
  </si>
  <si>
    <t>LANG SCI, TRANSLAT, &amp; ST</t>
  </si>
  <si>
    <t>JS3337</t>
  </si>
  <si>
    <t>護理學(榮譽)理學士組合課程 - 精神健康護理學(榮譽)理學士</t>
  </si>
  <si>
    <t>MENTAL HEALTH NURSING</t>
  </si>
  <si>
    <t>JS3478</t>
  </si>
  <si>
    <t>醫療化驗科學及放射學(榮譽)理學士組合課程 - 醫療化驗科學(榮譽)理學士</t>
  </si>
  <si>
    <t>MED LAB SCI</t>
  </si>
  <si>
    <t>JS3557</t>
  </si>
  <si>
    <t>產品及工業工程(榮譽)工學士組合課程 (產品工程兼市場學 / 工業及系統工程學)</t>
  </si>
  <si>
    <t>PROD &amp; INDUSTRIAL ENGG</t>
  </si>
  <si>
    <t>JS3569</t>
  </si>
  <si>
    <t>設計學院</t>
  </si>
  <si>
    <t>設計學(榮譽)文學士組合課程 (廣告設計/環境設計/信息設計/交互設計/室内設計/媒體設計/產品設計/服務創新設計/社會創新設計)</t>
  </si>
  <si>
    <t>DESIGN</t>
  </si>
  <si>
    <t>x7: BAFS、經濟、歷史、音樂、科技與生活、旅遊與款待</t>
  </si>
  <si>
    <t>JS3571</t>
  </si>
  <si>
    <t>物流及企業工程(榮譽)理學士組合課程 (物流工程兼管理學 / 企業工程兼管理學)</t>
  </si>
  <si>
    <t>LOG &amp; ENTERPRISE ENGG</t>
  </si>
  <si>
    <t>JS3612</t>
  </si>
  <si>
    <t>醫療化驗科學及放射學(榮譽)理學士組合課程 - 放射學(榮譽)理學士</t>
  </si>
  <si>
    <t>x7: 通識、M1/2</t>
  </si>
  <si>
    <t>RADIOGRAPHY</t>
  </si>
  <si>
    <t>JS3624</t>
  </si>
  <si>
    <t>康復治療科學(榮譽)理學士組合課程 - 職業治療學(榮譽)理學士</t>
  </si>
  <si>
    <t>OCCUPATIONAL THERAPY</t>
  </si>
  <si>
    <t>JS3636</t>
  </si>
  <si>
    <t>康復治療科學(榮譽)理學士組合課程 - 物理治療學(榮譽)理學士</t>
  </si>
  <si>
    <t>PHYSIOTHERAPY</t>
  </si>
  <si>
    <t>JS3648</t>
  </si>
  <si>
    <t>護理學(榮譽)理學士組合課程 - 護理學(榮譽)理學士</t>
  </si>
  <si>
    <t>NURSING</t>
  </si>
  <si>
    <t>JS3741</t>
  </si>
  <si>
    <t>機械工程學(榮譽)工學士組合課程 (機械工程學 / 產品分析及工程設計學)</t>
  </si>
  <si>
    <t>x7: 中文、通識、DAT</t>
  </si>
  <si>
    <t>MECHANICAL ENGG</t>
  </si>
  <si>
    <t>JS3868</t>
  </si>
  <si>
    <t>電子計算及人工智能(榮譽)理學士組合課程 (計算機科學 / 金融科技及人工智能 / 企業信息管理)</t>
  </si>
  <si>
    <t>COMPUTING &amp; AI</t>
  </si>
  <si>
    <t>JS4006</t>
  </si>
  <si>
    <t>人類學</t>
  </si>
  <si>
    <t>ANTHROPOLOGY</t>
  </si>
  <si>
    <t>JS4018</t>
  </si>
  <si>
    <t>中國語言及文學</t>
  </si>
  <si>
    <t>x1.2: 中文</t>
  </si>
  <si>
    <t>CHI LANG &amp; LIT</t>
  </si>
  <si>
    <t>JS4020</t>
  </si>
  <si>
    <t>文化研究</t>
  </si>
  <si>
    <t>CULTURAL STUDIES</t>
  </si>
  <si>
    <t>JS4022</t>
  </si>
  <si>
    <t>文化管理</t>
  </si>
  <si>
    <t>CULTURAL MANAGEMENT</t>
  </si>
  <si>
    <t>JS4032</t>
  </si>
  <si>
    <t>ENGLISH</t>
  </si>
  <si>
    <t>優先考慮修讀 英語文學 者</t>
    <phoneticPr fontId="3" type="noConversion"/>
  </si>
  <si>
    <t>JS4044</t>
  </si>
  <si>
    <t>藝術</t>
  </si>
  <si>
    <t>FINE ARTS</t>
  </si>
  <si>
    <t>優先考慮修讀 視覺藝術 者</t>
    <phoneticPr fontId="3" type="noConversion"/>
  </si>
  <si>
    <t>JS4056</t>
  </si>
  <si>
    <t>HISTORY</t>
  </si>
  <si>
    <t>JS4068</t>
  </si>
  <si>
    <t>日本研究</t>
  </si>
  <si>
    <t>JAPANESE STUDIES</t>
  </si>
  <si>
    <t>JS4070</t>
  </si>
  <si>
    <t>語言學</t>
  </si>
  <si>
    <t>LINGUISTICS</t>
  </si>
  <si>
    <t>JS4082</t>
  </si>
  <si>
    <t>MUSIC</t>
  </si>
  <si>
    <t>優先考慮修讀 音樂 者</t>
    <phoneticPr fontId="3" type="noConversion"/>
  </si>
  <si>
    <t>JS4094</t>
  </si>
  <si>
    <t>哲學</t>
  </si>
  <si>
    <t>PHILOSOPHY</t>
  </si>
  <si>
    <t>JS4109</t>
  </si>
  <si>
    <t>宗教研究</t>
  </si>
  <si>
    <t>RELIGION</t>
  </si>
  <si>
    <t>JS4111</t>
  </si>
  <si>
    <t>神學</t>
  </si>
  <si>
    <t>THEOLOGY</t>
  </si>
  <si>
    <t>由於此課程收生人數極少，基於私隱原因，院校未有公佈詳細收生分數。</t>
  </si>
  <si>
    <t>JS4123</t>
  </si>
  <si>
    <t>翻譯</t>
  </si>
  <si>
    <t>TRANSLATION</t>
  </si>
  <si>
    <t>5%或更少(全Cert)</t>
    <phoneticPr fontId="3" type="noConversion"/>
  </si>
  <si>
    <t>JS4136</t>
  </si>
  <si>
    <t>中國研究</t>
  </si>
  <si>
    <t>CHINESE STUDIES</t>
  </si>
  <si>
    <t>x1.25: 英文</t>
    <phoneticPr fontId="3" type="noConversion"/>
  </si>
  <si>
    <t>JS4202</t>
  </si>
  <si>
    <t>工商管理學士綜合課程</t>
  </si>
  <si>
    <t>INTEGRATED BBA</t>
  </si>
  <si>
    <t>JS4214</t>
  </si>
  <si>
    <t>環球商業學</t>
  </si>
  <si>
    <t>GBS</t>
  </si>
  <si>
    <t>JS4226</t>
  </si>
  <si>
    <t>酒店旅遊及房地產</t>
  </si>
  <si>
    <t>HOSP &amp; REAL EST</t>
  </si>
  <si>
    <t>JS4238</t>
  </si>
  <si>
    <t>保險、金融與精算學</t>
  </si>
  <si>
    <t>IFAA</t>
  </si>
  <si>
    <t>最佳五科必須包括︰英文 及 [數學 和 M1/2] 其中最佳一科</t>
    <phoneticPr fontId="3" type="noConversion"/>
  </si>
  <si>
    <t>若數學科只考獲Lv.4或以下，M1/2需考獲Lv.5</t>
    <phoneticPr fontId="3" type="noConversion"/>
  </si>
  <si>
    <t>6%-10%(全Cert)</t>
    <phoneticPr fontId="3" type="noConversion"/>
  </si>
  <si>
    <t>JS4240</t>
  </si>
  <si>
    <t>專業會計學</t>
  </si>
  <si>
    <t>PROF ACCOUNTANCY</t>
  </si>
  <si>
    <t>JS4252</t>
  </si>
  <si>
    <t>計量金融學</t>
  </si>
  <si>
    <t>x1.5: [M1/2、化學、物理或經濟] 其中最佳一科</t>
    <phoneticPr fontId="3" type="noConversion"/>
  </si>
  <si>
    <t>JS4254</t>
  </si>
  <si>
    <t>商學院/社會科學院</t>
  </si>
  <si>
    <t>環球經濟與金融跨學科主修課程</t>
  </si>
  <si>
    <t>GLEF</t>
  </si>
  <si>
    <t>優先考慮 數學 考獲Lv.4或以上者</t>
    <phoneticPr fontId="3" type="noConversion"/>
  </si>
  <si>
    <t>JS4264</t>
  </si>
  <si>
    <t>商學院/法學院</t>
  </si>
  <si>
    <t>工商管理學士（工商管理學士綜合課程）及法律博士雙學位課程</t>
  </si>
  <si>
    <t>BBA-JD</t>
  </si>
  <si>
    <t>x2: 英文、通識</t>
    <phoneticPr fontId="3" type="noConversion"/>
  </si>
  <si>
    <t>JS4276</t>
  </si>
  <si>
    <t>商學院/理學院</t>
  </si>
  <si>
    <t>計量金融學及風險管理科學</t>
  </si>
  <si>
    <t>QFRM</t>
  </si>
  <si>
    <t>JS4329</t>
  </si>
  <si>
    <t>教育學院</t>
  </si>
  <si>
    <t>健康與體育運動科學</t>
  </si>
  <si>
    <t>PHY ED, EX SCI &amp; HEALTH</t>
  </si>
  <si>
    <t>JS4331</t>
  </si>
  <si>
    <t>文學士 (中國語文研究) 及教育學士 (中國語文教育)</t>
  </si>
  <si>
    <t>x2: 中文</t>
  </si>
  <si>
    <t>BA (CHI) BEd (CHI EDU)</t>
  </si>
  <si>
    <t>最佳五科必須包括︰中文</t>
    <phoneticPr fontId="3" type="noConversion"/>
  </si>
  <si>
    <t>JS4343</t>
  </si>
  <si>
    <t>文學士(英國語文研究)及教育學士(英國語文教育)</t>
  </si>
  <si>
    <t>BA (ENG) BEd (ENG EDU)</t>
  </si>
  <si>
    <t>教育學士(數學及數學教育)</t>
  </si>
  <si>
    <t>x2: 數學、M1/2</t>
  </si>
  <si>
    <t>x1.5: 中文 或 英文</t>
  </si>
  <si>
    <t>MATHS EDUCATION</t>
  </si>
  <si>
    <t>最佳五科必須包括︰數學、M1/2</t>
    <phoneticPr fontId="3" type="noConversion"/>
  </si>
  <si>
    <t>x1.5: [物理、經濟 或 ICT] 其中最佳一科</t>
  </si>
  <si>
    <t>JS4372</t>
  </si>
  <si>
    <t>教育學士(幼兒教育)</t>
  </si>
  <si>
    <t>BEd (ECE)</t>
  </si>
  <si>
    <t>教育學院/工程學院/理學院</t>
    <phoneticPr fontId="3" type="noConversion"/>
  </si>
  <si>
    <t>理學士（學習設計與科技）</t>
  </si>
  <si>
    <t>LEARNING DESIGN AND TECH</t>
  </si>
  <si>
    <t>優先考慮修讀以下科目者︰</t>
    <phoneticPr fontId="3" type="noConversion"/>
  </si>
  <si>
    <t>x1.75: M1/2</t>
    <phoneticPr fontId="3" type="noConversion"/>
  </si>
  <si>
    <t>x1.5: 數學、生物、化學、組合科學、DAT、ICT、物理</t>
    <phoneticPr fontId="3" type="noConversion"/>
  </si>
  <si>
    <t>x0.5: 通識</t>
    <phoneticPr fontId="3" type="noConversion"/>
  </si>
  <si>
    <t>JS4408</t>
  </si>
  <si>
    <t>機械與自動化工程學</t>
  </si>
  <si>
    <t>MAEG</t>
  </si>
  <si>
    <t>x1.5: 數學、M1/2、物理</t>
    <phoneticPr fontId="3" type="noConversion"/>
  </si>
  <si>
    <t>x1.25: 生物、化學、組合科學、DAT、ICT</t>
    <phoneticPr fontId="3" type="noConversion"/>
  </si>
  <si>
    <t>x0.75: 通識</t>
    <phoneticPr fontId="3" type="noConversion"/>
  </si>
  <si>
    <t>計算機科學與工程</t>
  </si>
  <si>
    <t>COMPUTER SCI &amp; ENG</t>
  </si>
  <si>
    <t>JS4416</t>
  </si>
  <si>
    <t>工程學院/理學院</t>
    <phoneticPr fontId="3" type="noConversion"/>
  </si>
  <si>
    <t>計算數據科學</t>
  </si>
  <si>
    <t>CDAS</t>
  </si>
  <si>
    <t>M1/2、生物、化學、組合科學、經濟、ICT、物理</t>
    <phoneticPr fontId="3" type="noConversion"/>
  </si>
  <si>
    <t>x2: 數學、M1/2、生物、化學、組合科學、經濟、ICT、物理</t>
    <phoneticPr fontId="3" type="noConversion"/>
  </si>
  <si>
    <t>JS4428</t>
  </si>
  <si>
    <t>金融科技學</t>
  </si>
  <si>
    <t>BENG FINTECH</t>
  </si>
  <si>
    <t>M1/2、生物、BAFS、化學、組合科學、經濟、ICT、物理</t>
    <phoneticPr fontId="3" type="noConversion"/>
  </si>
  <si>
    <t>x1.75: 數學、M1/2</t>
    <phoneticPr fontId="3" type="noConversion"/>
  </si>
  <si>
    <t>x1.5: 生物、BAFS、化學、組合科學、經濟、ICT、物理</t>
    <phoneticPr fontId="3" type="noConversion"/>
  </si>
  <si>
    <t>JS4434</t>
  </si>
  <si>
    <t>電子工程學</t>
  </si>
  <si>
    <t>ELEG</t>
  </si>
  <si>
    <t>5%或更少(全Cert)</t>
  </si>
  <si>
    <t>信息工程學</t>
  </si>
  <si>
    <t>IERGN</t>
  </si>
  <si>
    <t>x2: 數學 | x1.75: M1/2</t>
    <phoneticPr fontId="3" type="noConversion"/>
  </si>
  <si>
    <t>x1.5: 生物、化學、組合科學、DAT、ICT、物理</t>
    <phoneticPr fontId="3" type="noConversion"/>
  </si>
  <si>
    <t>JS4458</t>
  </si>
  <si>
    <t>系統工程與工程管理</t>
  </si>
  <si>
    <t>SEEM</t>
  </si>
  <si>
    <t>x1.5: 數學、M1/2、生物、BAFS、化學、組合科學、經濟、ICT、物理</t>
    <phoneticPr fontId="3" type="noConversion"/>
  </si>
  <si>
    <t>生物醫學工程學</t>
  </si>
  <si>
    <t>BMEG</t>
  </si>
  <si>
    <t>x1.5: 英文、生物、化學、組合科學、物理</t>
    <phoneticPr fontId="3" type="noConversion"/>
  </si>
  <si>
    <t>x1.5: [M1/2、數學] 其中最佳一科</t>
    <phoneticPr fontId="3" type="noConversion"/>
  </si>
  <si>
    <t>JS4462</t>
  </si>
  <si>
    <t>能源與環境工程學</t>
  </si>
  <si>
    <t>EEEN</t>
  </si>
  <si>
    <t>x1.5: 數學、M1/2、生物、化學、組合科學、DAT、ICT、物理</t>
    <phoneticPr fontId="3" type="noConversion"/>
  </si>
  <si>
    <t>x1.2: 經濟、地理</t>
    <phoneticPr fontId="3" type="noConversion"/>
  </si>
  <si>
    <t>JS4468</t>
  </si>
  <si>
    <t>人工智能：系統與科技</t>
  </si>
  <si>
    <t>AIST</t>
  </si>
  <si>
    <t>x1.5: 生物、化學、組合科學、ICT、物理</t>
    <phoneticPr fontId="3" type="noConversion"/>
  </si>
  <si>
    <t>JS4501</t>
  </si>
  <si>
    <t>醫學院</t>
  </si>
  <si>
    <t>內外全科醫學士課程</t>
  </si>
  <si>
    <t>4C3X</t>
  </si>
  <si>
    <t>MBChB</t>
  </si>
  <si>
    <t>優先考慮修讀 化學、生物 者</t>
    <phoneticPr fontId="3" type="noConversion"/>
  </si>
  <si>
    <t>優先考慮修讀 第三科選修 及/或 M1/2 者</t>
    <phoneticPr fontId="3" type="noConversion"/>
  </si>
  <si>
    <t>內外全科醫學士課程環球醫學領袖培訓專修組別</t>
  </si>
  <si>
    <t>MBChB-GPS</t>
  </si>
  <si>
    <t>JS4513</t>
  </si>
  <si>
    <t>護理學</t>
  </si>
  <si>
    <t>優先考慮修讀以下科目者:</t>
    <phoneticPr fontId="3" type="noConversion"/>
  </si>
  <si>
    <t>JS4525</t>
  </si>
  <si>
    <t>藥劑學</t>
  </si>
  <si>
    <t>PHARMACY</t>
  </si>
  <si>
    <t>JS4537</t>
  </si>
  <si>
    <t>公共衞生</t>
  </si>
  <si>
    <t>PUBLIC HEALTH</t>
  </si>
  <si>
    <t>JS4542</t>
  </si>
  <si>
    <t>中醫學</t>
  </si>
  <si>
    <t>CHIN MEDICINE</t>
  </si>
  <si>
    <t>JS4550</t>
  </si>
  <si>
    <t>生物醫學</t>
  </si>
  <si>
    <t>BIOMEDICAL SCIENCES</t>
  </si>
  <si>
    <t>JS4601</t>
  </si>
  <si>
    <t>理學</t>
  </si>
  <si>
    <t>SCIENCE</t>
  </si>
  <si>
    <t>M1/2、生物、化學、組合科學、經濟、地理、ICT、綜合科學、物理、科技與生活</t>
    <phoneticPr fontId="3" type="noConversion"/>
  </si>
  <si>
    <t>x2: M1/2、物理、生物、化學、組合科學或綜合科學</t>
  </si>
  <si>
    <t>x1.5: 英文或數學、經濟、地理、ICT、科技與生活</t>
  </si>
  <si>
    <t>註: 只有最多三科將會用以計算比重</t>
    <phoneticPr fontId="3" type="noConversion"/>
  </si>
  <si>
    <t>地球與環境科學</t>
  </si>
  <si>
    <t>x2: 英文、數學、M1/2、生物、化學、組合科學、地理、物理</t>
  </si>
  <si>
    <t>EESC</t>
  </si>
  <si>
    <t>JS4682</t>
  </si>
  <si>
    <t>數學精研</t>
  </si>
  <si>
    <t>x3.5: M1/2</t>
  </si>
  <si>
    <t>ENRICHMENT MATHEMATICS</t>
  </si>
  <si>
    <t>優先考慮 M1/2 成績優異者</t>
    <phoneticPr fontId="3" type="noConversion"/>
  </si>
  <si>
    <t>JS4690</t>
  </si>
  <si>
    <t>理論物理精研</t>
  </si>
  <si>
    <t>x2: 物理</t>
  </si>
  <si>
    <t>x1.5: 數學、M1/2</t>
  </si>
  <si>
    <t>THEORETICAL PHYSICS</t>
  </si>
  <si>
    <t>優先考慮修讀  M1/2 者</t>
    <phoneticPr fontId="3" type="noConversion"/>
  </si>
  <si>
    <t>JS4719</t>
  </si>
  <si>
    <t>風險管理科學</t>
  </si>
  <si>
    <t>RISK MGT SCI</t>
  </si>
  <si>
    <t>x2: 數學、M1/2</t>
    <phoneticPr fontId="3" type="noConversion"/>
  </si>
  <si>
    <t>JS4725</t>
  </si>
  <si>
    <t>理學院/商學院</t>
    <phoneticPr fontId="3" type="noConversion"/>
  </si>
  <si>
    <t>生物科技、創業與醫療管理</t>
  </si>
  <si>
    <t>BEHM</t>
  </si>
  <si>
    <t>JS4733</t>
  </si>
  <si>
    <t>理學院/工程學院</t>
    <phoneticPr fontId="3" type="noConversion"/>
  </si>
  <si>
    <t>數學與信息工程學</t>
  </si>
  <si>
    <t>MIEGN</t>
  </si>
  <si>
    <t>生物、化學、組合科學、ICT、物理</t>
    <phoneticPr fontId="3" type="noConversion"/>
  </si>
  <si>
    <t>JS4760</t>
    <phoneticPr fontId="3" type="noConversion"/>
  </si>
  <si>
    <t>中大(深圳)</t>
    <phoneticPr fontId="3" type="noConversion"/>
  </si>
  <si>
    <t>跨學科數據分析及Ｘ 理學士雙主修課程</t>
  </si>
  <si>
    <t>IDADM</t>
    <phoneticPr fontId="3" type="noConversion"/>
  </si>
  <si>
    <t>JS4801</t>
  </si>
  <si>
    <t>社會科學</t>
  </si>
  <si>
    <t>SOCIAL SCIENCE</t>
  </si>
  <si>
    <t>x1.3: 英文</t>
    <phoneticPr fontId="3" type="noConversion"/>
  </si>
  <si>
    <t>JS4812</t>
  </si>
  <si>
    <t>建築學</t>
  </si>
  <si>
    <t>ARCHITECTURE</t>
  </si>
  <si>
    <t>此課程鼓勵申請人向學校遞交 設計作品集。 詳情請細閱學校網站。</t>
    <phoneticPr fontId="3" type="noConversion"/>
  </si>
  <si>
    <t>http://www.arch.cuhk.edu.hk/programme/bachelor-social-science-architectural-studies/</t>
    <phoneticPr fontId="3" type="noConversion"/>
  </si>
  <si>
    <t>JS4824</t>
  </si>
  <si>
    <t>經濟學</t>
  </si>
  <si>
    <t>ECONOMICS</t>
  </si>
  <si>
    <t>JS4836</t>
  </si>
  <si>
    <t>地理與資源管理學</t>
  </si>
  <si>
    <t>GEO &amp; RES MGT</t>
  </si>
  <si>
    <t>x1.5: 英文、地理</t>
    <phoneticPr fontId="3" type="noConversion"/>
  </si>
  <si>
    <t>JS4838</t>
  </si>
  <si>
    <t>城市研究</t>
  </si>
  <si>
    <t>URBAN STUDIES</t>
  </si>
  <si>
    <t>JS4848</t>
  </si>
  <si>
    <t>政治與行政學</t>
  </si>
  <si>
    <t>GOV'T &amp; PUBLIC ADMIN</t>
  </si>
  <si>
    <t>x1.25: 中文、通識</t>
    <phoneticPr fontId="3" type="noConversion"/>
  </si>
  <si>
    <t>JS4850</t>
  </si>
  <si>
    <t>新聞與傳播學</t>
  </si>
  <si>
    <t>JOURNALISM &amp; COMMUN</t>
  </si>
  <si>
    <t>x1.3: 中文、英文</t>
    <phoneticPr fontId="3" type="noConversion"/>
  </si>
  <si>
    <t>JS4858</t>
  </si>
  <si>
    <t>全球傳播</t>
  </si>
  <si>
    <t>GLOBAL COMM</t>
  </si>
  <si>
    <t>心理學</t>
  </si>
  <si>
    <t>x1.5: 英文、數學</t>
  </si>
  <si>
    <t>PSYCHOLOGY</t>
  </si>
  <si>
    <t>x1.5: 英文、數學</t>
    <phoneticPr fontId="3" type="noConversion"/>
  </si>
  <si>
    <t>JS4874</t>
  </si>
  <si>
    <t>社會工作</t>
  </si>
  <si>
    <t>SOCIAL WORK</t>
  </si>
  <si>
    <t>JS4886</t>
  </si>
  <si>
    <t>社會學</t>
  </si>
  <si>
    <t>SOCIOLOGY</t>
  </si>
  <si>
    <t>x1.5: 英文、通識</t>
    <phoneticPr fontId="3" type="noConversion"/>
  </si>
  <si>
    <t>JS4892</t>
  </si>
  <si>
    <t>全球研究</t>
  </si>
  <si>
    <t>GLOBAL STUDIES</t>
  </si>
  <si>
    <t>JS4893</t>
  </si>
  <si>
    <t>數據科學與政策研究</t>
  </si>
  <si>
    <t>DSPS</t>
  </si>
  <si>
    <t>JS4903</t>
  </si>
  <si>
    <t>法學院</t>
  </si>
  <si>
    <t>Band A Application</t>
  </si>
  <si>
    <t>Band A Offer</t>
  </si>
  <si>
    <t>國際科研</t>
  </si>
  <si>
    <t>英數Best3</t>
  </si>
  <si>
    <t>英文 x1 + 數學 x1</t>
    <phoneticPr fontId="3" type="noConversion"/>
  </si>
  <si>
    <t>+ 最佳兩科理科 x1 (M1/2 / 生物/ 化學 /物理 / 組合科學)</t>
    <phoneticPr fontId="3" type="noConversion"/>
  </si>
  <si>
    <t>+ 最佳一科 x1</t>
    <phoneticPr fontId="3" type="noConversion"/>
  </si>
  <si>
    <t>換言之，你的分數 及 往年分數 亦會一同以「加分制」計算，</t>
    <phoneticPr fontId="3" type="noConversion"/>
  </si>
  <si>
    <t>即  Lv.5 -&gt; 5.5 | Lv.5* -&gt; 7 | Lv. 5** -&gt;8.5，敬請注意。</t>
    <phoneticPr fontId="3" type="noConversion"/>
  </si>
  <si>
    <t>含比重科目的平均成績︰</t>
    <phoneticPr fontId="3" type="noConversion"/>
  </si>
  <si>
    <t>申請人必須出席面試</t>
  </si>
  <si>
    <t>此課程的加權後的 *最高可考獲分數* 為:  42.5</t>
  </si>
  <si>
    <t>理學Ａ組</t>
  </si>
  <si>
    <t>英文 x1.5 + 數學 x1 + 最佳一科理科x1 + 最佳兩科x1</t>
    <phoneticPr fontId="3" type="noConversion"/>
  </si>
  <si>
    <t>(x2: M1/2/ 物理 | x1.5: 生物 / 化學 / 組合科學)</t>
    <phoneticPr fontId="3" type="noConversion"/>
  </si>
  <si>
    <t>最多只有兩科理科會計算比重</t>
    <phoneticPr fontId="3" type="noConversion"/>
  </si>
  <si>
    <t>物理 / M1/2: Lv.4</t>
    <phoneticPr fontId="3" type="noConversion"/>
  </si>
  <si>
    <t>此課程的加權後的 *最高可考獲分數* 為:  63.75</t>
  </si>
  <si>
    <t>理學Ｂ組</t>
  </si>
  <si>
    <t>(x2: 生物 / 化學 | x1.5: M1/2/ 物理 / 組合科學)</t>
    <phoneticPr fontId="3" type="noConversion"/>
  </si>
  <si>
    <t>即  Lv.5 -&gt; 5.5 | Lv.5* -&gt; 7 | Lv. 5** -&gt;8.5，敬請注意。</t>
  </si>
  <si>
    <t>生物/化學: Lv.4</t>
    <phoneticPr fontId="3" type="noConversion"/>
  </si>
  <si>
    <t>理學Ａ組– 延伸主修人工智能</t>
  </si>
  <si>
    <t>物理 / M1/2: Lv.5</t>
    <phoneticPr fontId="3" type="noConversion"/>
  </si>
  <si>
    <t>數學 / M1/2: Lv.5</t>
    <phoneticPr fontId="3" type="noConversion"/>
  </si>
  <si>
    <t>JS5200</t>
  </si>
  <si>
    <t>工程學</t>
  </si>
  <si>
    <t>英文x2  + 數學x2 + 最佳理科* x2 + 最佳兩科 x1</t>
    <phoneticPr fontId="3" type="noConversion"/>
  </si>
  <si>
    <t>(*理科: 生物/ 化學 /物理 / 組合科學) (ICT則只會x1)</t>
    <phoneticPr fontId="3" type="noConversion"/>
  </si>
  <si>
    <t>(若最佳兩科包括M1/2，則M1/2會 x 1.5)</t>
    <phoneticPr fontId="3" type="noConversion"/>
  </si>
  <si>
    <t>理科 / ICT: Lv.5</t>
  </si>
  <si>
    <t>此課程的加權後的 *最高可考獲分數* 為:  72.25</t>
  </si>
  <si>
    <t>JS5211</t>
  </si>
  <si>
    <t>理學士（綜合系統與設計）</t>
  </si>
  <si>
    <t>(*理科: 生物/ 化學 /物理 / 組合科學/DAT) (ICT則只會x1)</t>
    <phoneticPr fontId="3" type="noConversion"/>
  </si>
  <si>
    <t>理科 / ICT /DAT: Lv.5</t>
    <phoneticPr fontId="3" type="noConversion"/>
  </si>
  <si>
    <t>申請人必須以指定連結遞交 設計相關履歷，或以OEA/SLP形式遞交。</t>
    <phoneticPr fontId="3" type="noConversion"/>
  </si>
  <si>
    <t>受邀的申請人須參與入學面試/團體設計活動，詳情請細閱以下網站:</t>
    <phoneticPr fontId="3" type="noConversion"/>
  </si>
  <si>
    <t>https://isd.hkust.edu.hk/academics/bsc-in-integrative-systems-and-design-isd</t>
    <phoneticPr fontId="3" type="noConversion"/>
  </si>
  <si>
    <t>JS5282</t>
  </si>
  <si>
    <t>工程學– 延伸主修人工智能</t>
  </si>
  <si>
    <t>JS5300</t>
  </si>
  <si>
    <t>工商管理</t>
  </si>
  <si>
    <t>英數Best4</t>
  </si>
  <si>
    <t>英文x2  + 數學x2 + 最佳四科x1</t>
    <phoneticPr fontId="3" type="noConversion"/>
  </si>
  <si>
    <t>此課程的加權後的 *最高可考獲分數* 為:  68</t>
  </si>
  <si>
    <t>JS5311</t>
  </si>
  <si>
    <t>工商管理學士（經濟學）</t>
  </si>
  <si>
    <t>JS5312</t>
  </si>
  <si>
    <t>工商管理學士（金融學）</t>
  </si>
  <si>
    <t>英文x2  + 數學x2</t>
    <phoneticPr fontId="3" type="noConversion"/>
  </si>
  <si>
    <t>+ 最佳四科x1 或</t>
    <phoneticPr fontId="3" type="noConversion"/>
  </si>
  <si>
    <t>+ [化學、經濟、物理、M1/2]中最佳一科x1.5 + 最佳三科x1</t>
    <phoneticPr fontId="3" type="noConversion"/>
  </si>
  <si>
    <t>JS5313</t>
  </si>
  <si>
    <t>工商管理學士（環球商業管理）</t>
  </si>
  <si>
    <t>7.0 (已計算加分制)</t>
  </si>
  <si>
    <t>英文科應考獲Lv.5 或以上</t>
  </si>
  <si>
    <t>JS5314</t>
  </si>
  <si>
    <t>工商管理學士（資訊系統學）</t>
  </si>
  <si>
    <t>JS5315</t>
  </si>
  <si>
    <t>工商管理學士（管理學）</t>
  </si>
  <si>
    <t>JS5316</t>
  </si>
  <si>
    <t>工商管理學士（市場學）</t>
  </si>
  <si>
    <t>JS5317</t>
  </si>
  <si>
    <t>工商管理學士（營運管理學）</t>
  </si>
  <si>
    <t>JS5318</t>
  </si>
  <si>
    <t>工商管理學士（專業會計學）</t>
  </si>
  <si>
    <t>JS5331</t>
  </si>
  <si>
    <t>理學士（經濟及金融學）</t>
  </si>
  <si>
    <t>JS5332</t>
  </si>
  <si>
    <t>理學士（量化金融學）</t>
  </si>
  <si>
    <t>JS5411</t>
  </si>
  <si>
    <t>人文社會科學學院</t>
  </si>
  <si>
    <t>理學士（環球中國研究）</t>
  </si>
  <si>
    <t>中英Best4</t>
  </si>
  <si>
    <t>英文x2  + 中文 x1.5 + 最佳四科x1</t>
    <phoneticPr fontId="3" type="noConversion"/>
  </si>
  <si>
    <t>中文: Lv.4</t>
    <phoneticPr fontId="3" type="noConversion"/>
  </si>
  <si>
    <t>JS5412</t>
  </si>
  <si>
    <t>理學士（定量社會數據分析）</t>
  </si>
  <si>
    <t>英文x2  + 數學x2 + 最佳四科*x1</t>
    <phoneticPr fontId="3" type="noConversion"/>
  </si>
  <si>
    <t>(若最佳四科包括M1/2，則M1/2會 x 1.5)</t>
    <phoneticPr fontId="3" type="noConversion"/>
  </si>
  <si>
    <t>數學 / M1/2: Lv.5</t>
  </si>
  <si>
    <t>數學科應考獲Lv.4 或以上</t>
  </si>
  <si>
    <t>JS5811</t>
  </si>
  <si>
    <t>跨學科課程</t>
  </si>
  <si>
    <t>理學士（生物科技及商學）</t>
  </si>
  <si>
    <t>英文x2  + 數學x2 + 最佳選修* x1.5 + 最佳三科 x1</t>
    <phoneticPr fontId="3" type="noConversion"/>
  </si>
  <si>
    <t>(*選修: 生物/ 化學 )</t>
    <phoneticPr fontId="3" type="noConversion"/>
  </si>
  <si>
    <t>JS5812</t>
  </si>
  <si>
    <t>理學士（環境管理及科技）</t>
  </si>
  <si>
    <t>JS5813</t>
  </si>
  <si>
    <t>理學士（數學與經濟學）</t>
  </si>
  <si>
    <t>英文x2  + 數學x2 + 最佳理科* + 最佳三科 x1</t>
    <phoneticPr fontId="3" type="noConversion"/>
  </si>
  <si>
    <t>(*理科: M1/2 x2、生物/化學/物理/組合科學/經濟 x1.5)</t>
    <phoneticPr fontId="3" type="noConversion"/>
  </si>
  <si>
    <t>此課程的加權後的 *最高可考獲分數* 為:  76.5</t>
  </si>
  <si>
    <t>JS5814</t>
  </si>
  <si>
    <t>理學士（風險管理及商業智能學）</t>
  </si>
  <si>
    <t>JS5822</t>
  </si>
  <si>
    <t>理學士（可持續發展及綠色金融）</t>
  </si>
  <si>
    <t>SGFN</t>
  </si>
  <si>
    <t>此課程的加權後的 *最高可考獲分數* 為:  72.25</t>
    <phoneticPr fontId="3" type="noConversion"/>
  </si>
  <si>
    <t>JS5901</t>
  </si>
  <si>
    <t>科技及管理學雙學位課程</t>
  </si>
  <si>
    <t>英文x2  + 數學x2 + 最佳理科* x2 + 最佳三科 x1</t>
    <phoneticPr fontId="3" type="noConversion"/>
  </si>
  <si>
    <t>(若最佳三科包括M1/2，則M1/2會 x 1.5)</t>
    <phoneticPr fontId="3" type="noConversion"/>
  </si>
  <si>
    <t>此課程的加權後的 *最高可考獲分數* 為:  80.75</t>
  </si>
  <si>
    <t>HKU</t>
  </si>
  <si>
    <t>建築學院</t>
  </si>
  <si>
    <t>可包含 M1/2 或丙類科目 (較高者) 於計算內</t>
  </si>
  <si>
    <t>BA(AS)</t>
  </si>
  <si>
    <t>能力傾向測試  (Aptitude Test)</t>
    <phoneticPr fontId="3" type="noConversion"/>
  </si>
  <si>
    <t>Combine Cert:</t>
    <phoneticPr fontId="3" type="noConversion"/>
  </si>
  <si>
    <t>Best results in 2 or more sittings of HKDSE</t>
  </si>
  <si>
    <t xml:space="preserve">	BSC(SURV)</t>
  </si>
  <si>
    <t>學生學習概覽 (SLP)</t>
    <phoneticPr fontId="3" type="noConversion"/>
  </si>
  <si>
    <t>其他科目</t>
    <phoneticPr fontId="3" type="noConversion"/>
  </si>
  <si>
    <t xml:space="preserve">	BA(LS)</t>
  </si>
  <si>
    <t>作品集 (Portfolio)</t>
    <phoneticPr fontId="3" type="noConversion"/>
  </si>
  <si>
    <t>申請人可遞交 一份 創意作品 (如 畫作、寫作 或 任何創作) 供學系作考慮。作品集 及 推薦信(如有) 應直接以紙本方式向學系遞交。</t>
    <phoneticPr fontId="3" type="noConversion"/>
  </si>
  <si>
    <t xml:space="preserve">	BA(US)</t>
  </si>
  <si>
    <t>x1.5: 英文、中文</t>
  </si>
  <si>
    <t xml:space="preserve">	BA</t>
  </si>
  <si>
    <t>可包含 M1/2 或丙類科目 (較高者) 於計算內</t>
    <phoneticPr fontId="3" type="noConversion"/>
  </si>
  <si>
    <t>Lv.5/5*/5** 數量</t>
    <phoneticPr fontId="3" type="noConversion"/>
  </si>
  <si>
    <t>BA(HDT)</t>
  </si>
  <si>
    <t>經濟及工商管理學院</t>
  </si>
  <si>
    <t>工商管理學學士</t>
    <phoneticPr fontId="3" type="noConversion"/>
  </si>
  <si>
    <t>如同學有修讀七科，第七科成績 (x0.2) 會額外加上原有的Best 6分數</t>
  </si>
  <si>
    <t>x0.2: 第七最佳科目</t>
    <phoneticPr fontId="3" type="noConversion"/>
  </si>
  <si>
    <t>此課程原為JS6781，2023年分拆為兩科獨立收生。</t>
  </si>
  <si>
    <t>如同學有修讀七科，第七科成績 (x0.2) 會額外加上原有的Best 6分數</t>
    <phoneticPr fontId="3" type="noConversion"/>
  </si>
  <si>
    <t xml:space="preserve">	BEcon/BEcon&amp;Fin</t>
  </si>
  <si>
    <t xml:space="preserve">	BBA/BBA(Acc&amp;Fin)</t>
  </si>
  <si>
    <t xml:space="preserve">	BFin(AMPB)</t>
  </si>
  <si>
    <t xml:space="preserve">	BBA(IS)</t>
  </si>
  <si>
    <t xml:space="preserve">	BBA(Law)&amp;LLB</t>
  </si>
  <si>
    <t>最佳六科必須包括︰英文、數學、M1/2</t>
  </si>
  <si>
    <t>x1.25: 數學、M1/M2</t>
  </si>
  <si>
    <t>BSc(MAT)</t>
  </si>
  <si>
    <t xml:space="preserve">	BSc(QFin)</t>
  </si>
  <si>
    <t>BBA(IBGM)</t>
  </si>
  <si>
    <t>牙醫學院</t>
  </si>
  <si>
    <t>最佳六科必須包括 最佳理科*</t>
    <phoneticPr fontId="3" type="noConversion"/>
  </si>
  <si>
    <t>*理科: 生物、化學、物理、組合科學、綜合科學</t>
    <phoneticPr fontId="3" type="noConversion"/>
  </si>
  <si>
    <t>BDS</t>
  </si>
  <si>
    <t>10%(重考科目)</t>
    <phoneticPr fontId="3" type="noConversion"/>
  </si>
  <si>
    <t>x1.2: 通識</t>
  </si>
  <si>
    <t>BA&amp;BED(LangEd)-Eng</t>
  </si>
  <si>
    <t>Candidates are strongly advised to include their personal statement in English in the "Additional Information" of their JUPAS application.</t>
    <phoneticPr fontId="3" type="noConversion"/>
  </si>
  <si>
    <t>Candidates are encouraged to enter details about their other learning experiences or extra curricular activities.</t>
    <phoneticPr fontId="3" type="noConversion"/>
  </si>
  <si>
    <t>Supporting documents should be uploaded to the appropriate sections of OEA or SLP.</t>
    <phoneticPr fontId="3" type="noConversion"/>
  </si>
  <si>
    <t xml:space="preserve">	BA&amp;BED(LangEd)-Chin</t>
  </si>
  <si>
    <t xml:space="preserve">	BED(ECE&amp;SE)</t>
  </si>
  <si>
    <t>最佳五科必須包括︰英文、數學、最佳理科*</t>
    <phoneticPr fontId="3" type="noConversion"/>
  </si>
  <si>
    <t xml:space="preserve">	BED&amp;BSC</t>
  </si>
  <si>
    <t>x1.5: 數學、生物、化學、物理、組合科學、綜合科學、M1/M2</t>
  </si>
  <si>
    <t xml:space="preserve">	BSC(SPEECH)</t>
  </si>
  <si>
    <t>Lv.5**/5* 數量</t>
  </si>
  <si>
    <t>JS6262</t>
    <phoneticPr fontId="3" type="noConversion"/>
  </si>
  <si>
    <t>工學學士(數據科學及工程)</t>
    <phoneticPr fontId="3" type="noConversion"/>
  </si>
  <si>
    <t>可包含 M1/2 或丙類科目於計算內</t>
  </si>
  <si>
    <t>Best results in the latest 3 sittings of HKDSE</t>
  </si>
  <si>
    <t xml:space="preserve">	BENG(BME)</t>
  </si>
  <si>
    <t>可包含 M1/2 或丙類科目於計算內</t>
    <phoneticPr fontId="3" type="noConversion"/>
  </si>
  <si>
    <t>GEBP</t>
  </si>
  <si>
    <t xml:space="preserve">	BENG(EngSc)</t>
  </si>
  <si>
    <t xml:space="preserve">	BENG</t>
  </si>
  <si>
    <t xml:space="preserve">	BA&amp;LLB</t>
  </si>
  <si>
    <t xml:space="preserve">	LLB</t>
  </si>
  <si>
    <t>如同學有修讀六科，第六科成績 (x0.5) 會額外加上原有的Best 5分數</t>
  </si>
  <si>
    <t>x0.5: 第六最佳科目</t>
    <phoneticPr fontId="3" type="noConversion"/>
  </si>
  <si>
    <t>BNURS-ALT</t>
  </si>
  <si>
    <t>如同學有修讀六科，第六科成績 (x0.5) 會額外加上原有的Best 5分數</t>
    <phoneticPr fontId="3" type="noConversion"/>
  </si>
  <si>
    <t xml:space="preserve">	MBBS</t>
  </si>
  <si>
    <t xml:space="preserve">	BNURS</t>
  </si>
  <si>
    <t>BSc(Bioinformatics)</t>
  </si>
  <si>
    <t>面試表現</t>
  </si>
  <si>
    <t>學生學習概覽 (SLP)</t>
  </si>
  <si>
    <t>BChinMed</t>
  </si>
  <si>
    <t xml:space="preserve">	BBiomedSc</t>
  </si>
  <si>
    <t>SMC</t>
  </si>
  <si>
    <t>最佳五科必須包括︰英文、數學、最佳兩科理科*</t>
  </si>
  <si>
    <t>*理科: M1/2、生物、化學、物理、組合科學</t>
  </si>
  <si>
    <t>x1.5: 生物、化學、組合科學、物理、M1/2</t>
  </si>
  <si>
    <t>最佳五科必須包括︰英文、數學、M1/2</t>
  </si>
  <si>
    <t>x1.2: 英文、數學、M1/M2</t>
  </si>
  <si>
    <t xml:space="preserve">	BSC(AC)</t>
  </si>
  <si>
    <t>最佳六科必須包括︰英文、[數學或M1/2]、最佳理科*</t>
    <phoneticPr fontId="3" type="noConversion"/>
  </si>
  <si>
    <t>x2: 英文、[數學 或 M1/2]、最佳理科</t>
    <phoneticPr fontId="3" type="noConversion"/>
  </si>
  <si>
    <t>BSc&amp;LLB</t>
  </si>
  <si>
    <t>其他科目</t>
  </si>
  <si>
    <t xml:space="preserve">	BSC</t>
  </si>
  <si>
    <t>Completion of Junior Science Institute (JSI) workshop</t>
  </si>
  <si>
    <t>JS6705</t>
  </si>
  <si>
    <t>心理學學士</t>
  </si>
  <si>
    <t>BPsych</t>
  </si>
  <si>
    <t xml:space="preserve">	BSS</t>
  </si>
  <si>
    <t xml:space="preserve">	BSS(GL)&amp;LLB</t>
  </si>
  <si>
    <t xml:space="preserve">	BJ</t>
  </si>
  <si>
    <t>文理學士學位</t>
  </si>
  <si>
    <t xml:space="preserve">	BASc</t>
  </si>
  <si>
    <t>最佳五科必須包括︰英文、數學、M1/2</t>
    <phoneticPr fontId="3" type="noConversion"/>
  </si>
  <si>
    <t>x2: 英文、數學、M1/M2</t>
  </si>
  <si>
    <t>BASc(AppliedAI)</t>
  </si>
  <si>
    <t xml:space="preserve">	BASc(Design+)</t>
  </si>
  <si>
    <t xml:space="preserve">	BASc(FinTech)</t>
  </si>
  <si>
    <t xml:space="preserve">	BASc(GHD)</t>
  </si>
  <si>
    <t>中文(榮譽)文學士</t>
    <phoneticPr fontId="3" type="noConversion"/>
  </si>
  <si>
    <t>此處將會 *直接使用* 該整合分數，而不會使用其公佈的詳細分數作估算，敬請留意。</t>
  </si>
  <si>
    <t>x1.5: 中文、英文、[中國歷史或中國文學]</t>
  </si>
  <si>
    <t>BA (Hons) Chinese</t>
  </si>
  <si>
    <t>原始分數的估算過程僅供大家參考。</t>
  </si>
  <si>
    <t>JS7123</t>
  </si>
  <si>
    <t>跨學院</t>
  </si>
  <si>
    <t>環球可持續發展(榮譽)博雅學士</t>
  </si>
  <si>
    <t>BLA (Hons) GDS</t>
  </si>
  <si>
    <t>x1.5: 通識</t>
  </si>
  <si>
    <t>嶺大所公佈的 Weighted Admission Score 為：LQ：23、Median：23</t>
  </si>
  <si>
    <t>JS7133</t>
  </si>
  <si>
    <t>動畫及數碼藝術(榮譽)文學士</t>
  </si>
  <si>
    <t>x1.5: 中文、英文</t>
    <phoneticPr fontId="3" type="noConversion"/>
  </si>
  <si>
    <t>BA (Hons) ADA</t>
  </si>
  <si>
    <t>x1.5: 中文、英文、ICT、視覺藝術</t>
  </si>
  <si>
    <t>JS7200</t>
  </si>
  <si>
    <t>工商管理(榮譽)學士</t>
  </si>
  <si>
    <t>BBA (Hons)</t>
  </si>
  <si>
    <t>JS7204</t>
  </si>
  <si>
    <t>翻譯、跨文化研究及企業傳訊(榮譽)文學士</t>
  </si>
  <si>
    <t>BA (Hons) Trans, CS &amp; CC</t>
  </si>
  <si>
    <t>x1.5: 中文、中國文學、英語文學</t>
  </si>
  <si>
    <t>嶺大所公佈的 Weighted Admission Score 為：LQ：23.5、Median：24</t>
  </si>
  <si>
    <t>JS7216</t>
  </si>
  <si>
    <t>工商管理(榮譽)學士 - 風險及保險管理</t>
  </si>
  <si>
    <t>BBA (Hons) - RIM</t>
  </si>
  <si>
    <t>JS7225</t>
  </si>
  <si>
    <t>數據科學(榮譽)理學士</t>
  </si>
  <si>
    <t>BSc (Hons) Data Science</t>
  </si>
  <si>
    <t>x2: 英文、數學、ICT、M1/2</t>
  </si>
  <si>
    <t>x1.25: 化學、物理、組合科學、綜合科學</t>
  </si>
  <si>
    <t>JS7301</t>
  </si>
  <si>
    <t>社會科學(榮譽)學士 - 經濟學</t>
  </si>
  <si>
    <t>BSocSc (Hons) Economics</t>
  </si>
  <si>
    <t>x1.5: 數學、通識、經濟</t>
  </si>
  <si>
    <t>JS7302</t>
  </si>
  <si>
    <t>社會科學(榮譽)學士 - 政府與國際事務學</t>
  </si>
  <si>
    <t>x1.5: 數學、通識、中國歷史、地理、歷史</t>
  </si>
  <si>
    <t>BSocSc (Hons) Gov't &amp; IA</t>
  </si>
  <si>
    <t>嶺大所公佈的 Weighted Admission Score 為：LQ：27、Median：27.5</t>
  </si>
  <si>
    <t>因此，不論如何計算/估算，均無法計出上述數字，大家可以自行驗算。</t>
  </si>
  <si>
    <t>JS7303</t>
  </si>
  <si>
    <t>社會科學(榮譽)學士 - 心理學</t>
  </si>
  <si>
    <t>BSocSc (Hons) Psychology</t>
  </si>
  <si>
    <t>x1.5: 數學、通識</t>
  </si>
  <si>
    <t>JS7304</t>
  </si>
  <si>
    <t>社會科學(榮譽)學士 - 社會學</t>
  </si>
  <si>
    <t>BSocSc (Hons) Sociology</t>
  </si>
  <si>
    <t>JS7305</t>
  </si>
  <si>
    <t>社會科學(榮譽)學士 - 健康及社會服務管理</t>
  </si>
  <si>
    <t>x1.5: 倫理與宗教、健康管理與社會關懷</t>
  </si>
  <si>
    <t>BSocSc (Hons) HSSM</t>
  </si>
  <si>
    <t>JS7306</t>
  </si>
  <si>
    <t>社會科學(榮譽)學士 - 社會與公共政策研究</t>
  </si>
  <si>
    <t>BSocSc (Hons) SPPS</t>
  </si>
  <si>
    <t>嶺大所公佈的 Weighted Admission Score 為：LQ：24.5、Median：25.5</t>
  </si>
  <si>
    <t>JS7503</t>
  </si>
  <si>
    <t>當代英語語言文學課程(榮譽)文學士</t>
  </si>
  <si>
    <t>BA (Hons) Contem English</t>
  </si>
  <si>
    <t>x1.5: 中文、英語文學</t>
  </si>
  <si>
    <t>JS7606</t>
  </si>
  <si>
    <t>文化研究(榮譽)文學士</t>
  </si>
  <si>
    <t>BA (Hons) Cultural Stud</t>
  </si>
  <si>
    <t>JS7709</t>
  </si>
  <si>
    <t>歷史(榮譽)文學士</t>
  </si>
  <si>
    <t>BA (Hons) History</t>
  </si>
  <si>
    <t>x1.2: 中國歷史、歷史</t>
  </si>
  <si>
    <t>JS7802</t>
  </si>
  <si>
    <t>哲學(榮譽)文學士</t>
  </si>
  <si>
    <t>BA (Hons) Philosophy</t>
  </si>
  <si>
    <t>嶺大所公佈的 Weighted Admission Score 為：LQ：25、Median：26</t>
  </si>
  <si>
    <t>JS7905</t>
  </si>
  <si>
    <t>視覺研究(榮譽)文學士</t>
  </si>
  <si>
    <t>BA (Hons) Visual Studies</t>
  </si>
  <si>
    <t>x1.5: ICT、視覺藝術</t>
  </si>
  <si>
    <t>JS8105</t>
  </si>
  <si>
    <t>中國語文教育榮譽學士</t>
  </si>
  <si>
    <t>中文平均分: Lv. 5</t>
    <phoneticPr fontId="3" type="noConversion"/>
  </si>
  <si>
    <t>BEd(CHI)</t>
  </si>
  <si>
    <t>此參考分數為院校公佈的 平均分數，沒有估算成份。</t>
  </si>
  <si>
    <t>JS8222</t>
  </si>
  <si>
    <t>英國語文教育榮譽學士 — 小學</t>
  </si>
  <si>
    <t>英文平均分: Lv. 5</t>
    <phoneticPr fontId="3" type="noConversion"/>
  </si>
  <si>
    <t>BEd(ENG)-Pri</t>
  </si>
  <si>
    <t>JS8234</t>
  </si>
  <si>
    <t>博文及社會科學學院</t>
  </si>
  <si>
    <t>小學教育榮譽學士 - 常識</t>
  </si>
  <si>
    <t>BEd(P)-GS</t>
  </si>
  <si>
    <t>JS8246</t>
  </si>
  <si>
    <t>小學教育榮譽學士 - 數學</t>
  </si>
  <si>
    <t>以下科目有最高比重:</t>
    <phoneticPr fontId="3" type="noConversion"/>
  </si>
  <si>
    <t>數學、M1/2、生物、化學、物理、ICT、DAT、組合科學、綜合科學</t>
    <phoneticPr fontId="3" type="noConversion"/>
  </si>
  <si>
    <t>BEd(P)-MA</t>
  </si>
  <si>
    <t>JS8325</t>
  </si>
  <si>
    <t>體育教育榮譽學士</t>
  </si>
  <si>
    <t>體育有最高比</t>
    <phoneticPr fontId="3" type="noConversion"/>
  </si>
  <si>
    <t>BEd(PE)</t>
  </si>
  <si>
    <t>JS8361</t>
  </si>
  <si>
    <t>中學教育榮譽學士 - 資訊及通訊科技</t>
  </si>
  <si>
    <t>英文、數學、M1/2、ICT</t>
    <phoneticPr fontId="3" type="noConversion"/>
  </si>
  <si>
    <t>BEd(S)-ICT</t>
  </si>
  <si>
    <t>JS8371</t>
  </si>
  <si>
    <t>企業、會計與財務概論教育榮譽學士</t>
  </si>
  <si>
    <t>BAFS有最高比重</t>
    <phoneticPr fontId="3" type="noConversion"/>
  </si>
  <si>
    <t>BEd(BAFS)</t>
  </si>
  <si>
    <t>JS8381</t>
  </si>
  <si>
    <t>歷史教育榮譽學士</t>
    <phoneticPr fontId="2" type="noConversion"/>
  </si>
  <si>
    <t>/</t>
    <phoneticPr fontId="2" type="noConversion"/>
  </si>
  <si>
    <t>無開辦</t>
  </si>
  <si>
    <t>由於此課程隔年開辦，今年未有收生</t>
  </si>
  <si>
    <t>以下科目有最高比重:</t>
    <phoneticPr fontId="2" type="noConversion"/>
  </si>
  <si>
    <t>歷史、中國歷史</t>
    <phoneticPr fontId="2" type="noConversion"/>
  </si>
  <si>
    <t>若申請人有同時修讀以上兩科，則只會較高分的科目會獲得比重</t>
    <phoneticPr fontId="2" type="noConversion"/>
  </si>
  <si>
    <t>BEd(HIST)</t>
  </si>
  <si>
    <t>無</t>
    <phoneticPr fontId="2" type="noConversion"/>
  </si>
  <si>
    <t>JS8404</t>
  </si>
  <si>
    <t>教育及人類發展學院</t>
  </si>
  <si>
    <t>幼兒教育榮譽學士</t>
  </si>
  <si>
    <t>BEd(ECE)</t>
  </si>
  <si>
    <t>中國歷史教育榮譽學士</t>
    <phoneticPr fontId="3" type="noConversion"/>
  </si>
  <si>
    <t>若申請人有同時修讀以上兩科，則只會較高分的科目會獲得比重</t>
    <phoneticPr fontId="3" type="noConversion"/>
  </si>
  <si>
    <t>BEd(CHI HIST)</t>
    <phoneticPr fontId="3" type="noConversion"/>
  </si>
  <si>
    <t>JS8428</t>
  </si>
  <si>
    <t>地理教育榮譽學士</t>
  </si>
  <si>
    <t>地理有最高比重</t>
    <phoneticPr fontId="3" type="noConversion"/>
  </si>
  <si>
    <t>BEd(GEOG)</t>
  </si>
  <si>
    <t>JS8430</t>
  </si>
  <si>
    <t>科學教育榮譽學士</t>
  </si>
  <si>
    <t>BEd(Science)</t>
  </si>
  <si>
    <t>JS8507</t>
  </si>
  <si>
    <t>幼兒教育高級文憑</t>
  </si>
  <si>
    <t>HD(ECE)</t>
  </si>
  <si>
    <t>JS8600</t>
  </si>
  <si>
    <t>語文研究榮譽文學士 (中文主修)</t>
  </si>
  <si>
    <t>中文有最高比重</t>
    <phoneticPr fontId="3" type="noConversion"/>
  </si>
  <si>
    <t>BA(Lang Studies)-CN</t>
  </si>
  <si>
    <t>JS8612</t>
  </si>
  <si>
    <t>語文研究榮譽文學士 (英文主修)</t>
  </si>
  <si>
    <t>英文有最高比重</t>
    <phoneticPr fontId="3" type="noConversion"/>
  </si>
  <si>
    <t>BA(Lang Studies)-EG</t>
  </si>
  <si>
    <t>JS8636</t>
  </si>
  <si>
    <t>創意藝術與文化榮譽文學士 (音樂)</t>
  </si>
  <si>
    <t>BA(CAC)-MU</t>
  </si>
  <si>
    <t>JS8648</t>
  </si>
  <si>
    <t>創意藝術與文化榮譽文學士 (視覺藝術)</t>
  </si>
  <si>
    <t>BA(CAC)-VA</t>
  </si>
  <si>
    <t>JS8651</t>
  </si>
  <si>
    <t>心理學榮譽社會科學學士</t>
  </si>
  <si>
    <t>BSocSc(Psy)</t>
  </si>
  <si>
    <t>JS8663</t>
  </si>
  <si>
    <t>特殊教育榮譽文學士</t>
  </si>
  <si>
    <t>BA(SE)</t>
  </si>
  <si>
    <t>文化傳承教育與藝術管理榮譽文學士</t>
  </si>
  <si>
    <t>BA(HE&amp;AM)</t>
    <phoneticPr fontId="3" type="noConversion"/>
  </si>
  <si>
    <t>JS8702</t>
  </si>
  <si>
    <t>綜合環境管理榮譽理學士</t>
  </si>
  <si>
    <t>BSc(IEM)</t>
  </si>
  <si>
    <t>JS8714</t>
  </si>
  <si>
    <t>人工智能與教育科技榮譽理學士</t>
  </si>
  <si>
    <t>BSc(AI&amp;EdTech)</t>
  </si>
  <si>
    <t>JS8726</t>
  </si>
  <si>
    <t>運動科學及教練榮譽理學士</t>
  </si>
  <si>
    <t>生物 及 體育 有最高比重</t>
    <phoneticPr fontId="3" type="noConversion"/>
  </si>
  <si>
    <t>BSc(SPSC)</t>
  </si>
  <si>
    <t>JS8801</t>
  </si>
  <si>
    <t>創意藝術與文化榮譽文學士及音樂教育榮譽學士 (同期結業雙學位課程)</t>
  </si>
  <si>
    <t>音樂有最高比重</t>
    <phoneticPr fontId="3" type="noConversion"/>
  </si>
  <si>
    <t>BA(CAC) &amp; BEd(MU)</t>
  </si>
  <si>
    <t>JS8813</t>
  </si>
  <si>
    <t>創意藝術與文化榮譽文學士及視覺藝術教育榮譽學士 (同期結業雙學位課程)</t>
  </si>
  <si>
    <t>BA(CAC) &amp; BEd(VA)</t>
  </si>
  <si>
    <t>JS8825</t>
  </si>
  <si>
    <t>語文研究榮譽文學士及英文教育榮譽學士 (同期結業雙學位課程)</t>
  </si>
  <si>
    <t>BA(Lang Studies)&amp;BEd(EL)</t>
  </si>
  <si>
    <t>JS9009</t>
    <phoneticPr fontId="3" type="noConversion"/>
  </si>
  <si>
    <t>社會科學榮譽學士</t>
  </si>
  <si>
    <t>BSSc(Hons)</t>
  </si>
  <si>
    <t>4C1X</t>
  </si>
  <si>
    <t>此課程由以下舊課程整合而成︰</t>
  </si>
  <si>
    <t>JS9003 政治及公共行政榮譽社會科學學士、JS9004 應用社會研究榮譽社會科學學士</t>
  </si>
  <si>
    <t>JS9005 全球與中國研究榮譽社會科學學士、JS9006 高齡社會與服務研究榮譽社會科學學士</t>
  </si>
  <si>
    <t>JS9007 經濟及公共政策分析榮譽社會科學學士</t>
  </si>
  <si>
    <t>JS9010</t>
    <phoneticPr fontId="3" type="noConversion"/>
  </si>
  <si>
    <t>心理學榮譽社會科學學士</t>
    <phoneticPr fontId="3" type="noConversion"/>
  </si>
  <si>
    <t>BSSc(Hons)Psychology</t>
  </si>
  <si>
    <t>JS9001 心理學榮譽社會科學學士</t>
  </si>
  <si>
    <t>JS9008 心理學與精神健康榮譽社會科學學士</t>
  </si>
  <si>
    <t>JS9011</t>
  </si>
  <si>
    <t>中文榮譽文學士</t>
  </si>
  <si>
    <t>x2: 中文</t>
    <phoneticPr fontId="3" type="noConversion"/>
  </si>
  <si>
    <t>BA(Hons) Chinese</t>
  </si>
  <si>
    <t>JS9013</t>
  </si>
  <si>
    <t>語言研究與翻譯榮譽文學士</t>
  </si>
  <si>
    <t>BA(Hons) LangStud &amp; Tran</t>
  </si>
  <si>
    <t>JS9016</t>
  </si>
  <si>
    <t>創意廣告及媒體設計榮譽文學士</t>
  </si>
  <si>
    <t>BA(Hons)CreAd&amp;MediaDesig</t>
  </si>
  <si>
    <t>JS9019</t>
  </si>
  <si>
    <t>英語及文化榮譽文學士</t>
  </si>
  <si>
    <t>BA(Hons) EngLang&amp;Cult</t>
  </si>
  <si>
    <t>JS9220</t>
  </si>
  <si>
    <t>李兆基商業管理學院</t>
  </si>
  <si>
    <t>專業會計榮譽工商管理學士</t>
  </si>
  <si>
    <t>BBA(Hons) Pro Acct</t>
  </si>
  <si>
    <t>JS9223</t>
    <phoneticPr fontId="3" type="noConversion"/>
  </si>
  <si>
    <t>航空服務管理榮譽工商管理學士</t>
    <phoneticPr fontId="3" type="noConversion"/>
  </si>
  <si>
    <t>BBA(Hons)AviServMgt</t>
  </si>
  <si>
    <t>JS9230</t>
  </si>
  <si>
    <t>商業管理學榮譽工商管理學士</t>
  </si>
  <si>
    <t>BBA(Hons) Business Mgt</t>
  </si>
  <si>
    <t>JS9240</t>
  </si>
  <si>
    <t>環球商業及市場學榮譽工商管理學士</t>
  </si>
  <si>
    <t>BBA(Hons)GB &amp; Mktg</t>
  </si>
  <si>
    <t>JS9250</t>
  </si>
  <si>
    <t>企業管治榮譽工商管理學士</t>
  </si>
  <si>
    <t>BBA(Hons)Corp Governance</t>
  </si>
  <si>
    <t>JS9262</t>
  </si>
  <si>
    <t>人力資源管理學榮譽工商管理學士</t>
  </si>
  <si>
    <t>BBA(Hons)HRM</t>
  </si>
  <si>
    <t>JS9266</t>
  </si>
  <si>
    <t>市場學榮譽工商管理學士</t>
  </si>
  <si>
    <t>BBA(Hons)Mkt</t>
  </si>
  <si>
    <t>JS9280</t>
  </si>
  <si>
    <t>應用心理學榮譽學士，商業管理榮譽學士</t>
  </si>
  <si>
    <t>BAPH &amp; BBMH</t>
  </si>
  <si>
    <t>JS9291</t>
  </si>
  <si>
    <t>酒店及可持續旅遊管理榮譽工商管理學士</t>
  </si>
  <si>
    <t>BBA(Hons)Hotel &amp;SustTour</t>
  </si>
  <si>
    <t>JS9294</t>
  </si>
  <si>
    <t>運動及電競運動管理榮譽工商管理學士</t>
  </si>
  <si>
    <t>BBA(Hons) eSports Mgt</t>
  </si>
  <si>
    <t>JS9530</t>
  </si>
  <si>
    <t>教育及語文學院</t>
  </si>
  <si>
    <t>英語教學榮譽教育學士及英語研究榮譽學士</t>
  </si>
  <si>
    <t>BEd(Hons)&amp;BEngLang(Hons)</t>
  </si>
  <si>
    <t>JS9540</t>
  </si>
  <si>
    <t>英語研究榮譽學士</t>
  </si>
  <si>
    <t>BEng Lang (Hons)</t>
  </si>
  <si>
    <t>JS9550</t>
  </si>
  <si>
    <t>語言研究榮譽學士（應用中國語言）</t>
  </si>
  <si>
    <t>x2: 中文、中國文學</t>
    <phoneticPr fontId="3" type="noConversion"/>
  </si>
  <si>
    <t>BLang(Hons) Applied Chin</t>
  </si>
  <si>
    <t>JS9560</t>
  </si>
  <si>
    <t>教育榮譽學士（中國語文教學）及語言研究榮譽學士（應用中國語言）</t>
  </si>
  <si>
    <t>BEd(Hons)&amp;BLang(Hons)Chi</t>
  </si>
  <si>
    <t>JS9580</t>
  </si>
  <si>
    <t>教育榮譽學士（幼兒教育：領導及特殊教育需要）</t>
  </si>
  <si>
    <t>x2: (ApL) 幼兒教育 Child Care and Education</t>
    <phoneticPr fontId="3" type="noConversion"/>
  </si>
  <si>
    <t>BEd(Hons)ECE-Leader&amp;SEN</t>
  </si>
  <si>
    <t>JS9719</t>
  </si>
  <si>
    <t>科技學院</t>
  </si>
  <si>
    <t>網路及電腦安全榮譽理學士</t>
  </si>
  <si>
    <t>BSc(Hons) Cyber&amp;ComSecy</t>
  </si>
  <si>
    <t>JS9720</t>
  </si>
  <si>
    <t>電子及電腦工程學榮譽工學士</t>
  </si>
  <si>
    <t>BEng(Hons)Elec &amp; CompEng</t>
  </si>
  <si>
    <t>JS9731</t>
  </si>
  <si>
    <t>環境科學與綠色管理榮譽理學士</t>
  </si>
  <si>
    <t>BSc(Hons)EnvSci&amp;GreenMgt</t>
  </si>
  <si>
    <t>JS9732</t>
  </si>
  <si>
    <t>生命科學榮譽理學士</t>
  </si>
  <si>
    <t>BSc(Hons) LifeSci</t>
  </si>
  <si>
    <t>JS9733</t>
  </si>
  <si>
    <t>科學（ＳＴＥＭ）榮譽理學士</t>
  </si>
  <si>
    <t>BSc(Hons)Science(STEM)</t>
  </si>
  <si>
    <t>JSSA01</t>
  </si>
  <si>
    <t>明愛專上學院</t>
  </si>
  <si>
    <t>無</t>
  </si>
  <si>
    <t>JSSA02</t>
  </si>
  <si>
    <t>BSDET (Hons)</t>
  </si>
  <si>
    <t>JSSA03</t>
  </si>
  <si>
    <t>生物、物理、組合科學(物理、生物) 考獲 Lv.3 或以上者</t>
    <phoneticPr fontId="3" type="noConversion"/>
  </si>
  <si>
    <t>BSPT (Hons)</t>
  </si>
  <si>
    <t>JSSA04</t>
  </si>
  <si>
    <t>BSAI (Hons)</t>
  </si>
  <si>
    <t>JSSA05</t>
  </si>
  <si>
    <t>JSSC02</t>
  </si>
  <si>
    <t>珠海學院</t>
  </si>
  <si>
    <t>B.Sc (Hons) in Arch</t>
  </si>
  <si>
    <t>JSSH01</t>
  </si>
  <si>
    <t>恒生大學</t>
  </si>
  <si>
    <t>BBA-SCM</t>
  </si>
  <si>
    <t>JSSH02</t>
  </si>
  <si>
    <t>BSC-AIN</t>
  </si>
  <si>
    <t>JSSH03</t>
  </si>
  <si>
    <t>BSC-AC</t>
  </si>
  <si>
    <t>JSSH04</t>
  </si>
  <si>
    <t>BSC-DSBI</t>
  </si>
  <si>
    <t>JSSH05</t>
  </si>
  <si>
    <t>BMSIM</t>
  </si>
  <si>
    <t>JSSH06</t>
  </si>
  <si>
    <t>BA-AD</t>
  </si>
  <si>
    <t>JSST01</t>
  </si>
  <si>
    <t>東華學院</t>
  </si>
  <si>
    <t>BHSc(N)</t>
  </si>
  <si>
    <t>JSST02</t>
  </si>
  <si>
    <t>BSc(MLSc)</t>
  </si>
  <si>
    <t>JSST03</t>
  </si>
  <si>
    <t>BSc(RT)</t>
  </si>
  <si>
    <t>JSST04</t>
  </si>
  <si>
    <t>BSc(OT)</t>
  </si>
  <si>
    <t>JSST05</t>
  </si>
  <si>
    <t>BSc(PT)</t>
  </si>
  <si>
    <t>BSc(AG)</t>
  </si>
  <si>
    <t>JSSU12</t>
  </si>
  <si>
    <t>都會大學</t>
    <phoneticPr fontId="3" type="noConversion"/>
  </si>
  <si>
    <t>BA(Hons) CreWri&amp;FilmArts</t>
  </si>
  <si>
    <t>JSSU14</t>
  </si>
  <si>
    <t>BFA (Hons) Animation VE</t>
  </si>
  <si>
    <t>JSSU15</t>
  </si>
  <si>
    <t>BFA (Hons) IDDA</t>
  </si>
  <si>
    <t>JSSU40</t>
  </si>
  <si>
    <t>x1.2: 生物、化學、物理、綜合科學、組合科學、健康管理及社會關懷</t>
  </si>
  <si>
    <t>BNursing (Hons) General</t>
  </si>
  <si>
    <t>JSSU50</t>
  </si>
  <si>
    <t>x1.2: 生物、化學、物理、綜合科學、組合科學、健康管理及社會關懷</t>
    <phoneticPr fontId="3" type="noConversion"/>
  </si>
  <si>
    <t>BNursing (Hons) Mental</t>
  </si>
  <si>
    <t>JSSU55</t>
  </si>
  <si>
    <t>BSc(Hons) Physiotherapy</t>
  </si>
  <si>
    <t>JSSU61</t>
  </si>
  <si>
    <t>此課程前身原為 JSSU65 檢測和認證榮譽工學士，</t>
    <phoneticPr fontId="3" type="noConversion"/>
  </si>
  <si>
    <t>現重新命名為 JSSU61 綜合檢測和認證榮譽應用理學士。</t>
    <phoneticPr fontId="3" type="noConversion"/>
  </si>
  <si>
    <t>BASc (Hons) Int TIC</t>
  </si>
  <si>
    <t>JSSU68</t>
  </si>
  <si>
    <t>BSc(Hons)Test Sci &amp; Cert</t>
  </si>
  <si>
    <t>JSSU69</t>
  </si>
  <si>
    <t>BSc(Hons)FoodTestSci</t>
  </si>
  <si>
    <t>JSSU70</t>
  </si>
  <si>
    <t>BSc(Hons) Data Sci &amp; AI</t>
  </si>
  <si>
    <t>JSSU72</t>
  </si>
  <si>
    <t>此課程前身原為 JS9718 電腦科學榮譽理學士，</t>
  </si>
  <si>
    <t>現轉為SSSDP課程（JSSU72 電腦科學榮譽理學士）</t>
  </si>
  <si>
    <t>此課程前身原為 JS9721 屋宇設備工程及可持續發展榮譽工學士，</t>
  </si>
  <si>
    <t>現轉為SSSDP課程（JSSU78 屋宇設備工程及可持續發展榮譽工學士）</t>
  </si>
  <si>
    <t>BEng(Hons)BSE&amp;SustainDev</t>
  </si>
  <si>
    <t>此課程前身原為 JS9722 土木及環境工程榮譽工學士，</t>
  </si>
  <si>
    <t>現轉為SSSDP課程（JSSU79 土木工程榮譽工學士）</t>
  </si>
  <si>
    <t>BEng(Hons)Civil Eng</t>
  </si>
  <si>
    <t>JSSU90</t>
  </si>
  <si>
    <t>JSSU95</t>
  </si>
  <si>
    <t>JSSU96</t>
  </si>
  <si>
    <t>BBA (Hons) Fintech</t>
  </si>
  <si>
    <t>JSSU97</t>
  </si>
  <si>
    <t>BBA (Hons) GM &amp; SC Mgt</t>
  </si>
  <si>
    <t>JSSV01</t>
  </si>
  <si>
    <t>THEi</t>
  </si>
  <si>
    <t>BA(FD)</t>
  </si>
  <si>
    <t>JSSV02</t>
  </si>
  <si>
    <t>BA(PD)</t>
  </si>
  <si>
    <t>JSSV03</t>
  </si>
  <si>
    <t>BA(LA)</t>
  </si>
  <si>
    <t>JSSV04</t>
  </si>
  <si>
    <t>BA(CAM)</t>
  </si>
  <si>
    <t>JSSV05</t>
  </si>
  <si>
    <t>BEng(CE)</t>
  </si>
  <si>
    <t>JSSV07</t>
  </si>
  <si>
    <t>BSc(HALM)</t>
  </si>
  <si>
    <t>JSSV08</t>
  </si>
  <si>
    <t>BSc(SUR)</t>
  </si>
  <si>
    <t>JSSV09</t>
  </si>
  <si>
    <t>BSocSc(SRM)</t>
  </si>
  <si>
    <t>JSSW01</t>
  </si>
  <si>
    <t>伍倫貢學院</t>
  </si>
  <si>
    <t>營運及管理（榮譽）航空學士</t>
  </si>
  <si>
    <t>無資料</t>
  </si>
  <si>
    <t>BAvOM</t>
  </si>
  <si>
    <t>JSSY01</t>
  </si>
  <si>
    <t>樹仁大學</t>
  </si>
  <si>
    <t>金融科技（榮譽）商學士</t>
  </si>
  <si>
    <t>BCom (Hons) FinTech</t>
  </si>
  <si>
    <t>Retake扣分資訊</t>
    <phoneticPr fontId="3" type="noConversion"/>
  </si>
  <si>
    <t>今年重考</t>
    <phoneticPr fontId="3" type="noConversion"/>
  </si>
  <si>
    <t>現時香港只有CUHK及HKU兩間院校有列明重考扣分︰</t>
    <phoneticPr fontId="3" type="noConversion"/>
  </si>
  <si>
    <t>CUHK</t>
  </si>
  <si>
    <t>你的總分</t>
    <phoneticPr fontId="3" type="noConversion"/>
  </si>
  <si>
    <t>扣分</t>
    <phoneticPr fontId="3" type="noConversion"/>
  </si>
  <si>
    <t>合併成績</t>
    <phoneticPr fontId="3" type="noConversion"/>
  </si>
  <si>
    <t>最近3次</t>
    <phoneticPr fontId="3" type="noConversion"/>
  </si>
  <si>
    <t>最近3次</t>
  </si>
  <si>
    <t>參考資料</t>
    <phoneticPr fontId="3" type="noConversion"/>
  </si>
  <si>
    <t>CityU</t>
  </si>
  <si>
    <t>UGC-funded</t>
  </si>
  <si>
    <t>BSc Computational Finance and Financial Technology</t>
  </si>
  <si>
    <t>BBA Global Business</t>
  </si>
  <si>
    <t>BBA Accountancy</t>
  </si>
  <si>
    <t>BBA Management</t>
  </si>
  <si>
    <t>BBA Marketing</t>
  </si>
  <si>
    <t>School of Creative Media (options: BA Creative Media, BSc Creative Media, BAS New Media)</t>
  </si>
  <si>
    <t>BA Creative Media</t>
  </si>
  <si>
    <t>BSc Creative Media</t>
  </si>
  <si>
    <t>BAS New Media</t>
  </si>
  <si>
    <t>School of Energy and Environment (options: BEng Energy Science and Engineering, BEng Environmental Science and Engineering)</t>
  </si>
  <si>
    <t>Bachelor of Laws</t>
  </si>
  <si>
    <t>BSc Data Science</t>
  </si>
  <si>
    <t>BScDSE</t>
  </si>
  <si>
    <t>BA Chinese and History</t>
  </si>
  <si>
    <t>BA English</t>
  </si>
  <si>
    <t>Department of Media and Communication (options: BA Digital Television and Broadcasting, BA Media and Communication)</t>
  </si>
  <si>
    <t>JS1109</t>
    <phoneticPr fontId="3" type="noConversion"/>
  </si>
  <si>
    <t>Department of Social and Behavioural Sciences (options: BSocSc Criminology and Sociology, BSocSc Psychology, BSocSc Social Work)</t>
  </si>
  <si>
    <t>BSocSc Criminology and Sociology</t>
  </si>
  <si>
    <t>BSocSc Psychology</t>
  </si>
  <si>
    <t>BSocSc Social Work</t>
  </si>
  <si>
    <t>Global Research Enrichment and Technopreneurship (GREAT)</t>
  </si>
  <si>
    <t>BSc Chemistry</t>
  </si>
  <si>
    <t>BSc Computer Science</t>
  </si>
  <si>
    <t>BScCS</t>
  </si>
  <si>
    <t>BSc Computing Mathematics</t>
  </si>
  <si>
    <t>BSc Physics</t>
  </si>
  <si>
    <t>BEng Materials Science and Engineering</t>
  </si>
  <si>
    <t>BEng Biomedical Engineering</t>
  </si>
  <si>
    <t>BEngITME</t>
  </si>
  <si>
    <t>Bachelor of Veterinary Medicine</t>
  </si>
  <si>
    <t>Department of Biomedical Sciences (options: BSc Biological Sciences, BSc Biomedical Sciences)</t>
  </si>
  <si>
    <t>BSc Biological Sciences</t>
  </si>
  <si>
    <t>BSc Biomedical Sciences</t>
  </si>
  <si>
    <t>JS2021</t>
  </si>
  <si>
    <t>JS2022</t>
  </si>
  <si>
    <t>JS2023</t>
  </si>
  <si>
    <t>JS2024</t>
  </si>
  <si>
    <t>JS2026</t>
  </si>
  <si>
    <t>JS2030</t>
  </si>
  <si>
    <t>JS2040</t>
  </si>
  <si>
    <t>JS2050</t>
  </si>
  <si>
    <t>Bachelor of Business Administration</t>
  </si>
  <si>
    <t>JS2320</t>
  </si>
  <si>
    <t>JS2350</t>
  </si>
  <si>
    <t>JS2360</t>
  </si>
  <si>
    <t>Bachelor of Science</t>
  </si>
  <si>
    <t>JS2630</t>
  </si>
  <si>
    <t>JS2640</t>
  </si>
  <si>
    <t>JS2670</t>
  </si>
  <si>
    <t>JS2690</t>
  </si>
  <si>
    <t>PolyU</t>
  </si>
  <si>
    <t>JS3014</t>
  </si>
  <si>
    <t>JS3466</t>
  </si>
  <si>
    <t>JS3026</t>
  </si>
  <si>
    <t>JS3595</t>
  </si>
  <si>
    <t>JS3038</t>
  </si>
  <si>
    <t>JS3911</t>
  </si>
  <si>
    <t>JS3040</t>
  </si>
  <si>
    <t>JS3662</t>
  </si>
  <si>
    <t>JS3052</t>
  </si>
  <si>
    <t>JS3765</t>
  </si>
  <si>
    <t>JS3064</t>
  </si>
  <si>
    <t>JS3507</t>
  </si>
  <si>
    <t>JS3076</t>
  </si>
  <si>
    <t>JS3674</t>
  </si>
  <si>
    <t>JS3105</t>
  </si>
  <si>
    <t>JS3844</t>
  </si>
  <si>
    <t>JS3117</t>
  </si>
  <si>
    <t>JS3600</t>
  </si>
  <si>
    <t>JS3284</t>
  </si>
  <si>
    <t>JS3349</t>
  </si>
  <si>
    <t>JS3923</t>
  </si>
  <si>
    <t>JS3997</t>
  </si>
  <si>
    <t>JS3442</t>
  </si>
  <si>
    <t>JS3789</t>
  </si>
  <si>
    <t>JS3791</t>
  </si>
  <si>
    <t>JS3753</t>
  </si>
  <si>
    <t>JS3375</t>
  </si>
  <si>
    <t>JS3739</t>
  </si>
  <si>
    <t>JS3777</t>
  </si>
  <si>
    <t>JS3806</t>
  </si>
  <si>
    <t>JS3351</t>
  </si>
  <si>
    <t>JS3715</t>
  </si>
  <si>
    <t>JS3832</t>
  </si>
  <si>
    <t>JS3492</t>
  </si>
  <si>
    <t>JS3820</t>
  </si>
  <si>
    <t>JS3882</t>
  </si>
  <si>
    <t>JS3519</t>
  </si>
  <si>
    <t>JS3703</t>
  </si>
  <si>
    <t>JS3230</t>
  </si>
  <si>
    <t>JS3818</t>
  </si>
  <si>
    <t>JS3583</t>
  </si>
  <si>
    <t>JS3894</t>
  </si>
  <si>
    <t>JS3650</t>
  </si>
  <si>
    <t>JS3387</t>
  </si>
  <si>
    <t>JS4401</t>
  </si>
  <si>
    <t>Engineering</t>
  </si>
  <si>
    <t>JS4633</t>
  </si>
  <si>
    <t>JS4648</t>
  </si>
  <si>
    <t>HKUST</t>
  </si>
  <si>
    <t>International Research Enrichment</t>
  </si>
  <si>
    <t>BSc in Integrative Systems and Design</t>
  </si>
  <si>
    <t>Business and Management</t>
  </si>
  <si>
    <t>BBA in Economics</t>
  </si>
  <si>
    <t>BBA in Finance</t>
  </si>
  <si>
    <t>BBA in Global Business</t>
  </si>
  <si>
    <t>BBA in Information Systems</t>
  </si>
  <si>
    <t>BBA in Management</t>
  </si>
  <si>
    <t>BBA in Marketing</t>
  </si>
  <si>
    <t>BBA in Operations Management</t>
  </si>
  <si>
    <t>BBA in Professional Accounting</t>
  </si>
  <si>
    <t>BSc in Economics and Finance</t>
  </si>
  <si>
    <t>BSc in Quantitative Finance</t>
  </si>
  <si>
    <t>BSc in Global China Studies</t>
  </si>
  <si>
    <t>BSc in Quantitative Social Analysis</t>
  </si>
  <si>
    <t>BSc in Biotechnology and Business</t>
  </si>
  <si>
    <t>BSc in Environmental Management and Technology</t>
  </si>
  <si>
    <t>BSc in Risk Management and Business Intelligence</t>
  </si>
  <si>
    <t>BSc in Sustainable and Green Finance</t>
  </si>
  <si>
    <t>BEng/BSc &amp; BBA Dual Degree Program in Technology &amp; Management</t>
  </si>
  <si>
    <t>Bachelor of Arts in Architectural Studies</t>
  </si>
  <si>
    <t>Bachelor of Science in Surveying</t>
  </si>
  <si>
    <t>BA(LS)</t>
  </si>
  <si>
    <t>Bachelor of Arts in Landscape Studies</t>
  </si>
  <si>
    <t>BA(US)</t>
  </si>
  <si>
    <t>Bachelor of Arts in Urban Studies</t>
  </si>
  <si>
    <t>Bachelor of Arts and Bachelor of Education in Language Education - English (double degree)</t>
  </si>
  <si>
    <t>BA&amp;LLB</t>
  </si>
  <si>
    <t>Bachelor of Arts and Bachelor of Laws (double degree)</t>
  </si>
  <si>
    <t>Bachelor of Arts and Bachelor of Education in Language Education - Chinese (double degree)</t>
  </si>
  <si>
    <t>Bachelor of Education in Early Childhood Education and Special Education</t>
  </si>
  <si>
    <t>Bachelor of Dental Surgery</t>
  </si>
  <si>
    <t>Bachelor of Education and Bachelor of Science (double degree)</t>
  </si>
  <si>
    <t>JS6195</t>
  </si>
  <si>
    <t>BASc</t>
  </si>
  <si>
    <t>Bachelor of Arts and Sciences</t>
  </si>
  <si>
    <t>Bachelor of Arts and Sciences in Applied Artificial Intelligence</t>
  </si>
  <si>
    <t>BASc(Design+)</t>
  </si>
  <si>
    <t>Bachelor of Arts and Sciences in Design+</t>
  </si>
  <si>
    <t>BASc(FinTech)</t>
  </si>
  <si>
    <t>Bachelor of Arts and Sciences in Financial Technology</t>
  </si>
  <si>
    <t>BASc(GHD)</t>
  </si>
  <si>
    <t>Bachelor of Arts and Sciences in Global Health and Development</t>
  </si>
  <si>
    <t>JS6262</t>
  </si>
  <si>
    <t>BEng(DS&amp;E)</t>
  </si>
  <si>
    <t>Bachelor of Engineering in Data Science and Engineering</t>
  </si>
  <si>
    <t>工學學士(數據科學及工程)</t>
  </si>
  <si>
    <t>Bachelor of Arts in Humanities and Digital Technologies</t>
  </si>
  <si>
    <t>Bachelor of Nursing Advanced Leadership Track</t>
  </si>
  <si>
    <t>MBBS</t>
  </si>
  <si>
    <t>Bachelor of Medicine and Bachelor of Surgery</t>
  </si>
  <si>
    <t>Bachelor of Nursing</t>
  </si>
  <si>
    <t>Bachelor of Science in Bioinformatics</t>
  </si>
  <si>
    <t>Bachelor of Chinese Medicine</t>
  </si>
  <si>
    <t>Bachelor of Pharmacy</t>
  </si>
  <si>
    <t>Science Master Class (double degree)</t>
  </si>
  <si>
    <t>科研專才啟導課程 (雙學位課程)</t>
  </si>
  <si>
    <t>Bachelor of Psychology</t>
  </si>
  <si>
    <t>BSS</t>
  </si>
  <si>
    <t>Bachelor of Social Sciences</t>
  </si>
  <si>
    <t>Bachelor of Science in Actuarial Science</t>
  </si>
  <si>
    <t>Bachelor of Social Work</t>
  </si>
  <si>
    <t>BEcon/BEcon&amp;Fin</t>
  </si>
  <si>
    <t>Bachelor of Economics / Bachelor of Economics and Finance</t>
  </si>
  <si>
    <t>BBA(BA)</t>
  </si>
  <si>
    <t>Bachelor of Business Administration (Business Analytics)</t>
  </si>
  <si>
    <t>工商管理學學士(商業分析)</t>
  </si>
  <si>
    <t>BBA(Law)&amp;LLB</t>
  </si>
  <si>
    <t>Bachelor of Business Administration (Law) and Bachelor of Laws (double degree)</t>
  </si>
  <si>
    <t>BSS(GL)&amp;LLB</t>
  </si>
  <si>
    <t>Bachelor of Social Sciences (Government and Laws) and Bachelor of Laws (double degree)</t>
  </si>
  <si>
    <t>BJ</t>
  </si>
  <si>
    <t>Bachelor of Journalism</t>
  </si>
  <si>
    <t>Bachelor of Science in Marketing Analytics and Technology</t>
  </si>
  <si>
    <t>Bachelor of Science and Bachelor of Laws (double degree)</t>
  </si>
  <si>
    <t>BFin(AMPB)</t>
  </si>
  <si>
    <t>Bachelor of Finance in Asset Management and Private Banking</t>
  </si>
  <si>
    <t>BSc(QFin)</t>
  </si>
  <si>
    <t>Bachelor of Science in Quantitative Finance</t>
  </si>
  <si>
    <t>Bachelor of Business Administration in International Business and Global Management</t>
  </si>
  <si>
    <t>環球工程與商業課程 (雙學位課程)</t>
  </si>
  <si>
    <t>BBiomedSc</t>
  </si>
  <si>
    <t>Bachelor of Biomedical Sciences</t>
  </si>
  <si>
    <t>Bachelor of Engineering in Engineering Science</t>
  </si>
  <si>
    <t>BEng(EngSc)</t>
  </si>
  <si>
    <t>LingnanU</t>
  </si>
  <si>
    <t>Bachelor of Arts (Honours) in Chinese</t>
  </si>
  <si>
    <t>中文(榮譽)文學士</t>
  </si>
  <si>
    <t>Bachelor of Arts (Honours) in Animation and Digital Arts</t>
  </si>
  <si>
    <t>Bachelor of Business Administration (Honours)</t>
  </si>
  <si>
    <t>Bachelor of Business Administration (Honours) - Risk and Insurance Management</t>
  </si>
  <si>
    <t>Bachelor of Science (Honours) in Data Science</t>
  </si>
  <si>
    <t>JS7300</t>
  </si>
  <si>
    <t>Bachelor of Social Sciences (Honours) - Economics</t>
  </si>
  <si>
    <t>Bachelor of Arts (Honours) in Contemporary English Studies</t>
  </si>
  <si>
    <t>Bachelor of Arts (Honours) in Cultural Studies</t>
  </si>
  <si>
    <t>Bachelor of Arts (Honours) in History</t>
  </si>
  <si>
    <t>Bachelor of Arts (Honours) in Philosophy</t>
  </si>
  <si>
    <t>Bachelor of Education (Honours) (Chinese Language)</t>
  </si>
  <si>
    <t>Bachelor of Education (Honours) (English Language) - Primary</t>
  </si>
  <si>
    <t>Bachelor of Education (Honours) (Primary) - Mathematics</t>
  </si>
  <si>
    <t>Bachelor of Education (Honours) (Physical Education)</t>
  </si>
  <si>
    <t>Bachelor of Education (Honours) (Secondary) - Information and Communication Technology</t>
  </si>
  <si>
    <t>Bachelor of Education (Honours) (Business, Accounting and Financial Studies)</t>
  </si>
  <si>
    <t>JS8391</t>
  </si>
  <si>
    <t>Bachelor of Education (Honours) (History)</t>
  </si>
  <si>
    <t>歷史教育榮譽學士</t>
  </si>
  <si>
    <t>Bachelor of Education (Honours) (Early Childhood Education)</t>
  </si>
  <si>
    <t>JS8416</t>
  </si>
  <si>
    <t>BEd(CHI HIST)</t>
  </si>
  <si>
    <t>中國歷史教育榮譽學士</t>
  </si>
  <si>
    <t>Bachelor of Education (Honours) (Geography)</t>
  </si>
  <si>
    <t>Bachelor of Education (Honours) (Science)</t>
  </si>
  <si>
    <t>Higher Diploma in Early Childhood Education</t>
  </si>
  <si>
    <t>Bachelor of Arts (Honours) in Language Studies (Chinese Major)</t>
  </si>
  <si>
    <t>Bachelor of Arts (Honours) in Language Studies (English Major)</t>
  </si>
  <si>
    <t>JS8624</t>
  </si>
  <si>
    <t>Bachelor of Arts (Honours) in Creative Arts and Culture (Music)</t>
  </si>
  <si>
    <t>Bachelor of Arts (Honours) in Creative Arts and Culture (Visual Arts)</t>
  </si>
  <si>
    <t>Bachelor of Social Sciences (Honours) in Psychology</t>
  </si>
  <si>
    <t>Bachelor of Arts (Honours) in Special Education</t>
  </si>
  <si>
    <t>Bachelor of Arts (Honours) in Creative Arts and Culture and Bachelor of Education (Honours) (Music) Co-terminal Double Degree Programme</t>
  </si>
  <si>
    <t>Bachelor of Arts (Honours) in Creative Arts and Culture and Bachelor of Education (Honours) (Visual Arts) Co-terminal Double Degree Programme</t>
  </si>
  <si>
    <t>Bachelor of Arts (Honours) in Language Studies and Bachelor of Education (Honours) (English Language) Co-terminal Double Degree Programme</t>
  </si>
  <si>
    <t>OUHK</t>
  </si>
  <si>
    <t>JS9001</t>
  </si>
  <si>
    <t>Bachelor of Social Sciences with Honours in PsychologyUPDATED</t>
  </si>
  <si>
    <t>JS9003</t>
  </si>
  <si>
    <t>JS9004</t>
  </si>
  <si>
    <t>JS9005</t>
  </si>
  <si>
    <t>JS9006</t>
  </si>
  <si>
    <t>JS9007</t>
  </si>
  <si>
    <t>JS9008</t>
  </si>
  <si>
    <t>Bachelor of Arts with Honours in ChineseUPDATED</t>
  </si>
  <si>
    <t>Bachelor of Arts with Honours in Language Studies and TranslationUPDATED</t>
  </si>
  <si>
    <t>Bachelor of Arts with Honours in Creative Advertising and Media DesignUPDATED</t>
  </si>
  <si>
    <t>Bachelor of Arts with Honours in English Language and CultureUPDATED</t>
  </si>
  <si>
    <t>Bachelor of Business Administration with Honours in Professional AccountingUPDATED</t>
  </si>
  <si>
    <t>JS9222</t>
  </si>
  <si>
    <t>Bachelor of Business Administration with Honours in Business ManagementUPDATED</t>
  </si>
  <si>
    <t>JS9261</t>
  </si>
  <si>
    <t>JS9272</t>
  </si>
  <si>
    <t>JS9276</t>
  </si>
  <si>
    <t>Bachelor of Applied Psychology with Honours, Bachelor of Business Management with HonoursUPDATED</t>
  </si>
  <si>
    <t>Bachelor of Business Administration with Honours in Sports and eSports ManagementUPDATED</t>
  </si>
  <si>
    <t>Bachelor of Education with Honours in English Language Teaching and Bachelor of English Language Studies with HonoursUPDATED</t>
  </si>
  <si>
    <t>Bachelor of English Language Studies with HonoursUPDATED</t>
  </si>
  <si>
    <t>Bachelor of Language Studies with Honours (Applied Chinese Language Studies)UPDATED</t>
  </si>
  <si>
    <t>Bachelor of Education with Honours (Chinese Language Teaching) and Bachelor of Language Studies with Honours (Applied Chinese Language Studies)UPDATED</t>
  </si>
  <si>
    <t>JS9570</t>
  </si>
  <si>
    <t>Bachelor of Education with Honours in Early Childhood Education (Leadership and Special Educational Needs)UPDATED</t>
  </si>
  <si>
    <t>JS9718</t>
  </si>
  <si>
    <t>電腦科學榮譽理學士</t>
  </si>
  <si>
    <t>Bachelor of Science with Honours in Cyber and Computer SecurityUPDATED</t>
  </si>
  <si>
    <t>Bachelor of Engineering with Honours in Electronic and Computer EngineeringUPDATED</t>
  </si>
  <si>
    <t>JS9721</t>
  </si>
  <si>
    <t>屋宇設備工程及可持續發展榮譽工學士</t>
  </si>
  <si>
    <t>JS9722</t>
  </si>
  <si>
    <t>Bachelor of Science with Honours in Environmental Science and Green ManagementUPDATED</t>
  </si>
  <si>
    <t>BN (Hons)</t>
  </si>
  <si>
    <t>JSSC03</t>
  </si>
  <si>
    <t>JSSC04</t>
  </si>
  <si>
    <t>JSST06</t>
  </si>
  <si>
    <t>JSSU61</t>
    <phoneticPr fontId="3" type="noConversion"/>
  </si>
  <si>
    <t>JSSU71</t>
  </si>
  <si>
    <t>JSSV11</t>
  </si>
  <si>
    <t>JSSV12</t>
  </si>
  <si>
    <t>Band B (Offer)</t>
    <phoneticPr fontId="3" type="noConversion"/>
  </si>
  <si>
    <t>Band C (Offer)</t>
    <phoneticPr fontId="3" type="noConversion"/>
  </si>
  <si>
    <t>Band D (Offer)</t>
    <phoneticPr fontId="3" type="noConversion"/>
  </si>
  <si>
    <t>Band E (Offer)</t>
    <phoneticPr fontId="3" type="noConversion"/>
  </si>
  <si>
    <t>Total (Offer)</t>
    <phoneticPr fontId="3" type="noConversion"/>
  </si>
  <si>
    <t>Total (Accept)</t>
    <phoneticPr fontId="3" type="noConversion"/>
  </si>
  <si>
    <t>Year</t>
  </si>
  <si>
    <t>2018年</t>
    <phoneticPr fontId="3" type="noConversion"/>
  </si>
  <si>
    <t>2018年</t>
  </si>
  <si>
    <t>2019年</t>
  </si>
  <si>
    <t>JS1073</t>
    <phoneticPr fontId="3" type="noConversion"/>
  </si>
  <si>
    <t>JS1074</t>
    <phoneticPr fontId="3" type="noConversion"/>
  </si>
  <si>
    <t>JS1091</t>
  </si>
  <si>
    <t>前身</t>
  </si>
  <si>
    <t>JS1093</t>
  </si>
  <si>
    <t>JSSU65</t>
    <phoneticPr fontId="3" type="noConversion"/>
  </si>
  <si>
    <t>JS2680</t>
  </si>
  <si>
    <t>JS7101</t>
    <phoneticPr fontId="3" type="noConversion"/>
  </si>
  <si>
    <t>2020年</t>
    <phoneticPr fontId="3" type="noConversion"/>
  </si>
  <si>
    <t>2020年</t>
  </si>
  <si>
    <t>JS1105(已更新為JS1109)</t>
    <phoneticPr fontId="3" type="noConversion"/>
  </si>
  <si>
    <t>JS3765</t>
    <phoneticPr fontId="3" type="noConversion"/>
  </si>
  <si>
    <t>JS3777</t>
    <phoneticPr fontId="3" type="noConversion"/>
  </si>
  <si>
    <t>2021年</t>
  </si>
  <si>
    <t>JS3985</t>
  </si>
  <si>
    <t>2021年</t>
    <phoneticPr fontId="3" type="noConversion"/>
  </si>
  <si>
    <t>JS1113</t>
    <phoneticPr fontId="3" type="noConversion"/>
  </si>
  <si>
    <t>JS3337</t>
    <phoneticPr fontId="3" type="noConversion"/>
  </si>
  <si>
    <t>JS3478</t>
    <phoneticPr fontId="3" type="noConversion"/>
  </si>
  <si>
    <t>JS3492</t>
    <phoneticPr fontId="3" type="noConversion"/>
  </si>
  <si>
    <t>JS3557</t>
    <phoneticPr fontId="3" type="noConversion"/>
  </si>
  <si>
    <t>JS3569</t>
    <phoneticPr fontId="3" type="noConversion"/>
  </si>
  <si>
    <t>JS3636</t>
    <phoneticPr fontId="3" type="noConversion"/>
  </si>
  <si>
    <t>JS3648</t>
    <phoneticPr fontId="3" type="noConversion"/>
  </si>
  <si>
    <t>JS3868</t>
    <phoneticPr fontId="3" type="noConversion"/>
  </si>
  <si>
    <t>分數差距</t>
  </si>
  <si>
    <t>分數差距百分比</t>
  </si>
  <si>
    <t>JUPAS No.</t>
  </si>
  <si>
    <t>學科</t>
  </si>
  <si>
    <t>英文縮寫</t>
    <phoneticPr fontId="3" type="noConversion"/>
  </si>
  <si>
    <t>BandA競爭人數</t>
    <phoneticPr fontId="3" type="noConversion"/>
  </si>
  <si>
    <t>\</t>
    <phoneticPr fontId="3" type="noConversion"/>
  </si>
  <si>
    <t>JUPAS Code</t>
  </si>
  <si>
    <t>Percentile</t>
  </si>
  <si>
    <t>Chi</t>
  </si>
  <si>
    <t>Eng</t>
  </si>
  <si>
    <t>Maths</t>
  </si>
  <si>
    <t>LS</t>
  </si>
  <si>
    <t>M1/2</t>
  </si>
  <si>
    <t>E1</t>
  </si>
  <si>
    <t>E2</t>
  </si>
  <si>
    <t>5*</t>
  </si>
  <si>
    <t>M</t>
  </si>
  <si>
    <t>5**</t>
  </si>
  <si>
    <t>A</t>
  </si>
  <si>
    <t>JS4760</t>
  </si>
  <si>
    <t>等級</t>
    <phoneticPr fontId="5" type="noConversion"/>
  </si>
  <si>
    <t>選修科</t>
    <phoneticPr fontId="3" type="noConversion"/>
  </si>
  <si>
    <t>第一選修科</t>
    <phoneticPr fontId="3" type="noConversion"/>
  </si>
  <si>
    <t>第二選修科</t>
    <phoneticPr fontId="3" type="noConversion"/>
  </si>
  <si>
    <t>第三選修科</t>
    <phoneticPr fontId="3" type="noConversion"/>
  </si>
  <si>
    <t>第四選修科</t>
  </si>
  <si>
    <t>丙類選修科</t>
  </si>
  <si>
    <t>丙類科目等級</t>
    <phoneticPr fontId="5" type="noConversion"/>
  </si>
  <si>
    <t>差距(UQ)</t>
    <phoneticPr fontId="3" type="noConversion"/>
  </si>
  <si>
    <t>是否</t>
  </si>
  <si>
    <t>請選擇等級</t>
    <phoneticPr fontId="5" type="noConversion"/>
  </si>
  <si>
    <t>請選擇第一選修科</t>
    <phoneticPr fontId="3" type="noConversion"/>
  </si>
  <si>
    <t>請選擇第二選修科</t>
    <phoneticPr fontId="3" type="noConversion"/>
  </si>
  <si>
    <t>請選擇第三選修科</t>
    <phoneticPr fontId="3" type="noConversion"/>
  </si>
  <si>
    <t>請選擇語言科目</t>
    <phoneticPr fontId="3" type="noConversion"/>
  </si>
  <si>
    <t>5**</t>
    <phoneticPr fontId="5" type="noConversion"/>
  </si>
  <si>
    <t>法語</t>
  </si>
  <si>
    <t>A</t>
    <phoneticPr fontId="5" type="noConversion"/>
  </si>
  <si>
    <t>差距(LQ)</t>
    <phoneticPr fontId="3" type="noConversion"/>
  </si>
  <si>
    <t>是</t>
  </si>
  <si>
    <t>5*</t>
    <phoneticPr fontId="5" type="noConversion"/>
  </si>
  <si>
    <t>日語</t>
  </si>
  <si>
    <t>B</t>
    <phoneticPr fontId="5" type="noConversion"/>
  </si>
  <si>
    <t>2019年</t>
    <phoneticPr fontId="3" type="noConversion"/>
  </si>
  <si>
    <t>否</t>
  </si>
  <si>
    <t>德語</t>
  </si>
  <si>
    <t>C</t>
    <phoneticPr fontId="5" type="noConversion"/>
  </si>
  <si>
    <t>印地語</t>
  </si>
  <si>
    <t>D</t>
    <phoneticPr fontId="5" type="noConversion"/>
  </si>
  <si>
    <t>西班牙語</t>
  </si>
  <si>
    <t>E</t>
    <phoneticPr fontId="5" type="noConversion"/>
  </si>
  <si>
    <t>烏爾都語</t>
  </si>
  <si>
    <t>U</t>
    <phoneticPr fontId="5" type="noConversion"/>
  </si>
  <si>
    <t>已選擇科目</t>
    <phoneticPr fontId="3" type="noConversion"/>
  </si>
  <si>
    <t>數字模式  (Drop Menu)</t>
  </si>
  <si>
    <t>包括M1/2 (Drop Menu)</t>
  </si>
  <si>
    <t>&lt;-以百分比顯示差距 (Tickbox)</t>
  </si>
  <si>
    <t>&lt;-以百分比顯示差距 (Drop Menu)</t>
  </si>
  <si>
    <t>&lt;- DO NOT DELETE, Data Validation on front page</t>
  </si>
  <si>
    <t>2023年</t>
  </si>
  <si>
    <t>公社科</t>
  </si>
  <si>
    <t>達標</t>
  </si>
  <si>
    <t>不達標</t>
  </si>
  <si>
    <t>更新 2024年入學資料</t>
  </si>
  <si>
    <t>3C+1X</t>
  </si>
  <si>
    <t>3C+2X</t>
  </si>
  <si>
    <t>此處顯示為2023年計分方式及數字 (分數已計比重)</t>
  </si>
  <si>
    <t>請前往All in One 計分器查看比重、入學要求等詳情。</t>
  </si>
  <si>
    <t>Department of Economics and Finance (options: BBA Business Economics, BBA Finance)</t>
  </si>
  <si>
    <t>BBA Business Economics</t>
  </si>
  <si>
    <t>BBA Finance</t>
  </si>
  <si>
    <t>Department of Information Systems (options: BBA Global Business Systems Management, BBA Information Management)</t>
  </si>
  <si>
    <t>BBA Global Business Systems Management</t>
  </si>
  <si>
    <t>BBA Information Management</t>
  </si>
  <si>
    <t>Department of Management Sciences (options: BBA Business Decision Analytics, BBA Global Operations Management)</t>
  </si>
  <si>
    <t>BBABDAN</t>
  </si>
  <si>
    <t>BBA Business Decision Analytics</t>
  </si>
  <si>
    <t>BBAGOM</t>
  </si>
  <si>
    <t>BBA Global Operations Management</t>
  </si>
  <si>
    <t>JS1052</t>
  </si>
  <si>
    <t>BEngESE&amp;BBAFIN</t>
  </si>
  <si>
    <t>Bachelor of Engineering in Environmental Science and Engineering and Bachelor of Business Administration in Finance</t>
  </si>
  <si>
    <t>工學士(環境科學及工程學)與工商管理學士(金融)</t>
  </si>
  <si>
    <t>Bachelor of Laws and Bachelor of Business Administration in Accountancy</t>
  </si>
  <si>
    <t>School of Data Science (options: BSc Data Science, BSc Data and Systems Engineering)</t>
  </si>
  <si>
    <t>BSc Data and Systems Engineering</t>
  </si>
  <si>
    <t>BSocScIRGA</t>
  </si>
  <si>
    <t>BSocSc International Relations and Global Affairs</t>
  </si>
  <si>
    <t>BSocScPAM</t>
  </si>
  <si>
    <t>社會科學學士(公共事務與管理)</t>
  </si>
  <si>
    <t>BA Linguistics and Language Applications</t>
  </si>
  <si>
    <t>Bachelor of Social Sciences in Public Policy and Bachelor of Laws</t>
  </si>
  <si>
    <t>Bachelor of Social Sciences in Criminology and Bachelor of Laws</t>
  </si>
  <si>
    <t>Department of Architecture and Civil Engineering (options: BEng Architectural Engineering, BEng Civil Engineering, BSc Architecture and Surveying)</t>
  </si>
  <si>
    <t>Department of Electrical Engineering (options: BEng Computer and Data Engineering, BEng Electronic and Electrical Engineering, BEng Information Engineering, BEng Microelectronics Engineering)</t>
  </si>
  <si>
    <t>Department of Mechanical Engineering (options: BEng Aerospace Engineering, BEng Mechanical Engineering, BEng Nuclear and Risk Engineering)</t>
  </si>
  <si>
    <t>BEng Intelligent Manufacturing Engineering</t>
  </si>
  <si>
    <t>PRIME</t>
  </si>
  <si>
    <t>Pathway for Research, Innovation, and Multinational Engineering (PRIME)</t>
  </si>
  <si>
    <t>研究、創新和環球工程課程</t>
  </si>
  <si>
    <t>Bachelor of Laws and Bachelor of Science in Computing Mathematics</t>
  </si>
  <si>
    <t>Bachelor of Science in Computer Science and Bachelor of Science in Computational Finance and Financial Technology</t>
  </si>
  <si>
    <t>BSocSc Public Affairs and ManagementUPDATED</t>
  </si>
  <si>
    <t>JS3011</t>
  </si>
  <si>
    <t>JS3910</t>
  </si>
  <si>
    <t>Biotechnology and Chemical Technology</t>
  </si>
  <si>
    <t>Food Safety and Technology</t>
  </si>
  <si>
    <t>IDADM</t>
  </si>
  <si>
    <t>JS4750</t>
  </si>
  <si>
    <t>Bachelor of Science in Aerospace Science and Earth Informatics + X (ASEI+X) Double Major Programme</t>
  </si>
  <si>
    <t>Science (Group A)</t>
  </si>
  <si>
    <t>Science (Group B)</t>
  </si>
  <si>
    <t>Science (Group A) with an Extended Major in Artificial Intelligence</t>
  </si>
  <si>
    <t>Engineering with an Extended Major in Artificial Intelligence</t>
  </si>
  <si>
    <t>JS5711</t>
  </si>
  <si>
    <t>BSc in Mathematics and Economics</t>
  </si>
  <si>
    <t>From JS5211</t>
  </si>
  <si>
    <t>工商管理學學士</t>
  </si>
  <si>
    <t>BSc(Surv)</t>
  </si>
  <si>
    <t>BA&amp;BEd(LangEd)-Eng</t>
  </si>
  <si>
    <t>BA&amp;BEd(LangEd)-Chin</t>
  </si>
  <si>
    <t>BEd(ECE&amp;SE)</t>
  </si>
  <si>
    <t>BEd&amp;BSc</t>
  </si>
  <si>
    <t>BSc(SLP)</t>
  </si>
  <si>
    <t>Bachelor of Science in Speech-Language Pathology</t>
  </si>
  <si>
    <t>理學士(言語及語言病理學)</t>
  </si>
  <si>
    <t>Bachelor of ArtsUPDATED</t>
  </si>
  <si>
    <t>BNurs-ALT</t>
  </si>
  <si>
    <t>BNurs</t>
  </si>
  <si>
    <t>BSc(Ac)</t>
  </si>
  <si>
    <t>BBA(Acc&amp;Fin)/BBA(ADA)</t>
  </si>
  <si>
    <t>Bachelor of Business Administration in Accounting and Finance / Bachelor of Business Administration in Accounting Data Analytics</t>
  </si>
  <si>
    <t>工商管理學學士(會計及財務) / 工商管理學學士(會計數據分析)</t>
  </si>
  <si>
    <t>BEng(BmE)</t>
  </si>
  <si>
    <t>Bachelor of Engineering in Biomedical EngineeringUPDATED</t>
  </si>
  <si>
    <t>Global Engineering and Business Programme (double degree)UPDATED</t>
  </si>
  <si>
    <t>BEng</t>
  </si>
  <si>
    <t>Bachelor of EngineeringUPDATED</t>
  </si>
  <si>
    <t>Bachelor of Liberal Arts (Hons) in Global Development and Sustainability</t>
  </si>
  <si>
    <t>Bachelor of Arts (Honours) in Translation, Cross-cultural Studies, and Corporate Communication</t>
  </si>
  <si>
    <t>Bachelor of Social Sciences (Honours) - Government and International Affairs</t>
  </si>
  <si>
    <t>Bachelor of Social Sciences (Honours) - Psychology</t>
  </si>
  <si>
    <t>Bachelor of Social Sciences (Honours) - Sociology</t>
  </si>
  <si>
    <t>Bachelor of Social Sciences (Honours) - Health and Social Services Management</t>
  </si>
  <si>
    <t>Bachelor of Social Sciences (Honours) - Social and Public Policy Studies</t>
  </si>
  <si>
    <t>BA (Hons) Film&amp; Vis.Arts</t>
  </si>
  <si>
    <t>電影與視覺藝術(榮譽)文學士</t>
  </si>
  <si>
    <t>Bachelor of Arts (Honours) in Film and Visual Arts*UPDATED</t>
  </si>
  <si>
    <t>JS8687</t>
  </si>
  <si>
    <t>BA(HE&amp;AM)</t>
  </si>
  <si>
    <t>BEd(P)-GS(H&amp;S)</t>
  </si>
  <si>
    <t>Bachelor of Education (Honours) (Primary) - General Studies (Humanities and Science)UPDATED</t>
  </si>
  <si>
    <t>小學教育榮譽學士 - 常識﹙人文及科學﹚</t>
  </si>
  <si>
    <t>JS8675</t>
  </si>
  <si>
    <t>BA(ESDC)</t>
  </si>
  <si>
    <t>Bachelor of Arts (Honours) in English Studies and Digital Communication</t>
  </si>
  <si>
    <t>英語研究及數碼傳訊榮譽文學士</t>
  </si>
  <si>
    <t>Bachelor of Arts (Honours) in Heritage Education and Arts Management</t>
  </si>
  <si>
    <t>Bachelor of Science (Honours) in Integrated Environmental Management</t>
  </si>
  <si>
    <t>Bachelor of Science (Honours) in Artificial Intelligence and Educational Technology</t>
  </si>
  <si>
    <t>Bachelor of Science (Honours) in Sports Science and Coaching</t>
  </si>
  <si>
    <t>JS9009</t>
  </si>
  <si>
    <t>JS9010</t>
  </si>
  <si>
    <t>JS9223</t>
  </si>
  <si>
    <t>航空服務管理榮譽工商管理學士</t>
  </si>
  <si>
    <t>Bachelor of Social Sciences with HonoursUPDATED</t>
  </si>
  <si>
    <t>BA(Hons)Chinese</t>
  </si>
  <si>
    <t>BBA(Hons)Pro Acct</t>
  </si>
  <si>
    <t>Bachelor of Business Administration with Honours in Aviation Services ManagementUPDATED</t>
  </si>
  <si>
    <t>BBA(Hons)Business Mgt</t>
  </si>
  <si>
    <t>BBA(Hons)Glbl Bus</t>
  </si>
  <si>
    <t>Bachelor of Business Administration with Honours in Global BusinessUPDATED</t>
  </si>
  <si>
    <t>環球商業榮譽工商管理學士</t>
  </si>
  <si>
    <t>Bachelor of Business Administration with Honours in Human Resource ManagementUPDATED</t>
  </si>
  <si>
    <t>Bachelor of Business Administration with Honours in MarketingUPDATED</t>
  </si>
  <si>
    <t>BBA(Hons)SusTour&amp;HosMgt</t>
  </si>
  <si>
    <t>Bachelor of Business Administration with Honours in Sustainable Tourism and Hospitality ManagementUPDATED</t>
  </si>
  <si>
    <t>持續旅遊及款待管理榮譽工商管理學士</t>
  </si>
  <si>
    <t>BBA(Hons)eSports Mgt</t>
  </si>
  <si>
    <t>JS9520</t>
  </si>
  <si>
    <t>BEd&amp;BLang(Hons)Putonghua</t>
  </si>
  <si>
    <t>Bachelor of Education with Honours (Putonghua and Chinese Language Education) and Bachelor of Language Studies with Honours (Chinese Linguistic Studies)UPDATED</t>
  </si>
  <si>
    <t>教育榮譽學士（普通話及中文教育）及語言研究榮譽學士（漢語語言學研究）</t>
  </si>
  <si>
    <t>BSc(Hons)BioMed&amp;BioTech</t>
  </si>
  <si>
    <t>Bachelor of Science with Honours in Biomedical Sciences and BiotechnologyUPDATED</t>
  </si>
  <si>
    <t>生物醫學與生物科技榮譽理學士</t>
  </si>
  <si>
    <t>BSc(Hons)Science(STEAM)</t>
  </si>
  <si>
    <t>Bachelor of Science with Honours in Science (STEAM)UPDATED</t>
  </si>
  <si>
    <t>科學（ＳＴＥＡＭ）榮譽理學士</t>
  </si>
  <si>
    <t>護理學榮譽學士</t>
  </si>
  <si>
    <t>數碼娛樂科技（榮譽）理學士</t>
  </si>
  <si>
    <t>物理治療學（榮譽）理學士</t>
  </si>
  <si>
    <t>人工智能（榮譽）理學士</t>
  </si>
  <si>
    <t>翻譯科技 (榮譽) 文學士</t>
  </si>
  <si>
    <t>BATT (Hons)</t>
  </si>
  <si>
    <t>建築學（榮譽）理學士</t>
  </si>
  <si>
    <t>供應鏈管理工商管理（榮譽）學士</t>
  </si>
  <si>
    <t>精算及保險 （榮譽）理學士</t>
  </si>
  <si>
    <t>計算機應用（榮譽）理學士</t>
  </si>
  <si>
    <t>數據科學及商業智能學（榮譽）理學士</t>
  </si>
  <si>
    <t>管理科學與資訊管理（榮譽）學士</t>
  </si>
  <si>
    <t>藝術設計（榮譽）文學士</t>
  </si>
  <si>
    <t>護理學（榮譽）健康科學學士</t>
  </si>
  <si>
    <t>醫療化驗科學（榮譽）理學士</t>
  </si>
  <si>
    <t>放射治療學（榮譽）理學士</t>
  </si>
  <si>
    <t>職業治療學（榮譽）理學士</t>
  </si>
  <si>
    <t>物理治療學(榮譽)理學士</t>
  </si>
  <si>
    <t>應用老年學(榮譽)理學士</t>
  </si>
  <si>
    <t>都會大學</t>
  </si>
  <si>
    <t>創意寫作與電影藝術榮譽文學士</t>
  </si>
  <si>
    <t>動畫及視覺特效榮譽藝術學士</t>
  </si>
  <si>
    <t>影像設計及數碼藝術榮譽藝術學士</t>
  </si>
  <si>
    <t>護理學榮譽學士（普通科）</t>
  </si>
  <si>
    <t>護理學榮譽學士（精神科）</t>
  </si>
  <si>
    <t>物理治療學榮譽理學士</t>
  </si>
  <si>
    <t>綜合檢測和認證榮譽應用理學士</t>
  </si>
  <si>
    <t>醫療化驗科學榮譽理學士</t>
  </si>
  <si>
    <t>BSc(Hons)MedLabSci</t>
  </si>
  <si>
    <t>檢測科學和認證榮譽理學士</t>
  </si>
  <si>
    <t>食品測試科學榮譽理學士</t>
  </si>
  <si>
    <t>數據科學及人工智能榮譽理學士</t>
  </si>
  <si>
    <t>BSc (Hons)CompSci</t>
  </si>
  <si>
    <t>JSSU78</t>
  </si>
  <si>
    <t>JSSU79</t>
  </si>
  <si>
    <t>土木工程榮譽工學士</t>
  </si>
  <si>
    <t>國際款待及景區管理榮譽學士</t>
  </si>
  <si>
    <t>BBA(Hons)Hos&amp;AttractMgt</t>
  </si>
  <si>
    <t>運動及康樂管理榮譽學士</t>
  </si>
  <si>
    <t>BBA(Hons)Sports&amp;RecMgt</t>
  </si>
  <si>
    <t>金融科技及創新榮譽工商管理學士</t>
  </si>
  <si>
    <t>環球市場及供應鏈榮譽工商管理學士</t>
  </si>
  <si>
    <t>時裝設計（榮譽）文學士</t>
  </si>
  <si>
    <t>產品設計（榮譽）文學士</t>
  </si>
  <si>
    <t>園境建築（榮譽）文學士</t>
  </si>
  <si>
    <t>廚藝及管理（榮譽）文學士</t>
  </si>
  <si>
    <t>土木工程（榮譽）工學士</t>
  </si>
  <si>
    <t>園藝樹藝及園境管理（榮譽）理學士</t>
  </si>
  <si>
    <t>測量學（榮譽）理學士</t>
  </si>
  <si>
    <t>運動及康樂管理（榮譽）社會科學學士</t>
  </si>
  <si>
    <t>屋宇設備工程（榮譽）工學士</t>
  </si>
  <si>
    <t>BEng(BSE)</t>
  </si>
  <si>
    <t>JSSA06</t>
  </si>
  <si>
    <t>BBA-AHTM</t>
  </si>
  <si>
    <t>BSc-AIN</t>
  </si>
  <si>
    <t>BSc-AC</t>
  </si>
  <si>
    <t>BSc-DSBI</t>
  </si>
  <si>
    <t>JSST07</t>
  </si>
  <si>
    <t>BHISM</t>
  </si>
  <si>
    <t>BA(Hons)CreaWri&amp;FilmArts</t>
  </si>
  <si>
    <t>BFA(Hons)AnimatVisEff</t>
  </si>
  <si>
    <t>BFA(Hons)IDDA</t>
  </si>
  <si>
    <t>JSSU18</t>
  </si>
  <si>
    <t>BA(Hons)NewMusic&amp;Enter</t>
  </si>
  <si>
    <t>BNursing(Hons)General</t>
  </si>
  <si>
    <t>BNursing(Hons)Mental</t>
  </si>
  <si>
    <t>BSc(Hons)Physiotherapy</t>
  </si>
  <si>
    <t>BASc(Hons)IntTestInsCert</t>
  </si>
  <si>
    <t>BSc(Hons)AnalyTestSci</t>
  </si>
  <si>
    <t>BSc (Hons) Data Sci &amp; AI</t>
  </si>
  <si>
    <t>JSSU77</t>
  </si>
  <si>
    <t>BSc(Hons)CMQSurveying</t>
  </si>
  <si>
    <t>BBA(Hons)Fin&amp;FinTech</t>
  </si>
  <si>
    <t>BBA(Hons)GM &amp; SCM</t>
  </si>
  <si>
    <t>JSSW02</t>
  </si>
  <si>
    <t>BMSOM</t>
  </si>
  <si>
    <t>Bachelor of Nursing (Honours)</t>
  </si>
  <si>
    <t>Bachelor of Science (Honours) in Architecture</t>
  </si>
  <si>
    <t>Bachelor of Arts (Honours) in Art and Design</t>
  </si>
  <si>
    <t>Bachelor of Health Science (Honours) in Nursing</t>
  </si>
  <si>
    <t>Bachelor of Science (Honours) in Medical Laboratory Science</t>
  </si>
  <si>
    <t>Bachelor of Science (Honours) in Occupational Therapy</t>
  </si>
  <si>
    <t>Bachelor of Science (Honours) in Physiotherapy</t>
  </si>
  <si>
    <t>Bachelor of Arts with Honours in Creative Writing and Film Arts</t>
  </si>
  <si>
    <t>Bachelor of Fine Arts with Honours in Animation and Visual Effects</t>
  </si>
  <si>
    <t>Bachelor of Fine Arts with Honours in Imaging Design and Digital Art</t>
  </si>
  <si>
    <t>Bachelor of Arts with Honours in New Music and Interactive Entertainment</t>
  </si>
  <si>
    <t>Bachelor of Nursing with Honours in General Health Care</t>
  </si>
  <si>
    <t>Bachelor of Nursing with Honours in Mental Health Care</t>
  </si>
  <si>
    <t>Bachelor of Science with Honours in Physiotherapy</t>
  </si>
  <si>
    <t>Bachelor of Science with Honours in Medical Laboratory Science</t>
  </si>
  <si>
    <t>Bachelor of Science with Honours in Analytical Testing Science</t>
  </si>
  <si>
    <t>Bachelor of Science with Honours in Food Testing Science</t>
  </si>
  <si>
    <t>Bachelor of Science with Honours in Data Science and Artificial Intelligence</t>
  </si>
  <si>
    <t>Bachelor of Science with Honours in Computer Science</t>
  </si>
  <si>
    <t>Bachelor of Science with Honours in Construction Management and Quantity Surveying</t>
  </si>
  <si>
    <t>Bachelor of Engineering with Honours in Building Services Engineering and Sustainable Development</t>
  </si>
  <si>
    <t>Bachelor of Engineering with Honours in Civil Engineering</t>
  </si>
  <si>
    <t>Bachelor of Business Administration with Honours in International Hospitality and Attractions Management</t>
  </si>
  <si>
    <t>Bachelor of Business Administration with Honours in Sports and Recreation Management</t>
  </si>
  <si>
    <t>Bachelor of Business Administration with Honours in Finance and Financial Technology</t>
  </si>
  <si>
    <t>Bachelor of Business Administration with Honours in Global Marketing and Supply Chain Management</t>
  </si>
  <si>
    <t>Bachelor of Arts (Honours) in Fashion Design</t>
  </si>
  <si>
    <t>Bachelor of Arts (Honours) in Product Design</t>
  </si>
  <si>
    <t>Bachelor of Arts (Honours) in Landscape Architecture</t>
  </si>
  <si>
    <t>Bachelor of Arts (Honours) in Culinary Arts and Management</t>
  </si>
  <si>
    <t>Bachelor of Engineering (Honours) in Civil Engineering</t>
  </si>
  <si>
    <t>Bachelor of Science (Honours) in Surveying</t>
  </si>
  <si>
    <t>護理學（榮譽）學士</t>
  </si>
  <si>
    <t>翻譯科技（榮譽）文學士</t>
  </si>
  <si>
    <t>工商管理（榮譽）酒店及旅遊管理應用學士</t>
  </si>
  <si>
    <t>應用老年學（榮譽）理學士</t>
  </si>
  <si>
    <t>醫療資訊及服務管理（榮譽）學士</t>
  </si>
  <si>
    <t>新音樂及互動娛樂榮譽文學士</t>
  </si>
  <si>
    <t>分析檢測科學榮譽理學士</t>
  </si>
  <si>
    <t>建築管理及工料測量學榮譽理學士</t>
  </si>
  <si>
    <t>國際款待及景區管理榮譽工商管理學士</t>
  </si>
  <si>
    <t>運動及康樂管理榮譽工商管理學士</t>
  </si>
  <si>
    <t>財務及金融科技榮譽工商管理學士</t>
  </si>
  <si>
    <t>環球市場及供應鏈管理榮譽工商管理學士</t>
  </si>
  <si>
    <t>航運服務及營運管理學士（榮譽）</t>
  </si>
  <si>
    <t>Bachelor of Science (Honours) in Digital Entertainment Technology</t>
  </si>
  <si>
    <t>Bachelor of Science (Honours) in Artificial Intelligence</t>
  </si>
  <si>
    <t>Bachelor of Arts (Honours) in Translation Technology</t>
  </si>
  <si>
    <t>Bachelor of Business Administration (Honours) in Applied Hotel and Tourism Management</t>
  </si>
  <si>
    <t>Bachelor of Business Administration (Honours) in Supply Chain Management</t>
  </si>
  <si>
    <t>Bachelor of Science (Honours) in Actuarial Studies and Insurance</t>
  </si>
  <si>
    <t>Bachelor of Science (Honours) in Applied Computing</t>
  </si>
  <si>
    <t>Bachelor of Science (Honours) in Data Science and Business Intelligence</t>
  </si>
  <si>
    <t>Bachelor of Management Science and Information Management (Honours)</t>
  </si>
  <si>
    <t>Bachelor of Science (Honours) in Radiation Therapy</t>
  </si>
  <si>
    <t>Bachelor of Science (Honours) in Applied Gerontology</t>
  </si>
  <si>
    <t>Bachelor of Health Information and Services Management (Honours)</t>
  </si>
  <si>
    <t>Bachelor of Applied Science with Honours in Integrated Testing, Inspection and Certification</t>
  </si>
  <si>
    <t>Bachelor of Science (Honours) in Horticulture, Arboriculture and Landscape Management</t>
  </si>
  <si>
    <t>Bachelor of Social Sciences (Honours) in Sports and Recreation Management</t>
  </si>
  <si>
    <t>Bachelor of Engineering (Honours) in Building Services Engineering</t>
  </si>
  <si>
    <t>Bachelor of Aviation (Honours) in Operations and Management</t>
  </si>
  <si>
    <t>Bachelor of Maritime Services and Operations Management (Honours)</t>
  </si>
  <si>
    <t>Bachelor of Commerce (Honours) in Financial Technology</t>
  </si>
  <si>
    <t>WORKING</t>
  </si>
  <si>
    <t>Year (Apply)</t>
  </si>
  <si>
    <t>Year (Offer)</t>
  </si>
  <si>
    <t>Band A (Offer)</t>
  </si>
  <si>
    <t>Band A (Apply)</t>
  </si>
  <si>
    <t>Band B (Apply)</t>
  </si>
  <si>
    <t>Band C (Apply)</t>
  </si>
  <si>
    <t>Band D (Apply)</t>
  </si>
  <si>
    <t>Band E (Apply)</t>
  </si>
  <si>
    <t>前身JS5211</t>
  </si>
  <si>
    <t>2024加分制</t>
  </si>
  <si>
    <t>2024入學要求1</t>
  </si>
  <si>
    <t>2024入學要求2</t>
  </si>
  <si>
    <t>2024計分方式</t>
  </si>
  <si>
    <t>2024 UPDATE</t>
  </si>
  <si>
    <t>2024 UDPATE 2</t>
  </si>
  <si>
    <t>2024計分詳情1</t>
  </si>
  <si>
    <t>2024計分詳情2</t>
  </si>
  <si>
    <t>2024比重1</t>
  </si>
  <si>
    <t>2024比重2</t>
  </si>
  <si>
    <t>2024比重3</t>
  </si>
  <si>
    <t>24年新科目</t>
  </si>
  <si>
    <r>
      <t>*每年分數計算方式或有更改，以上一律以</t>
    </r>
    <r>
      <rPr>
        <b/>
        <sz val="10"/>
        <color theme="1"/>
        <rFont val="微軟正黑體"/>
        <family val="2"/>
        <charset val="136"/>
      </rPr>
      <t>2023方式</t>
    </r>
    <r>
      <rPr>
        <sz val="10"/>
        <color theme="1"/>
        <rFont val="微軟正黑體"/>
        <family val="2"/>
        <charset val="136"/>
      </rPr>
      <t>計算，以便估計分數差距。</t>
    </r>
  </si>
  <si>
    <r>
      <t>*計分方式：</t>
    </r>
    <r>
      <rPr>
        <i/>
        <sz val="10"/>
        <color theme="1"/>
        <rFont val="微軟正黑體"/>
        <family val="2"/>
        <charset val="136"/>
      </rPr>
      <t>斜體</t>
    </r>
    <r>
      <rPr>
        <sz val="10"/>
        <color theme="1"/>
        <rFont val="微軟正黑體"/>
        <family val="2"/>
        <charset val="136"/>
      </rPr>
      <t xml:space="preserve"> = 2024年新科目/新安排，</t>
    </r>
    <r>
      <rPr>
        <b/>
        <sz val="10"/>
        <color theme="1"/>
        <rFont val="微軟正黑體"/>
        <family val="2"/>
        <charset val="136"/>
      </rPr>
      <t>粗體</t>
    </r>
    <r>
      <rPr>
        <sz val="10"/>
        <color theme="1"/>
        <rFont val="微軟正黑體"/>
        <family val="2"/>
        <charset val="136"/>
      </rPr>
      <t xml:space="preserve"> = 有比重</t>
    </r>
  </si>
  <si>
    <t>公</t>
  </si>
  <si>
    <t xml:space="preserve">(只需選擇今年有重新考試的科目) </t>
  </si>
  <si>
    <t>2024年</t>
  </si>
  <si>
    <t>公社科 ##</t>
  </si>
  <si>
    <t>##註: 往年通識科成績不會被納入分數計算中。</t>
  </si>
  <si>
    <t>有關2024年通識科&amp;公社科改制安排</t>
  </si>
  <si>
    <t>^此為2024年分數計算方式</t>
  </si>
  <si>
    <t>Best 4</t>
  </si>
  <si>
    <t>若未能開啟/使用，則可嘗試Drive中的「Google Sheet版」</t>
  </si>
  <si>
    <t>此功能只能計算 本年度DSE重考的情況，</t>
  </si>
  <si>
    <t>暫未能考慮其他年份。</t>
  </si>
  <si>
    <t>本計分器將為2024年考生假設一科「通識科」的成績，以此與2023年的參考分數作相近的比較。該假設的「通識科」將會以所有考試科目的平均值(Mean)計算得出。</t>
  </si>
  <si>
    <t>你的假設「通識科」成績為:</t>
  </si>
  <si>
    <t>3C2X</t>
  </si>
  <si>
    <t>x2.5: 英文、數學、M1/2、物理</t>
  </si>
  <si>
    <t>x1.5: 生物、化學</t>
  </si>
  <si>
    <t>x1.5: 化學、DAT、M1/2</t>
  </si>
  <si>
    <t>x2: 英文、數學、生物、化學、M1/2、物理</t>
  </si>
  <si>
    <t>x1.5: 化學、DAT</t>
  </si>
  <si>
    <t>x2: 英文、數學、生物、化學、DAT、ICT、M1/2、物理</t>
  </si>
  <si>
    <t>x1.5: 中史、中國文學、歷史、藝術</t>
  </si>
  <si>
    <t>x1.5: 英語文學</t>
  </si>
  <si>
    <t>最佳四科必須包括︰英文</t>
  </si>
  <si>
    <t>最佳四科必須包括︰數學</t>
  </si>
  <si>
    <t>x1.5: 生物、化學、物理</t>
  </si>
  <si>
    <t>最佳五科必須包括︰英文、數學、生物 及 化學</t>
  </si>
  <si>
    <t>x2: 英文、生物、化學</t>
  </si>
  <si>
    <t>x1.5: 數學、BAFS、DAT、ICT、M1/2、物理</t>
  </si>
  <si>
    <t>生物、化學、物理</t>
  </si>
  <si>
    <t>第一選修(x2.5): 生物、化學、物理</t>
  </si>
  <si>
    <t>第二選修(x1.5): 生物、化學、地理、M1/2、物理</t>
  </si>
  <si>
    <t>最佳四科必須包括︰英文、數學</t>
  </si>
  <si>
    <t>23年計分方式</t>
  </si>
  <si>
    <t>注意!!</t>
  </si>
  <si>
    <t>雖然2024年不再計算通識科成績 (4C2X -&gt; 3C2X)，但為公平比較2023年的參考分數，此處仍會以23年的計分方式 (如4C2X) 為同學作估算。</t>
  </si>
  <si>
    <r>
      <t>此計算器提供的資料只作一般私人參考用途，並不可視為官方的詳盡及權威性的說明，亦不可取代專業諮詢。使用前請先留意</t>
    </r>
    <r>
      <rPr>
        <b/>
        <sz val="9"/>
        <color theme="1"/>
        <rFont val="微軟正黑體"/>
        <family val="2"/>
        <charset val="136"/>
      </rPr>
      <t>最新版本</t>
    </r>
    <r>
      <rPr>
        <sz val="9"/>
        <color theme="1"/>
        <rFont val="微軟正黑體"/>
        <family val="2"/>
        <charset val="136"/>
      </rPr>
      <t>，以及閱讀</t>
    </r>
    <r>
      <rPr>
        <b/>
        <sz val="9"/>
        <color theme="1"/>
        <rFont val="微軟正黑體"/>
        <family val="2"/>
        <charset val="136"/>
      </rPr>
      <t>使用須知</t>
    </r>
    <r>
      <rPr>
        <sz val="9"/>
        <color theme="1"/>
        <rFont val="微軟正黑體"/>
        <family val="2"/>
        <charset val="136"/>
      </rPr>
      <t>。
本人在編製此計算器時已力求審慎，盡可能確保計算器所提供的資料正確無誤、沒有錯漏，惟在個別情況下，這些資料仍可能與最新的情況有所不同。本人並不保證計算器內全部資料在各方面均絕對正確、毫無錯漏。任何使用此計算器人士，須自行承擔一切風險，對於因使用或依據此計算器內所提供的任何資料而引致的任何損失或損害，本人一概無須負上任何法律責任。</t>
    </r>
  </si>
  <si>
    <t>24年新計分方式</t>
  </si>
  <si>
    <t>食品科技與食物安全(榮譽)理學士組合課程</t>
  </si>
  <si>
    <t>FOOD SAFETY &amp; TECH</t>
  </si>
  <si>
    <t>BIOTECH &amp; CHEM TECH</t>
  </si>
  <si>
    <t>Sum of All Sub</t>
  </si>
  <si>
    <t>Count non 0</t>
  </si>
  <si>
    <t>Best 4 (M)</t>
  </si>
  <si>
    <t>Best 5 (M)</t>
  </si>
  <si>
    <t>(2023年)</t>
  </si>
  <si>
    <t>(2024年)</t>
  </si>
  <si>
    <t>2024年更新事項：</t>
  </si>
  <si>
    <t>由於本年CityU不再為 組合科學 及 綜合科學計算比重，此處的估算分數亦不會為其計算比重。</t>
  </si>
  <si>
    <t>請注意，由於2024年不再計算通識科，此處的估算(及比重)僅用作公平比較往年分數，或會有較大誤差。</t>
  </si>
  <si>
    <t>生物、化學、DAT、M1/2、物理</t>
  </si>
  <si>
    <t>生物、化學、ICT、M1/2、物理</t>
  </si>
  <si>
    <t>CityU Done</t>
  </si>
  <si>
    <t>有冇 物理?</t>
  </si>
  <si>
    <t xml:space="preserve">以下一科選修取得Lv.3︰物理 </t>
  </si>
  <si>
    <t>有冇 化學、生物、ICT、M1/2、物理 其中一科?</t>
  </si>
  <si>
    <t>有冇 生物、化學、ICT、M1/2、物理 其中一科？</t>
  </si>
  <si>
    <t>有冇 化學、DAT、M1/2、物理 其中一科？</t>
  </si>
  <si>
    <t>有冇 化學、DAT、物理 其中一科？</t>
  </si>
  <si>
    <t>有冇 生物、化學、物理 其中一科？</t>
  </si>
  <si>
    <t>有冇 化學、DAT、ICT、M1/2、物理 其中一科？</t>
  </si>
  <si>
    <t>有冇 生物、化學、DAT、ICT、M1/2、物理 其中兩科？</t>
  </si>
  <si>
    <t>有冇 化學？</t>
  </si>
  <si>
    <t>有冇 生物、BAFS、化學、DAT、ICT、M1/2、物理 其中一科？</t>
  </si>
  <si>
    <t>有冇 生物、化學 其中一科？</t>
  </si>
  <si>
    <t>有冇 生物、BAFS、DAT、ICT、物理 其中一科?</t>
  </si>
  <si>
    <t>有冇 生物、化學、物理 其中一科?</t>
  </si>
  <si>
    <t>以下一科選修取得Lv.3︰化學</t>
  </si>
  <si>
    <t>若數學未有Lv.3，則以下一科選修需取得Lv.3: 生物、BAFS、DAT、ICT、物理</t>
  </si>
  <si>
    <t>以下一科選修取得Lv.3︰生物、化學、ICT、M1/2、物理</t>
  </si>
  <si>
    <t>以下一科選修取得Lv.3︰生物、BAFS、化學、DAT、ICT、M1/2、物理</t>
  </si>
  <si>
    <t>以下一科選修取得Lv.3︰化學、DAT、M1/2、物理</t>
  </si>
  <si>
    <t>以下一科選修取得Lv.3︰化學、DAT、物理</t>
  </si>
  <si>
    <t>以下一科選修取得Lv.3︰生物、化學、物理</t>
  </si>
  <si>
    <t>以下一科選修取得Lv.3︰化學、DAT、ICT、M1/2、物理</t>
  </si>
  <si>
    <t xml:space="preserve">以下兩科選修取得Lv.3︰生物、化學、DAT、ICT、M1/2、物理 </t>
  </si>
  <si>
    <t>以下一科選修取得Lv.3︰生物、化學</t>
  </si>
  <si>
    <t>有冇 化學、DAT、物理、M1/2 其中一科？</t>
  </si>
  <si>
    <t>以下一科選修取得Lv.3︰化學、DAT、物理、M1/2</t>
  </si>
  <si>
    <t>CityU DONE</t>
  </si>
  <si>
    <t>3C+1X (M)</t>
  </si>
  <si>
    <t>3C+2X (M)</t>
  </si>
  <si>
    <t>2024年將以Best 5收生，此處仍以4C2X作估算，請注意</t>
  </si>
  <si>
    <t>2024年將以Best 5收生，此處仍以Best 6作估算，請注意</t>
  </si>
  <si>
    <t>由於HKBU於2024年全數改以 Best 5 (任何5科) 計算分數，</t>
  </si>
  <si>
    <t>因此此處的估算分數亦不會強制要求任何科目。</t>
  </si>
  <si>
    <t>C</t>
  </si>
  <si>
    <t>x1.1: 健康管理與社會關懷</t>
  </si>
  <si>
    <t>2023年取錄人數</t>
  </si>
  <si>
    <t>HKBU DONE</t>
  </si>
  <si>
    <t>HKBU Done</t>
  </si>
  <si>
    <t>24年計分方式</t>
  </si>
  <si>
    <t>*以2023年 JS2420為例，其比重為 「英文、化學」x1.5、 「生物、數學」x1.25</t>
  </si>
  <si>
    <t>Q:</t>
  </si>
  <si>
    <t>JS2920 及 JS2950 是否計錯分？為何LQ會高過Median?</t>
  </si>
  <si>
    <t>生物科技及化學科技(榮譽)理學士組合課程</t>
  </si>
  <si>
    <t>此課程前身原為 JS3010 生物科技、食物安全及化學科技(榮譽)理學士組合課程，</t>
  </si>
  <si>
    <t>現重新整合並分拆為 JS3011 及 JS3090。</t>
  </si>
  <si>
    <t>此處PolyU 公佈的 LQ分數比Median高，可能原因如下︰</t>
  </si>
  <si>
    <t>x7: 中文、M1/2、綜合科學</t>
  </si>
  <si>
    <t>x7: 中文、生物、BAFS、化學、組合科學、經濟、ICT、M1/2、物理</t>
  </si>
  <si>
    <t>x7: 中文</t>
  </si>
  <si>
    <t>x7: 中文、英文、數學、M1/2、DAT、歷史、ICT、綜合科學、英語文學、物理、科技與生活</t>
  </si>
  <si>
    <t>x5: 音樂、體育、科技與生活、視覺藝術</t>
  </si>
  <si>
    <t>x7: 中文、英文</t>
  </si>
  <si>
    <t>x7: 中文、BAFS、中國文學、DAT、經濟、英語文學</t>
  </si>
  <si>
    <t>x7: 中文、DAT、綜合科學</t>
  </si>
  <si>
    <t>x7: 中文、通識</t>
  </si>
  <si>
    <t>x7: 數學</t>
  </si>
  <si>
    <t>x5: DAT、音樂、體育、科技與生活、視覺藝術</t>
  </si>
  <si>
    <t>x7: M1/2</t>
  </si>
  <si>
    <t>x7: 中文、M1/2、物理、綜合科學</t>
  </si>
  <si>
    <t>x5: 倫理與宗教、音樂、體育、科技與生活、視覺藝術</t>
  </si>
  <si>
    <t>x1.2: 數學</t>
  </si>
  <si>
    <t>x5: DAT、倫理與宗教、音樂、體育、科技與生活、視覺藝術</t>
  </si>
  <si>
    <t>x10: 英文、數學</t>
  </si>
  <si>
    <t>x5: 其他科目</t>
  </si>
  <si>
    <t>x5: 中國歷史、中國文學、倫理與宗教、歷史、英語文學、音樂、體育、科技與生活、旅遊與款待、視覺藝術</t>
  </si>
  <si>
    <t>x7: 通識、DAT、ICT</t>
  </si>
  <si>
    <t>x10: 經濟、視覺藝術</t>
  </si>
  <si>
    <t>x10: 英文、數學、化學、組合科學(物理、化學)、ICT、M1/2、物理</t>
  </si>
  <si>
    <t>x10: 中文、英文</t>
  </si>
  <si>
    <t>x10: 中文、英文、中國歷史、中國文學、歷史</t>
  </si>
  <si>
    <t>x10: 中文、英文、數學</t>
  </si>
  <si>
    <t>x10: 中文、英文、數學、生物、化學、組合科學(生物、化學)、M1/2</t>
  </si>
  <si>
    <t>x10: 中文、英文、數學、通識、DAT、ICT、視覺藝術</t>
  </si>
  <si>
    <t>x10: 中文、英文、生物、組合科學(生物、物理)、物理</t>
  </si>
  <si>
    <t xml:space="preserve">x10: 英文 </t>
  </si>
  <si>
    <t>x10: 經濟、BAFS、視覺藝術、中國歷史、地理、化學、生物、組合科學</t>
  </si>
  <si>
    <t>x10: 英文、數學、M1/2、經濟、物理、生物、化學、ICT、綜合科學、組合科學</t>
  </si>
  <si>
    <t>x10: 英文、數學、生物、化學、物理、組合科學</t>
  </si>
  <si>
    <t>x10: 中文、英文、數學、DAT、ICT、視覺藝術</t>
  </si>
  <si>
    <t>x7: DAT、ICT</t>
  </si>
  <si>
    <t>組合科學(物理、化學)</t>
  </si>
  <si>
    <t>組合科學(生物、化學)</t>
  </si>
  <si>
    <t>組合科學(物理、生物)</t>
  </si>
  <si>
    <t>資訊及通訊科技</t>
  </si>
  <si>
    <t>ICT</t>
  </si>
  <si>
    <t>DAT</t>
  </si>
  <si>
    <t>HMSC</t>
  </si>
  <si>
    <t>BAFS</t>
  </si>
  <si>
    <t>&lt;-DO NOT DELETE</t>
  </si>
  <si>
    <t>Formula for matching appropriate weighting to the user's subjects, based on the following table.</t>
  </si>
  <si>
    <t>(Starting from cell J117 in this page)</t>
  </si>
  <si>
    <t>Formula for automatically matching the weighting data in words in the " Reference Score Calculation" to numbers (Creating the following table)</t>
  </si>
  <si>
    <t>IF(ISNUMBER(SEARCH(AV$113,'Reference Score Calculation'!$N93)),10,IF(ISNUMBER(SEARCH(AV$113,'Reference Score Calculation'!$O93)),7,IF(ISNUMBER(SEARCH(AV$113,'Reference Score Calculation'!$P93)),5,IF(ISNUMBER(SEARCH($AV$111,'Reference Score Calculation'!$N93)),10,IF(ISNUMBER(SEARCH($AV$111,'Reference Score Calculation'!$O93)),7,5)))))</t>
  </si>
  <si>
    <t>Formula specifically for 組合科學:</t>
  </si>
  <si>
    <t>x2.5: 英文、數學、組合科學(物理、化學)、組合科學(物理、生物)、綜合科學、M1/2、物理</t>
  </si>
  <si>
    <t>x2: 英文、數學、組合科學(物理、化學)、組合科學(物理、生物)、ICT、M1/2、物理</t>
  </si>
  <si>
    <t>生物、化學、組合科學(物理、化學)、組合科學(物理、生物)、綜合科學、DAT、M1/2、物理</t>
  </si>
  <si>
    <t>x1.5: 組合科學(物理、化學)、組合科學(物理、生物)、化學、DAT</t>
  </si>
  <si>
    <t>x10: 英文、數學、M1/2、物理、組合科學(物理、化學)、組合科學(物理、生物)</t>
  </si>
  <si>
    <t>x10: 英文、數學、物理、組合科學(物理、化學)、組合科學(物理、生物)</t>
  </si>
  <si>
    <t>x10: 英文、數學、組合科學(物理、化學)、組合科學(物理、生物)、地理、ICT、綜合科學、M1/2、物理</t>
  </si>
  <si>
    <t>x7: 通識、組合科學(物理、化學)、組合科學(物理、生物)、物理</t>
  </si>
  <si>
    <t>x7: 組合科學(物理、化學)、組合科學(物理、生物)、物理</t>
  </si>
  <si>
    <t>x1.5: 數學、組合科學(物理、化學)、組合科學(生物、化學)</t>
  </si>
  <si>
    <t>x7: 數學、通識、化學、組合科學(物理、化學)、組合科學(生物、化學)、HMSC、綜合科學、體育</t>
  </si>
  <si>
    <t>x7: 數學、化學、組合科學(物理、化學)、組合科學(生物、化學)、HMSC、綜合科學、體育</t>
  </si>
  <si>
    <t>x7: 中文、通識、生物、組合科學(物理、生物)、組合科學(生物、化學)、綜合科學</t>
  </si>
  <si>
    <t>x7: 中文、生物、組合科學(物理、生物)、組合科學(生物、化學)、綜合科學</t>
  </si>
  <si>
    <t>x10: 中文、英文、數學、通識、生物、組合科學(物理、生物)、組合科學(生物、化學)</t>
  </si>
  <si>
    <t>x10: 中文、英文、數學、生物、組合科學(物理、生物)、組合科學(生物、化學)</t>
  </si>
  <si>
    <t>x10: 英文、數學、生物、化學、組合科學(任何)</t>
  </si>
  <si>
    <t>x7: 中文、通識、生物、BAFS、化學、組合科學(任何)、經濟、ICT、M1/2、物理</t>
  </si>
  <si>
    <t>x10: 中文、英文、數學、生物、化學、組合科學(任何)、經濟、地理、綜合科學、M1/2、物理</t>
  </si>
  <si>
    <t>x10: 數學、M1/2、生物、化學、物理、組合科學(任何)</t>
  </si>
  <si>
    <t>x10: 英文、數學、生物、化學、組合科學(任何)、ICT、M1/2、物理</t>
  </si>
  <si>
    <t>x5: 生物、化學、組合科學(任何)、經濟、綜合科學、M1/2、體育、物理、科技與生活</t>
  </si>
  <si>
    <t>x10: 英文、數學、生物、化學、組合科學(任何)、M1/2、物理</t>
  </si>
  <si>
    <t>x10: 中文、英文、數學、生物、化學、組合科學(任何)、物理</t>
  </si>
  <si>
    <t>x10: 中文、英文、生物、組合科學(任何)、物理</t>
  </si>
  <si>
    <t>x10: 英文、數學、生物、化學、組合科學(任何)、ICT、M1/2、物理 、DAT</t>
  </si>
  <si>
    <t>x10: 英文、數學、生物、BAFS、化學、組合科學(任何)、經濟、ICT、M1/2、物理</t>
  </si>
  <si>
    <t>IF(ISNUMBER(SEARCH(BL$113,'Reference Score Calculation'!$N93)),10,IF(ISNUMBER(SEARCH(BL$113,'Reference Score Calculation'!$O93)),7,IF(ISNUMBER(SEARCH(BL$113,'Reference Score Calculation'!$P93)),5,IF(ISNUMBER(SEARCH($AV$105,'Reference Score Calculation'!$N93)),10,IF(ISNUMBER(SEARCH("組合科學(任何)",'Reference Score Calculation'!$N93)),10,IF(ISNUMBER(SEARCH("組合科學(任何)",'Reference Score Calculation'!$O93)),7,IF(ISNUMBER(SEARCH("組合科學(任何)",'Reference Score Calculation'!$P93)),5,IF(ISNUMBER(SEARCH($AV$105,'Reference Score Calculation'!$O93)),7,5))))))))</t>
  </si>
  <si>
    <t>PolyU Done</t>
  </si>
  <si>
    <t xml:space="preserve">v </t>
  </si>
  <si>
    <t>PolyU DONE</t>
  </si>
  <si>
    <t>前身為 JS3010</t>
  </si>
  <si>
    <t>航天科學與地球信息學＋Ｘ雙主修課程</t>
  </si>
  <si>
    <t>D</t>
  </si>
  <si>
    <t>JS4501 及 JS4502 不受加分制影響。（即5**只會是7分，而非8.5）</t>
  </si>
  <si>
    <t>M1/M2 will contribute to the total HKDSE score if its attained level is higher than that of the worst one of the 6 subjects.</t>
  </si>
  <si>
    <t>In that case, the score for the worst subject is replaced by a new score comprising</t>
  </si>
  <si>
    <t>half of the original score of that subject and half the score of the extended Maths module.</t>
  </si>
  <si>
    <t>ASEIDM</t>
  </si>
  <si>
    <t>2024年新科目</t>
  </si>
  <si>
    <t>最佳五科必須包括︰中文、英文、數學</t>
  </si>
  <si>
    <t>x1.5: [物理、經濟、BASF 或 ICT] 其中最佳一科</t>
  </si>
  <si>
    <t>M1/2、生物、化學、物理、DAT、ICT、BAFS、經濟、地理、科技與生活</t>
  </si>
  <si>
    <t>x1.5: 生物、化學、物理、DAT、ICT、BAFS、經濟、地理、科技與生活</t>
  </si>
  <si>
    <t>x1.25: 生物、化學、DAT、ICT</t>
  </si>
  <si>
    <t>M1/2、生物、化學、DAT、ICT、物理</t>
  </si>
  <si>
    <t>M1/2、生物、化學、經濟、ICT、物理</t>
  </si>
  <si>
    <t>x1.5: 生物、化學、物理、經濟、ICT</t>
  </si>
  <si>
    <t>M1/2、生物、BAFS、化學、經濟、ICT、物理</t>
  </si>
  <si>
    <t>由於本年CUHK不再為 組合科學 及 綜合科學計算比重，此處的估算分數亦不會為其計算比重。</t>
  </si>
  <si>
    <t>x1.5: 生物、化學、DAT、ICT、物理</t>
  </si>
  <si>
    <t>x1.5: 生物、化學、物理、BAFS、經濟、ICT</t>
  </si>
  <si>
    <t>x1.5: 數學、生物、化學、物理、DAT、ICT</t>
  </si>
  <si>
    <t>x1.5: 生物、化學、物理、經濟、BAFS、ICT</t>
  </si>
  <si>
    <t>x1.5: 英文、生物、化學、物理</t>
  </si>
  <si>
    <t>x1.5: 數學、M1/2、生物、化學、物理、DAT、ICT</t>
  </si>
  <si>
    <t>x1.5: 生物、化學、物理、ICT</t>
  </si>
  <si>
    <t>M1/2、生物、化學、物理、ICT</t>
  </si>
  <si>
    <t>生物、化學、ICT、物理</t>
  </si>
  <si>
    <t>M1/2、生物、化學、物理、地理</t>
  </si>
  <si>
    <t>x2: M1/2、物理、地理</t>
  </si>
  <si>
    <t>3C3X</t>
  </si>
  <si>
    <t>x1.2: [生物、化學、物理] 其中最佳一科</t>
  </si>
  <si>
    <t>x1.2 [生物、化學、物理、組合科學、綜合科學] 其中最佳一科</t>
  </si>
  <si>
    <t xml:space="preserve"> </t>
  </si>
  <si>
    <t>Effective from 2026 intake, applicants must have obtained “Level 3 or above” in Chemistry</t>
  </si>
  <si>
    <t>優先考慮修讀以下科目者︰</t>
  </si>
  <si>
    <t>x1.5: 英文、生物、化學</t>
  </si>
  <si>
    <t>最佳五科必須包括︰中文</t>
  </si>
  <si>
    <t>優先考慮 化學 考獲Lv.3或以上者</t>
  </si>
  <si>
    <t>最佳五科必須包括︰中文、英文、數學 及 [化學 或 生物]最佳一科</t>
  </si>
  <si>
    <t>x2: M1/2、物理、生物、化學</t>
  </si>
  <si>
    <t>x2: 英文、數學、M1/2、生物、化學、物理</t>
  </si>
  <si>
    <t>x1.5: 地理</t>
  </si>
  <si>
    <t>x1.25: 中文</t>
  </si>
  <si>
    <t>有冇 物理、經濟 或 ICT 其中一科？</t>
  </si>
  <si>
    <t>M1/2 高過最低分一科？</t>
  </si>
  <si>
    <t>六科最低分科?</t>
  </si>
  <si>
    <t>M1/2 Ratio:</t>
  </si>
  <si>
    <t>物理、化學、生物 邊科最高?</t>
  </si>
  <si>
    <t>數學定英文高分啲？</t>
  </si>
  <si>
    <t>CUHK DONE</t>
  </si>
  <si>
    <t>CUHK Done</t>
  </si>
  <si>
    <t>M1/2、生物、化學、物理</t>
  </si>
  <si>
    <t>請選擇第二選修科</t>
  </si>
  <si>
    <t>JS4412 2nd sub</t>
  </si>
  <si>
    <t>優先考慮以下一科選修︰M1/2、生物、化學、DAT、ICT、物理</t>
  </si>
  <si>
    <t>JS4446 2nd sub</t>
  </si>
  <si>
    <t>M1/2 需考獲Lv.4或以上</t>
  </si>
  <si>
    <t>優先考慮以下一科選修︰M1/2、生物、化學、物理、ICT</t>
  </si>
  <si>
    <t>JS4733 2nd sub</t>
  </si>
  <si>
    <t>Phy Chem Bio ICT</t>
  </si>
  <si>
    <t>M1/2、生物、化學、物理、經濟、BAFS、ICT</t>
  </si>
  <si>
    <t>M1/2、生物、化學、地理、物理</t>
  </si>
  <si>
    <t>有冇化學?</t>
  </si>
  <si>
    <t>生物、化學、經濟、地理、ICT、物理、科技與生活</t>
  </si>
  <si>
    <t>此處會 *直接使用* 院校公佈的分數，以便公平比較往年分數。</t>
  </si>
  <si>
    <t>由於科大公佈了已計「加分制」的2023年收生分數，</t>
  </si>
  <si>
    <t>LQ 每科平均成績:</t>
  </si>
  <si>
    <t>理科 / M1/2: Lv.5**</t>
  </si>
  <si>
    <t>理科 /  ICT: Lv.5</t>
  </si>
  <si>
    <t>數學 / M1/2: Lv.5*</t>
  </si>
  <si>
    <t>英文、數學、其他選修: Lv. 4</t>
  </si>
  <si>
    <t>理科、M1/2: Lv.5*</t>
  </si>
  <si>
    <t>生物 / 化學: Lv.5</t>
  </si>
  <si>
    <t>理科、經濟、M1/2: Lv.5</t>
  </si>
  <si>
    <t>4.25 (已計算加分制)</t>
  </si>
  <si>
    <t>4.56 (已計算加分制)</t>
  </si>
  <si>
    <t>5.41 (已計算加分制)</t>
  </si>
  <si>
    <t>4.63 (已計算加分制)</t>
  </si>
  <si>
    <t>4.44 (已計算加分制)</t>
  </si>
  <si>
    <t>4.38 (已計算加分制)</t>
  </si>
  <si>
    <t>6.03 (已計算加分制)</t>
  </si>
  <si>
    <t>7.09 (已計算加分制)</t>
  </si>
  <si>
    <t>5.5 (已計算加分制)</t>
  </si>
  <si>
    <t>4.91 (已計算加分制)</t>
  </si>
  <si>
    <t>M1/2、生物、化學、物理、經濟</t>
  </si>
  <si>
    <t>生物、化學、物理、ICT、組合科學</t>
  </si>
  <si>
    <t>生物、化學、物理、ICT、DAT、組合科學</t>
  </si>
  <si>
    <t>HKUST DONE</t>
  </si>
  <si>
    <t>由於本年UST不再為 組合科學 及 綜合科學計算比重，此處的估算分數亦不會為其計算比重。</t>
  </si>
  <si>
    <t>(x2: M1/2/ 物理 | x1.5: 生物 / 化學)</t>
  </si>
  <si>
    <t>(x2: 生物 / 化學 | x1.5: M1/2/ 物理)</t>
  </si>
  <si>
    <t>+ 最佳兩科理科 x1 (M1/2 / 生物/ 化學 /物理)</t>
  </si>
  <si>
    <t>英文x2  + 數學x2 + 最佳三科x1</t>
  </si>
  <si>
    <t>+ 最佳三科x1 或</t>
  </si>
  <si>
    <t>+ [化學、經濟、物理、M1/2]中最佳一科x1.5 + 最佳兩科x1</t>
  </si>
  <si>
    <t>英文x2  + 中文 x1.5 + 最佳三科x1</t>
  </si>
  <si>
    <t>英文x2  + 數學x2 + 最佳三科*x1</t>
  </si>
  <si>
    <t>(若最佳三科包括M1/2，則M1/2會 x 1.5)</t>
  </si>
  <si>
    <t>英文x2  + 數學x2 + 最佳選修* x1.5 + 最佳兩科 x1</t>
  </si>
  <si>
    <t>英文x2  + 數學x2 + 最佳理科* + 最佳兩科 x1</t>
  </si>
  <si>
    <t>(*理科: M1/2 x2、生物/化學/物理/經濟 x1.5)</t>
  </si>
  <si>
    <t>英文x2  + 數學x2 + 最佳理科* x2 + 最佳兩科 x1</t>
  </si>
  <si>
    <t>(若最佳兩科包括M1/2，則M1/2會 x 1.5)</t>
  </si>
  <si>
    <t>M1/2 / 生物/ 化學 /物理</t>
  </si>
  <si>
    <t xml:space="preserve">M1/2 / 生物/ 化學 /物理 </t>
  </si>
  <si>
    <t>M1/2 x2、生物/化學/物理/經濟 x1.5</t>
  </si>
  <si>
    <t>HKUST Done</t>
  </si>
  <si>
    <r>
      <t>*理大本年公佈的分數為</t>
    </r>
    <r>
      <rPr>
        <b/>
        <sz val="12"/>
        <color theme="1"/>
        <rFont val="微軟正黑體"/>
      </rPr>
      <t>已計比重的分數</t>
    </r>
    <r>
      <rPr>
        <sz val="10"/>
        <color theme="1"/>
        <rFont val="微軟正黑體"/>
        <family val="2"/>
        <charset val="136"/>
      </rPr>
      <t>，只供參考。</t>
    </r>
  </si>
  <si>
    <r>
      <t>*城大本年公佈的分數為</t>
    </r>
    <r>
      <rPr>
        <b/>
        <sz val="12"/>
        <color theme="1"/>
        <rFont val="微軟正黑體"/>
        <family val="2"/>
        <charset val="136"/>
      </rPr>
      <t>已計比重的分數</t>
    </r>
    <r>
      <rPr>
        <sz val="10"/>
        <color theme="1"/>
        <rFont val="微軟正黑體"/>
        <family val="2"/>
        <charset val="136"/>
      </rPr>
      <t>，只供參考。</t>
    </r>
  </si>
  <si>
    <t>*為了公平比較往年數據，新學年修改了計分方式 或 比重的學科在此處將繼續以往年方式 或 比重估算，請注意。</t>
  </si>
  <si>
    <t>https://www.cuhk.edu.hk/adm/jupas/admission_grades_2023.pdf</t>
  </si>
  <si>
    <t>https://www.cuhk.edu.hk/adm/jupas/useful-information-2024.pdf</t>
  </si>
  <si>
    <t>https://www.cuhk.edu.hk/adm/jupas/arrangement-for-more-than-one-sitting-2024.pdf</t>
  </si>
  <si>
    <t>https://admission.cuhk.edu.hk/wp-content/uploads/2024/03/interview-arrangement-2024.pdf</t>
  </si>
  <si>
    <r>
      <t>*入學資格：</t>
    </r>
    <r>
      <rPr>
        <b/>
        <sz val="10"/>
        <color rgb="FF548235"/>
        <rFont val="微軟正黑體"/>
        <family val="2"/>
        <charset val="136"/>
      </rPr>
      <t>綠色</t>
    </r>
    <r>
      <rPr>
        <sz val="10"/>
        <color rgb="FF000000"/>
        <rFont val="微軟正黑體"/>
        <family val="2"/>
        <charset val="136"/>
      </rPr>
      <t>＝合符資格，</t>
    </r>
    <r>
      <rPr>
        <b/>
        <sz val="10"/>
        <color rgb="FFC00000"/>
        <rFont val="微軟正黑體"/>
        <family val="2"/>
        <charset val="136"/>
      </rPr>
      <t>紅色</t>
    </r>
    <r>
      <rPr>
        <sz val="10"/>
        <color rgb="FF000000"/>
        <rFont val="微軟正黑體"/>
        <family val="2"/>
        <charset val="136"/>
      </rPr>
      <t>＝不符資格，</t>
    </r>
    <r>
      <rPr>
        <b/>
        <sz val="10"/>
        <color rgb="FFBF8F00"/>
        <rFont val="微軟正黑體"/>
        <family val="2"/>
        <charset val="136"/>
      </rPr>
      <t>黃色</t>
    </r>
    <r>
      <rPr>
        <sz val="10"/>
        <color rgb="FF000000"/>
        <rFont val="微軟正黑體"/>
        <family val="2"/>
        <charset val="136"/>
      </rPr>
      <t>＝或有額外要求（通常有關其他入學要求，例如作品集，或是個別科目分數）</t>
    </r>
  </si>
  <si>
    <t>由於中大今年直接公佈了加權後分數 (即已計算比重)，故此處直接引用中大數字，未有作任何估算。</t>
  </si>
  <si>
    <t>由於理大今年直接公佈了加權後分數 (即已計算比重)，故此處直接引用理大數字，未有作任何估算。</t>
  </si>
  <si>
    <t>https://www.cityu.edu.hk/admo/sites/default/files/2023-09/2023_JUPAS_Admission_Scores_Report_20230929.pdf</t>
  </si>
  <si>
    <t>https://www.jupas.edu.hk/f/page/3667/af_2023_JUPAS.pdf</t>
  </si>
  <si>
    <t>https://join.hkust.edu.hk/admissions/jupas#jupas-interview</t>
  </si>
  <si>
    <t>https://join.hkust.edu.hk/admissions/jupas</t>
  </si>
  <si>
    <r>
      <rPr>
        <sz val="10"/>
        <color theme="1"/>
        <rFont val="微軟正黑體"/>
        <family val="2"/>
        <charset val="136"/>
      </rPr>
      <t>*科大公佈的分數為</t>
    </r>
    <r>
      <rPr>
        <b/>
        <sz val="12"/>
        <color theme="1"/>
        <rFont val="微軟正黑體"/>
        <family val="2"/>
        <charset val="136"/>
      </rPr>
      <t>已計加分制及比重的分數</t>
    </r>
    <r>
      <rPr>
        <sz val="10"/>
        <color theme="1"/>
        <rFont val="微軟正黑體"/>
        <family val="2"/>
        <charset val="136"/>
      </rPr>
      <t>，只供參考。</t>
    </r>
  </si>
  <si>
    <r>
      <t>*中大本年公佈的分數為</t>
    </r>
    <r>
      <rPr>
        <b/>
        <sz val="12"/>
        <color theme="1"/>
        <rFont val="微軟正黑體"/>
      </rPr>
      <t>已計加分制及比重的分數</t>
    </r>
    <r>
      <rPr>
        <sz val="10"/>
        <color theme="1"/>
        <rFont val="微軟正黑體"/>
        <family val="2"/>
        <charset val="136"/>
      </rPr>
      <t>，只供參考。</t>
    </r>
  </si>
  <si>
    <r>
      <t xml:space="preserve">*由於科大公佈了已計「加分制」的2023年收生分數，此處會 </t>
    </r>
    <r>
      <rPr>
        <b/>
        <sz val="12"/>
        <color theme="1"/>
        <rFont val="微軟正黑體"/>
        <family val="2"/>
        <charset val="136"/>
      </rPr>
      <t>直接使用</t>
    </r>
    <r>
      <rPr>
        <sz val="10"/>
        <color theme="1"/>
        <rFont val="微軟正黑體"/>
        <family val="2"/>
        <charset val="136"/>
      </rPr>
      <t xml:space="preserve"> 加分後的分數，以便公平比較往年分數。</t>
    </r>
  </si>
  <si>
    <t>x0.2: 第七最佳科目</t>
  </si>
  <si>
    <t>最佳六科必須包括 最佳理科*</t>
  </si>
  <si>
    <t>*理科: 生物、化學、物理、組合科學、綜合科學</t>
  </si>
  <si>
    <t>x1.3: [生物、化學、物理、組合科學] 其中最佳一科</t>
  </si>
  <si>
    <t>最佳五科必須包括︰中文、通識</t>
  </si>
  <si>
    <t>最佳五科必須包括︰中文、英文</t>
  </si>
  <si>
    <t>最佳五科必須包括︰英文、數學、最佳理科*</t>
  </si>
  <si>
    <t>x0.5: 第六最佳科目</t>
  </si>
  <si>
    <t>最佳六科必須包括︰英文、[數學或M1/2]、最佳理科*</t>
  </si>
  <si>
    <t>x2: 英文、[數學 或 M1/2]、最佳理科</t>
  </si>
  <si>
    <t>x1.5: 生物、化學、物理、組合科學、綜合科學、ICT</t>
  </si>
  <si>
    <t>申請人須參與 能力傾向測試(Aptitude Test)，詳情可細閱課程網站，受邀申請人亦會於電郵收到相應指示。</t>
  </si>
  <si>
    <t>如同學有修讀六科，第六科成績 (x0.2) 會額外加上原有的Best 6分數</t>
  </si>
  <si>
    <t>x0.2: 第六最佳科目</t>
  </si>
  <si>
    <t>此課程照舊以 Best 6 計分，即同學必須有修讀至少三科選修。</t>
  </si>
  <si>
    <t>*理科: 生物、化學</t>
  </si>
  <si>
    <t>x1.3: [生物、化學] 其中最佳一科</t>
  </si>
  <si>
    <t>由於本年HKU不再為 物理 及 組合科學 計算比重，此處的估算分數亦不會為其計算比重。</t>
  </si>
  <si>
    <t>x1.5: 生物、化學、物理、組合科學、綜合科學、M1/M2</t>
  </si>
  <si>
    <t>x1.5: 生物、化學、物理、組合科學、綜合科學、M1/2</t>
  </si>
  <si>
    <t>為此，本計分器將*不會*將同學的「假通識科」分數納入計算，以免同學高估入學機會。</t>
  </si>
  <si>
    <t>生物、化學</t>
  </si>
  <si>
    <r>
      <t>2024年JUPAS不再計算通識科為主科，大部分院校均將計分方式由以往的 Best5/6、4C+2X 改為Best4、3C+2X等。然而，各大院校公佈的2023年參考分數仍有計算通識科，因此2024年考生不能直接以往年分數作比較及參考。
故此，本計分器將為2024年考生假設一科「通識科」的成績，以此與2023年的參考分數作相近的比較。該假設的「通識科」將會以所有考試科目的平均值(Mean)計算得出。
例如，考生B考獲「中文4，英文5，數學3，選修一5*，選修二4」，該假設的「通識科」成績則會為︰(4+5+3+6+4)/5 = 4.4
請注意，此估算方式必然存有偏差及誤差 (</t>
    </r>
    <r>
      <rPr>
        <i/>
        <sz val="9"/>
        <rFont val="微軟正黑體"/>
      </rPr>
      <t>通常約0.5分±</t>
    </r>
    <r>
      <rPr>
        <sz val="9"/>
        <rFont val="微軟正黑體"/>
      </rPr>
      <t>)，使用時務必不可盲目相信估算數字。</t>
    </r>
  </si>
  <si>
    <t>請注意，此「假通識科」數字只會用於 2023年計算 Best 6 或 4C2X 的科目。</t>
  </si>
  <si>
    <t>例如，JS1001在2023年以4C2X計算入學分數，Median為29，但2024考生A只有3C2X。由於4C2X比3C2X多了一科，此計分器會為考生A補上「通識科」成績，以估算考生A的4C2X分數。假設考生A考獲「中文5，英文5，數學5，選修一5，選修二4」，該假設的「通識科」成績則會為︰(5+5+5+5+4)/5 = 4.8，其3C2X是24分，而估算的4C2X則為28.8.</t>
  </si>
  <si>
    <t>誤差值通常約 1分±</t>
  </si>
  <si>
    <t>HKU Done</t>
  </si>
  <si>
    <t>由於本年度嶺大公佈的Weighted Admission Score 與 詳細分數完全不同，邏輯繼續全然不通，</t>
  </si>
  <si>
    <t>2023年JS7101的科目比重如下：x1.5: 中文、英文、[中史或中國文學]，加上嶺大並未採用加分制，</t>
  </si>
  <si>
    <t>因此，以基本乘數計算下，LQ的Best 5絕無可能出現 .25 收尾的數字。</t>
  </si>
  <si>
    <t>嶺大所公佈的 Weighted Admission Score 為： LQ：25.25、Median：26</t>
  </si>
  <si>
    <t>x1.25: 生物、BAFS、DAT、經濟、地理、HSMC、科技與生活、旅遊與款待</t>
  </si>
  <si>
    <t>因此，以基本乘數計算下，LQ 及 Median的Best 5 絕不可能是23.5。大家可以自行驗算。</t>
  </si>
  <si>
    <t>由以詳細分數估算的最高可能Best 5 則為： LQ：22.5、Median：25</t>
  </si>
  <si>
    <t>由以詳細分數估算的最高可能Best 5 則為： LQ：23.5、Median：25</t>
  </si>
  <si>
    <t>2024年將以新比重收生，此處仍以原本比重作估算，請注意</t>
  </si>
  <si>
    <t>x1.25: 物理</t>
  </si>
  <si>
    <t>x2: 英文、數學、ICT、化學、M1/2</t>
  </si>
  <si>
    <t>由於本年LingU不再為 組合科學 計算比重，此處的估算分數亦不會為其計算比重。</t>
  </si>
  <si>
    <t>x1.5: 數學、中國歷史、地理、歷史、M1/2</t>
  </si>
  <si>
    <t>x1.5: 英文、倫理與宗教、健康管理與社會關懷</t>
  </si>
  <si>
    <t>x1.5: 數學、經濟</t>
  </si>
  <si>
    <t>嶺大所公佈的 Weighted Admission Score 為：LQ：22.5、Median：23</t>
  </si>
  <si>
    <t>2023年JS7123的科目比重如下：x2: 英文、x1.5: 通識，加上嶺大並未採用加分制，</t>
  </si>
  <si>
    <t>2023年JS7133的科目比重如下：x1.5: 中文、英文、ICT、視覺藝術，加上嶺大並未採用加分制，</t>
  </si>
  <si>
    <t>由以詳細分數估算的Best 5 則為： LQ：22、Median：23</t>
  </si>
  <si>
    <t>因此，不論如何計算，LQ的Best 5 絕不可能高於22。大家可以自行驗算。</t>
  </si>
  <si>
    <t>2023年JS7200的科目比重如下：x2: 英文、x1.5: 數學，加上嶺大並未採用加分制，</t>
  </si>
  <si>
    <t>嶺大所公佈的 Weighted Admission Score 為：LQ：24、Median：25</t>
  </si>
  <si>
    <t>2023年JS7204的科目比重如下：x2: 英文、x1.5: 中文、中國文學、英語文學，加上嶺大並未採用加分制，</t>
  </si>
  <si>
    <t>因此，以基本乘數計算下，LQ的Best 5 絕不可能高於22.5 。大家可以自行驗算。</t>
  </si>
  <si>
    <t>嶺大所公佈的 Weighted Admission Score 為：LQ：23、Median：23.5</t>
  </si>
  <si>
    <t>2023年JS7216的科目比重如下：x2: 英文、x1.5: 數學，加上嶺大並未採用加分制，</t>
  </si>
  <si>
    <t>因此，以基本乘數計算下，LQ的Best 5 絕不可能高於19.5 。大家可以自行驗算。</t>
  </si>
  <si>
    <t>2023年JS7225的科目比重如下：x2: 英文、數學、ICT、M1/2，x1.25: 化學、物理、組合科學、綜合科學，加上嶺大並未採用加分制，</t>
  </si>
  <si>
    <t>嶺大所公佈的 Weighted Admission Score 為：LQ：28、Median：29</t>
  </si>
  <si>
    <t>因此，以基本乘數計算下，Median的Best 5 絕對無法得出29 。大家可以自行驗算。</t>
  </si>
  <si>
    <t>嶺大所公佈的 Weighted Admission Score 為：LQ：26.75、Median：28</t>
  </si>
  <si>
    <t>2023年JS7301的科目比重如下：x2: 英文、x1.5: 數學、經濟、通識，加上嶺大並未採用加分制，</t>
  </si>
  <si>
    <t>因此，以基本乘數計算下，Median的Best 5 絕不可能高於27。大家可以自行驗算。</t>
  </si>
  <si>
    <t>嶺大所公佈的 Weighted Admission Score 為：LQ：28、Median：28.5</t>
  </si>
  <si>
    <t>2023年JS7302的科目比重如下：x2: 英文、x1.5: 數學、通識、中國歷史、地理、歷史，加上嶺大並未採用加分制，</t>
  </si>
  <si>
    <t>因此，以基本乘數計算下，LQ的Best 5 絕不可能高於27 。大家可以自行驗算。</t>
  </si>
  <si>
    <t>嶺大所公佈的 Weighted Admission Score 為：LQ：26.5、Median：27.5</t>
  </si>
  <si>
    <t>2023年JS7303的科目比重如下：x2: 英文、x1.5: 數學、通識，加上嶺大並未採用加分制，</t>
  </si>
  <si>
    <t>因此，以基本乘數計算下，LQ的Best 5 絕不可能低於28 。大家可以自行驗算。</t>
  </si>
  <si>
    <t>2023年JS7304的科目比重如下：x2: 英文、x1.5: 數學、通識，加上嶺大並未採用加分制，</t>
  </si>
  <si>
    <t>嶺大所公佈的 Weighted Admission Score 為：LQ：26、Median：27</t>
  </si>
  <si>
    <t>因此，以基本乘數計算下，Median 的Best 5 絕不可能高於26。大家可以自行驗算。</t>
  </si>
  <si>
    <t>2023年JS7305的科目比重如下：x1.5: 倫理與宗教、健康管理與社會關懷，加上嶺大並未採用加分制，</t>
  </si>
  <si>
    <t>因此，以基本乘數計算下，LQ 的Best 5 絕不可能高於19。大家可以自行驗算。</t>
  </si>
  <si>
    <t>由以詳細分數估算的Best 5 則為： LQ：19、Median：21.5</t>
  </si>
  <si>
    <t>由以詳細分數估算的Best 5 則為： LQ：24.5、Median：26</t>
  </si>
  <si>
    <t>由以詳細分數估算的Best 5 則為： LQ：24.5、Median：28</t>
  </si>
  <si>
    <t>由以詳細分數估算的Best 5 則為： LQ：27、Median：28.5</t>
  </si>
  <si>
    <t>由以詳細分數估算的Best 5 則為： LQ：26、Median：27</t>
  </si>
  <si>
    <t>由以詳細分數估算的Best 5 則為： LQ：28、Median：28.5</t>
  </si>
  <si>
    <t>由以詳細分數估算的Best 5 則為： LQ：19.5、Median：24</t>
  </si>
  <si>
    <t>由以詳細分數估算的Best 5 則為： LQ：20.5、Median：23</t>
  </si>
  <si>
    <t>由以詳細分數估算的Best 5 則為： LQ：22.5、Median：25</t>
  </si>
  <si>
    <t>由以詳細分數估算的Best 5 則為： LQ：23.5、Median：25.25</t>
  </si>
  <si>
    <t>2023年JS7306的科目比重如下：x2: 英文、x1.5: 數學、通識，加上嶺大並未採用加分制，</t>
  </si>
  <si>
    <t>因此，不論如何計算/估算，均無法計出上述數字，Median細分更不應有3.5出現，大家可以自行驗算。</t>
  </si>
  <si>
    <t>因此，以基本乘數計算下，LQ的Best 5 絕不可能高於20.5。大家可以自行驗算。</t>
  </si>
  <si>
    <t>由以詳細分數估算的Best 5 則為： LQ：26.5、Median：27</t>
  </si>
  <si>
    <t>2023年JS7503的科目比重如下：x2.5: 英文、x1.5: 中文、英語文學，加上嶺大並未採用加分制，</t>
  </si>
  <si>
    <t>因此，以基本乘數計算下，LQ 的Best 5 絕不可能高於26.5。大家可以自行驗算。</t>
  </si>
  <si>
    <t>嶺大所公佈的 Weighted Admission Score 為：LQ：24、Median：24</t>
  </si>
  <si>
    <t>由以詳細分數計算的Best 5 則為： LQ：22、Median：23</t>
  </si>
  <si>
    <t>2023年JS7606的科目比重如下：x2: 英文、x1.5: 中文，加上嶺大並未採用加分制，</t>
  </si>
  <si>
    <t>因此，以基本乘數計算下，LQ 的Best 5 絕不可能高於22。大家可以自行驗算。</t>
  </si>
  <si>
    <t>嶺大所公佈的 Weighted Admission Score 為：LQ：24.8、Median：25.6</t>
  </si>
  <si>
    <t>由以詳細分數計算的Best 5 則為： LQ：23.2、Median：25.6</t>
  </si>
  <si>
    <t>因此，以基本乘數計算下，LQ 的Best 5 絕不可能高於23.2。大家可以自行驗算。</t>
  </si>
  <si>
    <t>由以詳細分數計算的Best 5 則為： LQ：22、Median：26</t>
  </si>
  <si>
    <t>2023年JS7802的科目比重如下：x2: 英文、x1.5: 中文、數學，加上嶺大並未採用加分制，</t>
  </si>
  <si>
    <t>因此，以基本乘數計算下，Median的Best 5 絕不可能低於26。大家可以自行驗算。</t>
  </si>
  <si>
    <t>由以詳細分數計算的Best 5 則為： LQ：25、Median：24</t>
  </si>
  <si>
    <t>2023年JS7905的科目比重如下：x2: 英文、 中文，x1.5: ICT、視覺藝術，加上嶺大並未採用加分制，</t>
  </si>
  <si>
    <t>2023年JS7709的科目比重如下：x2: 英文、x1.5: 中文、x1.2: 中國歷史、歷史，加上嶺大並未採用加分制，</t>
  </si>
  <si>
    <t>HKU DONE</t>
  </si>
  <si>
    <t>LingU DONE</t>
  </si>
  <si>
    <t>以下一科選修取得Lv.3︰生物、化學、組合科學</t>
  </si>
  <si>
    <t>Candidates are strongly advised to include their personal statement in English in the
"Additional Information" of their JUPAS application.</t>
  </si>
  <si>
    <t>Candidates are encouraged to enter details about their other learning experiences or
extra curricular activities.</t>
  </si>
  <si>
    <t>生物、化學、組合科學、物理</t>
  </si>
  <si>
    <t>中</t>
  </si>
  <si>
    <t>英</t>
  </si>
  <si>
    <t>數</t>
  </si>
  <si>
    <t>通</t>
  </si>
  <si>
    <t>x1.5: 中文、英文、中國文學</t>
  </si>
  <si>
    <t>x1.5: 英文、英語文學</t>
  </si>
  <si>
    <t>x1.5: 英文、數學、M1/2</t>
  </si>
  <si>
    <t>x1.5: 體育</t>
  </si>
  <si>
    <t>x1.5: ICT、生物、化學、物理、組合科學、綜合科學</t>
  </si>
  <si>
    <t>x1.2: BAFS</t>
  </si>
  <si>
    <t>x1.5: 歷史</t>
  </si>
  <si>
    <t>優先考慮修讀 歷史 或 中國歷史 者</t>
  </si>
  <si>
    <t>x1.5: 中文、英文</t>
  </si>
  <si>
    <t>x1.5: 中國歷史</t>
  </si>
  <si>
    <t>x1.5: 英文、地理</t>
  </si>
  <si>
    <t>下年度將會為化學Major，故屆時只有化學科會有比重(x1.5)</t>
  </si>
  <si>
    <t>x1.5: 生物 或 化學 *</t>
  </si>
  <si>
    <t>*註: 由於2024年只提供生物Major，故此只有生物科有比重。</t>
  </si>
  <si>
    <t>x1.5: 中文、中國文學</t>
  </si>
  <si>
    <t>x1.5: 音樂</t>
  </si>
  <si>
    <t>x1.5: 視覺藝術</t>
  </si>
  <si>
    <t>x1.5: 英文、英語文學、ICT</t>
  </si>
  <si>
    <t>x1.5: 中文、英文、中國歷史、歷史、DAT、視覺藝術</t>
  </si>
  <si>
    <t>x1.5: 數學、物理、生物、化學、地理</t>
  </si>
  <si>
    <t>x1.5: 數學、M1/2、物理、生物、化學、DAT、ICT、組合科學、綜合科學</t>
  </si>
  <si>
    <t>x2: 生物、體育</t>
  </si>
  <si>
    <t>x1.5: 中文、英文、數學、M1/2、DAT、ICT</t>
  </si>
  <si>
    <t>同學亦須在額外的 入學測試 (Audition) 中考獲優異成績</t>
  </si>
  <si>
    <t>優先考慮 有修讀以上兩科 者</t>
  </si>
  <si>
    <t>優先考慮修讀 中國歷史、歷史、視覺藝術、DAT 者</t>
  </si>
  <si>
    <t>同學亦須在額外的 入學體能測試 中考獲優異成績</t>
  </si>
  <si>
    <t>中文平均分: Lv. 5*</t>
  </si>
  <si>
    <t>由於此課程隔年開辦，此為2022年的分數</t>
  </si>
  <si>
    <t>英文平均分: Lv. 5</t>
  </si>
  <si>
    <t>EdUHK DONE</t>
  </si>
  <si>
    <t>請注意，「假通識科」數字只會用於 2023年計算 Best 6 或 4C2X 的科目。</t>
  </si>
  <si>
    <t>(除非該科目的通識科有比重，為公平比較往年數據，則會繼續計算「假通識科」的分數)</t>
  </si>
  <si>
    <t>LingU Done</t>
  </si>
  <si>
    <t>EdUHK Done</t>
  </si>
  <si>
    <t>*港大由2022/23年起接受 M1/2 作為基本入學要求中的選修科(即是視為甲類科目，Catergory A Subject)</t>
  </si>
  <si>
    <t>https://admissions.hku.hk/sites/default/files/2023-11/HKU%202023%20JUPAS%20Admissions%20Score.pdf</t>
  </si>
  <si>
    <t>https://admissions.hku.hk/sites/default/files/2024-01/HKU_2023%20JUPAS_Admissions_Scores.pdf</t>
  </si>
  <si>
    <t>https://www.ln.edu.hk/admissions/ug/f/upload/186/2023-admissionsscores.pdf</t>
  </si>
  <si>
    <t>惟 本年度嶺大公佈的Weighted Admission Score 與 詳細分數完全不同，邏輯亦全然不通 (與往年一樣)，</t>
  </si>
  <si>
    <t>x2: 中文、中國文學</t>
  </si>
  <si>
    <t>x2: (ApL) 幼兒教育 Child Care and Education</t>
  </si>
  <si>
    <t>HKMU Done</t>
  </si>
  <si>
    <t>HKMU DONE</t>
  </si>
  <si>
    <t>只計算甲類科目</t>
  </si>
  <si>
    <t>優先考慮:  英文 考獲 Lv.4 或以上 者 及</t>
  </si>
  <si>
    <t>SSSDP DONE</t>
  </si>
  <si>
    <t>優先考慮修讀  化學 或 物理 者</t>
  </si>
  <si>
    <t>Best results in year 2023 and 2024 Only</t>
  </si>
  <si>
    <t>Best results in the latest 2 sittings of HKDSE, one of which should include the year of admission (i.e. 2024)</t>
  </si>
  <si>
    <t>Best results in year 2022 and 2024 or, 2023 and 2024</t>
  </si>
  <si>
    <t>Best results in year 2022, 2023 and 2024</t>
  </si>
  <si>
    <t>Latest results in year 2022, 2023 and 2024</t>
  </si>
  <si>
    <t>公佈的為未有計算比重的平均分數，但無提及科目比重，故未有作出估算。</t>
  </si>
  <si>
    <t>https://www.jupas.edu.hk/f/page/3669/af_2023_SSSDP.pdf</t>
  </si>
  <si>
    <t>https://www.chuhai.edu.hk/</t>
  </si>
  <si>
    <t>https://www.thei.edu.hk/admissions/local-students-admission-for-year-1-entry/general-entrance-requirement-year-1-entry</t>
  </si>
  <si>
    <t>https://www.hkmu.edu.hk/REG/reg_ftae/Admission/Scores_JUPAS.pdf</t>
  </si>
  <si>
    <t>https://www.apply.eduhk.hk/ug/sites/default/files/2023-09/admission%20scores_2023.pdf</t>
  </si>
  <si>
    <t>請選擇第一選修科</t>
  </si>
  <si>
    <t>https://docs.google.com/document/d/1tqdAzSbqYhME53ZdAFDEsJy-LOS5JIw8ViIbdLR9GI8/edit</t>
  </si>
  <si>
    <t>歡迎各位有心人Debug, 請於Drive中Debug文件內註明Bug及其位置</t>
  </si>
  <si>
    <t>220*</t>
  </si>
  <si>
    <t>355*</t>
  </si>
  <si>
    <t>210*</t>
  </si>
  <si>
    <t>125*</t>
  </si>
  <si>
    <t>431*</t>
  </si>
  <si>
    <t>18*</t>
  </si>
  <si>
    <t>v1.0.1 UPDATE PATCH:</t>
  </si>
  <si>
    <t>更正 JS6901 計分比重錯誤</t>
  </si>
  <si>
    <t>請注意，此「假通識科」數字只會用於 2023年計算 Best 6 或 4C2X 的科目，或是通識科曾有比重的科目</t>
  </si>
  <si>
    <t>更正 HKUST 通識科 計分錯誤</t>
  </si>
  <si>
    <t>v1.0.2 UPDATE PATCH:</t>
  </si>
  <si>
    <t>v1.0.3 UPDATE PATCH:</t>
  </si>
  <si>
    <t>更正 JS1103 計分方式錯誤</t>
  </si>
  <si>
    <t>(不影響分數計算)</t>
  </si>
  <si>
    <t>更正 All in One 版面 顯示錯誤</t>
  </si>
  <si>
    <t>v1.0.4 UPDATE PATCH:</t>
  </si>
  <si>
    <t>更正 HKU 通識科 計分錯誤</t>
  </si>
  <si>
    <t>更正 主頁 版面 &amp; A123 顯示錯誤</t>
  </si>
  <si>
    <t>2024 JUPAS 計分器 Ver 1.0.6</t>
  </si>
  <si>
    <t>v1.0.6 Major UPDATE PATCH:</t>
  </si>
  <si>
    <t>v1.0.5 UPDATE PATCH:</t>
  </si>
  <si>
    <t>更正 CUHK 丙類科目 計分錯誤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</si>
</sst>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00;0"/>
    <numFmt numFmtId="165" formatCode="\(\+0%\);\(\-0%\);\(0%\)"/>
    <numFmt numFmtId="166" formatCode="0.00_);[Red]\(0.00\)"/>
    <numFmt numFmtId="167" formatCode="0.00_ ;[Red]\-0.00\ "/>
    <numFmt numFmtId="168" formatCode="\+0%;\-0%;0%"/>
    <numFmt numFmtId="169" formatCode="0.###"/>
    <numFmt numFmtId="170" formatCode="\+0.0%;\-0.0%;0.0%"/>
    <numFmt numFmtId="171" formatCode="0.0"/>
  </numFmts>
  <fonts count="150">
    <font>
      <sz val="12"/>
      <color theme="1"/>
      <name val="Calibri"/>
      <family val="2"/>
      <charset val="136"/>
      <scheme val="minor"/>
    </font>
    <font>
      <sz val="12"/>
      <color theme="1"/>
      <name val="Calibri"/>
      <family val="2"/>
      <scheme val="minor"/>
    </font>
    <font>
      <sz val="10"/>
      <color theme="1"/>
      <name val="微軟正黑體"/>
      <family val="2"/>
      <charset val="136"/>
    </font>
    <font>
      <sz val="9"/>
      <name val="Calibri"/>
      <family val="2"/>
      <charset val="136"/>
      <scheme val="minor"/>
    </font>
    <font>
      <sz val="9"/>
      <color theme="1"/>
      <name val="微軟正黑體"/>
      <family val="2"/>
      <charset val="136"/>
    </font>
    <font>
      <sz val="9"/>
      <name val="Calibri"/>
      <family val="3"/>
      <charset val="136"/>
      <scheme val="minor"/>
    </font>
    <font>
      <sz val="12"/>
      <color theme="1"/>
      <name val="微軟正黑體"/>
      <family val="2"/>
      <charset val="136"/>
    </font>
    <font>
      <b/>
      <sz val="12"/>
      <color theme="1"/>
      <name val="微軟正黑體"/>
      <family val="2"/>
      <charset val="136"/>
    </font>
    <font>
      <sz val="9"/>
      <color indexed="81"/>
      <name val="Tahoma"/>
      <family val="2"/>
    </font>
    <font>
      <b/>
      <sz val="9"/>
      <color indexed="81"/>
      <name val="Tahoma"/>
      <family val="2"/>
    </font>
    <font>
      <b/>
      <sz val="9"/>
      <color indexed="81"/>
      <name val="細明體"/>
      <family val="3"/>
      <charset val="136"/>
    </font>
    <font>
      <sz val="12"/>
      <color theme="1"/>
      <name val="Calibri"/>
      <family val="2"/>
      <charset val="136"/>
      <scheme val="minor"/>
    </font>
    <font>
      <b/>
      <sz val="10"/>
      <color theme="1"/>
      <name val="微軟正黑體"/>
      <family val="2"/>
      <charset val="136"/>
    </font>
    <font>
      <sz val="10"/>
      <color theme="2" tint="-0.249977111117893"/>
      <name val="微軟正黑體"/>
      <family val="2"/>
      <charset val="136"/>
    </font>
    <font>
      <sz val="10"/>
      <name val="微軟正黑體"/>
      <family val="2"/>
      <charset val="136"/>
    </font>
    <font>
      <sz val="9"/>
      <color indexed="81"/>
      <name val="細明體"/>
      <family val="3"/>
      <charset val="136"/>
    </font>
    <font>
      <b/>
      <sz val="10"/>
      <color theme="5" tint="-0.499984740745262"/>
      <name val="微軟正黑體"/>
      <family val="2"/>
      <charset val="136"/>
    </font>
    <font>
      <sz val="12"/>
      <color theme="4" tint="-0.249977111117893"/>
      <name val="微軟正黑體"/>
      <family val="2"/>
      <charset val="136"/>
    </font>
    <font>
      <b/>
      <sz val="10"/>
      <color theme="2" tint="-0.249977111117893"/>
      <name val="微軟正黑體"/>
      <family val="2"/>
      <charset val="136"/>
    </font>
    <font>
      <b/>
      <sz val="10"/>
      <color theme="0"/>
      <name val="微軟正黑體"/>
      <family val="2"/>
      <charset val="136"/>
    </font>
    <font>
      <b/>
      <sz val="10"/>
      <name val="微軟正黑體"/>
      <family val="2"/>
      <charset val="136"/>
    </font>
    <font>
      <sz val="10"/>
      <color theme="4" tint="-0.249977111117893"/>
      <name val="微軟正黑體"/>
      <family val="2"/>
      <charset val="136"/>
    </font>
    <font>
      <sz val="10"/>
      <color theme="0"/>
      <name val="微軟正黑體"/>
      <family val="2"/>
      <charset val="136"/>
    </font>
    <font>
      <b/>
      <sz val="12"/>
      <color rgb="FFFF0000"/>
      <name val="微軟正黑體"/>
      <family val="2"/>
      <charset val="136"/>
    </font>
    <font>
      <u/>
      <sz val="12"/>
      <color theme="10"/>
      <name val="Calibri"/>
      <family val="2"/>
      <charset val="136"/>
      <scheme val="minor"/>
    </font>
    <font>
      <b/>
      <sz val="8"/>
      <color theme="1"/>
      <name val="微軟正黑體"/>
      <family val="2"/>
      <charset val="136"/>
    </font>
    <font>
      <b/>
      <sz val="11"/>
      <color theme="1"/>
      <name val="微軟正黑體"/>
      <family val="2"/>
      <charset val="136"/>
    </font>
    <font>
      <b/>
      <sz val="9"/>
      <color theme="1"/>
      <name val="微軟正黑體"/>
      <family val="2"/>
      <charset val="136"/>
    </font>
    <font>
      <u/>
      <sz val="10"/>
      <color theme="10"/>
      <name val="微軟正黑體"/>
      <family val="2"/>
      <charset val="136"/>
    </font>
    <font>
      <b/>
      <sz val="14"/>
      <color rgb="FFFF0000"/>
      <name val="微軟正黑體"/>
      <family val="2"/>
      <charset val="136"/>
    </font>
    <font>
      <b/>
      <sz val="11"/>
      <color rgb="FFFF0000"/>
      <name val="微軟正黑體"/>
      <family val="2"/>
      <charset val="136"/>
    </font>
    <font>
      <b/>
      <i/>
      <sz val="10"/>
      <color theme="1"/>
      <name val="微軟正黑體"/>
      <family val="2"/>
      <charset val="136"/>
    </font>
    <font>
      <sz val="11"/>
      <color rgb="FF9C0006"/>
      <name val="Calibri"/>
      <family val="2"/>
      <scheme val="minor"/>
    </font>
    <font>
      <sz val="10"/>
      <color rgb="FFFF0000"/>
      <name val="微軟正黑體"/>
      <family val="2"/>
      <charset val="136"/>
    </font>
    <font>
      <sz val="12"/>
      <color rgb="FFFF0000"/>
      <name val="微軟正黑體"/>
      <family val="2"/>
      <charset val="136"/>
    </font>
    <font>
      <b/>
      <i/>
      <sz val="10"/>
      <name val="微軟正黑體"/>
      <family val="2"/>
      <charset val="136"/>
    </font>
    <font>
      <sz val="10"/>
      <color theme="2" tint="-0.499984740745262"/>
      <name val="微軟正黑體"/>
      <family val="2"/>
      <charset val="136"/>
    </font>
    <font>
      <b/>
      <sz val="12"/>
      <color theme="0"/>
      <name val="微軟正黑體"/>
      <family val="2"/>
      <charset val="136"/>
    </font>
    <font>
      <sz val="12"/>
      <color theme="0"/>
      <name val="微軟正黑體"/>
      <family val="2"/>
      <charset val="136"/>
    </font>
    <font>
      <i/>
      <sz val="10"/>
      <name val="微軟正黑體"/>
      <family val="2"/>
      <charset val="136"/>
    </font>
    <font>
      <i/>
      <sz val="10"/>
      <color theme="1"/>
      <name val="微軟正黑體"/>
      <family val="2"/>
      <charset val="136"/>
    </font>
    <font>
      <sz val="10"/>
      <color theme="1" tint="0.34998626667073579"/>
      <name val="微軟正黑體"/>
      <family val="2"/>
      <charset val="136"/>
    </font>
    <font>
      <sz val="10"/>
      <color theme="1"/>
      <name val="Calibri"/>
      <family val="2"/>
      <charset val="136"/>
      <scheme val="minor"/>
    </font>
    <font>
      <b/>
      <sz val="14"/>
      <color theme="1"/>
      <name val="微軟正黑體"/>
      <family val="2"/>
      <charset val="136"/>
    </font>
    <font>
      <b/>
      <sz val="11"/>
      <color theme="9" tint="-0.499984740745262"/>
      <name val="微軟正黑體"/>
      <family val="2"/>
      <charset val="136"/>
    </font>
    <font>
      <sz val="10"/>
      <color theme="3" tint="0.79998168889431442"/>
      <name val="微軟正黑體"/>
      <family val="2"/>
      <charset val="136"/>
    </font>
    <font>
      <sz val="10"/>
      <color theme="5" tint="-0.249977111117893"/>
      <name val="微軟正黑體"/>
      <family val="2"/>
      <charset val="136"/>
    </font>
    <font>
      <sz val="10"/>
      <color rgb="FF00B0F0"/>
      <name val="微軟正黑體"/>
      <family val="2"/>
      <charset val="136"/>
    </font>
    <font>
      <b/>
      <sz val="10"/>
      <color rgb="FFFF0000"/>
      <name val="微軟正黑體"/>
      <family val="2"/>
      <charset val="136"/>
    </font>
    <font>
      <sz val="8"/>
      <color theme="1"/>
      <name val="微軟正黑體"/>
      <family val="2"/>
      <charset val="136"/>
    </font>
    <font>
      <i/>
      <sz val="10"/>
      <color rgb="FFFF0000"/>
      <name val="微軟正黑體"/>
      <family val="2"/>
      <charset val="136"/>
    </font>
    <font>
      <u/>
      <sz val="10"/>
      <color theme="10"/>
      <name val="Calibri"/>
      <family val="2"/>
      <charset val="136"/>
      <scheme val="minor"/>
    </font>
    <font>
      <sz val="10"/>
      <color rgb="FF0563C1"/>
      <name val="微軟正黑體"/>
      <family val="2"/>
      <charset val="136"/>
    </font>
    <font>
      <sz val="10"/>
      <color rgb="FF000000"/>
      <name val="微軟正黑體"/>
      <family val="2"/>
      <charset val="136"/>
    </font>
    <font>
      <sz val="6"/>
      <color theme="1"/>
      <name val="微軟正黑體"/>
      <family val="2"/>
      <charset val="136"/>
    </font>
    <font>
      <b/>
      <sz val="16"/>
      <color theme="1"/>
      <name val="微軟正黑體"/>
      <family val="2"/>
      <charset val="136"/>
    </font>
    <font>
      <sz val="12"/>
      <name val="微軟正黑體"/>
      <family val="2"/>
      <charset val="136"/>
    </font>
    <font>
      <i/>
      <sz val="8"/>
      <name val="微軟正黑體"/>
      <family val="2"/>
      <charset val="136"/>
    </font>
    <font>
      <b/>
      <sz val="9"/>
      <color rgb="FF000000"/>
      <name val="Tahoma"/>
      <family val="2"/>
    </font>
    <font>
      <b/>
      <i/>
      <sz val="10"/>
      <color rgb="FFFF0000"/>
      <name val="微軟正黑體"/>
      <family val="2"/>
      <charset val="136"/>
    </font>
    <font>
      <b/>
      <sz val="12"/>
      <color theme="1"/>
      <name val="Calibri"/>
      <family val="2"/>
      <scheme val="minor"/>
    </font>
    <font>
      <i/>
      <sz val="10"/>
      <color theme="0" tint="-0.34998626667073579"/>
      <name val="微軟正黑體"/>
      <family val="2"/>
      <charset val="136"/>
    </font>
    <font>
      <b/>
      <i/>
      <sz val="10"/>
      <color theme="0" tint="-0.34998626667073579"/>
      <name val="微軟正黑體"/>
      <family val="2"/>
      <charset val="136"/>
    </font>
    <font>
      <sz val="12"/>
      <name val="Calibri"/>
      <family val="2"/>
      <scheme val="minor"/>
    </font>
    <font>
      <sz val="8"/>
      <name val="Calibri"/>
      <family val="2"/>
      <charset val="136"/>
      <scheme val="minor"/>
    </font>
    <font>
      <b/>
      <sz val="12"/>
      <name val="Calibri"/>
      <family val="2"/>
      <scheme val="minor"/>
    </font>
    <font>
      <sz val="7"/>
      <color theme="1"/>
      <name val="微軟正黑體"/>
      <family val="2"/>
      <charset val="136"/>
    </font>
    <font>
      <sz val="6"/>
      <name val="微軟正黑體"/>
      <family val="2"/>
      <charset val="136"/>
    </font>
    <font>
      <sz val="10"/>
      <name val="Microsoft JhengHei UI"/>
      <family val="2"/>
      <charset val="136"/>
    </font>
    <font>
      <sz val="12"/>
      <color rgb="FFD1D5DB"/>
      <name val="Microsoft JhengHei UI"/>
      <family val="2"/>
      <charset val="136"/>
    </font>
    <font>
      <b/>
      <sz val="9"/>
      <color rgb="FF000000"/>
      <name val="細明體"/>
      <family val="3"/>
      <charset val="136"/>
    </font>
    <font>
      <sz val="9"/>
      <color rgb="FF000000"/>
      <name val="Tahoma"/>
      <family val="2"/>
    </font>
    <font>
      <sz val="9"/>
      <color rgb="FF000000"/>
      <name val="細明體"/>
      <family val="3"/>
      <charset val="136"/>
    </font>
    <font>
      <sz val="10"/>
      <color rgb="FF000000"/>
      <name val="Calibri"/>
      <family val="2"/>
    </font>
    <font>
      <i/>
      <sz val="9"/>
      <color theme="1"/>
      <name val="微軟正黑體"/>
      <family val="2"/>
      <charset val="136"/>
    </font>
    <font>
      <sz val="9"/>
      <name val="微軟正黑體"/>
      <family val="2"/>
      <charset val="136"/>
    </font>
    <font>
      <sz val="10"/>
      <color theme="0" tint="-0.14999847407452621"/>
      <name val="微軟正黑體"/>
      <family val="2"/>
      <charset val="136"/>
    </font>
    <font>
      <b/>
      <sz val="10"/>
      <color theme="9" tint="-0.249977111117893"/>
      <name val="微軟正黑體"/>
      <family val="2"/>
      <charset val="136"/>
    </font>
    <font>
      <b/>
      <sz val="10"/>
      <color rgb="FFC00000"/>
      <name val="微軟正黑體"/>
      <family val="2"/>
      <charset val="136"/>
    </font>
    <font>
      <b/>
      <sz val="10"/>
      <color theme="7" tint="-0.249977111117893"/>
      <name val="微軟正黑體"/>
      <family val="2"/>
      <charset val="136"/>
    </font>
    <font>
      <b/>
      <sz val="10"/>
      <color rgb="FF548235"/>
      <name val="微軟正黑體"/>
      <family val="2"/>
      <charset val="136"/>
    </font>
    <font>
      <b/>
      <sz val="10"/>
      <color rgb="FFBF8F00"/>
      <name val="微軟正黑體"/>
      <family val="2"/>
      <charset val="136"/>
    </font>
    <font>
      <b/>
      <sz val="10"/>
      <color theme="6" tint="0.79998168889431442"/>
      <name val="微軟正黑體"/>
      <family val="2"/>
      <charset val="136"/>
    </font>
    <font>
      <sz val="10"/>
      <color theme="5" tint="0.79998168889431442"/>
      <name val="微軟正黑體"/>
      <family val="2"/>
      <charset val="136"/>
    </font>
    <font>
      <b/>
      <i/>
      <sz val="12"/>
      <color theme="1"/>
      <name val="微軟正黑體"/>
      <family val="2"/>
      <charset val="136"/>
    </font>
    <font>
      <i/>
      <sz val="12"/>
      <color theme="1"/>
      <name val="微軟正黑體"/>
      <family val="2"/>
      <charset val="136"/>
    </font>
    <font>
      <i/>
      <sz val="12"/>
      <color rgb="FF002060"/>
      <name val="微軟正黑體"/>
    </font>
    <font>
      <b/>
      <i/>
      <sz val="9"/>
      <color rgb="FF002060"/>
      <name val="微軟正黑體"/>
    </font>
    <font>
      <i/>
      <sz val="9"/>
      <color rgb="FF002060"/>
      <name val="微軟正黑體"/>
    </font>
    <font>
      <sz val="9"/>
      <color theme="1"/>
      <name val="微軟正黑體"/>
    </font>
    <font>
      <i/>
      <sz val="12"/>
      <color rgb="FF002060"/>
      <name val="微軟正黑體"/>
      <family val="2"/>
      <charset val="136"/>
    </font>
    <font>
      <b/>
      <sz val="20"/>
      <color rgb="FF5D1929"/>
      <name val="微軟正黑體"/>
      <family val="2"/>
      <charset val="136"/>
    </font>
    <font>
      <sz val="9"/>
      <color rgb="FF7D2137"/>
      <name val="微軟正黑體"/>
      <family val="2"/>
      <charset val="136"/>
    </font>
    <font>
      <sz val="10"/>
      <color rgb="FF7D2137"/>
      <name val="微軟正黑體"/>
      <family val="2"/>
      <charset val="136"/>
    </font>
    <font>
      <sz val="12"/>
      <color rgb="FF7D2137"/>
      <name val="微軟正黑體"/>
      <family val="2"/>
      <charset val="136"/>
    </font>
    <font>
      <b/>
      <sz val="10"/>
      <color rgb="FF7D2137"/>
      <name val="微軟正黑體"/>
      <family val="2"/>
      <charset val="136"/>
    </font>
    <font>
      <b/>
      <sz val="10"/>
      <color theme="1"/>
      <name val="微軟正黑體"/>
    </font>
    <font>
      <b/>
      <sz val="10"/>
      <color rgb="FFFF0000"/>
      <name val="微軟正黑體"/>
    </font>
    <font>
      <sz val="10"/>
      <color theme="9" tint="-0.249977111117893"/>
      <name val="微軟正黑體"/>
      <family val="2"/>
      <charset val="136"/>
    </font>
    <font>
      <sz val="10"/>
      <name val="微軟正黑體"/>
    </font>
    <font>
      <sz val="10"/>
      <color theme="1"/>
      <name val="微軟正黑體"/>
    </font>
    <font>
      <sz val="10"/>
      <color theme="9" tint="-0.249977111117893"/>
      <name val="微軟正黑體"/>
    </font>
    <font>
      <i/>
      <sz val="10"/>
      <color theme="1"/>
      <name val="微軟正黑體"/>
    </font>
    <font>
      <b/>
      <sz val="10"/>
      <color theme="2" tint="-0.499984740745262"/>
      <name val="微軟正黑體"/>
    </font>
    <font>
      <b/>
      <sz val="14"/>
      <color rgb="FFFF0000"/>
      <name val="微軟正黑體"/>
    </font>
    <font>
      <b/>
      <sz val="11"/>
      <name val="微軟正黑體"/>
    </font>
    <font>
      <sz val="10"/>
      <color rgb="FF0070C0"/>
      <name val="微軟正黑體"/>
    </font>
    <font>
      <b/>
      <i/>
      <sz val="10"/>
      <color rgb="FF0070C0"/>
      <name val="微軟正黑體"/>
    </font>
    <font>
      <i/>
      <sz val="10"/>
      <color rgb="FF0070C0"/>
      <name val="微軟正黑體"/>
    </font>
    <font>
      <sz val="10"/>
      <color theme="4"/>
      <name val="微軟正黑體"/>
    </font>
    <font>
      <b/>
      <i/>
      <sz val="10"/>
      <color theme="4"/>
      <name val="微軟正黑體"/>
    </font>
    <font>
      <i/>
      <sz val="10"/>
      <color theme="4"/>
      <name val="微軟正黑體"/>
    </font>
    <font>
      <b/>
      <sz val="10"/>
      <color rgb="FF0070C0"/>
      <name val="微軟正黑體"/>
    </font>
    <font>
      <b/>
      <sz val="10"/>
      <color theme="5"/>
      <name val="微軟正黑體"/>
    </font>
    <font>
      <sz val="10"/>
      <color rgb="FF00B050"/>
      <name val="微軟正黑體"/>
    </font>
    <font>
      <b/>
      <sz val="10"/>
      <name val="微軟正黑體"/>
    </font>
    <font>
      <b/>
      <sz val="14"/>
      <color theme="1"/>
      <name val="微軟正黑體"/>
    </font>
    <font>
      <sz val="9"/>
      <name val="微軟正黑體"/>
    </font>
    <font>
      <i/>
      <sz val="10"/>
      <name val="微軟正黑體"/>
    </font>
    <font>
      <b/>
      <i/>
      <sz val="10"/>
      <name val="微軟正黑體"/>
    </font>
    <font>
      <b/>
      <sz val="20"/>
      <color rgb="FFFF0000"/>
      <name val="微軟正黑體"/>
      <family val="2"/>
      <charset val="136"/>
    </font>
    <font>
      <sz val="10"/>
      <color theme="9" tint="-0.499984740745262"/>
      <name val="微軟正黑體"/>
      <family val="2"/>
      <charset val="136"/>
    </font>
    <font>
      <sz val="10"/>
      <color rgb="FFFF0000"/>
      <name val="微軟正黑體"/>
    </font>
    <font>
      <b/>
      <sz val="10"/>
      <color theme="9" tint="-0.249977111117893"/>
      <name val="微軟正黑體"/>
    </font>
    <font>
      <b/>
      <i/>
      <sz val="10"/>
      <color theme="1"/>
      <name val="微軟正黑體"/>
    </font>
    <font>
      <b/>
      <i/>
      <sz val="10"/>
      <color theme="8" tint="-0.249977111117893"/>
      <name val="微軟正黑體"/>
    </font>
    <font>
      <sz val="10"/>
      <color theme="8" tint="-0.249977111117893"/>
      <name val="微軟正黑體"/>
    </font>
    <font>
      <i/>
      <sz val="10"/>
      <color theme="8" tint="-0.249977111117893"/>
      <name val="微軟正黑體"/>
    </font>
    <font>
      <b/>
      <sz val="10"/>
      <color theme="8" tint="-0.249977111117893"/>
      <name val="微軟正黑體"/>
    </font>
    <font>
      <sz val="10"/>
      <color theme="9" tint="-0.499984740745262"/>
      <name val="微軟正黑體"/>
    </font>
    <font>
      <b/>
      <i/>
      <sz val="10"/>
      <color theme="9" tint="-0.249977111117893"/>
      <name val="微軟正黑體"/>
    </font>
    <font>
      <i/>
      <sz val="10"/>
      <color theme="9" tint="-0.249977111117893"/>
      <name val="微軟正黑體"/>
    </font>
    <font>
      <sz val="10"/>
      <color theme="9"/>
      <name val="微軟正黑體"/>
      <family val="2"/>
      <charset val="136"/>
    </font>
    <font>
      <b/>
      <sz val="10"/>
      <color theme="9" tint="-0.249977111117893"/>
      <name val="Arial"/>
      <family val="2"/>
    </font>
    <font>
      <sz val="10"/>
      <color theme="8" tint="-0.249977111117893"/>
      <name val="微軟正黑體"/>
      <family val="2"/>
      <charset val="136"/>
    </font>
    <font>
      <sz val="12"/>
      <color theme="8" tint="-0.249977111117893"/>
      <name val="Calibri"/>
      <family val="2"/>
      <charset val="136"/>
      <scheme val="minor"/>
    </font>
    <font>
      <i/>
      <sz val="10"/>
      <color theme="8" tint="-0.249977111117893"/>
      <name val="微軟正黑體"/>
      <family val="2"/>
      <charset val="136"/>
    </font>
    <font>
      <b/>
      <sz val="10"/>
      <color theme="8" tint="-0.249977111117893"/>
      <name val="微軟正黑體"/>
      <family val="2"/>
      <charset val="136"/>
    </font>
    <font>
      <b/>
      <i/>
      <sz val="10"/>
      <color theme="8" tint="-0.249977111117893"/>
      <name val="微軟正黑體"/>
      <family val="2"/>
      <charset val="136"/>
    </font>
    <font>
      <sz val="12"/>
      <color theme="1"/>
      <name val="微軟正黑體"/>
    </font>
    <font>
      <b/>
      <sz val="12"/>
      <color theme="1"/>
      <name val="微軟正黑體"/>
    </font>
    <font>
      <sz val="10"/>
      <color theme="0" tint="-0.34998626667073579"/>
      <name val="微軟正黑體"/>
    </font>
    <font>
      <b/>
      <i/>
      <sz val="8"/>
      <name val="微軟正黑體"/>
    </font>
    <font>
      <sz val="8"/>
      <name val="微軟正黑體"/>
    </font>
    <font>
      <b/>
      <i/>
      <sz val="9"/>
      <color rgb="FFFF0000"/>
      <name val="微軟正黑體"/>
    </font>
    <font>
      <i/>
      <sz val="9"/>
      <name val="微軟正黑體"/>
    </font>
    <font>
      <sz val="10"/>
      <color theme="8" tint="-0.249977111117893"/>
      <name val="Microsoft JhengHei UI"/>
      <family val="2"/>
      <charset val="136"/>
    </font>
    <font>
      <sz val="6"/>
      <color theme="8" tint="-0.249977111117893"/>
      <name val="微軟正黑體"/>
      <family val="2"/>
      <charset val="136"/>
    </font>
    <font>
      <sz val="10"/>
      <color theme="2" tint="-0.249977111117893"/>
      <name val="微軟正黑體"/>
    </font>
    <font>
      <b/>
      <sz val="8"/>
      <name val="微軟正黑體"/>
    </font>
  </fonts>
  <fills count="36">
    <fill>
      <patternFill patternType="none"/>
    </fill>
    <fill>
      <patternFill patternType="gray125"/>
    </fill>
    <fill>
      <patternFill patternType="solid">
        <fgColor theme="0" tint="-4.9989318521683403E-2"/>
        <bgColor indexed="64"/>
      </patternFill>
    </fill>
    <fill>
      <patternFill patternType="solid">
        <fgColor theme="0"/>
        <bgColor indexed="64"/>
      </patternFill>
    </fill>
    <fill>
      <patternFill patternType="solid">
        <fgColor theme="7" tint="0.79998168889431442"/>
        <bgColor indexed="64"/>
      </patternFill>
    </fill>
    <fill>
      <patternFill patternType="solid">
        <fgColor rgb="FFFFFFCC"/>
        <bgColor indexed="64"/>
      </patternFill>
    </fill>
    <fill>
      <patternFill patternType="solid">
        <fgColor theme="9" tint="-0.249977111117893"/>
        <bgColor indexed="64"/>
      </patternFill>
    </fill>
    <fill>
      <patternFill patternType="solid">
        <fgColor rgb="FFA04310"/>
        <bgColor indexed="64"/>
      </patternFill>
    </fill>
    <fill>
      <patternFill patternType="solid">
        <fgColor theme="4" tint="0.59999389629810485"/>
        <bgColor indexed="64"/>
      </patternFill>
    </fill>
    <fill>
      <patternFill patternType="solid">
        <fgColor rgb="FF6600CC"/>
        <bgColor indexed="64"/>
      </patternFill>
    </fill>
    <fill>
      <patternFill patternType="solid">
        <fgColor rgb="FFE24100"/>
        <bgColor indexed="64"/>
      </patternFill>
    </fill>
    <fill>
      <patternFill patternType="solid">
        <fgColor theme="9" tint="0.79998168889431442"/>
        <bgColor indexed="64"/>
      </patternFill>
    </fill>
    <fill>
      <patternFill patternType="solid">
        <fgColor rgb="FFCC0066"/>
        <bgColor indexed="64"/>
      </patternFill>
    </fill>
    <fill>
      <patternFill patternType="solid">
        <fgColor rgb="FFCC0000"/>
        <bgColor indexed="64"/>
      </patternFill>
    </fill>
    <fill>
      <patternFill patternType="solid">
        <fgColor theme="0" tint="-0.14999847407452621"/>
        <bgColor indexed="64"/>
      </patternFill>
    </fill>
    <fill>
      <patternFill patternType="solid">
        <fgColor theme="4" tint="-0.249977111117893"/>
        <bgColor indexed="64"/>
      </patternFill>
    </fill>
    <fill>
      <patternFill patternType="solid">
        <fgColor rgb="FFECE9D8"/>
        <bgColor indexed="64"/>
      </patternFill>
    </fill>
    <fill>
      <patternFill patternType="solid">
        <fgColor theme="8" tint="-0.499984740745262"/>
        <bgColor indexed="64"/>
      </patternFill>
    </fill>
    <fill>
      <patternFill patternType="solid">
        <fgColor theme="7" tint="-0.499984740745262"/>
        <bgColor indexed="64"/>
      </patternFill>
    </fill>
    <fill>
      <patternFill patternType="solid">
        <fgColor theme="5" tint="0.59999389629810485"/>
        <bgColor indexed="64"/>
      </patternFill>
    </fill>
    <fill>
      <patternFill patternType="solid">
        <fgColor rgb="FFFFC7CE"/>
      </patternFill>
    </fill>
    <fill>
      <patternFill patternType="solid">
        <fgColor theme="9" tint="0.59999389629810485"/>
        <bgColor indexed="64"/>
      </patternFill>
    </fill>
    <fill>
      <patternFill patternType="solid">
        <fgColor rgb="FFFFF3FF"/>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rgb="FFCCCCFF"/>
        <bgColor indexed="64"/>
      </patternFill>
    </fill>
    <fill>
      <patternFill patternType="solid">
        <fgColor theme="2" tint="-9.9978637043366805E-2"/>
        <bgColor indexed="64"/>
      </patternFill>
    </fill>
    <fill>
      <patternFill patternType="solid">
        <fgColor rgb="FFA9D08E"/>
        <bgColor indexed="64"/>
      </patternFill>
    </fill>
    <fill>
      <patternFill patternType="solid">
        <fgColor rgb="FF9933FF"/>
        <bgColor indexed="64"/>
      </patternFill>
    </fill>
    <fill>
      <patternFill patternType="solid">
        <fgColor rgb="FFFFF1D9"/>
        <bgColor indexed="64"/>
      </patternFill>
    </fill>
    <fill>
      <patternFill patternType="solid">
        <fgColor rgb="FFFF0000"/>
        <bgColor indexed="64"/>
      </patternFill>
    </fill>
    <fill>
      <patternFill patternType="solid">
        <fgColor theme="6" tint="0.79998168889431442"/>
        <bgColor indexed="64"/>
      </patternFill>
    </fill>
    <fill>
      <patternFill patternType="solid">
        <fgColor rgb="FFFFFFFF"/>
        <bgColor rgb="FF000000"/>
      </patternFill>
    </fill>
    <fill>
      <patternFill patternType="solid">
        <fgColor theme="6" tint="0.59999389629810485"/>
        <bgColor indexed="64"/>
      </patternFill>
    </fill>
    <fill>
      <patternFill patternType="solid">
        <fgColor rgb="FFFFEFEF"/>
        <bgColor indexed="64"/>
      </patternFill>
    </fill>
    <fill>
      <patternFill patternType="solid">
        <fgColor theme="7" tint="0.39997558519241921"/>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top/>
      <bottom style="thin">
        <color theme="0" tint="-0.14996795556505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thin">
        <color theme="0" tint="-0.14999847407452621"/>
      </left>
      <right style="thin">
        <color theme="0" tint="-0.14999847407452621"/>
      </right>
      <top/>
      <bottom/>
      <diagonal/>
    </border>
    <border>
      <left style="thin">
        <color theme="9" tint="-0.24994659260841701"/>
      </left>
      <right/>
      <top/>
      <bottom/>
      <diagonal/>
    </border>
    <border>
      <left/>
      <right style="thin">
        <color theme="0" tint="-0.249977111117893"/>
      </right>
      <top/>
      <bottom/>
      <diagonal/>
    </border>
    <border>
      <left/>
      <right/>
      <top/>
      <bottom style="dashed">
        <color rgb="FF833C0C"/>
      </bottom>
      <diagonal/>
    </border>
    <border>
      <left/>
      <right/>
      <top style="dashed">
        <color rgb="FF833C0C"/>
      </top>
      <bottom style="dashed">
        <color rgb="FF833C0C"/>
      </bottom>
      <diagonal/>
    </border>
    <border>
      <left/>
      <right/>
      <top/>
      <bottom style="dashed">
        <color theme="0"/>
      </bottom>
      <diagonal/>
    </border>
    <border>
      <left/>
      <right/>
      <top/>
      <bottom style="thin">
        <color theme="0"/>
      </bottom>
      <diagonal/>
    </border>
    <border>
      <left/>
      <right/>
      <top style="thin">
        <color theme="0"/>
      </top>
      <bottom style="thin">
        <color theme="0"/>
      </bottom>
      <diagonal/>
    </border>
    <border>
      <left/>
      <right/>
      <top style="thin">
        <color theme="0"/>
      </top>
      <bottom/>
      <diagonal/>
    </border>
    <border>
      <left/>
      <right/>
      <top style="dashed">
        <color theme="0"/>
      </top>
      <bottom style="dashed">
        <color theme="0"/>
      </bottom>
      <diagonal/>
    </border>
    <border>
      <left/>
      <right/>
      <top style="dashed">
        <color theme="0"/>
      </top>
      <bottom/>
      <diagonal/>
    </border>
    <border>
      <left/>
      <right/>
      <top/>
      <bottom style="dashed">
        <color theme="0" tint="-4.9989318521683403E-2"/>
      </bottom>
      <diagonal/>
    </border>
    <border>
      <left/>
      <right/>
      <top style="dashed">
        <color theme="0" tint="-4.9989318521683403E-2"/>
      </top>
      <bottom style="dashed">
        <color theme="0" tint="-4.9989318521683403E-2"/>
      </bottom>
      <diagonal/>
    </border>
    <border>
      <left/>
      <right/>
      <top style="dashed">
        <color theme="0" tint="-4.9989318521683403E-2"/>
      </top>
      <bottom/>
      <diagonal/>
    </border>
    <border>
      <left/>
      <right style="thin">
        <color theme="0" tint="-4.9989318521683403E-2"/>
      </right>
      <top/>
      <bottom/>
      <diagonal/>
    </border>
    <border>
      <left style="thin">
        <color theme="0" tint="-4.9989318521683403E-2"/>
      </left>
      <right style="thin">
        <color theme="0" tint="-4.9989318521683403E-2"/>
      </right>
      <top/>
      <bottom/>
      <diagonal/>
    </border>
    <border>
      <left style="thin">
        <color theme="0" tint="-4.9989318521683403E-2"/>
      </left>
      <right/>
      <top/>
      <bottom/>
      <diagonal/>
    </border>
    <border>
      <left/>
      <right/>
      <top/>
      <bottom style="thin">
        <color theme="5" tint="0.79998168889431442"/>
      </bottom>
      <diagonal/>
    </border>
    <border>
      <left/>
      <right/>
      <top style="thin">
        <color theme="5" tint="0.79998168889431442"/>
      </top>
      <bottom style="thin">
        <color theme="5" tint="0.79998168889431442"/>
      </bottom>
      <diagonal/>
    </border>
    <border>
      <left/>
      <right/>
      <top style="thin">
        <color theme="5" tint="0.79998168889431442"/>
      </top>
      <bottom/>
      <diagonal/>
    </border>
    <border>
      <left/>
      <right/>
      <top/>
      <bottom style="thin">
        <color theme="2" tint="-9.9948118533890809E-2"/>
      </bottom>
      <diagonal/>
    </border>
    <border>
      <left/>
      <right/>
      <top style="thin">
        <color theme="2" tint="-9.9948118533890809E-2"/>
      </top>
      <bottom style="thin">
        <color theme="2" tint="-9.9948118533890809E-2"/>
      </bottom>
      <diagonal/>
    </border>
    <border>
      <left/>
      <right/>
      <top style="thin">
        <color theme="2" tint="-9.9948118533890809E-2"/>
      </top>
      <bottom/>
      <diagonal/>
    </border>
    <border>
      <left/>
      <right/>
      <top/>
      <bottom style="thin">
        <color theme="4" tint="0.59996337778862885"/>
      </bottom>
      <diagonal/>
    </border>
    <border>
      <left/>
      <right/>
      <top style="thin">
        <color theme="4" tint="0.59996337778862885"/>
      </top>
      <bottom style="thin">
        <color theme="4" tint="0.59996337778862885"/>
      </bottom>
      <diagonal/>
    </border>
    <border>
      <left/>
      <right/>
      <top style="thin">
        <color theme="4" tint="0.59996337778862885"/>
      </top>
      <bottom/>
      <diagonal/>
    </border>
    <border>
      <left/>
      <right/>
      <top/>
      <bottom style="thin">
        <color theme="3" tint="0.79998168889431442"/>
      </bottom>
      <diagonal/>
    </border>
    <border>
      <left style="medium">
        <color indexed="64"/>
      </left>
      <right style="medium">
        <color indexed="64"/>
      </right>
      <top style="medium">
        <color indexed="64"/>
      </top>
      <bottom style="medium">
        <color indexed="64"/>
      </bottom>
      <diagonal/>
    </border>
    <border>
      <left/>
      <right style="thin">
        <color indexed="64"/>
      </right>
      <top/>
      <bottom/>
      <diagonal/>
    </border>
  </borders>
  <cellStyleXfs count="4">
    <xf numFmtId="0" fontId="0" fillId="0" borderId="0">
      <alignment vertical="center"/>
    </xf>
    <xf numFmtId="9" fontId="11" fillId="0" borderId="0" applyFont="0" applyFill="0" applyBorder="0" applyAlignment="0" applyProtection="0">
      <alignment vertical="center"/>
    </xf>
    <xf numFmtId="0" fontId="24" fillId="0" borderId="0" applyNumberFormat="0" applyFill="0" applyBorder="0" applyAlignment="0" applyProtection="0">
      <alignment vertical="center"/>
    </xf>
    <xf numFmtId="0" fontId="32" fillId="20" borderId="0" applyNumberFormat="0" applyBorder="0" applyAlignment="0" applyProtection="0"/>
  </cellStyleXfs>
  <cellXfs count="528">
    <xf numFmtId="0" fontId="0" fillId="0" borderId="0" xfId="0">
      <alignment vertical="center"/>
    </xf>
    <xf numFmtId="0" fontId="4" fillId="0" borderId="0" xfId="0" applyFont="1" applyAlignment="1">
      <alignment horizontal="center"/>
    </xf>
    <xf numFmtId="0" fontId="2" fillId="0" borderId="0" xfId="0" applyFont="1">
      <alignment vertical="center"/>
    </xf>
    <xf numFmtId="0" fontId="12" fillId="3" borderId="0" xfId="0" applyFont="1" applyFill="1">
      <alignment vertical="center"/>
    </xf>
    <xf numFmtId="0" fontId="2" fillId="3" borderId="0" xfId="0" applyFont="1" applyFill="1">
      <alignment vertical="center"/>
    </xf>
    <xf numFmtId="0" fontId="0" fillId="3" borderId="0" xfId="0" applyFill="1">
      <alignment vertical="center"/>
    </xf>
    <xf numFmtId="0" fontId="13" fillId="3" borderId="0" xfId="0" applyFont="1" applyFill="1" applyAlignment="1">
      <alignment horizontal="center" vertical="center"/>
    </xf>
    <xf numFmtId="164" fontId="2" fillId="3" borderId="0" xfId="0" applyNumberFormat="1" applyFont="1" applyFill="1" applyAlignment="1">
      <alignment horizontal="center" vertical="center"/>
    </xf>
    <xf numFmtId="165" fontId="2" fillId="3" borderId="0" xfId="1" applyNumberFormat="1" applyFont="1" applyFill="1" applyAlignment="1">
      <alignment horizontal="center" vertical="center"/>
    </xf>
    <xf numFmtId="0" fontId="14" fillId="3" borderId="0" xfId="0" applyFont="1" applyFill="1">
      <alignment vertical="center"/>
    </xf>
    <xf numFmtId="0" fontId="2" fillId="5" borderId="0" xfId="0" applyFont="1" applyFill="1">
      <alignment vertical="center"/>
    </xf>
    <xf numFmtId="0" fontId="12" fillId="0" borderId="0" xfId="0" applyFont="1">
      <alignment vertical="center"/>
    </xf>
    <xf numFmtId="0" fontId="6" fillId="0" borderId="0" xfId="0" applyFont="1" applyAlignment="1">
      <alignment horizontal="center"/>
    </xf>
    <xf numFmtId="0" fontId="6" fillId="0" borderId="0" xfId="0" applyFont="1">
      <alignment vertical="center"/>
    </xf>
    <xf numFmtId="0" fontId="0" fillId="3" borderId="0" xfId="0" applyFill="1" applyAlignment="1">
      <alignment horizontal="center" vertical="center"/>
    </xf>
    <xf numFmtId="0" fontId="2" fillId="3" borderId="0" xfId="0" applyFont="1" applyFill="1" applyAlignment="1">
      <alignment horizontal="center" vertical="center"/>
    </xf>
    <xf numFmtId="0" fontId="2" fillId="0" borderId="0" xfId="0" applyFont="1" applyAlignment="1">
      <alignment horizontal="center" vertical="center"/>
    </xf>
    <xf numFmtId="0" fontId="0" fillId="3" borderId="0" xfId="0" applyFill="1" applyAlignment="1">
      <alignment horizontal="right" vertical="center"/>
    </xf>
    <xf numFmtId="0" fontId="0" fillId="3" borderId="0" xfId="0" applyFill="1" applyAlignment="1">
      <alignment horizontal="left" vertical="center"/>
    </xf>
    <xf numFmtId="0" fontId="12" fillId="0" borderId="0" xfId="0" applyFont="1" applyAlignment="1">
      <alignment horizontal="center" vertical="center"/>
    </xf>
    <xf numFmtId="0" fontId="6" fillId="0" borderId="0" xfId="0" applyFont="1" applyAlignment="1">
      <alignment horizontal="center" vertical="center"/>
    </xf>
    <xf numFmtId="0" fontId="2" fillId="0" borderId="0" xfId="0" applyFont="1" applyAlignment="1">
      <alignment horizontal="left" vertical="center"/>
    </xf>
    <xf numFmtId="0" fontId="2" fillId="3" borderId="0" xfId="0" applyFont="1" applyFill="1" applyAlignment="1">
      <alignment horizontal="right" vertical="center"/>
    </xf>
    <xf numFmtId="0" fontId="2" fillId="3" borderId="0" xfId="0" applyFont="1" applyFill="1" applyAlignment="1">
      <alignment horizontal="left" vertical="center"/>
    </xf>
    <xf numFmtId="0" fontId="19" fillId="6" borderId="0" xfId="0" applyFont="1" applyFill="1">
      <alignment vertical="center"/>
    </xf>
    <xf numFmtId="164" fontId="2" fillId="3" borderId="0" xfId="0" applyNumberFormat="1" applyFont="1" applyFill="1" applyAlignment="1">
      <alignment horizontal="right" vertical="center"/>
    </xf>
    <xf numFmtId="165" fontId="2" fillId="3" borderId="0" xfId="1" applyNumberFormat="1" applyFont="1" applyFill="1" applyAlignment="1">
      <alignment horizontal="left" vertical="center"/>
    </xf>
    <xf numFmtId="0" fontId="14" fillId="3" borderId="0" xfId="0" applyFont="1" applyFill="1" applyAlignment="1">
      <alignment horizontal="center" vertical="center"/>
    </xf>
    <xf numFmtId="0" fontId="6" fillId="0" borderId="0" xfId="0" applyFont="1" applyAlignment="1">
      <alignment horizontal="right" vertical="center"/>
    </xf>
    <xf numFmtId="0" fontId="6" fillId="3" borderId="0" xfId="0" applyFont="1" applyFill="1">
      <alignment vertical="center"/>
    </xf>
    <xf numFmtId="0" fontId="19" fillId="7" borderId="0" xfId="0" applyFont="1" applyFill="1">
      <alignment vertical="center"/>
    </xf>
    <xf numFmtId="0" fontId="12" fillId="8" borderId="0" xfId="0" applyFont="1" applyFill="1">
      <alignment vertical="center"/>
    </xf>
    <xf numFmtId="0" fontId="12" fillId="8" borderId="0" xfId="0" applyFont="1" applyFill="1" applyAlignment="1">
      <alignment horizontal="center" vertical="center"/>
    </xf>
    <xf numFmtId="0" fontId="19" fillId="9" borderId="0" xfId="0" applyFont="1" applyFill="1">
      <alignment vertical="center"/>
    </xf>
    <xf numFmtId="0" fontId="6" fillId="3" borderId="0" xfId="0" applyFont="1" applyFill="1" applyAlignment="1">
      <alignment horizontal="center" vertical="center"/>
    </xf>
    <xf numFmtId="0" fontId="19" fillId="10" borderId="0" xfId="0" applyFont="1" applyFill="1">
      <alignment vertical="center"/>
    </xf>
    <xf numFmtId="0" fontId="12" fillId="3" borderId="0" xfId="0" applyFont="1" applyFill="1" applyAlignment="1">
      <alignment horizontal="center" vertical="center"/>
    </xf>
    <xf numFmtId="0" fontId="6" fillId="0" borderId="0" xfId="0" applyFont="1" applyAlignment="1">
      <alignment horizontal="left" vertical="center"/>
    </xf>
    <xf numFmtId="0" fontId="19" fillId="13" borderId="0" xfId="0" applyFont="1" applyFill="1">
      <alignment vertical="center"/>
    </xf>
    <xf numFmtId="0" fontId="19" fillId="13" borderId="0" xfId="0" applyFont="1" applyFill="1" applyAlignment="1">
      <alignment horizontal="center" vertical="center"/>
    </xf>
    <xf numFmtId="0" fontId="22" fillId="13" borderId="0" xfId="0" applyFont="1" applyFill="1">
      <alignment vertical="center"/>
    </xf>
    <xf numFmtId="0" fontId="19" fillId="15" borderId="0" xfId="0" applyFont="1" applyFill="1">
      <alignment vertical="center"/>
    </xf>
    <xf numFmtId="0" fontId="19" fillId="15" borderId="0" xfId="0" applyFont="1" applyFill="1" applyAlignment="1">
      <alignment horizontal="center" vertical="center"/>
    </xf>
    <xf numFmtId="0" fontId="2" fillId="16" borderId="0" xfId="0" applyFont="1" applyFill="1">
      <alignment vertical="center"/>
    </xf>
    <xf numFmtId="0" fontId="20" fillId="3" borderId="0" xfId="0" applyFont="1" applyFill="1" applyAlignment="1">
      <alignment horizontal="center" vertical="center"/>
    </xf>
    <xf numFmtId="166" fontId="16" fillId="3" borderId="0" xfId="0" applyNumberFormat="1" applyFont="1" applyFill="1" applyAlignment="1">
      <alignment horizontal="center" vertical="center"/>
    </xf>
    <xf numFmtId="0" fontId="28" fillId="3" borderId="0" xfId="2" applyFont="1" applyFill="1">
      <alignment vertical="center"/>
    </xf>
    <xf numFmtId="0" fontId="28" fillId="0" borderId="0" xfId="2" applyFont="1">
      <alignment vertical="center"/>
    </xf>
    <xf numFmtId="0" fontId="19" fillId="17" borderId="0" xfId="0" applyFont="1" applyFill="1">
      <alignment vertical="center"/>
    </xf>
    <xf numFmtId="0" fontId="19" fillId="18" borderId="0" xfId="0" applyFont="1" applyFill="1">
      <alignment vertical="center"/>
    </xf>
    <xf numFmtId="0" fontId="19" fillId="18" borderId="0" xfId="0" applyFont="1" applyFill="1" applyAlignment="1">
      <alignment horizontal="center" vertical="center"/>
    </xf>
    <xf numFmtId="0" fontId="33" fillId="0" borderId="0" xfId="0" applyFont="1">
      <alignment vertical="center"/>
    </xf>
    <xf numFmtId="0" fontId="34" fillId="0" borderId="0" xfId="0" applyFont="1">
      <alignment vertical="center"/>
    </xf>
    <xf numFmtId="0" fontId="34" fillId="0" borderId="0" xfId="0" applyFont="1" applyAlignment="1">
      <alignment horizontal="left" vertical="center"/>
    </xf>
    <xf numFmtId="0" fontId="14" fillId="3" borderId="3" xfId="0" applyFont="1" applyFill="1" applyBorder="1">
      <alignment vertical="center"/>
    </xf>
    <xf numFmtId="0" fontId="31" fillId="0" borderId="0" xfId="0" applyFont="1">
      <alignment vertical="center"/>
    </xf>
    <xf numFmtId="165" fontId="2" fillId="0" borderId="0" xfId="1" applyNumberFormat="1" applyFont="1" applyFill="1" applyAlignment="1">
      <alignment horizontal="left" vertical="center"/>
    </xf>
    <xf numFmtId="0" fontId="2" fillId="11" borderId="0" xfId="0" applyFont="1" applyFill="1" applyAlignment="1">
      <alignment horizontal="center" vertical="center"/>
    </xf>
    <xf numFmtId="0" fontId="0" fillId="0" borderId="0" xfId="0" applyAlignment="1">
      <alignment horizontal="left" vertical="center"/>
    </xf>
    <xf numFmtId="0" fontId="14" fillId="3" borderId="0" xfId="2" applyFont="1" applyFill="1" applyAlignment="1">
      <alignment horizontal="left" vertical="center"/>
    </xf>
    <xf numFmtId="0" fontId="20" fillId="0" borderId="0" xfId="0" applyFont="1">
      <alignment vertical="center"/>
    </xf>
    <xf numFmtId="0" fontId="2" fillId="3" borderId="11" xfId="0" applyFont="1" applyFill="1" applyBorder="1" applyAlignment="1">
      <alignment horizontal="center" vertical="center"/>
    </xf>
    <xf numFmtId="0" fontId="19" fillId="0" borderId="0" xfId="0" applyFont="1">
      <alignment vertical="center"/>
    </xf>
    <xf numFmtId="0" fontId="19" fillId="7" borderId="0" xfId="0" applyFont="1" applyFill="1" applyAlignment="1">
      <alignment horizontal="center" vertical="center"/>
    </xf>
    <xf numFmtId="0" fontId="36" fillId="3" borderId="0" xfId="0" applyFont="1" applyFill="1" applyAlignment="1">
      <alignment horizontal="center" vertical="center"/>
    </xf>
    <xf numFmtId="0" fontId="2" fillId="22" borderId="0" xfId="0" applyFont="1" applyFill="1" applyAlignment="1">
      <alignment horizontal="center" vertical="center"/>
    </xf>
    <xf numFmtId="0" fontId="2" fillId="23" borderId="0" xfId="0" applyFont="1" applyFill="1" applyAlignment="1">
      <alignment horizontal="center" vertical="center"/>
    </xf>
    <xf numFmtId="0" fontId="2" fillId="24" borderId="0" xfId="0" applyFont="1" applyFill="1" applyAlignment="1">
      <alignment horizontal="center" vertical="center"/>
    </xf>
    <xf numFmtId="0" fontId="37" fillId="7" borderId="0" xfId="0" applyFont="1" applyFill="1">
      <alignment vertical="center"/>
    </xf>
    <xf numFmtId="0" fontId="19" fillId="9" borderId="0" xfId="0" applyFont="1" applyFill="1" applyAlignment="1">
      <alignment horizontal="center" vertical="center"/>
    </xf>
    <xf numFmtId="0" fontId="2" fillId="25" borderId="0" xfId="0" applyFont="1" applyFill="1" applyAlignment="1">
      <alignment horizontal="center" vertical="center"/>
    </xf>
    <xf numFmtId="0" fontId="2" fillId="4" borderId="0" xfId="0" applyFont="1" applyFill="1" applyAlignment="1">
      <alignment horizontal="center" vertical="center"/>
    </xf>
    <xf numFmtId="0" fontId="20" fillId="8" borderId="0" xfId="0" applyFont="1" applyFill="1" applyAlignment="1">
      <alignment horizontal="center" vertical="center"/>
    </xf>
    <xf numFmtId="0" fontId="31" fillId="0" borderId="0" xfId="0" applyFont="1" applyAlignment="1">
      <alignment horizontal="center" vertical="center"/>
    </xf>
    <xf numFmtId="0" fontId="19" fillId="6" borderId="0" xfId="0" applyFont="1" applyFill="1" applyAlignment="1">
      <alignment horizontal="center" vertical="center"/>
    </xf>
    <xf numFmtId="0" fontId="19" fillId="10" borderId="0" xfId="0" applyFont="1" applyFill="1" applyAlignment="1">
      <alignment horizontal="center" vertical="center"/>
    </xf>
    <xf numFmtId="0" fontId="34" fillId="0" borderId="0" xfId="0" applyFont="1" applyAlignment="1">
      <alignment horizontal="center" vertical="center"/>
    </xf>
    <xf numFmtId="0" fontId="19" fillId="17" borderId="0" xfId="0" applyFont="1" applyFill="1" applyAlignment="1">
      <alignment horizontal="center" vertical="center"/>
    </xf>
    <xf numFmtId="0" fontId="2" fillId="26" borderId="0" xfId="0" applyFont="1" applyFill="1" applyAlignment="1">
      <alignment horizontal="center" vertical="center"/>
    </xf>
    <xf numFmtId="0" fontId="22" fillId="13" borderId="0" xfId="0" applyFont="1" applyFill="1" applyAlignment="1">
      <alignment horizontal="center" vertical="center"/>
    </xf>
    <xf numFmtId="0" fontId="2" fillId="21" borderId="0" xfId="0" applyFont="1" applyFill="1" applyAlignment="1">
      <alignment horizontal="center" vertical="center"/>
    </xf>
    <xf numFmtId="0" fontId="7" fillId="3" borderId="0" xfId="0" applyFont="1" applyFill="1" applyAlignment="1">
      <alignment horizontal="center" vertical="center"/>
    </xf>
    <xf numFmtId="0" fontId="6" fillId="3" borderId="0" xfId="0" applyFont="1" applyFill="1" applyAlignment="1">
      <alignment horizontal="right" vertical="center"/>
    </xf>
    <xf numFmtId="0" fontId="6" fillId="3" borderId="0" xfId="0" applyFont="1" applyFill="1" applyAlignment="1">
      <alignment horizontal="left" vertical="center"/>
    </xf>
    <xf numFmtId="0" fontId="12" fillId="3" borderId="0" xfId="0" applyFont="1" applyFill="1" applyAlignment="1">
      <alignment horizontal="left" vertical="center"/>
    </xf>
    <xf numFmtId="0" fontId="40" fillId="3" borderId="0" xfId="0" applyFont="1" applyFill="1" applyAlignment="1">
      <alignment horizontal="center" vertical="center"/>
    </xf>
    <xf numFmtId="0" fontId="14" fillId="3" borderId="3" xfId="0" applyFont="1" applyFill="1" applyBorder="1" applyAlignment="1">
      <alignment horizontal="center" vertical="center"/>
    </xf>
    <xf numFmtId="0" fontId="4" fillId="0" borderId="0" xfId="0" applyFont="1">
      <alignment vertical="center"/>
    </xf>
    <xf numFmtId="0" fontId="4" fillId="0" borderId="0" xfId="0" applyFont="1" applyAlignment="1">
      <alignment horizontal="center" vertical="center"/>
    </xf>
    <xf numFmtId="0" fontId="14" fillId="3" borderId="0" xfId="2" applyFont="1" applyFill="1" applyAlignment="1">
      <alignment horizontal="right" vertical="center"/>
    </xf>
    <xf numFmtId="0" fontId="12" fillId="3" borderId="0" xfId="0" applyFont="1" applyFill="1" applyAlignment="1">
      <alignment horizontal="right" vertical="center"/>
    </xf>
    <xf numFmtId="0" fontId="20" fillId="3" borderId="0" xfId="2" applyFont="1" applyFill="1" applyAlignment="1">
      <alignment horizontal="right" vertical="center"/>
    </xf>
    <xf numFmtId="0" fontId="14" fillId="0" borderId="0" xfId="0" applyFont="1" applyAlignment="1">
      <alignment horizontal="center" vertical="center"/>
    </xf>
    <xf numFmtId="0" fontId="14" fillId="0" borderId="0" xfId="3" applyFont="1" applyFill="1" applyAlignment="1">
      <alignment horizontal="center" vertical="center"/>
    </xf>
    <xf numFmtId="0" fontId="20" fillId="0" borderId="0" xfId="0" applyFont="1" applyAlignment="1">
      <alignment horizontal="center" vertical="center"/>
    </xf>
    <xf numFmtId="0" fontId="14" fillId="0" borderId="0" xfId="0" applyFont="1">
      <alignment vertical="center"/>
    </xf>
    <xf numFmtId="164" fontId="14" fillId="0" borderId="0" xfId="0" applyNumberFormat="1" applyFont="1" applyAlignment="1">
      <alignment horizontal="right" vertical="center"/>
    </xf>
    <xf numFmtId="0" fontId="42" fillId="0" borderId="0" xfId="0" applyFont="1">
      <alignment vertical="center"/>
    </xf>
    <xf numFmtId="0" fontId="2" fillId="27" borderId="0" xfId="0" applyFont="1" applyFill="1" applyAlignment="1">
      <alignment horizontal="center" vertical="center"/>
    </xf>
    <xf numFmtId="0" fontId="12" fillId="27" borderId="0" xfId="0" applyFont="1" applyFill="1" applyAlignment="1">
      <alignment horizontal="left" vertical="center"/>
    </xf>
    <xf numFmtId="0" fontId="2" fillId="2" borderId="0" xfId="0" applyFont="1" applyFill="1" applyAlignment="1">
      <alignment horizontal="left" vertical="center"/>
    </xf>
    <xf numFmtId="0" fontId="12" fillId="27" borderId="0" xfId="0" applyFont="1" applyFill="1" applyAlignment="1">
      <alignment horizontal="center" vertical="center"/>
    </xf>
    <xf numFmtId="0" fontId="2" fillId="2" borderId="0" xfId="0" applyFont="1" applyFill="1" applyAlignment="1">
      <alignment horizontal="center" vertical="center"/>
    </xf>
    <xf numFmtId="0" fontId="2" fillId="14" borderId="0" xfId="0" applyFont="1" applyFill="1" applyAlignment="1">
      <alignment horizontal="left" vertical="center"/>
    </xf>
    <xf numFmtId="0" fontId="2" fillId="14" borderId="0" xfId="0" applyFont="1" applyFill="1" applyAlignment="1">
      <alignment horizontal="center" vertical="center"/>
    </xf>
    <xf numFmtId="0" fontId="19" fillId="28" borderId="0" xfId="0" applyFont="1" applyFill="1" applyAlignment="1">
      <alignment horizontal="center" vertical="center"/>
    </xf>
    <xf numFmtId="0" fontId="19" fillId="28" borderId="0" xfId="0" applyFont="1" applyFill="1" applyAlignment="1">
      <alignment horizontal="left" vertical="center"/>
    </xf>
    <xf numFmtId="0" fontId="19" fillId="6" borderId="0" xfId="0" applyFont="1" applyFill="1" applyAlignment="1">
      <alignment horizontal="left" vertical="center"/>
    </xf>
    <xf numFmtId="0" fontId="43" fillId="3" borderId="0" xfId="0" applyFont="1" applyFill="1">
      <alignment vertical="center"/>
    </xf>
    <xf numFmtId="0" fontId="41" fillId="3" borderId="0" xfId="0" applyFont="1" applyFill="1" applyAlignment="1">
      <alignment horizontal="center" vertical="center"/>
    </xf>
    <xf numFmtId="9" fontId="2" fillId="3" borderId="0" xfId="1" applyFont="1" applyFill="1" applyAlignment="1">
      <alignment horizontal="center" vertical="center"/>
    </xf>
    <xf numFmtId="0" fontId="2" fillId="6" borderId="0" xfId="0" applyFont="1" applyFill="1" applyAlignment="1">
      <alignment horizontal="center" vertical="center"/>
    </xf>
    <xf numFmtId="166" fontId="6" fillId="0" borderId="0" xfId="0" applyNumberFormat="1" applyFont="1" applyAlignment="1">
      <alignment horizontal="right" vertical="center"/>
    </xf>
    <xf numFmtId="0" fontId="6" fillId="29" borderId="0" xfId="0" applyFont="1" applyFill="1">
      <alignment vertical="center"/>
    </xf>
    <xf numFmtId="0" fontId="6" fillId="29" borderId="0" xfId="0" applyFont="1" applyFill="1" applyAlignment="1">
      <alignment horizontal="center" vertical="center"/>
    </xf>
    <xf numFmtId="169" fontId="2" fillId="3" borderId="0" xfId="0" applyNumberFormat="1" applyFont="1" applyFill="1" applyAlignment="1">
      <alignment horizontal="center" vertical="center"/>
    </xf>
    <xf numFmtId="169" fontId="19" fillId="6" borderId="0" xfId="0" applyNumberFormat="1" applyFont="1" applyFill="1" applyAlignment="1">
      <alignment horizontal="center" vertical="center"/>
    </xf>
    <xf numFmtId="0" fontId="2" fillId="14" borderId="0" xfId="0" applyFont="1" applyFill="1">
      <alignment vertical="center"/>
    </xf>
    <xf numFmtId="0" fontId="2" fillId="14" borderId="2" xfId="0" applyFont="1" applyFill="1" applyBorder="1">
      <alignment vertical="center"/>
    </xf>
    <xf numFmtId="0" fontId="2" fillId="0" borderId="2" xfId="0" applyFont="1" applyBorder="1">
      <alignment vertical="center"/>
    </xf>
    <xf numFmtId="0" fontId="12" fillId="19" borderId="2" xfId="0" applyFont="1" applyFill="1" applyBorder="1" applyAlignment="1">
      <alignment horizontal="left" vertical="center"/>
    </xf>
    <xf numFmtId="0" fontId="2" fillId="0" borderId="0" xfId="0" applyFont="1" applyAlignment="1">
      <alignment horizontal="right" vertical="center"/>
    </xf>
    <xf numFmtId="0" fontId="2" fillId="0" borderId="2" xfId="0" applyFont="1" applyBorder="1" applyAlignment="1">
      <alignment horizontal="right" vertical="center"/>
    </xf>
    <xf numFmtId="0" fontId="46" fillId="0" borderId="0" xfId="0" applyFont="1" applyAlignment="1">
      <alignment horizontal="center" vertical="center"/>
    </xf>
    <xf numFmtId="0" fontId="12" fillId="14" borderId="0" xfId="0" applyFont="1" applyFill="1" applyAlignment="1">
      <alignment horizontal="left" vertical="center"/>
    </xf>
    <xf numFmtId="0" fontId="12" fillId="14" borderId="2" xfId="0" applyFont="1" applyFill="1" applyBorder="1">
      <alignment vertical="center"/>
    </xf>
    <xf numFmtId="0" fontId="12" fillId="14" borderId="0" xfId="0" applyFont="1" applyFill="1">
      <alignment vertical="center"/>
    </xf>
    <xf numFmtId="0" fontId="2" fillId="22" borderId="0" xfId="0" applyFont="1" applyFill="1" applyAlignment="1">
      <alignment horizontal="left" vertical="center"/>
    </xf>
    <xf numFmtId="0" fontId="40" fillId="0" borderId="0" xfId="0" applyFont="1">
      <alignment vertical="center"/>
    </xf>
    <xf numFmtId="0" fontId="2" fillId="14" borderId="2" xfId="0" applyFont="1" applyFill="1" applyBorder="1" applyAlignment="1">
      <alignment horizontal="right" vertical="center"/>
    </xf>
    <xf numFmtId="0" fontId="2" fillId="19" borderId="2" xfId="0" applyFont="1" applyFill="1" applyBorder="1">
      <alignment vertical="center"/>
    </xf>
    <xf numFmtId="0" fontId="12" fillId="19" borderId="2" xfId="0" applyFont="1" applyFill="1" applyBorder="1">
      <alignment vertical="center"/>
    </xf>
    <xf numFmtId="0" fontId="2" fillId="0" borderId="2" xfId="0" applyFont="1" applyBorder="1" applyAlignment="1">
      <alignment horizontal="left" vertical="center"/>
    </xf>
    <xf numFmtId="0" fontId="12" fillId="0" borderId="2" xfId="0" applyFont="1" applyBorder="1">
      <alignment vertical="center"/>
    </xf>
    <xf numFmtId="0" fontId="2" fillId="0" borderId="2" xfId="0" applyFont="1" applyBorder="1" applyAlignment="1">
      <alignment horizontal="center" vertical="center"/>
    </xf>
    <xf numFmtId="0" fontId="12" fillId="0" borderId="2" xfId="0" applyFont="1" applyBorder="1" applyAlignment="1">
      <alignment horizontal="left" vertical="center"/>
    </xf>
    <xf numFmtId="0" fontId="2" fillId="3" borderId="2" xfId="0" applyFont="1" applyFill="1" applyBorder="1" applyAlignment="1">
      <alignment horizontal="center" vertical="center"/>
    </xf>
    <xf numFmtId="0" fontId="2" fillId="0" borderId="2" xfId="0" applyFont="1" applyBorder="1" applyAlignment="1">
      <alignment horizontal="center"/>
    </xf>
    <xf numFmtId="0" fontId="2" fillId="0" borderId="6" xfId="0" applyFont="1" applyBorder="1">
      <alignment vertical="center"/>
    </xf>
    <xf numFmtId="0" fontId="2" fillId="0" borderId="9" xfId="0" applyFont="1" applyBorder="1" applyAlignment="1">
      <alignment horizontal="left" vertical="center"/>
    </xf>
    <xf numFmtId="0" fontId="47" fillId="0" borderId="2" xfId="0" applyFont="1" applyBorder="1">
      <alignment vertical="center"/>
    </xf>
    <xf numFmtId="0" fontId="47" fillId="0" borderId="2" xfId="0" applyFont="1" applyBorder="1" applyAlignment="1">
      <alignment horizontal="center" vertical="center"/>
    </xf>
    <xf numFmtId="0" fontId="14" fillId="0" borderId="2" xfId="0" applyFont="1" applyBorder="1">
      <alignment vertical="center"/>
    </xf>
    <xf numFmtId="0" fontId="40" fillId="0" borderId="2" xfId="0" applyFont="1" applyBorder="1">
      <alignment vertical="center"/>
    </xf>
    <xf numFmtId="0" fontId="48" fillId="0" borderId="2" xfId="0" applyFont="1" applyBorder="1">
      <alignment vertical="center"/>
    </xf>
    <xf numFmtId="0" fontId="33" fillId="0" borderId="2" xfId="0" applyFont="1" applyBorder="1">
      <alignment vertical="center"/>
    </xf>
    <xf numFmtId="0" fontId="33" fillId="0" borderId="2" xfId="0" applyFont="1" applyBorder="1" applyAlignment="1">
      <alignment horizontal="left" vertical="center"/>
    </xf>
    <xf numFmtId="0" fontId="2" fillId="0" borderId="7" xfId="0" applyFont="1" applyBorder="1">
      <alignment vertical="center"/>
    </xf>
    <xf numFmtId="0" fontId="2" fillId="0" borderId="7" xfId="0" applyFont="1" applyBorder="1" applyAlignment="1">
      <alignment horizontal="left" vertical="center"/>
    </xf>
    <xf numFmtId="0" fontId="33" fillId="0" borderId="4" xfId="0" applyFont="1" applyBorder="1" applyAlignment="1">
      <alignment horizontal="left" vertical="center"/>
    </xf>
    <xf numFmtId="0" fontId="48" fillId="0" borderId="0" xfId="0" applyFont="1">
      <alignment vertical="center"/>
    </xf>
    <xf numFmtId="0" fontId="33" fillId="0" borderId="6" xfId="0" applyFont="1" applyBorder="1" applyAlignment="1">
      <alignment horizontal="left" vertical="center"/>
    </xf>
    <xf numFmtId="0" fontId="33" fillId="0" borderId="2" xfId="0" applyFont="1" applyBorder="1" applyAlignment="1">
      <alignment horizontal="center"/>
    </xf>
    <xf numFmtId="0" fontId="2" fillId="0" borderId="2" xfId="0" applyFont="1" applyBorder="1" applyAlignment="1">
      <alignment horizontal="right"/>
    </xf>
    <xf numFmtId="0" fontId="20" fillId="0" borderId="2" xfId="0" applyFont="1" applyBorder="1">
      <alignment vertical="center"/>
    </xf>
    <xf numFmtId="165" fontId="2" fillId="3" borderId="0" xfId="1" applyNumberFormat="1" applyFont="1" applyFill="1" applyBorder="1" applyAlignment="1">
      <alignment horizontal="left" vertical="center"/>
    </xf>
    <xf numFmtId="0" fontId="6" fillId="0" borderId="12" xfId="0" applyFont="1" applyBorder="1">
      <alignment vertical="center"/>
    </xf>
    <xf numFmtId="0" fontId="6" fillId="0" borderId="13" xfId="0" applyFont="1" applyBorder="1">
      <alignment vertical="center"/>
    </xf>
    <xf numFmtId="0" fontId="2" fillId="0" borderId="9" xfId="0" applyFont="1" applyBorder="1">
      <alignment vertical="center"/>
    </xf>
    <xf numFmtId="0" fontId="33" fillId="0" borderId="6" xfId="0" applyFont="1" applyBorder="1">
      <alignment vertical="center"/>
    </xf>
    <xf numFmtId="0" fontId="51" fillId="0" borderId="0" xfId="2" applyFont="1">
      <alignment vertical="center"/>
    </xf>
    <xf numFmtId="0" fontId="2" fillId="14" borderId="2" xfId="0" applyFont="1" applyFill="1" applyBorder="1" applyAlignment="1">
      <alignment horizontal="left" vertical="center"/>
    </xf>
    <xf numFmtId="0" fontId="12" fillId="0" borderId="0" xfId="0" applyFont="1" applyAlignment="1">
      <alignment horizontal="left" vertical="center"/>
    </xf>
    <xf numFmtId="0" fontId="49" fillId="14" borderId="2" xfId="0" applyFont="1" applyFill="1" applyBorder="1">
      <alignment vertical="center"/>
    </xf>
    <xf numFmtId="0" fontId="2" fillId="0" borderId="14" xfId="0" applyFont="1" applyBorder="1" applyAlignment="1">
      <alignment horizontal="center" vertical="center"/>
    </xf>
    <xf numFmtId="0" fontId="2" fillId="0" borderId="15" xfId="0" applyFont="1" applyBorder="1" applyAlignment="1">
      <alignment horizontal="center" vertical="center"/>
    </xf>
    <xf numFmtId="0" fontId="2" fillId="0" borderId="16" xfId="0" applyFont="1" applyBorder="1" applyAlignment="1">
      <alignment horizontal="center" vertical="center"/>
    </xf>
    <xf numFmtId="0" fontId="2" fillId="0" borderId="17" xfId="0" applyFont="1" applyBorder="1" applyAlignment="1">
      <alignment horizontal="center" vertical="center"/>
    </xf>
    <xf numFmtId="166" fontId="6" fillId="0" borderId="0" xfId="0" applyNumberFormat="1" applyFont="1" applyAlignment="1">
      <alignment horizontal="left" vertical="center"/>
    </xf>
    <xf numFmtId="0" fontId="49" fillId="14" borderId="0" xfId="0" applyFont="1" applyFill="1" applyAlignment="1">
      <alignment horizontal="left" vertical="center"/>
    </xf>
    <xf numFmtId="0" fontId="49" fillId="14" borderId="2" xfId="0" applyFont="1" applyFill="1" applyBorder="1" applyAlignment="1">
      <alignment horizontal="right" vertical="center"/>
    </xf>
    <xf numFmtId="0" fontId="52" fillId="3" borderId="0" xfId="0" applyFont="1" applyFill="1">
      <alignment vertical="center"/>
    </xf>
    <xf numFmtId="0" fontId="2" fillId="0" borderId="18" xfId="0" applyFont="1" applyBorder="1" applyAlignment="1">
      <alignment horizontal="center" vertical="center"/>
    </xf>
    <xf numFmtId="0" fontId="2" fillId="0" borderId="19" xfId="0" applyFont="1" applyBorder="1" applyAlignment="1">
      <alignment horizontal="center" vertical="center"/>
    </xf>
    <xf numFmtId="164" fontId="2" fillId="3" borderId="14" xfId="0" applyNumberFormat="1" applyFont="1" applyFill="1" applyBorder="1" applyAlignment="1">
      <alignment horizontal="right" vertical="center"/>
    </xf>
    <xf numFmtId="165" fontId="2" fillId="3" borderId="14" xfId="1" applyNumberFormat="1" applyFont="1" applyFill="1" applyBorder="1" applyAlignment="1">
      <alignment horizontal="left" vertical="center"/>
    </xf>
    <xf numFmtId="0" fontId="53" fillId="0" borderId="0" xfId="0" applyFont="1">
      <alignment vertical="center"/>
    </xf>
    <xf numFmtId="0" fontId="52" fillId="0" borderId="0" xfId="0" applyFont="1">
      <alignment vertical="center"/>
    </xf>
    <xf numFmtId="0" fontId="54" fillId="0" borderId="0" xfId="0" applyFont="1">
      <alignment vertical="center"/>
    </xf>
    <xf numFmtId="0" fontId="40" fillId="0" borderId="2" xfId="0" applyFont="1" applyBorder="1" applyAlignment="1">
      <alignment horizontal="left" vertical="center"/>
    </xf>
    <xf numFmtId="164" fontId="2" fillId="3" borderId="15" xfId="0" applyNumberFormat="1" applyFont="1" applyFill="1" applyBorder="1" applyAlignment="1">
      <alignment horizontal="right" vertical="center"/>
    </xf>
    <xf numFmtId="165" fontId="2" fillId="3" borderId="15" xfId="1" applyNumberFormat="1" applyFont="1" applyFill="1" applyBorder="1" applyAlignment="1">
      <alignment horizontal="left" vertical="center"/>
    </xf>
    <xf numFmtId="0" fontId="2" fillId="3" borderId="20" xfId="0" applyFont="1" applyFill="1" applyBorder="1" applyAlignment="1">
      <alignment horizontal="center" vertical="center"/>
    </xf>
    <xf numFmtId="0" fontId="2" fillId="3" borderId="21" xfId="0" applyFont="1" applyFill="1" applyBorder="1" applyAlignment="1">
      <alignment horizontal="center" vertical="center"/>
    </xf>
    <xf numFmtId="0" fontId="2" fillId="3" borderId="22" xfId="0" applyFont="1" applyFill="1" applyBorder="1" applyAlignment="1">
      <alignment horizontal="center" vertical="center"/>
    </xf>
    <xf numFmtId="164" fontId="2" fillId="3" borderId="20" xfId="0" applyNumberFormat="1" applyFont="1" applyFill="1" applyBorder="1" applyAlignment="1">
      <alignment horizontal="right" vertical="center"/>
    </xf>
    <xf numFmtId="165" fontId="2" fillId="3" borderId="20" xfId="1" applyNumberFormat="1" applyFont="1" applyFill="1" applyBorder="1" applyAlignment="1">
      <alignment horizontal="left" vertical="center"/>
    </xf>
    <xf numFmtId="0" fontId="19" fillId="12" borderId="0" xfId="0" applyFont="1" applyFill="1" applyAlignment="1">
      <alignment horizontal="center" vertical="center"/>
    </xf>
    <xf numFmtId="0" fontId="19" fillId="12" borderId="0" xfId="0" applyFont="1" applyFill="1">
      <alignment vertical="center"/>
    </xf>
    <xf numFmtId="0" fontId="19" fillId="12" borderId="0" xfId="0" applyFont="1" applyFill="1" applyAlignment="1">
      <alignment horizontal="left" vertical="center"/>
    </xf>
    <xf numFmtId="165" fontId="2" fillId="3" borderId="20" xfId="1" applyNumberFormat="1" applyFont="1" applyFill="1" applyBorder="1" applyAlignment="1" applyProtection="1">
      <alignment horizontal="left" vertical="center"/>
    </xf>
    <xf numFmtId="0" fontId="28" fillId="3" borderId="0" xfId="2" applyFont="1" applyFill="1" applyAlignment="1" applyProtection="1">
      <alignment horizontal="left" vertical="center"/>
    </xf>
    <xf numFmtId="0" fontId="44" fillId="3" borderId="0" xfId="0" applyFont="1" applyFill="1" applyAlignment="1">
      <alignment horizontal="center" vertical="center"/>
    </xf>
    <xf numFmtId="0" fontId="14" fillId="0" borderId="4" xfId="0" applyFont="1" applyBorder="1">
      <alignment vertical="center"/>
    </xf>
    <xf numFmtId="0" fontId="14" fillId="14" borderId="0" xfId="0" applyFont="1" applyFill="1" applyAlignment="1">
      <alignment horizontal="left" vertical="center"/>
    </xf>
    <xf numFmtId="0" fontId="14" fillId="14" borderId="2" xfId="0" applyFont="1" applyFill="1" applyBorder="1">
      <alignment vertical="center"/>
    </xf>
    <xf numFmtId="0" fontId="14" fillId="14" borderId="0" xfId="0" applyFont="1" applyFill="1">
      <alignment vertical="center"/>
    </xf>
    <xf numFmtId="0" fontId="14" fillId="0" borderId="0" xfId="0" applyFont="1" applyAlignment="1">
      <alignment vertical="center" wrapText="1"/>
    </xf>
    <xf numFmtId="0" fontId="14" fillId="14" borderId="2" xfId="0" applyFont="1" applyFill="1" applyBorder="1" applyAlignment="1">
      <alignment horizontal="left" vertical="center"/>
    </xf>
    <xf numFmtId="0" fontId="14" fillId="14" borderId="0" xfId="0" applyFont="1" applyFill="1" applyAlignment="1">
      <alignment horizontal="center" vertical="center"/>
    </xf>
    <xf numFmtId="0" fontId="57" fillId="14" borderId="2" xfId="0" applyFont="1" applyFill="1" applyBorder="1">
      <alignment vertical="center"/>
    </xf>
    <xf numFmtId="0" fontId="20" fillId="14" borderId="2" xfId="0" applyFont="1" applyFill="1" applyBorder="1">
      <alignment vertical="center"/>
    </xf>
    <xf numFmtId="17" fontId="2" fillId="0" borderId="0" xfId="0" applyNumberFormat="1" applyFont="1">
      <alignment vertical="center"/>
    </xf>
    <xf numFmtId="15" fontId="2" fillId="0" borderId="0" xfId="0" applyNumberFormat="1" applyFont="1">
      <alignment vertical="center"/>
    </xf>
    <xf numFmtId="0" fontId="59" fillId="0" borderId="0" xfId="0" applyFont="1">
      <alignment vertical="center"/>
    </xf>
    <xf numFmtId="0" fontId="12" fillId="30" borderId="0" xfId="0" applyFont="1" applyFill="1">
      <alignment vertical="center"/>
    </xf>
    <xf numFmtId="0" fontId="61" fillId="0" borderId="0" xfId="0" applyFont="1">
      <alignment vertical="center"/>
    </xf>
    <xf numFmtId="0" fontId="62" fillId="0" borderId="0" xfId="0" applyFont="1">
      <alignment vertical="center"/>
    </xf>
    <xf numFmtId="0" fontId="61" fillId="0" borderId="0" xfId="0" applyFont="1" applyAlignment="1">
      <alignment horizontal="right" vertical="center"/>
    </xf>
    <xf numFmtId="0" fontId="63" fillId="0" borderId="0" xfId="0" applyFont="1">
      <alignment vertical="center"/>
    </xf>
    <xf numFmtId="0" fontId="63" fillId="0" borderId="0" xfId="0" applyFont="1" applyAlignment="1"/>
    <xf numFmtId="0" fontId="1" fillId="0" borderId="0" xfId="0" applyFont="1">
      <alignment vertical="center"/>
    </xf>
    <xf numFmtId="0" fontId="63" fillId="0" borderId="0" xfId="0" applyFont="1" applyAlignment="1">
      <alignment horizontal="center"/>
    </xf>
    <xf numFmtId="0" fontId="65" fillId="14" borderId="0" xfId="0" applyFont="1" applyFill="1" applyAlignment="1">
      <alignment horizontal="center" vertical="center"/>
    </xf>
    <xf numFmtId="0" fontId="65" fillId="14" borderId="0" xfId="0" applyFont="1" applyFill="1">
      <alignment vertical="center"/>
    </xf>
    <xf numFmtId="0" fontId="48" fillId="30" borderId="0" xfId="0" applyFont="1" applyFill="1">
      <alignment vertical="center"/>
    </xf>
    <xf numFmtId="0" fontId="20" fillId="30" borderId="0" xfId="0" applyFont="1" applyFill="1">
      <alignment vertical="center"/>
    </xf>
    <xf numFmtId="0" fontId="67" fillId="0" borderId="0" xfId="0" applyFont="1">
      <alignment vertical="center"/>
    </xf>
    <xf numFmtId="0" fontId="14" fillId="0" borderId="0" xfId="0" applyFont="1" applyAlignment="1">
      <alignment horizontal="right" vertical="center"/>
    </xf>
    <xf numFmtId="0" fontId="68" fillId="0" borderId="0" xfId="0" applyFont="1">
      <alignment vertical="center"/>
    </xf>
    <xf numFmtId="0" fontId="69" fillId="0" borderId="0" xfId="0" applyFont="1">
      <alignment vertical="center"/>
    </xf>
    <xf numFmtId="0" fontId="50" fillId="0" borderId="0" xfId="0" applyFont="1">
      <alignment vertical="center"/>
    </xf>
    <xf numFmtId="0" fontId="39" fillId="0" borderId="0" xfId="0" applyFont="1">
      <alignment vertical="center"/>
    </xf>
    <xf numFmtId="0" fontId="7" fillId="31" borderId="0" xfId="0" applyFont="1" applyFill="1" applyAlignment="1">
      <alignment horizontal="left" vertical="center"/>
    </xf>
    <xf numFmtId="0" fontId="6" fillId="31" borderId="0" xfId="0" applyFont="1" applyFill="1" applyAlignment="1">
      <alignment horizontal="left" vertical="center"/>
    </xf>
    <xf numFmtId="168" fontId="6" fillId="31" borderId="0" xfId="0" applyNumberFormat="1" applyFont="1" applyFill="1" applyAlignment="1">
      <alignment horizontal="left" vertical="center"/>
    </xf>
    <xf numFmtId="0" fontId="6" fillId="31" borderId="0" xfId="0" applyFont="1" applyFill="1" applyAlignment="1">
      <alignment horizontal="center" vertical="center"/>
    </xf>
    <xf numFmtId="0" fontId="6" fillId="31" borderId="0" xfId="0" applyFont="1" applyFill="1">
      <alignment vertical="center"/>
    </xf>
    <xf numFmtId="168" fontId="6" fillId="0" borderId="0" xfId="0" applyNumberFormat="1" applyFont="1" applyAlignment="1">
      <alignment horizontal="left" vertical="center"/>
    </xf>
    <xf numFmtId="0" fontId="49" fillId="0" borderId="0" xfId="0" applyFont="1" applyAlignment="1">
      <alignment horizontal="left" vertical="center"/>
    </xf>
    <xf numFmtId="0" fontId="48" fillId="0" borderId="0" xfId="0" applyFont="1" applyAlignment="1">
      <alignment horizontal="left" vertical="center"/>
    </xf>
    <xf numFmtId="0" fontId="12" fillId="0" borderId="6" xfId="0" applyFont="1" applyBorder="1">
      <alignment vertical="center"/>
    </xf>
    <xf numFmtId="0" fontId="31" fillId="0" borderId="2" xfId="0" applyFont="1" applyBorder="1">
      <alignment vertical="center"/>
    </xf>
    <xf numFmtId="0" fontId="4" fillId="14" borderId="0" xfId="0" applyFont="1" applyFill="1" applyAlignment="1">
      <alignment horizontal="left" vertical="center"/>
    </xf>
    <xf numFmtId="0" fontId="4" fillId="14" borderId="0" xfId="0" applyFont="1" applyFill="1" applyAlignment="1">
      <alignment horizontal="center" vertical="center"/>
    </xf>
    <xf numFmtId="0" fontId="4" fillId="14" borderId="0" xfId="0" applyFont="1" applyFill="1">
      <alignment vertical="center"/>
    </xf>
    <xf numFmtId="0" fontId="27" fillId="14" borderId="2" xfId="0" applyFont="1" applyFill="1" applyBorder="1">
      <alignment vertical="center"/>
    </xf>
    <xf numFmtId="0" fontId="4" fillId="14" borderId="2" xfId="0" applyFont="1" applyFill="1" applyBorder="1">
      <alignment vertical="center"/>
    </xf>
    <xf numFmtId="0" fontId="4" fillId="14" borderId="2" xfId="0" applyFont="1" applyFill="1" applyBorder="1" applyAlignment="1">
      <alignment horizontal="center" vertical="center"/>
    </xf>
    <xf numFmtId="0" fontId="4" fillId="14" borderId="2" xfId="0" applyFont="1" applyFill="1" applyBorder="1" applyAlignment="1">
      <alignment horizontal="right" vertical="center"/>
    </xf>
    <xf numFmtId="0" fontId="4" fillId="0" borderId="2" xfId="0" applyFont="1" applyBorder="1">
      <alignment vertical="center"/>
    </xf>
    <xf numFmtId="0" fontId="74" fillId="14" borderId="2" xfId="0" applyFont="1" applyFill="1" applyBorder="1">
      <alignment vertical="center"/>
    </xf>
    <xf numFmtId="0" fontId="4" fillId="14" borderId="0" xfId="0" applyFont="1" applyFill="1" applyAlignment="1">
      <alignment horizontal="right" vertical="center"/>
    </xf>
    <xf numFmtId="0" fontId="27" fillId="14" borderId="0" xfId="0" applyFont="1" applyFill="1" applyAlignment="1">
      <alignment horizontal="left" vertical="center"/>
    </xf>
    <xf numFmtId="0" fontId="27" fillId="14" borderId="0" xfId="0" applyFont="1" applyFill="1">
      <alignment vertical="center"/>
    </xf>
    <xf numFmtId="0" fontId="49" fillId="14" borderId="0" xfId="0" applyFont="1" applyFill="1">
      <alignment vertical="center"/>
    </xf>
    <xf numFmtId="0" fontId="14" fillId="14" borderId="8" xfId="0" applyFont="1" applyFill="1" applyBorder="1">
      <alignment vertical="center"/>
    </xf>
    <xf numFmtId="0" fontId="14" fillId="14" borderId="5" xfId="0" applyFont="1" applyFill="1" applyBorder="1">
      <alignment vertical="center"/>
    </xf>
    <xf numFmtId="0" fontId="14" fillId="14" borderId="6" xfId="0" applyFont="1" applyFill="1" applyBorder="1">
      <alignment vertical="center"/>
    </xf>
    <xf numFmtId="0" fontId="75" fillId="2" borderId="1" xfId="0" applyFont="1" applyFill="1" applyBorder="1" applyAlignment="1">
      <alignment horizontal="left" vertical="center"/>
    </xf>
    <xf numFmtId="0" fontId="4" fillId="2" borderId="1" xfId="0" applyFont="1" applyFill="1" applyBorder="1" applyAlignment="1">
      <alignment horizontal="left" vertical="center"/>
    </xf>
    <xf numFmtId="0" fontId="20" fillId="0" borderId="4" xfId="0" applyFont="1" applyBorder="1">
      <alignment vertical="center"/>
    </xf>
    <xf numFmtId="0" fontId="14" fillId="0" borderId="4" xfId="0" applyFont="1" applyBorder="1" applyAlignment="1">
      <alignment horizontal="left" vertical="center"/>
    </xf>
    <xf numFmtId="0" fontId="39" fillId="0" borderId="2" xfId="0" applyFont="1" applyBorder="1">
      <alignment vertical="center"/>
    </xf>
    <xf numFmtId="0" fontId="35" fillId="0" borderId="2" xfId="0" applyFont="1" applyBorder="1">
      <alignment vertical="center"/>
    </xf>
    <xf numFmtId="0" fontId="31" fillId="0" borderId="2" xfId="0" applyFont="1" applyBorder="1" applyAlignment="1">
      <alignment horizontal="left" vertical="center"/>
    </xf>
    <xf numFmtId="0" fontId="76" fillId="3" borderId="0" xfId="0" applyFont="1" applyFill="1" applyAlignment="1">
      <alignment horizontal="center" vertical="center"/>
    </xf>
    <xf numFmtId="0" fontId="24" fillId="3" borderId="0" xfId="2" applyFill="1" applyAlignment="1" applyProtection="1">
      <alignment horizontal="left" vertical="center"/>
    </xf>
    <xf numFmtId="164" fontId="2" fillId="3" borderId="20" xfId="0" applyNumberFormat="1" applyFont="1" applyFill="1" applyBorder="1" applyAlignment="1">
      <alignment horizontal="center" vertical="center"/>
    </xf>
    <xf numFmtId="165" fontId="2" fillId="3" borderId="20" xfId="1" applyNumberFormat="1" applyFont="1" applyFill="1" applyBorder="1" applyAlignment="1" applyProtection="1">
      <alignment horizontal="center" vertical="center"/>
    </xf>
    <xf numFmtId="0" fontId="18" fillId="3" borderId="0" xfId="0" applyFont="1" applyFill="1" applyAlignment="1">
      <alignment horizontal="center" vertical="center"/>
    </xf>
    <xf numFmtId="0" fontId="16" fillId="3" borderId="0" xfId="0" applyFont="1" applyFill="1" applyAlignment="1">
      <alignment horizontal="center" vertical="center"/>
    </xf>
    <xf numFmtId="0" fontId="14" fillId="3" borderId="26" xfId="0" applyFont="1" applyFill="1" applyBorder="1">
      <alignment vertical="center"/>
    </xf>
    <xf numFmtId="0" fontId="14" fillId="3" borderId="27" xfId="0" applyFont="1" applyFill="1" applyBorder="1">
      <alignment vertical="center"/>
    </xf>
    <xf numFmtId="0" fontId="14" fillId="3" borderId="28" xfId="0" applyFont="1" applyFill="1" applyBorder="1">
      <alignment vertical="center"/>
    </xf>
    <xf numFmtId="0" fontId="2" fillId="3" borderId="29" xfId="0" applyFont="1" applyFill="1" applyBorder="1" applyAlignment="1">
      <alignment horizontal="center" vertical="center"/>
    </xf>
    <xf numFmtId="0" fontId="2" fillId="3" borderId="30" xfId="0" applyFont="1" applyFill="1" applyBorder="1" applyAlignment="1">
      <alignment horizontal="center" vertical="center"/>
    </xf>
    <xf numFmtId="0" fontId="2" fillId="3" borderId="31" xfId="0" applyFont="1" applyFill="1" applyBorder="1" applyAlignment="1">
      <alignment horizontal="center" vertical="center"/>
    </xf>
    <xf numFmtId="0" fontId="2" fillId="3" borderId="26" xfId="0" applyFont="1" applyFill="1" applyBorder="1">
      <alignment vertical="center"/>
    </xf>
    <xf numFmtId="0" fontId="2" fillId="3" borderId="27" xfId="0" applyFont="1" applyFill="1" applyBorder="1">
      <alignment vertical="center"/>
    </xf>
    <xf numFmtId="0" fontId="2" fillId="3" borderId="28" xfId="0" applyFont="1" applyFill="1" applyBorder="1">
      <alignment vertical="center"/>
    </xf>
    <xf numFmtId="164" fontId="2" fillId="3" borderId="14" xfId="0" applyNumberFormat="1" applyFont="1" applyFill="1" applyBorder="1" applyAlignment="1">
      <alignment horizontal="center" vertical="center"/>
    </xf>
    <xf numFmtId="165" fontId="2" fillId="3" borderId="14" xfId="1" applyNumberFormat="1" applyFont="1" applyFill="1" applyBorder="1" applyAlignment="1">
      <alignment horizontal="center" vertical="center"/>
    </xf>
    <xf numFmtId="0" fontId="24" fillId="0" borderId="0" xfId="2">
      <alignment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4" fillId="3" borderId="0" xfId="2" applyFill="1">
      <alignment vertical="center"/>
    </xf>
    <xf numFmtId="0" fontId="76" fillId="3" borderId="0" xfId="0" applyFont="1" applyFill="1">
      <alignment vertical="center"/>
    </xf>
    <xf numFmtId="0" fontId="2" fillId="3" borderId="35" xfId="0" applyFont="1" applyFill="1" applyBorder="1" applyAlignment="1">
      <alignment horizontal="center" vertical="center"/>
    </xf>
    <xf numFmtId="0" fontId="20" fillId="3" borderId="0" xfId="0" applyFont="1" applyFill="1">
      <alignment vertical="center"/>
    </xf>
    <xf numFmtId="0" fontId="12" fillId="3" borderId="0" xfId="0" applyFont="1" applyFill="1" applyProtection="1">
      <alignment vertical="center"/>
      <protection locked="0"/>
    </xf>
    <xf numFmtId="165" fontId="2" fillId="3" borderId="20" xfId="1" applyNumberFormat="1" applyFont="1" applyFill="1" applyBorder="1" applyAlignment="1">
      <alignment horizontal="center" vertical="center"/>
    </xf>
    <xf numFmtId="0" fontId="24" fillId="3" borderId="0" xfId="2" applyFill="1" applyBorder="1">
      <alignment vertical="center"/>
    </xf>
    <xf numFmtId="0" fontId="53" fillId="32" borderId="0" xfId="0" applyFont="1" applyFill="1" applyAlignment="1">
      <alignment horizontal="left" vertical="center"/>
    </xf>
    <xf numFmtId="0" fontId="82" fillId="3" borderId="0" xfId="0" applyFont="1" applyFill="1">
      <alignment vertical="center"/>
    </xf>
    <xf numFmtId="0" fontId="2" fillId="24" borderId="0" xfId="0" applyFont="1" applyFill="1" applyProtection="1">
      <alignment vertical="center"/>
      <protection hidden="1"/>
    </xf>
    <xf numFmtId="0" fontId="2" fillId="24" borderId="0" xfId="0" applyFont="1" applyFill="1" applyAlignment="1" applyProtection="1">
      <alignment horizontal="center" vertical="center"/>
      <protection hidden="1"/>
    </xf>
    <xf numFmtId="0" fontId="55" fillId="24" borderId="0" xfId="0" applyFont="1" applyFill="1" applyProtection="1">
      <alignment vertical="center"/>
      <protection hidden="1"/>
    </xf>
    <xf numFmtId="0" fontId="12" fillId="24" borderId="0" xfId="0" applyFont="1" applyFill="1" applyProtection="1">
      <alignment vertical="center"/>
      <protection hidden="1"/>
    </xf>
    <xf numFmtId="0" fontId="2" fillId="24" borderId="0" xfId="0" applyFont="1" applyFill="1" applyAlignment="1" applyProtection="1">
      <alignment horizontal="left" vertical="center"/>
      <protection hidden="1"/>
    </xf>
    <xf numFmtId="0" fontId="2" fillId="24" borderId="23" xfId="0" applyFont="1" applyFill="1" applyBorder="1" applyAlignment="1" applyProtection="1">
      <alignment horizontal="center" vertical="center"/>
      <protection hidden="1"/>
    </xf>
    <xf numFmtId="0" fontId="2" fillId="24" borderId="24" xfId="0" applyFont="1" applyFill="1" applyBorder="1" applyAlignment="1" applyProtection="1">
      <alignment horizontal="center" vertical="center"/>
      <protection hidden="1"/>
    </xf>
    <xf numFmtId="0" fontId="2" fillId="24" borderId="25" xfId="0" applyFont="1" applyFill="1" applyBorder="1" applyAlignment="1" applyProtection="1">
      <alignment horizontal="center" vertical="center"/>
      <protection hidden="1"/>
    </xf>
    <xf numFmtId="0" fontId="12" fillId="24" borderId="0" xfId="0" applyFont="1" applyFill="1" applyAlignment="1" applyProtection="1">
      <alignment horizontal="left" vertical="center"/>
      <protection hidden="1"/>
    </xf>
    <xf numFmtId="0" fontId="12" fillId="24" borderId="0" xfId="0" applyFont="1" applyFill="1" applyAlignment="1" applyProtection="1">
      <alignment horizontal="center" vertical="center"/>
      <protection hidden="1"/>
    </xf>
    <xf numFmtId="0" fontId="49" fillId="24" borderId="0" xfId="0" applyFont="1" applyFill="1" applyAlignment="1" applyProtection="1">
      <alignment horizontal="right" vertical="center"/>
      <protection hidden="1"/>
    </xf>
    <xf numFmtId="0" fontId="49" fillId="24" borderId="0" xfId="0" applyFont="1" applyFill="1" applyAlignment="1" applyProtection="1">
      <alignment horizontal="center" vertical="center"/>
      <protection hidden="1"/>
    </xf>
    <xf numFmtId="0" fontId="66" fillId="24" borderId="0" xfId="0" applyFont="1" applyFill="1" applyProtection="1">
      <alignment vertical="center"/>
      <protection hidden="1"/>
    </xf>
    <xf numFmtId="0" fontId="66" fillId="24" borderId="0" xfId="0" applyFont="1" applyFill="1" applyAlignment="1" applyProtection="1">
      <alignment horizontal="center" vertical="center"/>
      <protection hidden="1"/>
    </xf>
    <xf numFmtId="170" fontId="2" fillId="24" borderId="0" xfId="1" applyNumberFormat="1" applyFont="1" applyFill="1" applyAlignment="1" applyProtection="1">
      <alignment horizontal="center" vertical="center"/>
      <protection hidden="1"/>
    </xf>
    <xf numFmtId="0" fontId="45" fillId="24" borderId="0" xfId="0" applyFont="1" applyFill="1" applyAlignment="1" applyProtection="1">
      <alignment horizontal="center" vertical="center"/>
      <protection hidden="1"/>
    </xf>
    <xf numFmtId="0" fontId="2" fillId="0" borderId="0" xfId="0" applyFont="1" applyAlignment="1" applyProtection="1">
      <alignment horizontal="center" vertical="center"/>
      <protection hidden="1"/>
    </xf>
    <xf numFmtId="0" fontId="83" fillId="24" borderId="0" xfId="0" applyFont="1" applyFill="1" applyAlignment="1" applyProtection="1">
      <alignment horizontal="center" vertical="center"/>
      <protection hidden="1"/>
    </xf>
    <xf numFmtId="0" fontId="2" fillId="33" borderId="0" xfId="0" applyFont="1" applyFill="1" applyProtection="1">
      <alignment vertical="center"/>
      <protection hidden="1"/>
    </xf>
    <xf numFmtId="0" fontId="12" fillId="33" borderId="0" xfId="0" applyFont="1" applyFill="1" applyProtection="1">
      <alignment vertical="center"/>
      <protection hidden="1"/>
    </xf>
    <xf numFmtId="0" fontId="12" fillId="33" borderId="0" xfId="0" applyFont="1" applyFill="1" applyAlignment="1" applyProtection="1">
      <alignment horizontal="left" vertical="center"/>
      <protection hidden="1"/>
    </xf>
    <xf numFmtId="0" fontId="2" fillId="33" borderId="0" xfId="0" applyFont="1" applyFill="1" applyAlignment="1" applyProtection="1">
      <alignment horizontal="center" vertical="center"/>
      <protection hidden="1"/>
    </xf>
    <xf numFmtId="0" fontId="49" fillId="33" borderId="0" xfId="0" applyFont="1" applyFill="1" applyAlignment="1" applyProtection="1">
      <alignment horizontal="right" vertical="center"/>
      <protection hidden="1"/>
    </xf>
    <xf numFmtId="0" fontId="49" fillId="33" borderId="0" xfId="0" applyFont="1" applyFill="1" applyAlignment="1" applyProtection="1">
      <alignment horizontal="center" vertical="center"/>
      <protection hidden="1"/>
    </xf>
    <xf numFmtId="0" fontId="40" fillId="24" borderId="36" xfId="0" applyFont="1" applyFill="1" applyBorder="1" applyProtection="1">
      <alignment vertical="center"/>
      <protection locked="0"/>
    </xf>
    <xf numFmtId="0" fontId="85" fillId="24" borderId="0" xfId="0" applyFont="1" applyFill="1" applyProtection="1">
      <alignment vertical="center"/>
      <protection hidden="1"/>
    </xf>
    <xf numFmtId="0" fontId="6" fillId="34" borderId="0" xfId="0" applyFont="1" applyFill="1">
      <alignment vertical="center"/>
    </xf>
    <xf numFmtId="0" fontId="6" fillId="34" borderId="0" xfId="0" applyFont="1" applyFill="1" applyAlignment="1">
      <alignment horizontal="center" vertical="center"/>
    </xf>
    <xf numFmtId="0" fontId="26" fillId="34" borderId="0" xfId="0" applyFont="1" applyFill="1" applyAlignment="1">
      <alignment horizontal="left" vertical="top"/>
    </xf>
    <xf numFmtId="0" fontId="6" fillId="34" borderId="0" xfId="0" applyFont="1" applyFill="1" applyAlignment="1">
      <alignment horizontal="left" vertical="center"/>
    </xf>
    <xf numFmtId="0" fontId="89" fillId="34" borderId="0" xfId="0" applyFont="1" applyFill="1" applyAlignment="1">
      <alignment horizontal="center" vertical="center"/>
    </xf>
    <xf numFmtId="49" fontId="7" fillId="34" borderId="0" xfId="0" applyNumberFormat="1" applyFont="1" applyFill="1" applyAlignment="1">
      <alignment horizontal="right" vertical="center"/>
    </xf>
    <xf numFmtId="0" fontId="7" fillId="34" borderId="0" xfId="0" applyFont="1" applyFill="1">
      <alignment vertical="center"/>
    </xf>
    <xf numFmtId="0" fontId="4" fillId="34" borderId="0" xfId="0" applyFont="1" applyFill="1" applyAlignment="1">
      <alignment horizontal="right" vertical="center"/>
    </xf>
    <xf numFmtId="0" fontId="12" fillId="34" borderId="0" xfId="0" applyFont="1" applyFill="1" applyAlignment="1">
      <alignment horizontal="center" vertical="center"/>
    </xf>
    <xf numFmtId="0" fontId="12" fillId="34" borderId="0" xfId="0" applyFont="1" applyFill="1">
      <alignment vertical="center"/>
    </xf>
    <xf numFmtId="0" fontId="4" fillId="34" borderId="0" xfId="0" applyFont="1" applyFill="1">
      <alignment vertical="center"/>
    </xf>
    <xf numFmtId="0" fontId="41" fillId="34" borderId="0" xfId="0" applyFont="1" applyFill="1" applyAlignment="1">
      <alignment horizontal="center" vertical="center"/>
    </xf>
    <xf numFmtId="0" fontId="25" fillId="34" borderId="0" xfId="0" applyFont="1" applyFill="1">
      <alignment vertical="center"/>
    </xf>
    <xf numFmtId="1" fontId="6" fillId="34" borderId="0" xfId="0" applyNumberFormat="1" applyFont="1" applyFill="1" applyAlignment="1">
      <alignment horizontal="center" vertical="center"/>
    </xf>
    <xf numFmtId="0" fontId="86" fillId="34" borderId="0" xfId="0" applyFont="1" applyFill="1" applyAlignment="1" applyProtection="1">
      <alignment horizontal="center" vertical="top"/>
      <protection locked="0"/>
    </xf>
    <xf numFmtId="0" fontId="6" fillId="34" borderId="0" xfId="0" applyFont="1" applyFill="1" applyAlignment="1" applyProtection="1">
      <alignment horizontal="left" vertical="top"/>
      <protection locked="0"/>
    </xf>
    <xf numFmtId="0" fontId="38" fillId="34" borderId="0" xfId="0" applyFont="1" applyFill="1">
      <alignment vertical="center"/>
    </xf>
    <xf numFmtId="0" fontId="23" fillId="34" borderId="0" xfId="0" applyFont="1" applyFill="1">
      <alignment vertical="center"/>
    </xf>
    <xf numFmtId="0" fontId="7" fillId="34" borderId="0" xfId="0" applyFont="1" applyFill="1" applyAlignment="1">
      <alignment horizontal="center" vertical="center"/>
    </xf>
    <xf numFmtId="0" fontId="6" fillId="34" borderId="0" xfId="0" applyFont="1" applyFill="1" applyAlignment="1">
      <alignment horizontal="left" vertical="top"/>
    </xf>
    <xf numFmtId="0" fontId="12" fillId="34" borderId="0" xfId="0" applyFont="1" applyFill="1" applyAlignment="1">
      <alignment horizontal="left" vertical="center"/>
    </xf>
    <xf numFmtId="0" fontId="86" fillId="34" borderId="0" xfId="0" applyFont="1" applyFill="1" applyProtection="1">
      <alignment vertical="center"/>
      <protection locked="0"/>
    </xf>
    <xf numFmtId="0" fontId="7" fillId="34" borderId="0" xfId="0" applyFont="1" applyFill="1" applyAlignment="1">
      <alignment horizontal="right" vertical="center"/>
    </xf>
    <xf numFmtId="0" fontId="90" fillId="34" borderId="1" xfId="0" applyFont="1" applyFill="1" applyBorder="1" applyProtection="1">
      <alignment vertical="center"/>
      <protection locked="0"/>
    </xf>
    <xf numFmtId="0" fontId="2" fillId="34" borderId="0" xfId="0" applyFont="1" applyFill="1" applyAlignment="1">
      <alignment horizontal="left" vertical="center"/>
    </xf>
    <xf numFmtId="0" fontId="2" fillId="34" borderId="10" xfId="0" applyFont="1" applyFill="1" applyBorder="1" applyAlignment="1">
      <alignment horizontal="left" vertical="center"/>
    </xf>
    <xf numFmtId="0" fontId="2" fillId="34" borderId="0" xfId="0" applyFont="1" applyFill="1" applyAlignment="1">
      <alignment horizontal="center" vertical="center"/>
    </xf>
    <xf numFmtId="166" fontId="16" fillId="34" borderId="0" xfId="0" applyNumberFormat="1" applyFont="1" applyFill="1" applyAlignment="1">
      <alignment horizontal="center" vertical="center"/>
    </xf>
    <xf numFmtId="166" fontId="2" fillId="34" borderId="0" xfId="0" applyNumberFormat="1" applyFont="1" applyFill="1" applyAlignment="1">
      <alignment horizontal="center" vertical="center"/>
    </xf>
    <xf numFmtId="0" fontId="2" fillId="34" borderId="0" xfId="0" applyFont="1" applyFill="1">
      <alignment vertical="center"/>
    </xf>
    <xf numFmtId="167" fontId="12" fillId="34" borderId="0" xfId="0" applyNumberFormat="1" applyFont="1" applyFill="1" applyAlignment="1">
      <alignment horizontal="center" vertical="center"/>
    </xf>
    <xf numFmtId="0" fontId="86" fillId="34" borderId="0" xfId="0" applyFont="1" applyFill="1" applyAlignment="1" applyProtection="1">
      <alignment horizontal="center" vertical="center"/>
      <protection locked="0"/>
    </xf>
    <xf numFmtId="0" fontId="21" fillId="34" borderId="0" xfId="0" applyFont="1" applyFill="1" applyAlignment="1">
      <alignment horizontal="left" vertical="center"/>
    </xf>
    <xf numFmtId="0" fontId="41" fillId="34" borderId="0" xfId="0" applyFont="1" applyFill="1">
      <alignment vertical="center"/>
    </xf>
    <xf numFmtId="0" fontId="17" fillId="34" borderId="0" xfId="0" applyFont="1" applyFill="1" applyAlignment="1">
      <alignment horizontal="left" vertical="center"/>
    </xf>
    <xf numFmtId="0" fontId="30" fillId="34" borderId="0" xfId="0" applyFont="1" applyFill="1">
      <alignment vertical="center"/>
    </xf>
    <xf numFmtId="0" fontId="23" fillId="34" borderId="0" xfId="0" applyFont="1" applyFill="1" applyAlignment="1">
      <alignment horizontal="left" vertical="center"/>
    </xf>
    <xf numFmtId="0" fontId="6" fillId="34" borderId="0" xfId="0" applyFont="1" applyFill="1" applyAlignment="1">
      <alignment horizontal="center" vertical="top"/>
    </xf>
    <xf numFmtId="0" fontId="36" fillId="34" borderId="0" xfId="0" applyFont="1" applyFill="1">
      <alignment vertical="center"/>
    </xf>
    <xf numFmtId="0" fontId="2" fillId="34" borderId="0" xfId="0" applyFont="1" applyFill="1" applyAlignment="1">
      <alignment vertical="top" wrapText="1"/>
    </xf>
    <xf numFmtId="0" fontId="92" fillId="34" borderId="0" xfId="0" applyFont="1" applyFill="1">
      <alignment vertical="center"/>
    </xf>
    <xf numFmtId="0" fontId="92" fillId="34" borderId="0" xfId="0" applyFont="1" applyFill="1" applyAlignment="1">
      <alignment horizontal="left" vertical="center"/>
    </xf>
    <xf numFmtId="0" fontId="94" fillId="34" borderId="0" xfId="0" applyFont="1" applyFill="1">
      <alignment vertical="center"/>
    </xf>
    <xf numFmtId="166" fontId="95" fillId="34" borderId="0" xfId="0" applyNumberFormat="1" applyFont="1" applyFill="1" applyAlignment="1">
      <alignment horizontal="center" vertical="center"/>
    </xf>
    <xf numFmtId="0" fontId="56" fillId="34" borderId="0" xfId="0" applyFont="1" applyFill="1" applyAlignment="1">
      <alignment horizontal="center" vertical="center"/>
    </xf>
    <xf numFmtId="0" fontId="60" fillId="0" borderId="0" xfId="0" applyFont="1" applyAlignment="1">
      <alignment horizontal="left" vertical="center"/>
    </xf>
    <xf numFmtId="0" fontId="60" fillId="0" borderId="0" xfId="0" applyFont="1">
      <alignment vertical="center"/>
    </xf>
    <xf numFmtId="0" fontId="96" fillId="0" borderId="0" xfId="0" applyFont="1">
      <alignment vertical="center"/>
    </xf>
    <xf numFmtId="0" fontId="97" fillId="0" borderId="0" xfId="0" applyFont="1">
      <alignment vertical="center"/>
    </xf>
    <xf numFmtId="0" fontId="96" fillId="22" borderId="0" xfId="0" applyFont="1" applyFill="1" applyAlignment="1">
      <alignment horizontal="center" vertical="center"/>
    </xf>
    <xf numFmtId="0" fontId="96" fillId="35" borderId="0" xfId="0" applyFont="1" applyFill="1" applyAlignment="1">
      <alignment horizontal="left" vertical="center"/>
    </xf>
    <xf numFmtId="0" fontId="96" fillId="35" borderId="0" xfId="0" applyFont="1" applyFill="1" applyAlignment="1">
      <alignment horizontal="center" vertical="center"/>
    </xf>
    <xf numFmtId="0" fontId="98" fillId="0" borderId="0" xfId="0" applyFont="1">
      <alignment vertical="center"/>
    </xf>
    <xf numFmtId="0" fontId="99" fillId="0" borderId="0" xfId="0" applyFont="1">
      <alignment vertical="center"/>
    </xf>
    <xf numFmtId="0" fontId="100" fillId="0" borderId="0" xfId="0" applyFont="1">
      <alignment vertical="center"/>
    </xf>
    <xf numFmtId="0" fontId="100" fillId="0" borderId="0" xfId="0" applyFont="1" applyAlignment="1">
      <alignment vertical="center" wrapText="1"/>
    </xf>
    <xf numFmtId="0" fontId="101" fillId="0" borderId="0" xfId="0" applyFont="1">
      <alignment vertical="center"/>
    </xf>
    <xf numFmtId="0" fontId="102" fillId="0" borderId="0" xfId="0" applyFont="1" applyAlignment="1">
      <alignment horizontal="center" vertical="center"/>
    </xf>
    <xf numFmtId="0" fontId="103" fillId="34" borderId="0" xfId="0" applyFont="1" applyFill="1">
      <alignment vertical="center"/>
    </xf>
    <xf numFmtId="0" fontId="2" fillId="34" borderId="0" xfId="0" applyFont="1" applyFill="1" applyAlignment="1">
      <alignment horizontal="center" vertical="top" wrapText="1"/>
    </xf>
    <xf numFmtId="0" fontId="28" fillId="34" borderId="0" xfId="2" applyFont="1" applyFill="1" applyBorder="1" applyAlignment="1" applyProtection="1">
      <alignment vertical="center"/>
      <protection locked="0"/>
    </xf>
    <xf numFmtId="0" fontId="106" fillId="0" borderId="0" xfId="0" applyFont="1">
      <alignment vertical="center"/>
    </xf>
    <xf numFmtId="0" fontId="107" fillId="0" borderId="0" xfId="0" applyFont="1">
      <alignment vertical="center"/>
    </xf>
    <xf numFmtId="0" fontId="108" fillId="0" borderId="0" xfId="0" applyFont="1">
      <alignment vertical="center"/>
    </xf>
    <xf numFmtId="0" fontId="109" fillId="0" borderId="0" xfId="0" applyFont="1">
      <alignment vertical="center"/>
    </xf>
    <xf numFmtId="0" fontId="110" fillId="0" borderId="0" xfId="0" applyFont="1">
      <alignment vertical="center"/>
    </xf>
    <xf numFmtId="0" fontId="111" fillId="0" borderId="0" xfId="0" applyFont="1">
      <alignment vertical="center"/>
    </xf>
    <xf numFmtId="0" fontId="112" fillId="0" borderId="0" xfId="0" applyFont="1">
      <alignment vertical="center"/>
    </xf>
    <xf numFmtId="0" fontId="27" fillId="34" borderId="0" xfId="0" applyFont="1" applyFill="1" applyAlignment="1">
      <alignment horizontal="left" vertical="center"/>
    </xf>
    <xf numFmtId="0" fontId="2" fillId="3" borderId="0" xfId="0" applyFont="1" applyFill="1" applyAlignment="1" applyProtection="1">
      <alignment horizontal="left" vertical="center"/>
      <protection hidden="1"/>
    </xf>
    <xf numFmtId="17" fontId="106" fillId="0" borderId="0" xfId="0" applyNumberFormat="1" applyFont="1">
      <alignment vertical="center"/>
    </xf>
    <xf numFmtId="0" fontId="113" fillId="0" borderId="0" xfId="0" applyFont="1">
      <alignment vertical="center"/>
    </xf>
    <xf numFmtId="17" fontId="109" fillId="0" borderId="0" xfId="0" applyNumberFormat="1" applyFont="1">
      <alignment vertical="center"/>
    </xf>
    <xf numFmtId="0" fontId="114" fillId="0" borderId="0" xfId="0" applyFont="1">
      <alignment vertical="center"/>
    </xf>
    <xf numFmtId="0" fontId="115" fillId="0" borderId="0" xfId="0" applyFont="1">
      <alignment vertical="center"/>
    </xf>
    <xf numFmtId="0" fontId="116" fillId="3" borderId="0" xfId="0" applyFont="1" applyFill="1" applyAlignment="1">
      <alignment horizontal="left" vertical="center"/>
    </xf>
    <xf numFmtId="0" fontId="4" fillId="34" borderId="0" xfId="0" applyFont="1" applyFill="1" applyAlignment="1">
      <alignment vertical="top"/>
    </xf>
    <xf numFmtId="0" fontId="117" fillId="34" borderId="0" xfId="0" applyFont="1" applyFill="1" applyAlignment="1">
      <alignment vertical="top" wrapText="1"/>
    </xf>
    <xf numFmtId="0" fontId="118" fillId="0" borderId="0" xfId="0" applyFont="1">
      <alignment vertical="center"/>
    </xf>
    <xf numFmtId="0" fontId="119" fillId="0" borderId="0" xfId="0" applyFont="1">
      <alignment vertical="center"/>
    </xf>
    <xf numFmtId="0" fontId="4" fillId="3" borderId="0" xfId="0" applyFont="1" applyFill="1" applyAlignment="1">
      <alignment horizontal="center" vertical="center"/>
    </xf>
    <xf numFmtId="0" fontId="96" fillId="19" borderId="2" xfId="0" applyFont="1" applyFill="1" applyBorder="1">
      <alignment vertical="center"/>
    </xf>
    <xf numFmtId="0" fontId="115" fillId="0" borderId="0" xfId="0" applyFont="1" applyAlignment="1">
      <alignment horizontal="center" vertical="center"/>
    </xf>
    <xf numFmtId="0" fontId="99" fillId="0" borderId="0" xfId="0" applyFont="1" applyAlignment="1">
      <alignment horizontal="center" vertical="center"/>
    </xf>
    <xf numFmtId="0" fontId="118" fillId="0" borderId="0" xfId="0" applyFont="1" applyAlignment="1">
      <alignment horizontal="center" vertical="center"/>
    </xf>
    <xf numFmtId="0" fontId="119" fillId="0" borderId="0" xfId="0" applyFont="1" applyAlignment="1">
      <alignment horizontal="center" vertical="center"/>
    </xf>
    <xf numFmtId="0" fontId="96" fillId="0" borderId="2" xfId="0" applyFont="1" applyBorder="1">
      <alignment vertical="center"/>
    </xf>
    <xf numFmtId="0" fontId="121" fillId="0" borderId="0" xfId="0" applyFont="1">
      <alignment vertical="center"/>
    </xf>
    <xf numFmtId="0" fontId="122" fillId="0" borderId="0" xfId="0" applyFont="1">
      <alignment vertical="center"/>
    </xf>
    <xf numFmtId="0" fontId="123" fillId="0" borderId="0" xfId="0" applyFont="1">
      <alignment vertical="center"/>
    </xf>
    <xf numFmtId="0" fontId="124" fillId="0" borderId="0" xfId="0" applyFont="1">
      <alignment vertical="center"/>
    </xf>
    <xf numFmtId="0" fontId="102" fillId="0" borderId="0" xfId="0" applyFont="1">
      <alignment vertical="center"/>
    </xf>
    <xf numFmtId="0" fontId="122" fillId="0" borderId="0" xfId="0" applyFont="1" applyAlignment="1">
      <alignment vertical="center" wrapText="1"/>
    </xf>
    <xf numFmtId="0" fontId="125" fillId="0" borderId="0" xfId="0" applyFont="1">
      <alignment vertical="center"/>
    </xf>
    <xf numFmtId="0" fontId="126" fillId="0" borderId="0" xfId="0" applyFont="1">
      <alignment vertical="center"/>
    </xf>
    <xf numFmtId="0" fontId="127" fillId="0" borderId="0" xfId="0" applyFont="1">
      <alignment vertical="center"/>
    </xf>
    <xf numFmtId="0" fontId="124" fillId="0" borderId="0" xfId="0" applyFont="1" applyAlignment="1">
      <alignment horizontal="center" vertical="center"/>
    </xf>
    <xf numFmtId="0" fontId="96" fillId="0" borderId="7" xfId="0" applyFont="1" applyBorder="1">
      <alignment vertical="center"/>
    </xf>
    <xf numFmtId="0" fontId="128" fillId="0" borderId="0" xfId="0" applyFont="1">
      <alignment vertical="center"/>
    </xf>
    <xf numFmtId="0" fontId="129" fillId="0" borderId="0" xfId="0" applyFont="1">
      <alignment vertical="center"/>
    </xf>
    <xf numFmtId="0" fontId="130" fillId="0" borderId="0" xfId="0" applyFont="1">
      <alignment vertical="center"/>
    </xf>
    <xf numFmtId="0" fontId="131" fillId="0" borderId="0" xfId="0" applyFont="1">
      <alignment vertical="center"/>
    </xf>
    <xf numFmtId="0" fontId="132" fillId="0" borderId="0" xfId="0" applyFont="1">
      <alignment vertical="center"/>
    </xf>
    <xf numFmtId="0" fontId="133" fillId="0" borderId="0" xfId="0" applyFont="1">
      <alignment vertical="center"/>
    </xf>
    <xf numFmtId="0" fontId="102" fillId="0" borderId="2" xfId="0" applyFont="1" applyBorder="1">
      <alignment vertical="center"/>
    </xf>
    <xf numFmtId="0" fontId="124" fillId="0" borderId="2" xfId="0" applyFont="1" applyBorder="1">
      <alignment vertical="center"/>
    </xf>
    <xf numFmtId="0" fontId="97" fillId="0" borderId="4" xfId="0" applyFont="1" applyBorder="1">
      <alignment vertical="center"/>
    </xf>
    <xf numFmtId="0" fontId="124" fillId="3" borderId="0" xfId="0" applyFont="1" applyFill="1" applyAlignment="1">
      <alignment horizontal="center" vertical="center"/>
    </xf>
    <xf numFmtId="0" fontId="102" fillId="3" borderId="0" xfId="0" applyFont="1" applyFill="1" applyAlignment="1">
      <alignment horizontal="center" vertical="center"/>
    </xf>
    <xf numFmtId="0" fontId="96" fillId="3" borderId="0" xfId="0" applyFont="1" applyFill="1" applyAlignment="1">
      <alignment horizontal="center" vertical="center"/>
    </xf>
    <xf numFmtId="0" fontId="115" fillId="3" borderId="0" xfId="0" applyFont="1" applyFill="1" applyAlignment="1">
      <alignment horizontal="center" vertical="center"/>
    </xf>
    <xf numFmtId="0" fontId="1" fillId="0" borderId="0" xfId="0" applyFont="1" applyAlignment="1"/>
    <xf numFmtId="0" fontId="1" fillId="0" borderId="0" xfId="0" applyFont="1" applyAlignment="1">
      <alignment horizontal="center" vertical="center"/>
    </xf>
    <xf numFmtId="171" fontId="2" fillId="0" borderId="2" xfId="0" applyNumberFormat="1" applyFont="1" applyBorder="1" applyAlignment="1">
      <alignment horizontal="left" vertical="center"/>
    </xf>
    <xf numFmtId="0" fontId="96" fillId="30" borderId="0" xfId="0" applyFont="1" applyFill="1">
      <alignment vertical="center"/>
    </xf>
    <xf numFmtId="0" fontId="134" fillId="0" borderId="0" xfId="0" applyFont="1">
      <alignment vertical="center"/>
    </xf>
    <xf numFmtId="0" fontId="135" fillId="0" borderId="0" xfId="0" applyFont="1">
      <alignment vertical="center"/>
    </xf>
    <xf numFmtId="0" fontId="136" fillId="0" borderId="0" xfId="0" applyFont="1">
      <alignment vertical="center"/>
    </xf>
    <xf numFmtId="0" fontId="137" fillId="0" borderId="0" xfId="0" applyFont="1">
      <alignment vertical="center"/>
    </xf>
    <xf numFmtId="0" fontId="138" fillId="0" borderId="0" xfId="0" applyFont="1">
      <alignment vertical="center"/>
    </xf>
    <xf numFmtId="171" fontId="14" fillId="0" borderId="2" xfId="0" applyNumberFormat="1" applyFont="1" applyBorder="1">
      <alignment vertical="center"/>
    </xf>
    <xf numFmtId="0" fontId="99" fillId="0" borderId="2" xfId="0" applyFont="1" applyBorder="1">
      <alignment vertical="center"/>
    </xf>
    <xf numFmtId="0" fontId="99" fillId="14" borderId="2" xfId="0" applyFont="1" applyFill="1" applyBorder="1">
      <alignment vertical="center"/>
    </xf>
    <xf numFmtId="0" fontId="98" fillId="0" borderId="0" xfId="0" quotePrefix="1" applyFont="1" applyAlignment="1">
      <alignment vertical="center" wrapText="1"/>
    </xf>
    <xf numFmtId="0" fontId="98" fillId="0" borderId="0" xfId="0" quotePrefix="1" applyFont="1">
      <alignment vertical="center"/>
    </xf>
    <xf numFmtId="0" fontId="105" fillId="2" borderId="0" xfId="0" applyFont="1" applyFill="1" applyAlignment="1">
      <alignment horizontal="center" vertical="top" wrapText="1"/>
    </xf>
    <xf numFmtId="0" fontId="141" fillId="0" borderId="0" xfId="0" applyFont="1">
      <alignment vertical="center"/>
    </xf>
    <xf numFmtId="0" fontId="101" fillId="0" borderId="0" xfId="0" applyFont="1" applyAlignment="1">
      <alignment vertical="center" wrapText="1"/>
    </xf>
    <xf numFmtId="0" fontId="126" fillId="0" borderId="0" xfId="0" quotePrefix="1" applyFont="1">
      <alignment vertical="center"/>
    </xf>
    <xf numFmtId="0" fontId="126" fillId="0" borderId="0" xfId="0" applyFont="1" applyAlignment="1">
      <alignment vertical="center" wrapText="1"/>
    </xf>
    <xf numFmtId="0" fontId="125" fillId="0" borderId="0" xfId="0" applyFont="1" applyAlignment="1">
      <alignment vertical="center" wrapText="1"/>
    </xf>
    <xf numFmtId="0" fontId="115" fillId="14" borderId="0" xfId="0" applyFont="1" applyFill="1">
      <alignment vertical="center"/>
    </xf>
    <xf numFmtId="0" fontId="115" fillId="14" borderId="2" xfId="0" applyFont="1" applyFill="1" applyBorder="1">
      <alignment vertical="center"/>
    </xf>
    <xf numFmtId="0" fontId="142" fillId="14" borderId="0" xfId="0" applyFont="1" applyFill="1" applyAlignment="1">
      <alignment horizontal="left" vertical="center"/>
    </xf>
    <xf numFmtId="0" fontId="99" fillId="0" borderId="8" xfId="0" applyFont="1" applyBorder="1">
      <alignment vertical="center"/>
    </xf>
    <xf numFmtId="0" fontId="99" fillId="0" borderId="0" xfId="0" applyFont="1" applyAlignment="1">
      <alignment horizontal="left" vertical="center"/>
    </xf>
    <xf numFmtId="0" fontId="99" fillId="0" borderId="5" xfId="0" applyFont="1" applyBorder="1">
      <alignment vertical="center"/>
    </xf>
    <xf numFmtId="0" fontId="99" fillId="14" borderId="0" xfId="0" applyFont="1" applyFill="1">
      <alignment vertical="center"/>
    </xf>
    <xf numFmtId="0" fontId="99" fillId="14" borderId="0" xfId="0" applyFont="1" applyFill="1" applyAlignment="1">
      <alignment horizontal="left" vertical="center"/>
    </xf>
    <xf numFmtId="0" fontId="99" fillId="14" borderId="0" xfId="0" applyFont="1" applyFill="1" applyAlignment="1">
      <alignment horizontal="center" vertical="center"/>
    </xf>
    <xf numFmtId="0" fontId="143" fillId="14" borderId="0" xfId="0" applyFont="1" applyFill="1" applyAlignment="1">
      <alignment horizontal="left" vertical="center"/>
    </xf>
    <xf numFmtId="0" fontId="99" fillId="14" borderId="2" xfId="0" applyFont="1" applyFill="1" applyBorder="1" applyAlignment="1">
      <alignment horizontal="left" vertical="center"/>
    </xf>
    <xf numFmtId="9" fontId="99" fillId="0" borderId="2" xfId="0" applyNumberFormat="1" applyFont="1" applyBorder="1">
      <alignment vertical="center"/>
    </xf>
    <xf numFmtId="0" fontId="122" fillId="0" borderId="5" xfId="0" applyFont="1" applyBorder="1">
      <alignment vertical="center"/>
    </xf>
    <xf numFmtId="0" fontId="47" fillId="0" borderId="0" xfId="0" applyFont="1" applyAlignment="1">
      <alignment horizontal="center" vertical="center"/>
    </xf>
    <xf numFmtId="0" fontId="33" fillId="0" borderId="0" xfId="0" applyFont="1" applyAlignment="1">
      <alignment horizontal="left" vertical="center"/>
    </xf>
    <xf numFmtId="0" fontId="14" fillId="0" borderId="0" xfId="0" applyFont="1" applyAlignment="1">
      <alignment horizontal="left" vertical="center"/>
    </xf>
    <xf numFmtId="0" fontId="115" fillId="0" borderId="6" xfId="0" applyFont="1" applyBorder="1" applyAlignment="1">
      <alignment horizontal="left" vertical="center"/>
    </xf>
    <xf numFmtId="0" fontId="115" fillId="0" borderId="0" xfId="0" applyFont="1" applyAlignment="1">
      <alignment horizontal="left" vertical="center"/>
    </xf>
    <xf numFmtId="0" fontId="117" fillId="0" borderId="0" xfId="0" applyFont="1" applyAlignment="1">
      <alignment horizontal="left" vertical="center"/>
    </xf>
    <xf numFmtId="0" fontId="144" fillId="0" borderId="0" xfId="0" applyFont="1" applyAlignment="1">
      <alignment horizontal="left" vertical="center"/>
    </xf>
    <xf numFmtId="0" fontId="97" fillId="0" borderId="2" xfId="0" applyFont="1" applyBorder="1">
      <alignment vertical="center"/>
    </xf>
    <xf numFmtId="0" fontId="146" fillId="0" borderId="0" xfId="0" applyFont="1">
      <alignment vertical="center"/>
    </xf>
    <xf numFmtId="0" fontId="134" fillId="0" borderId="0" xfId="0" applyFont="1" applyAlignment="1">
      <alignment horizontal="right" vertical="center"/>
    </xf>
    <xf numFmtId="0" fontId="147" fillId="0" borderId="0" xfId="0" applyFont="1">
      <alignment vertical="center"/>
    </xf>
    <xf numFmtId="0" fontId="33" fillId="0" borderId="0" xfId="0" applyFont="1" applyAlignment="1">
      <alignment horizontal="center" vertical="center"/>
    </xf>
    <xf numFmtId="0" fontId="96" fillId="0" borderId="0" xfId="0" applyFont="1" applyAlignment="1">
      <alignment horizontal="center" vertical="center"/>
    </xf>
    <xf numFmtId="0" fontId="2" fillId="24" borderId="0" xfId="0" applyFont="1" applyFill="1" applyAlignment="1" applyProtection="1">
      <alignment horizontal="left"/>
      <protection hidden="1"/>
    </xf>
    <xf numFmtId="0" fontId="96" fillId="24" borderId="0" xfId="0" applyFont="1" applyFill="1" applyAlignment="1" applyProtection="1">
      <alignment horizontal="left" vertical="center"/>
      <protection hidden="1"/>
    </xf>
    <xf numFmtId="0" fontId="89" fillId="24" borderId="0" xfId="0" applyFont="1" applyFill="1" applyAlignment="1" applyProtection="1">
      <alignment horizontal="left" vertical="center"/>
      <protection hidden="1"/>
    </xf>
    <xf numFmtId="0" fontId="100" fillId="0" borderId="2" xfId="0" applyFont="1" applyBorder="1">
      <alignment vertical="center"/>
    </xf>
    <xf numFmtId="0" fontId="148" fillId="3" borderId="0" xfId="0" applyFont="1" applyFill="1" applyAlignment="1">
      <alignment horizontal="center" vertical="center"/>
    </xf>
    <xf numFmtId="0" fontId="96" fillId="3" borderId="0" xfId="0" applyFont="1" applyFill="1">
      <alignment vertical="center"/>
    </xf>
    <xf numFmtId="0" fontId="24" fillId="34" borderId="0" xfId="2" applyFill="1">
      <alignment vertical="center"/>
    </xf>
    <xf numFmtId="0" fontId="87" fillId="3" borderId="1" xfId="0" applyFont="1" applyFill="1" applyBorder="1" applyProtection="1">
      <alignment vertical="center"/>
      <protection locked="0"/>
    </xf>
    <xf numFmtId="0" fontId="88" fillId="3" borderId="1" xfId="0" applyFont="1" applyFill="1" applyBorder="1" applyProtection="1">
      <alignment vertical="center"/>
      <protection locked="0"/>
    </xf>
    <xf numFmtId="0" fontId="0" fillId="34" borderId="0" xfId="0" applyFill="1">
      <alignment vertical="center"/>
    </xf>
    <xf numFmtId="0" fontId="0" fillId="29" borderId="0" xfId="0" applyFill="1">
      <alignment vertical="center"/>
    </xf>
    <xf numFmtId="0" fontId="89" fillId="34" borderId="0" xfId="0" applyFont="1" applyFill="1">
      <alignment vertical="center"/>
    </xf>
    <xf numFmtId="0" fontId="27" fillId="34" borderId="0" xfId="0" applyFont="1" applyFill="1">
      <alignment vertical="center"/>
    </xf>
    <xf numFmtId="0" fontId="117" fillId="34" borderId="0" xfId="0" applyFont="1" applyFill="1" applyAlignment="1">
      <alignment horizontal="left" vertical="top" wrapText="1"/>
    </xf>
    <xf numFmtId="0" fontId="117" fillId="34" borderId="0" xfId="0" applyFont="1" applyFill="1" applyAlignment="1">
      <alignment horizontal="left" vertical="center" wrapText="1"/>
    </xf>
    <xf numFmtId="0" fontId="149" fillId="34" borderId="0" xfId="0" applyFont="1" applyFill="1" applyAlignment="1">
      <alignment horizontal="center" vertical="center" wrapText="1"/>
    </xf>
    <xf numFmtId="0" fontId="91" fillId="34" borderId="0" xfId="0" applyFont="1" applyFill="1" applyAlignment="1">
      <alignment horizontal="left" vertical="center"/>
    </xf>
    <xf numFmtId="0" fontId="120" fillId="34" borderId="0" xfId="0" applyFont="1" applyFill="1" applyAlignment="1">
      <alignment horizontal="left" vertical="center"/>
    </xf>
    <xf numFmtId="0" fontId="26" fillId="34" borderId="0" xfId="0" applyFont="1" applyFill="1" applyAlignment="1">
      <alignment horizontal="left" vertical="top"/>
    </xf>
    <xf numFmtId="0" fontId="4" fillId="34" borderId="0" xfId="0" applyFont="1" applyFill="1" applyAlignment="1">
      <alignment horizontal="right" vertical="center"/>
    </xf>
    <xf numFmtId="0" fontId="4" fillId="34" borderId="37" xfId="0" applyFont="1" applyFill="1" applyBorder="1" applyAlignment="1">
      <alignment horizontal="right" vertical="center"/>
    </xf>
    <xf numFmtId="0" fontId="7" fillId="34" borderId="0" xfId="0" applyFont="1" applyFill="1" applyAlignment="1">
      <alignment horizontal="left" vertical="center"/>
    </xf>
    <xf numFmtId="0" fontId="7" fillId="34" borderId="37" xfId="0" applyFont="1" applyFill="1" applyBorder="1" applyAlignment="1">
      <alignment horizontal="left" vertical="center"/>
    </xf>
    <xf numFmtId="0" fontId="4" fillId="34" borderId="0" xfId="0" applyFont="1" applyFill="1" applyAlignment="1">
      <alignment horizontal="center" vertical="center"/>
    </xf>
    <xf numFmtId="0" fontId="12" fillId="34" borderId="0" xfId="0" applyFont="1" applyFill="1" applyAlignment="1">
      <alignment horizontal="center" vertical="center"/>
    </xf>
    <xf numFmtId="0" fontId="6" fillId="34" borderId="0" xfId="0" applyFont="1" applyFill="1" applyAlignment="1">
      <alignment horizontal="left" vertical="center"/>
    </xf>
    <xf numFmtId="0" fontId="4" fillId="34" borderId="0" xfId="0" applyFont="1" applyFill="1" applyAlignment="1">
      <alignment horizontal="left" vertical="center"/>
    </xf>
    <xf numFmtId="0" fontId="4" fillId="34" borderId="0" xfId="0" applyFont="1" applyFill="1">
      <alignment vertical="center"/>
    </xf>
    <xf numFmtId="0" fontId="104" fillId="34" borderId="0" xfId="0" applyFont="1" applyFill="1" applyAlignment="1">
      <alignment horizontal="left" vertical="center"/>
    </xf>
    <xf numFmtId="0" fontId="27" fillId="34" borderId="0" xfId="0" applyFont="1" applyFill="1" applyAlignment="1">
      <alignment horizontal="left" vertical="center"/>
    </xf>
    <xf numFmtId="0" fontId="93" fillId="34" borderId="0" xfId="0" applyFont="1" applyFill="1" applyAlignment="1">
      <alignment horizontal="left" vertical="center"/>
    </xf>
    <xf numFmtId="0" fontId="2" fillId="34" borderId="0" xfId="0" applyFont="1" applyFill="1" applyAlignment="1">
      <alignment horizontal="left" vertical="center"/>
    </xf>
    <xf numFmtId="0" fontId="4" fillId="34" borderId="0" xfId="0" applyFont="1" applyFill="1" applyAlignment="1">
      <alignment horizontal="left" vertical="top" wrapText="1"/>
    </xf>
    <xf numFmtId="0" fontId="27" fillId="34" borderId="0" xfId="0" applyFont="1" applyFill="1">
      <alignment vertical="center"/>
    </xf>
    <xf numFmtId="0" fontId="89" fillId="34" borderId="0" xfId="0" applyFont="1" applyFill="1">
      <alignment vertical="center"/>
    </xf>
    <xf numFmtId="0" fontId="115" fillId="34" borderId="0" xfId="0" applyFont="1" applyFill="1" applyAlignment="1">
      <alignment horizontal="left" vertical="top"/>
    </xf>
    <xf numFmtId="0" fontId="115" fillId="34" borderId="0" xfId="0" applyFont="1" applyFill="1" applyAlignment="1">
      <alignment horizontal="center" vertical="top"/>
    </xf>
    <xf numFmtId="0" fontId="139" fillId="24" borderId="0" xfId="0" applyFont="1" applyFill="1" applyAlignment="1" applyProtection="1">
      <alignment horizontal="center" vertical="center"/>
      <protection hidden="1"/>
    </xf>
    <xf numFmtId="0" fontId="2" fillId="3" borderId="0" xfId="0" applyFont="1" applyFill="1" applyAlignment="1" applyProtection="1">
      <alignment horizontal="left" vertical="center"/>
      <protection hidden="1"/>
    </xf>
    <xf numFmtId="0" fontId="2" fillId="24" borderId="0" xfId="0" applyFont="1" applyFill="1" applyAlignment="1" applyProtection="1">
      <alignment horizontal="left" vertical="center"/>
      <protection hidden="1"/>
    </xf>
    <xf numFmtId="0" fontId="19" fillId="12" borderId="0" xfId="0" applyFont="1" applyFill="1" applyAlignment="1" applyProtection="1">
      <alignment horizontal="center" vertical="center"/>
      <protection locked="0"/>
    </xf>
    <xf numFmtId="0" fontId="12" fillId="3" borderId="0" xfId="0" applyFont="1" applyFill="1" applyAlignment="1" applyProtection="1">
      <alignment horizontal="center" vertical="center"/>
      <protection locked="0"/>
    </xf>
    <xf numFmtId="0" fontId="12" fillId="3" borderId="0" xfId="0" applyFont="1" applyFill="1" applyAlignment="1">
      <alignment horizontal="center" vertical="center"/>
    </xf>
    <xf numFmtId="0" fontId="20" fillId="3" borderId="0" xfId="0" applyFont="1" applyFill="1" applyAlignment="1">
      <alignment horizontal="center" vertical="center" wrapText="1" shrinkToFit="1"/>
    </xf>
    <xf numFmtId="0" fontId="19" fillId="15" borderId="0" xfId="0" applyFont="1" applyFill="1" applyAlignment="1" applyProtection="1">
      <alignment horizontal="center" vertical="center"/>
      <protection locked="0"/>
    </xf>
    <xf numFmtId="0" fontId="20" fillId="3" borderId="0" xfId="0" applyFont="1" applyFill="1" applyAlignment="1">
      <alignment horizontal="center" vertical="center" wrapText="1"/>
    </xf>
    <xf numFmtId="0" fontId="19" fillId="7" borderId="0" xfId="0" applyFont="1" applyFill="1" applyAlignment="1" applyProtection="1">
      <alignment horizontal="center" vertical="center"/>
      <protection locked="0"/>
    </xf>
    <xf numFmtId="0" fontId="12" fillId="3" borderId="0" xfId="0" applyFont="1" applyFill="1" applyAlignment="1">
      <alignment horizontal="center" vertical="center" wrapText="1"/>
    </xf>
    <xf numFmtId="0" fontId="19" fillId="9" borderId="0" xfId="0" applyFont="1" applyFill="1" applyAlignment="1" applyProtection="1">
      <alignment horizontal="center" vertical="center"/>
      <protection locked="0"/>
    </xf>
    <xf numFmtId="0" fontId="12" fillId="8" borderId="0" xfId="0" applyFont="1" applyFill="1" applyAlignment="1" applyProtection="1">
      <alignment horizontal="center" vertical="center"/>
      <protection locked="0"/>
    </xf>
    <xf numFmtId="0" fontId="19" fillId="6" borderId="0" xfId="0" applyFont="1" applyFill="1" applyAlignment="1" applyProtection="1">
      <alignment horizontal="center" vertical="center"/>
      <protection locked="0"/>
    </xf>
    <xf numFmtId="0" fontId="19" fillId="13" borderId="0" xfId="0" applyFont="1" applyFill="1" applyAlignment="1" applyProtection="1">
      <alignment horizontal="center" vertical="center"/>
      <protection locked="0"/>
    </xf>
    <xf numFmtId="0" fontId="19" fillId="10" borderId="0" xfId="0" applyFont="1" applyFill="1" applyAlignment="1">
      <alignment horizontal="center" vertical="center"/>
    </xf>
    <xf numFmtId="0" fontId="19" fillId="17" borderId="0" xfId="0" applyFont="1" applyFill="1" applyAlignment="1" applyProtection="1">
      <alignment horizontal="center" vertical="center"/>
      <protection locked="0"/>
    </xf>
    <xf numFmtId="0" fontId="2" fillId="3" borderId="0" xfId="0" applyFont="1" applyFill="1" applyAlignment="1">
      <alignment horizontal="center" vertical="center" wrapText="1"/>
    </xf>
    <xf numFmtId="0" fontId="20" fillId="3" borderId="0" xfId="0" applyFont="1" applyFill="1" applyAlignment="1">
      <alignment horizontal="center" vertical="center"/>
    </xf>
    <xf numFmtId="0" fontId="19" fillId="18" borderId="0" xfId="0" applyFont="1" applyFill="1" applyAlignment="1" applyProtection="1">
      <alignment horizontal="center" vertical="center"/>
      <protection locked="0"/>
    </xf>
    <xf numFmtId="0" fontId="19" fillId="28" borderId="0" xfId="0" applyFont="1" applyFill="1" applyAlignment="1">
      <alignment horizontal="center" vertical="center"/>
    </xf>
    <xf numFmtId="0" fontId="2" fillId="3" borderId="0" xfId="0" applyFont="1" applyFill="1" applyAlignment="1">
      <alignment horizontal="center" vertical="center"/>
    </xf>
  </cellXfs>
  <cellStyles count="4">
    <cellStyle name="Bad" xfId="3" builtinId="27"/>
    <cellStyle name="Hyperlink" xfId="2" builtinId="8"/>
    <cellStyle name="Normal" xfId="0" builtinId="0"/>
    <cellStyle name="Percent" xfId="1" builtinId="5"/>
  </cellStyles>
  <dxfs count="294">
    <dxf>
      <fill>
        <patternFill>
          <bgColor rgb="FFEEE9E6"/>
        </patternFill>
      </fill>
    </dxf>
    <dxf>
      <font>
        <b/>
        <i val="0"/>
        <color rgb="FF9C0006"/>
      </font>
    </dxf>
    <dxf>
      <font>
        <b/>
        <i val="0"/>
        <color rgb="FF9C0006"/>
      </font>
    </dxf>
    <dxf>
      <font>
        <b/>
        <i val="0"/>
        <color rgb="FF9C0006"/>
      </font>
    </dxf>
    <dxf>
      <font>
        <b/>
        <i val="0"/>
        <color rgb="FFFF0000"/>
      </font>
    </dxf>
    <dxf>
      <font>
        <b/>
        <i val="0"/>
        <color rgb="FFC00000"/>
      </font>
    </dxf>
    <dxf>
      <fill>
        <patternFill>
          <bgColor rgb="FFDDEBF7"/>
        </patternFill>
      </fill>
    </dxf>
    <dxf>
      <fill>
        <patternFill>
          <bgColor rgb="FFFFFFC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FCFDD"/>
        </patternFill>
      </fill>
    </dxf>
    <dxf>
      <fill>
        <patternFill>
          <bgColor theme="4" tint="0.79998168889431442"/>
        </patternFill>
      </fill>
    </dxf>
    <dxf>
      <fill>
        <patternFill>
          <bgColor theme="8" tint="0.79998168889431442"/>
        </patternFill>
      </fill>
    </dxf>
    <dxf>
      <fill>
        <patternFill>
          <bgColor theme="4" tint="0.79998168889431442"/>
        </patternFill>
      </fill>
    </dxf>
    <dxf>
      <fill>
        <patternFill>
          <bgColor rgb="FFFFCFDD"/>
        </patternFill>
      </fill>
    </dxf>
    <dxf>
      <font>
        <b/>
        <i val="0"/>
        <color rgb="FFFF0000"/>
      </font>
    </dxf>
    <dxf>
      <fill>
        <patternFill>
          <bgColor rgb="FFFAE1FF"/>
        </patternFill>
      </fill>
    </dxf>
    <dxf>
      <fill>
        <patternFill>
          <bgColor theme="5" tint="0.79998168889431442"/>
        </patternFill>
      </fill>
    </dxf>
    <dxf>
      <fill>
        <patternFill>
          <bgColor theme="9" tint="0.79998168889431442"/>
        </patternFill>
      </fill>
    </dxf>
    <dxf>
      <fill>
        <patternFill>
          <bgColor theme="0" tint="-0.14996795556505021"/>
        </patternFill>
      </fill>
    </dxf>
    <dxf>
      <fill>
        <patternFill>
          <bgColor rgb="FFD7DEFC"/>
        </patternFill>
      </fill>
    </dxf>
    <dxf>
      <fill>
        <patternFill>
          <bgColor theme="4" tint="0.79998168889431442"/>
        </patternFill>
      </fill>
    </dxf>
    <dxf>
      <fill>
        <patternFill>
          <bgColor rgb="FFFFEBFF"/>
        </patternFill>
      </fill>
    </dxf>
    <dxf>
      <fill>
        <patternFill>
          <bgColor theme="4" tint="0.79998168889431442"/>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patternType="none">
          <bgColor auto="1"/>
        </patternFill>
      </fill>
    </dxf>
    <dxf>
      <font>
        <color rgb="FF9C0006"/>
      </font>
      <fill>
        <patternFill patternType="none">
          <bgColor auto="1"/>
        </patternFill>
      </fill>
    </dxf>
    <dxf>
      <fill>
        <patternFill>
          <bgColor theme="7" tint="0.79998168889431442"/>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DDEBF7"/>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AE1FF"/>
        </patternFill>
      </fill>
    </dxf>
    <dxf>
      <fill>
        <patternFill>
          <bgColor rgb="FFFFEBFF"/>
        </patternFill>
      </fill>
    </dxf>
    <dxf>
      <fill>
        <patternFill>
          <bgColor theme="9" tint="0.79998168889431442"/>
        </patternFill>
      </fill>
    </dxf>
    <dxf>
      <fill>
        <patternFill>
          <bgColor rgb="FFFFE5E5"/>
        </patternFill>
      </fill>
    </dxf>
    <dxf>
      <fill>
        <patternFill>
          <bgColor theme="4" tint="0.79998168889431442"/>
        </patternFill>
      </fill>
    </dxf>
    <dxf>
      <fill>
        <patternFill>
          <bgColor theme="7" tint="0.79998168889431442"/>
        </patternFill>
      </fill>
    </dxf>
    <dxf>
      <fill>
        <patternFill>
          <bgColor theme="5" tint="0.79998168889431442"/>
        </patternFill>
      </fill>
    </dxf>
    <dxf>
      <fill>
        <patternFill patternType="solid">
          <fgColor auto="1"/>
          <bgColor rgb="FFECE9D8"/>
        </patternFill>
      </fill>
    </dxf>
    <dxf>
      <fill>
        <patternFill>
          <bgColor theme="7" tint="0.79998168889431442"/>
        </patternFill>
      </fill>
    </dxf>
    <dxf>
      <fill>
        <patternFill>
          <bgColor theme="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ont>
        <b/>
        <i val="0"/>
        <color theme="1"/>
      </font>
    </dxf>
    <dxf>
      <font>
        <b/>
        <i val="0"/>
        <color theme="1"/>
      </font>
    </dxf>
    <dxf>
      <fill>
        <patternFill>
          <bgColor theme="7" tint="0.79998168889431442"/>
        </patternFill>
      </fill>
    </dxf>
    <dxf>
      <fill>
        <patternFill patternType="solid">
          <fgColor auto="1"/>
          <bgColor rgb="FFECE9D8"/>
        </patternFill>
      </fill>
    </dxf>
    <dxf>
      <fill>
        <patternFill>
          <bgColor theme="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ill>
        <patternFill>
          <bgColor rgb="FFE2EFDA"/>
        </patternFill>
      </fill>
    </dxf>
    <dxf>
      <fill>
        <patternFill>
          <bgColor theme="0"/>
        </patternFill>
      </fill>
    </dxf>
    <dxf>
      <fill>
        <patternFill>
          <bgColor rgb="FFE2EFDA"/>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strike val="0"/>
        <color auto="1"/>
      </font>
      <numFmt numFmtId="0" formatCode="General"/>
    </dxf>
    <dxf>
      <fill>
        <patternFill>
          <bgColor rgb="FFE2EFDA"/>
        </patternFill>
      </fill>
    </dxf>
    <dxf>
      <fill>
        <patternFill patternType="solid">
          <fgColor auto="1"/>
          <bgColor rgb="FFECE9D8"/>
        </patternFill>
      </fill>
    </dxf>
    <dxf>
      <fill>
        <patternFill>
          <bgColor theme="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ill>
        <patternFill>
          <bgColor rgb="FFD9D9D9"/>
        </patternFill>
      </fill>
    </dxf>
    <dxf>
      <font>
        <b/>
        <i val="0"/>
        <color theme="1"/>
      </font>
    </dxf>
    <dxf>
      <fill>
        <patternFill>
          <bgColor theme="0" tint="-0.14996795556505021"/>
        </patternFill>
      </fill>
    </dxf>
    <dxf>
      <fill>
        <patternFill patternType="solid">
          <fgColor auto="1"/>
          <bgColor rgb="FFECE9D8"/>
        </patternFill>
      </fill>
    </dxf>
    <dxf>
      <fill>
        <patternFill>
          <bgColor theme="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ill>
        <patternFill>
          <bgColor rgb="FFDDEBF7"/>
        </patternFill>
      </fill>
    </dxf>
    <dxf>
      <font>
        <b/>
        <i val="0"/>
        <strike val="0"/>
        <color auto="1"/>
      </font>
      <numFmt numFmtId="0" formatCode="General"/>
    </dxf>
    <dxf>
      <fill>
        <patternFill>
          <bgColor theme="8" tint="0.79998168889431442"/>
        </patternFill>
      </fill>
    </dxf>
    <dxf>
      <fill>
        <patternFill>
          <bgColor theme="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ill>
        <patternFill>
          <bgColor rgb="FFDDEBF7"/>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rgb="FFDDEBF7"/>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ill>
        <patternFill>
          <bgColor rgb="FFFFFFCC"/>
        </patternFill>
      </fill>
    </dxf>
    <dxf>
      <fill>
        <patternFill>
          <bgColor theme="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ont>
        <b/>
        <i val="0"/>
        <strike val="0"/>
        <color auto="1"/>
      </font>
      <numFmt numFmtId="0" formatCode="General"/>
    </dxf>
    <dxf>
      <fill>
        <patternFill>
          <bgColor rgb="FFFFFFCC"/>
        </patternFill>
      </fill>
    </dxf>
    <dxf>
      <fill>
        <patternFill>
          <bgColor rgb="FFF7EDED"/>
        </patternFill>
      </fill>
    </dxf>
    <dxf>
      <fill>
        <patternFill>
          <bgColor theme="0"/>
        </patternFill>
      </fill>
    </dxf>
    <dxf>
      <fill>
        <patternFill>
          <bgColor rgb="FFF7EDED"/>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ill>
        <patternFill>
          <bgColor rgb="FFF7EDED"/>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tint="4.9989318521683403E-2"/>
      </font>
    </dxf>
    <dxf>
      <fill>
        <patternFill>
          <bgColor theme="0"/>
        </patternFill>
      </fill>
    </dxf>
    <dxf>
      <fill>
        <patternFill>
          <bgColor theme="0"/>
        </patternFill>
      </fill>
    </dxf>
    <dxf>
      <fill>
        <patternFill>
          <bgColor theme="0"/>
        </patternFill>
      </fill>
    </dxf>
    <dxf>
      <fill>
        <patternFill>
          <bgColor theme="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ill>
        <patternFill patternType="solid">
          <fgColor auto="1"/>
          <bgColor rgb="FFECE9D8"/>
        </patternFill>
      </fill>
    </dxf>
    <dxf>
      <fill>
        <patternFill>
          <bgColor theme="0"/>
        </patternFill>
      </fill>
    </dxf>
    <dxf>
      <fill>
        <patternFill>
          <bgColor theme="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ill>
        <patternFill>
          <bgColor rgb="FFFFEBFF"/>
        </patternFill>
      </fill>
    </dxf>
    <dxf>
      <font>
        <b/>
        <i val="0"/>
        <color theme="1"/>
      </font>
    </dxf>
    <dxf>
      <fill>
        <patternFill>
          <bgColor rgb="FFFFEBFF"/>
        </patternFill>
      </fill>
    </dxf>
    <dxf>
      <font>
        <b/>
        <i val="0"/>
        <color theme="0"/>
      </font>
      <fill>
        <patternFill>
          <bgColor theme="9" tint="-0.24994659260841701"/>
        </patternFill>
      </fill>
    </dxf>
    <dxf>
      <font>
        <b/>
        <i val="0"/>
        <color theme="0"/>
      </font>
      <fill>
        <patternFill>
          <bgColor rgb="FFE2A714"/>
        </patternFill>
      </fill>
    </dxf>
    <dxf>
      <font>
        <b/>
        <i val="0"/>
        <color theme="0"/>
      </font>
      <fill>
        <patternFill>
          <bgColor rgb="FFC0000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5" tint="0.79998168889431442"/>
      </font>
      <fill>
        <patternFill>
          <bgColor theme="5" tint="0.79998168889431442"/>
        </patternFill>
      </fill>
    </dxf>
    <dxf>
      <font>
        <color theme="5" tint="0.79998168889431442"/>
      </font>
      <fill>
        <patternFill patternType="solid">
          <bgColor theme="5" tint="0.79998168889431442"/>
        </patternFill>
      </fill>
    </dxf>
    <dxf>
      <font>
        <color theme="5" tint="0.79998168889431442"/>
      </font>
      <fill>
        <patternFill patternType="solid">
          <bgColor theme="5" tint="0.79998168889431442"/>
        </patternFill>
      </fill>
    </dxf>
    <dxf>
      <fill>
        <patternFill>
          <bgColor theme="0"/>
        </patternFill>
      </fill>
    </dxf>
    <dxf>
      <fill>
        <patternFill>
          <bgColor theme="6" tint="0.59996337778862885"/>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b/>
        <i val="0"/>
        <color theme="0"/>
      </font>
      <fill>
        <patternFill>
          <bgColor rgb="FF548235"/>
        </patternFill>
      </fill>
    </dxf>
    <dxf>
      <font>
        <b/>
        <i val="0"/>
        <color theme="0"/>
      </font>
      <fill>
        <patternFill>
          <bgColor rgb="FFC00000"/>
        </patternFill>
      </fill>
    </dxf>
    <dxf>
      <font>
        <b/>
        <i val="0"/>
        <strike val="0"/>
        <color theme="0"/>
      </font>
      <fill>
        <patternFill>
          <bgColor rgb="FFE2A714"/>
        </patternFill>
      </fill>
    </dxf>
    <dxf>
      <font>
        <color rgb="FF006100"/>
      </font>
      <fill>
        <patternFill>
          <bgColor rgb="FF79DD79"/>
        </patternFill>
      </fill>
    </dxf>
    <dxf>
      <font>
        <color rgb="FF9C0006"/>
      </font>
      <fill>
        <patternFill>
          <bgColor rgb="FFFFC7CE"/>
        </patternFill>
      </fill>
    </dxf>
    <dxf>
      <numFmt numFmtId="172" formatCode="0.0%"/>
    </dxf>
    <dxf>
      <fill>
        <patternFill>
          <bgColor rgb="FFF3D7CA"/>
        </patternFill>
      </fill>
    </dxf>
    <dxf>
      <fill>
        <patternFill>
          <bgColor rgb="FFDBD1CB"/>
        </patternFill>
      </fill>
    </dxf>
    <dxf>
      <fill>
        <patternFill>
          <bgColor rgb="FFEEE9E6"/>
        </patternFill>
      </fill>
    </dxf>
    <dxf>
      <fill>
        <patternFill>
          <bgColor rgb="FFEEE9E6"/>
        </patternFill>
      </fill>
    </dxf>
    <dxf>
      <fill>
        <patternFill>
          <bgColor theme="0"/>
        </patternFill>
      </fill>
    </dxf>
    <dxf>
      <fill>
        <patternFill>
          <bgColor theme="6" tint="0.39994506668294322"/>
        </patternFill>
      </fill>
    </dxf>
    <dxf>
      <fill>
        <patternFill>
          <bgColor theme="6" tint="0.59996337778862885"/>
        </patternFill>
      </fill>
    </dxf>
    <dxf>
      <font>
        <color rgb="FFFFEFEF"/>
      </font>
      <fill>
        <patternFill>
          <bgColor rgb="FFFFEFEF"/>
        </patternFill>
      </fill>
    </dxf>
    <dxf>
      <font>
        <color rgb="FFECE9E2"/>
      </font>
    </dxf>
    <dxf>
      <font>
        <color rgb="FFDFDACF"/>
      </font>
    </dxf>
    <dxf>
      <font>
        <color rgb="FFECE9E2"/>
      </font>
    </dxf>
    <dxf>
      <font>
        <color rgb="FFDFDACF"/>
      </font>
    </dxf>
    <dxf>
      <font>
        <color rgb="FFECE9E2"/>
      </font>
    </dxf>
    <dxf>
      <font>
        <color rgb="FFECE9E2"/>
      </font>
    </dxf>
    <dxf>
      <font>
        <color rgb="FFDFDACF"/>
      </font>
    </dxf>
    <dxf>
      <font>
        <color rgb="FFECE9E2"/>
      </font>
    </dxf>
    <dxf>
      <font>
        <color rgb="FFDFDACF"/>
      </font>
    </dxf>
    <dxf>
      <font>
        <color rgb="FFECE9E2"/>
      </font>
    </dxf>
    <dxf>
      <font>
        <color rgb="FFDBD1CB"/>
      </font>
    </dxf>
    <dxf>
      <font>
        <color rgb="FFEEE9E6"/>
      </font>
      <fill>
        <patternFill patternType="none">
          <bgColor auto="1"/>
        </patternFill>
      </fill>
    </dxf>
    <dxf>
      <fill>
        <patternFill>
          <bgColor rgb="FFE9ADBB"/>
        </patternFill>
      </fill>
    </dxf>
  </dxfs>
  <tableStyles count="0" defaultTableStyle="TableStyleMedium2" defaultPivotStyle="PivotStyleLight16"/>
  <colors>
    <mruColors>
      <color rgb="FFE08CA0"/>
      <color rgb="FFE6A4B4"/>
      <color rgb="FFFFEFEF"/>
      <color rgb="FF7D2137"/>
      <color rgb="FFC00000"/>
      <color rgb="FFE2A714"/>
      <color rgb="FF548235"/>
      <color rgb="FF000066"/>
      <color rgb="FFF5EEE6"/>
      <color rgb="FFDBD1C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eetMetadata" Target="metadata.xml"/><Relationship Id="rId30" Type="http://schemas.openxmlformats.org/officeDocument/2006/relationships/customXml" Target="../customXml/item2.xml"/></Relationships>
</file>

<file path=xl/ctrlProps/ctrlProp1.xml><?xml version="1.0" encoding="utf-8"?>
<formControlPr xmlns="http://schemas.microsoft.com/office/spreadsheetml/2009/9/main" objectType="CheckBox" fmlaLink="計分版!K15" lockText="1" noThreeD="1"/>
</file>

<file path=xl/ctrlProps/ctrlProp2.xml><?xml version="1.0" encoding="utf-8"?>
<formControlPr xmlns="http://schemas.microsoft.com/office/spreadsheetml/2009/9/main" objectType="CheckBox" fmlaLink="計分版!L15" lockText="1" noThreeD="1"/>
</file>

<file path=xl/ctrlProps/ctrlProp3.xml><?xml version="1.0" encoding="utf-8"?>
<formControlPr xmlns="http://schemas.microsoft.com/office/spreadsheetml/2009/9/main" objectType="CheckBox" fmlaLink="計分版!M15" lockText="1" noThreeD="1"/>
</file>

<file path=xl/ctrlProps/ctrlProp4.xml><?xml version="1.0" encoding="utf-8"?>
<formControlPr xmlns="http://schemas.microsoft.com/office/spreadsheetml/2009/9/main" objectType="CheckBox" fmlaLink="計分版!N15" lockText="1" noThreeD="1"/>
</file>

<file path=xl/ctrlProps/ctrlProp5.xml><?xml version="1.0" encoding="utf-8"?>
<formControlPr xmlns="http://schemas.microsoft.com/office/spreadsheetml/2009/9/main" objectType="CheckBox" fmlaLink="計分版!O15" lockText="1" noThreeD="1"/>
</file>

<file path=xl/ctrlProps/ctrlProp6.xml><?xml version="1.0" encoding="utf-8"?>
<formControlPr xmlns="http://schemas.microsoft.com/office/spreadsheetml/2009/9/main" objectType="CheckBox" fmlaLink="計分版!P15" lockText="1" noThreeD="1"/>
</file>

<file path=xl/ctrlProps/ctrlProp7.xml><?xml version="1.0" encoding="utf-8"?>
<formControlPr xmlns="http://schemas.microsoft.com/office/spreadsheetml/2009/9/main" objectType="CheckBox" fmlaLink="計分版!Q15" lockText="1" noThreeD="1"/>
</file>

<file path=xl/ctrlProps/ctrlProp8.xml><?xml version="1.0" encoding="utf-8"?>
<formControlPr xmlns="http://schemas.microsoft.com/office/spreadsheetml/2009/9/main" objectType="CheckBox" fmlaLink="計分版!R15" lockText="1" noThreeD="1"/>
</file>

<file path=xl/ctrlProps/ctrlProp9.xml><?xml version="1.0" encoding="utf-8"?>
<formControlPr xmlns="http://schemas.microsoft.com/office/spreadsheetml/2009/9/main" objectType="CheckBox" fmlaLink="計分版!S15" lockText="1" noThreeD="1"/>
</file>

<file path=xl/ctrlProps/ctrlProp10.xml><?xml version="1.0" encoding="utf-8"?>
<formControlPr xmlns="http://schemas.microsoft.com/office/spreadsheetml/2009/9/main" objectType="CheckBox" fmlaLink="計分版!T15" lockText="1" noThreeD="1"/>
</file>

<file path=xl/drawings/_rels/drawing1.xml.rels><?xml version="1.0" encoding="UTF-8" standalone="yes"?>
<Relationships xmlns="http://schemas.openxmlformats.org/package/2006/relationships"><Relationship Id="rId3" Type="http://schemas.openxmlformats.org/officeDocument/2006/relationships/hyperlink" Target="https://docs.google.com/document/d/1tqdAzSbqYhME53ZdAFDEsJy-LOS5JIw8ViIbdLR9GI8/edit" TargetMode="External"/><Relationship Id="rId2" Type="http://schemas.openxmlformats.org/officeDocument/2006/relationships/hyperlink" Target="https://drive.google.com/drive/folders/1PmyDrmQ2CumbWrqY7NRqa0Ol-M9VnkFz?usp=sharing" TargetMode="External"/><Relationship Id="rId1" Type="http://schemas.openxmlformats.org/officeDocument/2006/relationships/hyperlink" Target="#&#20027;&#38913;!C8"/></Relationships>
</file>

<file path=xl/drawings/_rels/drawing2.xml.rels><?xml version="1.0" encoding="UTF-8" standalone="yes"?>
<Relationships xmlns="http://schemas.openxmlformats.org/package/2006/relationships"><Relationship Id="rId1" Type="http://schemas.openxmlformats.org/officeDocument/2006/relationships/hyperlink" Target="#'All in One'!B8"/></Relationships>
</file>

<file path=xl/drawings/_rels/drawing3.xml.rels><?xml version="1.0" encoding="UTF-8" standalone="yes"?>
<Relationships xmlns="http://schemas.openxmlformats.org/package/2006/relationships"><Relationship Id="rId1" Type="http://schemas.openxmlformats.org/officeDocument/2006/relationships/hyperlink" Target="#&#20027;&#38913;!F15"/></Relationships>
</file>

<file path=xl/drawings/_rels/drawing4.xml.rels><?xml version="1.0" encoding="UTF-8" standalone="yes"?>
<Relationships xmlns="http://schemas.openxmlformats.org/package/2006/relationships"><Relationship Id="rId2" Type="http://schemas.openxmlformats.org/officeDocument/2006/relationships/hyperlink" Target="#'All in One'!B8"/><Relationship Id="rId1" Type="http://schemas.openxmlformats.org/officeDocument/2006/relationships/hyperlink" Target="#&#20027;&#38913;!F15"/></Relationships>
</file>

<file path=xl/drawings/_rels/drawing5.xml.rels><?xml version="1.0" encoding="UTF-8" standalone="yes"?>
<Relationships xmlns="http://schemas.openxmlformats.org/package/2006/relationships"><Relationship Id="rId2" Type="http://schemas.openxmlformats.org/officeDocument/2006/relationships/hyperlink" Target="#'All in One'!B8"/><Relationship Id="rId1" Type="http://schemas.openxmlformats.org/officeDocument/2006/relationships/hyperlink" Target="#&#20027;&#38913;!F15"/></Relationships>
</file>

<file path=xl/drawings/_rels/drawing6.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7.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8.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9.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10.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11.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12.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13.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drawing1.xml><?xml version="1.0" encoding="utf-8"?>
<xdr:wsDr xmlns:xdr="http://schemas.openxmlformats.org/drawingml/2006/spreadsheetDrawing" xmlns:a="http://schemas.openxmlformats.org/drawingml/2006/main">
  <xdr:twoCellAnchor>
    <xdr:from>
      <xdr:col>2</xdr:col>
      <xdr:colOff>280894</xdr:colOff>
      <xdr:row>24</xdr:row>
      <xdr:rowOff>91887</xdr:rowOff>
    </xdr:from>
    <xdr:to>
      <xdr:col>7</xdr:col>
      <xdr:colOff>522941</xdr:colOff>
      <xdr:row>32</xdr:row>
      <xdr:rowOff>152400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000-000002000000}"/>
            </a:ext>
          </a:extLst>
        </xdr:cNvPr>
        <xdr:cNvSpPr/>
      </xdr:nvSpPr>
      <xdr:spPr>
        <a:xfrm>
          <a:off x="1608951" y="4794516"/>
          <a:ext cx="3562190" cy="1682484"/>
        </a:xfrm>
        <a:prstGeom prst="roundRect">
          <a:avLst/>
        </a:prstGeom>
        <a:solidFill>
          <a:srgbClr val="E08CA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TW" altLang="en-US" sz="4800" b="1" i="0">
              <a:solidFill>
                <a:schemeClr val="lt1"/>
              </a:solidFill>
              <a:effectLst/>
              <a:latin typeface="微軟正黑體" panose="020B0604030504040204" pitchFamily="34" charset="-120"/>
              <a:ea typeface="微軟正黑體" panose="020B0604030504040204" pitchFamily="34" charset="-120"/>
              <a:cs typeface="+mn-cs"/>
            </a:rPr>
            <a:t>開始使用</a:t>
          </a:r>
          <a:endParaRPr lang="zh-TW" altLang="en-US" sz="4800" b="1">
            <a:latin typeface="微軟正黑體" panose="020B0604030504040204" pitchFamily="34" charset="-120"/>
            <a:ea typeface="微軟正黑體" panose="020B0604030504040204" pitchFamily="34" charset="-120"/>
          </a:endParaRPr>
        </a:p>
      </xdr:txBody>
    </xdr:sp>
    <xdr:clientData/>
  </xdr:twoCellAnchor>
  <xdr:twoCellAnchor>
    <xdr:from>
      <xdr:col>9</xdr:col>
      <xdr:colOff>242794</xdr:colOff>
      <xdr:row>24</xdr:row>
      <xdr:rowOff>109817</xdr:rowOff>
    </xdr:from>
    <xdr:to>
      <xdr:col>14</xdr:col>
      <xdr:colOff>556560</xdr:colOff>
      <xdr:row>32</xdr:row>
      <xdr:rowOff>139700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000-000003000000}"/>
            </a:ext>
          </a:extLst>
        </xdr:cNvPr>
        <xdr:cNvSpPr/>
      </xdr:nvSpPr>
      <xdr:spPr>
        <a:xfrm>
          <a:off x="6219051" y="4812446"/>
          <a:ext cx="3633909" cy="1651854"/>
        </a:xfrm>
        <a:prstGeom prst="roundRect">
          <a:avLst/>
        </a:prstGeom>
        <a:solidFill>
          <a:srgbClr val="E08CA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TW" altLang="en-US" sz="4800" b="1">
              <a:latin typeface="微軟正黑體" panose="020B0604030504040204" pitchFamily="34" charset="-120"/>
              <a:ea typeface="微軟正黑體" panose="020B0604030504040204" pitchFamily="34" charset="-120"/>
            </a:rPr>
            <a:t>檢查更新</a:t>
          </a:r>
        </a:p>
      </xdr:txBody>
    </xdr:sp>
    <xdr:clientData/>
  </xdr:twoCellAnchor>
  <xdr:twoCellAnchor>
    <xdr:from>
      <xdr:col>3</xdr:col>
      <xdr:colOff>322731</xdr:colOff>
      <xdr:row>0</xdr:row>
      <xdr:rowOff>71716</xdr:rowOff>
    </xdr:from>
    <xdr:to>
      <xdr:col>20</xdr:col>
      <xdr:colOff>358589</xdr:colOff>
      <xdr:row>7</xdr:row>
      <xdr:rowOff>143434</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2151531" y="71716"/>
          <a:ext cx="10399058" cy="1515036"/>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zh-TW" altLang="en-US" sz="6000" b="1">
              <a:latin typeface="微軟正黑體" panose="020B0604030504040204" pitchFamily="34" charset="-120"/>
              <a:ea typeface="微軟正黑體" panose="020B0604030504040204" pitchFamily="34" charset="-120"/>
            </a:rPr>
            <a:t>請下載至電腦後以</a:t>
          </a:r>
          <a:r>
            <a:rPr lang="en-US" altLang="zh-TW" sz="6000" b="1">
              <a:latin typeface="微軟正黑體" panose="020B0604030504040204" pitchFamily="34" charset="-120"/>
              <a:ea typeface="微軟正黑體" panose="020B0604030504040204" pitchFamily="34" charset="-120"/>
            </a:rPr>
            <a:t>Excel</a:t>
          </a:r>
          <a:r>
            <a:rPr lang="zh-TW" altLang="en-US" sz="6000" b="1" baseline="0">
              <a:latin typeface="微軟正黑體" panose="020B0604030504040204" pitchFamily="34" charset="-120"/>
              <a:ea typeface="微軟正黑體" panose="020B0604030504040204" pitchFamily="34" charset="-120"/>
            </a:rPr>
            <a:t>開啟</a:t>
          </a:r>
          <a:endParaRPr lang="zh-TW" altLang="en-US" sz="6000" b="1">
            <a:latin typeface="微軟正黑體" panose="020B0604030504040204" pitchFamily="34" charset="-120"/>
            <a:ea typeface="微軟正黑體" panose="020B0604030504040204" pitchFamily="34" charset="-120"/>
          </a:endParaRPr>
        </a:p>
      </xdr:txBody>
    </xdr:sp>
    <xdr:clientData/>
  </xdr:twoCellAnchor>
  <xdr:twoCellAnchor>
    <xdr:from>
      <xdr:col>3</xdr:col>
      <xdr:colOff>448237</xdr:colOff>
      <xdr:row>6</xdr:row>
      <xdr:rowOff>8964</xdr:rowOff>
    </xdr:from>
    <xdr:to>
      <xdr:col>20</xdr:col>
      <xdr:colOff>304799</xdr:colOff>
      <xdr:row>10</xdr:row>
      <xdr:rowOff>143435</xdr:rowOff>
    </xdr:to>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2277037" y="1246093"/>
          <a:ext cx="10219762" cy="959224"/>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zh-TW" altLang="en-US" sz="3200" b="1">
              <a:latin typeface="微軟正黑體" panose="020B0604030504040204" pitchFamily="34" charset="-120"/>
              <a:ea typeface="微軟正黑體" panose="020B0604030504040204" pitchFamily="34" charset="-120"/>
            </a:rPr>
            <a:t>手機係會用唔到、</a:t>
          </a:r>
          <a:r>
            <a:rPr lang="en-US" altLang="zh-TW" sz="3200" b="1">
              <a:latin typeface="微軟正黑體" panose="020B0604030504040204" pitchFamily="34" charset="-120"/>
              <a:ea typeface="微軟正黑體" panose="020B0604030504040204" pitchFamily="34" charset="-120"/>
            </a:rPr>
            <a:t>Google</a:t>
          </a:r>
          <a:r>
            <a:rPr lang="en-US" altLang="zh-TW" sz="3200" b="1" baseline="0">
              <a:latin typeface="微軟正黑體" panose="020B0604030504040204" pitchFamily="34" charset="-120"/>
              <a:ea typeface="微軟正黑體" panose="020B0604030504040204" pitchFamily="34" charset="-120"/>
            </a:rPr>
            <a:t> Sheet</a:t>
          </a:r>
          <a:r>
            <a:rPr lang="zh-TW" altLang="en-US" sz="3200" b="1" baseline="0">
              <a:latin typeface="微軟正黑體" panose="020B0604030504040204" pitchFamily="34" charset="-120"/>
              <a:ea typeface="微軟正黑體" panose="020B0604030504040204" pitchFamily="34" charset="-120"/>
            </a:rPr>
            <a:t>係會用唔到</a:t>
          </a:r>
          <a:endParaRPr lang="zh-TW" altLang="en-US" sz="3200" b="1">
            <a:latin typeface="微軟正黑體" panose="020B0604030504040204" pitchFamily="34" charset="-120"/>
            <a:ea typeface="微軟正黑體" panose="020B0604030504040204" pitchFamily="34" charset="-120"/>
          </a:endParaRPr>
        </a:p>
      </xdr:txBody>
    </xdr:sp>
    <xdr:clientData/>
  </xdr:twoCellAnchor>
  <xdr:twoCellAnchor>
    <xdr:from>
      <xdr:col>5</xdr:col>
      <xdr:colOff>198722</xdr:colOff>
      <xdr:row>15</xdr:row>
      <xdr:rowOff>12700</xdr:rowOff>
    </xdr:from>
    <xdr:to>
      <xdr:col>19</xdr:col>
      <xdr:colOff>100107</xdr:colOff>
      <xdr:row>24</xdr:row>
      <xdr:rowOff>177800</xdr:rowOff>
    </xdr:to>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3518865" y="2951843"/>
          <a:ext cx="9197785" cy="1928586"/>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endParaRPr lang="en-US" altLang="zh-TW" sz="1600" b="1">
            <a:latin typeface="微軟正黑體" panose="020B0604030504040204" pitchFamily="34" charset="-120"/>
            <a:ea typeface="微軟正黑體" panose="020B0604030504040204" pitchFamily="34" charset="-120"/>
          </a:endParaRPr>
        </a:p>
        <a:p>
          <a:pPr algn="ctr"/>
          <a:r>
            <a:rPr lang="zh-TW" altLang="en-US" sz="1600" b="1">
              <a:latin typeface="微軟正黑體" panose="020B0604030504040204" pitchFamily="34" charset="-120"/>
              <a:ea typeface="微軟正黑體" panose="020B0604030504040204" pitchFamily="34" charset="-120"/>
            </a:rPr>
            <a:t>如有問題請</a:t>
          </a:r>
          <a:r>
            <a:rPr lang="en-US" altLang="zh-TW" sz="1600" b="1">
              <a:latin typeface="微軟正黑體" panose="020B0604030504040204" pitchFamily="34" charset="-120"/>
              <a:ea typeface="微軟正黑體" panose="020B0604030504040204" pitchFamily="34" charset="-120"/>
            </a:rPr>
            <a:t>Inbox</a:t>
          </a:r>
          <a:r>
            <a:rPr lang="en-US" altLang="zh-TW" sz="1600" b="1" baseline="0">
              <a:latin typeface="微軟正黑體" panose="020B0604030504040204" pitchFamily="34" charset="-120"/>
              <a:ea typeface="微軟正黑體" panose="020B0604030504040204" pitchFamily="34" charset="-120"/>
            </a:rPr>
            <a:t> @thejackjai</a:t>
          </a:r>
          <a:r>
            <a:rPr lang="zh-TW" altLang="en-US" sz="1600" b="1" baseline="0">
              <a:latin typeface="微軟正黑體" panose="020B0604030504040204" pitchFamily="34" charset="-120"/>
              <a:ea typeface="微軟正黑體" panose="020B0604030504040204" pitchFamily="34" charset="-120"/>
            </a:rPr>
            <a:t>，或用</a:t>
          </a:r>
          <a:r>
            <a:rPr lang="en-US" altLang="zh-TW" sz="1600" b="1" baseline="0">
              <a:latin typeface="微軟正黑體" panose="020B0604030504040204" pitchFamily="34" charset="-120"/>
              <a:ea typeface="微軟正黑體" panose="020B0604030504040204" pitchFamily="34" charset="-120"/>
            </a:rPr>
            <a:t>Google Drive</a:t>
          </a:r>
          <a:r>
            <a:rPr lang="zh-TW" altLang="en-US" sz="1600" b="1" baseline="0">
              <a:latin typeface="微軟正黑體" panose="020B0604030504040204" pitchFamily="34" charset="-120"/>
              <a:ea typeface="微軟正黑體" panose="020B0604030504040204" pitchFamily="34" charset="-120"/>
            </a:rPr>
            <a:t>中的</a:t>
          </a:r>
          <a:r>
            <a:rPr lang="en-US" altLang="zh-TW" sz="1600" b="1" baseline="0">
              <a:latin typeface="微軟正黑體" panose="020B0604030504040204" pitchFamily="34" charset="-120"/>
              <a:ea typeface="微軟正黑體" panose="020B0604030504040204" pitchFamily="34" charset="-120"/>
            </a:rPr>
            <a:t>Google Form</a:t>
          </a:r>
          <a:r>
            <a:rPr lang="zh-TW" altLang="en-US" sz="1600" b="1" baseline="0">
              <a:latin typeface="微軟正黑體" panose="020B0604030504040204" pitchFamily="34" charset="-120"/>
              <a:ea typeface="微軟正黑體" panose="020B0604030504040204" pitchFamily="34" charset="-120"/>
            </a:rPr>
            <a:t>回報</a:t>
          </a:r>
          <a:endParaRPr lang="en-US" altLang="zh-TW" sz="1600" b="1" baseline="0">
            <a:latin typeface="微軟正黑體" panose="020B0604030504040204" pitchFamily="34" charset="-120"/>
            <a:ea typeface="微軟正黑體" panose="020B0604030504040204" pitchFamily="34" charset="-120"/>
          </a:endParaRPr>
        </a:p>
        <a:p>
          <a:pPr algn="ctr"/>
          <a:r>
            <a:rPr lang="zh-TW" altLang="en-US" sz="1600" b="1" baseline="0">
              <a:latin typeface="微軟正黑體" panose="020B0604030504040204" pitchFamily="34" charset="-120"/>
              <a:ea typeface="微軟正黑體" panose="020B0604030504040204" pitchFamily="34" charset="-120"/>
            </a:rPr>
            <a:t>按下「開始使用」前請先 「檢查更新」 及 細閱 「使用須知」</a:t>
          </a:r>
          <a:endParaRPr lang="zh-TW" altLang="en-US" sz="1600" b="1">
            <a:latin typeface="微軟正黑體" panose="020B0604030504040204" pitchFamily="34" charset="-120"/>
            <a:ea typeface="微軟正黑體" panose="020B0604030504040204" pitchFamily="34" charset="-120"/>
          </a:endParaRPr>
        </a:p>
      </xdr:txBody>
    </xdr:sp>
    <xdr:clientData/>
  </xdr:twoCellAnchor>
  <xdr:twoCellAnchor>
    <xdr:from>
      <xdr:col>16</xdr:col>
      <xdr:colOff>192741</xdr:colOff>
      <xdr:row>24</xdr:row>
      <xdr:rowOff>109817</xdr:rowOff>
    </xdr:from>
    <xdr:to>
      <xdr:col>21</xdr:col>
      <xdr:colOff>570007</xdr:colOff>
      <xdr:row>32</xdr:row>
      <xdr:rowOff>177800</xdr:rowOff>
    </xdr:to>
    <xdr:sp macro="" textlink="">
      <xdr:nvSpPr>
        <xdr:cNvPr id="9" name="Rectangle: Rounded Corners 8">
          <a:hlinkClick xmlns:r="http://schemas.openxmlformats.org/officeDocument/2006/relationships" r:id="rId3"/>
          <a:extLst>
            <a:ext uri="{FF2B5EF4-FFF2-40B4-BE49-F238E27FC236}">
              <a16:creationId xmlns:a16="http://schemas.microsoft.com/office/drawing/2014/main" id="{00000000-0008-0000-0000-000009000000}"/>
            </a:ext>
          </a:extLst>
        </xdr:cNvPr>
        <xdr:cNvSpPr/>
      </xdr:nvSpPr>
      <xdr:spPr>
        <a:xfrm>
          <a:off x="10817198" y="4812446"/>
          <a:ext cx="3697409" cy="1689954"/>
        </a:xfrm>
        <a:prstGeom prst="roundRect">
          <a:avLst/>
        </a:prstGeom>
        <a:solidFill>
          <a:srgbClr val="E08CA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TW" altLang="en-US" sz="4800" b="1">
              <a:latin typeface="微軟正黑體" panose="020B0604030504040204" pitchFamily="34" charset="-120"/>
              <a:ea typeface="微軟正黑體" panose="020B0604030504040204" pitchFamily="34" charset="-120"/>
            </a:rPr>
            <a:t>使用須知</a:t>
          </a:r>
        </a:p>
      </xdr:txBody>
    </xdr:sp>
    <xdr:clientData/>
  </xdr:twoCellAnchor>
  <xdr:twoCellAnchor>
    <xdr:from>
      <xdr:col>6</xdr:col>
      <xdr:colOff>477373</xdr:colOff>
      <xdr:row>10</xdr:row>
      <xdr:rowOff>67981</xdr:rowOff>
    </xdr:from>
    <xdr:to>
      <xdr:col>17</xdr:col>
      <xdr:colOff>439271</xdr:colOff>
      <xdr:row>14</xdr:row>
      <xdr:rowOff>196476</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4457702" y="2040216"/>
          <a:ext cx="7259169" cy="917389"/>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zh-TW" altLang="en-US" sz="3200" b="1">
              <a:latin typeface="微軟正黑體" panose="020B0604030504040204" pitchFamily="34" charset="-120"/>
              <a:ea typeface="微軟正黑體" panose="020B0604030504040204" pitchFamily="34" charset="-120"/>
            </a:rPr>
            <a:t>另外有「</a:t>
          </a:r>
          <a:r>
            <a:rPr lang="en-US" altLang="zh-TW" sz="3200" b="1">
              <a:latin typeface="微軟正黑體" panose="020B0604030504040204" pitchFamily="34" charset="-120"/>
              <a:ea typeface="微軟正黑體" panose="020B0604030504040204" pitchFamily="34" charset="-120"/>
            </a:rPr>
            <a:t>Google</a:t>
          </a:r>
          <a:r>
            <a:rPr lang="en-US" altLang="zh-TW" sz="3200" b="1" baseline="0">
              <a:latin typeface="微軟正黑體" panose="020B0604030504040204" pitchFamily="34" charset="-120"/>
              <a:ea typeface="微軟正黑體" panose="020B0604030504040204" pitchFamily="34" charset="-120"/>
            </a:rPr>
            <a:t> Sheet </a:t>
          </a:r>
          <a:r>
            <a:rPr lang="zh-TW" altLang="en-US" sz="3200" b="1" baseline="0">
              <a:latin typeface="微軟正黑體" panose="020B0604030504040204" pitchFamily="34" charset="-120"/>
              <a:ea typeface="微軟正黑體" panose="020B0604030504040204" pitchFamily="34" charset="-120"/>
            </a:rPr>
            <a:t>版」可以用</a:t>
          </a:r>
          <a:endParaRPr lang="zh-TW" altLang="en-US" sz="3200" b="1">
            <a:latin typeface="微軟正黑體" panose="020B0604030504040204" pitchFamily="34" charset="-120"/>
            <a:ea typeface="微軟正黑體" panose="020B0604030504040204" pitchFamily="34" charset="-12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18</xdr:col>
      <xdr:colOff>342900</xdr:colOff>
      <xdr:row>4</xdr:row>
      <xdr:rowOff>0</xdr:rowOff>
    </xdr:from>
    <xdr:to>
      <xdr:col>20</xdr:col>
      <xdr:colOff>403860</xdr:colOff>
      <xdr:row>7</xdr:row>
      <xdr:rowOff>119269</xdr:rowOff>
    </xdr:to>
    <xdr:sp macro="" textlink="">
      <xdr:nvSpPr>
        <xdr:cNvPr id="15" name="Rectangle: Rounded Corners 14">
          <a:hlinkClick xmlns:r="http://schemas.openxmlformats.org/officeDocument/2006/relationships" r:id="rId1"/>
          <a:extLst>
            <a:ext uri="{FF2B5EF4-FFF2-40B4-BE49-F238E27FC236}">
              <a16:creationId xmlns:a16="http://schemas.microsoft.com/office/drawing/2014/main" id="{00000000-0008-0000-0100-00000F000000}"/>
            </a:ext>
          </a:extLst>
        </xdr:cNvPr>
        <xdr:cNvSpPr/>
      </xdr:nvSpPr>
      <xdr:spPr>
        <a:xfrm>
          <a:off x="10136257" y="841513"/>
          <a:ext cx="1293412" cy="715617"/>
        </a:xfrm>
        <a:prstGeom prst="roundRect">
          <a:avLst/>
        </a:prstGeom>
        <a:solidFill>
          <a:srgbClr val="D66882"/>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6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6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600" b="1">
            <a:latin typeface="微軟正黑體" panose="020B0604030504040204" pitchFamily="34" charset="-120"/>
            <a:ea typeface="微軟正黑體" panose="020B0604030504040204" pitchFamily="34" charset="-120"/>
          </a:endParaRPr>
        </a:p>
      </xdr:txBody>
    </xdr:sp>
    <xdr:clientData/>
  </xdr:twoCellAnchor>
  <xdr:twoCellAnchor editAs="absolute">
    <xdr:from>
      <xdr:col>0</xdr:col>
      <xdr:colOff>266700</xdr:colOff>
      <xdr:row>14</xdr:row>
      <xdr:rowOff>34290</xdr:rowOff>
    </xdr:from>
    <xdr:to>
      <xdr:col>0</xdr:col>
      <xdr:colOff>533400</xdr:colOff>
      <xdr:row>14</xdr:row>
      <xdr:rowOff>186690</xdr:rowOff>
    </xdr:to>
    <xdr:sp macro="" textlink="">
      <xdr:nvSpPr>
        <xdr:cNvPr id="17" name="Arrow: Right 16">
          <a:extLst>
            <a:ext uri="{FF2B5EF4-FFF2-40B4-BE49-F238E27FC236}">
              <a16:creationId xmlns:a16="http://schemas.microsoft.com/office/drawing/2014/main" id="{00000000-0008-0000-0100-000011000000}"/>
            </a:ext>
          </a:extLst>
        </xdr:cNvPr>
        <xdr:cNvSpPr/>
      </xdr:nvSpPr>
      <xdr:spPr>
        <a:xfrm>
          <a:off x="266700" y="2842260"/>
          <a:ext cx="266700" cy="152400"/>
        </a:xfrm>
        <a:prstGeom prst="rightArrow">
          <a:avLst/>
        </a:prstGeom>
        <a:solidFill>
          <a:schemeClr val="accent2"/>
        </a:solidFill>
        <a:ln>
          <a:solidFill>
            <a:srgbClr val="A0431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fPrintsWithSheet="0"/>
  </xdr:twoCellAnchor>
  <xdr:twoCellAnchor editAs="absolute">
    <xdr:from>
      <xdr:col>4</xdr:col>
      <xdr:colOff>34290</xdr:colOff>
      <xdr:row>12</xdr:row>
      <xdr:rowOff>72390</xdr:rowOff>
    </xdr:from>
    <xdr:to>
      <xdr:col>4</xdr:col>
      <xdr:colOff>186690</xdr:colOff>
      <xdr:row>13</xdr:row>
      <xdr:rowOff>148590</xdr:rowOff>
    </xdr:to>
    <xdr:sp macro="" textlink="">
      <xdr:nvSpPr>
        <xdr:cNvPr id="18" name="Arrow: Right 17">
          <a:extLst>
            <a:ext uri="{FF2B5EF4-FFF2-40B4-BE49-F238E27FC236}">
              <a16:creationId xmlns:a16="http://schemas.microsoft.com/office/drawing/2014/main" id="{00000000-0008-0000-0100-000012000000}"/>
            </a:ext>
          </a:extLst>
        </xdr:cNvPr>
        <xdr:cNvSpPr/>
      </xdr:nvSpPr>
      <xdr:spPr>
        <a:xfrm rot="2984391">
          <a:off x="3192780" y="2552700"/>
          <a:ext cx="266700" cy="152400"/>
        </a:xfrm>
        <a:prstGeom prst="rightArrow">
          <a:avLst/>
        </a:prstGeom>
        <a:solidFill>
          <a:schemeClr val="accent2"/>
        </a:solidFill>
        <a:ln>
          <a:solidFill>
            <a:srgbClr val="A0431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fPrintsWithSheet="0"/>
  </xdr:twoCellAnchor>
  <xdr:twoCellAnchor editAs="absolute">
    <xdr:from>
      <xdr:col>3</xdr:col>
      <xdr:colOff>461011</xdr:colOff>
      <xdr:row>26</xdr:row>
      <xdr:rowOff>118109</xdr:rowOff>
    </xdr:from>
    <xdr:to>
      <xdr:col>4</xdr:col>
      <xdr:colOff>270511</xdr:colOff>
      <xdr:row>27</xdr:row>
      <xdr:rowOff>72389</xdr:rowOff>
    </xdr:to>
    <xdr:sp macro="" textlink="">
      <xdr:nvSpPr>
        <xdr:cNvPr id="19" name="Arrow: Right 18">
          <a:extLst>
            <a:ext uri="{FF2B5EF4-FFF2-40B4-BE49-F238E27FC236}">
              <a16:creationId xmlns:a16="http://schemas.microsoft.com/office/drawing/2014/main" id="{00000000-0008-0000-0100-000013000000}"/>
            </a:ext>
          </a:extLst>
        </xdr:cNvPr>
        <xdr:cNvSpPr/>
      </xdr:nvSpPr>
      <xdr:spPr>
        <a:xfrm rot="8800621">
          <a:off x="3524251" y="5444489"/>
          <a:ext cx="320040" cy="152400"/>
        </a:xfrm>
        <a:prstGeom prst="rightArrow">
          <a:avLst/>
        </a:prstGeom>
        <a:solidFill>
          <a:schemeClr val="accent2"/>
        </a:solidFill>
        <a:ln>
          <a:solidFill>
            <a:srgbClr val="A0431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fPrintsWithSheet="0"/>
  </xdr:twoCellAnchor>
  <xdr:twoCellAnchor>
    <xdr:from>
      <xdr:col>1</xdr:col>
      <xdr:colOff>1109618</xdr:colOff>
      <xdr:row>7</xdr:row>
      <xdr:rowOff>119878</xdr:rowOff>
    </xdr:from>
    <xdr:to>
      <xdr:col>2</xdr:col>
      <xdr:colOff>108797</xdr:colOff>
      <xdr:row>8</xdr:row>
      <xdr:rowOff>107718</xdr:rowOff>
    </xdr:to>
    <xdr:sp macro="" textlink="">
      <xdr:nvSpPr>
        <xdr:cNvPr id="4" name="Right Arrow 3">
          <a:extLst>
            <a:ext uri="{FF2B5EF4-FFF2-40B4-BE49-F238E27FC236}">
              <a16:creationId xmlns:a16="http://schemas.microsoft.com/office/drawing/2014/main" id="{00000000-0008-0000-0100-000004000000}"/>
            </a:ext>
            <a:ext uri="{147F2762-F138-4A5C-976F-8EAC2B608ADB}">
              <a16:predDERef xmlns:a16="http://schemas.microsoft.com/office/drawing/2014/main" pred="{00000000-0008-0000-0100-000013000000}"/>
            </a:ext>
          </a:extLst>
        </xdr:cNvPr>
        <xdr:cNvSpPr/>
      </xdr:nvSpPr>
      <xdr:spPr>
        <a:xfrm rot="19852867">
          <a:off x="1795418" y="1552438"/>
          <a:ext cx="294579" cy="185960"/>
        </a:xfrm>
        <a:prstGeom prst="rightArrow">
          <a:avLst/>
        </a:prstGeom>
        <a:solidFill>
          <a:schemeClr val="accent2"/>
        </a:solidFill>
        <a:ln>
          <a:solidFill>
            <a:srgbClr val="A0431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zh-TW"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68580</xdr:colOff>
      <xdr:row>1</xdr:row>
      <xdr:rowOff>15240</xdr:rowOff>
    </xdr:from>
    <xdr:to>
      <xdr:col>0</xdr:col>
      <xdr:colOff>571500</xdr:colOff>
      <xdr:row>1</xdr:row>
      <xdr:rowOff>236220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300-000002000000}"/>
            </a:ext>
          </a:extLst>
        </xdr:cNvPr>
        <xdr:cNvSpPr/>
      </xdr:nvSpPr>
      <xdr:spPr>
        <a:xfrm>
          <a:off x="68580" y="190500"/>
          <a:ext cx="502920" cy="220980"/>
        </a:xfrm>
        <a:prstGeom prst="roundRect">
          <a:avLst/>
        </a:prstGeom>
        <a:solidFill>
          <a:schemeClr val="accent2">
            <a:lumMod val="60000"/>
            <a:lumOff val="40000"/>
          </a:schemeClr>
        </a:solidFill>
        <a:ln>
          <a:solidFill>
            <a:schemeClr val="accent1">
              <a:lumMod val="60000"/>
              <a:lumOff val="4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1" i="0">
              <a:solidFill>
                <a:schemeClr val="tx1"/>
              </a:solidFill>
              <a:effectLst/>
              <a:latin typeface="微軟正黑體" panose="020B0604030504040204" pitchFamily="34" charset="-120"/>
              <a:ea typeface="微軟正黑體" panose="020B0604030504040204" pitchFamily="34" charset="-120"/>
              <a:cs typeface="+mn-cs"/>
            </a:rPr>
            <a:t>←</a:t>
          </a:r>
          <a:r>
            <a:rPr lang="zh-TW" altLang="en-US" sz="1000" b="1">
              <a:solidFill>
                <a:schemeClr val="tx1"/>
              </a:solidFill>
              <a:latin typeface="微軟正黑體" panose="020B0604030504040204" pitchFamily="34" charset="-120"/>
              <a:ea typeface="微軟正黑體" panose="020B0604030504040204" pitchFamily="34" charset="-120"/>
            </a:rPr>
            <a:t>主頁</a:t>
          </a:r>
        </a:p>
      </xdr:txBody>
    </xdr:sp>
    <xdr:clientData/>
  </xdr:twoCellAnchor>
  <xdr:twoCellAnchor editAs="absolute">
    <xdr:from>
      <xdr:col>2</xdr:col>
      <xdr:colOff>271567</xdr:colOff>
      <xdr:row>3</xdr:row>
      <xdr:rowOff>202416</xdr:rowOff>
    </xdr:from>
    <xdr:to>
      <xdr:col>2</xdr:col>
      <xdr:colOff>542672</xdr:colOff>
      <xdr:row>5</xdr:row>
      <xdr:rowOff>168203</xdr:rowOff>
    </xdr:to>
    <xdr:sp macro="" textlink="">
      <xdr:nvSpPr>
        <xdr:cNvPr id="3" name="Arrow: Right 16">
          <a:extLst>
            <a:ext uri="{FF2B5EF4-FFF2-40B4-BE49-F238E27FC236}">
              <a16:creationId xmlns:a16="http://schemas.microsoft.com/office/drawing/2014/main" id="{00000000-0008-0000-0300-000003000000}"/>
            </a:ext>
          </a:extLst>
        </xdr:cNvPr>
        <xdr:cNvSpPr/>
      </xdr:nvSpPr>
      <xdr:spPr>
        <a:xfrm rot="7421520">
          <a:off x="975844" y="1010043"/>
          <a:ext cx="434931" cy="271105"/>
        </a:xfrm>
        <a:prstGeom prst="rightArrow">
          <a:avLst/>
        </a:prstGeom>
        <a:solidFill>
          <a:schemeClr val="accent2"/>
        </a:solidFill>
        <a:ln>
          <a:solidFill>
            <a:srgbClr val="A0431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xdr:from>
      <xdr:col>0</xdr:col>
      <xdr:colOff>80210</xdr:colOff>
      <xdr:row>0</xdr:row>
      <xdr:rowOff>28106</xdr:rowOff>
    </xdr:from>
    <xdr:to>
      <xdr:col>0</xdr:col>
      <xdr:colOff>575510</xdr:colOff>
      <xdr:row>0</xdr:row>
      <xdr:rowOff>196915</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400-000002000000}"/>
            </a:ext>
          </a:extLst>
        </xdr:cNvPr>
        <xdr:cNvSpPr/>
      </xdr:nvSpPr>
      <xdr:spPr>
        <a:xfrm>
          <a:off x="80210" y="28106"/>
          <a:ext cx="495300" cy="168809"/>
        </a:xfrm>
        <a:prstGeom prst="roundRect">
          <a:avLst/>
        </a:prstGeom>
        <a:solidFill>
          <a:srgbClr val="9E004F"/>
        </a:solidFill>
        <a:ln>
          <a:solidFill>
            <a:srgbClr val="920049"/>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twoCellAnchor>
    <xdr:from>
      <xdr:col>28</xdr:col>
      <xdr:colOff>38100</xdr:colOff>
      <xdr:row>56</xdr:row>
      <xdr:rowOff>205740</xdr:rowOff>
    </xdr:from>
    <xdr:to>
      <xdr:col>30</xdr:col>
      <xdr:colOff>381000</xdr:colOff>
      <xdr:row>61</xdr:row>
      <xdr:rowOff>7620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400-000003000000}"/>
            </a:ext>
          </a:extLst>
        </xdr:cNvPr>
        <xdr:cNvSpPr/>
      </xdr:nvSpPr>
      <xdr:spPr>
        <a:xfrm>
          <a:off x="12420600" y="13007340"/>
          <a:ext cx="1287780" cy="716280"/>
        </a:xfrm>
        <a:prstGeom prst="roundRect">
          <a:avLst/>
        </a:prstGeom>
        <a:solidFill>
          <a:srgbClr val="CC0066"/>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34506</xdr:colOff>
      <xdr:row>0</xdr:row>
      <xdr:rowOff>24728</xdr:rowOff>
    </xdr:from>
    <xdr:to>
      <xdr:col>0</xdr:col>
      <xdr:colOff>477329</xdr:colOff>
      <xdr:row>0</xdr:row>
      <xdr:rowOff>193537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500-000002000000}"/>
            </a:ext>
          </a:extLst>
        </xdr:cNvPr>
        <xdr:cNvSpPr/>
      </xdr:nvSpPr>
      <xdr:spPr>
        <a:xfrm>
          <a:off x="34506" y="24728"/>
          <a:ext cx="442823" cy="168809"/>
        </a:xfrm>
        <a:prstGeom prst="roundRect">
          <a:avLst/>
        </a:prstGeom>
        <a:solidFill>
          <a:schemeClr val="accent1">
            <a:lumMod val="50000"/>
          </a:schemeClr>
        </a:solidFill>
        <a:ln>
          <a:solidFill>
            <a:schemeClr val="accent1">
              <a:lumMod val="7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r>
            <a:rPr lang="en-US" altLang="zh-TW" sz="1000">
              <a:latin typeface="微軟正黑體" panose="020B0604030504040204" pitchFamily="34" charset="-120"/>
              <a:ea typeface="微軟正黑體" panose="020B0604030504040204" pitchFamily="34" charset="-120"/>
            </a:rPr>
            <a:t>xx</a:t>
          </a:r>
          <a:endParaRPr lang="zh-TW" altLang="en-US" sz="1000">
            <a:latin typeface="微軟正黑體" panose="020B0604030504040204" pitchFamily="34" charset="-120"/>
            <a:ea typeface="微軟正黑體" panose="020B0604030504040204" pitchFamily="34" charset="-120"/>
          </a:endParaRPr>
        </a:p>
      </xdr:txBody>
    </xdr:sp>
    <xdr:clientData/>
  </xdr:twoCellAnchor>
  <xdr:twoCellAnchor>
    <xdr:from>
      <xdr:col>28</xdr:col>
      <xdr:colOff>22860</xdr:colOff>
      <xdr:row>22</xdr:row>
      <xdr:rowOff>198120</xdr:rowOff>
    </xdr:from>
    <xdr:to>
      <xdr:col>31</xdr:col>
      <xdr:colOff>38100</xdr:colOff>
      <xdr:row>29</xdr:row>
      <xdr:rowOff>160020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500-000003000000}"/>
            </a:ext>
          </a:extLst>
        </xdr:cNvPr>
        <xdr:cNvSpPr/>
      </xdr:nvSpPr>
      <xdr:spPr>
        <a:xfrm>
          <a:off x="9707880" y="5227320"/>
          <a:ext cx="1318260" cy="647700"/>
        </a:xfrm>
        <a:prstGeom prst="roundRect">
          <a:avLst/>
        </a:prstGeom>
        <a:solidFill>
          <a:schemeClr val="accent1">
            <a:lumMod val="75000"/>
          </a:schemeClr>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30</xdr:col>
      <xdr:colOff>243840</xdr:colOff>
      <xdr:row>34</xdr:row>
      <xdr:rowOff>162560</xdr:rowOff>
    </xdr:from>
    <xdr:to>
      <xdr:col>33</xdr:col>
      <xdr:colOff>457200</xdr:colOff>
      <xdr:row>37</xdr:row>
      <xdr:rowOff>124460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600-000002000000}"/>
            </a:ext>
          </a:extLst>
        </xdr:cNvPr>
        <xdr:cNvSpPr/>
      </xdr:nvSpPr>
      <xdr:spPr>
        <a:xfrm>
          <a:off x="11927840" y="7706360"/>
          <a:ext cx="1661160" cy="647700"/>
        </a:xfrm>
        <a:prstGeom prst="roundRect">
          <a:avLst/>
        </a:prstGeom>
        <a:solidFill>
          <a:srgbClr val="A0431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twoCellAnchor>
    <xdr:from>
      <xdr:col>0</xdr:col>
      <xdr:colOff>30480</xdr:colOff>
      <xdr:row>0</xdr:row>
      <xdr:rowOff>15240</xdr:rowOff>
    </xdr:from>
    <xdr:to>
      <xdr:col>0</xdr:col>
      <xdr:colOff>525780</xdr:colOff>
      <xdr:row>0</xdr:row>
      <xdr:rowOff>184049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600-000003000000}"/>
            </a:ext>
          </a:extLst>
        </xdr:cNvPr>
        <xdr:cNvSpPr/>
      </xdr:nvSpPr>
      <xdr:spPr>
        <a:xfrm>
          <a:off x="30480" y="15240"/>
          <a:ext cx="495300" cy="168809"/>
        </a:xfrm>
        <a:prstGeom prst="roundRect">
          <a:avLst/>
        </a:prstGeom>
        <a:solidFill>
          <a:srgbClr val="7D2137"/>
        </a:solidFill>
        <a:ln>
          <a:solidFill>
            <a:srgbClr val="7D2137"/>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29</xdr:col>
      <xdr:colOff>45720</xdr:colOff>
      <xdr:row>71</xdr:row>
      <xdr:rowOff>213360</xdr:rowOff>
    </xdr:from>
    <xdr:to>
      <xdr:col>32</xdr:col>
      <xdr:colOff>22860</xdr:colOff>
      <xdr:row>74</xdr:row>
      <xdr:rowOff>175260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700-000002000000}"/>
            </a:ext>
          </a:extLst>
        </xdr:cNvPr>
        <xdr:cNvSpPr/>
      </xdr:nvSpPr>
      <xdr:spPr>
        <a:xfrm>
          <a:off x="9494520" y="15986760"/>
          <a:ext cx="1280160" cy="647700"/>
        </a:xfrm>
        <a:prstGeom prst="roundRect">
          <a:avLst/>
        </a:prstGeom>
        <a:solidFill>
          <a:srgbClr val="6600CC"/>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twoCellAnchor>
    <xdr:from>
      <xdr:col>0</xdr:col>
      <xdr:colOff>30480</xdr:colOff>
      <xdr:row>0</xdr:row>
      <xdr:rowOff>30480</xdr:rowOff>
    </xdr:from>
    <xdr:to>
      <xdr:col>0</xdr:col>
      <xdr:colOff>525780</xdr:colOff>
      <xdr:row>0</xdr:row>
      <xdr:rowOff>199289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700-000003000000}"/>
            </a:ext>
          </a:extLst>
        </xdr:cNvPr>
        <xdr:cNvSpPr/>
      </xdr:nvSpPr>
      <xdr:spPr>
        <a:xfrm>
          <a:off x="30480" y="30480"/>
          <a:ext cx="495300" cy="168809"/>
        </a:xfrm>
        <a:prstGeom prst="roundRect">
          <a:avLst/>
        </a:prstGeom>
        <a:solidFill>
          <a:srgbClr val="000066"/>
        </a:solidFill>
        <a:ln>
          <a:solidFill>
            <a:srgbClr val="000066"/>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28</xdr:col>
      <xdr:colOff>60960</xdr:colOff>
      <xdr:row>27</xdr:row>
      <xdr:rowOff>182880</xdr:rowOff>
    </xdr:from>
    <xdr:to>
      <xdr:col>30</xdr:col>
      <xdr:colOff>419100</xdr:colOff>
      <xdr:row>30</xdr:row>
      <xdr:rowOff>144780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800-000002000000}"/>
            </a:ext>
          </a:extLst>
        </xdr:cNvPr>
        <xdr:cNvSpPr/>
      </xdr:nvSpPr>
      <xdr:spPr>
        <a:xfrm>
          <a:off x="9113520" y="6355080"/>
          <a:ext cx="1226820" cy="647700"/>
        </a:xfrm>
        <a:prstGeom prst="roundRect">
          <a:avLst/>
        </a:prstGeom>
        <a:solidFill>
          <a:schemeClr val="accent1">
            <a:lumMod val="40000"/>
            <a:lumOff val="60000"/>
          </a:schemeClr>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tx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tx1"/>
              </a:solidFill>
              <a:effectLst/>
              <a:latin typeface="微軟正黑體" panose="020B0604030504040204" pitchFamily="34" charset="-120"/>
              <a:ea typeface="微軟正黑體" panose="020B0604030504040204" pitchFamily="34" charset="-120"/>
              <a:cs typeface="+mn-cs"/>
            </a:rPr>
            <a:t> in One</a:t>
          </a:r>
          <a:endParaRPr lang="zh-TW" altLang="en-US" sz="1400" b="1">
            <a:solidFill>
              <a:schemeClr val="tx1"/>
            </a:solidFill>
            <a:latin typeface="微軟正黑體" panose="020B0604030504040204" pitchFamily="34" charset="-120"/>
            <a:ea typeface="微軟正黑體" panose="020B0604030504040204" pitchFamily="34" charset="-120"/>
          </a:endParaRPr>
        </a:p>
      </xdr:txBody>
    </xdr:sp>
    <xdr:clientData/>
  </xdr:twoCellAnchor>
  <xdr:twoCellAnchor>
    <xdr:from>
      <xdr:col>0</xdr:col>
      <xdr:colOff>30480</xdr:colOff>
      <xdr:row>0</xdr:row>
      <xdr:rowOff>30480</xdr:rowOff>
    </xdr:from>
    <xdr:to>
      <xdr:col>0</xdr:col>
      <xdr:colOff>525780</xdr:colOff>
      <xdr:row>0</xdr:row>
      <xdr:rowOff>199289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800-000003000000}"/>
            </a:ext>
          </a:extLst>
        </xdr:cNvPr>
        <xdr:cNvSpPr/>
      </xdr:nvSpPr>
      <xdr:spPr>
        <a:xfrm>
          <a:off x="30480" y="30480"/>
          <a:ext cx="495300" cy="168809"/>
        </a:xfrm>
        <a:prstGeom prst="roundRect">
          <a:avLst/>
        </a:prstGeom>
        <a:solidFill>
          <a:schemeClr val="accent1">
            <a:lumMod val="75000"/>
          </a:schemeClr>
        </a:solidFill>
        <a:ln>
          <a:solidFill>
            <a:schemeClr val="accent1">
              <a:lumMod val="7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29</xdr:col>
      <xdr:colOff>53340</xdr:colOff>
      <xdr:row>50</xdr:row>
      <xdr:rowOff>167640</xdr:rowOff>
    </xdr:from>
    <xdr:to>
      <xdr:col>31</xdr:col>
      <xdr:colOff>411480</xdr:colOff>
      <xdr:row>55</xdr:row>
      <xdr:rowOff>129540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900-000002000000}"/>
            </a:ext>
          </a:extLst>
        </xdr:cNvPr>
        <xdr:cNvSpPr/>
      </xdr:nvSpPr>
      <xdr:spPr>
        <a:xfrm>
          <a:off x="10363200" y="11369040"/>
          <a:ext cx="1226820" cy="647700"/>
        </a:xfrm>
        <a:prstGeom prst="roundRect">
          <a:avLst/>
        </a:prstGeom>
        <a:solidFill>
          <a:schemeClr val="accent6"/>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bg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bg1"/>
              </a:solidFill>
              <a:effectLst/>
              <a:latin typeface="微軟正黑體" panose="020B0604030504040204" pitchFamily="34" charset="-120"/>
              <a:ea typeface="微軟正黑體" panose="020B0604030504040204" pitchFamily="34" charset="-120"/>
              <a:cs typeface="+mn-cs"/>
            </a:rPr>
            <a:t> in One</a:t>
          </a:r>
          <a:endParaRPr lang="zh-TW" altLang="en-US" sz="1400" b="1">
            <a:solidFill>
              <a:schemeClr val="bg1"/>
            </a:solidFill>
            <a:latin typeface="微軟正黑體" panose="020B0604030504040204" pitchFamily="34" charset="-120"/>
            <a:ea typeface="微軟正黑體" panose="020B0604030504040204" pitchFamily="34" charset="-120"/>
          </a:endParaRPr>
        </a:p>
      </xdr:txBody>
    </xdr:sp>
    <xdr:clientData/>
  </xdr:twoCellAnchor>
  <xdr:twoCellAnchor>
    <xdr:from>
      <xdr:col>0</xdr:col>
      <xdr:colOff>0</xdr:colOff>
      <xdr:row>0</xdr:row>
      <xdr:rowOff>22860</xdr:rowOff>
    </xdr:from>
    <xdr:to>
      <xdr:col>0</xdr:col>
      <xdr:colOff>495300</xdr:colOff>
      <xdr:row>0</xdr:row>
      <xdr:rowOff>191669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900-000003000000}"/>
            </a:ext>
          </a:extLst>
        </xdr:cNvPr>
        <xdr:cNvSpPr/>
      </xdr:nvSpPr>
      <xdr:spPr>
        <a:xfrm>
          <a:off x="0" y="22860"/>
          <a:ext cx="495300" cy="168809"/>
        </a:xfrm>
        <a:prstGeom prst="roundRect">
          <a:avLst/>
        </a:prstGeom>
        <a:solidFill>
          <a:schemeClr val="accent6">
            <a:lumMod val="50000"/>
          </a:schemeClr>
        </a:solidFill>
        <a:ln>
          <a:solidFill>
            <a:schemeClr val="accent6">
              <a:lumMod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28</xdr:col>
      <xdr:colOff>30480</xdr:colOff>
      <xdr:row>19</xdr:row>
      <xdr:rowOff>198120</xdr:rowOff>
    </xdr:from>
    <xdr:to>
      <xdr:col>30</xdr:col>
      <xdr:colOff>388620</xdr:colOff>
      <xdr:row>22</xdr:row>
      <xdr:rowOff>213360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A00-000002000000}"/>
            </a:ext>
          </a:extLst>
        </xdr:cNvPr>
        <xdr:cNvSpPr/>
      </xdr:nvSpPr>
      <xdr:spPr>
        <a:xfrm>
          <a:off x="11148060" y="4541520"/>
          <a:ext cx="1303020" cy="701040"/>
        </a:xfrm>
        <a:prstGeom prst="roundRect">
          <a:avLst/>
        </a:prstGeom>
        <a:solidFill>
          <a:srgbClr val="C0000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bg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bg1"/>
              </a:solidFill>
              <a:effectLst/>
              <a:latin typeface="微軟正黑體" panose="020B0604030504040204" pitchFamily="34" charset="-120"/>
              <a:ea typeface="微軟正黑體" panose="020B0604030504040204" pitchFamily="34" charset="-120"/>
              <a:cs typeface="+mn-cs"/>
            </a:rPr>
            <a:t> in One</a:t>
          </a:r>
          <a:endParaRPr lang="zh-TW" altLang="en-US" sz="1400" b="1">
            <a:solidFill>
              <a:schemeClr val="bg1"/>
            </a:solidFill>
            <a:latin typeface="微軟正黑體" panose="020B0604030504040204" pitchFamily="34" charset="-120"/>
            <a:ea typeface="微軟正黑體" panose="020B0604030504040204" pitchFamily="34" charset="-120"/>
          </a:endParaRPr>
        </a:p>
      </xdr:txBody>
    </xdr:sp>
    <xdr:clientData/>
  </xdr:twoCellAnchor>
  <xdr:twoCellAnchor>
    <xdr:from>
      <xdr:col>0</xdr:col>
      <xdr:colOff>30480</xdr:colOff>
      <xdr:row>0</xdr:row>
      <xdr:rowOff>22860</xdr:rowOff>
    </xdr:from>
    <xdr:to>
      <xdr:col>0</xdr:col>
      <xdr:colOff>525780</xdr:colOff>
      <xdr:row>0</xdr:row>
      <xdr:rowOff>191669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A00-000003000000}"/>
            </a:ext>
          </a:extLst>
        </xdr:cNvPr>
        <xdr:cNvSpPr/>
      </xdr:nvSpPr>
      <xdr:spPr>
        <a:xfrm>
          <a:off x="30480" y="22860"/>
          <a:ext cx="495300" cy="168809"/>
        </a:xfrm>
        <a:prstGeom prst="roundRect">
          <a:avLst/>
        </a:prstGeom>
        <a:solidFill>
          <a:srgbClr val="7D2137"/>
        </a:solidFill>
        <a:ln>
          <a:solidFill>
            <a:srgbClr val="7D2137"/>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27</xdr:col>
      <xdr:colOff>60960</xdr:colOff>
      <xdr:row>28</xdr:row>
      <xdr:rowOff>182880</xdr:rowOff>
    </xdr:from>
    <xdr:to>
      <xdr:col>29</xdr:col>
      <xdr:colOff>419100</xdr:colOff>
      <xdr:row>31</xdr:row>
      <xdr:rowOff>160020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B00-000002000000}"/>
            </a:ext>
          </a:extLst>
        </xdr:cNvPr>
        <xdr:cNvSpPr/>
      </xdr:nvSpPr>
      <xdr:spPr>
        <a:xfrm>
          <a:off x="11369040" y="6583680"/>
          <a:ext cx="1303020" cy="662940"/>
        </a:xfrm>
        <a:prstGeom prst="roundRect">
          <a:avLst/>
        </a:prstGeom>
        <a:solidFill>
          <a:srgbClr val="FF000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bg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bg1"/>
              </a:solidFill>
              <a:effectLst/>
              <a:latin typeface="微軟正黑體" panose="020B0604030504040204" pitchFamily="34" charset="-120"/>
              <a:ea typeface="微軟正黑體" panose="020B0604030504040204" pitchFamily="34" charset="-120"/>
              <a:cs typeface="+mn-cs"/>
            </a:rPr>
            <a:t> in One</a:t>
          </a:r>
          <a:endParaRPr lang="zh-TW" altLang="en-US" sz="1400" b="1">
            <a:solidFill>
              <a:schemeClr val="bg1"/>
            </a:solidFill>
            <a:latin typeface="微軟正黑體" panose="020B0604030504040204" pitchFamily="34" charset="-120"/>
            <a:ea typeface="微軟正黑體" panose="020B0604030504040204" pitchFamily="34" charset="-120"/>
          </a:endParaRPr>
        </a:p>
      </xdr:txBody>
    </xdr:sp>
    <xdr:clientData/>
  </xdr:twoCellAnchor>
  <xdr:twoCellAnchor>
    <xdr:from>
      <xdr:col>0</xdr:col>
      <xdr:colOff>7620</xdr:colOff>
      <xdr:row>0</xdr:row>
      <xdr:rowOff>22860</xdr:rowOff>
    </xdr:from>
    <xdr:to>
      <xdr:col>0</xdr:col>
      <xdr:colOff>502920</xdr:colOff>
      <xdr:row>0</xdr:row>
      <xdr:rowOff>191669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B00-000003000000}"/>
            </a:ext>
          </a:extLst>
        </xdr:cNvPr>
        <xdr:cNvSpPr/>
      </xdr:nvSpPr>
      <xdr:spPr>
        <a:xfrm>
          <a:off x="7620" y="22860"/>
          <a:ext cx="495300" cy="168809"/>
        </a:xfrm>
        <a:prstGeom prst="roundRect">
          <a:avLst/>
        </a:prstGeom>
        <a:solidFill>
          <a:schemeClr val="accent2">
            <a:lumMod val="50000"/>
          </a:schemeClr>
        </a:solidFill>
        <a:ln>
          <a:solidFill>
            <a:schemeClr val="accent2">
              <a:lumMod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27</xdr:col>
      <xdr:colOff>22860</xdr:colOff>
      <xdr:row>27</xdr:row>
      <xdr:rowOff>213360</xdr:rowOff>
    </xdr:from>
    <xdr:to>
      <xdr:col>30</xdr:col>
      <xdr:colOff>38100</xdr:colOff>
      <xdr:row>30</xdr:row>
      <xdr:rowOff>91440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C00-000002000000}"/>
            </a:ext>
          </a:extLst>
        </xdr:cNvPr>
        <xdr:cNvSpPr/>
      </xdr:nvSpPr>
      <xdr:spPr>
        <a:xfrm>
          <a:off x="11811000" y="6385560"/>
          <a:ext cx="1432560" cy="563880"/>
        </a:xfrm>
        <a:prstGeom prst="roundRect">
          <a:avLst/>
        </a:prstGeom>
        <a:solidFill>
          <a:schemeClr val="accent1">
            <a:lumMod val="75000"/>
          </a:schemeClr>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twoCellAnchor>
    <xdr:from>
      <xdr:col>0</xdr:col>
      <xdr:colOff>38100</xdr:colOff>
      <xdr:row>0</xdr:row>
      <xdr:rowOff>30480</xdr:rowOff>
    </xdr:from>
    <xdr:to>
      <xdr:col>0</xdr:col>
      <xdr:colOff>533400</xdr:colOff>
      <xdr:row>0</xdr:row>
      <xdr:rowOff>199289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C00-000003000000}"/>
            </a:ext>
          </a:extLst>
        </xdr:cNvPr>
        <xdr:cNvSpPr/>
      </xdr:nvSpPr>
      <xdr:spPr>
        <a:xfrm>
          <a:off x="38100" y="30480"/>
          <a:ext cx="495300" cy="168809"/>
        </a:xfrm>
        <a:prstGeom prst="roundRect">
          <a:avLst/>
        </a:prstGeom>
        <a:solidFill>
          <a:schemeClr val="accent1">
            <a:lumMod val="60000"/>
            <a:lumOff val="40000"/>
          </a:schemeClr>
        </a:solidFill>
        <a:ln>
          <a:solidFill>
            <a:schemeClr val="accent1">
              <a:lumMod val="60000"/>
              <a:lumOff val="4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28</xdr:col>
      <xdr:colOff>127000</xdr:colOff>
      <xdr:row>53</xdr:row>
      <xdr:rowOff>160020</xdr:rowOff>
    </xdr:from>
    <xdr:to>
      <xdr:col>30</xdr:col>
      <xdr:colOff>408940</xdr:colOff>
      <xdr:row>57</xdr:row>
      <xdr:rowOff>22860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D00-000002000000}"/>
            </a:ext>
          </a:extLst>
        </xdr:cNvPr>
        <xdr:cNvSpPr/>
      </xdr:nvSpPr>
      <xdr:spPr>
        <a:xfrm>
          <a:off x="12585700" y="9502140"/>
          <a:ext cx="1226820" cy="777240"/>
        </a:xfrm>
        <a:prstGeom prst="roundRect">
          <a:avLst/>
        </a:prstGeom>
        <a:solidFill>
          <a:schemeClr val="accent4">
            <a:lumMod val="50000"/>
          </a:schemeClr>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twoCellAnchor>
    <xdr:from>
      <xdr:col>0</xdr:col>
      <xdr:colOff>15240</xdr:colOff>
      <xdr:row>0</xdr:row>
      <xdr:rowOff>30480</xdr:rowOff>
    </xdr:from>
    <xdr:to>
      <xdr:col>0</xdr:col>
      <xdr:colOff>510540</xdr:colOff>
      <xdr:row>0</xdr:row>
      <xdr:rowOff>199289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D00-000003000000}"/>
            </a:ext>
          </a:extLst>
        </xdr:cNvPr>
        <xdr:cNvSpPr/>
      </xdr:nvSpPr>
      <xdr:spPr>
        <a:xfrm>
          <a:off x="15240" y="30480"/>
          <a:ext cx="495300" cy="168809"/>
        </a:xfrm>
        <a:prstGeom prst="roundRect">
          <a:avLst/>
        </a:prstGeom>
        <a:solidFill>
          <a:srgbClr val="7D2137"/>
        </a:solidFill>
        <a:ln>
          <a:solidFill>
            <a:srgbClr val="7D2137"/>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22860</xdr:colOff>
          <xdr:row>2</xdr:row>
          <xdr:rowOff>137160</xdr:rowOff>
        </xdr:from>
        <xdr:to>
          <xdr:col>4</xdr:col>
          <xdr:colOff>213360</xdr:colOff>
          <xdr:row>4</xdr:row>
          <xdr:rowOff>38100</xdr:rowOff>
        </xdr:to>
        <xdr:sp macro="" textlink="">
          <xdr:nvSpPr>
            <xdr:cNvPr id="108548" name=" 4" hidden="1">
              <a:extLst>
                <a:ext uri="{63B3BB69-23CF-44E3-9099-C40C66FF867C}">
                  <a14:compatExt spid="_x0000_s108548"/>
                </a:ext>
                <a:ext uri="{FF2B5EF4-FFF2-40B4-BE49-F238E27FC236}">
                  <a16:creationId xmlns:a16="http://schemas.microsoft.com/office/drawing/2014/main" id="{00000000-0008-0000-1400-000004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22860</xdr:colOff>
          <xdr:row>3</xdr:row>
          <xdr:rowOff>137160</xdr:rowOff>
        </xdr:from>
        <xdr:to>
          <xdr:col>4</xdr:col>
          <xdr:colOff>213360</xdr:colOff>
          <xdr:row>5</xdr:row>
          <xdr:rowOff>38100</xdr:rowOff>
        </xdr:to>
        <xdr:sp macro="" textlink="">
          <xdr:nvSpPr>
            <xdr:cNvPr id="108549" name=" 5" hidden="1">
              <a:extLst>
                <a:ext uri="{63B3BB69-23CF-44E3-9099-C40C66FF867C}">
                  <a14:compatExt spid="_x0000_s108549"/>
                </a:ext>
                <a:ext uri="{FF2B5EF4-FFF2-40B4-BE49-F238E27FC236}">
                  <a16:creationId xmlns:a16="http://schemas.microsoft.com/office/drawing/2014/main" id="{00000000-0008-0000-1400-000005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22860</xdr:colOff>
          <xdr:row>4</xdr:row>
          <xdr:rowOff>137160</xdr:rowOff>
        </xdr:from>
        <xdr:to>
          <xdr:col>4</xdr:col>
          <xdr:colOff>213360</xdr:colOff>
          <xdr:row>6</xdr:row>
          <xdr:rowOff>38100</xdr:rowOff>
        </xdr:to>
        <xdr:sp macro="" textlink="">
          <xdr:nvSpPr>
            <xdr:cNvPr id="108550" name=" 6" hidden="1">
              <a:extLst>
                <a:ext uri="{63B3BB69-23CF-44E3-9099-C40C66FF867C}">
                  <a14:compatExt spid="_x0000_s108550"/>
                </a:ext>
                <a:ext uri="{FF2B5EF4-FFF2-40B4-BE49-F238E27FC236}">
                  <a16:creationId xmlns:a16="http://schemas.microsoft.com/office/drawing/2014/main" id="{00000000-0008-0000-1400-000006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22860</xdr:colOff>
          <xdr:row>5</xdr:row>
          <xdr:rowOff>114300</xdr:rowOff>
        </xdr:from>
        <xdr:to>
          <xdr:col>4</xdr:col>
          <xdr:colOff>213360</xdr:colOff>
          <xdr:row>7</xdr:row>
          <xdr:rowOff>22860</xdr:rowOff>
        </xdr:to>
        <xdr:sp macro="" textlink="">
          <xdr:nvSpPr>
            <xdr:cNvPr id="108551" name=" 7" hidden="1">
              <a:extLst>
                <a:ext uri="{63B3BB69-23CF-44E3-9099-C40C66FF867C}">
                  <a14:compatExt spid="_x0000_s108551"/>
                </a:ext>
                <a:ext uri="{FF2B5EF4-FFF2-40B4-BE49-F238E27FC236}">
                  <a16:creationId xmlns:a16="http://schemas.microsoft.com/office/drawing/2014/main" id="{00000000-0008-0000-1400-000007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22860</xdr:colOff>
          <xdr:row>6</xdr:row>
          <xdr:rowOff>114300</xdr:rowOff>
        </xdr:from>
        <xdr:to>
          <xdr:col>4</xdr:col>
          <xdr:colOff>228600</xdr:colOff>
          <xdr:row>8</xdr:row>
          <xdr:rowOff>38100</xdr:rowOff>
        </xdr:to>
        <xdr:sp macro="" textlink="">
          <xdr:nvSpPr>
            <xdr:cNvPr id="108552" name=" 8" hidden="1">
              <a:extLst>
                <a:ext uri="{63B3BB69-23CF-44E3-9099-C40C66FF867C}">
                  <a14:compatExt spid="_x0000_s108552"/>
                </a:ext>
                <a:ext uri="{FF2B5EF4-FFF2-40B4-BE49-F238E27FC236}">
                  <a16:creationId xmlns:a16="http://schemas.microsoft.com/office/drawing/2014/main" id="{00000000-0008-0000-1400-000008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xdr:colOff>
          <xdr:row>2</xdr:row>
          <xdr:rowOff>137160</xdr:rowOff>
        </xdr:from>
        <xdr:to>
          <xdr:col>8</xdr:col>
          <xdr:colOff>213360</xdr:colOff>
          <xdr:row>4</xdr:row>
          <xdr:rowOff>38100</xdr:rowOff>
        </xdr:to>
        <xdr:sp macro="" textlink="">
          <xdr:nvSpPr>
            <xdr:cNvPr id="108555" name=" 11" hidden="1">
              <a:extLst>
                <a:ext uri="{63B3BB69-23CF-44E3-9099-C40C66FF867C}">
                  <a14:compatExt spid="_x0000_s108555"/>
                </a:ext>
                <a:ext uri="{FF2B5EF4-FFF2-40B4-BE49-F238E27FC236}">
                  <a16:creationId xmlns:a16="http://schemas.microsoft.com/office/drawing/2014/main" id="{00000000-0008-0000-1400-00000B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xdr:colOff>
          <xdr:row>3</xdr:row>
          <xdr:rowOff>137160</xdr:rowOff>
        </xdr:from>
        <xdr:to>
          <xdr:col>8</xdr:col>
          <xdr:colOff>213360</xdr:colOff>
          <xdr:row>5</xdr:row>
          <xdr:rowOff>38100</xdr:rowOff>
        </xdr:to>
        <xdr:sp macro="" textlink="">
          <xdr:nvSpPr>
            <xdr:cNvPr id="108556" name=" 12" hidden="1">
              <a:extLst>
                <a:ext uri="{63B3BB69-23CF-44E3-9099-C40C66FF867C}">
                  <a14:compatExt spid="_x0000_s108556"/>
                </a:ext>
                <a:ext uri="{FF2B5EF4-FFF2-40B4-BE49-F238E27FC236}">
                  <a16:creationId xmlns:a16="http://schemas.microsoft.com/office/drawing/2014/main" id="{00000000-0008-0000-1400-00000C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xdr:colOff>
          <xdr:row>4</xdr:row>
          <xdr:rowOff>114300</xdr:rowOff>
        </xdr:from>
        <xdr:to>
          <xdr:col>8</xdr:col>
          <xdr:colOff>213360</xdr:colOff>
          <xdr:row>6</xdr:row>
          <xdr:rowOff>22860</xdr:rowOff>
        </xdr:to>
        <xdr:sp macro="" textlink="">
          <xdr:nvSpPr>
            <xdr:cNvPr id="108557" name=" 13" hidden="1">
              <a:extLst>
                <a:ext uri="{63B3BB69-23CF-44E3-9099-C40C66FF867C}">
                  <a14:compatExt spid="_x0000_s108557"/>
                </a:ext>
                <a:ext uri="{FF2B5EF4-FFF2-40B4-BE49-F238E27FC236}">
                  <a16:creationId xmlns:a16="http://schemas.microsoft.com/office/drawing/2014/main" id="{00000000-0008-0000-1400-00000D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xdr:colOff>
          <xdr:row>5</xdr:row>
          <xdr:rowOff>114300</xdr:rowOff>
        </xdr:from>
        <xdr:to>
          <xdr:col>8</xdr:col>
          <xdr:colOff>213360</xdr:colOff>
          <xdr:row>7</xdr:row>
          <xdr:rowOff>38100</xdr:rowOff>
        </xdr:to>
        <xdr:sp macro="" textlink="">
          <xdr:nvSpPr>
            <xdr:cNvPr id="108558" name=" 14" hidden="1">
              <a:extLst>
                <a:ext uri="{63B3BB69-23CF-44E3-9099-C40C66FF867C}">
                  <a14:compatExt spid="_x0000_s108558"/>
                </a:ext>
                <a:ext uri="{FF2B5EF4-FFF2-40B4-BE49-F238E27FC236}">
                  <a16:creationId xmlns:a16="http://schemas.microsoft.com/office/drawing/2014/main" id="{00000000-0008-0000-1400-00000E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xdr:colOff>
          <xdr:row>6</xdr:row>
          <xdr:rowOff>137160</xdr:rowOff>
        </xdr:from>
        <xdr:to>
          <xdr:col>8</xdr:col>
          <xdr:colOff>213360</xdr:colOff>
          <xdr:row>8</xdr:row>
          <xdr:rowOff>38100</xdr:rowOff>
        </xdr:to>
        <xdr:sp macro="" textlink="">
          <xdr:nvSpPr>
            <xdr:cNvPr id="108559" name=" 15" hidden="1">
              <a:extLst>
                <a:ext uri="{63B3BB69-23CF-44E3-9099-C40C66FF867C}">
                  <a14:compatExt spid="_x0000_s108559"/>
                </a:ext>
                <a:ext uri="{FF2B5EF4-FFF2-40B4-BE49-F238E27FC236}">
                  <a16:creationId xmlns:a16="http://schemas.microsoft.com/office/drawing/2014/main" id="{00000000-0008-0000-1400-00000F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rive.google.com/drive/folders/1PmyDrmQ2CumbWrqY7NRqa0Ol-M9VnkFz?usp=drive_link" TargetMode="External"/><Relationship Id="rId1" Type="http://schemas.openxmlformats.org/officeDocument/2006/relationships/hyperlink" Target="https://docs.google.com/document/d/1tqdAzSbqYhME53ZdAFDEsJy-LOS5JIw8ViIbdLR9GI8/edit"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3.vml"/><Relationship Id="rId3" Type="http://schemas.openxmlformats.org/officeDocument/2006/relationships/hyperlink" Target="https://www.admo.cityu.edu.hk/assessment/score_calculation/" TargetMode="External"/><Relationship Id="rId7" Type="http://schemas.openxmlformats.org/officeDocument/2006/relationships/drawing" Target="../drawings/drawing4.xml"/><Relationship Id="rId2" Type="http://schemas.openxmlformats.org/officeDocument/2006/relationships/hyperlink" Target="https://www.admo.cityu.edu.hk/jupas/entreq/bd/" TargetMode="External"/><Relationship Id="rId1" Type="http://schemas.openxmlformats.org/officeDocument/2006/relationships/hyperlink" Target="https://www.cityu.edu.hk/admo/sites/default/files/2023-09/2023_JUPAS_Admission_Scores_Report_20230929.pdf" TargetMode="External"/><Relationship Id="rId6" Type="http://schemas.openxmlformats.org/officeDocument/2006/relationships/printerSettings" Target="../printerSettings/printerSettings4.bin"/><Relationship Id="rId5" Type="http://schemas.openxmlformats.org/officeDocument/2006/relationships/hyperlink" Target="https://www.admo.cityu.edu.hk/interview_arrangements/jupas" TargetMode="External"/><Relationship Id="rId4" Type="http://schemas.openxmlformats.org/officeDocument/2006/relationships/hyperlink" Target="https://www.admo.cityu.edu.hk/jupas/assessment/bd" TargetMode="External"/><Relationship Id="rId9"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admissions.hkbu.edu.hk/en/programmes-offer.html" TargetMode="External"/><Relationship Id="rId1" Type="http://schemas.openxmlformats.org/officeDocument/2006/relationships/hyperlink" Target="https://admissions.hkbu.edu.hk/en/hkdse.html" TargetMode="External"/><Relationship Id="rId4"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hyperlink" Target="https://www.polyu.edu.hk/aradm/jupas/admission_figures.pdf" TargetMode="External"/><Relationship Id="rId2" Type="http://schemas.openxmlformats.org/officeDocument/2006/relationships/hyperlink" Target="https://www51.polyu.edu.hk/eprospectus/ug/jupas/programme-requirements" TargetMode="External"/><Relationship Id="rId1" Type="http://schemas.openxmlformats.org/officeDocument/2006/relationships/hyperlink" Target="https://www51.polyu.edu.hk/eprospectus/ug/jupas/admission-selection" TargetMode="External"/><Relationship Id="rId6" Type="http://schemas.openxmlformats.org/officeDocument/2006/relationships/drawing" Target="../drawings/drawing6.xml"/><Relationship Id="rId5" Type="http://schemas.openxmlformats.org/officeDocument/2006/relationships/printerSettings" Target="../printerSettings/printerSettings6.bin"/><Relationship Id="rId4" Type="http://schemas.openxmlformats.org/officeDocument/2006/relationships/hyperlink" Target="https://www51.polyu.edu.hk/eprospectus/ug/jupas/interview-arrangement" TargetMode="External"/></Relationships>
</file>

<file path=xl/worksheets/_rels/sheet8.xml.rels><?xml version="1.0" encoding="UTF-8" standalone="yes"?>
<Relationships xmlns="http://schemas.openxmlformats.org/package/2006/relationships"><Relationship Id="rId8" Type="http://schemas.openxmlformats.org/officeDocument/2006/relationships/comments" Target="../comments4.xml"/><Relationship Id="rId3" Type="http://schemas.openxmlformats.org/officeDocument/2006/relationships/hyperlink" Target="https://www.cuhk.edu.hk/adm/jupas/useful-information-2024.pdf" TargetMode="External"/><Relationship Id="rId7" Type="http://schemas.openxmlformats.org/officeDocument/2006/relationships/vmlDrawing" Target="../drawings/vmlDrawing4.vml"/><Relationship Id="rId2" Type="http://schemas.openxmlformats.org/officeDocument/2006/relationships/hyperlink" Target="https://www.cuhk.edu.hk/adm/jupas/arrangement-for-more-than-one-sitting-2024.pdf" TargetMode="External"/><Relationship Id="rId1" Type="http://schemas.openxmlformats.org/officeDocument/2006/relationships/hyperlink" Target="https://admission.cuhk.edu.hk/wp-content/uploads/2024/03/interview-arrangement-2024.pdf" TargetMode="External"/><Relationship Id="rId6" Type="http://schemas.openxmlformats.org/officeDocument/2006/relationships/drawing" Target="../drawings/drawing7.xml"/><Relationship Id="rId5" Type="http://schemas.openxmlformats.org/officeDocument/2006/relationships/printerSettings" Target="../printerSettings/printerSettings7.bin"/><Relationship Id="rId4" Type="http://schemas.openxmlformats.org/officeDocument/2006/relationships/hyperlink" Target="https://www.cuhk.edu.hk/adm/jupas/admission_grades_2023.pdf"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join.hkust.edu.hk/admissions/jupas" TargetMode="External"/><Relationship Id="rId2" Type="http://schemas.openxmlformats.org/officeDocument/2006/relationships/hyperlink" Target="https://www.jupas.edu.hk/f/page/3667/af_2023_JUPAS.pdf" TargetMode="External"/><Relationship Id="rId1" Type="http://schemas.openxmlformats.org/officeDocument/2006/relationships/hyperlink" Target="https://join.hkust.edu.hk/admissions/jupas" TargetMode="External"/><Relationship Id="rId6" Type="http://schemas.openxmlformats.org/officeDocument/2006/relationships/comments" Target="../comments5.xml"/><Relationship Id="rId5" Type="http://schemas.openxmlformats.org/officeDocument/2006/relationships/vmlDrawing" Target="../drawings/vmlDrawing5.vml"/><Relationship Id="rId4"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hyperlink" Target="https://admissions.hku.hk/sites/default/files/2024-01/HKU_2023%20JUPAS_Admissions_Scores.pdf" TargetMode="External"/><Relationship Id="rId2" Type="http://schemas.openxmlformats.org/officeDocument/2006/relationships/hyperlink" Target="https://admissions.hku.hk/apply/jupas" TargetMode="External"/><Relationship Id="rId1" Type="http://schemas.openxmlformats.org/officeDocument/2006/relationships/hyperlink" Target="https://admissions.hku.hk/sites/default/files/2023-11/HKU%202023%20JUPAS%20Admissions%20Score.pdf" TargetMode="External"/><Relationship Id="rId5" Type="http://schemas.openxmlformats.org/officeDocument/2006/relationships/drawing" Target="../drawings/drawing9.xm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ln.edu.hk/admissions/ug/jupas/interview-arrangement" TargetMode="External"/><Relationship Id="rId2" Type="http://schemas.openxmlformats.org/officeDocument/2006/relationships/hyperlink" Target="https://www.ln.edu.hk/admissions/ug/jupas/admission-score/subject-weighting" TargetMode="External"/><Relationship Id="rId1" Type="http://schemas.openxmlformats.org/officeDocument/2006/relationships/hyperlink" Target="https://www.ln.edu.hk/admissions/ug/jupas/admission-score/jupas-score-calculator" TargetMode="External"/><Relationship Id="rId6" Type="http://schemas.openxmlformats.org/officeDocument/2006/relationships/drawing" Target="../drawings/drawing10.xml"/><Relationship Id="rId5" Type="http://schemas.openxmlformats.org/officeDocument/2006/relationships/printerSettings" Target="../printerSettings/printerSettings9.bin"/><Relationship Id="rId4" Type="http://schemas.openxmlformats.org/officeDocument/2006/relationships/hyperlink" Target="https://www.ln.edu.hk/admissions/ug/f/upload/186/2023-admissionsscores.pdf" TargetMode="Externa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www.apply.eduhk.hk/ug/sites/default/files/2023-09/admission%20scores_2023.pdf" TargetMode="External"/><Relationship Id="rId1" Type="http://schemas.openxmlformats.org/officeDocument/2006/relationships/hyperlink" Target="https://www.apply.eduhk.hk/ug/jupas_scores" TargetMode="External"/><Relationship Id="rId6" Type="http://schemas.openxmlformats.org/officeDocument/2006/relationships/comments" Target="../comments6.xml"/><Relationship Id="rId5" Type="http://schemas.openxmlformats.org/officeDocument/2006/relationships/vmlDrawing" Target="../drawings/vmlDrawing6.vml"/><Relationship Id="rId4"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hyperlink" Target="https://www.hkmu.edu.hk/REG/reg_ftae/Admission/Scores_JUPAS.pdf" TargetMode="External"/><Relationship Id="rId1" Type="http://schemas.openxmlformats.org/officeDocument/2006/relationships/hyperlink" Target="https://admissions.hkmu.edu.hk/ug/jupas/"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ef.hksyu.edu/Programmes/BCom-in-FinTech" TargetMode="External"/><Relationship Id="rId3" Type="http://schemas.openxmlformats.org/officeDocument/2006/relationships/hyperlink" Target="https://www.chuhai.edu.hk/" TargetMode="External"/><Relationship Id="rId7" Type="http://schemas.openxmlformats.org/officeDocument/2006/relationships/hyperlink" Target="https://www.uowchk.edu.hk/study-at-uowchk/find-programmes/programmes-by-entry-level/bachelor-degrees/" TargetMode="External"/><Relationship Id="rId12" Type="http://schemas.openxmlformats.org/officeDocument/2006/relationships/drawing" Target="../drawings/drawing13.xml"/><Relationship Id="rId2" Type="http://schemas.openxmlformats.org/officeDocument/2006/relationships/hyperlink" Target="https://www.twc.edu.hk/en/Programme_cat" TargetMode="External"/><Relationship Id="rId1" Type="http://schemas.openxmlformats.org/officeDocument/2006/relationships/hyperlink" Target="https://www.cihe.edu.hk/en/programmes/index.html" TargetMode="External"/><Relationship Id="rId6" Type="http://schemas.openxmlformats.org/officeDocument/2006/relationships/hyperlink" Target="https://www.thei.edu.hk/admissions/local-students-admission-for-year-1-entry/general-entrance-requirement-year-1-entry" TargetMode="External"/><Relationship Id="rId11" Type="http://schemas.openxmlformats.org/officeDocument/2006/relationships/printerSettings" Target="../printerSettings/printerSettings11.bin"/><Relationship Id="rId5" Type="http://schemas.openxmlformats.org/officeDocument/2006/relationships/hyperlink" Target="https://admissions.hkmu.edu.hk/ug/jupas/" TargetMode="External"/><Relationship Id="rId10" Type="http://schemas.openxmlformats.org/officeDocument/2006/relationships/hyperlink" Target="https://www.jupas.edu.hk/f/page/3669/af_2023_SSSDP.pdf" TargetMode="External"/><Relationship Id="rId4" Type="http://schemas.openxmlformats.org/officeDocument/2006/relationships/hyperlink" Target="https://registry.hsu.edu.hk/prospective-students/undergraduate/programmes-offered/" TargetMode="External"/><Relationship Id="rId9" Type="http://schemas.openxmlformats.org/officeDocument/2006/relationships/hyperlink" Target="https://www.jupas.edu.hk/en/programme/sssdp/" TargetMode="External"/></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s://isd.hkust.edu.hk/academics/bsc-in-integrative-systems-and-design-isd" TargetMode="External"/><Relationship Id="rId1" Type="http://schemas.openxmlformats.org/officeDocument/2006/relationships/hyperlink" Target="http://www.arch.cuhk.edu.hk/programme/bachelor-social-science-architectural-studies/" TargetMode="External"/><Relationship Id="rId5" Type="http://schemas.openxmlformats.org/officeDocument/2006/relationships/comments" Target="../comments8.xml"/><Relationship Id="rId4" Type="http://schemas.openxmlformats.org/officeDocument/2006/relationships/vmlDrawing" Target="../drawings/vmlDrawing8.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8" Type="http://schemas.openxmlformats.org/officeDocument/2006/relationships/ctrlProp" Target="../ctrlProps/ctrlProp4.xml"/><Relationship Id="rId13" Type="http://schemas.openxmlformats.org/officeDocument/2006/relationships/ctrlProp" Target="../ctrlProps/ctrlProp9.xml"/><Relationship Id="rId3" Type="http://schemas.openxmlformats.org/officeDocument/2006/relationships/drawing" Target="../drawings/drawing14.xml"/><Relationship Id="rId7" Type="http://schemas.openxmlformats.org/officeDocument/2006/relationships/ctrlProp" Target="../ctrlProps/ctrlProp3.xml"/><Relationship Id="rId12" Type="http://schemas.openxmlformats.org/officeDocument/2006/relationships/ctrlProp" Target="../ctrlProps/ctrlProp8.xml"/><Relationship Id="rId2" Type="http://schemas.openxmlformats.org/officeDocument/2006/relationships/hyperlink" Target="https://admissions.hku.hk/apply/jupas" TargetMode="External"/><Relationship Id="rId1" Type="http://schemas.openxmlformats.org/officeDocument/2006/relationships/hyperlink" Target="https://www.cuhk.edu.hk/adm/jupas/arrangement-for-more-than-one-sitting-2024.pdf" TargetMode="External"/><Relationship Id="rId6" Type="http://schemas.openxmlformats.org/officeDocument/2006/relationships/ctrlProp" Target="../ctrlProps/ctrlProp2.xml"/><Relationship Id="rId11" Type="http://schemas.openxmlformats.org/officeDocument/2006/relationships/ctrlProp" Target="../ctrlProps/ctrlProp7.xml"/><Relationship Id="rId5" Type="http://schemas.openxmlformats.org/officeDocument/2006/relationships/ctrlProp" Target="../ctrlProps/ctrlProp1.xml"/><Relationship Id="rId10" Type="http://schemas.openxmlformats.org/officeDocument/2006/relationships/ctrlProp" Target="../ctrlProps/ctrlProp6.xml"/><Relationship Id="rId4" Type="http://schemas.openxmlformats.org/officeDocument/2006/relationships/vmlDrawing" Target="../drawings/vmlDrawing10.vml"/><Relationship Id="rId9" Type="http://schemas.openxmlformats.org/officeDocument/2006/relationships/ctrlProp" Target="../ctrlProps/ctrlProp5.xml"/><Relationship Id="rId14" Type="http://schemas.openxmlformats.org/officeDocument/2006/relationships/ctrlProp" Target="../ctrlProps/ctrlProp10.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4DD4B-DFD1-4D3B-B420-63B3A9F78AB4}">
  <sheetPr>
    <tabColor theme="1" tint="0.249977111117893"/>
  </sheetPr>
  <dimension ref="A1:X37"/>
  <sheetViews>
    <sheetView tabSelected="1" workbookViewId="0">
      <selection activeCell="D5" sqref="D5"/>
    </sheetView>
    <sheetView tabSelected="1" workbookViewId="1"/>
  </sheetViews>
  <sheetFormatPr defaultColWidth="0" defaultRowHeight="16.2" customHeight="1" zeroHeight="1"/>
  <cols>
    <col min="1" max="24" width="8.69921875" style="479" customWidth="1"/>
    <col min="25" max="16384" width="8.69921875" style="479" hidden="1"/>
  </cols>
  <sheetData>
    <row r="1" spans="1:24" ht="15.6">
      <c r="A1" s="478"/>
      <c r="B1" s="478"/>
      <c r="C1" s="478"/>
      <c r="D1" s="478"/>
      <c r="E1" s="478"/>
      <c r="F1" s="478"/>
      <c r="G1" s="478"/>
      <c r="H1" s="478"/>
      <c r="I1" s="478"/>
      <c r="J1" s="478"/>
      <c r="K1" s="478"/>
      <c r="L1" s="478"/>
      <c r="M1" s="478"/>
      <c r="N1" s="478"/>
      <c r="O1" s="478"/>
      <c r="P1" s="478"/>
      <c r="Q1" s="478"/>
      <c r="R1" s="478"/>
      <c r="S1" s="478"/>
      <c r="T1" s="478"/>
      <c r="U1" s="478"/>
      <c r="V1" s="478"/>
      <c r="W1" s="478"/>
      <c r="X1" s="478"/>
    </row>
    <row r="2" spans="1:24" ht="15.6">
      <c r="A2" s="478"/>
      <c r="B2" s="478"/>
      <c r="C2" s="478"/>
      <c r="D2" s="478"/>
      <c r="E2" s="478"/>
      <c r="F2" s="478"/>
      <c r="G2" s="478"/>
      <c r="H2" s="478"/>
      <c r="I2" s="478"/>
      <c r="J2" s="478"/>
      <c r="K2" s="478"/>
      <c r="L2" s="478"/>
      <c r="M2" s="478"/>
      <c r="N2" s="478"/>
      <c r="O2" s="478"/>
      <c r="P2" s="478"/>
      <c r="Q2" s="478"/>
      <c r="R2" s="478"/>
      <c r="S2" s="478"/>
      <c r="T2" s="478"/>
      <c r="U2" s="478"/>
      <c r="V2" s="478"/>
      <c r="W2" s="478"/>
      <c r="X2" s="478"/>
    </row>
    <row r="3" spans="1:24" ht="15.6">
      <c r="A3" s="478"/>
      <c r="B3" s="478"/>
      <c r="C3" s="478"/>
      <c r="D3" s="478"/>
      <c r="E3" s="478"/>
      <c r="F3" s="478"/>
      <c r="G3" s="478"/>
      <c r="H3" s="478"/>
      <c r="I3" s="478"/>
      <c r="J3" s="478"/>
      <c r="K3" s="478"/>
      <c r="L3" s="478"/>
      <c r="M3" s="478"/>
      <c r="N3" s="478"/>
      <c r="O3" s="478"/>
      <c r="P3" s="478"/>
      <c r="Q3" s="478"/>
      <c r="R3" s="478"/>
      <c r="S3" s="478"/>
      <c r="T3" s="478"/>
      <c r="U3" s="478"/>
      <c r="V3" s="478"/>
      <c r="W3" s="478"/>
      <c r="X3" s="478"/>
    </row>
    <row r="4" spans="1:24" ht="15.6">
      <c r="A4" s="478"/>
      <c r="B4" s="478"/>
      <c r="C4" s="478"/>
      <c r="D4" s="478"/>
      <c r="E4" s="478"/>
      <c r="F4" s="478"/>
      <c r="G4" s="478"/>
      <c r="H4" s="478"/>
      <c r="I4" s="478"/>
      <c r="J4" s="478"/>
      <c r="K4" s="478"/>
      <c r="L4" s="478"/>
      <c r="M4" s="478"/>
      <c r="N4" s="478"/>
      <c r="O4" s="478"/>
      <c r="P4" s="478"/>
      <c r="Q4" s="478"/>
      <c r="R4" s="478"/>
      <c r="S4" s="478"/>
      <c r="T4" s="478"/>
      <c r="U4" s="478"/>
      <c r="V4" s="478"/>
      <c r="W4" s="478"/>
      <c r="X4" s="478"/>
    </row>
    <row r="5" spans="1:24" ht="15.6">
      <c r="A5" s="478"/>
      <c r="B5" s="478"/>
      <c r="C5" s="478"/>
      <c r="D5" s="478"/>
      <c r="E5" s="478"/>
      <c r="F5" s="478"/>
      <c r="G5" s="478"/>
      <c r="H5" s="478"/>
      <c r="I5" s="478"/>
      <c r="J5" s="478"/>
      <c r="K5" s="478"/>
      <c r="L5" s="478"/>
      <c r="M5" s="478"/>
      <c r="N5" s="478"/>
      <c r="O5" s="478"/>
      <c r="P5" s="478"/>
      <c r="Q5" s="478"/>
      <c r="R5" s="478"/>
      <c r="S5" s="478"/>
      <c r="T5" s="478"/>
      <c r="U5" s="478"/>
      <c r="V5" s="478"/>
      <c r="W5" s="478"/>
      <c r="X5" s="478"/>
    </row>
    <row r="6" spans="1:24" ht="15.6">
      <c r="A6" s="478"/>
      <c r="B6" s="478"/>
      <c r="C6" s="478"/>
      <c r="D6" s="478"/>
      <c r="E6" s="478"/>
      <c r="F6" s="478"/>
      <c r="G6" s="478"/>
      <c r="H6" s="478"/>
      <c r="I6" s="478"/>
      <c r="J6" s="478"/>
      <c r="K6" s="478"/>
      <c r="L6" s="478"/>
      <c r="M6" s="478"/>
      <c r="N6" s="478"/>
      <c r="O6" s="478"/>
      <c r="P6" s="478"/>
      <c r="Q6" s="478"/>
      <c r="R6" s="478"/>
      <c r="S6" s="478"/>
      <c r="T6" s="478"/>
      <c r="U6" s="478"/>
      <c r="V6" s="478"/>
      <c r="W6" s="478"/>
      <c r="X6" s="478"/>
    </row>
    <row r="7" spans="1:24" ht="15.6">
      <c r="A7" s="478"/>
      <c r="B7" s="478"/>
      <c r="C7" s="478"/>
      <c r="D7" s="478"/>
      <c r="E7" s="478"/>
      <c r="F7" s="478"/>
      <c r="G7" s="478"/>
      <c r="H7" s="478"/>
      <c r="I7" s="478"/>
      <c r="J7" s="478"/>
      <c r="K7" s="478"/>
      <c r="L7" s="478"/>
      <c r="M7" s="478"/>
      <c r="N7" s="478"/>
      <c r="O7" s="478"/>
      <c r="P7" s="478"/>
      <c r="Q7" s="478"/>
      <c r="R7" s="478"/>
      <c r="S7" s="478"/>
      <c r="T7" s="478"/>
      <c r="U7" s="478"/>
      <c r="V7" s="478"/>
      <c r="W7" s="478"/>
      <c r="X7" s="478"/>
    </row>
    <row r="8" spans="1:24" ht="15.6">
      <c r="A8" s="478"/>
      <c r="B8" s="478"/>
      <c r="C8" s="478"/>
      <c r="D8" s="478"/>
      <c r="E8" s="478"/>
      <c r="F8" s="478"/>
      <c r="G8" s="478"/>
      <c r="H8" s="478"/>
      <c r="I8" s="478"/>
      <c r="J8" s="478"/>
      <c r="K8" s="478"/>
      <c r="L8" s="478"/>
      <c r="M8" s="478"/>
      <c r="N8" s="478"/>
      <c r="O8" s="478"/>
      <c r="P8" s="478"/>
      <c r="Q8" s="478"/>
      <c r="R8" s="478"/>
      <c r="S8" s="478"/>
      <c r="T8" s="478"/>
      <c r="U8" s="478"/>
      <c r="V8" s="478"/>
      <c r="W8" s="478"/>
      <c r="X8" s="478"/>
    </row>
    <row r="9" spans="1:24" ht="15.6">
      <c r="A9" s="478"/>
      <c r="B9" s="478"/>
      <c r="C9" s="478"/>
      <c r="D9" s="478"/>
      <c r="E9" s="478"/>
      <c r="F9" s="478"/>
      <c r="G9" s="478"/>
      <c r="H9" s="478"/>
      <c r="I9" s="478"/>
      <c r="J9" s="478"/>
      <c r="K9" s="478"/>
      <c r="L9" s="478"/>
      <c r="M9" s="478"/>
      <c r="N9" s="478"/>
      <c r="O9" s="478"/>
      <c r="P9" s="478"/>
      <c r="Q9" s="478"/>
      <c r="R9" s="478"/>
      <c r="S9" s="478"/>
      <c r="T9" s="478"/>
      <c r="U9" s="478"/>
      <c r="V9" s="478"/>
      <c r="W9" s="478"/>
      <c r="X9" s="478"/>
    </row>
    <row r="10" spans="1:24" ht="15.6">
      <c r="A10" s="478"/>
      <c r="B10" s="478"/>
      <c r="C10" s="478"/>
      <c r="D10" s="478"/>
      <c r="E10" s="478"/>
      <c r="F10" s="478"/>
      <c r="G10" s="478"/>
      <c r="H10" s="478"/>
      <c r="I10" s="478"/>
      <c r="J10" s="478"/>
      <c r="K10" s="478"/>
      <c r="L10" s="478"/>
      <c r="M10" s="478"/>
      <c r="N10" s="478"/>
      <c r="O10" s="478"/>
      <c r="P10" s="478"/>
      <c r="Q10" s="478"/>
      <c r="R10" s="478"/>
      <c r="S10" s="478"/>
      <c r="T10" s="478"/>
      <c r="U10" s="478"/>
      <c r="V10" s="478"/>
      <c r="W10" s="478"/>
      <c r="X10" s="478"/>
    </row>
    <row r="11" spans="1:24" ht="15.6">
      <c r="A11" s="478"/>
      <c r="B11" s="478"/>
      <c r="C11" s="478"/>
      <c r="D11" s="478"/>
      <c r="E11" s="478"/>
      <c r="F11" s="478"/>
      <c r="G11" s="478"/>
      <c r="H11" s="478"/>
      <c r="I11" s="478"/>
      <c r="J11" s="478"/>
      <c r="K11" s="478"/>
      <c r="L11" s="478"/>
      <c r="M11" s="478"/>
      <c r="N11" s="478"/>
      <c r="O11" s="478"/>
      <c r="P11" s="478"/>
      <c r="Q11" s="478"/>
      <c r="R11" s="478"/>
      <c r="S11" s="478"/>
      <c r="T11" s="478"/>
      <c r="U11" s="478"/>
      <c r="V11" s="478"/>
      <c r="W11" s="478"/>
      <c r="X11" s="478"/>
    </row>
    <row r="12" spans="1:24" ht="15.6">
      <c r="A12" s="478"/>
      <c r="B12" s="478"/>
      <c r="C12" s="478"/>
      <c r="D12" s="478"/>
      <c r="E12" s="478"/>
      <c r="F12" s="478"/>
      <c r="G12" s="478"/>
      <c r="H12" s="478"/>
      <c r="I12" s="478"/>
      <c r="J12" s="478"/>
      <c r="K12" s="478"/>
      <c r="L12" s="478"/>
      <c r="M12" s="478"/>
      <c r="N12" s="478"/>
      <c r="O12" s="478"/>
      <c r="P12" s="478"/>
      <c r="Q12" s="478"/>
      <c r="R12" s="478"/>
      <c r="S12" s="478"/>
      <c r="T12" s="478"/>
      <c r="U12" s="478"/>
      <c r="V12" s="478"/>
      <c r="W12" s="478"/>
      <c r="X12" s="478"/>
    </row>
    <row r="13" spans="1:24" ht="15.6">
      <c r="A13" s="478"/>
      <c r="B13" s="478"/>
      <c r="C13" s="478"/>
      <c r="D13" s="478"/>
      <c r="E13" s="478"/>
      <c r="F13" s="478"/>
      <c r="G13" s="478"/>
      <c r="H13" s="478"/>
      <c r="I13" s="478"/>
      <c r="J13" s="478"/>
      <c r="K13" s="478"/>
      <c r="L13" s="478"/>
      <c r="M13" s="478"/>
      <c r="N13" s="478"/>
      <c r="O13" s="478"/>
      <c r="P13" s="478"/>
      <c r="Q13" s="478"/>
      <c r="R13" s="478"/>
      <c r="S13" s="478"/>
      <c r="T13" s="478"/>
      <c r="U13" s="478"/>
      <c r="V13" s="478"/>
      <c r="W13" s="478"/>
      <c r="X13" s="478"/>
    </row>
    <row r="14" spans="1:24" ht="15.6">
      <c r="A14" s="478"/>
      <c r="B14" s="478"/>
      <c r="C14" s="478"/>
      <c r="D14" s="478"/>
      <c r="E14" s="478"/>
      <c r="F14" s="478"/>
      <c r="G14" s="478"/>
      <c r="H14" s="478"/>
      <c r="I14" s="478"/>
      <c r="J14" s="478"/>
      <c r="K14" s="478"/>
      <c r="L14" s="478"/>
      <c r="M14" s="478"/>
      <c r="N14" s="478"/>
      <c r="O14" s="478"/>
      <c r="P14" s="478"/>
      <c r="Q14" s="478"/>
      <c r="R14" s="478"/>
      <c r="S14" s="478"/>
      <c r="T14" s="478"/>
      <c r="U14" s="478"/>
      <c r="V14" s="478"/>
      <c r="W14" s="478"/>
      <c r="X14" s="478"/>
    </row>
    <row r="15" spans="1:24" ht="15.6">
      <c r="A15" s="478"/>
      <c r="B15" s="478"/>
      <c r="C15" s="478"/>
      <c r="D15" s="478"/>
      <c r="E15" s="478"/>
      <c r="F15" s="478"/>
      <c r="G15" s="478"/>
      <c r="H15" s="478"/>
      <c r="I15" s="478"/>
      <c r="J15" s="478"/>
      <c r="K15" s="478"/>
      <c r="L15" s="478"/>
      <c r="M15" s="478"/>
      <c r="N15" s="478"/>
      <c r="O15" s="478"/>
      <c r="P15" s="478"/>
      <c r="Q15" s="478"/>
      <c r="R15" s="478"/>
      <c r="S15" s="478"/>
      <c r="T15" s="478"/>
      <c r="U15" s="478"/>
      <c r="V15" s="478"/>
      <c r="W15" s="478"/>
      <c r="X15" s="478"/>
    </row>
    <row r="16" spans="1:24" ht="15.6">
      <c r="A16" s="478"/>
      <c r="B16" s="478"/>
      <c r="C16" s="478"/>
      <c r="D16" s="478"/>
      <c r="E16" s="478"/>
      <c r="F16" s="478"/>
      <c r="G16" s="478"/>
      <c r="H16" s="478"/>
      <c r="I16" s="478"/>
      <c r="J16" s="478"/>
      <c r="K16" s="478"/>
      <c r="L16" s="478"/>
      <c r="M16" s="478"/>
      <c r="N16" s="478"/>
      <c r="O16" s="478"/>
      <c r="P16" s="478"/>
      <c r="Q16" s="478"/>
      <c r="R16" s="478"/>
      <c r="S16" s="478"/>
      <c r="T16" s="478"/>
      <c r="U16" s="478"/>
      <c r="V16" s="478"/>
      <c r="W16" s="478"/>
      <c r="X16" s="478"/>
    </row>
    <row r="17" spans="1:24" ht="15.6">
      <c r="A17" s="478"/>
      <c r="B17" s="478"/>
      <c r="C17" s="478"/>
      <c r="D17" s="478"/>
      <c r="E17" s="478"/>
      <c r="F17" s="478"/>
      <c r="G17" s="478"/>
      <c r="H17" s="478"/>
      <c r="I17" s="478"/>
      <c r="J17" s="478"/>
      <c r="K17" s="478"/>
      <c r="L17" s="478"/>
      <c r="M17" s="478"/>
      <c r="N17" s="478"/>
      <c r="O17" s="478"/>
      <c r="P17" s="478"/>
      <c r="Q17" s="478"/>
      <c r="R17" s="478"/>
      <c r="S17" s="478"/>
      <c r="T17" s="478"/>
      <c r="U17" s="478"/>
      <c r="V17" s="478"/>
      <c r="W17" s="478"/>
      <c r="X17" s="478"/>
    </row>
    <row r="18" spans="1:24" ht="15.6">
      <c r="A18" s="478"/>
      <c r="B18" s="478"/>
      <c r="C18" s="478"/>
      <c r="D18" s="478"/>
      <c r="E18" s="478"/>
      <c r="F18" s="478"/>
      <c r="G18" s="478"/>
      <c r="H18" s="478"/>
      <c r="I18" s="478"/>
      <c r="J18" s="478"/>
      <c r="K18" s="478"/>
      <c r="L18" s="478"/>
      <c r="M18" s="478"/>
      <c r="N18" s="478"/>
      <c r="O18" s="478"/>
      <c r="P18" s="478"/>
      <c r="Q18" s="478"/>
      <c r="R18" s="478"/>
      <c r="S18" s="478"/>
      <c r="T18" s="478"/>
      <c r="U18" s="478"/>
      <c r="V18" s="478"/>
      <c r="W18" s="478"/>
      <c r="X18" s="478"/>
    </row>
    <row r="19" spans="1:24" ht="15.6">
      <c r="A19" s="478"/>
      <c r="B19" s="478"/>
      <c r="C19" s="478"/>
      <c r="D19" s="478"/>
      <c r="E19" s="478"/>
      <c r="F19" s="478"/>
      <c r="G19" s="478"/>
      <c r="H19" s="478"/>
      <c r="I19" s="478"/>
      <c r="J19" s="478"/>
      <c r="K19" s="478"/>
      <c r="L19" s="478"/>
      <c r="M19" s="478"/>
      <c r="N19" s="478"/>
      <c r="O19" s="478"/>
      <c r="P19" s="478"/>
      <c r="Q19" s="478"/>
      <c r="R19" s="478"/>
      <c r="S19" s="478"/>
      <c r="T19" s="478"/>
      <c r="U19" s="478"/>
      <c r="V19" s="478"/>
      <c r="W19" s="478"/>
      <c r="X19" s="478"/>
    </row>
    <row r="20" spans="1:24" ht="15.6">
      <c r="A20" s="478"/>
      <c r="B20" s="478"/>
      <c r="C20" s="478"/>
      <c r="D20" s="478"/>
      <c r="E20" s="478"/>
      <c r="F20" s="478"/>
      <c r="G20" s="478"/>
      <c r="H20" s="478"/>
      <c r="I20" s="478"/>
      <c r="J20" s="478"/>
      <c r="K20" s="478"/>
      <c r="L20" s="478"/>
      <c r="M20" s="478"/>
      <c r="N20" s="478"/>
      <c r="O20" s="478"/>
      <c r="P20" s="478"/>
      <c r="Q20" s="478"/>
      <c r="R20" s="478"/>
      <c r="S20" s="478"/>
      <c r="T20" s="478"/>
      <c r="U20" s="478"/>
      <c r="V20" s="478"/>
      <c r="W20" s="478"/>
      <c r="X20" s="478"/>
    </row>
    <row r="21" spans="1:24" ht="15.6">
      <c r="A21" s="478"/>
      <c r="B21" s="478"/>
      <c r="C21" s="478"/>
      <c r="D21" s="478"/>
      <c r="E21" s="478"/>
      <c r="F21" s="478"/>
      <c r="G21" s="478"/>
      <c r="H21" s="478"/>
      <c r="I21" s="478"/>
      <c r="J21" s="478"/>
      <c r="K21" s="478"/>
      <c r="L21" s="478"/>
      <c r="M21" s="478"/>
      <c r="N21" s="478"/>
      <c r="O21" s="478"/>
      <c r="P21" s="478"/>
      <c r="Q21" s="478"/>
      <c r="R21" s="478"/>
      <c r="S21" s="478"/>
      <c r="T21" s="478"/>
      <c r="U21" s="478"/>
      <c r="V21" s="478"/>
      <c r="W21" s="478"/>
      <c r="X21" s="478"/>
    </row>
    <row r="22" spans="1:24" ht="15.6">
      <c r="A22" s="478"/>
      <c r="B22" s="478"/>
      <c r="C22" s="478"/>
      <c r="D22" s="478"/>
      <c r="E22" s="478"/>
      <c r="F22" s="478"/>
      <c r="G22" s="478"/>
      <c r="H22" s="478"/>
      <c r="I22" s="478"/>
      <c r="J22" s="478"/>
      <c r="K22" s="478"/>
      <c r="L22" s="478"/>
      <c r="M22" s="478"/>
      <c r="N22" s="478"/>
      <c r="O22" s="478"/>
      <c r="P22" s="478"/>
      <c r="Q22" s="478"/>
      <c r="R22" s="478"/>
      <c r="S22" s="478"/>
      <c r="T22" s="478"/>
      <c r="U22" s="478"/>
      <c r="V22" s="478"/>
      <c r="W22" s="478"/>
      <c r="X22" s="478"/>
    </row>
    <row r="23" spans="1:24" ht="15.6">
      <c r="A23" s="478"/>
      <c r="B23" s="478"/>
      <c r="C23" s="478"/>
      <c r="D23" s="478"/>
      <c r="E23" s="478"/>
      <c r="F23" s="478"/>
      <c r="G23" s="478"/>
      <c r="H23" s="478"/>
      <c r="I23" s="478"/>
      <c r="J23" s="478"/>
      <c r="K23" s="478"/>
      <c r="L23" s="478"/>
      <c r="M23" s="478"/>
      <c r="N23" s="478"/>
      <c r="O23" s="478"/>
      <c r="P23" s="478"/>
      <c r="Q23" s="478"/>
      <c r="R23" s="478"/>
      <c r="S23" s="478"/>
      <c r="T23" s="478"/>
      <c r="U23" s="478"/>
      <c r="V23" s="478"/>
      <c r="W23" s="478"/>
      <c r="X23" s="478"/>
    </row>
    <row r="24" spans="1:24" ht="15.6">
      <c r="A24" s="478"/>
      <c r="B24" s="478"/>
      <c r="C24" s="478"/>
      <c r="D24" s="478"/>
      <c r="E24" s="478"/>
      <c r="F24" s="478"/>
      <c r="G24" s="478"/>
      <c r="H24" s="478"/>
      <c r="I24" s="478"/>
      <c r="J24" s="478"/>
      <c r="K24" s="478"/>
      <c r="L24" s="478"/>
      <c r="M24" s="478"/>
      <c r="N24" s="478"/>
      <c r="O24" s="478"/>
      <c r="P24" s="478"/>
      <c r="Q24" s="478"/>
      <c r="R24" s="478"/>
      <c r="S24" s="478"/>
      <c r="T24" s="478"/>
      <c r="U24" s="478"/>
      <c r="V24" s="478"/>
      <c r="W24" s="478"/>
      <c r="X24" s="478"/>
    </row>
    <row r="25" spans="1:24" ht="15.6">
      <c r="A25" s="478"/>
      <c r="B25" s="478"/>
      <c r="C25" s="478"/>
      <c r="D25" s="478"/>
      <c r="E25" s="478"/>
      <c r="F25" s="478"/>
      <c r="G25" s="478"/>
      <c r="H25" s="478"/>
      <c r="I25" s="478"/>
      <c r="J25" s="478"/>
      <c r="K25" s="478"/>
      <c r="L25" s="478"/>
      <c r="M25" s="478"/>
      <c r="N25" s="478"/>
      <c r="O25" s="478"/>
      <c r="P25" s="478"/>
      <c r="Q25" s="478"/>
      <c r="R25" s="478"/>
      <c r="S25" s="478"/>
      <c r="T25" s="478"/>
      <c r="U25" s="478"/>
      <c r="V25" s="478"/>
      <c r="W25" s="478"/>
      <c r="X25" s="478"/>
    </row>
    <row r="26" spans="1:24" ht="15.6">
      <c r="A26" s="478"/>
      <c r="B26" s="478"/>
      <c r="C26" s="478"/>
      <c r="D26" s="478"/>
      <c r="E26" s="478"/>
      <c r="F26" s="478"/>
      <c r="G26" s="478"/>
      <c r="H26" s="478"/>
      <c r="I26" s="478"/>
      <c r="J26" s="478"/>
      <c r="K26" s="478"/>
      <c r="L26" s="478"/>
      <c r="M26" s="478"/>
      <c r="N26" s="478"/>
      <c r="O26" s="478"/>
      <c r="P26" s="478"/>
      <c r="Q26" s="478"/>
      <c r="R26" s="478"/>
      <c r="S26" s="478"/>
      <c r="T26" s="478"/>
      <c r="U26" s="478"/>
      <c r="V26" s="478"/>
      <c r="W26" s="478"/>
      <c r="X26" s="478"/>
    </row>
    <row r="27" spans="1:24" ht="15.6">
      <c r="A27" s="478"/>
      <c r="B27" s="478"/>
      <c r="C27" s="478"/>
      <c r="D27" s="478"/>
      <c r="E27" s="478"/>
      <c r="F27" s="478"/>
      <c r="G27" s="478"/>
      <c r="H27" s="478"/>
      <c r="I27" s="478"/>
      <c r="J27" s="478"/>
      <c r="K27" s="478"/>
      <c r="L27" s="478"/>
      <c r="M27" s="478"/>
      <c r="N27" s="478"/>
      <c r="O27" s="478"/>
      <c r="P27" s="478"/>
      <c r="Q27" s="478"/>
      <c r="R27" s="478"/>
      <c r="S27" s="478"/>
      <c r="T27" s="478"/>
      <c r="U27" s="478"/>
      <c r="V27" s="478"/>
      <c r="W27" s="478"/>
      <c r="X27" s="478"/>
    </row>
    <row r="28" spans="1:24" ht="16.2" customHeight="1">
      <c r="A28" s="478"/>
      <c r="B28" s="478"/>
      <c r="C28" s="478"/>
      <c r="D28" s="478"/>
      <c r="E28" s="478"/>
      <c r="F28" s="478"/>
      <c r="G28" s="478"/>
      <c r="H28" s="478"/>
      <c r="I28" s="478"/>
      <c r="J28" s="478"/>
      <c r="K28" s="478"/>
      <c r="L28" s="478"/>
      <c r="M28" s="478"/>
      <c r="N28" s="478"/>
      <c r="O28" s="478"/>
      <c r="P28" s="478"/>
      <c r="Q28" s="478"/>
      <c r="R28" s="478"/>
      <c r="S28" s="478"/>
      <c r="T28" s="478"/>
      <c r="U28" s="478"/>
      <c r="V28" s="478"/>
      <c r="W28" s="478"/>
      <c r="X28" s="478"/>
    </row>
    <row r="29" spans="1:24" ht="16.2" customHeight="1">
      <c r="A29" s="478"/>
      <c r="B29" s="478"/>
      <c r="C29" s="478"/>
      <c r="D29" s="478"/>
      <c r="E29" s="478"/>
      <c r="F29" s="478"/>
      <c r="G29" s="478"/>
      <c r="H29" s="478"/>
      <c r="I29" s="478"/>
      <c r="J29" s="478"/>
      <c r="K29" s="478"/>
      <c r="L29" s="478"/>
      <c r="M29" s="478"/>
      <c r="N29" s="478"/>
      <c r="O29" s="478"/>
      <c r="P29" s="478"/>
      <c r="Q29" s="478"/>
      <c r="R29" s="478"/>
      <c r="S29" s="478"/>
      <c r="T29" s="478"/>
      <c r="U29" s="478"/>
      <c r="V29" s="478"/>
      <c r="W29" s="478"/>
      <c r="X29" s="478"/>
    </row>
    <row r="30" spans="1:24" ht="16.2" customHeight="1">
      <c r="A30" s="478"/>
      <c r="B30" s="478"/>
      <c r="C30" s="478"/>
      <c r="D30" s="478"/>
      <c r="E30" s="478"/>
      <c r="F30" s="478"/>
      <c r="G30" s="478"/>
      <c r="H30" s="478"/>
      <c r="I30" s="478"/>
      <c r="J30" s="478"/>
      <c r="K30" s="478"/>
      <c r="L30" s="478"/>
      <c r="M30" s="478"/>
      <c r="N30" s="478"/>
      <c r="O30" s="478"/>
      <c r="P30" s="478"/>
      <c r="Q30" s="478"/>
      <c r="R30" s="478"/>
      <c r="S30" s="478"/>
      <c r="T30" s="478"/>
      <c r="U30" s="478"/>
      <c r="V30" s="478"/>
      <c r="W30" s="478"/>
      <c r="X30" s="478"/>
    </row>
    <row r="31" spans="1:24" ht="16.2" customHeight="1">
      <c r="A31" s="478"/>
      <c r="B31" s="478"/>
      <c r="C31" s="478"/>
      <c r="D31" s="478"/>
      <c r="E31" s="478"/>
      <c r="F31" s="478"/>
      <c r="G31" s="478"/>
      <c r="H31" s="478"/>
      <c r="I31" s="478"/>
      <c r="J31" s="478"/>
      <c r="K31" s="478"/>
      <c r="L31" s="478"/>
      <c r="M31" s="478"/>
      <c r="N31" s="478"/>
      <c r="O31" s="478"/>
      <c r="P31" s="478"/>
      <c r="Q31" s="478"/>
      <c r="R31" s="478"/>
      <c r="S31" s="478"/>
      <c r="T31" s="478"/>
      <c r="U31" s="478"/>
      <c r="V31" s="478"/>
      <c r="W31" s="478"/>
      <c r="X31" s="478"/>
    </row>
    <row r="32" spans="1:24" ht="16.2" customHeight="1">
      <c r="A32" s="478"/>
      <c r="B32" s="478"/>
      <c r="C32" s="478"/>
      <c r="D32" s="478"/>
      <c r="E32" s="478"/>
      <c r="F32" s="478"/>
      <c r="G32" s="478"/>
      <c r="H32" s="478"/>
      <c r="I32" s="478"/>
      <c r="J32" s="478"/>
      <c r="K32" s="478"/>
      <c r="L32" s="478"/>
      <c r="M32" s="478"/>
      <c r="N32" s="478"/>
      <c r="O32" s="478"/>
      <c r="P32" s="478"/>
      <c r="Q32" s="478"/>
      <c r="R32" s="478"/>
      <c r="S32" s="478"/>
      <c r="T32" s="478"/>
      <c r="U32" s="478"/>
      <c r="V32" s="478"/>
      <c r="W32" s="478"/>
      <c r="X32" s="478"/>
    </row>
    <row r="33" spans="1:24" ht="16.2" customHeight="1">
      <c r="A33" s="478"/>
      <c r="B33" s="478"/>
      <c r="C33" s="478"/>
      <c r="D33" s="478"/>
      <c r="E33" s="478"/>
      <c r="F33" s="478"/>
      <c r="G33" s="478"/>
      <c r="H33" s="478"/>
      <c r="I33" s="478"/>
      <c r="J33" s="478"/>
      <c r="K33" s="478"/>
      <c r="L33" s="478"/>
      <c r="M33" s="478"/>
      <c r="N33" s="478"/>
      <c r="O33" s="478"/>
      <c r="P33" s="478"/>
      <c r="Q33" s="478"/>
      <c r="R33" s="478"/>
      <c r="S33" s="478"/>
      <c r="T33" s="478"/>
      <c r="U33" s="478"/>
      <c r="V33" s="478"/>
      <c r="W33" s="478"/>
      <c r="X33" s="478"/>
    </row>
    <row r="34" spans="1:24" ht="16.2" customHeight="1">
      <c r="A34" s="478"/>
      <c r="B34" s="478"/>
      <c r="C34" s="478"/>
      <c r="D34" s="478"/>
      <c r="E34" s="478"/>
      <c r="F34" s="478"/>
      <c r="G34" s="478"/>
      <c r="H34" s="478"/>
      <c r="I34" s="478"/>
      <c r="J34" s="478"/>
      <c r="K34" s="478"/>
      <c r="L34" s="478"/>
      <c r="M34" s="478"/>
      <c r="N34" s="478"/>
      <c r="O34" s="478"/>
      <c r="P34" s="478"/>
      <c r="Q34" s="478"/>
      <c r="R34" s="478"/>
      <c r="S34" s="478"/>
      <c r="T34" s="478"/>
      <c r="U34" s="478"/>
      <c r="V34" s="478"/>
      <c r="W34" s="478"/>
      <c r="X34" s="478"/>
    </row>
    <row r="35" spans="1:24" ht="16.2" customHeight="1">
      <c r="A35" s="478"/>
      <c r="B35" s="478"/>
      <c r="C35" s="478"/>
      <c r="D35" s="478"/>
      <c r="E35" s="478"/>
      <c r="F35" s="478"/>
      <c r="G35" s="478"/>
      <c r="H35" s="478"/>
      <c r="I35" s="478"/>
      <c r="J35" s="478"/>
      <c r="K35" s="478"/>
      <c r="L35" s="478"/>
      <c r="M35" s="478"/>
      <c r="N35" s="478"/>
      <c r="O35" s="478"/>
      <c r="P35" s="478"/>
      <c r="Q35" s="478"/>
      <c r="R35" s="478"/>
      <c r="S35" s="478"/>
      <c r="T35" s="478"/>
      <c r="U35" s="478"/>
      <c r="V35" s="478"/>
      <c r="W35" s="478"/>
      <c r="X35" s="478"/>
    </row>
    <row r="36" spans="1:24" ht="16.2" customHeight="1">
      <c r="A36" s="478"/>
      <c r="B36" s="478"/>
      <c r="C36" s="478"/>
      <c r="D36" s="478"/>
      <c r="E36" s="478"/>
      <c r="F36" s="478"/>
      <c r="G36" s="478"/>
      <c r="H36" s="478"/>
      <c r="I36" s="478"/>
      <c r="J36" s="478"/>
      <c r="K36" s="478"/>
      <c r="L36" s="478"/>
      <c r="M36" s="478"/>
      <c r="N36" s="478"/>
      <c r="O36" s="478"/>
      <c r="P36" s="478"/>
      <c r="Q36" s="478"/>
      <c r="R36" s="478"/>
      <c r="S36" s="478"/>
      <c r="T36" s="478"/>
      <c r="U36" s="478"/>
      <c r="V36" s="478"/>
      <c r="W36" s="478"/>
      <c r="X36" s="478"/>
    </row>
    <row r="37" spans="1:24" ht="16.2" customHeight="1">
      <c r="A37" s="478"/>
      <c r="B37" s="478"/>
      <c r="C37" s="478"/>
      <c r="D37" s="478"/>
      <c r="E37" s="478"/>
      <c r="F37" s="478"/>
      <c r="G37" s="478"/>
      <c r="H37" s="478"/>
      <c r="I37" s="478"/>
      <c r="J37" s="478"/>
      <c r="K37" s="478"/>
      <c r="L37" s="478"/>
      <c r="M37" s="478"/>
      <c r="N37" s="478"/>
      <c r="O37" s="478"/>
      <c r="P37" s="478"/>
      <c r="Q37" s="478"/>
      <c r="R37" s="478"/>
      <c r="S37" s="478"/>
      <c r="T37" s="478"/>
      <c r="U37" s="478"/>
      <c r="V37" s="478"/>
      <c r="W37" s="478"/>
      <c r="X37" s="478"/>
    </row>
  </sheetData>
  <sheetProtection sheet="1" objects="1" scenarios="1" selectLockedCells="1"/>
  <phoneticPr fontId="3"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工作表1">
    <tabColor theme="7" tint="0.59999389629810485"/>
  </sheetPr>
  <dimension ref="A1:W45"/>
  <sheetViews>
    <sheetView workbookViewId="0">
      <selection activeCell="D5" sqref="D5"/>
    </sheetView>
    <sheetView workbookViewId="1">
      <selection activeCell="O9" sqref="O9"/>
    </sheetView>
  </sheetViews>
  <sheetFormatPr defaultColWidth="0" defaultRowHeight="15.6" zeroHeight="1"/>
  <cols>
    <col min="1" max="1" width="9" style="113" customWidth="1"/>
    <col min="2" max="2" width="17" style="113" customWidth="1"/>
    <col min="3" max="3" width="14.19921875" style="113" customWidth="1"/>
    <col min="4" max="4" width="6.69921875" style="113" customWidth="1"/>
    <col min="5" max="5" width="4.69921875" style="113" customWidth="1"/>
    <col min="6" max="6" width="8.69921875" style="113" customWidth="1"/>
    <col min="7" max="7" width="8.3984375" style="113" customWidth="1"/>
    <col min="8" max="8" width="9.19921875" style="114" customWidth="1"/>
    <col min="9" max="9" width="7.69921875" style="114" customWidth="1"/>
    <col min="10" max="10" width="8.5" style="113" customWidth="1"/>
    <col min="11" max="11" width="8" style="113" customWidth="1"/>
    <col min="12" max="12" width="8.69921875" style="113" customWidth="1"/>
    <col min="13" max="13" width="7.69921875" style="113" customWidth="1"/>
    <col min="14" max="14" width="5.69921875" style="113" customWidth="1"/>
    <col min="15" max="15" width="8.69921875" style="113" customWidth="1"/>
    <col min="16" max="16" width="8.19921875" style="113" customWidth="1"/>
    <col min="17" max="17" width="13.69921875" style="113" customWidth="1"/>
    <col min="18" max="18" width="2.69921875" style="113" customWidth="1"/>
    <col min="19" max="23" width="9" style="113" customWidth="1"/>
    <col min="24" max="16384" width="9" style="113" hidden="1"/>
  </cols>
  <sheetData>
    <row r="1" spans="1:23">
      <c r="A1" s="312"/>
      <c r="B1" s="312"/>
      <c r="C1" s="312"/>
      <c r="D1" s="312"/>
      <c r="E1" s="312"/>
      <c r="F1" s="312"/>
      <c r="G1" s="313"/>
      <c r="H1" s="313"/>
      <c r="I1" s="312"/>
      <c r="J1" s="312"/>
      <c r="K1" s="312"/>
      <c r="L1" s="312"/>
      <c r="M1" s="312"/>
      <c r="N1" s="312"/>
      <c r="O1" s="312"/>
      <c r="P1" s="312"/>
      <c r="Q1" s="312"/>
      <c r="R1" s="312"/>
      <c r="S1" s="312"/>
      <c r="T1" s="312"/>
      <c r="U1" s="312"/>
      <c r="V1" s="312"/>
      <c r="W1" s="312"/>
    </row>
    <row r="2" spans="1:23" ht="19.5" customHeight="1">
      <c r="A2" s="312"/>
      <c r="B2" s="485" t="s">
        <v>3299</v>
      </c>
      <c r="C2" s="485"/>
      <c r="D2" s="485"/>
      <c r="E2" s="485"/>
      <c r="F2" s="485"/>
      <c r="G2" s="313"/>
      <c r="H2" s="486" t="s">
        <v>0</v>
      </c>
      <c r="I2" s="486"/>
      <c r="J2" s="312"/>
      <c r="K2" s="487" t="s">
        <v>1</v>
      </c>
      <c r="L2" s="487"/>
      <c r="M2" s="487"/>
      <c r="N2" s="487"/>
      <c r="O2" s="487"/>
      <c r="P2" s="487"/>
      <c r="Q2" s="487"/>
      <c r="R2" s="487"/>
      <c r="S2" s="487"/>
      <c r="T2" s="312"/>
      <c r="U2" s="312"/>
      <c r="V2" s="312"/>
      <c r="W2" s="312"/>
    </row>
    <row r="3" spans="1:23">
      <c r="A3" s="312"/>
      <c r="B3" s="312"/>
      <c r="C3" s="312"/>
      <c r="D3" s="312"/>
      <c r="E3" s="312"/>
      <c r="F3" s="312"/>
      <c r="G3" s="315"/>
      <c r="H3" s="313"/>
      <c r="I3" s="312"/>
      <c r="J3" s="312"/>
      <c r="K3" s="314" t="s">
        <v>2815</v>
      </c>
      <c r="L3" s="315"/>
      <c r="M3" s="315"/>
      <c r="N3" s="315"/>
      <c r="O3" s="315"/>
      <c r="P3" s="315"/>
      <c r="Q3" s="315"/>
      <c r="R3" s="315"/>
      <c r="S3" s="315"/>
      <c r="T3" s="312"/>
      <c r="U3" s="312"/>
      <c r="V3" s="312"/>
      <c r="W3" s="312"/>
    </row>
    <row r="4" spans="1:23">
      <c r="A4" s="312"/>
      <c r="B4" s="312"/>
      <c r="C4" s="312"/>
      <c r="D4" s="312"/>
      <c r="E4" s="312"/>
      <c r="F4" s="312"/>
      <c r="G4" s="313"/>
      <c r="H4" s="313"/>
      <c r="I4" s="316" t="s">
        <v>2</v>
      </c>
      <c r="J4" s="312"/>
      <c r="K4" s="312"/>
      <c r="L4" s="312"/>
      <c r="M4" s="312"/>
      <c r="N4" s="312"/>
      <c r="O4" s="312"/>
      <c r="P4" s="312"/>
      <c r="Q4" s="312"/>
      <c r="R4" s="312"/>
      <c r="S4" s="312"/>
      <c r="T4" s="312"/>
      <c r="U4" s="312"/>
      <c r="V4" s="312"/>
      <c r="W4" s="312"/>
    </row>
    <row r="5" spans="1:23">
      <c r="A5" s="317" t="s">
        <v>3</v>
      </c>
      <c r="B5" s="318" t="s">
        <v>4</v>
      </c>
      <c r="C5" s="319" t="s">
        <v>5</v>
      </c>
      <c r="D5" s="476" t="s">
        <v>2498</v>
      </c>
      <c r="E5" s="317" t="s">
        <v>6</v>
      </c>
      <c r="F5" s="490" t="s">
        <v>7</v>
      </c>
      <c r="G5" s="490"/>
      <c r="H5" s="491"/>
      <c r="I5" s="476" t="s">
        <v>2493</v>
      </c>
      <c r="J5" s="312"/>
      <c r="K5" s="493" t="s">
        <v>3300</v>
      </c>
      <c r="L5" s="493"/>
      <c r="M5" s="493"/>
      <c r="N5" s="312"/>
      <c r="O5" s="321"/>
      <c r="P5" s="321"/>
      <c r="Q5" s="312"/>
      <c r="R5" s="312"/>
      <c r="S5" s="312"/>
      <c r="T5" s="312"/>
      <c r="U5" s="312"/>
      <c r="V5" s="312"/>
      <c r="W5" s="312"/>
    </row>
    <row r="6" spans="1:23">
      <c r="A6" s="312"/>
      <c r="B6" s="352" t="s">
        <v>8</v>
      </c>
      <c r="C6" s="312"/>
      <c r="D6" s="352" t="s">
        <v>9</v>
      </c>
      <c r="E6" s="312"/>
      <c r="F6" s="352"/>
      <c r="G6" s="313"/>
      <c r="H6" s="313"/>
      <c r="I6" s="312"/>
      <c r="J6" s="312"/>
      <c r="K6" s="495" t="s">
        <v>3302</v>
      </c>
      <c r="L6" s="495"/>
      <c r="M6" s="495"/>
      <c r="N6" s="495"/>
      <c r="O6" s="492"/>
      <c r="P6" s="492"/>
      <c r="Q6" s="492"/>
      <c r="R6" s="492"/>
      <c r="S6" s="312"/>
      <c r="T6" s="312"/>
      <c r="U6" s="312"/>
      <c r="V6" s="312"/>
      <c r="W6" s="312"/>
    </row>
    <row r="7" spans="1:23">
      <c r="A7" s="323"/>
      <c r="B7" s="318" t="s">
        <v>10</v>
      </c>
      <c r="C7" s="312"/>
      <c r="D7" s="324" t="s">
        <v>11</v>
      </c>
      <c r="E7" s="312"/>
      <c r="F7" s="318" t="s">
        <v>2814</v>
      </c>
      <c r="G7" s="325">
        <f>IF(計分版!E14=FALSE,計分版!E3,計分版!E8)</f>
        <v>3E-9</v>
      </c>
      <c r="H7" s="318" t="s">
        <v>2518</v>
      </c>
      <c r="I7" s="325">
        <f>IF(計分版!E14=FALSE,計分版!E5,計分版!E12)</f>
        <v>1.8E-9</v>
      </c>
      <c r="J7" s="312"/>
      <c r="K7" s="496"/>
      <c r="L7" s="496"/>
      <c r="M7" s="496"/>
      <c r="N7" s="496"/>
      <c r="O7" s="492"/>
      <c r="P7" s="492"/>
      <c r="Q7" s="492"/>
      <c r="R7" s="492"/>
      <c r="S7" s="312"/>
      <c r="T7" s="312"/>
      <c r="U7" s="312"/>
      <c r="V7" s="312"/>
      <c r="W7" s="312"/>
    </row>
    <row r="8" spans="1:23">
      <c r="A8" s="312"/>
      <c r="B8" s="312" t="s">
        <v>13</v>
      </c>
      <c r="C8" s="326" t="s">
        <v>14</v>
      </c>
      <c r="D8" s="327"/>
      <c r="E8" s="312"/>
      <c r="F8" s="318" t="s">
        <v>889</v>
      </c>
      <c r="G8" s="325">
        <f>IF(計分版!E14=FALSE,計分版!E4,計分版!E9)</f>
        <v>3.4999999999999999E-9</v>
      </c>
      <c r="H8" s="318" t="s">
        <v>2519</v>
      </c>
      <c r="I8" s="325">
        <f>IF(計分版!E14=FALSE,計分版!E6,計分版!E13)</f>
        <v>2.6000000000000001E-9</v>
      </c>
      <c r="J8" s="312"/>
      <c r="K8" s="496"/>
      <c r="L8" s="496"/>
      <c r="M8" s="496"/>
      <c r="N8" s="496"/>
      <c r="O8" s="493"/>
      <c r="P8" s="493"/>
      <c r="Q8" s="493"/>
      <c r="R8" s="493"/>
      <c r="S8" s="312"/>
      <c r="T8" s="312"/>
      <c r="U8" s="312"/>
      <c r="V8" s="312"/>
      <c r="W8" s="312"/>
    </row>
    <row r="9" spans="1:23">
      <c r="A9" s="312"/>
      <c r="B9" s="312" t="s">
        <v>16</v>
      </c>
      <c r="C9" s="326" t="s">
        <v>14</v>
      </c>
      <c r="D9" s="327"/>
      <c r="E9" s="312"/>
      <c r="F9" s="494" t="s">
        <v>2813</v>
      </c>
      <c r="G9" s="494"/>
      <c r="H9" s="494"/>
      <c r="I9" s="312"/>
      <c r="J9" s="328"/>
      <c r="K9" s="329" t="s">
        <v>17</v>
      </c>
      <c r="L9" s="312"/>
      <c r="M9" s="312"/>
      <c r="N9" s="312"/>
      <c r="O9" s="322"/>
      <c r="P9" s="322"/>
      <c r="Q9" s="312"/>
      <c r="R9" s="312"/>
      <c r="S9" s="312"/>
      <c r="T9" s="330" t="s">
        <v>18</v>
      </c>
      <c r="U9" s="312"/>
      <c r="V9" s="312"/>
      <c r="W9" s="312"/>
    </row>
    <row r="10" spans="1:23">
      <c r="A10" s="312"/>
      <c r="B10" s="312" t="s">
        <v>19</v>
      </c>
      <c r="C10" s="326" t="s">
        <v>14</v>
      </c>
      <c r="D10" s="327"/>
      <c r="E10" s="312"/>
      <c r="F10" s="312"/>
      <c r="G10" s="313"/>
      <c r="H10" s="313"/>
      <c r="I10" s="312"/>
      <c r="J10" s="312"/>
      <c r="K10" s="312"/>
      <c r="L10" s="312"/>
      <c r="M10" s="312"/>
      <c r="N10" s="312"/>
      <c r="O10" s="322"/>
      <c r="P10" s="322"/>
      <c r="Q10" s="312"/>
      <c r="R10" s="312"/>
      <c r="S10" s="312"/>
      <c r="T10" s="330" t="s">
        <v>20</v>
      </c>
      <c r="U10" s="312"/>
      <c r="V10" s="312"/>
      <c r="W10" s="312"/>
    </row>
    <row r="11" spans="1:23">
      <c r="A11" s="312"/>
      <c r="B11" s="312" t="s">
        <v>2514</v>
      </c>
      <c r="C11" s="326" t="s">
        <v>14</v>
      </c>
      <c r="D11" s="327"/>
      <c r="E11" s="317" t="s">
        <v>21</v>
      </c>
      <c r="F11" s="490" t="s">
        <v>22</v>
      </c>
      <c r="G11" s="490"/>
      <c r="H11" s="313"/>
      <c r="I11" s="498" t="s">
        <v>2520</v>
      </c>
      <c r="J11" s="498"/>
      <c r="K11" s="498"/>
      <c r="L11" s="498"/>
      <c r="M11" s="498"/>
      <c r="N11" s="312"/>
      <c r="O11" s="312"/>
      <c r="P11" s="312"/>
      <c r="Q11" s="312"/>
      <c r="R11" s="312"/>
      <c r="S11" s="312"/>
      <c r="T11" s="312"/>
      <c r="U11" s="312"/>
      <c r="V11" s="312"/>
      <c r="W11" s="312"/>
    </row>
    <row r="12" spans="1:23">
      <c r="A12" s="312"/>
      <c r="B12" s="312" t="s">
        <v>23</v>
      </c>
      <c r="C12" s="326" t="s">
        <v>14</v>
      </c>
      <c r="D12" s="327"/>
      <c r="E12" s="312"/>
      <c r="F12" s="499" t="s">
        <v>24</v>
      </c>
      <c r="G12" s="499"/>
      <c r="H12" s="499"/>
      <c r="I12" s="498" t="s">
        <v>25</v>
      </c>
      <c r="J12" s="498"/>
      <c r="K12" s="498"/>
      <c r="L12" s="488" t="s">
        <v>26</v>
      </c>
      <c r="M12" s="489"/>
      <c r="N12" s="476" t="s">
        <v>2493</v>
      </c>
      <c r="O12" s="312"/>
      <c r="P12" s="312"/>
      <c r="Q12" s="312"/>
      <c r="R12" s="312"/>
      <c r="S12" s="312"/>
      <c r="T12" s="312"/>
      <c r="U12" s="312"/>
      <c r="V12" s="312"/>
      <c r="W12" s="312"/>
    </row>
    <row r="13" spans="1:23" ht="14.7" customHeight="1">
      <c r="A13" s="312"/>
      <c r="B13" s="312"/>
      <c r="C13" s="331"/>
      <c r="D13" s="331"/>
      <c r="E13" s="312"/>
      <c r="F13" s="312"/>
      <c r="G13" s="313"/>
      <c r="H13" s="313"/>
      <c r="I13" s="312"/>
      <c r="J13" s="312"/>
      <c r="K13" s="312"/>
      <c r="L13" s="312"/>
      <c r="M13" s="312"/>
      <c r="N13" s="312"/>
      <c r="O13" s="320" t="s">
        <v>27</v>
      </c>
      <c r="P13" s="320" t="s">
        <v>28</v>
      </c>
      <c r="Q13" s="353" t="s">
        <v>29</v>
      </c>
      <c r="R13" s="353"/>
      <c r="S13" s="312"/>
      <c r="T13" s="312"/>
      <c r="U13" s="312"/>
      <c r="V13" s="312"/>
      <c r="W13" s="312"/>
    </row>
    <row r="14" spans="1:23">
      <c r="A14" s="312"/>
      <c r="B14" s="318" t="s">
        <v>30</v>
      </c>
      <c r="C14" s="331"/>
      <c r="D14" s="331"/>
      <c r="E14" s="312"/>
      <c r="F14" s="312"/>
      <c r="G14" s="332" t="s">
        <v>31</v>
      </c>
      <c r="H14" s="332" t="s">
        <v>32</v>
      </c>
      <c r="I14" s="332" t="s">
        <v>33</v>
      </c>
      <c r="J14" s="320" t="s">
        <v>34</v>
      </c>
      <c r="K14" s="320" t="s">
        <v>35</v>
      </c>
      <c r="L14" s="320" t="s">
        <v>36</v>
      </c>
      <c r="M14" s="321" t="s">
        <v>37</v>
      </c>
      <c r="N14" s="320" t="s">
        <v>38</v>
      </c>
      <c r="O14" s="320" t="s">
        <v>39</v>
      </c>
      <c r="P14" s="320" t="s">
        <v>40</v>
      </c>
      <c r="Q14" s="321" t="s">
        <v>41</v>
      </c>
      <c r="R14" s="321"/>
      <c r="S14" s="312"/>
      <c r="T14" s="312"/>
      <c r="U14" s="312"/>
      <c r="V14" s="312"/>
      <c r="W14" s="312"/>
    </row>
    <row r="15" spans="1:23">
      <c r="A15" s="312"/>
      <c r="B15" s="333" t="s">
        <v>3278</v>
      </c>
      <c r="C15" s="326" t="s">
        <v>14</v>
      </c>
      <c r="D15" s="327"/>
      <c r="E15" s="334" t="s">
        <v>42</v>
      </c>
      <c r="F15" s="335" t="s">
        <v>43</v>
      </c>
      <c r="G15" s="336" t="str">
        <f>'A123'!B16</f>
        <v>CUHK</v>
      </c>
      <c r="H15" s="336" t="str">
        <f>'A123'!D16</f>
        <v>PSYCHOLOGY</v>
      </c>
      <c r="I15" s="337" t="str">
        <f>'A123'!E16</f>
        <v>Best 5</v>
      </c>
      <c r="J15" s="338">
        <f>'A123'!F16</f>
        <v>34.5</v>
      </c>
      <c r="K15" s="338">
        <f>'A123'!G16</f>
        <v>33</v>
      </c>
      <c r="L15" s="338">
        <f>'A123'!H16</f>
        <v>30.75</v>
      </c>
      <c r="M15" s="355">
        <f>'A123'!I16</f>
        <v>3.9500000000000006E-9</v>
      </c>
      <c r="N15" s="338">
        <f>'A123'!J16</f>
        <v>56</v>
      </c>
      <c r="O15" s="338">
        <f>'A123'!K16</f>
        <v>73</v>
      </c>
      <c r="P15" s="340">
        <f>'A123'!L16</f>
        <v>5.4794520547945202</v>
      </c>
      <c r="Q15" s="356" t="str">
        <f>IF('A123'!M16=0, "否",IF('A123'!M16=2,"或有額外要求",IF('A123'!M16=1,"是","")))</f>
        <v>否</v>
      </c>
      <c r="R15" s="356"/>
      <c r="S15" s="312"/>
      <c r="T15" s="312"/>
      <c r="U15" s="312"/>
      <c r="V15" s="312"/>
      <c r="W15" s="312"/>
    </row>
    <row r="16" spans="1:23">
      <c r="A16" s="313" t="s">
        <v>44</v>
      </c>
      <c r="B16" s="333" t="s">
        <v>3037</v>
      </c>
      <c r="C16" s="326" t="s">
        <v>14</v>
      </c>
      <c r="D16" s="327"/>
      <c r="E16" s="318"/>
      <c r="F16" s="341"/>
      <c r="G16" s="336" t="str">
        <f>'A123'!C16</f>
        <v>心理學</v>
      </c>
      <c r="H16" s="338"/>
      <c r="I16" s="341"/>
      <c r="J16" s="342">
        <f>IF('A123'!A1=FALSE,'A123'!B5,'A123'!F5)</f>
        <v>-8734177214.1898727</v>
      </c>
      <c r="K16" s="342">
        <f>IF('A123'!A1=FALSE,'A123'!C5,'A123'!G5)</f>
        <v>-8354430378.7468338</v>
      </c>
      <c r="L16" s="342">
        <f>IF('A123'!A1=FALSE,'A123'!D5,'A123'!H5)</f>
        <v>-7784810125.5822773</v>
      </c>
      <c r="M16" s="338"/>
      <c r="N16" s="338"/>
      <c r="O16" s="338"/>
      <c r="P16" s="338"/>
      <c r="Q16" s="312"/>
      <c r="R16" s="312"/>
      <c r="S16" s="312"/>
      <c r="T16" s="312"/>
      <c r="U16" s="312"/>
      <c r="V16" s="312"/>
      <c r="W16" s="312"/>
    </row>
    <row r="17" spans="1:23">
      <c r="A17" s="313" t="s">
        <v>45</v>
      </c>
      <c r="B17" s="333" t="s">
        <v>46</v>
      </c>
      <c r="C17" s="326" t="s">
        <v>14</v>
      </c>
      <c r="D17" s="327"/>
      <c r="E17" s="334" t="s">
        <v>47</v>
      </c>
      <c r="F17" s="335"/>
      <c r="G17" s="336" t="str">
        <f>'A123'!B17</f>
        <v/>
      </c>
      <c r="H17" s="336" t="str">
        <f>'A123'!D17</f>
        <v/>
      </c>
      <c r="I17" s="337" t="str">
        <f>'A123'!E17</f>
        <v/>
      </c>
      <c r="J17" s="338" t="str">
        <f>'A123'!F17</f>
        <v/>
      </c>
      <c r="K17" s="338" t="str">
        <f>'A123'!G17</f>
        <v/>
      </c>
      <c r="L17" s="338" t="str">
        <f>'A123'!H17</f>
        <v/>
      </c>
      <c r="M17" s="339" t="str">
        <f>'A123'!I17</f>
        <v/>
      </c>
      <c r="N17" s="338" t="str">
        <f>'A123'!J17</f>
        <v/>
      </c>
      <c r="O17" s="338" t="str">
        <f>'A123'!K17</f>
        <v/>
      </c>
      <c r="P17" s="340" t="str">
        <f>'A123'!L17</f>
        <v/>
      </c>
      <c r="Q17" s="356" t="str">
        <f>IF('A123'!M17=0, "否",IF('A123'!M17=2,"或有額外要求",IF('A123'!M17=1,"是","")))</f>
        <v/>
      </c>
      <c r="R17" s="356"/>
      <c r="S17" s="312" t="s">
        <v>48</v>
      </c>
      <c r="T17" s="312"/>
      <c r="U17" s="312"/>
      <c r="V17" s="312"/>
      <c r="W17" s="312"/>
    </row>
    <row r="18" spans="1:23">
      <c r="A18" s="313" t="s">
        <v>49</v>
      </c>
      <c r="B18" s="333" t="s">
        <v>50</v>
      </c>
      <c r="C18" s="343" t="s">
        <v>14</v>
      </c>
      <c r="D18" s="327"/>
      <c r="E18" s="318"/>
      <c r="F18" s="344"/>
      <c r="G18" s="336" t="str">
        <f>'A123'!C17</f>
        <v/>
      </c>
      <c r="H18" s="338"/>
      <c r="I18" s="341"/>
      <c r="J18" s="342" t="str">
        <f>IF('A123'!A1=FALSE,'A123'!B7,'A123'!F7)</f>
        <v/>
      </c>
      <c r="K18" s="342" t="str">
        <f>IF('A123'!A1=FALSE,'A123'!C7,'A123'!G7)</f>
        <v/>
      </c>
      <c r="L18" s="342" t="str">
        <f>IF('A123'!A1=FALSE,'A123'!D7,'A123'!H7)</f>
        <v/>
      </c>
      <c r="M18" s="338"/>
      <c r="N18" s="338"/>
      <c r="O18" s="338"/>
      <c r="P18" s="338"/>
      <c r="Q18" s="312"/>
      <c r="R18" s="312"/>
      <c r="S18" s="312"/>
      <c r="T18" s="312"/>
      <c r="U18" s="312"/>
      <c r="V18" s="312"/>
      <c r="W18" s="312"/>
    </row>
    <row r="19" spans="1:23">
      <c r="A19" s="312"/>
      <c r="B19" s="333" t="s">
        <v>51</v>
      </c>
      <c r="C19" s="343" t="s">
        <v>14</v>
      </c>
      <c r="D19" s="327"/>
      <c r="E19" s="334" t="s">
        <v>52</v>
      </c>
      <c r="F19" s="335"/>
      <c r="G19" s="336" t="str">
        <f>'A123'!B18</f>
        <v/>
      </c>
      <c r="H19" s="336" t="str">
        <f>'A123'!D18</f>
        <v/>
      </c>
      <c r="I19" s="337" t="str">
        <f>'A123'!E18</f>
        <v/>
      </c>
      <c r="J19" s="338" t="str">
        <f>'A123'!F18</f>
        <v/>
      </c>
      <c r="K19" s="338" t="str">
        <f>'A123'!G18</f>
        <v/>
      </c>
      <c r="L19" s="338" t="str">
        <f>'A123'!H18</f>
        <v/>
      </c>
      <c r="M19" s="339" t="str">
        <f>'A123'!I18</f>
        <v/>
      </c>
      <c r="N19" s="338" t="str">
        <f>'A123'!J18</f>
        <v/>
      </c>
      <c r="O19" s="338" t="str">
        <f>'A123'!K18</f>
        <v/>
      </c>
      <c r="P19" s="340" t="str">
        <f>'A123'!L18</f>
        <v/>
      </c>
      <c r="Q19" s="356" t="str">
        <f>IF('A123'!M18=0, "否",IF('A123'!M18=2,"或有額外要求",IF('A123'!M18=1,"是","")))</f>
        <v/>
      </c>
      <c r="R19" s="356"/>
      <c r="S19" s="312"/>
      <c r="T19" s="312"/>
      <c r="U19" s="312"/>
      <c r="V19" s="312"/>
      <c r="W19" s="312"/>
    </row>
    <row r="20" spans="1:23">
      <c r="A20" s="345"/>
      <c r="B20" s="312"/>
      <c r="C20" s="312"/>
      <c r="D20" s="331"/>
      <c r="E20" s="312"/>
      <c r="F20" s="344"/>
      <c r="G20" s="336" t="str">
        <f>'A123'!C18</f>
        <v/>
      </c>
      <c r="H20" s="338"/>
      <c r="I20" s="341"/>
      <c r="J20" s="342" t="str">
        <f>IF('A123'!A1=FALSE,'A123'!B9,'A123'!F9)</f>
        <v/>
      </c>
      <c r="K20" s="342" t="str">
        <f>IF('A123'!A1=FALSE,'A123'!C9,'A123'!G9)</f>
        <v/>
      </c>
      <c r="L20" s="342" t="str">
        <f>IF('A123'!A1=FALSE,'A123'!D9,'A123'!H9)</f>
        <v/>
      </c>
      <c r="M20" s="336"/>
      <c r="N20" s="353" t="s">
        <v>53</v>
      </c>
      <c r="O20" s="354"/>
      <c r="P20" s="353" t="s">
        <v>54</v>
      </c>
      <c r="Q20" s="354"/>
      <c r="R20" s="354"/>
      <c r="S20" s="354"/>
      <c r="T20" s="312"/>
      <c r="U20" s="312"/>
      <c r="V20" s="312"/>
      <c r="W20" s="312"/>
    </row>
    <row r="21" spans="1:23" ht="18">
      <c r="A21" s="312"/>
      <c r="B21" s="347" t="s">
        <v>56</v>
      </c>
      <c r="C21" s="312"/>
      <c r="D21" s="312"/>
      <c r="E21" s="475" t="s">
        <v>57</v>
      </c>
      <c r="F21" s="346"/>
      <c r="G21" s="313"/>
      <c r="H21" s="313"/>
      <c r="I21" s="312" t="s">
        <v>68</v>
      </c>
      <c r="J21" s="312"/>
      <c r="K21" s="312"/>
      <c r="L21" s="312"/>
      <c r="M21" s="312"/>
      <c r="N21" s="353" t="s">
        <v>55</v>
      </c>
      <c r="O21" s="354"/>
      <c r="P21" s="354"/>
      <c r="Q21" s="354"/>
      <c r="R21" s="354"/>
      <c r="S21" s="354"/>
      <c r="T21" s="312"/>
      <c r="U21" s="312"/>
      <c r="V21" s="312"/>
      <c r="W21" s="312"/>
    </row>
    <row r="22" spans="1:23">
      <c r="A22" s="312"/>
      <c r="B22" s="500" t="s">
        <v>3280</v>
      </c>
      <c r="C22" s="500"/>
      <c r="D22" s="500"/>
      <c r="E22" s="500"/>
      <c r="F22" s="500"/>
      <c r="G22" s="500"/>
      <c r="H22" s="500"/>
      <c r="I22" s="500"/>
      <c r="J22" s="500"/>
      <c r="K22" s="372"/>
      <c r="L22" s="372"/>
      <c r="M22" s="372"/>
      <c r="N22" s="372"/>
      <c r="O22" s="312"/>
      <c r="P22" s="312"/>
      <c r="Q22" s="312"/>
      <c r="R22" s="312"/>
      <c r="S22" s="312"/>
      <c r="T22" s="312"/>
      <c r="U22" s="312"/>
      <c r="V22" s="312"/>
      <c r="W22" s="312"/>
    </row>
    <row r="23" spans="1:23">
      <c r="A23" s="312"/>
      <c r="B23" s="348" t="s">
        <v>58</v>
      </c>
      <c r="C23" s="475" t="s">
        <v>3279</v>
      </c>
      <c r="D23" s="312"/>
      <c r="E23" s="312" t="s">
        <v>68</v>
      </c>
      <c r="F23" s="312"/>
      <c r="G23" s="313"/>
      <c r="H23" s="313"/>
      <c r="I23" s="312"/>
      <c r="J23" s="312"/>
      <c r="K23" s="312"/>
      <c r="L23" s="312"/>
      <c r="M23" s="312"/>
      <c r="N23" s="312"/>
      <c r="O23" s="312"/>
      <c r="P23" s="312"/>
      <c r="Q23" s="312"/>
      <c r="R23" s="312"/>
      <c r="S23" s="312"/>
      <c r="T23" s="312"/>
      <c r="U23" s="312"/>
      <c r="V23" s="312"/>
      <c r="W23" s="312"/>
    </row>
    <row r="24" spans="1:23" ht="18">
      <c r="A24" s="312"/>
      <c r="B24" s="312"/>
      <c r="C24" s="341"/>
      <c r="D24" s="341"/>
      <c r="E24" s="341"/>
      <c r="F24" s="497" t="s">
        <v>2812</v>
      </c>
      <c r="G24" s="497"/>
      <c r="H24" s="497"/>
      <c r="I24" s="497"/>
      <c r="J24" s="497"/>
      <c r="K24" s="341"/>
      <c r="L24" s="341"/>
      <c r="M24" s="341"/>
      <c r="N24" s="341"/>
      <c r="O24" s="497"/>
      <c r="P24" s="497"/>
      <c r="Q24" s="497"/>
      <c r="R24" s="497"/>
      <c r="S24" s="497"/>
      <c r="T24" s="312"/>
      <c r="U24" s="312"/>
      <c r="V24" s="312"/>
      <c r="W24" s="312"/>
    </row>
    <row r="25" spans="1:23" ht="16.5" customHeight="1">
      <c r="A25" s="317" t="s">
        <v>59</v>
      </c>
      <c r="B25" s="318" t="s">
        <v>60</v>
      </c>
      <c r="C25" s="312"/>
      <c r="D25" s="312"/>
      <c r="E25" s="312"/>
      <c r="F25" s="483" t="s">
        <v>2818</v>
      </c>
      <c r="G25" s="483"/>
      <c r="H25" s="483"/>
      <c r="I25" s="483"/>
      <c r="J25" s="483"/>
      <c r="K25" s="483"/>
      <c r="L25" s="483"/>
      <c r="M25" s="483"/>
      <c r="N25" s="312"/>
      <c r="O25" s="498" t="s">
        <v>61</v>
      </c>
      <c r="P25" s="498"/>
      <c r="Q25" s="498"/>
      <c r="R25" s="498"/>
      <c r="S25" s="503"/>
      <c r="T25" s="503"/>
      <c r="U25" s="503"/>
      <c r="V25" s="503"/>
      <c r="W25" s="312"/>
    </row>
    <row r="26" spans="1:23" ht="15.75" customHeight="1">
      <c r="A26" s="312"/>
      <c r="B26" s="345" t="s">
        <v>2808</v>
      </c>
      <c r="C26" s="312"/>
      <c r="D26" s="323" t="s">
        <v>2809</v>
      </c>
      <c r="E26" s="312"/>
      <c r="F26" s="483"/>
      <c r="G26" s="483"/>
      <c r="H26" s="483"/>
      <c r="I26" s="483"/>
      <c r="J26" s="483"/>
      <c r="K26" s="483"/>
      <c r="L26" s="483"/>
      <c r="M26" s="483"/>
      <c r="N26" s="312"/>
      <c r="O26" s="502" t="s">
        <v>3301</v>
      </c>
      <c r="P26" s="502"/>
      <c r="Q26" s="502"/>
      <c r="R26" s="502"/>
      <c r="S26" s="502" t="s">
        <v>3291</v>
      </c>
      <c r="T26" s="502"/>
      <c r="U26" s="502"/>
      <c r="V26" s="502"/>
      <c r="W26" s="312"/>
    </row>
    <row r="27" spans="1:23" ht="16.5" customHeight="1">
      <c r="A27" s="323"/>
      <c r="B27" s="318" t="s">
        <v>10</v>
      </c>
      <c r="C27" s="312"/>
      <c r="D27" s="323" t="s">
        <v>63</v>
      </c>
      <c r="E27" s="312"/>
      <c r="F27" s="389"/>
      <c r="G27" s="389"/>
      <c r="H27" s="389"/>
      <c r="I27" s="389"/>
      <c r="J27" s="389"/>
      <c r="K27" s="389"/>
      <c r="L27" s="389"/>
      <c r="M27" s="389"/>
      <c r="N27" s="312"/>
      <c r="O27" s="495" t="s">
        <v>3298</v>
      </c>
      <c r="P27" s="495"/>
      <c r="Q27" s="495"/>
      <c r="R27" s="495"/>
      <c r="S27" s="503" t="s">
        <v>3290</v>
      </c>
      <c r="T27" s="503"/>
      <c r="U27" s="503"/>
      <c r="V27" s="503"/>
      <c r="W27" s="312"/>
    </row>
    <row r="28" spans="1:23">
      <c r="A28" s="312"/>
      <c r="B28" s="312" t="s">
        <v>13</v>
      </c>
      <c r="C28" s="349" t="str">
        <f>IF(計分版!$E$15=FALSE,IF(C8="請選擇等級","",C8),計分版!X7)</f>
        <v/>
      </c>
      <c r="D28" s="477" t="s">
        <v>2498</v>
      </c>
      <c r="E28" s="312"/>
      <c r="F28" s="505" t="s">
        <v>2819</v>
      </c>
      <c r="G28" s="505"/>
      <c r="H28" s="505"/>
      <c r="I28" s="437">
        <f>計分版!N13</f>
        <v>0</v>
      </c>
      <c r="J28" s="389"/>
      <c r="K28" s="504" t="s">
        <v>3134</v>
      </c>
      <c r="L28" s="504"/>
      <c r="M28" s="504"/>
      <c r="N28" s="312"/>
      <c r="O28" s="496" t="s">
        <v>3297</v>
      </c>
      <c r="P28" s="496"/>
      <c r="Q28" s="496"/>
      <c r="R28" s="496"/>
      <c r="S28" s="502" t="s">
        <v>3287</v>
      </c>
      <c r="T28" s="502"/>
      <c r="U28" s="502"/>
      <c r="V28" s="502"/>
      <c r="W28" s="312"/>
    </row>
    <row r="29" spans="1:23" ht="14.4" customHeight="1">
      <c r="A29" s="312"/>
      <c r="B29" s="312" t="s">
        <v>16</v>
      </c>
      <c r="C29" s="349" t="str">
        <f>IF(計分版!$E$15=FALSE,IF(C9="請選擇等級","",C9),計分版!Y7)</f>
        <v/>
      </c>
      <c r="D29" s="477" t="s">
        <v>2498</v>
      </c>
      <c r="E29" s="312"/>
      <c r="F29" s="484" t="s">
        <v>3289</v>
      </c>
      <c r="G29" s="484"/>
      <c r="H29" s="484"/>
      <c r="I29" s="484"/>
      <c r="J29" s="484"/>
      <c r="K29" s="484"/>
      <c r="L29" s="484"/>
      <c r="M29" s="484"/>
      <c r="N29" s="312"/>
      <c r="O29" s="502" t="s">
        <v>3296</v>
      </c>
      <c r="P29" s="502"/>
      <c r="Q29" s="502"/>
      <c r="R29" s="502"/>
      <c r="S29" s="495" t="s">
        <v>3288</v>
      </c>
      <c r="T29" s="495"/>
      <c r="U29" s="495"/>
      <c r="V29" s="495"/>
      <c r="W29" s="312"/>
    </row>
    <row r="30" spans="1:23" ht="15.6" customHeight="1">
      <c r="A30" s="312"/>
      <c r="B30" s="312" t="s">
        <v>19</v>
      </c>
      <c r="C30" s="349" t="str">
        <f>IF(計分版!$E$15=FALSE,IF(C10="請選擇等級","",C10),計分版!Z7)</f>
        <v/>
      </c>
      <c r="D30" s="477" t="s">
        <v>2498</v>
      </c>
      <c r="E30" s="312"/>
      <c r="F30" s="484"/>
      <c r="G30" s="484"/>
      <c r="H30" s="484"/>
      <c r="I30" s="484"/>
      <c r="J30" s="484"/>
      <c r="K30" s="484"/>
      <c r="L30" s="484"/>
      <c r="M30" s="484"/>
      <c r="N30" s="312"/>
      <c r="O30" s="495" t="s">
        <v>3293</v>
      </c>
      <c r="P30" s="495"/>
      <c r="Q30" s="495"/>
      <c r="R30" s="495"/>
      <c r="S30" s="503"/>
      <c r="T30" s="503"/>
      <c r="U30" s="503"/>
      <c r="V30" s="503"/>
      <c r="W30" s="312"/>
    </row>
    <row r="31" spans="1:23" ht="15.75" customHeight="1">
      <c r="A31" s="312"/>
      <c r="B31" s="312" t="s">
        <v>2810</v>
      </c>
      <c r="C31" s="349" t="str">
        <f>IF(計分版!$E$15=FALSE,IF(C11="請選擇等級","",C11),計分版!AA7)</f>
        <v/>
      </c>
      <c r="D31" s="477" t="s">
        <v>2498</v>
      </c>
      <c r="E31" s="312"/>
      <c r="F31" s="483" t="s">
        <v>3133</v>
      </c>
      <c r="G31" s="483"/>
      <c r="H31" s="483"/>
      <c r="I31" s="483"/>
      <c r="J31" s="483"/>
      <c r="K31" s="483"/>
      <c r="L31" s="483"/>
      <c r="M31" s="483"/>
      <c r="N31" s="312"/>
      <c r="O31" s="496" t="s">
        <v>3295</v>
      </c>
      <c r="P31" s="496"/>
      <c r="Q31" s="496"/>
      <c r="R31" s="496"/>
      <c r="S31" s="502" t="s">
        <v>64</v>
      </c>
      <c r="T31" s="502"/>
      <c r="U31" s="502"/>
      <c r="V31" s="502"/>
      <c r="W31" s="312"/>
    </row>
    <row r="32" spans="1:23" ht="15.75" customHeight="1">
      <c r="A32" s="312"/>
      <c r="B32" s="312" t="s">
        <v>23</v>
      </c>
      <c r="C32" s="349" t="str">
        <f>IF(計分版!$E$15=FALSE,IF(C12="請選擇等級","",C12),計分版!AB7)</f>
        <v/>
      </c>
      <c r="D32" s="477" t="s">
        <v>2498</v>
      </c>
      <c r="E32" s="312"/>
      <c r="F32" s="483"/>
      <c r="G32" s="483"/>
      <c r="H32" s="483"/>
      <c r="I32" s="483"/>
      <c r="J32" s="483"/>
      <c r="K32" s="483"/>
      <c r="L32" s="483"/>
      <c r="M32" s="483"/>
      <c r="N32" s="312"/>
      <c r="O32" s="322" t="s">
        <v>3294</v>
      </c>
      <c r="P32" s="322"/>
      <c r="Q32" s="322"/>
      <c r="R32" s="322"/>
      <c r="S32" s="495" t="s">
        <v>2517</v>
      </c>
      <c r="T32" s="495"/>
      <c r="U32" s="495"/>
      <c r="V32" s="495"/>
      <c r="W32" s="312"/>
    </row>
    <row r="33" spans="1:23" ht="15" customHeight="1">
      <c r="A33" s="312"/>
      <c r="B33" s="312"/>
      <c r="C33" s="331"/>
      <c r="D33" s="312"/>
      <c r="E33" s="312"/>
      <c r="F33" s="483"/>
      <c r="G33" s="483"/>
      <c r="H33" s="483"/>
      <c r="I33" s="483"/>
      <c r="J33" s="483"/>
      <c r="K33" s="483"/>
      <c r="L33" s="483"/>
      <c r="M33" s="483"/>
      <c r="N33" s="312"/>
      <c r="O33" s="481" t="s">
        <v>3292</v>
      </c>
      <c r="P33" s="481"/>
      <c r="Q33" s="481"/>
      <c r="R33" s="481"/>
      <c r="S33" s="495" t="s">
        <v>65</v>
      </c>
      <c r="T33" s="495"/>
      <c r="U33" s="495"/>
      <c r="V33" s="495"/>
      <c r="W33" s="312"/>
    </row>
    <row r="34" spans="1:23" ht="16.5" customHeight="1">
      <c r="A34" s="312"/>
      <c r="B34" s="318" t="s">
        <v>30</v>
      </c>
      <c r="C34" s="331"/>
      <c r="D34" s="312"/>
      <c r="E34" s="312"/>
      <c r="F34" s="483"/>
      <c r="G34" s="483"/>
      <c r="H34" s="483"/>
      <c r="I34" s="483"/>
      <c r="J34" s="483"/>
      <c r="K34" s="483"/>
      <c r="L34" s="483"/>
      <c r="M34" s="483"/>
      <c r="N34" s="312"/>
      <c r="O34" s="480" t="s">
        <v>3290</v>
      </c>
      <c r="P34" s="481"/>
      <c r="Q34" s="481"/>
      <c r="R34" s="481"/>
      <c r="S34" s="495" t="s">
        <v>66</v>
      </c>
      <c r="T34" s="495"/>
      <c r="U34" s="495"/>
      <c r="V34" s="495"/>
      <c r="W34" s="312"/>
    </row>
    <row r="35" spans="1:23" ht="15.6" customHeight="1">
      <c r="A35" s="312"/>
      <c r="B35" s="312" t="str">
        <f>IF(B15="請選擇第一選修科","",B15)</f>
        <v/>
      </c>
      <c r="C35" s="349" t="str">
        <f>IF(計分版!$E$15=FALSE,IF(C15="請選擇等級","",C15),計分版!AC7)</f>
        <v/>
      </c>
      <c r="D35" s="477" t="s">
        <v>2498</v>
      </c>
      <c r="E35" s="312"/>
      <c r="F35" s="389" t="s">
        <v>3017</v>
      </c>
      <c r="G35" s="389"/>
      <c r="H35" s="389"/>
      <c r="I35" s="389"/>
      <c r="J35" s="389"/>
      <c r="K35" s="389"/>
      <c r="L35" s="389"/>
      <c r="M35" s="389"/>
      <c r="N35" s="312"/>
      <c r="O35" s="480"/>
      <c r="P35" s="480"/>
      <c r="Q35" s="480"/>
      <c r="R35" s="480"/>
      <c r="S35" s="503"/>
      <c r="T35" s="503"/>
      <c r="U35" s="503"/>
      <c r="V35" s="503"/>
      <c r="W35" s="312"/>
    </row>
    <row r="36" spans="1:23" ht="17.399999999999999" customHeight="1">
      <c r="A36" s="312"/>
      <c r="B36" s="312" t="str">
        <f>IF(B16="請選擇第二選修科","",B16)</f>
        <v/>
      </c>
      <c r="C36" s="349" t="str">
        <f>IF(計分版!$E$15=FALSE,IF(C16="請選擇等級","",C16),計分版!AD7)</f>
        <v/>
      </c>
      <c r="D36" s="477" t="s">
        <v>2498</v>
      </c>
      <c r="E36" s="312"/>
      <c r="F36" s="482" t="s">
        <v>3131</v>
      </c>
      <c r="G36" s="482"/>
      <c r="H36" s="482"/>
      <c r="I36" s="482"/>
      <c r="J36" s="482"/>
      <c r="K36" s="482"/>
      <c r="L36" s="482"/>
      <c r="M36" s="482"/>
      <c r="N36" s="312"/>
      <c r="O36" s="351"/>
      <c r="P36" s="351"/>
      <c r="Q36" s="351"/>
      <c r="R36" s="351"/>
      <c r="S36" s="351"/>
      <c r="T36" s="351"/>
      <c r="U36" s="351"/>
      <c r="V36" s="351"/>
      <c r="W36" s="312"/>
    </row>
    <row r="37" spans="1:23">
      <c r="A37" s="312"/>
      <c r="B37" s="312" t="str">
        <f>IF(B17="請選擇第三選修科","",B17)</f>
        <v/>
      </c>
      <c r="C37" s="349" t="str">
        <f>IF(計分版!$E$15=FALSE,IF(C17="請選擇等級","",C17),計分版!AE7)</f>
        <v/>
      </c>
      <c r="D37" s="477" t="s">
        <v>2498</v>
      </c>
      <c r="E37" s="312"/>
      <c r="F37" s="482"/>
      <c r="G37" s="482"/>
      <c r="H37" s="482"/>
      <c r="I37" s="482"/>
      <c r="J37" s="482"/>
      <c r="K37" s="482"/>
      <c r="L37" s="482"/>
      <c r="M37" s="482"/>
      <c r="N37" s="312"/>
      <c r="O37" s="498" t="s">
        <v>62</v>
      </c>
      <c r="P37" s="498"/>
      <c r="Q37" s="498"/>
      <c r="R37" s="498"/>
      <c r="S37" s="498"/>
      <c r="T37" s="498"/>
      <c r="U37" s="498"/>
      <c r="V37" s="380"/>
      <c r="W37" s="312"/>
    </row>
    <row r="38" spans="1:23">
      <c r="A38" s="312"/>
      <c r="B38" s="312" t="str">
        <f>IF(B18="請選擇第四選修科","",B18)</f>
        <v/>
      </c>
      <c r="C38" s="349" t="str">
        <f>IF(計分版!$E$15=FALSE,IF(C18="請選擇等級","",C18),計分版!AF7)</f>
        <v/>
      </c>
      <c r="D38" s="477" t="s">
        <v>2498</v>
      </c>
      <c r="E38" s="312"/>
      <c r="F38" s="482"/>
      <c r="G38" s="482"/>
      <c r="H38" s="482"/>
      <c r="I38" s="482"/>
      <c r="J38" s="482"/>
      <c r="K38" s="482"/>
      <c r="L38" s="482"/>
      <c r="M38" s="482"/>
      <c r="N38" s="312"/>
      <c r="O38" s="388"/>
      <c r="P38" s="388"/>
      <c r="Q38" s="388"/>
      <c r="R38" s="388"/>
      <c r="S38" s="388"/>
      <c r="T38" s="388"/>
      <c r="U38" s="388"/>
      <c r="V38" s="388"/>
      <c r="W38" s="312"/>
    </row>
    <row r="39" spans="1:23" ht="15.75" customHeight="1">
      <c r="A39" s="312"/>
      <c r="B39" s="312" t="str">
        <f>IF(B19="請選擇語言科目","",B19)</f>
        <v/>
      </c>
      <c r="C39" s="349" t="str">
        <f>IF(計分版!$E$15=FALSE,IF(C19="請選擇等級","",C19),計分版!AG7)</f>
        <v/>
      </c>
      <c r="D39" s="477" t="s">
        <v>2498</v>
      </c>
      <c r="E39" s="312"/>
      <c r="F39" s="482"/>
      <c r="G39" s="482"/>
      <c r="H39" s="482"/>
      <c r="I39" s="482"/>
      <c r="J39" s="482"/>
      <c r="K39" s="482"/>
      <c r="L39" s="482"/>
      <c r="M39" s="482"/>
      <c r="N39" s="312"/>
      <c r="O39" s="501" t="s">
        <v>2842</v>
      </c>
      <c r="P39" s="501"/>
      <c r="Q39" s="501"/>
      <c r="R39" s="501"/>
      <c r="S39" s="501"/>
      <c r="T39" s="501"/>
      <c r="U39" s="501"/>
      <c r="V39" s="501"/>
      <c r="W39" s="312"/>
    </row>
    <row r="40" spans="1:23">
      <c r="A40" s="312"/>
      <c r="B40" s="350" t="s">
        <v>67</v>
      </c>
      <c r="C40" s="312"/>
      <c r="D40" s="312"/>
      <c r="E40" s="312"/>
      <c r="F40" s="482"/>
      <c r="G40" s="482"/>
      <c r="H40" s="482"/>
      <c r="I40" s="482"/>
      <c r="J40" s="482"/>
      <c r="K40" s="482"/>
      <c r="L40" s="482"/>
      <c r="M40" s="482"/>
      <c r="N40" s="312"/>
      <c r="O40" s="501"/>
      <c r="P40" s="501"/>
      <c r="Q40" s="501"/>
      <c r="R40" s="501"/>
      <c r="S40" s="501"/>
      <c r="T40" s="501"/>
      <c r="U40" s="501"/>
      <c r="V40" s="501"/>
      <c r="W40" s="312"/>
    </row>
    <row r="41" spans="1:23">
      <c r="A41" s="312"/>
      <c r="B41" s="350" t="s">
        <v>2816</v>
      </c>
      <c r="C41" s="312"/>
      <c r="D41" s="312"/>
      <c r="E41" s="312"/>
      <c r="F41" s="482"/>
      <c r="G41" s="482"/>
      <c r="H41" s="482"/>
      <c r="I41" s="482"/>
      <c r="J41" s="482"/>
      <c r="K41" s="482"/>
      <c r="L41" s="482"/>
      <c r="M41" s="482"/>
      <c r="N41" s="312"/>
      <c r="O41" s="501"/>
      <c r="P41" s="501"/>
      <c r="Q41" s="501"/>
      <c r="R41" s="501"/>
      <c r="S41" s="501"/>
      <c r="T41" s="501"/>
      <c r="U41" s="501"/>
      <c r="V41" s="501"/>
      <c r="W41" s="312"/>
    </row>
    <row r="42" spans="1:23">
      <c r="A42" s="312"/>
      <c r="B42" s="350" t="s">
        <v>2817</v>
      </c>
      <c r="C42" s="312"/>
      <c r="D42" s="312"/>
      <c r="E42" s="312"/>
      <c r="F42" s="482"/>
      <c r="G42" s="482"/>
      <c r="H42" s="482"/>
      <c r="I42" s="482"/>
      <c r="J42" s="482"/>
      <c r="K42" s="482"/>
      <c r="L42" s="482"/>
      <c r="M42" s="482"/>
      <c r="N42" s="312"/>
      <c r="O42" s="501"/>
      <c r="P42" s="501"/>
      <c r="Q42" s="501"/>
      <c r="R42" s="501"/>
      <c r="S42" s="501"/>
      <c r="T42" s="501"/>
      <c r="U42" s="501"/>
      <c r="V42" s="501"/>
      <c r="W42" s="312"/>
    </row>
    <row r="43" spans="1:23">
      <c r="A43" s="312"/>
      <c r="B43" s="370" t="s">
        <v>2811</v>
      </c>
      <c r="C43" s="312"/>
      <c r="D43" s="312"/>
      <c r="E43" s="312"/>
      <c r="F43" s="482"/>
      <c r="G43" s="482"/>
      <c r="H43" s="482"/>
      <c r="I43" s="482"/>
      <c r="J43" s="482"/>
      <c r="K43" s="482"/>
      <c r="L43" s="482"/>
      <c r="M43" s="482"/>
      <c r="N43" s="312"/>
      <c r="O43" s="501"/>
      <c r="P43" s="501"/>
      <c r="Q43" s="501"/>
      <c r="R43" s="501"/>
      <c r="S43" s="501"/>
      <c r="T43" s="501"/>
      <c r="U43" s="501"/>
      <c r="V43" s="501"/>
      <c r="W43" s="312"/>
    </row>
    <row r="44" spans="1:23">
      <c r="A44" s="312"/>
      <c r="B44" s="312"/>
      <c r="C44" s="312"/>
      <c r="D44" s="312"/>
      <c r="E44" s="312"/>
      <c r="F44" s="482"/>
      <c r="G44" s="482"/>
      <c r="H44" s="482"/>
      <c r="I44" s="482"/>
      <c r="J44" s="482"/>
      <c r="K44" s="482"/>
      <c r="L44" s="482"/>
      <c r="M44" s="482"/>
      <c r="N44" s="312"/>
      <c r="O44" s="501"/>
      <c r="P44" s="501"/>
      <c r="Q44" s="501"/>
      <c r="R44" s="501"/>
      <c r="S44" s="501"/>
      <c r="T44" s="501"/>
      <c r="U44" s="501"/>
      <c r="V44" s="501"/>
      <c r="W44" s="312"/>
    </row>
    <row r="45" spans="1:23">
      <c r="A45" s="312"/>
      <c r="B45" s="312"/>
      <c r="C45" s="312"/>
      <c r="D45" s="312"/>
      <c r="E45" s="312"/>
      <c r="F45" s="312"/>
      <c r="G45" s="312"/>
      <c r="H45" s="312"/>
      <c r="I45" s="312"/>
      <c r="J45" s="312"/>
      <c r="K45" s="312"/>
      <c r="L45" s="312"/>
      <c r="M45" s="312"/>
      <c r="N45" s="312"/>
      <c r="O45" s="351"/>
      <c r="P45" s="351"/>
      <c r="Q45" s="351"/>
      <c r="R45" s="351"/>
      <c r="S45" s="351"/>
      <c r="T45" s="351"/>
      <c r="U45" s="351"/>
      <c r="V45" s="371"/>
      <c r="W45" s="312"/>
    </row>
  </sheetData>
  <sheetProtection selectLockedCells="1"/>
  <dataConsolidate/>
  <mergeCells count="46">
    <mergeCell ref="O30:R30"/>
    <mergeCell ref="O25:R25"/>
    <mergeCell ref="S25:V25"/>
    <mergeCell ref="O26:R26"/>
    <mergeCell ref="S26:V26"/>
    <mergeCell ref="S29:V29"/>
    <mergeCell ref="S28:V28"/>
    <mergeCell ref="F28:H28"/>
    <mergeCell ref="O27:R27"/>
    <mergeCell ref="O28:R28"/>
    <mergeCell ref="S27:V27"/>
    <mergeCell ref="O29:R29"/>
    <mergeCell ref="K8:N8"/>
    <mergeCell ref="O39:V44"/>
    <mergeCell ref="O24:S24"/>
    <mergeCell ref="O37:U37"/>
    <mergeCell ref="O31:R31"/>
    <mergeCell ref="S31:V31"/>
    <mergeCell ref="S32:V32"/>
    <mergeCell ref="S33:V33"/>
    <mergeCell ref="S34:V34"/>
    <mergeCell ref="S35:V35"/>
    <mergeCell ref="S30:V30"/>
    <mergeCell ref="K28:M28"/>
    <mergeCell ref="F25:M26"/>
    <mergeCell ref="I11:M11"/>
    <mergeCell ref="I12:K12"/>
    <mergeCell ref="F12:H12"/>
    <mergeCell ref="F11:G11"/>
    <mergeCell ref="B22:J22"/>
    <mergeCell ref="F36:M44"/>
    <mergeCell ref="F31:M34"/>
    <mergeCell ref="F29:M30"/>
    <mergeCell ref="B2:F2"/>
    <mergeCell ref="H2:I2"/>
    <mergeCell ref="K2:S2"/>
    <mergeCell ref="L12:M12"/>
    <mergeCell ref="F5:H5"/>
    <mergeCell ref="O6:R6"/>
    <mergeCell ref="O7:R7"/>
    <mergeCell ref="O8:R8"/>
    <mergeCell ref="F9:H9"/>
    <mergeCell ref="K5:M5"/>
    <mergeCell ref="K6:N6"/>
    <mergeCell ref="K7:N7"/>
    <mergeCell ref="F24:J24"/>
  </mergeCells>
  <phoneticPr fontId="3" type="noConversion"/>
  <conditionalFormatting sqref="B7:D7 B14:D14 B27:C27 B34:C34">
    <cfRule type="expression" dxfId="293" priority="18631" stopIfTrue="1">
      <formula>TRUE</formula>
    </cfRule>
  </conditionalFormatting>
  <conditionalFormatting sqref="C28">
    <cfRule type="expression" dxfId="290" priority="18603">
      <formula>$C$28=0</formula>
    </cfRule>
  </conditionalFormatting>
  <conditionalFormatting sqref="C29">
    <cfRule type="expression" dxfId="289" priority="18597">
      <formula>$C$29=0</formula>
    </cfRule>
  </conditionalFormatting>
  <conditionalFormatting sqref="C30">
    <cfRule type="expression" dxfId="288" priority="18598">
      <formula>$C$30=0</formula>
    </cfRule>
  </conditionalFormatting>
  <conditionalFormatting sqref="C31">
    <cfRule type="expression" dxfId="287" priority="18596">
      <formula>$C$31=0</formula>
    </cfRule>
  </conditionalFormatting>
  <conditionalFormatting sqref="C32">
    <cfRule type="expression" dxfId="286" priority="18599">
      <formula>$C$32=0</formula>
    </cfRule>
  </conditionalFormatting>
  <conditionalFormatting sqref="C35">
    <cfRule type="expression" dxfId="285" priority="18600">
      <formula>$C$35=0</formula>
    </cfRule>
  </conditionalFormatting>
  <conditionalFormatting sqref="C36">
    <cfRule type="expression" dxfId="284" priority="18595">
      <formula>$C$36=0</formula>
    </cfRule>
  </conditionalFormatting>
  <conditionalFormatting sqref="C37">
    <cfRule type="expression" dxfId="283" priority="18601">
      <formula>$C$37=0</formula>
    </cfRule>
  </conditionalFormatting>
  <conditionalFormatting sqref="C38">
    <cfRule type="expression" dxfId="282" priority="18594">
      <formula>$C$38=0</formula>
    </cfRule>
  </conditionalFormatting>
  <conditionalFormatting sqref="C39">
    <cfRule type="expression" dxfId="281" priority="18602">
      <formula>$C$39=0</formula>
    </cfRule>
  </conditionalFormatting>
  <conditionalFormatting sqref="D8 D10 D12 D15 D17 D19">
    <cfRule type="expression" dxfId="279" priority="18938">
      <formula>TRUE</formula>
    </cfRule>
  </conditionalFormatting>
  <conditionalFormatting sqref="D9 D11 D16 D18">
    <cfRule type="expression" dxfId="278" priority="18927">
      <formula>TRUE</formula>
    </cfRule>
  </conditionalFormatting>
  <conditionalFormatting sqref="F15 F17 F19">
    <cfRule type="expression" dxfId="277" priority="18623">
      <formula>TRUE</formula>
    </cfRule>
  </conditionalFormatting>
  <conditionalFormatting sqref="F25 F27:M27 I28:K28 F28:F29">
    <cfRule type="expression" dxfId="276" priority="1">
      <formula>TRUE</formula>
    </cfRule>
  </conditionalFormatting>
  <conditionalFormatting sqref="F36">
    <cfRule type="expression" dxfId="275" priority="2">
      <formula>TRUE</formula>
    </cfRule>
  </conditionalFormatting>
  <conditionalFormatting sqref="F8:I8 B9:C9 B11:C11 B16:C16 B18:C18 B29:C29 B31:C31 B36:C36 B38:C38">
    <cfRule type="expression" dxfId="274" priority="18632">
      <formula>TRUE</formula>
    </cfRule>
  </conditionalFormatting>
  <conditionalFormatting sqref="G15:P15 G17:P17 G19:P19">
    <cfRule type="expression" dxfId="273" priority="34">
      <formula>TRUE</formula>
    </cfRule>
  </conditionalFormatting>
  <conditionalFormatting sqref="J16:L16 J18:L18 J20:L20">
    <cfRule type="containsBlanks" priority="18637" stopIfTrue="1">
      <formula>LEN(TRIM(J16))=0</formula>
    </cfRule>
    <cfRule type="cellIs" dxfId="271" priority="18638" operator="lessThan">
      <formula>0</formula>
    </cfRule>
    <cfRule type="cellIs" dxfId="270" priority="18639" operator="greaterThanOrEqual">
      <formula>0</formula>
    </cfRule>
  </conditionalFormatting>
  <conditionalFormatting sqref="K5:R5 K6 O6 F7:I7 K7:O8 B8:C8 B10:C10 B12:C12 B15:C15 B17:C17 B19:C19 O25:V25 O26:R26 S26:V28 O27 B28:C28 S29 B30:C30 O30:V31 F31 B32:C32 S32:S34 B35:C35 S35:V35 B37:C37 O37:V38 B39:C39 O39 O28:R35">
    <cfRule type="expression" dxfId="0" priority="18626">
      <formula>TRUE</formula>
    </cfRule>
  </conditionalFormatting>
  <dataValidations xWindow="600" yWindow="521" count="9">
    <dataValidation type="list" allowBlank="1" showInputMessage="1" showErrorMessage="1" errorTitle="ERROR" error="請選擇所修讀的選修科目" sqref="B16" xr:uid="{00000000-0002-0000-0300-000000000000}">
      <formula1>第二選修科</formula1>
    </dataValidation>
    <dataValidation type="list" allowBlank="1" showInputMessage="1" showErrorMessage="1" sqref="B18" xr:uid="{00000000-0002-0000-0300-000001000000}">
      <formula1>第四選修科</formula1>
    </dataValidation>
    <dataValidation type="list" allowBlank="1" showInputMessage="1" showErrorMessage="1" sqref="B19" xr:uid="{00000000-0002-0000-0300-000002000000}">
      <formula1>丙類選修科</formula1>
    </dataValidation>
    <dataValidation type="list" allowBlank="1" showInputMessage="1" showErrorMessage="1" sqref="C15:C18 C8:C10 C12" xr:uid="{00000000-0002-0000-0300-000003000000}">
      <formula1>等級</formula1>
    </dataValidation>
    <dataValidation type="list" allowBlank="1" showInputMessage="1" showErrorMessage="1" sqref="C19" xr:uid="{00000000-0002-0000-0300-000004000000}">
      <formula1>丙類科目等級</formula1>
    </dataValidation>
    <dataValidation allowBlank="1" showInputMessage="1" showErrorMessage="1" errorTitle="ERROR" error="請選擇所修讀的選修科目" sqref="B35:B39" xr:uid="{00000000-0002-0000-0300-000005000000}"/>
    <dataValidation type="list" allowBlank="1" showInputMessage="1" showErrorMessage="1" sqref="D5 N12 I5 D28:D32 D35:D39" xr:uid="{DE9AC897-D9A5-47D0-93C0-58FFAE34C449}">
      <formula1>是否</formula1>
    </dataValidation>
    <dataValidation type="list" allowBlank="1" showInputMessage="1" showErrorMessage="1" sqref="C11" xr:uid="{4A6D2029-FA5D-41EA-A1F4-0D076F4FD687}">
      <formula1>公社科</formula1>
    </dataValidation>
    <dataValidation type="whole" allowBlank="1" showInputMessage="1" showErrorMessage="1" errorTitle="注意" error="只可填寫 0 (不逹標) 或 1 (達標)" promptTitle="注意" prompt="只可填寫 0 (不逹標) 或 1 (達標)" sqref="D11" xr:uid="{977154DB-09AE-42A8-948E-F443EE161B4D}">
      <formula1>0</formula1>
      <formula2>1</formula2>
    </dataValidation>
  </dataValidations>
  <hyperlinks>
    <hyperlink ref="C23" r:id="rId1" xr:uid="{8E18F70F-52DD-4AD6-B091-BF53CE1131CD}"/>
    <hyperlink ref="E21" r:id="rId2" xr:uid="{56BEF4EE-83BE-438E-9DC7-7A128A9B54C5}"/>
  </hyperlinks>
  <pageMargins left="0.7" right="0.7" top="0.75" bottom="0.75" header="0.3" footer="0.3"/>
  <pageSetup paperSize="9" orientation="portrait" horizontalDpi="1200" verticalDpi="1200" r:id="rId3"/>
  <ignoredErrors>
    <ignoredError sqref="E5 A5 E11 A25" numberStoredAsText="1"/>
  </ignoredErrors>
  <drawing r:id="rId4"/>
  <legacyDrawing r:id="rId5"/>
  <extLst>
    <ext xmlns:x14="http://schemas.microsoft.com/office/spreadsheetml/2009/9/main" uri="{78C0D931-6437-407d-A8EE-F0AAD7539E65}">
      <x14:conditionalFormattings>
        <x14:conditionalFormatting xmlns:xm="http://schemas.microsoft.com/office/excel/2006/main">
          <x14:cfRule type="expression" priority="18928" id="{2FE182C6-4275-4538-821D-2D367B293D90}">
            <xm:f>計分版!$E$15=TRUE</xm:f>
            <x14:dxf>
              <font>
                <color rgb="FFEEE9E6"/>
              </font>
              <fill>
                <patternFill patternType="none">
                  <bgColor auto="1"/>
                </patternFill>
              </fill>
            </x14:dxf>
          </x14:cfRule>
          <xm:sqref>C8 C10 C12 C15 C17 C19</xm:sqref>
        </x14:conditionalFormatting>
        <x14:conditionalFormatting xmlns:xm="http://schemas.microsoft.com/office/excel/2006/main">
          <x14:cfRule type="expression" priority="18934" id="{88FDDA21-0782-4A20-9559-C7B15BDF7C53}">
            <xm:f>計分版!$E$15=TRUE</xm:f>
            <x14:dxf>
              <font>
                <color rgb="FFDBD1CB"/>
              </font>
            </x14:dxf>
          </x14:cfRule>
          <xm:sqref>C9 C11 C16 C18</xm:sqref>
        </x14:conditionalFormatting>
        <x14:conditionalFormatting xmlns:xm="http://schemas.microsoft.com/office/excel/2006/main">
          <x14:cfRule type="expression" priority="18629" stopIfTrue="1" id="{6CAD0F26-2001-4988-9531-0167F18DAF91}">
            <xm:f>計分版!$E$15=FALSE</xm:f>
            <x14:dxf>
              <font>
                <color rgb="FFFFEFEF"/>
              </font>
              <fill>
                <patternFill>
                  <bgColor rgb="FFFFEFEF"/>
                </patternFill>
              </fill>
            </x14:dxf>
          </x14:cfRule>
          <xm:sqref>D6:D12 D14:D19</xm:sqref>
        </x14:conditionalFormatting>
        <x14:conditionalFormatting xmlns:xm="http://schemas.microsoft.com/office/excel/2006/main">
          <x14:cfRule type="expression" priority="18635" id="{14C6DFB2-997D-4E2B-A554-28B260EC6BE6}">
            <xm:f>'A123'!$A$1=TRUE</xm:f>
            <x14:dxf>
              <numFmt numFmtId="172" formatCode="0.0%"/>
            </x14:dxf>
          </x14:cfRule>
          <xm:sqref>J16:L16 J18:L18 J20:L20</xm:sqref>
        </x14:conditionalFormatting>
        <x14:conditionalFormatting xmlns:xm="http://schemas.microsoft.com/office/excel/2006/main">
          <x14:cfRule type="expression" priority="18644" id="{00000000-000E-0000-0100-0000C9480000}">
            <xm:f>'A123'!$M$16=2</xm:f>
            <x14:dxf>
              <font>
                <b/>
                <i val="0"/>
                <strike val="0"/>
                <color theme="0"/>
              </font>
              <fill>
                <patternFill>
                  <bgColor rgb="FFE2A714"/>
                </patternFill>
              </fill>
            </x14:dxf>
          </x14:cfRule>
          <x14:cfRule type="expression" priority="18645" id="{00000000-000E-0000-0100-0000CA480000}">
            <xm:f>'A123'!$M$16=0</xm:f>
            <x14:dxf>
              <font>
                <b/>
                <i val="0"/>
                <color theme="0"/>
              </font>
              <fill>
                <patternFill>
                  <bgColor rgb="FFC00000"/>
                </patternFill>
              </fill>
            </x14:dxf>
          </x14:cfRule>
          <x14:cfRule type="expression" priority="18646" id="{00000000-000E-0000-0100-0000CB480000}">
            <xm:f>'A123'!$M$16=1</xm:f>
            <x14:dxf>
              <font>
                <b/>
                <i val="0"/>
                <color theme="0"/>
              </font>
              <fill>
                <patternFill>
                  <bgColor rgb="FF548235"/>
                </patternFill>
              </fill>
            </x14:dxf>
          </x14:cfRule>
          <xm:sqref>Q15 Q17 Q19</xm:sqref>
        </x14:conditionalFormatting>
      </x14:conditionalFormattings>
    </ext>
    <ext xmlns:x14="http://schemas.microsoft.com/office/spreadsheetml/2009/9/main" uri="{CCE6A557-97BC-4b89-ADB6-D9C93CAAB3DF}">
      <x14:dataValidations xmlns:xm="http://schemas.microsoft.com/office/excel/2006/main" xWindow="600" yWindow="521" count="2">
        <x14:dataValidation type="list" allowBlank="1" showInputMessage="1" showErrorMessage="1" errorTitle="ERROR" error="請選擇所修讀的選修科目" xr:uid="{00000000-0002-0000-0300-000006000000}">
          <x14:formula1>
            <xm:f>選單!$E$2:$E$25</xm:f>
          </x14:formula1>
          <xm:sqref>B17</xm:sqref>
        </x14:dataValidation>
        <x14:dataValidation type="list" allowBlank="1" showInputMessage="1" showErrorMessage="1" errorTitle="ERROR" error="請選擇所修讀的選修科目" xr:uid="{00000000-0002-0000-0300-000007000000}">
          <x14:formula1>
            <xm:f>選單!$C$2:$C$25</xm:f>
          </x14:formula1>
          <xm:sqref>B15</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工作表2"/>
  <dimension ref="A1:AB763"/>
  <sheetViews>
    <sheetView zoomScaleNormal="100" workbookViewId="0">
      <selection activeCell="F5" sqref="F5"/>
    </sheetView>
    <sheetView topLeftCell="A13" workbookViewId="1">
      <selection activeCell="Q363" sqref="Q363"/>
    </sheetView>
  </sheetViews>
  <sheetFormatPr defaultColWidth="8.69921875" defaultRowHeight="15.6"/>
  <cols>
    <col min="1" max="1" width="10.5" style="13" customWidth="1"/>
    <col min="2" max="2" width="9.69921875" style="13" customWidth="1"/>
    <col min="3" max="3" width="10.19921875" style="13" customWidth="1"/>
    <col min="4" max="4" width="11.19921875" style="37" customWidth="1"/>
    <col min="5" max="5" width="9.5" style="13" bestFit="1" customWidth="1"/>
    <col min="6" max="6" width="10" style="20" customWidth="1"/>
    <col min="7" max="8" width="10.19921875" style="20" customWidth="1"/>
    <col min="9" max="9" width="11.19921875" style="20" customWidth="1"/>
    <col min="10" max="11" width="8.69921875" style="13" customWidth="1"/>
    <col min="12" max="12" width="12.19921875" style="112" customWidth="1"/>
    <col min="13" max="13" width="8.69921875" style="13" customWidth="1"/>
    <col min="14" max="14" width="7.69921875" style="13" customWidth="1"/>
    <col min="15" max="15" width="7.19921875" style="13" customWidth="1"/>
    <col min="16" max="17" width="8.19921875" style="13" customWidth="1"/>
    <col min="18" max="18" width="10.19921875" style="13" customWidth="1"/>
    <col min="19" max="19" width="10.5" style="13" customWidth="1"/>
    <col min="20" max="20" width="7" style="13" customWidth="1"/>
    <col min="21" max="21" width="8.19921875" style="13" customWidth="1"/>
    <col min="22" max="22" width="7.69921875" style="13" customWidth="1"/>
    <col min="23" max="23" width="6.19921875" style="13" customWidth="1"/>
    <col min="24" max="24" width="9.19921875" style="13" customWidth="1"/>
    <col min="25" max="26" width="8.69921875" style="13" customWidth="1"/>
    <col min="27" max="27" width="9.5" style="13" customWidth="1"/>
    <col min="28" max="28" width="16.69921875" style="13" bestFit="1" customWidth="1"/>
    <col min="29" max="16384" width="8.69921875" style="13"/>
  </cols>
  <sheetData>
    <row r="1" spans="1:17">
      <c r="A1" s="13" t="b">
        <f>IF(主頁!N12="是",TRUE,FALSE)</f>
        <v>1</v>
      </c>
      <c r="B1" s="13" t="s">
        <v>2511</v>
      </c>
      <c r="E1" s="13" t="s">
        <v>2512</v>
      </c>
    </row>
    <row r="2" spans="1:17">
      <c r="A2" s="13" t="b">
        <v>1</v>
      </c>
      <c r="B2" s="13" t="s">
        <v>2510</v>
      </c>
    </row>
    <row r="3" spans="1:17">
      <c r="A3" s="224"/>
      <c r="B3" s="223" t="s">
        <v>2453</v>
      </c>
      <c r="C3" s="224"/>
      <c r="D3" s="224"/>
      <c r="E3" s="224"/>
      <c r="F3" s="223" t="s">
        <v>2454</v>
      </c>
      <c r="G3" s="224"/>
      <c r="H3" s="224"/>
      <c r="I3" s="226"/>
      <c r="Q3" s="37"/>
    </row>
    <row r="4" spans="1:17">
      <c r="A4" s="224"/>
      <c r="B4" s="224" t="s">
        <v>34</v>
      </c>
      <c r="C4" s="224" t="s">
        <v>35</v>
      </c>
      <c r="D4" s="224" t="s">
        <v>36</v>
      </c>
      <c r="E4" s="224"/>
      <c r="F4" s="224" t="s">
        <v>34</v>
      </c>
      <c r="G4" s="224" t="s">
        <v>35</v>
      </c>
      <c r="H4" s="224" t="s">
        <v>36</v>
      </c>
      <c r="I4" s="226"/>
    </row>
    <row r="5" spans="1:17">
      <c r="A5" s="226" t="s">
        <v>42</v>
      </c>
      <c r="B5" s="37">
        <f>IFERROR(主頁!M15-主頁!J15,"")</f>
        <v>-34.499999996050001</v>
      </c>
      <c r="C5" s="37">
        <f>IFERROR(主頁!M15-主頁!K15,"")</f>
        <v>-32.999999996050001</v>
      </c>
      <c r="D5" s="37">
        <f>IFERROR(主頁!M15-主頁!L15,"")</f>
        <v>-30.749999996050001</v>
      </c>
      <c r="E5" s="224"/>
      <c r="F5" s="228">
        <f>IFERROR((主頁!$M$15-主頁!J15)/主頁!M15,"")</f>
        <v>-8734177214.1898727</v>
      </c>
      <c r="G5" s="228">
        <f>IFERROR((主頁!$M$15-主頁!K15)/主頁!$M$15,"")</f>
        <v>-8354430378.7468338</v>
      </c>
      <c r="H5" s="228">
        <f>IFERROR((主頁!$M$15-主頁!L15)/主頁!$M$15,"")</f>
        <v>-7784810125.5822773</v>
      </c>
      <c r="I5" s="226"/>
    </row>
    <row r="6" spans="1:17">
      <c r="A6" s="226"/>
      <c r="B6" s="224"/>
      <c r="C6" s="224"/>
      <c r="D6" s="224"/>
      <c r="E6" s="224"/>
      <c r="F6" s="225"/>
      <c r="G6" s="225"/>
      <c r="H6" s="225"/>
      <c r="I6" s="226"/>
    </row>
    <row r="7" spans="1:17">
      <c r="A7" s="226" t="s">
        <v>47</v>
      </c>
      <c r="B7" s="37" t="str">
        <f>IFERROR(主頁!M17-主頁!J17,"")</f>
        <v/>
      </c>
      <c r="C7" s="37" t="str">
        <f>IFERROR(主頁!M17-主頁!K17,"")</f>
        <v/>
      </c>
      <c r="D7" s="37" t="str">
        <f>IFERROR(主頁!M17-主頁!L17,"")</f>
        <v/>
      </c>
      <c r="E7" s="224"/>
      <c r="F7" s="228" t="str">
        <f>IFERROR((主頁!$M$17-主頁!J17)/主頁!$M$17,"")</f>
        <v/>
      </c>
      <c r="G7" s="228" t="str">
        <f>IFERROR((主頁!$M$17-主頁!K17)/主頁!$M$17,"")</f>
        <v/>
      </c>
      <c r="H7" s="228" t="str">
        <f>IFERROR((主頁!$M$17-主頁!L17)/主頁!$M$17,"")</f>
        <v/>
      </c>
      <c r="I7" s="226"/>
    </row>
    <row r="8" spans="1:17">
      <c r="A8" s="226"/>
      <c r="B8" s="224"/>
      <c r="C8" s="224"/>
      <c r="D8" s="224"/>
      <c r="E8" s="224"/>
      <c r="F8" s="225"/>
      <c r="G8" s="225"/>
      <c r="H8" s="225"/>
      <c r="I8" s="226"/>
    </row>
    <row r="9" spans="1:17">
      <c r="A9" s="226" t="s">
        <v>52</v>
      </c>
      <c r="B9" s="37" t="str">
        <f>IFERROR(主頁!M19-主頁!J19,"")</f>
        <v/>
      </c>
      <c r="C9" s="37" t="str">
        <f>IFERROR(主頁!M19-主頁!K19,"")</f>
        <v/>
      </c>
      <c r="D9" s="37" t="str">
        <f>IFERROR(主頁!M19-主頁!L19,"")</f>
        <v/>
      </c>
      <c r="E9" s="224"/>
      <c r="F9" s="228" t="str">
        <f>IFERROR((主頁!$M$19-主頁!J19)/主頁!$M$19,"")</f>
        <v/>
      </c>
      <c r="G9" s="228" t="str">
        <f>IFERROR((主頁!$M$19-主頁!K19)/主頁!$M$19,"")</f>
        <v/>
      </c>
      <c r="H9" s="228" t="str">
        <f>IFERROR((主頁!$M$19-主頁!L19)/主頁!$M$19,"")</f>
        <v/>
      </c>
      <c r="I9" s="226"/>
    </row>
    <row r="10" spans="1:17">
      <c r="A10" s="227"/>
      <c r="B10" s="227"/>
      <c r="C10" s="227"/>
      <c r="D10" s="224"/>
      <c r="E10" s="227"/>
      <c r="F10" s="226"/>
      <c r="G10" s="226"/>
      <c r="H10" s="226"/>
      <c r="I10" s="226"/>
    </row>
    <row r="15" spans="1:17">
      <c r="A15" s="13" t="s">
        <v>2455</v>
      </c>
      <c r="B15" s="13" t="s">
        <v>73</v>
      </c>
      <c r="C15" s="37" t="s">
        <v>2456</v>
      </c>
      <c r="D15" s="13" t="s">
        <v>2457</v>
      </c>
      <c r="E15" s="13" t="s">
        <v>113</v>
      </c>
      <c r="F15" s="20" t="s">
        <v>109</v>
      </c>
      <c r="G15" s="20" t="s">
        <v>108</v>
      </c>
      <c r="H15" s="20" t="s">
        <v>106</v>
      </c>
      <c r="I15" s="20" t="s">
        <v>37</v>
      </c>
      <c r="J15" s="13" t="s">
        <v>75</v>
      </c>
      <c r="K15" s="13" t="s">
        <v>39</v>
      </c>
      <c r="L15" s="168" t="s">
        <v>2458</v>
      </c>
      <c r="M15" s="13" t="s">
        <v>116</v>
      </c>
    </row>
    <row r="16" spans="1:17">
      <c r="A16" s="13" t="str">
        <f>主頁!F15</f>
        <v>JS4862</v>
      </c>
      <c r="B16" s="13" t="str">
        <f t="shared" ref="B16:M18" si="0">IFERROR(INDEX(B$21:B$502,MATCH($A16,$A$21:$A$502,0)),"")</f>
        <v>CUHK</v>
      </c>
      <c r="C16" s="13" t="str">
        <f t="shared" si="0"/>
        <v>心理學</v>
      </c>
      <c r="D16" s="13" t="str">
        <f t="shared" si="0"/>
        <v>PSYCHOLOGY</v>
      </c>
      <c r="E16" s="13" t="str">
        <f t="shared" si="0"/>
        <v>Best 5</v>
      </c>
      <c r="F16" s="13">
        <f t="shared" si="0"/>
        <v>34.5</v>
      </c>
      <c r="G16" s="13">
        <f t="shared" si="0"/>
        <v>33</v>
      </c>
      <c r="H16" s="13">
        <f t="shared" si="0"/>
        <v>30.75</v>
      </c>
      <c r="I16" s="13">
        <f t="shared" si="0"/>
        <v>3.9500000000000006E-9</v>
      </c>
      <c r="J16" s="13">
        <f t="shared" si="0"/>
        <v>56</v>
      </c>
      <c r="K16" s="13">
        <f t="shared" si="0"/>
        <v>73</v>
      </c>
      <c r="L16" s="13">
        <f t="shared" si="0"/>
        <v>5.4794520547945202</v>
      </c>
      <c r="M16" s="13">
        <f t="shared" si="0"/>
        <v>0</v>
      </c>
      <c r="N16" s="12"/>
    </row>
    <row r="17" spans="1:28">
      <c r="A17" s="13">
        <f>主頁!F17</f>
        <v>0</v>
      </c>
      <c r="B17" s="13" t="str">
        <f t="shared" si="0"/>
        <v/>
      </c>
      <c r="C17" s="13" t="str">
        <f t="shared" si="0"/>
        <v/>
      </c>
      <c r="D17" s="13" t="str">
        <f t="shared" si="0"/>
        <v/>
      </c>
      <c r="E17" s="13" t="str">
        <f t="shared" si="0"/>
        <v/>
      </c>
      <c r="F17" s="13" t="str">
        <f t="shared" si="0"/>
        <v/>
      </c>
      <c r="G17" s="13" t="str">
        <f t="shared" si="0"/>
        <v/>
      </c>
      <c r="H17" s="13" t="str">
        <f t="shared" si="0"/>
        <v/>
      </c>
      <c r="I17" s="13" t="str">
        <f t="shared" si="0"/>
        <v/>
      </c>
      <c r="J17" s="13" t="str">
        <f t="shared" si="0"/>
        <v/>
      </c>
      <c r="K17" s="13" t="str">
        <f t="shared" si="0"/>
        <v/>
      </c>
      <c r="L17" s="13" t="str">
        <f t="shared" si="0"/>
        <v/>
      </c>
      <c r="M17" s="13" t="str">
        <f t="shared" si="0"/>
        <v/>
      </c>
      <c r="N17" s="12"/>
    </row>
    <row r="18" spans="1:28">
      <c r="A18" s="13">
        <f>主頁!F19</f>
        <v>0</v>
      </c>
      <c r="B18" s="13" t="str">
        <f t="shared" si="0"/>
        <v/>
      </c>
      <c r="C18" s="13" t="str">
        <f t="shared" si="0"/>
        <v/>
      </c>
      <c r="D18" s="13" t="str">
        <f t="shared" si="0"/>
        <v/>
      </c>
      <c r="E18" s="13" t="str">
        <f t="shared" si="0"/>
        <v/>
      </c>
      <c r="F18" s="13" t="str">
        <f t="shared" si="0"/>
        <v/>
      </c>
      <c r="G18" s="13" t="str">
        <f t="shared" si="0"/>
        <v/>
      </c>
      <c r="H18" s="13" t="str">
        <f t="shared" si="0"/>
        <v/>
      </c>
      <c r="I18" s="13" t="str">
        <f t="shared" si="0"/>
        <v/>
      </c>
      <c r="J18" s="13" t="str">
        <f t="shared" si="0"/>
        <v/>
      </c>
      <c r="K18" s="13" t="str">
        <f t="shared" si="0"/>
        <v/>
      </c>
      <c r="L18" s="13" t="str">
        <f t="shared" si="0"/>
        <v/>
      </c>
      <c r="M18" s="13" t="str">
        <f t="shared" si="0"/>
        <v/>
      </c>
    </row>
    <row r="20" spans="1:28">
      <c r="B20" s="52"/>
      <c r="C20" s="52"/>
      <c r="D20" s="13"/>
      <c r="E20" s="53"/>
      <c r="F20" s="76" t="s">
        <v>34</v>
      </c>
      <c r="G20" s="76" t="s">
        <v>35</v>
      </c>
      <c r="H20" s="76" t="s">
        <v>36</v>
      </c>
      <c r="I20" s="20" t="s">
        <v>37</v>
      </c>
      <c r="J20" s="13" t="s">
        <v>75</v>
      </c>
      <c r="K20" s="13" t="s">
        <v>39</v>
      </c>
      <c r="L20" s="168" t="s">
        <v>2458</v>
      </c>
      <c r="M20" s="13" t="s">
        <v>116</v>
      </c>
      <c r="AB20" s="13" t="s">
        <v>2459</v>
      </c>
    </row>
    <row r="21" spans="1:28">
      <c r="A21" s="13" t="str">
        <f>'Reference Score Calculation'!A13</f>
        <v>JS1000</v>
      </c>
      <c r="B21" s="13" t="str">
        <f>'Reference Score Calculation'!B13</f>
        <v>CityU</v>
      </c>
      <c r="C21" s="13" t="str">
        <f>'Reference Score Calculation'!D13</f>
        <v>理學士(計算金融及金融科技)</v>
      </c>
      <c r="D21" s="13" t="str">
        <f>'Reference Score Calculation'!R13</f>
        <v>BScCFFT</v>
      </c>
      <c r="E21" s="13" t="str">
        <f>'Reference Score Calculation'!E13</f>
        <v>4C2X</v>
      </c>
      <c r="F21" s="20" t="str">
        <f>'Reference Score Calculation'!G13</f>
        <v>/</v>
      </c>
      <c r="G21" s="20">
        <f>'Reference Score Calculation'!H13</f>
        <v>27</v>
      </c>
      <c r="H21" s="20" t="str">
        <f>'Reference Score Calculation'!I13</f>
        <v>/</v>
      </c>
      <c r="I21" s="20">
        <f>計分版!J36</f>
        <v>2.7499999999999998E-9</v>
      </c>
      <c r="J21" s="13">
        <f>'Reference Score Calculation'!T13</f>
        <v>10</v>
      </c>
      <c r="K21" s="28">
        <f>'Reference Score Calculation'!U13</f>
        <v>3</v>
      </c>
      <c r="L21" s="112">
        <f>'Reference Score Calculation'!X13</f>
        <v>33</v>
      </c>
      <c r="M21" s="13">
        <f>入學要求!Z22</f>
        <v>0</v>
      </c>
      <c r="T21" s="20"/>
      <c r="U21" s="20"/>
    </row>
    <row r="22" spans="1:28">
      <c r="A22" s="13" t="str">
        <f>'Reference Score Calculation'!A14</f>
        <v>JS1001</v>
      </c>
      <c r="B22" s="13" t="str">
        <f>'Reference Score Calculation'!B14</f>
        <v>CityU</v>
      </c>
      <c r="C22" s="13" t="str">
        <f>'Reference Score Calculation'!D14</f>
        <v>工商管理學士(環球商業)</v>
      </c>
      <c r="D22" s="13" t="str">
        <f>'Reference Score Calculation'!R14</f>
        <v>BBAGBU</v>
      </c>
      <c r="E22" s="13" t="str">
        <f>'Reference Score Calculation'!E14</f>
        <v>4C2X</v>
      </c>
      <c r="F22" s="20" t="str">
        <f>'Reference Score Calculation'!G14</f>
        <v>/</v>
      </c>
      <c r="G22" s="20">
        <f>'Reference Score Calculation'!H14</f>
        <v>29</v>
      </c>
      <c r="H22" s="20" t="str">
        <f>'Reference Score Calculation'!I14</f>
        <v>/</v>
      </c>
      <c r="I22" s="20">
        <f>計分版!J37</f>
        <v>2.7499999999999998E-9</v>
      </c>
      <c r="J22" s="13">
        <f>'Reference Score Calculation'!T14</f>
        <v>15</v>
      </c>
      <c r="K22" s="28">
        <f>'Reference Score Calculation'!U14</f>
        <v>4</v>
      </c>
      <c r="L22" s="112">
        <f>'Reference Score Calculation'!X14</f>
        <v>58</v>
      </c>
      <c r="M22" s="13">
        <f>入學要求!Z23</f>
        <v>0</v>
      </c>
      <c r="U22" s="20"/>
    </row>
    <row r="23" spans="1:28">
      <c r="A23" s="13" t="str">
        <f>'Reference Score Calculation'!A15</f>
        <v>JS1002</v>
      </c>
      <c r="B23" s="13" t="str">
        <f>'Reference Score Calculation'!B15</f>
        <v>CityU</v>
      </c>
      <c r="C23" s="13" t="str">
        <f>'Reference Score Calculation'!D15</f>
        <v>工商管理學士(會計)</v>
      </c>
      <c r="D23" s="13" t="str">
        <f>'Reference Score Calculation'!R15</f>
        <v>BBAAC</v>
      </c>
      <c r="E23" s="13" t="str">
        <f>'Reference Score Calculation'!E15</f>
        <v>Best 6</v>
      </c>
      <c r="F23" s="20" t="str">
        <f>'Reference Score Calculation'!G15</f>
        <v>/</v>
      </c>
      <c r="G23" s="20">
        <f>'Reference Score Calculation'!H15</f>
        <v>24</v>
      </c>
      <c r="H23" s="20">
        <f>'Reference Score Calculation'!I15</f>
        <v>23</v>
      </c>
      <c r="I23" s="20">
        <f>計分版!J38</f>
        <v>3.8500000000000006E-9</v>
      </c>
      <c r="J23" s="13">
        <f>'Reference Score Calculation'!T15</f>
        <v>150</v>
      </c>
      <c r="K23" s="28">
        <f>'Reference Score Calculation'!U15</f>
        <v>144</v>
      </c>
      <c r="L23" s="112">
        <f>'Reference Score Calculation'!X15</f>
        <v>6.6788321167883211</v>
      </c>
      <c r="M23" s="13">
        <f>入學要求!Z24</f>
        <v>0</v>
      </c>
      <c r="T23" s="20"/>
      <c r="U23" s="20"/>
    </row>
    <row r="24" spans="1:28">
      <c r="A24" s="13" t="str">
        <f>'Reference Score Calculation'!A16</f>
        <v>JS1005</v>
      </c>
      <c r="B24" s="13" t="str">
        <f>'Reference Score Calculation'!B16</f>
        <v>CityU</v>
      </c>
      <c r="C24" s="13" t="str">
        <f>'Reference Score Calculation'!D16</f>
        <v>工商管理學士(管理學)</v>
      </c>
      <c r="D24" s="13" t="str">
        <f>'Reference Score Calculation'!R16</f>
        <v>BBAMGMT</v>
      </c>
      <c r="E24" s="13" t="str">
        <f>'Reference Score Calculation'!E16</f>
        <v>4C2X</v>
      </c>
      <c r="F24" s="20" t="str">
        <f>'Reference Score Calculation'!G16</f>
        <v>/</v>
      </c>
      <c r="G24" s="20">
        <f>'Reference Score Calculation'!H16</f>
        <v>24</v>
      </c>
      <c r="H24" s="20">
        <f>'Reference Score Calculation'!I16</f>
        <v>23</v>
      </c>
      <c r="I24" s="20">
        <f>計分版!J39</f>
        <v>2.7499999999999998E-9</v>
      </c>
      <c r="J24" s="13">
        <f>'Reference Score Calculation'!T16</f>
        <v>60</v>
      </c>
      <c r="K24" s="28">
        <f>'Reference Score Calculation'!U16</f>
        <v>51</v>
      </c>
      <c r="L24" s="112">
        <f>'Reference Score Calculation'!X16</f>
        <v>12.521739130434783</v>
      </c>
      <c r="M24" s="13">
        <f>入學要求!Z25</f>
        <v>0</v>
      </c>
      <c r="U24" s="20"/>
    </row>
    <row r="25" spans="1:28">
      <c r="A25" s="13" t="str">
        <f>'Reference Score Calculation'!A17</f>
        <v>JS1007</v>
      </c>
      <c r="B25" s="13" t="str">
        <f>'Reference Score Calculation'!B17</f>
        <v>CityU</v>
      </c>
      <c r="C25" s="13" t="str">
        <f>'Reference Score Calculation'!D17</f>
        <v>工商管理學士(市場營銷)</v>
      </c>
      <c r="D25" s="13" t="str">
        <f>'Reference Score Calculation'!R17</f>
        <v>BBAMKT</v>
      </c>
      <c r="E25" s="13" t="str">
        <f>'Reference Score Calculation'!E17</f>
        <v>4C2X</v>
      </c>
      <c r="F25" s="20" t="str">
        <f>'Reference Score Calculation'!G17</f>
        <v>/</v>
      </c>
      <c r="G25" s="20">
        <f>'Reference Score Calculation'!H17</f>
        <v>26</v>
      </c>
      <c r="H25" s="20">
        <f>'Reference Score Calculation'!I17</f>
        <v>25.5</v>
      </c>
      <c r="I25" s="20">
        <f>計分版!J40</f>
        <v>2.8499999999999999E-9</v>
      </c>
      <c r="J25" s="13">
        <f>'Reference Score Calculation'!T17</f>
        <v>85</v>
      </c>
      <c r="K25" s="28">
        <f>'Reference Score Calculation'!U17</f>
        <v>89</v>
      </c>
      <c r="L25" s="112">
        <f>'Reference Score Calculation'!X17</f>
        <v>8.9036144578313259</v>
      </c>
      <c r="M25" s="13">
        <f>入學要求!Z26</f>
        <v>0</v>
      </c>
      <c r="T25" s="20"/>
      <c r="U25" s="20"/>
    </row>
    <row r="26" spans="1:28">
      <c r="A26" s="13" t="str">
        <f>'Reference Score Calculation'!A18</f>
        <v>JS1012</v>
      </c>
      <c r="B26" s="13" t="str">
        <f>'Reference Score Calculation'!B18</f>
        <v>CityU</v>
      </c>
      <c r="C26" s="13" t="str">
        <f>'Reference Score Calculation'!D18</f>
        <v>經濟及金融系 [選項: 工商管理學士(商業經濟)、工商管理學士(金融)]</v>
      </c>
      <c r="D26" s="13" t="str">
        <f>'Reference Score Calculation'!R18</f>
        <v>EF</v>
      </c>
      <c r="E26" s="13" t="str">
        <f>'Reference Score Calculation'!E18</f>
        <v>4C2X</v>
      </c>
      <c r="F26" s="20" t="str">
        <f>'Reference Score Calculation'!G18</f>
        <v>/</v>
      </c>
      <c r="G26" s="20">
        <f>'Reference Score Calculation'!H18</f>
        <v>24</v>
      </c>
      <c r="H26" s="20">
        <f>'Reference Score Calculation'!I18</f>
        <v>24</v>
      </c>
      <c r="I26" s="20">
        <f>計分版!J41</f>
        <v>2.7499999999999998E-9</v>
      </c>
      <c r="J26" s="13">
        <f>'Reference Score Calculation'!T18</f>
        <v>20</v>
      </c>
      <c r="K26" s="28">
        <f>'Reference Score Calculation'!U18</f>
        <v>22</v>
      </c>
      <c r="L26" s="112">
        <f>'Reference Score Calculation'!X18</f>
        <v>12.315789473684211</v>
      </c>
      <c r="M26" s="13">
        <f>入學要求!Z27</f>
        <v>0</v>
      </c>
    </row>
    <row r="27" spans="1:28">
      <c r="A27" s="13" t="str">
        <f>'Reference Score Calculation'!A19</f>
        <v>JS1013</v>
      </c>
      <c r="B27" s="13" t="str">
        <f>'Reference Score Calculation'!B19</f>
        <v>CityU</v>
      </c>
      <c r="C27" s="13" t="str">
        <f>'Reference Score Calculation'!D19</f>
        <v>工商管理學士(商業經濟)</v>
      </c>
      <c r="D27" s="13" t="str">
        <f>'Reference Score Calculation'!R19</f>
        <v>BBABE</v>
      </c>
      <c r="E27" s="13" t="str">
        <f>'Reference Score Calculation'!E19</f>
        <v>4C2X</v>
      </c>
      <c r="F27" s="20" t="str">
        <f>'Reference Score Calculation'!G19</f>
        <v>/</v>
      </c>
      <c r="G27" s="20">
        <f>'Reference Score Calculation'!H19</f>
        <v>23</v>
      </c>
      <c r="H27" s="20">
        <f>'Reference Score Calculation'!I19</f>
        <v>23</v>
      </c>
      <c r="I27" s="20">
        <f>計分版!J42</f>
        <v>2.7499999999999998E-9</v>
      </c>
      <c r="J27" s="13">
        <f>'Reference Score Calculation'!T19</f>
        <v>36</v>
      </c>
      <c r="K27" s="28">
        <f>'Reference Score Calculation'!U19</f>
        <v>35</v>
      </c>
      <c r="L27" s="112">
        <f>'Reference Score Calculation'!X19</f>
        <v>9.1666666666666661</v>
      </c>
      <c r="M27" s="13">
        <f>入學要求!Z28</f>
        <v>0</v>
      </c>
      <c r="U27" s="20"/>
    </row>
    <row r="28" spans="1:28">
      <c r="A28" s="13" t="str">
        <f>'Reference Score Calculation'!A20</f>
        <v>JS1014</v>
      </c>
      <c r="B28" s="13" t="str">
        <f>'Reference Score Calculation'!B20</f>
        <v>CityU</v>
      </c>
      <c r="C28" s="13" t="str">
        <f>'Reference Score Calculation'!D20</f>
        <v>工商管理學士(金融)</v>
      </c>
      <c r="D28" s="13" t="str">
        <f>'Reference Score Calculation'!R20</f>
        <v>BBAFIN</v>
      </c>
      <c r="E28" s="13" t="str">
        <f>'Reference Score Calculation'!E20</f>
        <v>4C2X</v>
      </c>
      <c r="F28" s="20" t="str">
        <f>'Reference Score Calculation'!G20</f>
        <v>/</v>
      </c>
      <c r="G28" s="20">
        <f>'Reference Score Calculation'!H20</f>
        <v>24</v>
      </c>
      <c r="H28" s="20">
        <f>'Reference Score Calculation'!I20</f>
        <v>23</v>
      </c>
      <c r="I28" s="20">
        <f>計分版!J43</f>
        <v>2.7499999999999998E-9</v>
      </c>
      <c r="J28" s="13">
        <f>'Reference Score Calculation'!T20</f>
        <v>104</v>
      </c>
      <c r="K28" s="28">
        <f>'Reference Score Calculation'!U20</f>
        <v>115</v>
      </c>
      <c r="L28" s="112">
        <f>'Reference Score Calculation'!X20</f>
        <v>6.1531531531531529</v>
      </c>
      <c r="M28" s="13">
        <f>入學要求!Z29</f>
        <v>0</v>
      </c>
      <c r="U28" s="20"/>
    </row>
    <row r="29" spans="1:28">
      <c r="A29" s="13" t="str">
        <f>'Reference Score Calculation'!A21</f>
        <v>JS1017</v>
      </c>
      <c r="B29" s="13" t="str">
        <f>'Reference Score Calculation'!B21</f>
        <v>CityU</v>
      </c>
      <c r="C29" s="13" t="str">
        <f>'Reference Score Calculation'!D21</f>
        <v>資訊系統學系 [選項: 工商管理學士(環球商業系統管理)、工商管理學士(資訊管理)]</v>
      </c>
      <c r="D29" s="13" t="str">
        <f>'Reference Score Calculation'!R21</f>
        <v>IS</v>
      </c>
      <c r="E29" s="13" t="str">
        <f>'Reference Score Calculation'!E21</f>
        <v>4C2X</v>
      </c>
      <c r="F29" s="20" t="str">
        <f>'Reference Score Calculation'!G21</f>
        <v>/</v>
      </c>
      <c r="G29" s="20">
        <f>'Reference Score Calculation'!H21</f>
        <v>24</v>
      </c>
      <c r="H29" s="20">
        <f>'Reference Score Calculation'!I21</f>
        <v>23</v>
      </c>
      <c r="I29" s="20">
        <f>計分版!J44</f>
        <v>2.7499999999999998E-9</v>
      </c>
      <c r="J29" s="13">
        <f>'Reference Score Calculation'!T21</f>
        <v>65</v>
      </c>
      <c r="K29" s="28">
        <f>'Reference Score Calculation'!U21</f>
        <v>58</v>
      </c>
      <c r="L29" s="112">
        <f>'Reference Score Calculation'!X21</f>
        <v>4.8235294117647056</v>
      </c>
      <c r="M29" s="13">
        <f>入學要求!Z30</f>
        <v>0</v>
      </c>
      <c r="U29" s="20"/>
    </row>
    <row r="30" spans="1:28">
      <c r="A30" s="13" t="str">
        <f>'Reference Score Calculation'!A22</f>
        <v>JS1018</v>
      </c>
      <c r="B30" s="13" t="str">
        <f>'Reference Score Calculation'!B22</f>
        <v>CityU</v>
      </c>
      <c r="C30" s="13" t="str">
        <f>'Reference Score Calculation'!D22</f>
        <v>工商管理學士(環球商業系統管理)</v>
      </c>
      <c r="D30" s="13" t="str">
        <f>'Reference Score Calculation'!R22</f>
        <v>BBAGBSM</v>
      </c>
      <c r="E30" s="13" t="str">
        <f>'Reference Score Calculation'!E22</f>
        <v>4C2X</v>
      </c>
      <c r="F30" s="20" t="str">
        <f>'Reference Score Calculation'!G22</f>
        <v>/</v>
      </c>
      <c r="G30" s="20">
        <f>'Reference Score Calculation'!H22</f>
        <v>25</v>
      </c>
      <c r="H30" s="20">
        <f>'Reference Score Calculation'!I22</f>
        <v>24</v>
      </c>
      <c r="I30" s="20">
        <f>計分版!J45</f>
        <v>2.7499999999999998E-9</v>
      </c>
      <c r="J30" s="13">
        <f>'Reference Score Calculation'!T22</f>
        <v>10</v>
      </c>
      <c r="K30" s="28">
        <f>'Reference Score Calculation'!U22</f>
        <v>9</v>
      </c>
      <c r="L30" s="112">
        <f>'Reference Score Calculation'!X22</f>
        <v>11.375</v>
      </c>
      <c r="M30" s="13">
        <f>入學要求!Z31</f>
        <v>0</v>
      </c>
    </row>
    <row r="31" spans="1:28">
      <c r="A31" s="13" t="str">
        <f>'Reference Score Calculation'!A23</f>
        <v>JS1019</v>
      </c>
      <c r="B31" s="13" t="str">
        <f>'Reference Score Calculation'!B23</f>
        <v>CityU</v>
      </c>
      <c r="C31" s="13" t="str">
        <f>'Reference Score Calculation'!D23</f>
        <v>工商管理學士(資訊管理)</v>
      </c>
      <c r="D31" s="13" t="str">
        <f>'Reference Score Calculation'!R23</f>
        <v>BBAIFMG</v>
      </c>
      <c r="E31" s="13" t="str">
        <f>'Reference Score Calculation'!E23</f>
        <v>4C2X</v>
      </c>
      <c r="F31" s="20" t="str">
        <f>'Reference Score Calculation'!G23</f>
        <v>/</v>
      </c>
      <c r="G31" s="20">
        <f>'Reference Score Calculation'!H23</f>
        <v>23</v>
      </c>
      <c r="H31" s="20">
        <f>'Reference Score Calculation'!I23</f>
        <v>23</v>
      </c>
      <c r="I31" s="20">
        <f>計分版!J46</f>
        <v>2.7499999999999998E-9</v>
      </c>
      <c r="J31" s="13">
        <f>'Reference Score Calculation'!T23</f>
        <v>10</v>
      </c>
      <c r="K31" s="28">
        <f>'Reference Score Calculation'!U23</f>
        <v>8</v>
      </c>
      <c r="L31" s="112">
        <f>'Reference Score Calculation'!X23</f>
        <v>9.375</v>
      </c>
      <c r="M31" s="13">
        <f>入學要求!Z32</f>
        <v>0</v>
      </c>
    </row>
    <row r="32" spans="1:28">
      <c r="A32" s="13" t="str">
        <f>'Reference Score Calculation'!A24</f>
        <v>JS1025</v>
      </c>
      <c r="B32" s="13" t="str">
        <f>'Reference Score Calculation'!B24</f>
        <v>CityU</v>
      </c>
      <c r="C32" s="13" t="str">
        <f>'Reference Score Calculation'!D24</f>
        <v>管理科學系 [選項: 工商管理學士(商業決策分析)、工商管理學士(環球營運管理)]</v>
      </c>
      <c r="D32" s="13" t="str">
        <f>'Reference Score Calculation'!R24</f>
        <v>MS</v>
      </c>
      <c r="E32" s="13" t="str">
        <f>'Reference Score Calculation'!E24</f>
        <v>4C2X</v>
      </c>
      <c r="F32" s="20" t="str">
        <f>'Reference Score Calculation'!G24</f>
        <v>/</v>
      </c>
      <c r="G32" s="20">
        <f>'Reference Score Calculation'!H24</f>
        <v>23</v>
      </c>
      <c r="H32" s="20">
        <f>'Reference Score Calculation'!I24</f>
        <v>22</v>
      </c>
      <c r="I32" s="20">
        <f>計分版!J47</f>
        <v>2.7499999999999998E-9</v>
      </c>
      <c r="J32" s="13">
        <f>'Reference Score Calculation'!T24</f>
        <v>24</v>
      </c>
      <c r="K32" s="28">
        <f>'Reference Score Calculation'!U24</f>
        <v>25</v>
      </c>
      <c r="L32" s="112">
        <f>'Reference Score Calculation'!X24</f>
        <v>5.6315789473684212</v>
      </c>
      <c r="M32" s="13">
        <f>入學要求!Z33</f>
        <v>0</v>
      </c>
    </row>
    <row r="33" spans="1:13">
      <c r="A33" s="13" t="str">
        <f>'Reference Score Calculation'!A25</f>
        <v>JS1026</v>
      </c>
      <c r="B33" s="13" t="str">
        <f>'Reference Score Calculation'!B25</f>
        <v>CityU</v>
      </c>
      <c r="C33" s="13" t="str">
        <f>'Reference Score Calculation'!D25</f>
        <v>工商管理學士(商業決策分析)</v>
      </c>
      <c r="D33" s="13" t="str">
        <f>'Reference Score Calculation'!R25</f>
        <v>BBABANL</v>
      </c>
      <c r="E33" s="13" t="str">
        <f>'Reference Score Calculation'!E25</f>
        <v>4C2X</v>
      </c>
      <c r="F33" s="20" t="str">
        <f>'Reference Score Calculation'!G25</f>
        <v>/</v>
      </c>
      <c r="G33" s="20">
        <f>'Reference Score Calculation'!H25</f>
        <v>23</v>
      </c>
      <c r="H33" s="20">
        <f>'Reference Score Calculation'!I25</f>
        <v>23</v>
      </c>
      <c r="I33" s="20">
        <f>計分版!J48</f>
        <v>2.7499999999999998E-9</v>
      </c>
      <c r="J33" s="13">
        <f>'Reference Score Calculation'!T25</f>
        <v>24</v>
      </c>
      <c r="K33" s="28">
        <f>'Reference Score Calculation'!U25</f>
        <v>14</v>
      </c>
      <c r="L33" s="112">
        <f>'Reference Score Calculation'!X25</f>
        <v>8.1428571428571423</v>
      </c>
      <c r="M33" s="13">
        <f>入學要求!Z34</f>
        <v>0</v>
      </c>
    </row>
    <row r="34" spans="1:13">
      <c r="A34" s="13" t="str">
        <f>'Reference Score Calculation'!A26</f>
        <v>JS1027</v>
      </c>
      <c r="B34" s="13" t="str">
        <f>'Reference Score Calculation'!B26</f>
        <v>CityU</v>
      </c>
      <c r="C34" s="13" t="str">
        <f>'Reference Score Calculation'!D26</f>
        <v>工商管理學士(環球營運管理)</v>
      </c>
      <c r="D34" s="13" t="str">
        <f>'Reference Score Calculation'!R26</f>
        <v>BBABOM</v>
      </c>
      <c r="E34" s="13" t="str">
        <f>'Reference Score Calculation'!E26</f>
        <v>4C2X</v>
      </c>
      <c r="F34" s="20" t="str">
        <f>'Reference Score Calculation'!G26</f>
        <v>/</v>
      </c>
      <c r="G34" s="20">
        <f>'Reference Score Calculation'!H26</f>
        <v>23</v>
      </c>
      <c r="H34" s="20">
        <f>'Reference Score Calculation'!I26</f>
        <v>22</v>
      </c>
      <c r="I34" s="20">
        <f>計分版!J49</f>
        <v>2.7499999999999998E-9</v>
      </c>
      <c r="J34" s="13">
        <f>'Reference Score Calculation'!T26</f>
        <v>24</v>
      </c>
      <c r="K34" s="28">
        <f>'Reference Score Calculation'!U26</f>
        <v>19</v>
      </c>
      <c r="L34" s="112">
        <f>'Reference Score Calculation'!X26</f>
        <v>5.75</v>
      </c>
      <c r="M34" s="13">
        <f>入學要求!Z35</f>
        <v>0</v>
      </c>
    </row>
    <row r="35" spans="1:13">
      <c r="A35" s="13" t="str">
        <f>'Reference Score Calculation'!A27</f>
        <v>JS1041</v>
      </c>
      <c r="B35" s="13" t="str">
        <f>'Reference Score Calculation'!B27</f>
        <v>CityU</v>
      </c>
      <c r="C35" s="13" t="str">
        <f>'Reference Score Calculation'!D27</f>
        <v>創意媒體學院 [選項: 文學士(創意媒體)、理學士(創意媒體)、文理學士(新媒體)]</v>
      </c>
      <c r="D35" s="13" t="str">
        <f>'Reference Score Calculation'!R27</f>
        <v>SCM</v>
      </c>
      <c r="E35" s="13" t="str">
        <f>'Reference Score Calculation'!E27</f>
        <v>4C2X</v>
      </c>
      <c r="F35" s="20" t="str">
        <f>'Reference Score Calculation'!G27</f>
        <v>/</v>
      </c>
      <c r="G35" s="20">
        <f>'Reference Score Calculation'!H27</f>
        <v>29</v>
      </c>
      <c r="H35" s="20">
        <f>'Reference Score Calculation'!I27</f>
        <v>28</v>
      </c>
      <c r="I35" s="20">
        <f>計分版!J50</f>
        <v>2.9499999999999999E-9</v>
      </c>
      <c r="J35" s="13">
        <f>'Reference Score Calculation'!T27</f>
        <v>24</v>
      </c>
      <c r="K35" s="28">
        <f>'Reference Score Calculation'!U27</f>
        <v>28</v>
      </c>
      <c r="L35" s="112">
        <f>'Reference Score Calculation'!X27</f>
        <v>15.178571428571429</v>
      </c>
      <c r="M35" s="13">
        <f>入學要求!Z36</f>
        <v>0</v>
      </c>
    </row>
    <row r="36" spans="1:13">
      <c r="A36" s="13" t="str">
        <f>'Reference Score Calculation'!A28</f>
        <v>JS1042</v>
      </c>
      <c r="B36" s="13" t="str">
        <f>'Reference Score Calculation'!B28</f>
        <v>CityU</v>
      </c>
      <c r="C36" s="13" t="str">
        <f>'Reference Score Calculation'!D28</f>
        <v>文學士(創意媒體)</v>
      </c>
      <c r="D36" s="13" t="str">
        <f>'Reference Score Calculation'!R28</f>
        <v>BACM</v>
      </c>
      <c r="E36" s="13" t="str">
        <f>'Reference Score Calculation'!E28</f>
        <v>4C2X</v>
      </c>
      <c r="F36" s="20" t="str">
        <f>'Reference Score Calculation'!G28</f>
        <v>/</v>
      </c>
      <c r="G36" s="20">
        <f>'Reference Score Calculation'!H28</f>
        <v>29</v>
      </c>
      <c r="H36" s="20">
        <f>'Reference Score Calculation'!I28</f>
        <v>28</v>
      </c>
      <c r="I36" s="20">
        <f>計分版!J51</f>
        <v>2.9499999999999999E-9</v>
      </c>
      <c r="J36" s="13">
        <f>'Reference Score Calculation'!T28</f>
        <v>20</v>
      </c>
      <c r="K36" s="28">
        <f>'Reference Score Calculation'!U28</f>
        <v>19</v>
      </c>
      <c r="L36" s="112">
        <f>'Reference Score Calculation'!X28</f>
        <v>14.684210526315789</v>
      </c>
      <c r="M36" s="13">
        <f>入學要求!Z37</f>
        <v>0</v>
      </c>
    </row>
    <row r="37" spans="1:13">
      <c r="A37" s="13" t="str">
        <f>'Reference Score Calculation'!A29</f>
        <v>JS1043</v>
      </c>
      <c r="B37" s="13" t="str">
        <f>'Reference Score Calculation'!B29</f>
        <v>CityU</v>
      </c>
      <c r="C37" s="13" t="str">
        <f>'Reference Score Calculation'!D29</f>
        <v>理學士(創意媒體)</v>
      </c>
      <c r="D37" s="13" t="str">
        <f>'Reference Score Calculation'!R29</f>
        <v>BScCM</v>
      </c>
      <c r="E37" s="13" t="str">
        <f>'Reference Score Calculation'!E29</f>
        <v>4C2X</v>
      </c>
      <c r="F37" s="20" t="str">
        <f>'Reference Score Calculation'!G29</f>
        <v>/</v>
      </c>
      <c r="G37" s="20">
        <f>'Reference Score Calculation'!H29</f>
        <v>28</v>
      </c>
      <c r="H37" s="20">
        <f>'Reference Score Calculation'!I29</f>
        <v>28</v>
      </c>
      <c r="I37" s="20">
        <f>計分版!J52</f>
        <v>3.1000000000000005E-9</v>
      </c>
      <c r="J37" s="13">
        <f>'Reference Score Calculation'!T29</f>
        <v>27</v>
      </c>
      <c r="K37" s="28">
        <f>'Reference Score Calculation'!U29</f>
        <v>20</v>
      </c>
      <c r="L37" s="112">
        <f>'Reference Score Calculation'!X29</f>
        <v>10.7</v>
      </c>
      <c r="M37" s="13">
        <f>入學要求!Z38</f>
        <v>0</v>
      </c>
    </row>
    <row r="38" spans="1:13">
      <c r="A38" s="13" t="str">
        <f>'Reference Score Calculation'!A30</f>
        <v>JS1044</v>
      </c>
      <c r="B38" s="13" t="str">
        <f>'Reference Score Calculation'!B30</f>
        <v>CityU</v>
      </c>
      <c r="C38" s="13" t="str">
        <f>'Reference Score Calculation'!D30</f>
        <v>文理學士(新媒體)</v>
      </c>
      <c r="D38" s="13" t="str">
        <f>'Reference Score Calculation'!R30</f>
        <v>BAS</v>
      </c>
      <c r="E38" s="13" t="str">
        <f>'Reference Score Calculation'!E30</f>
        <v>Best 5</v>
      </c>
      <c r="F38" s="20" t="str">
        <f>'Reference Score Calculation'!G30</f>
        <v>/</v>
      </c>
      <c r="G38" s="20">
        <f>'Reference Score Calculation'!H30</f>
        <v>23</v>
      </c>
      <c r="H38" s="20">
        <f>'Reference Score Calculation'!I30</f>
        <v>23</v>
      </c>
      <c r="I38" s="20">
        <f>計分版!J53</f>
        <v>3.7500000000000005E-9</v>
      </c>
      <c r="J38" s="13">
        <f>'Reference Score Calculation'!T30</f>
        <v>19</v>
      </c>
      <c r="K38" s="28">
        <f>'Reference Score Calculation'!U30</f>
        <v>21</v>
      </c>
      <c r="L38" s="112">
        <f>'Reference Score Calculation'!X30</f>
        <v>13.619047619047619</v>
      </c>
      <c r="M38" s="13">
        <f>入學要求!Z39</f>
        <v>0</v>
      </c>
    </row>
    <row r="39" spans="1:13">
      <c r="A39" s="13" t="str">
        <f>'Reference Score Calculation'!A31</f>
        <v>JS1051</v>
      </c>
      <c r="B39" s="13" t="str">
        <f>'Reference Score Calculation'!B31</f>
        <v>CityU</v>
      </c>
      <c r="C39" s="13" t="str">
        <f>'Reference Score Calculation'!D31</f>
        <v>能源及環境學院 [選項: 工學士(能源科學及工程學)、工學士(環境科學及工程學)]</v>
      </c>
      <c r="D39" s="13" t="str">
        <f>'Reference Score Calculation'!R31</f>
        <v>SEE</v>
      </c>
      <c r="E39" s="13" t="str">
        <f>'Reference Score Calculation'!E31</f>
        <v>Best 5</v>
      </c>
      <c r="F39" s="20" t="str">
        <f>'Reference Score Calculation'!G31</f>
        <v>/</v>
      </c>
      <c r="G39" s="20">
        <f>'Reference Score Calculation'!H31</f>
        <v>34.5</v>
      </c>
      <c r="H39" s="20">
        <f>'Reference Score Calculation'!I31</f>
        <v>33.5</v>
      </c>
      <c r="I39" s="20">
        <f>計分版!J54</f>
        <v>3.0000000000000004E-9</v>
      </c>
      <c r="J39" s="13">
        <f>'Reference Score Calculation'!T31</f>
        <v>55</v>
      </c>
      <c r="K39" s="28">
        <f>'Reference Score Calculation'!U31</f>
        <v>62</v>
      </c>
      <c r="L39" s="112">
        <f>'Reference Score Calculation'!X31</f>
        <v>5.0999999999999996</v>
      </c>
      <c r="M39" s="13">
        <f>入學要求!Z40</f>
        <v>0</v>
      </c>
    </row>
    <row r="40" spans="1:13">
      <c r="A40" s="13" t="str">
        <f>'Reference Score Calculation'!A32</f>
        <v>JS1052</v>
      </c>
      <c r="B40" s="13" t="str">
        <f>'Reference Score Calculation'!B32</f>
        <v>CityU</v>
      </c>
      <c r="C40" s="13" t="str">
        <f>'Reference Score Calculation'!D32</f>
        <v>工學士(環境科學及工程學)與工商管理學士(金融)</v>
      </c>
      <c r="D40" s="13" t="str">
        <f>'Reference Score Calculation'!R32</f>
        <v>BEngESE&amp;BBAFIN</v>
      </c>
      <c r="E40" s="13" t="str">
        <f>'Reference Score Calculation'!E32</f>
        <v>24年新科目</v>
      </c>
      <c r="F40" s="20" t="str">
        <f>'Reference Score Calculation'!G32</f>
        <v>/</v>
      </c>
      <c r="G40" s="20" t="str">
        <f>'Reference Score Calculation'!H32</f>
        <v>/</v>
      </c>
      <c r="H40" s="20" t="str">
        <f>'Reference Score Calculation'!I32</f>
        <v>/</v>
      </c>
      <c r="I40" s="20">
        <f>計分版!J55</f>
        <v>3.0000000000000004E-9</v>
      </c>
      <c r="J40" s="13">
        <f>'Reference Score Calculation'!T32</f>
        <v>10</v>
      </c>
      <c r="K40" s="28" t="str">
        <f>'Reference Score Calculation'!U32</f>
        <v>/</v>
      </c>
      <c r="L40" s="112" t="str">
        <f>'Reference Score Calculation'!X32</f>
        <v>新科目</v>
      </c>
      <c r="M40" s="13">
        <f>入學要求!Z41</f>
        <v>0</v>
      </c>
    </row>
    <row r="41" spans="1:13">
      <c r="A41" s="13" t="str">
        <f>'Reference Score Calculation'!A33</f>
        <v>JS1061</v>
      </c>
      <c r="B41" s="13" t="str">
        <f>'Reference Score Calculation'!B33</f>
        <v>CityU</v>
      </c>
      <c r="C41" s="13" t="str">
        <f>'Reference Score Calculation'!D33</f>
        <v>法律學學士</v>
      </c>
      <c r="D41" s="13" t="str">
        <f>'Reference Score Calculation'!R33</f>
        <v>LLB</v>
      </c>
      <c r="E41" s="13" t="str">
        <f>'Reference Score Calculation'!E33</f>
        <v>Best 6</v>
      </c>
      <c r="F41" s="20" t="str">
        <f>'Reference Score Calculation'!G33</f>
        <v>/</v>
      </c>
      <c r="G41" s="20">
        <f>'Reference Score Calculation'!H33</f>
        <v>27</v>
      </c>
      <c r="H41" s="20">
        <f>'Reference Score Calculation'!I33</f>
        <v>26</v>
      </c>
      <c r="I41" s="20">
        <f>計分版!J56</f>
        <v>4.1499999999999999E-9</v>
      </c>
      <c r="J41" s="13">
        <f>'Reference Score Calculation'!T33</f>
        <v>39</v>
      </c>
      <c r="K41" s="28">
        <f>'Reference Score Calculation'!U33</f>
        <v>32</v>
      </c>
      <c r="L41" s="112">
        <f>'Reference Score Calculation'!X33</f>
        <v>5.28125</v>
      </c>
      <c r="M41" s="13">
        <f>入學要求!Z42</f>
        <v>0</v>
      </c>
    </row>
    <row r="42" spans="1:13">
      <c r="A42" s="13" t="str">
        <f>'Reference Score Calculation'!A34</f>
        <v>JS1062</v>
      </c>
      <c r="B42" s="13" t="str">
        <f>'Reference Score Calculation'!B34</f>
        <v>CityU</v>
      </c>
      <c r="C42" s="13" t="str">
        <f>'Reference Score Calculation'!D34</f>
        <v>法律學學士與工商管理學士(會計)</v>
      </c>
      <c r="D42" s="13" t="str">
        <f>'Reference Score Calculation'!R34</f>
        <v>LLB&amp;BBAAC</v>
      </c>
      <c r="E42" s="13" t="str">
        <f>'Reference Score Calculation'!E34</f>
        <v>Best 6</v>
      </c>
      <c r="F42" s="20" t="str">
        <f>'Reference Score Calculation'!G34</f>
        <v>/</v>
      </c>
      <c r="G42" s="20" t="str">
        <f>'Reference Score Calculation'!H34</f>
        <v>/</v>
      </c>
      <c r="H42" s="20" t="str">
        <f>'Reference Score Calculation'!I34</f>
        <v>/</v>
      </c>
      <c r="I42" s="20">
        <f>計分版!J57</f>
        <v>4.25E-9</v>
      </c>
      <c r="J42" s="13">
        <f>'Reference Score Calculation'!T34</f>
        <v>8</v>
      </c>
      <c r="K42" s="28">
        <f>'Reference Score Calculation'!U34</f>
        <v>2</v>
      </c>
      <c r="L42" s="112">
        <f>'Reference Score Calculation'!X34</f>
        <v>7</v>
      </c>
      <c r="M42" s="13">
        <f>入學要求!Z43</f>
        <v>0</v>
      </c>
    </row>
    <row r="43" spans="1:13">
      <c r="A43" s="13" t="str">
        <f>'Reference Score Calculation'!A35</f>
        <v>JS1071</v>
      </c>
      <c r="B43" s="13" t="str">
        <f>'Reference Score Calculation'!B35</f>
        <v>CityU</v>
      </c>
      <c r="C43" s="13" t="str">
        <f>'Reference Score Calculation'!D35</f>
        <v>數據科學學院 [選項：理學士 (數據科學)、理學士 (數據與系統工程)]</v>
      </c>
      <c r="D43" s="13" t="str">
        <f>'Reference Score Calculation'!R35</f>
        <v>SDSC</v>
      </c>
      <c r="E43" s="13" t="str">
        <f>'Reference Score Calculation'!E35</f>
        <v>4C2X</v>
      </c>
      <c r="F43" s="20" t="str">
        <f>'Reference Score Calculation'!G35</f>
        <v>/</v>
      </c>
      <c r="G43" s="20">
        <f>'Reference Score Calculation'!H35</f>
        <v>30</v>
      </c>
      <c r="H43" s="20">
        <f>'Reference Score Calculation'!I35</f>
        <v>29</v>
      </c>
      <c r="I43" s="20">
        <f>計分版!J58</f>
        <v>3.2500000000000002E-9</v>
      </c>
      <c r="J43" s="13">
        <f>'Reference Score Calculation'!T35</f>
        <v>20</v>
      </c>
      <c r="K43" s="28">
        <f>'Reference Score Calculation'!U35</f>
        <v>19</v>
      </c>
      <c r="L43" s="112">
        <f>'Reference Score Calculation'!X35</f>
        <v>4.1875</v>
      </c>
      <c r="M43" s="13">
        <f>入學要求!Z44</f>
        <v>0</v>
      </c>
    </row>
    <row r="44" spans="1:13">
      <c r="A44" s="13" t="str">
        <f>'Reference Score Calculation'!A36</f>
        <v>JS1072</v>
      </c>
      <c r="B44" s="13" t="str">
        <f>'Reference Score Calculation'!B36</f>
        <v>CityU</v>
      </c>
      <c r="C44" s="13" t="str">
        <f>'Reference Score Calculation'!D36</f>
        <v>理學士(數據科學)</v>
      </c>
      <c r="D44" s="13" t="str">
        <f>'Reference Score Calculation'!R36</f>
        <v>BScDSC</v>
      </c>
      <c r="E44" s="13" t="str">
        <f>'Reference Score Calculation'!E36</f>
        <v>4C2X</v>
      </c>
      <c r="F44" s="20" t="str">
        <f>'Reference Score Calculation'!G36</f>
        <v>/</v>
      </c>
      <c r="G44" s="20">
        <f>'Reference Score Calculation'!H36</f>
        <v>30</v>
      </c>
      <c r="H44" s="20">
        <f>'Reference Score Calculation'!I36</f>
        <v>29</v>
      </c>
      <c r="I44" s="20">
        <f>計分版!J59</f>
        <v>3.2500000000000002E-9</v>
      </c>
      <c r="J44" s="13">
        <f>'Reference Score Calculation'!T36</f>
        <v>30</v>
      </c>
      <c r="K44" s="28">
        <f>'Reference Score Calculation'!U36</f>
        <v>28</v>
      </c>
      <c r="L44" s="112">
        <f>'Reference Score Calculation'!X36</f>
        <v>5.666666666666667</v>
      </c>
      <c r="M44" s="13">
        <f>入學要求!Z45</f>
        <v>0</v>
      </c>
    </row>
    <row r="45" spans="1:13">
      <c r="A45" s="13" t="str">
        <f>'Reference Score Calculation'!A37</f>
        <v>JS1074</v>
      </c>
      <c r="B45" s="13" t="str">
        <f>'Reference Score Calculation'!B37</f>
        <v>CityU</v>
      </c>
      <c r="C45" s="13" t="str">
        <f>'Reference Score Calculation'!D37</f>
        <v>理學士(數據與系統工程)</v>
      </c>
      <c r="D45" s="13" t="str">
        <f>'Reference Score Calculation'!R37</f>
        <v>BEngDSE</v>
      </c>
      <c r="E45" s="13" t="str">
        <f>'Reference Score Calculation'!E37</f>
        <v>4C2X</v>
      </c>
      <c r="F45" s="20" t="str">
        <f>'Reference Score Calculation'!G37</f>
        <v>/</v>
      </c>
      <c r="G45" s="20">
        <f>'Reference Score Calculation'!H37</f>
        <v>30</v>
      </c>
      <c r="H45" s="20">
        <f>'Reference Score Calculation'!I37</f>
        <v>29</v>
      </c>
      <c r="I45" s="20">
        <f>計分版!J60</f>
        <v>3.2500000000000002E-9</v>
      </c>
      <c r="J45" s="13">
        <f>'Reference Score Calculation'!T37</f>
        <v>20</v>
      </c>
      <c r="K45" s="28">
        <f>'Reference Score Calculation'!U37</f>
        <v>20</v>
      </c>
      <c r="L45" s="112">
        <f>'Reference Score Calculation'!X37</f>
        <v>7.1</v>
      </c>
      <c r="M45" s="13">
        <f>入學要求!Z46</f>
        <v>0</v>
      </c>
    </row>
    <row r="46" spans="1:13">
      <c r="A46" s="13" t="str">
        <f>'Reference Score Calculation'!A38</f>
        <v>JS1102</v>
      </c>
      <c r="B46" s="13" t="str">
        <f>'Reference Score Calculation'!B38</f>
        <v>CityU</v>
      </c>
      <c r="C46" s="13" t="str">
        <f>'Reference Score Calculation'!D38</f>
        <v>社會科學學士(國際關係及全球事務)</v>
      </c>
      <c r="D46" s="13" t="str">
        <f>'Reference Score Calculation'!R38</f>
        <v>BSocScASIS</v>
      </c>
      <c r="E46" s="13" t="str">
        <f>'Reference Score Calculation'!E38</f>
        <v>Best 5</v>
      </c>
      <c r="F46" s="20" t="str">
        <f>'Reference Score Calculation'!G38</f>
        <v>/</v>
      </c>
      <c r="G46" s="20">
        <f>'Reference Score Calculation'!H38</f>
        <v>20</v>
      </c>
      <c r="H46" s="20">
        <f>'Reference Score Calculation'!I38</f>
        <v>20</v>
      </c>
      <c r="I46" s="20">
        <f>計分版!J61</f>
        <v>3.5500000000000004E-9</v>
      </c>
      <c r="J46" s="13">
        <f>'Reference Score Calculation'!T38</f>
        <v>20</v>
      </c>
      <c r="K46" s="28">
        <f>'Reference Score Calculation'!U38</f>
        <v>25</v>
      </c>
      <c r="L46" s="112">
        <f>'Reference Score Calculation'!X38</f>
        <v>10.208333333333334</v>
      </c>
      <c r="M46" s="13">
        <f>入學要求!Z47</f>
        <v>0</v>
      </c>
    </row>
    <row r="47" spans="1:13">
      <c r="A47" s="13" t="str">
        <f>'Reference Score Calculation'!A39</f>
        <v>JS1103</v>
      </c>
      <c r="B47" s="13" t="str">
        <f>'Reference Score Calculation'!B39</f>
        <v>CityU</v>
      </c>
      <c r="C47" s="13" t="str">
        <f>'Reference Score Calculation'!D39</f>
        <v>文學士(中文及歷史)</v>
      </c>
      <c r="D47" s="13" t="str">
        <f>'Reference Score Calculation'!R39</f>
        <v>BACHIS</v>
      </c>
      <c r="E47" s="13" t="str">
        <f>'Reference Score Calculation'!E39</f>
        <v>4C2X</v>
      </c>
      <c r="F47" s="20" t="str">
        <f>'Reference Score Calculation'!G39</f>
        <v>/</v>
      </c>
      <c r="G47" s="20">
        <f>'Reference Score Calculation'!H39</f>
        <v>37.5</v>
      </c>
      <c r="H47" s="20">
        <f>'Reference Score Calculation'!I39</f>
        <v>37</v>
      </c>
      <c r="I47" s="20">
        <f>計分版!J62</f>
        <v>3.3500000000000002E-9</v>
      </c>
      <c r="J47" s="13">
        <f>'Reference Score Calculation'!T39</f>
        <v>45</v>
      </c>
      <c r="K47" s="28">
        <f>'Reference Score Calculation'!U39</f>
        <v>38</v>
      </c>
      <c r="L47" s="112">
        <f>'Reference Score Calculation'!X39</f>
        <v>12.529411764705882</v>
      </c>
      <c r="M47" s="13">
        <f>入學要求!Z48</f>
        <v>0</v>
      </c>
    </row>
    <row r="48" spans="1:13">
      <c r="A48" s="13" t="str">
        <f>'Reference Score Calculation'!A40</f>
        <v>JS1104</v>
      </c>
      <c r="B48" s="13" t="str">
        <f>'Reference Score Calculation'!B40</f>
        <v>CityU</v>
      </c>
      <c r="C48" s="13" t="str">
        <f>'Reference Score Calculation'!D40</f>
        <v>文學士(英語語言)</v>
      </c>
      <c r="D48" s="13" t="str">
        <f>'Reference Score Calculation'!R40</f>
        <v>BAEN</v>
      </c>
      <c r="E48" s="13" t="str">
        <f>'Reference Score Calculation'!E40</f>
        <v>Best 6</v>
      </c>
      <c r="F48" s="20" t="str">
        <f>'Reference Score Calculation'!G40</f>
        <v>/</v>
      </c>
      <c r="G48" s="20">
        <f>'Reference Score Calculation'!H40</f>
        <v>32.5</v>
      </c>
      <c r="H48" s="20">
        <f>'Reference Score Calculation'!I40</f>
        <v>31.5</v>
      </c>
      <c r="I48" s="20">
        <f>計分版!J63</f>
        <v>4.4500000000000001E-9</v>
      </c>
      <c r="J48" s="13">
        <f>'Reference Score Calculation'!T40</f>
        <v>25</v>
      </c>
      <c r="K48" s="28">
        <f>'Reference Score Calculation'!U40</f>
        <v>31</v>
      </c>
      <c r="L48" s="112">
        <f>'Reference Score Calculation'!X40</f>
        <v>8.1</v>
      </c>
      <c r="M48" s="13">
        <f>入學要求!Z49</f>
        <v>0</v>
      </c>
    </row>
    <row r="49" spans="1:13">
      <c r="A49" s="13" t="str">
        <f>'Reference Score Calculation'!A41</f>
        <v>JS1106</v>
      </c>
      <c r="B49" s="13" t="str">
        <f>'Reference Score Calculation'!B41</f>
        <v>CityU</v>
      </c>
      <c r="C49" s="13" t="str">
        <f>'Reference Score Calculation'!D41</f>
        <v>媒體與傳播系 [選項: 文學士(數碼電視與廣播)、文學士(媒體與傳播)]</v>
      </c>
      <c r="D49" s="13" t="str">
        <f>'Reference Score Calculation'!R41</f>
        <v>COM</v>
      </c>
      <c r="E49" s="13" t="str">
        <f>'Reference Score Calculation'!E41</f>
        <v>Best 5</v>
      </c>
      <c r="F49" s="20" t="str">
        <f>'Reference Score Calculation'!G41</f>
        <v>/</v>
      </c>
      <c r="G49" s="20">
        <f>'Reference Score Calculation'!H41</f>
        <v>22</v>
      </c>
      <c r="H49" s="20">
        <f>'Reference Score Calculation'!I41</f>
        <v>22</v>
      </c>
      <c r="I49" s="20">
        <f>計分版!J64</f>
        <v>3.6E-9</v>
      </c>
      <c r="J49" s="13">
        <f>'Reference Score Calculation'!T41</f>
        <v>45</v>
      </c>
      <c r="K49" s="28">
        <f>'Reference Score Calculation'!U41</f>
        <v>44</v>
      </c>
      <c r="L49" s="112">
        <f>'Reference Score Calculation'!X41</f>
        <v>13.4</v>
      </c>
      <c r="M49" s="13">
        <f>入學要求!Z50</f>
        <v>0</v>
      </c>
    </row>
    <row r="50" spans="1:13">
      <c r="A50" s="13" t="str">
        <f>'Reference Score Calculation'!A42</f>
        <v>JS1108</v>
      </c>
      <c r="B50" s="13" t="str">
        <f>'Reference Score Calculation'!B42</f>
        <v>CityU</v>
      </c>
      <c r="C50" s="13" t="str">
        <f>'Reference Score Calculation'!D42</f>
        <v>社會科學學士(公共政策與政治)</v>
      </c>
      <c r="D50" s="13" t="str">
        <f>'Reference Score Calculation'!R42</f>
        <v>BSocScPPP</v>
      </c>
      <c r="E50" s="13" t="str">
        <f>'Reference Score Calculation'!E42</f>
        <v>4C2X</v>
      </c>
      <c r="F50" s="20" t="str">
        <f>'Reference Score Calculation'!G42</f>
        <v>/</v>
      </c>
      <c r="G50" s="20">
        <f>'Reference Score Calculation'!H42</f>
        <v>25</v>
      </c>
      <c r="H50" s="20">
        <f>'Reference Score Calculation'!I42</f>
        <v>24.5</v>
      </c>
      <c r="I50" s="20">
        <f>計分版!J65</f>
        <v>2.8499999999999999E-9</v>
      </c>
      <c r="J50" s="13">
        <f>'Reference Score Calculation'!T42</f>
        <v>63</v>
      </c>
      <c r="K50" s="28">
        <f>'Reference Score Calculation'!U42</f>
        <v>58</v>
      </c>
      <c r="L50" s="112">
        <f>'Reference Score Calculation'!X42</f>
        <v>6.291666666666667</v>
      </c>
      <c r="M50" s="13">
        <f>入學要求!Z51</f>
        <v>0</v>
      </c>
    </row>
    <row r="51" spans="1:13">
      <c r="A51" s="13" t="str">
        <f>'Reference Score Calculation'!A43</f>
        <v>JS1109</v>
      </c>
      <c r="B51" s="13" t="str">
        <f>'Reference Score Calculation'!B43</f>
        <v>CityU</v>
      </c>
      <c r="C51" s="13" t="str">
        <f>'Reference Score Calculation'!D43</f>
        <v>文學士(語言學及語言應用)</v>
      </c>
      <c r="D51" s="13" t="str">
        <f>'Reference Score Calculation'!R43</f>
        <v>BALLA</v>
      </c>
      <c r="E51" s="13" t="str">
        <f>'Reference Score Calculation'!E43</f>
        <v>4C2X</v>
      </c>
      <c r="F51" s="20" t="str">
        <f>'Reference Score Calculation'!G43</f>
        <v>/</v>
      </c>
      <c r="G51" s="20">
        <f>'Reference Score Calculation'!H43</f>
        <v>32</v>
      </c>
      <c r="H51" s="20">
        <f>'Reference Score Calculation'!I43</f>
        <v>31.5</v>
      </c>
      <c r="I51" s="20">
        <f>計分版!J66</f>
        <v>3.3000000000000006E-9</v>
      </c>
      <c r="J51" s="13">
        <f>'Reference Score Calculation'!T43</f>
        <v>25</v>
      </c>
      <c r="K51" s="28">
        <f>'Reference Score Calculation'!U43</f>
        <v>30</v>
      </c>
      <c r="L51" s="112">
        <f>'Reference Score Calculation'!X43</f>
        <v>5.791666666666667</v>
      </c>
      <c r="M51" s="13">
        <f>入學要求!Z52</f>
        <v>0</v>
      </c>
    </row>
    <row r="52" spans="1:13">
      <c r="A52" s="13" t="str">
        <f>'Reference Score Calculation'!A44</f>
        <v>JS1110</v>
      </c>
      <c r="B52" s="13" t="str">
        <f>'Reference Score Calculation'!B44</f>
        <v>CityU</v>
      </c>
      <c r="C52" s="13" t="str">
        <f>'Reference Score Calculation'!D44</f>
        <v>社會及行為科學系 [選項: 社會科學學士(犯罪學及社會學)、社會科學學士(心理學)、社會科學學士(社會工作)]</v>
      </c>
      <c r="D52" s="13" t="str">
        <f>'Reference Score Calculation'!R44</f>
        <v>SS</v>
      </c>
      <c r="E52" s="13" t="str">
        <f>'Reference Score Calculation'!E44</f>
        <v>Best 5</v>
      </c>
      <c r="F52" s="20" t="str">
        <f>'Reference Score Calculation'!G44</f>
        <v>/</v>
      </c>
      <c r="G52" s="20">
        <f>'Reference Score Calculation'!H44</f>
        <v>26</v>
      </c>
      <c r="H52" s="20">
        <f>'Reference Score Calculation'!I44</f>
        <v>26</v>
      </c>
      <c r="I52" s="20">
        <f>計分版!J67</f>
        <v>3.7500000000000005E-9</v>
      </c>
      <c r="J52" s="13">
        <f>'Reference Score Calculation'!T44</f>
        <v>10</v>
      </c>
      <c r="K52" s="28">
        <f>'Reference Score Calculation'!U44</f>
        <v>11</v>
      </c>
      <c r="L52" s="112">
        <f>'Reference Score Calculation'!X44</f>
        <v>30.272727272727273</v>
      </c>
      <c r="M52" s="13">
        <f>入學要求!Z53</f>
        <v>0</v>
      </c>
    </row>
    <row r="53" spans="1:13">
      <c r="A53" s="13" t="str">
        <f>'Reference Score Calculation'!A45</f>
        <v>JS1111</v>
      </c>
      <c r="B53" s="13" t="str">
        <f>'Reference Score Calculation'!B45</f>
        <v>CityU</v>
      </c>
      <c r="C53" s="13" t="str">
        <f>'Reference Score Calculation'!D45</f>
        <v>社會科學學士(犯罪學及社會學)</v>
      </c>
      <c r="D53" s="13" t="str">
        <f>'Reference Score Calculation'!R45</f>
        <v>BSocScCRSO</v>
      </c>
      <c r="E53" s="13" t="str">
        <f>'Reference Score Calculation'!E45</f>
        <v>Best 5</v>
      </c>
      <c r="F53" s="20" t="str">
        <f>'Reference Score Calculation'!G45</f>
        <v>/</v>
      </c>
      <c r="G53" s="20">
        <f>'Reference Score Calculation'!H45</f>
        <v>25</v>
      </c>
      <c r="H53" s="20">
        <f>'Reference Score Calculation'!I45</f>
        <v>25</v>
      </c>
      <c r="I53" s="20">
        <f>計分版!J68</f>
        <v>3.7500000000000005E-9</v>
      </c>
      <c r="J53" s="13">
        <f>'Reference Score Calculation'!T45</f>
        <v>20</v>
      </c>
      <c r="K53" s="28">
        <f>'Reference Score Calculation'!U45</f>
        <v>26</v>
      </c>
      <c r="L53" s="112">
        <f>'Reference Score Calculation'!X45</f>
        <v>12.473684210526315</v>
      </c>
      <c r="M53" s="13">
        <f>入學要求!Z54</f>
        <v>0</v>
      </c>
    </row>
    <row r="54" spans="1:13">
      <c r="A54" s="13" t="str">
        <f>'Reference Score Calculation'!A46</f>
        <v>JS1112</v>
      </c>
      <c r="B54" s="13" t="str">
        <f>'Reference Score Calculation'!B46</f>
        <v>CityU</v>
      </c>
      <c r="C54" s="13" t="str">
        <f>'Reference Score Calculation'!D46</f>
        <v>社會科學學士(心理學)</v>
      </c>
      <c r="D54" s="13" t="str">
        <f>'Reference Score Calculation'!R46</f>
        <v>BSocScPSY</v>
      </c>
      <c r="E54" s="13" t="str">
        <f>'Reference Score Calculation'!E46</f>
        <v>Best 5</v>
      </c>
      <c r="F54" s="20" t="str">
        <f>'Reference Score Calculation'!G46</f>
        <v>/</v>
      </c>
      <c r="G54" s="20">
        <f>'Reference Score Calculation'!H46</f>
        <v>26</v>
      </c>
      <c r="H54" s="20">
        <f>'Reference Score Calculation'!I46</f>
        <v>26</v>
      </c>
      <c r="I54" s="20">
        <f>計分版!J69</f>
        <v>3.7500000000000005E-9</v>
      </c>
      <c r="J54" s="13">
        <f>'Reference Score Calculation'!T46</f>
        <v>26</v>
      </c>
      <c r="K54" s="28">
        <f>'Reference Score Calculation'!U46</f>
        <v>27</v>
      </c>
      <c r="L54" s="112">
        <f>'Reference Score Calculation'!X46</f>
        <v>13.75</v>
      </c>
      <c r="M54" s="13">
        <f>入學要求!Z55</f>
        <v>0</v>
      </c>
    </row>
    <row r="55" spans="1:13">
      <c r="A55" s="13" t="str">
        <f>'Reference Score Calculation'!A47</f>
        <v>JS1113</v>
      </c>
      <c r="B55" s="13" t="str">
        <f>'Reference Score Calculation'!B47</f>
        <v>CityU</v>
      </c>
      <c r="C55" s="13" t="str">
        <f>'Reference Score Calculation'!D47</f>
        <v>社會科學學士(社會工作)</v>
      </c>
      <c r="D55" s="13" t="str">
        <f>'Reference Score Calculation'!R47</f>
        <v>BSocScSW</v>
      </c>
      <c r="E55" s="13" t="str">
        <f>'Reference Score Calculation'!E47</f>
        <v>Best 5</v>
      </c>
      <c r="F55" s="20" t="str">
        <f>'Reference Score Calculation'!G47</f>
        <v>/</v>
      </c>
      <c r="G55" s="20">
        <f>'Reference Score Calculation'!H47</f>
        <v>26</v>
      </c>
      <c r="H55" s="20">
        <f>'Reference Score Calculation'!I47</f>
        <v>25</v>
      </c>
      <c r="I55" s="20">
        <f>計分版!J70</f>
        <v>3.7500000000000005E-9</v>
      </c>
      <c r="J55" s="13">
        <f>'Reference Score Calculation'!T47</f>
        <v>27</v>
      </c>
      <c r="K55" s="28">
        <f>'Reference Score Calculation'!U47</f>
        <v>24</v>
      </c>
      <c r="L55" s="112">
        <f>'Reference Score Calculation'!X47</f>
        <v>25.041666666666668</v>
      </c>
      <c r="M55" s="13">
        <f>入學要求!Z56</f>
        <v>0</v>
      </c>
    </row>
    <row r="56" spans="1:13">
      <c r="A56" s="13" t="str">
        <f>'Reference Score Calculation'!A48</f>
        <v>JS1122</v>
      </c>
      <c r="B56" s="13" t="str">
        <f>'Reference Score Calculation'!B48</f>
        <v>CityU</v>
      </c>
      <c r="C56" s="13" t="str">
        <f>'Reference Score Calculation'!D48</f>
        <v>社會科學學士(公共政策)與法律學學士</v>
      </c>
      <c r="D56" s="13" t="str">
        <f>'Reference Score Calculation'!R48</f>
        <v>BSocScPP&amp;LLB</v>
      </c>
      <c r="E56" s="13" t="str">
        <f>'Reference Score Calculation'!E48</f>
        <v>4C2X</v>
      </c>
      <c r="F56" s="20" t="str">
        <f>'Reference Score Calculation'!G48</f>
        <v>/</v>
      </c>
      <c r="G56" s="20" t="str">
        <f>'Reference Score Calculation'!H48</f>
        <v>/</v>
      </c>
      <c r="H56" s="20" t="str">
        <f>'Reference Score Calculation'!I48</f>
        <v>/</v>
      </c>
      <c r="I56" s="20">
        <f>計分版!J71</f>
        <v>2.7499999999999998E-9</v>
      </c>
      <c r="J56" s="13">
        <f>'Reference Score Calculation'!T48</f>
        <v>10</v>
      </c>
      <c r="K56" s="28">
        <f>'Reference Score Calculation'!U48</f>
        <v>2</v>
      </c>
      <c r="L56" s="112">
        <f>'Reference Score Calculation'!X48</f>
        <v>6.5</v>
      </c>
      <c r="M56" s="13">
        <f>入學要求!Z57</f>
        <v>0</v>
      </c>
    </row>
    <row r="57" spans="1:13">
      <c r="A57" s="13" t="str">
        <f>'Reference Score Calculation'!A49</f>
        <v>JS1123</v>
      </c>
      <c r="B57" s="13" t="str">
        <f>'Reference Score Calculation'!B49</f>
        <v>CityU</v>
      </c>
      <c r="C57" s="13" t="str">
        <f>'Reference Score Calculation'!D49</f>
        <v>社會科學學士(犯罪學)與法律學學士</v>
      </c>
      <c r="D57" s="13" t="str">
        <f>'Reference Score Calculation'!R49</f>
        <v>BSocScCR&amp;LLB</v>
      </c>
      <c r="E57" s="13" t="str">
        <f>'Reference Score Calculation'!E49</f>
        <v>Best 6</v>
      </c>
      <c r="F57" s="20" t="str">
        <f>'Reference Score Calculation'!G49</f>
        <v>/</v>
      </c>
      <c r="G57" s="20">
        <f>'Reference Score Calculation'!H49</f>
        <v>25</v>
      </c>
      <c r="H57" s="20">
        <f>'Reference Score Calculation'!I49</f>
        <v>25</v>
      </c>
      <c r="I57" s="20">
        <f>計分版!J72</f>
        <v>4.1499999999999999E-9</v>
      </c>
      <c r="J57" s="13">
        <f>'Reference Score Calculation'!T49</f>
        <v>10</v>
      </c>
      <c r="K57" s="28">
        <f>'Reference Score Calculation'!U49</f>
        <v>10</v>
      </c>
      <c r="L57" s="112">
        <f>'Reference Score Calculation'!X49</f>
        <v>6.625</v>
      </c>
      <c r="M57" s="13">
        <f>入學要求!Z58</f>
        <v>0</v>
      </c>
    </row>
    <row r="58" spans="1:13">
      <c r="A58" s="13" t="str">
        <f>'Reference Score Calculation'!A50</f>
        <v>JS1200</v>
      </c>
      <c r="B58" s="13" t="str">
        <f>'Reference Score Calculation'!B50</f>
        <v>CityU</v>
      </c>
      <c r="C58" s="13" t="str">
        <f>'Reference Score Calculation'!D50</f>
        <v>環球精研與科創課程</v>
      </c>
      <c r="D58" s="13" t="str">
        <f>'Reference Score Calculation'!R50</f>
        <v>GREAT</v>
      </c>
      <c r="E58" s="13" t="str">
        <f>'Reference Score Calculation'!E50</f>
        <v>Best 5</v>
      </c>
      <c r="F58" s="20" t="str">
        <f>'Reference Score Calculation'!G50</f>
        <v>/</v>
      </c>
      <c r="G58" s="20" t="str">
        <f>'Reference Score Calculation'!H50</f>
        <v>/</v>
      </c>
      <c r="H58" s="20" t="str">
        <f>'Reference Score Calculation'!I50</f>
        <v>/</v>
      </c>
      <c r="I58" s="20">
        <f>計分版!J73</f>
        <v>4.6500000000000003E-9</v>
      </c>
      <c r="J58" s="13">
        <f>'Reference Score Calculation'!T50</f>
        <v>9</v>
      </c>
      <c r="K58" s="28">
        <f>'Reference Score Calculation'!U50</f>
        <v>2</v>
      </c>
      <c r="L58" s="112">
        <f>'Reference Score Calculation'!X50</f>
        <v>3</v>
      </c>
      <c r="M58" s="13">
        <f>入學要求!Z59</f>
        <v>0</v>
      </c>
    </row>
    <row r="59" spans="1:13">
      <c r="A59" s="13" t="str">
        <f>'Reference Score Calculation'!A51</f>
        <v>JS1201</v>
      </c>
      <c r="B59" s="13" t="str">
        <f>'Reference Score Calculation'!B51</f>
        <v>CityU</v>
      </c>
      <c r="C59" s="13" t="str">
        <f>'Reference Score Calculation'!D51</f>
        <v>建築學及土木工程學系 [選項: 工學士(建築工程)、工學士(土木工程)、理學士(建築學及測量學)]</v>
      </c>
      <c r="D59" s="13" t="str">
        <f>'Reference Score Calculation'!R51</f>
        <v>ACE</v>
      </c>
      <c r="E59" s="13" t="str">
        <f>'Reference Score Calculation'!E51</f>
        <v>Best 6</v>
      </c>
      <c r="F59" s="20" t="str">
        <f>'Reference Score Calculation'!G51</f>
        <v>/</v>
      </c>
      <c r="G59" s="20">
        <f>'Reference Score Calculation'!H51</f>
        <v>42</v>
      </c>
      <c r="H59" s="20">
        <f>'Reference Score Calculation'!I51</f>
        <v>40.5</v>
      </c>
      <c r="I59" s="20">
        <f>計分版!J74</f>
        <v>4.9E-9</v>
      </c>
      <c r="J59" s="13">
        <f>'Reference Score Calculation'!T51</f>
        <v>98</v>
      </c>
      <c r="K59" s="28">
        <f>'Reference Score Calculation'!U51</f>
        <v>91</v>
      </c>
      <c r="L59" s="112">
        <f>'Reference Score Calculation'!X51</f>
        <v>5.2527472527472527</v>
      </c>
      <c r="M59" s="13">
        <f>入學要求!Z60</f>
        <v>0</v>
      </c>
    </row>
    <row r="60" spans="1:13">
      <c r="A60" s="13" t="str">
        <f>'Reference Score Calculation'!A52</f>
        <v>JS1202</v>
      </c>
      <c r="B60" s="13" t="str">
        <f>'Reference Score Calculation'!B52</f>
        <v>CityU</v>
      </c>
      <c r="C60" s="13" t="str">
        <f>'Reference Score Calculation'!D52</f>
        <v>理學士(化學)</v>
      </c>
      <c r="D60" s="13" t="str">
        <f>'Reference Score Calculation'!R52</f>
        <v>BScCHEM</v>
      </c>
      <c r="E60" s="13" t="str">
        <f>'Reference Score Calculation'!E52</f>
        <v>Best 5</v>
      </c>
      <c r="F60" s="20" t="str">
        <f>'Reference Score Calculation'!G52</f>
        <v>/</v>
      </c>
      <c r="G60" s="20">
        <f>'Reference Score Calculation'!H52</f>
        <v>28</v>
      </c>
      <c r="H60" s="20">
        <f>'Reference Score Calculation'!I52</f>
        <v>27.5</v>
      </c>
      <c r="I60" s="20">
        <f>計分版!J75</f>
        <v>3.4999999999999999E-9</v>
      </c>
      <c r="J60" s="13">
        <f>'Reference Score Calculation'!T52</f>
        <v>46</v>
      </c>
      <c r="K60" s="28">
        <f>'Reference Score Calculation'!U52</f>
        <v>56</v>
      </c>
      <c r="L60" s="112">
        <f>'Reference Score Calculation'!X52</f>
        <v>6.42</v>
      </c>
      <c r="M60" s="13">
        <f>入學要求!Z61</f>
        <v>0</v>
      </c>
    </row>
    <row r="61" spans="1:13">
      <c r="A61" s="13" t="str">
        <f>'Reference Score Calculation'!A53</f>
        <v>JS1204</v>
      </c>
      <c r="B61" s="13" t="str">
        <f>'Reference Score Calculation'!B53</f>
        <v>CityU</v>
      </c>
      <c r="C61" s="13" t="str">
        <f>'Reference Score Calculation'!D53</f>
        <v>理學士(電腦科學)</v>
      </c>
      <c r="D61" s="13" t="str">
        <f>'Reference Score Calculation'!R53</f>
        <v>BScCSC</v>
      </c>
      <c r="E61" s="13" t="str">
        <f>'Reference Score Calculation'!E53</f>
        <v>Best 5</v>
      </c>
      <c r="F61" s="20" t="str">
        <f>'Reference Score Calculation'!G53</f>
        <v>/</v>
      </c>
      <c r="G61" s="20">
        <f>'Reference Score Calculation'!H53</f>
        <v>20</v>
      </c>
      <c r="H61" s="20">
        <f>'Reference Score Calculation'!I53</f>
        <v>19</v>
      </c>
      <c r="I61" s="20">
        <f>計分版!J76</f>
        <v>2.8499999999999999E-9</v>
      </c>
      <c r="J61" s="13">
        <f>'Reference Score Calculation'!T53</f>
        <v>99</v>
      </c>
      <c r="K61" s="28">
        <f>'Reference Score Calculation'!U53</f>
        <v>91</v>
      </c>
      <c r="L61" s="112">
        <f>'Reference Score Calculation'!X53</f>
        <v>11.051282051282051</v>
      </c>
      <c r="M61" s="13">
        <f>入學要求!Z62</f>
        <v>0</v>
      </c>
    </row>
    <row r="62" spans="1:13">
      <c r="A62" s="13" t="str">
        <f>'Reference Score Calculation'!A54</f>
        <v>JS1205</v>
      </c>
      <c r="B62" s="13" t="str">
        <f>'Reference Score Calculation'!B54</f>
        <v>CityU</v>
      </c>
      <c r="C62" s="13" t="str">
        <f>'Reference Score Calculation'!D54</f>
        <v>電機工程學系 [選項: 工學士(電子計算機及數據工程學)、工學士(電子及電機工程學)、工學士(資訊工程學)、工學士(微電子工程學)]</v>
      </c>
      <c r="D62" s="13" t="str">
        <f>'Reference Score Calculation'!R54</f>
        <v>EE</v>
      </c>
      <c r="E62" s="13" t="str">
        <f>'Reference Score Calculation'!E54</f>
        <v>Best 5</v>
      </c>
      <c r="F62" s="20" t="str">
        <f>'Reference Score Calculation'!G54</f>
        <v>/</v>
      </c>
      <c r="G62" s="20">
        <f>'Reference Score Calculation'!H54</f>
        <v>32</v>
      </c>
      <c r="H62" s="20">
        <f>'Reference Score Calculation'!I54</f>
        <v>30.5</v>
      </c>
      <c r="I62" s="20">
        <f>計分版!J77</f>
        <v>3.8500000000000006E-9</v>
      </c>
      <c r="J62" s="13">
        <f>'Reference Score Calculation'!T54</f>
        <v>178</v>
      </c>
      <c r="K62" s="28">
        <f>'Reference Score Calculation'!U54</f>
        <v>127</v>
      </c>
      <c r="L62" s="112">
        <f>'Reference Score Calculation'!X54</f>
        <v>6.0566037735849054</v>
      </c>
      <c r="M62" s="13">
        <f>入學要求!Z63</f>
        <v>0</v>
      </c>
    </row>
    <row r="63" spans="1:13">
      <c r="A63" s="13" t="str">
        <f>'Reference Score Calculation'!A55</f>
        <v>JS1206</v>
      </c>
      <c r="B63" s="13" t="str">
        <f>'Reference Score Calculation'!B55</f>
        <v>CityU</v>
      </c>
      <c r="C63" s="13" t="str">
        <f>'Reference Score Calculation'!D55</f>
        <v>理學士(計算數學)</v>
      </c>
      <c r="D63" s="13" t="str">
        <f>'Reference Score Calculation'!R55</f>
        <v>BScCM</v>
      </c>
      <c r="E63" s="13" t="str">
        <f>'Reference Score Calculation'!E55</f>
        <v>Best 5</v>
      </c>
      <c r="F63" s="20" t="str">
        <f>'Reference Score Calculation'!G55</f>
        <v>/</v>
      </c>
      <c r="G63" s="20">
        <f>'Reference Score Calculation'!H55</f>
        <v>31.5</v>
      </c>
      <c r="H63" s="20">
        <f>'Reference Score Calculation'!I55</f>
        <v>30</v>
      </c>
      <c r="I63" s="20">
        <f>計分版!J78</f>
        <v>4.4000000000000005E-9</v>
      </c>
      <c r="J63" s="13">
        <f>'Reference Score Calculation'!T55</f>
        <v>31</v>
      </c>
      <c r="K63" s="28">
        <f>'Reference Score Calculation'!U55</f>
        <v>30</v>
      </c>
      <c r="L63" s="112">
        <f>'Reference Score Calculation'!X55</f>
        <v>7.8</v>
      </c>
      <c r="M63" s="13">
        <f>入學要求!Z64</f>
        <v>0</v>
      </c>
    </row>
    <row r="64" spans="1:13">
      <c r="A64" s="13" t="str">
        <f>'Reference Score Calculation'!A56</f>
        <v>JS1207</v>
      </c>
      <c r="B64" s="13" t="str">
        <f>'Reference Score Calculation'!B56</f>
        <v>CityU</v>
      </c>
      <c r="C64" s="13" t="str">
        <f>'Reference Score Calculation'!D56</f>
        <v>機械工程學系 [選項: 工學士(航空航天工程)、工學士(機械工程)、工學士(核子及風險工程)]</v>
      </c>
      <c r="D64" s="13" t="str">
        <f>'Reference Score Calculation'!R56</f>
        <v>MNE</v>
      </c>
      <c r="E64" s="13" t="str">
        <f>'Reference Score Calculation'!E56</f>
        <v>Best 6</v>
      </c>
      <c r="F64" s="20" t="str">
        <f>'Reference Score Calculation'!G56</f>
        <v>/</v>
      </c>
      <c r="G64" s="20">
        <f>'Reference Score Calculation'!H56</f>
        <v>31</v>
      </c>
      <c r="H64" s="20">
        <f>'Reference Score Calculation'!I56</f>
        <v>30</v>
      </c>
      <c r="I64" s="20">
        <f>計分版!J79</f>
        <v>4.7000000000000007E-9</v>
      </c>
      <c r="J64" s="13">
        <f>'Reference Score Calculation'!T56</f>
        <v>108</v>
      </c>
      <c r="K64" s="28">
        <f>'Reference Score Calculation'!U56</f>
        <v>102</v>
      </c>
      <c r="L64" s="112">
        <f>'Reference Score Calculation'!X56</f>
        <v>4.75</v>
      </c>
      <c r="M64" s="13">
        <f>入學要求!Z65</f>
        <v>0</v>
      </c>
    </row>
    <row r="65" spans="1:13">
      <c r="A65" s="13" t="str">
        <f>'Reference Score Calculation'!A57</f>
        <v>JS1208</v>
      </c>
      <c r="B65" s="13" t="str">
        <f>'Reference Score Calculation'!B57</f>
        <v>CityU</v>
      </c>
      <c r="C65" s="13" t="str">
        <f>'Reference Score Calculation'!D57</f>
        <v>理學士(物理學)</v>
      </c>
      <c r="D65" s="13" t="str">
        <f>'Reference Score Calculation'!R57</f>
        <v>BScPHY</v>
      </c>
      <c r="E65" s="13" t="str">
        <f>'Reference Score Calculation'!E57</f>
        <v>Best 5</v>
      </c>
      <c r="F65" s="20" t="str">
        <f>'Reference Score Calculation'!G57</f>
        <v>/</v>
      </c>
      <c r="G65" s="20">
        <f>'Reference Score Calculation'!H57</f>
        <v>26</v>
      </c>
      <c r="H65" s="20">
        <f>'Reference Score Calculation'!I57</f>
        <v>25</v>
      </c>
      <c r="I65" s="20">
        <f>計分版!J80</f>
        <v>3.7750000000000007E-9</v>
      </c>
      <c r="J65" s="13">
        <f>'Reference Score Calculation'!T57</f>
        <v>22</v>
      </c>
      <c r="K65" s="28">
        <f>'Reference Score Calculation'!U57</f>
        <v>25</v>
      </c>
      <c r="L65" s="112">
        <f>'Reference Score Calculation'!X57</f>
        <v>7.9333333333333336</v>
      </c>
      <c r="M65" s="13">
        <f>入學要求!Z66</f>
        <v>0</v>
      </c>
    </row>
    <row r="66" spans="1:13">
      <c r="A66" s="13" t="str">
        <f>'Reference Score Calculation'!A58</f>
        <v>JS1210</v>
      </c>
      <c r="B66" s="13" t="str">
        <f>'Reference Score Calculation'!B58</f>
        <v>CityU</v>
      </c>
      <c r="C66" s="13" t="str">
        <f>'Reference Score Calculation'!D58</f>
        <v>工學士(材料科學及工程)</v>
      </c>
      <c r="D66" s="13" t="str">
        <f>'Reference Score Calculation'!R58</f>
        <v>BEngMASE</v>
      </c>
      <c r="E66" s="13" t="str">
        <f>'Reference Score Calculation'!E58</f>
        <v>Best 6</v>
      </c>
      <c r="F66" s="20" t="str">
        <f>'Reference Score Calculation'!G58</f>
        <v>/</v>
      </c>
      <c r="G66" s="20">
        <f>'Reference Score Calculation'!H58</f>
        <v>30.5</v>
      </c>
      <c r="H66" s="20">
        <f>'Reference Score Calculation'!I58</f>
        <v>29.5</v>
      </c>
      <c r="I66" s="20">
        <f>計分版!J81</f>
        <v>4.7000000000000007E-9</v>
      </c>
      <c r="J66" s="13">
        <f>'Reference Score Calculation'!T58</f>
        <v>29</v>
      </c>
      <c r="K66" s="28">
        <f>'Reference Score Calculation'!U58</f>
        <v>32</v>
      </c>
      <c r="L66" s="112">
        <f>'Reference Score Calculation'!X58</f>
        <v>4.333333333333333</v>
      </c>
      <c r="M66" s="13">
        <f>入學要求!Z67</f>
        <v>0</v>
      </c>
    </row>
    <row r="67" spans="1:13">
      <c r="A67" s="13" t="str">
        <f>'Reference Score Calculation'!A59</f>
        <v>JS1211</v>
      </c>
      <c r="B67" s="13" t="str">
        <f>'Reference Score Calculation'!B59</f>
        <v>CityU</v>
      </c>
      <c r="C67" s="13" t="str">
        <f>'Reference Score Calculation'!D59</f>
        <v>工學士(生物醫學工程)</v>
      </c>
      <c r="D67" s="13" t="str">
        <f>'Reference Score Calculation'!R59</f>
        <v>BEngBME</v>
      </c>
      <c r="E67" s="13" t="str">
        <f>'Reference Score Calculation'!E59</f>
        <v>Best 5</v>
      </c>
      <c r="F67" s="20" t="str">
        <f>'Reference Score Calculation'!G59</f>
        <v>/</v>
      </c>
      <c r="G67" s="20">
        <f>'Reference Score Calculation'!H59</f>
        <v>34</v>
      </c>
      <c r="H67" s="20">
        <f>'Reference Score Calculation'!I59</f>
        <v>32</v>
      </c>
      <c r="I67" s="20">
        <f>計分版!J82</f>
        <v>4.3500000000000001E-9</v>
      </c>
      <c r="J67" s="13">
        <f>'Reference Score Calculation'!T59</f>
        <v>44</v>
      </c>
      <c r="K67" s="28">
        <f>'Reference Score Calculation'!U59</f>
        <v>59</v>
      </c>
      <c r="L67" s="112">
        <f>'Reference Score Calculation'!X59</f>
        <v>4.9795918367346941</v>
      </c>
      <c r="M67" s="13">
        <f>入學要求!Z68</f>
        <v>0</v>
      </c>
    </row>
    <row r="68" spans="1:13">
      <c r="A68" s="13" t="str">
        <f>'Reference Score Calculation'!A60</f>
        <v>JS1216</v>
      </c>
      <c r="B68" s="13" t="str">
        <f>'Reference Score Calculation'!B60</f>
        <v>CityU</v>
      </c>
      <c r="C68" s="13" t="str">
        <f>'Reference Score Calculation'!D60</f>
        <v>工學士(智能製造工程學)</v>
      </c>
      <c r="D68" s="13" t="str">
        <f>'Reference Score Calculation'!R60</f>
        <v>ITME</v>
      </c>
      <c r="E68" s="13" t="str">
        <f>'Reference Score Calculation'!E60</f>
        <v>Best 5</v>
      </c>
      <c r="F68" s="20" t="str">
        <f>'Reference Score Calculation'!G60</f>
        <v>/</v>
      </c>
      <c r="G68" s="20">
        <f>'Reference Score Calculation'!H60</f>
        <v>30</v>
      </c>
      <c r="H68" s="20">
        <f>'Reference Score Calculation'!I60</f>
        <v>30</v>
      </c>
      <c r="I68" s="20">
        <f>計分版!J83</f>
        <v>3.8500000000000006E-9</v>
      </c>
      <c r="J68" s="13">
        <f>'Reference Score Calculation'!T60</f>
        <v>24</v>
      </c>
      <c r="K68" s="28">
        <f>'Reference Score Calculation'!U60</f>
        <v>21</v>
      </c>
      <c r="L68" s="112">
        <f>'Reference Score Calculation'!X60</f>
        <v>16.642857142857142</v>
      </c>
      <c r="M68" s="13">
        <f>入學要求!Z69</f>
        <v>0</v>
      </c>
    </row>
    <row r="69" spans="1:13">
      <c r="A69" s="13" t="str">
        <f>'Reference Score Calculation'!A61</f>
        <v>JS1217</v>
      </c>
      <c r="B69" s="13" t="str">
        <f>'Reference Score Calculation'!B61</f>
        <v>CityU</v>
      </c>
      <c r="C69" s="13" t="str">
        <f>'Reference Score Calculation'!D61</f>
        <v>工學院(選項: 工學院任何一個主修及工程創業副修)</v>
      </c>
      <c r="D69" s="13" t="str">
        <f>'Reference Score Calculation'!R61</f>
        <v>CENG</v>
      </c>
      <c r="E69" s="13" t="str">
        <f>'Reference Score Calculation'!E61</f>
        <v>Best 6</v>
      </c>
      <c r="F69" s="20" t="str">
        <f>'Reference Score Calculation'!G61</f>
        <v>/</v>
      </c>
      <c r="G69" s="20">
        <f>'Reference Score Calculation'!H61</f>
        <v>38</v>
      </c>
      <c r="H69" s="20">
        <f>'Reference Score Calculation'!I61</f>
        <v>37</v>
      </c>
      <c r="I69" s="20">
        <f>計分版!J84</f>
        <v>4.7500000000000003E-9</v>
      </c>
      <c r="J69" s="13">
        <f>'Reference Score Calculation'!T61</f>
        <v>10</v>
      </c>
      <c r="K69" s="28">
        <f>'Reference Score Calculation'!U61</f>
        <v>7</v>
      </c>
      <c r="L69" s="112">
        <f>'Reference Score Calculation'!X61</f>
        <v>9.8000000000000007</v>
      </c>
      <c r="M69" s="13">
        <f>入學要求!Z70</f>
        <v>0</v>
      </c>
    </row>
    <row r="70" spans="1:13">
      <c r="A70" s="13" t="str">
        <f>'Reference Score Calculation'!A62</f>
        <v>JS1220</v>
      </c>
      <c r="B70" s="13" t="str">
        <f>'Reference Score Calculation'!B62</f>
        <v>CityU</v>
      </c>
      <c r="C70" s="13" t="str">
        <f>'Reference Score Calculation'!D62</f>
        <v>法律學學士與理學士(計算數學)</v>
      </c>
      <c r="D70" s="13" t="str">
        <f>'Reference Score Calculation'!R62</f>
        <v>LLB&amp;BScCM</v>
      </c>
      <c r="E70" s="13" t="str">
        <f>'Reference Score Calculation'!E62</f>
        <v>Best 5</v>
      </c>
      <c r="F70" s="20" t="str">
        <f>'Reference Score Calculation'!G62</f>
        <v>/</v>
      </c>
      <c r="G70" s="20" t="str">
        <f>'Reference Score Calculation'!H62</f>
        <v>/</v>
      </c>
      <c r="H70" s="20" t="str">
        <f>'Reference Score Calculation'!I62</f>
        <v>/</v>
      </c>
      <c r="I70" s="20">
        <f>計分版!J85</f>
        <v>3.05E-9</v>
      </c>
      <c r="J70" s="13">
        <f>'Reference Score Calculation'!T62</f>
        <v>9</v>
      </c>
      <c r="K70" s="28">
        <f>'Reference Score Calculation'!U62</f>
        <v>0</v>
      </c>
      <c r="L70" s="112" t="str">
        <f>'Reference Score Calculation'!X62</f>
        <v>無資料</v>
      </c>
      <c r="M70" s="13">
        <f>入學要求!Z71</f>
        <v>0</v>
      </c>
    </row>
    <row r="71" spans="1:13">
      <c r="A71" s="13" t="str">
        <f>'Reference Score Calculation'!A63</f>
        <v>JS1221</v>
      </c>
      <c r="B71" s="13" t="str">
        <f>'Reference Score Calculation'!B63</f>
        <v>CityU</v>
      </c>
      <c r="C71" s="13" t="str">
        <f>'Reference Score Calculation'!D63</f>
        <v>理學士(電腦科學)與理學士(計算金融及金融科技)</v>
      </c>
      <c r="D71" s="13" t="str">
        <f>'Reference Score Calculation'!R63</f>
        <v>BScCS&amp;BScCFFT</v>
      </c>
      <c r="E71" s="13" t="str">
        <f>'Reference Score Calculation'!E63</f>
        <v>4C2X</v>
      </c>
      <c r="F71" s="20" t="str">
        <f>'Reference Score Calculation'!G63</f>
        <v>/</v>
      </c>
      <c r="G71" s="20">
        <f>'Reference Score Calculation'!H63</f>
        <v>24</v>
      </c>
      <c r="H71" s="20">
        <f>'Reference Score Calculation'!I63</f>
        <v>23</v>
      </c>
      <c r="I71" s="20">
        <f>計分版!J86</f>
        <v>2.7499999999999998E-9</v>
      </c>
      <c r="J71" s="13">
        <f>'Reference Score Calculation'!T63</f>
        <v>10</v>
      </c>
      <c r="K71" s="28">
        <f>'Reference Score Calculation'!U63</f>
        <v>11</v>
      </c>
      <c r="L71" s="112">
        <f>'Reference Score Calculation'!X63</f>
        <v>9.8181818181818183</v>
      </c>
      <c r="M71" s="13">
        <f>入學要求!Z72</f>
        <v>0</v>
      </c>
    </row>
    <row r="72" spans="1:13">
      <c r="A72" s="13" t="str">
        <f>'Reference Score Calculation'!A64</f>
        <v>JS1801</v>
      </c>
      <c r="B72" s="13" t="str">
        <f>'Reference Score Calculation'!B64</f>
        <v>CityU</v>
      </c>
      <c r="C72" s="13" t="str">
        <f>'Reference Score Calculation'!D64</f>
        <v>獸醫學學士</v>
      </c>
      <c r="D72" s="13" t="str">
        <f>'Reference Score Calculation'!R64</f>
        <v>BVM</v>
      </c>
      <c r="E72" s="13" t="str">
        <f>'Reference Score Calculation'!E64</f>
        <v>Best 6</v>
      </c>
      <c r="F72" s="20" t="str">
        <f>'Reference Score Calculation'!G64</f>
        <v>/</v>
      </c>
      <c r="G72" s="20">
        <f>'Reference Score Calculation'!H64</f>
        <v>35</v>
      </c>
      <c r="H72" s="20">
        <f>'Reference Score Calculation'!I64</f>
        <v>31</v>
      </c>
      <c r="I72" s="20">
        <f>計分版!J87</f>
        <v>2.1999999999999998E-9</v>
      </c>
      <c r="J72" s="13">
        <f>'Reference Score Calculation'!T64</f>
        <v>30</v>
      </c>
      <c r="K72" s="28">
        <f>'Reference Score Calculation'!U64</f>
        <v>21</v>
      </c>
      <c r="L72" s="112">
        <f>'Reference Score Calculation'!X64</f>
        <v>5.333333333333333</v>
      </c>
      <c r="M72" s="13">
        <f>入學要求!Z73</f>
        <v>0</v>
      </c>
    </row>
    <row r="73" spans="1:13">
      <c r="A73" s="13" t="str">
        <f>'Reference Score Calculation'!A65</f>
        <v>JS1805</v>
      </c>
      <c r="B73" s="13" t="str">
        <f>'Reference Score Calculation'!B65</f>
        <v>CityU</v>
      </c>
      <c r="C73" s="13" t="str">
        <f>'Reference Score Calculation'!D65</f>
        <v>生物醫學系 [選項: 理學士(生物科學)、理學士(生物醫學)]</v>
      </c>
      <c r="D73" s="13" t="str">
        <f>'Reference Score Calculation'!R65</f>
        <v>BMS</v>
      </c>
      <c r="E73" s="13" t="str">
        <f>'Reference Score Calculation'!E65</f>
        <v>4C2X</v>
      </c>
      <c r="F73" s="20" t="str">
        <f>'Reference Score Calculation'!G65</f>
        <v>/</v>
      </c>
      <c r="G73" s="20">
        <f>'Reference Score Calculation'!H65</f>
        <v>39</v>
      </c>
      <c r="H73" s="20">
        <f>'Reference Score Calculation'!I65</f>
        <v>38</v>
      </c>
      <c r="I73" s="20">
        <f>計分版!J88</f>
        <v>2.9499999999999999E-9</v>
      </c>
      <c r="J73" s="13">
        <f>'Reference Score Calculation'!T65</f>
        <v>24</v>
      </c>
      <c r="K73" s="28">
        <f>'Reference Score Calculation'!U65</f>
        <v>23</v>
      </c>
      <c r="L73" s="112">
        <f>'Reference Score Calculation'!X65</f>
        <v>7.6190476190476186</v>
      </c>
      <c r="M73" s="13">
        <f>入學要求!Z74</f>
        <v>0</v>
      </c>
    </row>
    <row r="74" spans="1:13">
      <c r="A74" s="13" t="str">
        <f>'Reference Score Calculation'!A66</f>
        <v>JS1806</v>
      </c>
      <c r="B74" s="13" t="str">
        <f>'Reference Score Calculation'!B66</f>
        <v>CityU</v>
      </c>
      <c r="C74" s="13" t="str">
        <f>'Reference Score Calculation'!D66</f>
        <v>理學士(生物科學)</v>
      </c>
      <c r="D74" s="13" t="str">
        <f>'Reference Score Calculation'!R66</f>
        <v>BScBISI</v>
      </c>
      <c r="E74" s="13" t="str">
        <f>'Reference Score Calculation'!E66</f>
        <v>4C2X</v>
      </c>
      <c r="F74" s="20" t="str">
        <f>'Reference Score Calculation'!G66</f>
        <v>/</v>
      </c>
      <c r="G74" s="20">
        <f>'Reference Score Calculation'!H66</f>
        <v>35.5</v>
      </c>
      <c r="H74" s="20">
        <f>'Reference Score Calculation'!I66</f>
        <v>35</v>
      </c>
      <c r="I74" s="20">
        <f>計分版!J89</f>
        <v>2.9499999999999999E-9</v>
      </c>
      <c r="J74" s="13">
        <f>'Reference Score Calculation'!T66</f>
        <v>28</v>
      </c>
      <c r="K74" s="28">
        <f>'Reference Score Calculation'!U66</f>
        <v>34</v>
      </c>
      <c r="L74" s="112">
        <f>'Reference Score Calculation'!X66</f>
        <v>7.8275862068965516</v>
      </c>
      <c r="M74" s="13">
        <f>入學要求!Z75</f>
        <v>0</v>
      </c>
    </row>
    <row r="75" spans="1:13">
      <c r="A75" s="13" t="str">
        <f>'Reference Score Calculation'!A67</f>
        <v>JS1807</v>
      </c>
      <c r="B75" s="13" t="str">
        <f>'Reference Score Calculation'!B67</f>
        <v>CityU</v>
      </c>
      <c r="C75" s="13" t="str">
        <f>'Reference Score Calculation'!D67</f>
        <v>理學士(生物醫學)</v>
      </c>
      <c r="D75" s="13" t="str">
        <f>'Reference Score Calculation'!R67</f>
        <v>BScBMS</v>
      </c>
      <c r="E75" s="13" t="str">
        <f>'Reference Score Calculation'!E67</f>
        <v>4C2X</v>
      </c>
      <c r="F75" s="20" t="str">
        <f>'Reference Score Calculation'!G67</f>
        <v>/</v>
      </c>
      <c r="G75" s="20">
        <f>'Reference Score Calculation'!H67</f>
        <v>41</v>
      </c>
      <c r="H75" s="20">
        <f>'Reference Score Calculation'!I67</f>
        <v>40</v>
      </c>
      <c r="I75" s="20">
        <f>計分版!J90</f>
        <v>2.9499999999999999E-9</v>
      </c>
      <c r="J75" s="13">
        <f>'Reference Score Calculation'!T67</f>
        <v>28</v>
      </c>
      <c r="K75" s="28">
        <f>'Reference Score Calculation'!U67</f>
        <v>31</v>
      </c>
      <c r="L75" s="112">
        <f>'Reference Score Calculation'!X67</f>
        <v>3.903225806451613</v>
      </c>
      <c r="M75" s="13">
        <f>入學要求!Z76</f>
        <v>0</v>
      </c>
    </row>
    <row r="76" spans="1:13">
      <c r="D76" s="13"/>
      <c r="K76" s="28"/>
    </row>
    <row r="77" spans="1:13">
      <c r="D77" s="13"/>
      <c r="K77" s="28"/>
    </row>
    <row r="78" spans="1:13">
      <c r="A78" s="13" t="str">
        <f>'Reference Score Calculation'!A70</f>
        <v>JS2020</v>
      </c>
      <c r="B78" s="13" t="str">
        <f>'Reference Score Calculation'!B70</f>
        <v>HKBU</v>
      </c>
      <c r="C78" s="13" t="str">
        <f>'Reference Score Calculation'!D70</f>
        <v>文學士(榮譽) (中國語言文學 / 創意及專業寫作 / 英國語言文學 / 人文學 / 翻譯學)</v>
      </c>
      <c r="D78" s="13" t="str">
        <f>'Reference Score Calculation'!R70</f>
        <v>BA</v>
      </c>
      <c r="E78" s="13" t="str">
        <f>'Reference Score Calculation'!E70</f>
        <v>4C2X</v>
      </c>
      <c r="F78" s="20">
        <f>'Reference Score Calculation'!G70</f>
        <v>0</v>
      </c>
      <c r="G78" s="20">
        <f>'Reference Score Calculation'!H70</f>
        <v>24.000000000229999</v>
      </c>
      <c r="H78" s="20">
        <f>'Reference Score Calculation'!I70</f>
        <v>24.000000000229999</v>
      </c>
      <c r="I78" s="20">
        <f>計分版!J93</f>
        <v>2.6000000000000001E-9</v>
      </c>
      <c r="J78" s="13">
        <f>'Reference Score Calculation'!T70</f>
        <v>105</v>
      </c>
      <c r="K78" s="28">
        <f>'Reference Score Calculation'!U70</f>
        <v>111</v>
      </c>
      <c r="L78" s="112">
        <f>'Reference Score Calculation'!X70</f>
        <v>5.7058823529411766</v>
      </c>
      <c r="M78" s="13">
        <f>入學要求!Z79</f>
        <v>0</v>
      </c>
    </row>
    <row r="79" spans="1:13">
      <c r="A79" s="13" t="str">
        <f>'Reference Score Calculation'!A71</f>
        <v>JS2025</v>
      </c>
      <c r="B79" s="13" t="str">
        <f>'Reference Score Calculation'!B71</f>
        <v>HKBU</v>
      </c>
      <c r="C79" s="13" t="str">
        <f>'Reference Score Calculation'!D71</f>
        <v>宗教、哲學及倫理文學士(榮譽)</v>
      </c>
      <c r="D79" s="13" t="str">
        <f>'Reference Score Calculation'!R71</f>
        <v>BA(RPE)</v>
      </c>
      <c r="E79" s="13" t="str">
        <f>'Reference Score Calculation'!E71</f>
        <v>4C2X</v>
      </c>
      <c r="F79" s="20">
        <f>'Reference Score Calculation'!G71</f>
        <v>0</v>
      </c>
      <c r="G79" s="20">
        <f>'Reference Score Calculation'!H71</f>
        <v>22.000000000229999</v>
      </c>
      <c r="H79" s="20">
        <f>'Reference Score Calculation'!I71</f>
        <v>22.000000000229999</v>
      </c>
      <c r="I79" s="20">
        <f>計分版!J94</f>
        <v>2.6000000000000001E-9</v>
      </c>
      <c r="J79" s="13">
        <f>'Reference Score Calculation'!T71</f>
        <v>15</v>
      </c>
      <c r="K79" s="28">
        <f>'Reference Score Calculation'!U71</f>
        <v>15</v>
      </c>
      <c r="L79" s="112">
        <f>'Reference Score Calculation'!X71</f>
        <v>12.23076923076923</v>
      </c>
      <c r="M79" s="13">
        <f>入學要求!Z80</f>
        <v>0</v>
      </c>
    </row>
    <row r="80" spans="1:13">
      <c r="A80" s="13" t="str">
        <f>'Reference Score Calculation'!A72</f>
        <v>JS2060</v>
      </c>
      <c r="B80" s="13" t="str">
        <f>'Reference Score Calculation'!B72</f>
        <v>HKBU</v>
      </c>
      <c r="C80" s="13" t="str">
        <f>'Reference Score Calculation'!D72</f>
        <v>文學士(榮譽) / 音樂學士(榮譽) (音樂 / 創意產業)</v>
      </c>
      <c r="D80" s="13" t="str">
        <f>'Reference Score Calculation'!R72</f>
        <v>BA/BMUS(MUSIC/CI)</v>
      </c>
      <c r="E80" s="13" t="str">
        <f>'Reference Score Calculation'!E72</f>
        <v>4C2X</v>
      </c>
      <c r="F80" s="20">
        <f>'Reference Score Calculation'!G72</f>
        <v>0</v>
      </c>
      <c r="G80" s="20">
        <f>'Reference Score Calculation'!H72</f>
        <v>25.000000000229999</v>
      </c>
      <c r="H80" s="20">
        <f>'Reference Score Calculation'!I72</f>
        <v>24.000000000229999</v>
      </c>
      <c r="I80" s="20">
        <f>計分版!J95</f>
        <v>2.6000000000000001E-9</v>
      </c>
      <c r="J80" s="13">
        <f>'Reference Score Calculation'!T72</f>
        <v>43</v>
      </c>
      <c r="K80" s="28">
        <f>'Reference Score Calculation'!U72</f>
        <v>25</v>
      </c>
      <c r="L80" s="112">
        <f>'Reference Score Calculation'!X72</f>
        <v>11.08</v>
      </c>
      <c r="M80" s="13">
        <f>入學要求!Z81</f>
        <v>0</v>
      </c>
    </row>
    <row r="81" spans="1:13">
      <c r="A81" s="13" t="str">
        <f>'Reference Score Calculation'!A73</f>
        <v>JS2110</v>
      </c>
      <c r="B81" s="13" t="str">
        <f>'Reference Score Calculation'!B73</f>
        <v>HKBU</v>
      </c>
      <c r="C81" s="13" t="str">
        <f>'Reference Score Calculation'!D73</f>
        <v>工商管理學士(榮譽) - 會計學專修</v>
      </c>
      <c r="D81" s="13" t="str">
        <f>'Reference Score Calculation'!R73</f>
        <v>BBA(ACCT)</v>
      </c>
      <c r="E81" s="13" t="str">
        <f>'Reference Score Calculation'!E73</f>
        <v>Best 6</v>
      </c>
      <c r="F81" s="20">
        <f>'Reference Score Calculation'!G73</f>
        <v>0</v>
      </c>
      <c r="G81" s="20">
        <f>'Reference Score Calculation'!H73</f>
        <v>22.800000000274</v>
      </c>
      <c r="H81" s="20">
        <f>'Reference Score Calculation'!I73</f>
        <v>22.600000000234001</v>
      </c>
      <c r="I81" s="20">
        <f>計分版!J96</f>
        <v>3.9000000000000002E-9</v>
      </c>
      <c r="J81" s="13">
        <f>'Reference Score Calculation'!T73</f>
        <v>47</v>
      </c>
      <c r="K81" s="28">
        <f>'Reference Score Calculation'!U73</f>
        <v>54</v>
      </c>
      <c r="L81" s="112">
        <f>'Reference Score Calculation'!X73</f>
        <v>9.84</v>
      </c>
      <c r="M81" s="13">
        <f>入學要求!Z82</f>
        <v>0</v>
      </c>
    </row>
    <row r="82" spans="1:13">
      <c r="A82" s="13" t="str">
        <f>'Reference Score Calculation'!A74</f>
        <v>JS2120</v>
      </c>
      <c r="B82" s="13" t="str">
        <f>'Reference Score Calculation'!B74</f>
        <v>HKBU</v>
      </c>
      <c r="C82" s="13" t="str">
        <f>'Reference Score Calculation'!D74</f>
        <v>工商管理學士(榮譽)</v>
      </c>
      <c r="D82" s="13" t="str">
        <f>'Reference Score Calculation'!R74</f>
        <v>BBA</v>
      </c>
      <c r="E82" s="13" t="str">
        <f>'Reference Score Calculation'!E74</f>
        <v>Best 6</v>
      </c>
      <c r="F82" s="20">
        <f>'Reference Score Calculation'!G74</f>
        <v>0</v>
      </c>
      <c r="G82" s="20">
        <f>'Reference Score Calculation'!H74</f>
        <v>22.800000000233997</v>
      </c>
      <c r="H82" s="20">
        <f>'Reference Score Calculation'!I74</f>
        <v>22.800000000233997</v>
      </c>
      <c r="I82" s="20">
        <f>計分版!J97</f>
        <v>3.9000000000000002E-9</v>
      </c>
      <c r="J82" s="13">
        <f>'Reference Score Calculation'!T74</f>
        <v>187</v>
      </c>
      <c r="K82" s="28">
        <f>'Reference Score Calculation'!U74</f>
        <v>180</v>
      </c>
      <c r="L82" s="112">
        <f>'Reference Score Calculation'!X74</f>
        <v>9.9054054054054053</v>
      </c>
      <c r="M82" s="13">
        <f>入學要求!Z83</f>
        <v>0</v>
      </c>
    </row>
    <row r="83" spans="1:13">
      <c r="A83" s="13" t="str">
        <f>'Reference Score Calculation'!A75</f>
        <v>JS2310</v>
      </c>
      <c r="B83" s="13" t="str">
        <f>'Reference Score Calculation'!B75</f>
        <v>HKBU</v>
      </c>
      <c r="C83" s="13" t="str">
        <f>'Reference Score Calculation'!D75</f>
        <v>傳理學學士(榮譽) (新聞與數碼媒體 / 公關及廣告)</v>
      </c>
      <c r="D83" s="13" t="str">
        <f>'Reference Score Calculation'!R75</f>
        <v>BCOMM</v>
      </c>
      <c r="E83" s="13" t="str">
        <f>'Reference Score Calculation'!E75</f>
        <v>Best 5</v>
      </c>
      <c r="F83" s="20">
        <f>'Reference Score Calculation'!G75</f>
        <v>0</v>
      </c>
      <c r="G83" s="20">
        <f>'Reference Score Calculation'!H75</f>
        <v>22.500000000235001</v>
      </c>
      <c r="H83" s="20">
        <f>'Reference Score Calculation'!I75</f>
        <v>22.000000000215</v>
      </c>
      <c r="I83" s="20">
        <f>計分版!J98</f>
        <v>3.0000000000000004E-9</v>
      </c>
      <c r="J83" s="13">
        <f>'Reference Score Calculation'!T75</f>
        <v>77</v>
      </c>
      <c r="K83" s="28">
        <f>'Reference Score Calculation'!U75</f>
        <v>79</v>
      </c>
      <c r="L83" s="112">
        <f>'Reference Score Calculation'!X75</f>
        <v>8.257142857142858</v>
      </c>
      <c r="M83" s="13">
        <f>入學要求!Z84</f>
        <v>0</v>
      </c>
    </row>
    <row r="84" spans="1:13">
      <c r="A84" s="13" t="str">
        <f>'Reference Score Calculation'!A76</f>
        <v>JS2330</v>
      </c>
      <c r="B84" s="13" t="str">
        <f>'Reference Score Calculation'!B76</f>
        <v>HKBU</v>
      </c>
      <c r="C84" s="13" t="str">
        <f>'Reference Score Calculation'!D76</f>
        <v>電影電視文學士(榮譽)</v>
      </c>
      <c r="D84" s="13" t="str">
        <f>'Reference Score Calculation'!R76</f>
        <v>BCOMM(FTV)</v>
      </c>
      <c r="E84" s="13" t="str">
        <f>'Reference Score Calculation'!E76</f>
        <v>Best 5</v>
      </c>
      <c r="F84" s="20">
        <f>'Reference Score Calculation'!G76</f>
        <v>0</v>
      </c>
      <c r="G84" s="20">
        <f>'Reference Score Calculation'!H76</f>
        <v>23.000000000175</v>
      </c>
      <c r="H84" s="20">
        <f>'Reference Score Calculation'!I76</f>
        <v>22.000000000235001</v>
      </c>
      <c r="I84" s="20">
        <f>計分版!J99</f>
        <v>3.0000000000000004E-9</v>
      </c>
      <c r="J84" s="13">
        <f>'Reference Score Calculation'!T76</f>
        <v>18</v>
      </c>
      <c r="K84" s="28">
        <f>'Reference Score Calculation'!U76</f>
        <v>19</v>
      </c>
      <c r="L84" s="112">
        <f>'Reference Score Calculation'!X76</f>
        <v>23.842105263157894</v>
      </c>
      <c r="M84" s="13">
        <f>入學要求!Z85</f>
        <v>0</v>
      </c>
    </row>
    <row r="85" spans="1:13">
      <c r="A85" s="13" t="str">
        <f>'Reference Score Calculation'!A77</f>
        <v>JS2340</v>
      </c>
      <c r="B85" s="13" t="str">
        <f>'Reference Score Calculation'!B77</f>
        <v>HKBU</v>
      </c>
      <c r="C85" s="13" t="str">
        <f>'Reference Score Calculation'!D77</f>
        <v>環球螢幕演技藝術學士(榮譽)</v>
      </c>
      <c r="D85" s="13" t="str">
        <f>'Reference Score Calculation'!R77</f>
        <v>BFA(AGS)</v>
      </c>
      <c r="E85" s="13" t="str">
        <f>'Reference Score Calculation'!E77</f>
        <v>Best 5</v>
      </c>
      <c r="F85" s="20">
        <f>'Reference Score Calculation'!G77</f>
        <v>0</v>
      </c>
      <c r="G85" s="20">
        <f>'Reference Score Calculation'!H77</f>
        <v>20.00000000028</v>
      </c>
      <c r="H85" s="20">
        <f>'Reference Score Calculation'!I77</f>
        <v>18.0000000002</v>
      </c>
      <c r="I85" s="20">
        <f>計分版!J100</f>
        <v>3.4999999999999999E-9</v>
      </c>
      <c r="J85" s="13">
        <f>'Reference Score Calculation'!T77</f>
        <v>8</v>
      </c>
      <c r="K85" s="28">
        <f>'Reference Score Calculation'!U77</f>
        <v>10</v>
      </c>
      <c r="L85" s="112">
        <f>'Reference Score Calculation'!X77</f>
        <v>15.4</v>
      </c>
      <c r="M85" s="13">
        <f>入學要求!Z86</f>
        <v>0</v>
      </c>
    </row>
    <row r="86" spans="1:13">
      <c r="A86" s="13" t="str">
        <f>'Reference Score Calculation'!A78</f>
        <v>JS2370</v>
      </c>
      <c r="B86" s="13" t="str">
        <f>'Reference Score Calculation'!B78</f>
        <v>HKBU</v>
      </c>
      <c r="C86" s="13" t="str">
        <f>'Reference Score Calculation'!D78</f>
        <v>傳理學學士(榮譽) - 遊戲設計與動畫主修</v>
      </c>
      <c r="D86" s="13" t="str">
        <f>'Reference Score Calculation'!R78</f>
        <v>BCOMM(GDA)</v>
      </c>
      <c r="E86" s="13" t="str">
        <f>'Reference Score Calculation'!E78</f>
        <v>Best 5</v>
      </c>
      <c r="F86" s="20">
        <f>'Reference Score Calculation'!G78</f>
        <v>0</v>
      </c>
      <c r="G86" s="20">
        <f>'Reference Score Calculation'!H78</f>
        <v>29.700000000276997</v>
      </c>
      <c r="H86" s="20">
        <f>'Reference Score Calculation'!I78</f>
        <v>22.000000000236998</v>
      </c>
      <c r="I86" s="20">
        <f>計分版!J101</f>
        <v>3.4999999999999999E-9</v>
      </c>
      <c r="J86" s="13">
        <f>'Reference Score Calculation'!T78</f>
        <v>20</v>
      </c>
      <c r="K86" s="28">
        <f>'Reference Score Calculation'!U78</f>
        <v>14</v>
      </c>
      <c r="L86" s="112">
        <f>'Reference Score Calculation'!X78</f>
        <v>47.214285714285715</v>
      </c>
      <c r="M86" s="13">
        <f>入學要求!Z87</f>
        <v>0</v>
      </c>
    </row>
    <row r="87" spans="1:13">
      <c r="A87" s="13" t="str">
        <f>'Reference Score Calculation'!A79</f>
        <v>JS2410</v>
      </c>
      <c r="B87" s="13" t="str">
        <f>'Reference Score Calculation'!B79</f>
        <v>HKBU</v>
      </c>
      <c r="C87" s="13" t="str">
        <f>'Reference Score Calculation'!D79</f>
        <v>中醫學學士及生物醫學理學士(榮譽)</v>
      </c>
      <c r="D87" s="13" t="str">
        <f>'Reference Score Calculation'!R79</f>
        <v>BCM&amp;BSc(BIOMED)</v>
      </c>
      <c r="E87" s="13" t="str">
        <f>'Reference Score Calculation'!E79</f>
        <v>Best 5</v>
      </c>
      <c r="F87" s="20">
        <f>'Reference Score Calculation'!G79</f>
        <v>0</v>
      </c>
      <c r="G87" s="20">
        <f>'Reference Score Calculation'!H79</f>
        <v>30.500000000277502</v>
      </c>
      <c r="H87" s="20">
        <f>'Reference Score Calculation'!I79</f>
        <v>30.000000000220002</v>
      </c>
      <c r="I87" s="20">
        <f>計分版!J102</f>
        <v>3.6E-9</v>
      </c>
      <c r="J87" s="13">
        <f>'Reference Score Calculation'!T79</f>
        <v>40</v>
      </c>
      <c r="K87" s="28">
        <f>'Reference Score Calculation'!U79</f>
        <v>33</v>
      </c>
      <c r="L87" s="112">
        <f>'Reference Score Calculation'!X79</f>
        <v>7.2424242424242422</v>
      </c>
      <c r="M87" s="13">
        <f>入學要求!Z88</f>
        <v>0</v>
      </c>
    </row>
    <row r="88" spans="1:13">
      <c r="A88" s="13" t="str">
        <f>'Reference Score Calculation'!A80</f>
        <v>JS2420</v>
      </c>
      <c r="B88" s="13" t="str">
        <f>'Reference Score Calculation'!B80</f>
        <v>HKBU</v>
      </c>
      <c r="C88" s="13" t="str">
        <f>'Reference Score Calculation'!D80</f>
        <v>中藥學學士(榮譽)</v>
      </c>
      <c r="D88" s="13" t="str">
        <f>'Reference Score Calculation'!R80</f>
        <v>BPharm</v>
      </c>
      <c r="E88" s="13" t="str">
        <f>'Reference Score Calculation'!E80</f>
        <v>Best 5</v>
      </c>
      <c r="F88" s="20">
        <f>'Reference Score Calculation'!G80</f>
        <v>0</v>
      </c>
      <c r="G88" s="20">
        <f>'Reference Score Calculation'!H80</f>
        <v>24.500000000284999</v>
      </c>
      <c r="H88" s="20">
        <f>'Reference Score Calculation'!I80</f>
        <v>23.750000000324999</v>
      </c>
      <c r="I88" s="20">
        <f>計分版!J103</f>
        <v>3.4999999999999999E-9</v>
      </c>
      <c r="J88" s="13">
        <f>'Reference Score Calculation'!T80</f>
        <v>20</v>
      </c>
      <c r="K88" s="28">
        <f>'Reference Score Calculation'!U80</f>
        <v>28</v>
      </c>
      <c r="L88" s="112">
        <f>'Reference Score Calculation'!X80</f>
        <v>8.0740740740740744</v>
      </c>
      <c r="M88" s="13">
        <f>入學要求!Z89</f>
        <v>0</v>
      </c>
    </row>
    <row r="89" spans="1:13">
      <c r="A89" s="13" t="str">
        <f>'Reference Score Calculation'!A81</f>
        <v>JS2510</v>
      </c>
      <c r="B89" s="13" t="str">
        <f>'Reference Score Calculation'!B81</f>
        <v>HKBU</v>
      </c>
      <c r="C89" s="13" t="str">
        <f>'Reference Score Calculation'!D81</f>
        <v>理學士(榮譽)</v>
      </c>
      <c r="D89" s="13" t="str">
        <f>'Reference Score Calculation'!R81</f>
        <v>BSc</v>
      </c>
      <c r="E89" s="13" t="str">
        <f>'Reference Score Calculation'!E81</f>
        <v>4C2X</v>
      </c>
      <c r="F89" s="20">
        <f>'Reference Score Calculation'!G81</f>
        <v>0</v>
      </c>
      <c r="G89" s="20">
        <f>'Reference Score Calculation'!H81</f>
        <v>20.000000000229999</v>
      </c>
      <c r="H89" s="20">
        <f>'Reference Score Calculation'!I81</f>
        <v>20.000000000229999</v>
      </c>
      <c r="I89" s="20">
        <f>計分版!J104</f>
        <v>2.6000000000000001E-9</v>
      </c>
      <c r="J89" s="13">
        <f>'Reference Score Calculation'!T81</f>
        <v>195</v>
      </c>
      <c r="K89" s="28">
        <f>'Reference Score Calculation'!U81</f>
        <v>223</v>
      </c>
      <c r="L89" s="112">
        <f>'Reference Score Calculation'!X81</f>
        <v>4.8457142857142861</v>
      </c>
      <c r="M89" s="13">
        <f>入學要求!Z90</f>
        <v>0</v>
      </c>
    </row>
    <row r="90" spans="1:13">
      <c r="A90" s="13" t="str">
        <f>'Reference Score Calculation'!A82</f>
        <v>JS2610</v>
      </c>
      <c r="B90" s="13" t="str">
        <f>'Reference Score Calculation'!B82</f>
        <v>HKBU</v>
      </c>
      <c r="C90" s="13" t="str">
        <f>'Reference Score Calculation'!D82</f>
        <v>文學士(榮譽) / 社會科學學士(榮譽) (歐洲研究 [法文/德文] / 地理 / 全球及中國研究 / 政治及國際關係學 / 歷史 / 社會學)</v>
      </c>
      <c r="D90" s="13" t="str">
        <f>'Reference Score Calculation'!R82</f>
        <v>BA/BSocSc</v>
      </c>
      <c r="E90" s="13" t="str">
        <f>'Reference Score Calculation'!E82</f>
        <v>4C2X</v>
      </c>
      <c r="F90" s="20">
        <f>'Reference Score Calculation'!G82</f>
        <v>0</v>
      </c>
      <c r="G90" s="20">
        <f>'Reference Score Calculation'!H82</f>
        <v>27.000000000269999</v>
      </c>
      <c r="H90" s="20">
        <f>'Reference Score Calculation'!I82</f>
        <v>27.000000000260002</v>
      </c>
      <c r="I90" s="20">
        <f>計分版!J105</f>
        <v>2.8000000000000003E-9</v>
      </c>
      <c r="J90" s="13">
        <f>'Reference Score Calculation'!T82</f>
        <v>135</v>
      </c>
      <c r="K90" s="28">
        <f>'Reference Score Calculation'!U82</f>
        <v>148</v>
      </c>
      <c r="L90" s="112">
        <f>'Reference Score Calculation'!X82</f>
        <v>6.6590909090909092</v>
      </c>
      <c r="M90" s="13">
        <f>入學要求!Z91</f>
        <v>0</v>
      </c>
    </row>
    <row r="91" spans="1:13">
      <c r="A91" s="13" t="str">
        <f>'Reference Score Calculation'!A83</f>
        <v>JS2620</v>
      </c>
      <c r="B91" s="13" t="str">
        <f>'Reference Score Calculation'!B83</f>
        <v>HKBU</v>
      </c>
      <c r="C91" s="13" t="str">
        <f>'Reference Score Calculation'!D83</f>
        <v>體育及康樂管理文學士(榮譽)</v>
      </c>
      <c r="D91" s="13" t="str">
        <f>'Reference Score Calculation'!R83</f>
        <v>BA(PERM)</v>
      </c>
      <c r="E91" s="13" t="str">
        <f>'Reference Score Calculation'!E83</f>
        <v>4C2X</v>
      </c>
      <c r="F91" s="20">
        <f>'Reference Score Calculation'!G83</f>
        <v>0</v>
      </c>
      <c r="G91" s="20">
        <f>'Reference Score Calculation'!H83</f>
        <v>25.00000000024</v>
      </c>
      <c r="H91" s="20">
        <f>'Reference Score Calculation'!I83</f>
        <v>24.000000000250001</v>
      </c>
      <c r="I91" s="20">
        <f>計分版!J106</f>
        <v>2.6000000000000001E-9</v>
      </c>
      <c r="J91" s="13">
        <f>'Reference Score Calculation'!T83</f>
        <v>22</v>
      </c>
      <c r="K91" s="28">
        <f>'Reference Score Calculation'!U83</f>
        <v>22</v>
      </c>
      <c r="L91" s="112">
        <f>'Reference Score Calculation'!X83</f>
        <v>24.571428571428573</v>
      </c>
      <c r="M91" s="13">
        <f>入學要求!Z92</f>
        <v>0</v>
      </c>
    </row>
    <row r="92" spans="1:13">
      <c r="A92" s="13" t="str">
        <f>'Reference Score Calculation'!A84</f>
        <v>JS2660</v>
      </c>
      <c r="B92" s="13" t="str">
        <f>'Reference Score Calculation'!B84</f>
        <v>HKBU</v>
      </c>
      <c r="C92" s="13" t="str">
        <f>'Reference Score Calculation'!D84</f>
        <v>社會工作學士(榮譽)</v>
      </c>
      <c r="D92" s="13" t="str">
        <f>'Reference Score Calculation'!R84</f>
        <v>BSW</v>
      </c>
      <c r="E92" s="13" t="str">
        <f>'Reference Score Calculation'!E84</f>
        <v>4C2X</v>
      </c>
      <c r="F92" s="20">
        <f>'Reference Score Calculation'!G84</f>
        <v>0</v>
      </c>
      <c r="G92" s="20">
        <f>'Reference Score Calculation'!H84</f>
        <v>31.000000000254996</v>
      </c>
      <c r="H92" s="20">
        <f>'Reference Score Calculation'!I84</f>
        <v>31.000000000254996</v>
      </c>
      <c r="I92" s="20">
        <f>計分版!J107</f>
        <v>2.8000000000000003E-9</v>
      </c>
      <c r="J92" s="13">
        <f>'Reference Score Calculation'!T84</f>
        <v>30</v>
      </c>
      <c r="K92" s="28">
        <f>'Reference Score Calculation'!U84</f>
        <v>31</v>
      </c>
      <c r="L92" s="112">
        <f>'Reference Score Calculation'!X84</f>
        <v>26.807692307692307</v>
      </c>
      <c r="M92" s="13">
        <f>入學要求!Z93</f>
        <v>0</v>
      </c>
    </row>
    <row r="93" spans="1:13">
      <c r="A93" s="13" t="str">
        <f>'Reference Score Calculation'!A85</f>
        <v>JS2810</v>
      </c>
      <c r="B93" s="13" t="str">
        <f>'Reference Score Calculation'!B85</f>
        <v>HKBU</v>
      </c>
      <c r="C93" s="13" t="str">
        <f>'Reference Score Calculation'!D85</f>
        <v>視覺藝術文學士(榮譽)</v>
      </c>
      <c r="D93" s="13" t="str">
        <f>'Reference Score Calculation'!R85</f>
        <v>BA(VA)</v>
      </c>
      <c r="E93" s="13" t="str">
        <f>'Reference Score Calculation'!E85</f>
        <v>Best 5</v>
      </c>
      <c r="F93" s="20">
        <f>'Reference Score Calculation'!G85</f>
        <v>0</v>
      </c>
      <c r="G93" s="20">
        <f>'Reference Score Calculation'!H85</f>
        <v>20.000000000209997</v>
      </c>
      <c r="H93" s="20">
        <f>'Reference Score Calculation'!I85</f>
        <v>20.000000000209997</v>
      </c>
      <c r="I93" s="20">
        <f>計分版!J108</f>
        <v>3.4999999999999999E-9</v>
      </c>
      <c r="J93" s="13">
        <f>'Reference Score Calculation'!T85</f>
        <v>40</v>
      </c>
      <c r="K93" s="28">
        <f>'Reference Score Calculation'!U85</f>
        <v>40</v>
      </c>
      <c r="L93" s="112">
        <f>'Reference Score Calculation'!X85</f>
        <v>14.625</v>
      </c>
      <c r="M93" s="13">
        <f>入學要求!Z94</f>
        <v>0</v>
      </c>
    </row>
    <row r="94" spans="1:13">
      <c r="A94" s="13" t="str">
        <f>'Reference Score Calculation'!A86</f>
        <v>JS2910</v>
      </c>
      <c r="B94" s="13" t="str">
        <f>'Reference Score Calculation'!B86</f>
        <v>HKBU</v>
      </c>
      <c r="C94" s="13" t="str">
        <f>'Reference Score Calculation'!D86</f>
        <v>商業計算及數據分析理學士(榮譽)</v>
      </c>
      <c r="D94" s="13" t="str">
        <f>'Reference Score Calculation'!R86</f>
        <v>BSc(BCDA)</v>
      </c>
      <c r="E94" s="13" t="str">
        <f>'Reference Score Calculation'!E86</f>
        <v>Best 6</v>
      </c>
      <c r="F94" s="20">
        <f>'Reference Score Calculation'!G86</f>
        <v>0</v>
      </c>
      <c r="G94" s="20">
        <f>'Reference Score Calculation'!H86</f>
        <v>22.000000000229999</v>
      </c>
      <c r="H94" s="20">
        <f>'Reference Score Calculation'!I86</f>
        <v>22.000000000229999</v>
      </c>
      <c r="I94" s="20">
        <f>計分版!J109</f>
        <v>3.9000000000000002E-9</v>
      </c>
      <c r="J94" s="13">
        <f>'Reference Score Calculation'!T86</f>
        <v>15</v>
      </c>
      <c r="K94" s="28">
        <f>'Reference Score Calculation'!U86</f>
        <v>16</v>
      </c>
      <c r="L94" s="112">
        <f>'Reference Score Calculation'!X86</f>
        <v>9.384615384615385</v>
      </c>
      <c r="M94" s="13">
        <f>入學要求!Z95</f>
        <v>0</v>
      </c>
    </row>
    <row r="95" spans="1:13">
      <c r="A95" s="13" t="str">
        <f>'Reference Score Calculation'!A87</f>
        <v>JS2920</v>
      </c>
      <c r="B95" s="13" t="str">
        <f>'Reference Score Calculation'!B87</f>
        <v>HKBU</v>
      </c>
      <c r="C95" s="13" t="str">
        <f>'Reference Score Calculation'!D87</f>
        <v>藝術及科技文理學士(榮譽)</v>
      </c>
      <c r="D95" s="13" t="str">
        <f>'Reference Score Calculation'!R87</f>
        <v>BASc(ARTT)</v>
      </c>
      <c r="E95" s="13" t="str">
        <f>'Reference Score Calculation'!E87</f>
        <v>4C2X</v>
      </c>
      <c r="F95" s="20">
        <f>'Reference Score Calculation'!G87</f>
        <v>0</v>
      </c>
      <c r="G95" s="20">
        <f>'Reference Score Calculation'!H87</f>
        <v>21.600000000235998</v>
      </c>
      <c r="H95" s="20">
        <f>'Reference Score Calculation'!I87</f>
        <v>21.800000000236</v>
      </c>
      <c r="I95" s="20">
        <f>計分版!J110</f>
        <v>2.6600000000000003E-9</v>
      </c>
      <c r="J95" s="13">
        <f>'Reference Score Calculation'!T87</f>
        <v>40</v>
      </c>
      <c r="K95" s="28">
        <f>'Reference Score Calculation'!U87</f>
        <v>39</v>
      </c>
      <c r="L95" s="112">
        <f>'Reference Score Calculation'!X87</f>
        <v>6.615384615384615</v>
      </c>
      <c r="M95" s="13">
        <f>入學要求!Z96</f>
        <v>0</v>
      </c>
    </row>
    <row r="96" spans="1:13">
      <c r="A96" s="13" t="str">
        <f>'Reference Score Calculation'!A88</f>
        <v>JS2930</v>
      </c>
      <c r="B96" s="13" t="str">
        <f>'Reference Score Calculation'!B88</f>
        <v>HKBU</v>
      </c>
      <c r="C96" s="13" t="str">
        <f>'Reference Score Calculation'!D88</f>
        <v>工商管理文學士(榮譽)(全球娛樂)</v>
      </c>
      <c r="D96" s="13" t="str">
        <f>'Reference Score Calculation'!R88</f>
        <v>BA(BUSADMIN-GE)</v>
      </c>
      <c r="E96" s="13" t="str">
        <f>'Reference Score Calculation'!E88</f>
        <v>4C2X</v>
      </c>
      <c r="F96" s="20">
        <f>'Reference Score Calculation'!G88</f>
        <v>0</v>
      </c>
      <c r="G96" s="20">
        <f>'Reference Score Calculation'!H88</f>
        <v>21.000000000229999</v>
      </c>
      <c r="H96" s="20">
        <f>'Reference Score Calculation'!I88</f>
        <v>21.000000000229999</v>
      </c>
      <c r="I96" s="20">
        <f>計分版!J111</f>
        <v>2.6000000000000001E-9</v>
      </c>
      <c r="J96" s="13">
        <f>'Reference Score Calculation'!T88</f>
        <v>15</v>
      </c>
      <c r="K96" s="28">
        <f>'Reference Score Calculation'!U88</f>
        <v>13</v>
      </c>
      <c r="L96" s="112">
        <f>'Reference Score Calculation'!X88</f>
        <v>10.153846153846153</v>
      </c>
      <c r="M96" s="13">
        <f>入學要求!Z97</f>
        <v>0</v>
      </c>
    </row>
    <row r="97" spans="1:13">
      <c r="A97" s="13" t="str">
        <f>'Reference Score Calculation'!A89</f>
        <v>JS2940</v>
      </c>
      <c r="B97" s="13" t="str">
        <f>'Reference Score Calculation'!B89</f>
        <v>HKBU</v>
      </c>
      <c r="C97" s="13" t="str">
        <f>'Reference Score Calculation'!D89</f>
        <v>創新醫療及社會健康社會科學學士(榮譽) / 理學士(榮譽)</v>
      </c>
      <c r="D97" s="13" t="str">
        <f>'Reference Score Calculation'!R89</f>
        <v>BSocSc/BSc(HSWB)</v>
      </c>
      <c r="E97" s="13" t="str">
        <f>'Reference Score Calculation'!E89</f>
        <v>4C2X</v>
      </c>
      <c r="F97" s="20">
        <f>'Reference Score Calculation'!G89</f>
        <v>0</v>
      </c>
      <c r="G97" s="20">
        <f>'Reference Score Calculation'!H89</f>
        <v>22.000000000229999</v>
      </c>
      <c r="H97" s="20">
        <f>'Reference Score Calculation'!I89</f>
        <v>21.000000000229999</v>
      </c>
      <c r="I97" s="20">
        <f>計分版!J112</f>
        <v>2.6000000000000001E-9</v>
      </c>
      <c r="J97" s="13">
        <f>'Reference Score Calculation'!T89</f>
        <v>35</v>
      </c>
      <c r="K97" s="28">
        <f>'Reference Score Calculation'!U89</f>
        <v>47</v>
      </c>
      <c r="L97" s="112">
        <f>'Reference Score Calculation'!X89</f>
        <v>10.361702127659575</v>
      </c>
      <c r="M97" s="13">
        <f>入學要求!Z98</f>
        <v>0</v>
      </c>
    </row>
    <row r="98" spans="1:13">
      <c r="A98" s="13" t="str">
        <f>'Reference Score Calculation'!A90</f>
        <v>JS2950</v>
      </c>
      <c r="B98" s="13" t="str">
        <f>'Reference Score Calculation'!B90</f>
        <v>HKBU</v>
      </c>
      <c r="C98" s="13" t="str">
        <f>'Reference Score Calculation'!D90</f>
        <v>文理及科技學士(榮譽)自訂主修</v>
      </c>
      <c r="D98" s="13" t="str">
        <f>'Reference Score Calculation'!R90</f>
        <v>BAScT</v>
      </c>
      <c r="E98" s="13" t="str">
        <f>'Reference Score Calculation'!E90</f>
        <v>Best 5</v>
      </c>
      <c r="F98" s="20">
        <f>'Reference Score Calculation'!G90</f>
        <v>0</v>
      </c>
      <c r="G98" s="20">
        <f>'Reference Score Calculation'!H90</f>
        <v>18.000000000210001</v>
      </c>
      <c r="H98" s="20">
        <f>'Reference Score Calculation'!I90</f>
        <v>19.0000000002</v>
      </c>
      <c r="I98" s="20">
        <f>計分版!J113</f>
        <v>3.4999999999999999E-9</v>
      </c>
      <c r="J98" s="13">
        <f>'Reference Score Calculation'!T90</f>
        <v>15</v>
      </c>
      <c r="K98" s="28">
        <f>'Reference Score Calculation'!U90</f>
        <v>16</v>
      </c>
      <c r="L98" s="112">
        <f>'Reference Score Calculation'!X90</f>
        <v>7.8181818181818183</v>
      </c>
      <c r="M98" s="13">
        <f>入學要求!Z99</f>
        <v>0</v>
      </c>
    </row>
    <row r="99" spans="1:13">
      <c r="D99" s="13"/>
      <c r="K99" s="28"/>
    </row>
    <row r="100" spans="1:13">
      <c r="D100" s="13"/>
      <c r="K100" s="28"/>
    </row>
    <row r="101" spans="1:13">
      <c r="A101" s="13" t="str">
        <f>'Reference Score Calculation'!A93</f>
        <v>JS3011</v>
      </c>
      <c r="B101" s="13" t="str">
        <f>'Reference Score Calculation'!B93</f>
        <v>PolyU</v>
      </c>
      <c r="C101" s="13" t="str">
        <f>'Reference Score Calculation'!D93</f>
        <v>生物科技及化學科技(榮譽)理學士組合課程</v>
      </c>
      <c r="D101" s="13" t="str">
        <f>'Reference Score Calculation'!R93</f>
        <v>BIOTECH &amp; CHEM TECH</v>
      </c>
      <c r="E101" s="13" t="str">
        <f>'Reference Score Calculation'!E93</f>
        <v>Best 5</v>
      </c>
      <c r="F101" s="20">
        <f>'Reference Score Calculation'!G93</f>
        <v>0</v>
      </c>
      <c r="G101" s="20">
        <f>'Reference Score Calculation'!H93</f>
        <v>188</v>
      </c>
      <c r="H101" s="20">
        <f>'Reference Score Calculation'!I93</f>
        <v>179</v>
      </c>
      <c r="I101" s="20">
        <f>計分版!J116</f>
        <v>1.6050000000000001E-8</v>
      </c>
      <c r="J101" s="13">
        <f>'Reference Score Calculation'!T93</f>
        <v>63</v>
      </c>
      <c r="K101" s="28" t="str">
        <f>'Reference Score Calculation'!U93</f>
        <v>/</v>
      </c>
      <c r="L101" s="112" t="str">
        <f>'Reference Score Calculation'!X93</f>
        <v>新科目</v>
      </c>
      <c r="M101" s="13">
        <f>入學要求!Z102</f>
        <v>0</v>
      </c>
    </row>
    <row r="102" spans="1:13">
      <c r="A102" s="13" t="str">
        <f>'Reference Score Calculation'!A94</f>
        <v>JS3020</v>
      </c>
      <c r="B102" s="13" t="str">
        <f>'Reference Score Calculation'!B94</f>
        <v>PolyU</v>
      </c>
      <c r="C102" s="13" t="str">
        <f>'Reference Score Calculation'!D94</f>
        <v>數據科學(榮譽)理學士組合課程 (數據科學及分析 / 投資科學及金融分析)</v>
      </c>
      <c r="D102" s="13" t="str">
        <f>'Reference Score Calculation'!R94</f>
        <v>DATA SCI</v>
      </c>
      <c r="E102" s="13" t="str">
        <f>'Reference Score Calculation'!E94</f>
        <v>Best 5</v>
      </c>
      <c r="F102" s="20">
        <f>'Reference Score Calculation'!G94</f>
        <v>0</v>
      </c>
      <c r="G102" s="20">
        <f>'Reference Score Calculation'!H94</f>
        <v>180.5</v>
      </c>
      <c r="H102" s="20">
        <f>'Reference Score Calculation'!I94</f>
        <v>174.5</v>
      </c>
      <c r="I102" s="20">
        <f>計分版!J117</f>
        <v>1.6050000000000001E-8</v>
      </c>
      <c r="J102" s="13">
        <f>'Reference Score Calculation'!T94</f>
        <v>21</v>
      </c>
      <c r="K102" s="28">
        <f>'Reference Score Calculation'!U94</f>
        <v>34</v>
      </c>
      <c r="L102" s="112">
        <f>'Reference Score Calculation'!X94</f>
        <v>7</v>
      </c>
      <c r="M102" s="13">
        <f>入學要求!Z103</f>
        <v>0</v>
      </c>
    </row>
    <row r="103" spans="1:13">
      <c r="A103" s="13" t="str">
        <f>'Reference Score Calculation'!A95</f>
        <v>JS3030</v>
      </c>
      <c r="B103" s="13" t="str">
        <f>'Reference Score Calculation'!B95</f>
        <v>PolyU</v>
      </c>
      <c r="C103" s="13" t="str">
        <f>'Reference Score Calculation'!D95</f>
        <v>物理學(榮譽)理學士 副主修人工智能及數據分析 / 創新及創業</v>
      </c>
      <c r="D103" s="13" t="str">
        <f>'Reference Score Calculation'!R95</f>
        <v>PHYSICS</v>
      </c>
      <c r="E103" s="13" t="str">
        <f>'Reference Score Calculation'!E95</f>
        <v>Best 5</v>
      </c>
      <c r="F103" s="20">
        <f>'Reference Score Calculation'!G95</f>
        <v>0</v>
      </c>
      <c r="G103" s="20">
        <f>'Reference Score Calculation'!H95</f>
        <v>188</v>
      </c>
      <c r="H103" s="20">
        <f>'Reference Score Calculation'!I95</f>
        <v>188</v>
      </c>
      <c r="I103" s="20">
        <f>計分版!J118</f>
        <v>1.7550000000000002E-8</v>
      </c>
      <c r="J103" s="13">
        <f>'Reference Score Calculation'!T95</f>
        <v>25</v>
      </c>
      <c r="K103" s="28">
        <f>'Reference Score Calculation'!U95</f>
        <v>29</v>
      </c>
      <c r="L103" s="112">
        <f>'Reference Score Calculation'!X95</f>
        <v>20.041666666666668</v>
      </c>
      <c r="M103" s="13">
        <f>入學要求!Z104</f>
        <v>0</v>
      </c>
    </row>
    <row r="104" spans="1:13">
      <c r="A104" s="13" t="str">
        <f>'Reference Score Calculation'!A96</f>
        <v>JS3050</v>
      </c>
      <c r="B104" s="13" t="str">
        <f>'Reference Score Calculation'!B96</f>
        <v>PolyU</v>
      </c>
      <c r="C104" s="13" t="str">
        <f>'Reference Score Calculation'!D96</f>
        <v>時裝(榮譽)文學士組合課程 (時裝設計 / 針織時裝設計 / 內衣及運動服裝 / 時裝商務 / 時裝創新及科技)</v>
      </c>
      <c r="D104" s="13" t="str">
        <f>'Reference Score Calculation'!R96</f>
        <v>FASHION</v>
      </c>
      <c r="E104" s="13" t="str">
        <f>'Reference Score Calculation'!E96</f>
        <v>Best 5</v>
      </c>
      <c r="F104" s="20">
        <f>'Reference Score Calculation'!G96</f>
        <v>0</v>
      </c>
      <c r="G104" s="20">
        <f>'Reference Score Calculation'!H96</f>
        <v>142</v>
      </c>
      <c r="H104" s="20">
        <f>'Reference Score Calculation'!I96</f>
        <v>152</v>
      </c>
      <c r="I104" s="20">
        <f>計分版!J119</f>
        <v>1.3549999999999999E-8</v>
      </c>
      <c r="J104" s="13">
        <f>'Reference Score Calculation'!T96</f>
        <v>110</v>
      </c>
      <c r="K104" s="28">
        <f>'Reference Score Calculation'!U96</f>
        <v>80</v>
      </c>
      <c r="L104" s="112">
        <f>'Reference Score Calculation'!X96</f>
        <v>9.9605263157894743</v>
      </c>
      <c r="M104" s="13">
        <f>入學要求!Z105</f>
        <v>0</v>
      </c>
    </row>
    <row r="105" spans="1:13">
      <c r="A105" s="13" t="str">
        <f>'Reference Score Calculation'!A97</f>
        <v>JS3060</v>
      </c>
      <c r="B105" s="13" t="str">
        <f>'Reference Score Calculation'!B97</f>
        <v>PolyU</v>
      </c>
      <c r="C105" s="13" t="str">
        <f>'Reference Score Calculation'!D97</f>
        <v>會計及金融(榮譽)工商管理學士組合課程 (會計學 / 會計及金融 / 數碼金融及投資學)</v>
      </c>
      <c r="D105" s="13" t="str">
        <f>'Reference Score Calculation'!R97</f>
        <v>ACCT &amp; FINANCE</v>
      </c>
      <c r="E105" s="13" t="str">
        <f>'Reference Score Calculation'!E97</f>
        <v>Best 5</v>
      </c>
      <c r="F105" s="20">
        <f>'Reference Score Calculation'!G97</f>
        <v>0</v>
      </c>
      <c r="G105" s="20">
        <f>'Reference Score Calculation'!H97</f>
        <v>179.5</v>
      </c>
      <c r="H105" s="20">
        <f>'Reference Score Calculation'!I97</f>
        <v>179</v>
      </c>
      <c r="I105" s="20">
        <f>計分版!J120</f>
        <v>1.6050000000000001E-8</v>
      </c>
      <c r="J105" s="13">
        <f>'Reference Score Calculation'!T97</f>
        <v>126</v>
      </c>
      <c r="K105" s="28">
        <f>'Reference Score Calculation'!U97</f>
        <v>103</v>
      </c>
      <c r="L105" s="112">
        <f>'Reference Score Calculation'!X97</f>
        <v>10.99</v>
      </c>
      <c r="M105" s="13">
        <f>入學要求!Z106</f>
        <v>0</v>
      </c>
    </row>
    <row r="106" spans="1:13">
      <c r="A106" s="13" t="str">
        <f>'Reference Score Calculation'!A98</f>
        <v>JS3070</v>
      </c>
      <c r="B106" s="13" t="str">
        <f>'Reference Score Calculation'!B98</f>
        <v>PolyU</v>
      </c>
      <c r="C106" s="13" t="str">
        <f>'Reference Score Calculation'!D98</f>
        <v>航空、航運及供應鏈管理(榮譽)工商管理學士組合課程 (航空管理及金融 / 國際航運及物流管理 / 供應鏈管理及分析)</v>
      </c>
      <c r="D106" s="13" t="str">
        <f>'Reference Score Calculation'!R98</f>
        <v>AVIAT, MARITIME &amp; SC MGT</v>
      </c>
      <c r="E106" s="13" t="str">
        <f>'Reference Score Calculation'!E98</f>
        <v>Best 5</v>
      </c>
      <c r="F106" s="20">
        <f>'Reference Score Calculation'!G98</f>
        <v>0</v>
      </c>
      <c r="G106" s="20">
        <f>'Reference Score Calculation'!H98</f>
        <v>164</v>
      </c>
      <c r="H106" s="20">
        <f>'Reference Score Calculation'!I98</f>
        <v>161.5</v>
      </c>
      <c r="I106" s="20">
        <f>計分版!J121</f>
        <v>1.6050000000000001E-8</v>
      </c>
      <c r="J106" s="13">
        <f>'Reference Score Calculation'!T98</f>
        <v>54</v>
      </c>
      <c r="K106" s="28">
        <f>'Reference Score Calculation'!U98</f>
        <v>51</v>
      </c>
      <c r="L106" s="112">
        <f>'Reference Score Calculation'!X98</f>
        <v>15.955555555555556</v>
      </c>
      <c r="M106" s="13">
        <f>入學要求!Z107</f>
        <v>0</v>
      </c>
    </row>
    <row r="107" spans="1:13">
      <c r="A107" s="13" t="str">
        <f>'Reference Score Calculation'!A99</f>
        <v>JS3080</v>
      </c>
      <c r="B107" s="13" t="str">
        <f>'Reference Score Calculation'!B99</f>
        <v>PolyU</v>
      </c>
      <c r="C107" s="13" t="str">
        <f>'Reference Score Calculation'!D99</f>
        <v>管理及市場學(榮譽)工商管理學士組合課程 (管理學 / 市場學)</v>
      </c>
      <c r="D107" s="13" t="str">
        <f>'Reference Score Calculation'!R99</f>
        <v>MGT &amp; MARKETING</v>
      </c>
      <c r="E107" s="13" t="str">
        <f>'Reference Score Calculation'!E99</f>
        <v>Best 5</v>
      </c>
      <c r="F107" s="20">
        <f>'Reference Score Calculation'!G99</f>
        <v>0</v>
      </c>
      <c r="G107" s="20">
        <f>'Reference Score Calculation'!H99</f>
        <v>174.5</v>
      </c>
      <c r="H107" s="20">
        <f>'Reference Score Calculation'!I99</f>
        <v>172</v>
      </c>
      <c r="I107" s="20">
        <f>計分版!J122</f>
        <v>1.6050000000000001E-8</v>
      </c>
      <c r="J107" s="13">
        <f>'Reference Score Calculation'!T99</f>
        <v>87</v>
      </c>
      <c r="K107" s="28">
        <f>'Reference Score Calculation'!U99</f>
        <v>79</v>
      </c>
      <c r="L107" s="112">
        <f>'Reference Score Calculation'!X99</f>
        <v>14.614285714285714</v>
      </c>
      <c r="M107" s="13">
        <f>入學要求!Z108</f>
        <v>0</v>
      </c>
    </row>
    <row r="108" spans="1:13">
      <c r="A108" s="13" t="str">
        <f>'Reference Score Calculation'!A100</f>
        <v>JS3100</v>
      </c>
      <c r="B108" s="13" t="str">
        <f>'Reference Score Calculation'!B100</f>
        <v>PolyU</v>
      </c>
      <c r="C108" s="13" t="str">
        <f>'Reference Score Calculation'!D100</f>
        <v>建築及房地產(榮譽)理學士組合課程 (建築工程及管理學 / 物業管理學 / 地產及建設測量學)</v>
      </c>
      <c r="D108" s="13" t="str">
        <f>'Reference Score Calculation'!R100</f>
        <v>BLDG &amp; REAL ESTATE</v>
      </c>
      <c r="E108" s="13" t="str">
        <f>'Reference Score Calculation'!E100</f>
        <v>Best 5</v>
      </c>
      <c r="F108" s="20">
        <f>'Reference Score Calculation'!G100</f>
        <v>0</v>
      </c>
      <c r="G108" s="20">
        <f>'Reference Score Calculation'!H100</f>
        <v>163</v>
      </c>
      <c r="H108" s="20">
        <f>'Reference Score Calculation'!I100</f>
        <v>152</v>
      </c>
      <c r="I108" s="20">
        <f>計分版!J123</f>
        <v>1.515E-8</v>
      </c>
      <c r="J108" s="13">
        <f>'Reference Score Calculation'!T100</f>
        <v>101</v>
      </c>
      <c r="K108" s="28">
        <f>'Reference Score Calculation'!U100</f>
        <v>100</v>
      </c>
      <c r="L108" s="112">
        <f>'Reference Score Calculation'!X100</f>
        <v>3.1170212765957448</v>
      </c>
      <c r="M108" s="13">
        <f>入學要求!Z109</f>
        <v>0</v>
      </c>
    </row>
    <row r="109" spans="1:13">
      <c r="A109" s="13" t="str">
        <f>'Reference Score Calculation'!A101</f>
        <v>JS3110</v>
      </c>
      <c r="B109" s="13" t="str">
        <f>'Reference Score Calculation'!B101</f>
        <v>PolyU</v>
      </c>
      <c r="C109" s="13" t="str">
        <f>'Reference Score Calculation'!D101</f>
        <v>建築科學及工程學(榮譽)工學士組合課程 (建築科學及工程學 / 建築科學及工程學(屋宇設備工程學))</v>
      </c>
      <c r="D109" s="13" t="str">
        <f>'Reference Score Calculation'!R101</f>
        <v>BLDG SCI &amp; ENGG</v>
      </c>
      <c r="E109" s="13" t="str">
        <f>'Reference Score Calculation'!E101</f>
        <v>Best 5</v>
      </c>
      <c r="F109" s="20">
        <f>'Reference Score Calculation'!G101</f>
        <v>0</v>
      </c>
      <c r="G109" s="20">
        <f>'Reference Score Calculation'!H101</f>
        <v>176</v>
      </c>
      <c r="H109" s="20">
        <f>'Reference Score Calculation'!I101</f>
        <v>171</v>
      </c>
      <c r="I109" s="20">
        <f>計分版!J124</f>
        <v>1.6050000000000001E-8</v>
      </c>
      <c r="J109" s="13">
        <f>'Reference Score Calculation'!T101</f>
        <v>42</v>
      </c>
      <c r="K109" s="28">
        <f>'Reference Score Calculation'!U101</f>
        <v>25</v>
      </c>
      <c r="L109" s="112">
        <f>'Reference Score Calculation'!X101</f>
        <v>21.238095238095237</v>
      </c>
      <c r="M109" s="13">
        <f>入學要求!Z110</f>
        <v>0</v>
      </c>
    </row>
    <row r="110" spans="1:13">
      <c r="A110" s="13" t="str">
        <f>'Reference Score Calculation'!A102</f>
        <v>JS3120</v>
      </c>
      <c r="B110" s="13" t="str">
        <f>'Reference Score Calculation'!B102</f>
        <v>PolyU</v>
      </c>
      <c r="C110" s="13" t="str">
        <f>'Reference Score Calculation'!D102</f>
        <v>土木工程及可持續發展學(榮譽)工學士組合課程</v>
      </c>
      <c r="D110" s="13" t="str">
        <f>'Reference Score Calculation'!R102</f>
        <v>CIVIL ENGG &amp; SUS DEVELOP</v>
      </c>
      <c r="E110" s="13" t="str">
        <f>'Reference Score Calculation'!E102</f>
        <v>Best 5</v>
      </c>
      <c r="F110" s="20">
        <f>'Reference Score Calculation'!G102</f>
        <v>0</v>
      </c>
      <c r="G110" s="20">
        <f>'Reference Score Calculation'!H102</f>
        <v>205</v>
      </c>
      <c r="H110" s="20">
        <f>'Reference Score Calculation'!I102</f>
        <v>200</v>
      </c>
      <c r="I110" s="20">
        <f>計分版!J125</f>
        <v>1.8750000000000002E-8</v>
      </c>
      <c r="J110" s="13">
        <f>'Reference Score Calculation'!T102</f>
        <v>123</v>
      </c>
      <c r="K110" s="28">
        <f>'Reference Score Calculation'!U102</f>
        <v>100</v>
      </c>
      <c r="L110" s="112">
        <f>'Reference Score Calculation'!X102</f>
        <v>9.1052631578947363</v>
      </c>
      <c r="M110" s="13">
        <f>入學要求!Z111</f>
        <v>0</v>
      </c>
    </row>
    <row r="111" spans="1:13">
      <c r="A111" s="13" t="str">
        <f>'Reference Score Calculation'!A103</f>
        <v>JS3130</v>
      </c>
      <c r="B111" s="13" t="str">
        <f>'Reference Score Calculation'!B103</f>
        <v>PolyU</v>
      </c>
      <c r="C111" s="13" t="str">
        <f>'Reference Score Calculation'!D103</f>
        <v>空間數據科學及智慧城市(榮譽)理學士組合課程 (土地測量及地理資訊學)</v>
      </c>
      <c r="D111" s="13" t="str">
        <f>'Reference Score Calculation'!R103</f>
        <v>LAND SURV &amp; GEO-INFO</v>
      </c>
      <c r="E111" s="13" t="str">
        <f>'Reference Score Calculation'!E103</f>
        <v>Best 5</v>
      </c>
      <c r="F111" s="20">
        <f>'Reference Score Calculation'!G103</f>
        <v>0</v>
      </c>
      <c r="G111" s="20">
        <f>'Reference Score Calculation'!H103</f>
        <v>201.5</v>
      </c>
      <c r="H111" s="20">
        <f>'Reference Score Calculation'!I103</f>
        <v>193</v>
      </c>
      <c r="I111" s="20">
        <f>計分版!J126</f>
        <v>1.7550000000000002E-8</v>
      </c>
      <c r="J111" s="13">
        <f>'Reference Score Calculation'!T103</f>
        <v>40</v>
      </c>
      <c r="K111" s="28">
        <f>'Reference Score Calculation'!U103</f>
        <v>31</v>
      </c>
      <c r="L111" s="112">
        <f>'Reference Score Calculation'!X103</f>
        <v>8.0740740740740744</v>
      </c>
      <c r="M111" s="13">
        <f>入學要求!Z112</f>
        <v>0</v>
      </c>
    </row>
    <row r="112" spans="1:13">
      <c r="A112" s="13" t="str">
        <f>'Reference Score Calculation'!A104</f>
        <v>JS3140</v>
      </c>
      <c r="B112" s="13" t="str">
        <f>'Reference Score Calculation'!B104</f>
        <v>PolyU</v>
      </c>
      <c r="C112" s="13" t="str">
        <f>'Reference Score Calculation'!D104</f>
        <v>航空工程學(榮譽)工學士組合課程 (航空工程學 / 民航工程學)</v>
      </c>
      <c r="D112" s="13" t="str">
        <f>'Reference Score Calculation'!R104</f>
        <v>AVIATION ENGG</v>
      </c>
      <c r="E112" s="13" t="str">
        <f>'Reference Score Calculation'!E104</f>
        <v>Best 5</v>
      </c>
      <c r="F112" s="20">
        <f>'Reference Score Calculation'!G104</f>
        <v>0</v>
      </c>
      <c r="G112" s="20">
        <f>'Reference Score Calculation'!H104</f>
        <v>184</v>
      </c>
      <c r="H112" s="20">
        <f>'Reference Score Calculation'!I104</f>
        <v>176.5</v>
      </c>
      <c r="I112" s="20">
        <f>計分版!J127</f>
        <v>1.7550000000000002E-8</v>
      </c>
      <c r="J112" s="13">
        <f>'Reference Score Calculation'!T104</f>
        <v>56</v>
      </c>
      <c r="K112" s="28">
        <f>'Reference Score Calculation'!U104</f>
        <v>41</v>
      </c>
      <c r="L112" s="112">
        <f>'Reference Score Calculation'!X104</f>
        <v>19.891891891891891</v>
      </c>
      <c r="M112" s="13">
        <f>入學要求!Z113</f>
        <v>0</v>
      </c>
    </row>
    <row r="113" spans="1:25">
      <c r="A113" s="13" t="str">
        <f>'Reference Score Calculation'!A105</f>
        <v>JS3150</v>
      </c>
      <c r="B113" s="13" t="str">
        <f>'Reference Score Calculation'!B105</f>
        <v>PolyU</v>
      </c>
      <c r="C113" s="13" t="str">
        <f>'Reference Score Calculation'!D105</f>
        <v>生物醫學工程(榮譽)理學士組合課程</v>
      </c>
      <c r="D113" s="13" t="str">
        <f>'Reference Score Calculation'!R105</f>
        <v>BIOMEDICAL ENGG</v>
      </c>
      <c r="E113" s="13" t="str">
        <f>'Reference Score Calculation'!E105</f>
        <v>Best 5</v>
      </c>
      <c r="F113" s="20">
        <f>'Reference Score Calculation'!G105</f>
        <v>0</v>
      </c>
      <c r="G113" s="20">
        <f>'Reference Score Calculation'!H105</f>
        <v>227</v>
      </c>
      <c r="H113" s="20">
        <f>'Reference Score Calculation'!I105</f>
        <v>218</v>
      </c>
      <c r="I113" s="20">
        <f>計分版!J128</f>
        <v>1.695E-8</v>
      </c>
      <c r="J113" s="13">
        <f>'Reference Score Calculation'!T105</f>
        <v>24</v>
      </c>
      <c r="K113" s="28">
        <f>'Reference Score Calculation'!U105</f>
        <v>32</v>
      </c>
      <c r="L113" s="112">
        <f>'Reference Score Calculation'!X105</f>
        <v>6.645161290322581</v>
      </c>
      <c r="M113" s="13">
        <f>入學要求!Z114</f>
        <v>0</v>
      </c>
      <c r="Y113" s="12"/>
    </row>
    <row r="114" spans="1:25">
      <c r="A114" s="13" t="str">
        <f>'Reference Score Calculation'!A106</f>
        <v>JS3170</v>
      </c>
      <c r="B114" s="13" t="str">
        <f>'Reference Score Calculation'!B106</f>
        <v>PolyU</v>
      </c>
      <c r="C114" s="13" t="str">
        <f>'Reference Score Calculation'!D106</f>
        <v>電機工程學(榮譽)工學士組合課程 (電機工程學 / 運輸系統工程學)</v>
      </c>
      <c r="D114" s="13" t="str">
        <f>'Reference Score Calculation'!R106</f>
        <v>ELECTRICAL ENGG</v>
      </c>
      <c r="E114" s="13" t="str">
        <f>'Reference Score Calculation'!E106</f>
        <v>Best 5</v>
      </c>
      <c r="F114" s="20">
        <f>'Reference Score Calculation'!G106</f>
        <v>0</v>
      </c>
      <c r="G114" s="20">
        <f>'Reference Score Calculation'!H106</f>
        <v>180</v>
      </c>
      <c r="H114" s="20">
        <f>'Reference Score Calculation'!I106</f>
        <v>176</v>
      </c>
      <c r="I114" s="20">
        <f>計分版!J129</f>
        <v>1.7550000000000002E-8</v>
      </c>
      <c r="J114" s="13">
        <f>'Reference Score Calculation'!T106</f>
        <v>60</v>
      </c>
      <c r="K114" s="28">
        <f>'Reference Score Calculation'!U106</f>
        <v>56</v>
      </c>
      <c r="L114" s="112">
        <f>'Reference Score Calculation'!X106</f>
        <v>10.84</v>
      </c>
      <c r="M114" s="13">
        <f>入學要求!Z115</f>
        <v>0</v>
      </c>
      <c r="Y114" s="12"/>
    </row>
    <row r="115" spans="1:25">
      <c r="A115" s="13" t="str">
        <f>'Reference Score Calculation'!A107</f>
        <v>JS3180</v>
      </c>
      <c r="B115" s="13" t="str">
        <f>'Reference Score Calculation'!B107</f>
        <v>PolyU</v>
      </c>
      <c r="C115" s="13" t="str">
        <f>'Reference Score Calculation'!D107</f>
        <v>資訊及人工智能工程學(榮譽)工學士 / 理學士組合課程 (物聯網 / 人工智能 / 資訊安全)</v>
      </c>
      <c r="D115" s="13" t="str">
        <f>'Reference Score Calculation'!R107</f>
        <v>INFO &amp; AI ENGG</v>
      </c>
      <c r="E115" s="13" t="str">
        <f>'Reference Score Calculation'!E107</f>
        <v>Best 5</v>
      </c>
      <c r="F115" s="20">
        <f>'Reference Score Calculation'!G107</f>
        <v>0</v>
      </c>
      <c r="G115" s="20">
        <f>'Reference Score Calculation'!H107</f>
        <v>191</v>
      </c>
      <c r="H115" s="20">
        <f>'Reference Score Calculation'!I107</f>
        <v>186</v>
      </c>
      <c r="I115" s="20">
        <f>計分版!J130</f>
        <v>1.7550000000000002E-8</v>
      </c>
      <c r="J115" s="13">
        <f>'Reference Score Calculation'!T107</f>
        <v>67</v>
      </c>
      <c r="K115" s="28">
        <f>'Reference Score Calculation'!U107</f>
        <v>57</v>
      </c>
      <c r="L115" s="112">
        <f>'Reference Score Calculation'!X107</f>
        <v>15.73076923076923</v>
      </c>
      <c r="M115" s="13">
        <f>入學要求!Z116</f>
        <v>0</v>
      </c>
      <c r="Y115" s="12"/>
    </row>
    <row r="116" spans="1:25">
      <c r="A116" s="13" t="str">
        <f>'Reference Score Calculation'!A108</f>
        <v>JS3240</v>
      </c>
      <c r="B116" s="13" t="str">
        <f>'Reference Score Calculation'!B108</f>
        <v>PolyU</v>
      </c>
      <c r="C116" s="13" t="str">
        <f>'Reference Score Calculation'!D108</f>
        <v>英文及應用語言學(榮譽)文學士組合課程</v>
      </c>
      <c r="D116" s="13" t="str">
        <f>'Reference Score Calculation'!R108</f>
        <v>ENGL &amp; APP LINGUISTICS</v>
      </c>
      <c r="E116" s="13" t="str">
        <f>'Reference Score Calculation'!E108</f>
        <v>中英Best3</v>
      </c>
      <c r="F116" s="20">
        <f>'Reference Score Calculation'!G108</f>
        <v>0</v>
      </c>
      <c r="G116" s="20">
        <f>'Reference Score Calculation'!H108</f>
        <v>176.5</v>
      </c>
      <c r="H116" s="20">
        <f>'Reference Score Calculation'!I108</f>
        <v>172</v>
      </c>
      <c r="I116" s="20">
        <f>計分版!J131</f>
        <v>1.5349999999999998E-8</v>
      </c>
      <c r="J116" s="13">
        <f>'Reference Score Calculation'!T108</f>
        <v>39</v>
      </c>
      <c r="K116" s="28">
        <f>'Reference Score Calculation'!U108</f>
        <v>30</v>
      </c>
      <c r="L116" s="112">
        <f>'Reference Score Calculation'!X108</f>
        <v>10</v>
      </c>
      <c r="M116" s="13">
        <f>入學要求!Z117</f>
        <v>0</v>
      </c>
      <c r="Y116" s="12"/>
    </row>
    <row r="117" spans="1:25">
      <c r="A117" s="13" t="str">
        <f>'Reference Score Calculation'!A109</f>
        <v>JS3250</v>
      </c>
      <c r="B117" s="13" t="str">
        <f>'Reference Score Calculation'!B109</f>
        <v>PolyU</v>
      </c>
      <c r="C117" s="13" t="str">
        <f>'Reference Score Calculation'!D109</f>
        <v>應用社會科學(榮譽)文學士組合課程 (社會工作 / 社會政策及社會創業)</v>
      </c>
      <c r="D117" s="13" t="str">
        <f>'Reference Score Calculation'!R109</f>
        <v>APPLIED SOC SCI</v>
      </c>
      <c r="E117" s="13" t="str">
        <f>'Reference Score Calculation'!E109</f>
        <v>4C2X</v>
      </c>
      <c r="F117" s="20">
        <f>'Reference Score Calculation'!G109</f>
        <v>0</v>
      </c>
      <c r="G117" s="20">
        <f>'Reference Score Calculation'!H109</f>
        <v>196</v>
      </c>
      <c r="H117" s="20">
        <f>'Reference Score Calculation'!I109</f>
        <v>189</v>
      </c>
      <c r="I117" s="20">
        <f>計分版!J132</f>
        <v>1.4550000000000001E-8</v>
      </c>
      <c r="J117" s="13">
        <f>'Reference Score Calculation'!T109</f>
        <v>46</v>
      </c>
      <c r="K117" s="28">
        <f>'Reference Score Calculation'!U109</f>
        <v>38</v>
      </c>
      <c r="L117" s="112">
        <f>'Reference Score Calculation'!X109</f>
        <v>8.6052631578947363</v>
      </c>
      <c r="M117" s="13">
        <f>入學要求!Z118</f>
        <v>0</v>
      </c>
      <c r="Y117" s="12"/>
    </row>
    <row r="118" spans="1:25">
      <c r="A118" s="13" t="str">
        <f>'Reference Score Calculation'!A110</f>
        <v>JS3290</v>
      </c>
      <c r="B118" s="13" t="str">
        <f>'Reference Score Calculation'!B110</f>
        <v>PolyU</v>
      </c>
      <c r="C118" s="13" t="str">
        <f>'Reference Score Calculation'!D110</f>
        <v>眼科視光學(榮譽)理學士組合課程</v>
      </c>
      <c r="D118" s="13" t="str">
        <f>'Reference Score Calculation'!R110</f>
        <v>OPTOMETRY</v>
      </c>
      <c r="E118" s="13" t="str">
        <f>'Reference Score Calculation'!E110</f>
        <v>Best 6</v>
      </c>
      <c r="F118" s="20">
        <f>'Reference Score Calculation'!G110</f>
        <v>0</v>
      </c>
      <c r="G118" s="20">
        <f>'Reference Score Calculation'!H110</f>
        <v>317.5</v>
      </c>
      <c r="H118" s="20">
        <f>'Reference Score Calculation'!I110</f>
        <v>298.5</v>
      </c>
      <c r="I118" s="20">
        <f>計分版!J133</f>
        <v>1.7550000000000002E-8</v>
      </c>
      <c r="J118" s="13">
        <f>'Reference Score Calculation'!T110</f>
        <v>51</v>
      </c>
      <c r="K118" s="28">
        <f>'Reference Score Calculation'!U110</f>
        <v>64</v>
      </c>
      <c r="L118" s="112">
        <f>'Reference Score Calculation'!X110</f>
        <v>2.2586206896551726</v>
      </c>
      <c r="M118" s="13">
        <f>入學要求!Z119</f>
        <v>0</v>
      </c>
      <c r="Y118" s="12"/>
    </row>
    <row r="119" spans="1:25">
      <c r="A119" s="13" t="str">
        <f>'Reference Score Calculation'!A111</f>
        <v>JS3310</v>
      </c>
      <c r="B119" s="13" t="str">
        <f>'Reference Score Calculation'!B111</f>
        <v>PolyU</v>
      </c>
      <c r="C119" s="13" t="str">
        <f>'Reference Score Calculation'!D111</f>
        <v>酒店及旅遊管理(榮譽)理學士組合課程 (酒店管理 / 智慧旅遊及酒店產業 / 會展及體驗管理)</v>
      </c>
      <c r="D119" s="13" t="str">
        <f>'Reference Score Calculation'!R111</f>
        <v>HOTEL &amp; TOURISM MGT</v>
      </c>
      <c r="E119" s="13" t="str">
        <f>'Reference Score Calculation'!E111</f>
        <v>Best 5</v>
      </c>
      <c r="F119" s="20">
        <f>'Reference Score Calculation'!G111</f>
        <v>0</v>
      </c>
      <c r="G119" s="20">
        <f>'Reference Score Calculation'!H111</f>
        <v>162.5</v>
      </c>
      <c r="H119" s="20">
        <f>'Reference Score Calculation'!I111</f>
        <v>156</v>
      </c>
      <c r="I119" s="20">
        <f>計分版!J134</f>
        <v>1.515E-8</v>
      </c>
      <c r="J119" s="13">
        <f>'Reference Score Calculation'!T111</f>
        <v>81</v>
      </c>
      <c r="K119" s="28">
        <f>'Reference Score Calculation'!U111</f>
        <v>90</v>
      </c>
      <c r="L119" s="112">
        <f>'Reference Score Calculation'!X111</f>
        <v>15.588888888888889</v>
      </c>
      <c r="M119" s="13">
        <f>入學要求!Z120</f>
        <v>0</v>
      </c>
    </row>
    <row r="120" spans="1:25">
      <c r="A120" s="13" t="str">
        <f>'Reference Score Calculation'!A112</f>
        <v>JS3320</v>
      </c>
      <c r="B120" s="13" t="str">
        <f>'Reference Score Calculation'!B112</f>
        <v>PolyU</v>
      </c>
      <c r="C120" s="13" t="str">
        <f>'Reference Score Calculation'!D112</f>
        <v>中國歷史及文化(榮譽)文學士組合課程</v>
      </c>
      <c r="D120" s="13" t="str">
        <f>'Reference Score Calculation'!R112</f>
        <v>CHI HISTORY &amp; CULTURE</v>
      </c>
      <c r="E120" s="13" t="str">
        <f>'Reference Score Calculation'!E112</f>
        <v>中英Best3</v>
      </c>
      <c r="F120" s="20">
        <f>'Reference Score Calculation'!G112</f>
        <v>0</v>
      </c>
      <c r="G120" s="20">
        <f>'Reference Score Calculation'!H112</f>
        <v>201</v>
      </c>
      <c r="H120" s="20">
        <f>'Reference Score Calculation'!I112</f>
        <v>180</v>
      </c>
      <c r="I120" s="20">
        <f>計分版!J135</f>
        <v>1.5349999999999998E-8</v>
      </c>
      <c r="J120" s="13">
        <f>'Reference Score Calculation'!T112</f>
        <v>20</v>
      </c>
      <c r="K120" s="28">
        <f>'Reference Score Calculation'!U112</f>
        <v>22</v>
      </c>
      <c r="L120" s="112">
        <f>'Reference Score Calculation'!X112</f>
        <v>17.944444444444443</v>
      </c>
      <c r="M120" s="13">
        <f>入學要求!Z121</f>
        <v>0</v>
      </c>
    </row>
    <row r="121" spans="1:25">
      <c r="A121" s="13" t="str">
        <f>'Reference Score Calculation'!A113</f>
        <v>JS3330</v>
      </c>
      <c r="B121" s="13" t="str">
        <f>'Reference Score Calculation'!B113</f>
        <v>PolyU</v>
      </c>
      <c r="C121" s="13" t="str">
        <f>'Reference Score Calculation'!D113</f>
        <v>語言科學、翻譯學及言語治療(榮譽)文學士/理學士組合課程 (語言學及翻譯學 / 語言科學與語言數據分析 / 言語治療)</v>
      </c>
      <c r="D121" s="13" t="str">
        <f>'Reference Score Calculation'!R113</f>
        <v>LANG SCI, TRANSLAT, &amp; ST</v>
      </c>
      <c r="E121" s="13" t="str">
        <f>'Reference Score Calculation'!E113</f>
        <v>Best 5</v>
      </c>
      <c r="F121" s="20">
        <f>'Reference Score Calculation'!G113</f>
        <v>0</v>
      </c>
      <c r="G121" s="20">
        <f>'Reference Score Calculation'!H113</f>
        <v>221.5</v>
      </c>
      <c r="H121" s="20">
        <f>'Reference Score Calculation'!I113</f>
        <v>206</v>
      </c>
      <c r="I121" s="20">
        <f>計分版!J136</f>
        <v>1.7250000000000002E-8</v>
      </c>
      <c r="J121" s="13">
        <f>'Reference Score Calculation'!T113</f>
        <v>37</v>
      </c>
      <c r="K121" s="28">
        <f>'Reference Score Calculation'!U113</f>
        <v>41</v>
      </c>
      <c r="L121" s="112">
        <f>'Reference Score Calculation'!X113</f>
        <v>9.2249999999999996</v>
      </c>
      <c r="M121" s="13">
        <f>入學要求!Z122</f>
        <v>0</v>
      </c>
    </row>
    <row r="122" spans="1:25">
      <c r="A122" s="13" t="str">
        <f>'Reference Score Calculation'!A114</f>
        <v>JS3337</v>
      </c>
      <c r="B122" s="13" t="str">
        <f>'Reference Score Calculation'!B114</f>
        <v>PolyU</v>
      </c>
      <c r="C122" s="13" t="str">
        <f>'Reference Score Calculation'!D114</f>
        <v>護理學(榮譽)理學士組合課程 - 精神健康護理學(榮譽)理學士</v>
      </c>
      <c r="D122" s="13" t="str">
        <f>'Reference Score Calculation'!R114</f>
        <v>MENTAL HEALTH NURSING</v>
      </c>
      <c r="E122" s="13" t="str">
        <f>'Reference Score Calculation'!E114</f>
        <v>4C2X</v>
      </c>
      <c r="F122" s="20">
        <f>'Reference Score Calculation'!G114</f>
        <v>0</v>
      </c>
      <c r="G122" s="20">
        <f>'Reference Score Calculation'!H114</f>
        <v>243</v>
      </c>
      <c r="H122" s="20">
        <f>'Reference Score Calculation'!I114</f>
        <v>238</v>
      </c>
      <c r="I122" s="20">
        <f>計分版!J137</f>
        <v>1.2500000000000001E-8</v>
      </c>
      <c r="J122" s="13">
        <f>'Reference Score Calculation'!T114</f>
        <v>70</v>
      </c>
      <c r="K122" s="28">
        <f>'Reference Score Calculation'!U114</f>
        <v>70</v>
      </c>
      <c r="L122" s="112">
        <f>'Reference Score Calculation'!X114</f>
        <v>5.1428571428571432</v>
      </c>
      <c r="M122" s="13">
        <f>入學要求!Z123</f>
        <v>0</v>
      </c>
    </row>
    <row r="123" spans="1:25">
      <c r="A123" s="13" t="str">
        <f>'Reference Score Calculation'!A115</f>
        <v>JS3478</v>
      </c>
      <c r="B123" s="13" t="str">
        <f>'Reference Score Calculation'!B115</f>
        <v>PolyU</v>
      </c>
      <c r="C123" s="13" t="str">
        <f>'Reference Score Calculation'!D115</f>
        <v>醫療化驗科學及放射學(榮譽)理學士組合課程 - 醫療化驗科學(榮譽)理學士</v>
      </c>
      <c r="D123" s="13" t="str">
        <f>'Reference Score Calculation'!R115</f>
        <v>MED LAB SCI</v>
      </c>
      <c r="E123" s="13" t="str">
        <f>'Reference Score Calculation'!E115</f>
        <v>Best 6</v>
      </c>
      <c r="F123" s="20">
        <f>'Reference Score Calculation'!G115</f>
        <v>0</v>
      </c>
      <c r="G123" s="20">
        <f>'Reference Score Calculation'!H115</f>
        <v>330</v>
      </c>
      <c r="H123" s="20">
        <f>'Reference Score Calculation'!I115</f>
        <v>328.5</v>
      </c>
      <c r="I123" s="20">
        <f>計分版!J138</f>
        <v>1.8750000000000002E-8</v>
      </c>
      <c r="J123" s="13">
        <f>'Reference Score Calculation'!T115</f>
        <v>60</v>
      </c>
      <c r="K123" s="28">
        <f>'Reference Score Calculation'!U115</f>
        <v>67</v>
      </c>
      <c r="L123" s="112">
        <f>'Reference Score Calculation'!X115</f>
        <v>5.6060606060606064</v>
      </c>
      <c r="M123" s="13">
        <f>入學要求!Z124</f>
        <v>0</v>
      </c>
    </row>
    <row r="124" spans="1:25">
      <c r="A124" s="13" t="str">
        <f>'Reference Score Calculation'!A116</f>
        <v>JS3557</v>
      </c>
      <c r="B124" s="13" t="str">
        <f>'Reference Score Calculation'!B116</f>
        <v>PolyU</v>
      </c>
      <c r="C124" s="13" t="str">
        <f>'Reference Score Calculation'!D116</f>
        <v>產品及工業工程(榮譽)工學士組合課程 (產品工程兼市場學 / 工業及系統工程學)</v>
      </c>
      <c r="D124" s="13" t="str">
        <f>'Reference Score Calculation'!R116</f>
        <v>PROD &amp; INDUSTRIAL ENGG</v>
      </c>
      <c r="E124" s="13" t="str">
        <f>'Reference Score Calculation'!E116</f>
        <v>Best 5</v>
      </c>
      <c r="F124" s="20">
        <f>'Reference Score Calculation'!G116</f>
        <v>0</v>
      </c>
      <c r="G124" s="20">
        <f>'Reference Score Calculation'!H116</f>
        <v>146</v>
      </c>
      <c r="H124" s="20">
        <f>'Reference Score Calculation'!I116</f>
        <v>144.5</v>
      </c>
      <c r="I124" s="20">
        <f>計分版!J139</f>
        <v>1.5049999999999999E-8</v>
      </c>
      <c r="J124" s="13">
        <f>'Reference Score Calculation'!T116</f>
        <v>52</v>
      </c>
      <c r="K124" s="28">
        <f>'Reference Score Calculation'!U116</f>
        <v>45</v>
      </c>
      <c r="L124" s="112">
        <f>'Reference Score Calculation'!X116</f>
        <v>13.766666666666667</v>
      </c>
      <c r="M124" s="13">
        <f>入學要求!Z125</f>
        <v>0</v>
      </c>
    </row>
    <row r="125" spans="1:25">
      <c r="A125" s="13" t="str">
        <f>'Reference Score Calculation'!A117</f>
        <v>JS3569</v>
      </c>
      <c r="B125" s="13" t="str">
        <f>'Reference Score Calculation'!B117</f>
        <v>PolyU</v>
      </c>
      <c r="C125" s="13" t="str">
        <f>'Reference Score Calculation'!D117</f>
        <v>設計學(榮譽)文學士組合課程 (廣告設計/環境設計/信息設計/交互設計/室内設計/媒體設計/產品設計/服務創新設計/社會創新設計)</v>
      </c>
      <c r="D125" s="13" t="str">
        <f>'Reference Score Calculation'!R117</f>
        <v>DESIGN</v>
      </c>
      <c r="E125" s="13" t="str">
        <f>'Reference Score Calculation'!E117</f>
        <v>Best 5</v>
      </c>
      <c r="F125" s="20">
        <f>'Reference Score Calculation'!G117</f>
        <v>0</v>
      </c>
      <c r="G125" s="20">
        <f>'Reference Score Calculation'!H117</f>
        <v>220</v>
      </c>
      <c r="H125" s="20">
        <f>'Reference Score Calculation'!I117</f>
        <v>210</v>
      </c>
      <c r="I125" s="20">
        <f>計分版!J140</f>
        <v>1.625E-8</v>
      </c>
      <c r="J125" s="13">
        <f>'Reference Score Calculation'!T117</f>
        <v>80</v>
      </c>
      <c r="K125" s="28">
        <f>'Reference Score Calculation'!U117</f>
        <v>74</v>
      </c>
      <c r="L125" s="112">
        <f>'Reference Score Calculation'!X117</f>
        <v>13.027027027027026</v>
      </c>
      <c r="M125" s="13">
        <f>入學要求!Z126</f>
        <v>0</v>
      </c>
    </row>
    <row r="126" spans="1:25">
      <c r="A126" s="13" t="str">
        <f>'Reference Score Calculation'!A118</f>
        <v>JS3571</v>
      </c>
      <c r="B126" s="13" t="str">
        <f>'Reference Score Calculation'!B118</f>
        <v>PolyU</v>
      </c>
      <c r="C126" s="13" t="str">
        <f>'Reference Score Calculation'!D118</f>
        <v>物流及企業工程(榮譽)理學士組合課程 (物流工程兼管理學 / 企業工程兼管理學)</v>
      </c>
      <c r="D126" s="13" t="str">
        <f>'Reference Score Calculation'!R118</f>
        <v>LOG &amp; ENTERPRISE ENGG</v>
      </c>
      <c r="E126" s="13" t="str">
        <f>'Reference Score Calculation'!E118</f>
        <v>Best 5</v>
      </c>
      <c r="F126" s="20">
        <f>'Reference Score Calculation'!G118</f>
        <v>0</v>
      </c>
      <c r="G126" s="20">
        <f>'Reference Score Calculation'!H118</f>
        <v>146</v>
      </c>
      <c r="H126" s="20">
        <f>'Reference Score Calculation'!I118</f>
        <v>142</v>
      </c>
      <c r="I126" s="20">
        <f>計分版!J141</f>
        <v>1.5049999999999999E-8</v>
      </c>
      <c r="J126" s="13">
        <f>'Reference Score Calculation'!T118</f>
        <v>49</v>
      </c>
      <c r="K126" s="28">
        <f>'Reference Score Calculation'!U118</f>
        <v>40</v>
      </c>
      <c r="L126" s="112">
        <f>'Reference Score Calculation'!X118</f>
        <v>11.703703703703704</v>
      </c>
      <c r="M126" s="13">
        <f>入學要求!Z127</f>
        <v>0</v>
      </c>
    </row>
    <row r="127" spans="1:25">
      <c r="A127" s="13" t="str">
        <f>'Reference Score Calculation'!A119</f>
        <v>JS3612</v>
      </c>
      <c r="B127" s="13" t="str">
        <f>'Reference Score Calculation'!B119</f>
        <v>PolyU</v>
      </c>
      <c r="C127" s="13" t="str">
        <f>'Reference Score Calculation'!D119</f>
        <v>醫療化驗科學及放射學(榮譽)理學士組合課程 - 放射學(榮譽)理學士</v>
      </c>
      <c r="D127" s="13" t="str">
        <f>'Reference Score Calculation'!R119</f>
        <v>RADIOGRAPHY</v>
      </c>
      <c r="E127" s="13" t="str">
        <f>'Reference Score Calculation'!E119</f>
        <v>Best 6</v>
      </c>
      <c r="F127" s="20">
        <f>'Reference Score Calculation'!G119</f>
        <v>0</v>
      </c>
      <c r="G127" s="20">
        <f>'Reference Score Calculation'!H119</f>
        <v>360</v>
      </c>
      <c r="H127" s="20">
        <f>'Reference Score Calculation'!I119</f>
        <v>345</v>
      </c>
      <c r="I127" s="20">
        <f>計分版!J142</f>
        <v>1.7250000000000002E-8</v>
      </c>
      <c r="J127" s="13">
        <f>'Reference Score Calculation'!T119</f>
        <v>115</v>
      </c>
      <c r="K127" s="28">
        <f>'Reference Score Calculation'!U119</f>
        <v>120</v>
      </c>
      <c r="L127" s="112">
        <f>'Reference Score Calculation'!X119</f>
        <v>4.6218487394957979</v>
      </c>
      <c r="M127" s="13">
        <f>入學要求!Z128</f>
        <v>0</v>
      </c>
    </row>
    <row r="128" spans="1:25">
      <c r="A128" s="13" t="str">
        <f>'Reference Score Calculation'!A120</f>
        <v>JS3624</v>
      </c>
      <c r="B128" s="13" t="str">
        <f>'Reference Score Calculation'!B120</f>
        <v>PolyU</v>
      </c>
      <c r="C128" s="13" t="str">
        <f>'Reference Score Calculation'!D120</f>
        <v>康復治療科學(榮譽)理學士組合課程 - 職業治療學(榮譽)理學士</v>
      </c>
      <c r="D128" s="13" t="str">
        <f>'Reference Score Calculation'!R120</f>
        <v>OCCUPATIONAL THERAPY</v>
      </c>
      <c r="E128" s="13" t="str">
        <f>'Reference Score Calculation'!E120</f>
        <v>Best 6</v>
      </c>
      <c r="F128" s="20">
        <f>'Reference Score Calculation'!G120</f>
        <v>0</v>
      </c>
      <c r="G128" s="20">
        <f>'Reference Score Calculation'!H120</f>
        <v>312</v>
      </c>
      <c r="H128" s="20">
        <f>'Reference Score Calculation'!I120</f>
        <v>307.5</v>
      </c>
      <c r="I128" s="20">
        <f>計分版!J143</f>
        <v>1.6350000000000001E-8</v>
      </c>
      <c r="J128" s="13">
        <f>'Reference Score Calculation'!T120</f>
        <v>100</v>
      </c>
      <c r="K128" s="28">
        <f>'Reference Score Calculation'!U120</f>
        <v>93</v>
      </c>
      <c r="L128" s="112">
        <f>'Reference Score Calculation'!X120</f>
        <v>4.032258064516129</v>
      </c>
      <c r="M128" s="13">
        <f>入學要求!Z129</f>
        <v>0</v>
      </c>
    </row>
    <row r="129" spans="1:13">
      <c r="A129" s="13" t="str">
        <f>'Reference Score Calculation'!A121</f>
        <v>JS3636</v>
      </c>
      <c r="B129" s="13" t="str">
        <f>'Reference Score Calculation'!B121</f>
        <v>PolyU</v>
      </c>
      <c r="C129" s="13" t="str">
        <f>'Reference Score Calculation'!D121</f>
        <v>康復治療科學(榮譽)理學士組合課程 - 物理治療學(榮譽)理學士</v>
      </c>
      <c r="D129" s="13" t="str">
        <f>'Reference Score Calculation'!R121</f>
        <v>PHYSIOTHERAPY</v>
      </c>
      <c r="E129" s="13" t="str">
        <f>'Reference Score Calculation'!E121</f>
        <v>Best 6</v>
      </c>
      <c r="F129" s="20">
        <f>'Reference Score Calculation'!G121</f>
        <v>0</v>
      </c>
      <c r="G129" s="20">
        <f>'Reference Score Calculation'!H121</f>
        <v>337.5</v>
      </c>
      <c r="H129" s="20">
        <f>'Reference Score Calculation'!I121</f>
        <v>327</v>
      </c>
      <c r="I129" s="20">
        <f>計分版!J144</f>
        <v>1.5349999999999998E-8</v>
      </c>
      <c r="J129" s="13">
        <f>'Reference Score Calculation'!T121</f>
        <v>150</v>
      </c>
      <c r="K129" s="28">
        <f>'Reference Score Calculation'!U121</f>
        <v>145</v>
      </c>
      <c r="L129" s="112">
        <f>'Reference Score Calculation'!X121</f>
        <v>3.4788732394366195</v>
      </c>
      <c r="M129" s="13">
        <f>入學要求!Z130</f>
        <v>0</v>
      </c>
    </row>
    <row r="130" spans="1:13">
      <c r="A130" s="13" t="str">
        <f>'Reference Score Calculation'!A122</f>
        <v>JS3648</v>
      </c>
      <c r="B130" s="13" t="str">
        <f>'Reference Score Calculation'!B122</f>
        <v>PolyU</v>
      </c>
      <c r="C130" s="13" t="str">
        <f>'Reference Score Calculation'!D122</f>
        <v>護理學(榮譽)理學士組合課程 - 護理學(榮譽)理學士</v>
      </c>
      <c r="D130" s="13" t="str">
        <f>'Reference Score Calculation'!R122</f>
        <v>NURSING</v>
      </c>
      <c r="E130" s="13" t="str">
        <f>'Reference Score Calculation'!E122</f>
        <v>4C2X</v>
      </c>
      <c r="F130" s="20">
        <f>'Reference Score Calculation'!G122</f>
        <v>0</v>
      </c>
      <c r="G130" s="20">
        <f>'Reference Score Calculation'!H122</f>
        <v>258.5</v>
      </c>
      <c r="H130" s="20">
        <f>'Reference Score Calculation'!I122</f>
        <v>253.5</v>
      </c>
      <c r="I130" s="20">
        <f>計分版!J145</f>
        <v>1.2500000000000001E-8</v>
      </c>
      <c r="J130" s="13">
        <f>'Reference Score Calculation'!T122</f>
        <v>193</v>
      </c>
      <c r="K130" s="28">
        <f>'Reference Score Calculation'!U122</f>
        <v>193</v>
      </c>
      <c r="L130" s="112">
        <f>'Reference Score Calculation'!X122</f>
        <v>6.1141304347826084</v>
      </c>
      <c r="M130" s="13">
        <f>入學要求!Z131</f>
        <v>0</v>
      </c>
    </row>
    <row r="131" spans="1:13">
      <c r="A131" s="13" t="str">
        <f>'Reference Score Calculation'!A123</f>
        <v>JS3741</v>
      </c>
      <c r="B131" s="13" t="str">
        <f>'Reference Score Calculation'!B123</f>
        <v>PolyU</v>
      </c>
      <c r="C131" s="13" t="str">
        <f>'Reference Score Calculation'!D123</f>
        <v>機械工程學(榮譽)工學士組合課程 (機械工程學 / 產品分析及工程設計學)</v>
      </c>
      <c r="D131" s="13" t="str">
        <f>'Reference Score Calculation'!R123</f>
        <v>MECHANICAL ENGG</v>
      </c>
      <c r="E131" s="13" t="str">
        <f>'Reference Score Calculation'!E123</f>
        <v>Best 5</v>
      </c>
      <c r="F131" s="20">
        <f>'Reference Score Calculation'!G123</f>
        <v>0</v>
      </c>
      <c r="G131" s="20">
        <f>'Reference Score Calculation'!H123</f>
        <v>180</v>
      </c>
      <c r="H131" s="20">
        <f>'Reference Score Calculation'!I123</f>
        <v>178</v>
      </c>
      <c r="I131" s="20">
        <f>計分版!J146</f>
        <v>1.7550000000000002E-8</v>
      </c>
      <c r="J131" s="13">
        <f>'Reference Score Calculation'!T123</f>
        <v>59</v>
      </c>
      <c r="K131" s="28">
        <f>'Reference Score Calculation'!U123</f>
        <v>49</v>
      </c>
      <c r="L131" s="112">
        <f>'Reference Score Calculation'!X123</f>
        <v>14.521739130434783</v>
      </c>
      <c r="M131" s="13">
        <f>入學要求!Z132</f>
        <v>0</v>
      </c>
    </row>
    <row r="132" spans="1:13">
      <c r="A132" s="13" t="str">
        <f>'Reference Score Calculation'!A124</f>
        <v>JS3868</v>
      </c>
      <c r="B132" s="13" t="str">
        <f>'Reference Score Calculation'!B124</f>
        <v>PolyU</v>
      </c>
      <c r="C132" s="13" t="str">
        <f>'Reference Score Calculation'!D124</f>
        <v>電子計算及人工智能(榮譽)理學士組合課程 (計算機科學 / 金融科技及人工智能 / 企業信息管理)</v>
      </c>
      <c r="D132" s="13" t="str">
        <f>'Reference Score Calculation'!R124</f>
        <v>COMPUTING &amp; AI</v>
      </c>
      <c r="E132" s="13" t="str">
        <f>'Reference Score Calculation'!E124</f>
        <v>Best 5</v>
      </c>
      <c r="F132" s="20">
        <f>'Reference Score Calculation'!G124</f>
        <v>0</v>
      </c>
      <c r="G132" s="20">
        <f>'Reference Score Calculation'!H124</f>
        <v>208</v>
      </c>
      <c r="H132" s="20">
        <f>'Reference Score Calculation'!I124</f>
        <v>195</v>
      </c>
      <c r="I132" s="20">
        <f>計分版!J147</f>
        <v>1.7550000000000002E-8</v>
      </c>
      <c r="J132" s="13">
        <f>'Reference Score Calculation'!T124</f>
        <v>113</v>
      </c>
      <c r="K132" s="28">
        <f>'Reference Score Calculation'!U124</f>
        <v>87</v>
      </c>
      <c r="L132" s="112">
        <f>'Reference Score Calculation'!X124</f>
        <v>12.144578313253012</v>
      </c>
      <c r="M132" s="13">
        <f>入學要求!Z133</f>
        <v>0</v>
      </c>
    </row>
    <row r="133" spans="1:13">
      <c r="A133" s="13" t="str">
        <f>'Reference Score Calculation'!A125</f>
        <v>JS3910</v>
      </c>
      <c r="B133" s="13" t="str">
        <f>'Reference Score Calculation'!B125</f>
        <v>PolyU</v>
      </c>
      <c r="C133" s="13" t="str">
        <f>'Reference Score Calculation'!D125</f>
        <v>食品科技與食物安全(榮譽)理學士組合課程</v>
      </c>
      <c r="D133" s="13" t="str">
        <f>'Reference Score Calculation'!R125</f>
        <v>FOOD SAFETY &amp; TECH</v>
      </c>
      <c r="E133" s="13" t="str">
        <f>'Reference Score Calculation'!E125</f>
        <v>Best 5</v>
      </c>
      <c r="F133" s="20">
        <f>'Reference Score Calculation'!G125</f>
        <v>0</v>
      </c>
      <c r="G133" s="20">
        <f>'Reference Score Calculation'!H125</f>
        <v>188</v>
      </c>
      <c r="H133" s="20">
        <f>'Reference Score Calculation'!I125</f>
        <v>179</v>
      </c>
      <c r="I133" s="20">
        <f>計分版!J148</f>
        <v>1.7E-8</v>
      </c>
      <c r="J133" s="13">
        <f>'Reference Score Calculation'!T125</f>
        <v>37</v>
      </c>
      <c r="K133" s="28" t="str">
        <f>'Reference Score Calculation'!U125</f>
        <v>/</v>
      </c>
      <c r="L133" s="112" t="str">
        <f>'Reference Score Calculation'!X125</f>
        <v>新科目</v>
      </c>
      <c r="M133" s="13">
        <f>入學要求!Z134</f>
        <v>0</v>
      </c>
    </row>
    <row r="134" spans="1:13">
      <c r="D134" s="13"/>
      <c r="K134" s="28"/>
    </row>
    <row r="135" spans="1:13">
      <c r="D135" s="13"/>
      <c r="K135" s="28"/>
    </row>
    <row r="136" spans="1:13">
      <c r="A136" s="13" t="str">
        <f>'Reference Score Calculation'!A128</f>
        <v>JS4006</v>
      </c>
      <c r="B136" s="13" t="str">
        <f>'Reference Score Calculation'!B128</f>
        <v>CUHK</v>
      </c>
      <c r="C136" s="13" t="str">
        <f>'Reference Score Calculation'!D128</f>
        <v>人類學</v>
      </c>
      <c r="D136" s="13" t="str">
        <f>'Reference Score Calculation'!R128</f>
        <v>ANTHROPOLOGY</v>
      </c>
      <c r="E136" s="13" t="str">
        <f>'Reference Score Calculation'!E128</f>
        <v>Best 5</v>
      </c>
      <c r="F136" s="20">
        <f>'Reference Score Calculation'!G128</f>
        <v>25</v>
      </c>
      <c r="G136" s="20">
        <f>'Reference Score Calculation'!H128</f>
        <v>24.5</v>
      </c>
      <c r="H136" s="20">
        <f>'Reference Score Calculation'!I128</f>
        <v>23</v>
      </c>
      <c r="I136" s="20">
        <f>計分版!J151</f>
        <v>3.9500000000000006E-9</v>
      </c>
      <c r="J136" s="13">
        <f>'Reference Score Calculation'!T128</f>
        <v>18</v>
      </c>
      <c r="K136" s="28">
        <f>'Reference Score Calculation'!U128</f>
        <v>25</v>
      </c>
      <c r="L136" s="112">
        <f>'Reference Score Calculation'!X128</f>
        <v>8</v>
      </c>
      <c r="M136" s="13">
        <f>入學要求!Z137</f>
        <v>0</v>
      </c>
    </row>
    <row r="137" spans="1:13">
      <c r="A137" s="13" t="str">
        <f>'Reference Score Calculation'!A129</f>
        <v>JS4018</v>
      </c>
      <c r="B137" s="13" t="str">
        <f>'Reference Score Calculation'!B129</f>
        <v>CUHK</v>
      </c>
      <c r="C137" s="13" t="str">
        <f>'Reference Score Calculation'!D129</f>
        <v>中國語言及文學</v>
      </c>
      <c r="D137" s="13" t="str">
        <f>'Reference Score Calculation'!R129</f>
        <v>CHI LANG &amp; LIT</v>
      </c>
      <c r="E137" s="13" t="str">
        <f>'Reference Score Calculation'!E129</f>
        <v>Best 5</v>
      </c>
      <c r="F137" s="20">
        <f>'Reference Score Calculation'!G129</f>
        <v>33.1</v>
      </c>
      <c r="G137" s="20">
        <f>'Reference Score Calculation'!H129</f>
        <v>30.4</v>
      </c>
      <c r="H137" s="20">
        <f>'Reference Score Calculation'!I129</f>
        <v>29.2</v>
      </c>
      <c r="I137" s="20">
        <f>計分版!J152</f>
        <v>3.9500000000000006E-9</v>
      </c>
      <c r="J137" s="13">
        <f>'Reference Score Calculation'!T129</f>
        <v>79</v>
      </c>
      <c r="K137" s="28">
        <f>'Reference Score Calculation'!U129</f>
        <v>82</v>
      </c>
      <c r="L137" s="112">
        <f>'Reference Score Calculation'!X129</f>
        <v>5.1097560975609753</v>
      </c>
      <c r="M137" s="13">
        <f>入學要求!Z138</f>
        <v>0</v>
      </c>
    </row>
    <row r="138" spans="1:13">
      <c r="A138" s="13" t="str">
        <f>'Reference Score Calculation'!A130</f>
        <v>JS4020</v>
      </c>
      <c r="B138" s="13" t="str">
        <f>'Reference Score Calculation'!B130</f>
        <v>CUHK</v>
      </c>
      <c r="C138" s="13" t="str">
        <f>'Reference Score Calculation'!D130</f>
        <v>文化研究</v>
      </c>
      <c r="D138" s="13" t="str">
        <f>'Reference Score Calculation'!R130</f>
        <v>CULTURAL STUDIES</v>
      </c>
      <c r="E138" s="13" t="str">
        <f>'Reference Score Calculation'!E130</f>
        <v>Best 5</v>
      </c>
      <c r="F138" s="20">
        <f>'Reference Score Calculation'!G130</f>
        <v>24.5</v>
      </c>
      <c r="G138" s="20">
        <f>'Reference Score Calculation'!H130</f>
        <v>23.5</v>
      </c>
      <c r="H138" s="20">
        <f>'Reference Score Calculation'!I130</f>
        <v>23.5</v>
      </c>
      <c r="I138" s="20">
        <f>計分版!J153</f>
        <v>3.9500000000000006E-9</v>
      </c>
      <c r="J138" s="13">
        <f>'Reference Score Calculation'!T130</f>
        <v>17</v>
      </c>
      <c r="K138" s="28">
        <f>'Reference Score Calculation'!U130</f>
        <v>15</v>
      </c>
      <c r="L138" s="112">
        <f>'Reference Score Calculation'!X130</f>
        <v>13.066666666666666</v>
      </c>
      <c r="M138" s="13">
        <f>入學要求!Z139</f>
        <v>0</v>
      </c>
    </row>
    <row r="139" spans="1:13">
      <c r="A139" s="13" t="str">
        <f>'Reference Score Calculation'!A131</f>
        <v>JS4022</v>
      </c>
      <c r="B139" s="13" t="str">
        <f>'Reference Score Calculation'!B131</f>
        <v>CUHK</v>
      </c>
      <c r="C139" s="13" t="str">
        <f>'Reference Score Calculation'!D131</f>
        <v>文化管理</v>
      </c>
      <c r="D139" s="13" t="str">
        <f>'Reference Score Calculation'!R131</f>
        <v>CULTURAL MANAGEMENT</v>
      </c>
      <c r="E139" s="13" t="str">
        <f>'Reference Score Calculation'!E131</f>
        <v>Best 5</v>
      </c>
      <c r="F139" s="20">
        <f>'Reference Score Calculation'!G131</f>
        <v>26</v>
      </c>
      <c r="G139" s="20">
        <f>'Reference Score Calculation'!H131</f>
        <v>25</v>
      </c>
      <c r="H139" s="20">
        <f>'Reference Score Calculation'!I131</f>
        <v>24.5</v>
      </c>
      <c r="I139" s="20">
        <f>計分版!J154</f>
        <v>3.9500000000000006E-9</v>
      </c>
      <c r="J139" s="13">
        <f>'Reference Score Calculation'!T131</f>
        <v>20</v>
      </c>
      <c r="K139" s="28">
        <f>'Reference Score Calculation'!U131</f>
        <v>22</v>
      </c>
      <c r="L139" s="112">
        <f>'Reference Score Calculation'!X131</f>
        <v>6.4545454545454541</v>
      </c>
      <c r="M139" s="13">
        <f>入學要求!Z140</f>
        <v>0</v>
      </c>
    </row>
    <row r="140" spans="1:13">
      <c r="A140" s="13" t="str">
        <f>'Reference Score Calculation'!A132</f>
        <v>JS4032</v>
      </c>
      <c r="B140" s="13" t="str">
        <f>'Reference Score Calculation'!B132</f>
        <v>CUHK</v>
      </c>
      <c r="C140" s="13" t="str">
        <f>'Reference Score Calculation'!D132</f>
        <v>英文</v>
      </c>
      <c r="D140" s="13" t="str">
        <f>'Reference Score Calculation'!R132</f>
        <v>ENGLISH</v>
      </c>
      <c r="E140" s="13" t="str">
        <f>'Reference Score Calculation'!E132</f>
        <v>Best 5</v>
      </c>
      <c r="F140" s="20">
        <f>'Reference Score Calculation'!G132</f>
        <v>27.75</v>
      </c>
      <c r="G140" s="20">
        <f>'Reference Score Calculation'!H132</f>
        <v>26.5</v>
      </c>
      <c r="H140" s="20">
        <f>'Reference Score Calculation'!I132</f>
        <v>25.75</v>
      </c>
      <c r="I140" s="20">
        <f>計分版!J155</f>
        <v>3.9500000000000006E-9</v>
      </c>
      <c r="J140" s="13">
        <f>'Reference Score Calculation'!T132</f>
        <v>55</v>
      </c>
      <c r="K140" s="28">
        <f>'Reference Score Calculation'!U132</f>
        <v>52</v>
      </c>
      <c r="L140" s="112">
        <f>'Reference Score Calculation'!X132</f>
        <v>6.75</v>
      </c>
      <c r="M140" s="13">
        <f>入學要求!Z141</f>
        <v>0</v>
      </c>
    </row>
    <row r="141" spans="1:13">
      <c r="A141" s="13" t="str">
        <f>'Reference Score Calculation'!A133</f>
        <v>JS4044</v>
      </c>
      <c r="B141" s="13" t="str">
        <f>'Reference Score Calculation'!B133</f>
        <v>CUHK</v>
      </c>
      <c r="C141" s="13" t="str">
        <f>'Reference Score Calculation'!D133</f>
        <v>藝術</v>
      </c>
      <c r="D141" s="13" t="str">
        <f>'Reference Score Calculation'!R133</f>
        <v>FINE ARTS</v>
      </c>
      <c r="E141" s="13" t="str">
        <f>'Reference Score Calculation'!E133</f>
        <v>Best 5</v>
      </c>
      <c r="F141" s="20">
        <f>'Reference Score Calculation'!G133</f>
        <v>29</v>
      </c>
      <c r="G141" s="20">
        <f>'Reference Score Calculation'!H133</f>
        <v>24.5</v>
      </c>
      <c r="H141" s="20">
        <f>'Reference Score Calculation'!I133</f>
        <v>21.5</v>
      </c>
      <c r="I141" s="20">
        <f>計分版!J156</f>
        <v>3.9500000000000006E-9</v>
      </c>
      <c r="J141" s="13">
        <f>'Reference Score Calculation'!T133</f>
        <v>19</v>
      </c>
      <c r="K141" s="28">
        <f>'Reference Score Calculation'!U133</f>
        <v>21</v>
      </c>
      <c r="L141" s="112">
        <f>'Reference Score Calculation'!X133</f>
        <v>13</v>
      </c>
      <c r="M141" s="13">
        <f>入學要求!Z142</f>
        <v>0</v>
      </c>
    </row>
    <row r="142" spans="1:13">
      <c r="A142" s="13" t="str">
        <f>'Reference Score Calculation'!A134</f>
        <v>JS4056</v>
      </c>
      <c r="B142" s="13" t="str">
        <f>'Reference Score Calculation'!B134</f>
        <v>CUHK</v>
      </c>
      <c r="C142" s="13" t="str">
        <f>'Reference Score Calculation'!D134</f>
        <v>歷史</v>
      </c>
      <c r="D142" s="13" t="str">
        <f>'Reference Score Calculation'!R134</f>
        <v>HISTORY</v>
      </c>
      <c r="E142" s="13" t="str">
        <f>'Reference Score Calculation'!E134</f>
        <v>Best 5</v>
      </c>
      <c r="F142" s="20">
        <f>'Reference Score Calculation'!G134</f>
        <v>30.5</v>
      </c>
      <c r="G142" s="20">
        <f>'Reference Score Calculation'!H134</f>
        <v>27.5</v>
      </c>
      <c r="H142" s="20">
        <f>'Reference Score Calculation'!I134</f>
        <v>26</v>
      </c>
      <c r="I142" s="20">
        <f>計分版!J157</f>
        <v>3.9500000000000006E-9</v>
      </c>
      <c r="J142" s="13">
        <f>'Reference Score Calculation'!T134</f>
        <v>48</v>
      </c>
      <c r="K142" s="28">
        <f>'Reference Score Calculation'!U134</f>
        <v>53</v>
      </c>
      <c r="L142" s="112">
        <f>'Reference Score Calculation'!X134</f>
        <v>8.1320754716981138</v>
      </c>
      <c r="M142" s="13">
        <f>入學要求!Z143</f>
        <v>0</v>
      </c>
    </row>
    <row r="143" spans="1:13">
      <c r="A143" s="13" t="str">
        <f>'Reference Score Calculation'!A135</f>
        <v>JS4068</v>
      </c>
      <c r="B143" s="13" t="str">
        <f>'Reference Score Calculation'!B135</f>
        <v>CUHK</v>
      </c>
      <c r="C143" s="13" t="str">
        <f>'Reference Score Calculation'!D135</f>
        <v>日本研究</v>
      </c>
      <c r="D143" s="13" t="str">
        <f>'Reference Score Calculation'!R135</f>
        <v>JAPANESE STUDIES</v>
      </c>
      <c r="E143" s="13" t="str">
        <f>'Reference Score Calculation'!E135</f>
        <v>Best 5</v>
      </c>
      <c r="F143" s="20">
        <f>'Reference Score Calculation'!G135</f>
        <v>26</v>
      </c>
      <c r="G143" s="20">
        <f>'Reference Score Calculation'!H135</f>
        <v>24.5</v>
      </c>
      <c r="H143" s="20">
        <f>'Reference Score Calculation'!I135</f>
        <v>24.5</v>
      </c>
      <c r="I143" s="20">
        <f>計分版!J158</f>
        <v>3.9500000000000006E-9</v>
      </c>
      <c r="J143" s="13">
        <f>'Reference Score Calculation'!T135</f>
        <v>22</v>
      </c>
      <c r="K143" s="28">
        <f>'Reference Score Calculation'!U135</f>
        <v>24</v>
      </c>
      <c r="L143" s="112">
        <f>'Reference Score Calculation'!X135</f>
        <v>18.708333333333332</v>
      </c>
      <c r="M143" s="13">
        <f>入學要求!Z144</f>
        <v>0</v>
      </c>
    </row>
    <row r="144" spans="1:13">
      <c r="A144" s="13" t="str">
        <f>'Reference Score Calculation'!A136</f>
        <v>JS4070</v>
      </c>
      <c r="B144" s="13" t="str">
        <f>'Reference Score Calculation'!B136</f>
        <v>CUHK</v>
      </c>
      <c r="C144" s="13" t="str">
        <f>'Reference Score Calculation'!D136</f>
        <v>語言學</v>
      </c>
      <c r="D144" s="13" t="str">
        <f>'Reference Score Calculation'!R136</f>
        <v>LINGUISTICS</v>
      </c>
      <c r="E144" s="13" t="str">
        <f>'Reference Score Calculation'!E136</f>
        <v>Best 5</v>
      </c>
      <c r="F144" s="20">
        <f>'Reference Score Calculation'!G136</f>
        <v>24.5</v>
      </c>
      <c r="G144" s="20">
        <f>'Reference Score Calculation'!H136</f>
        <v>24.5</v>
      </c>
      <c r="H144" s="20">
        <f>'Reference Score Calculation'!I136</f>
        <v>23.5</v>
      </c>
      <c r="I144" s="20">
        <f>計分版!J159</f>
        <v>3.9500000000000006E-9</v>
      </c>
      <c r="J144" s="13">
        <f>'Reference Score Calculation'!T136</f>
        <v>22</v>
      </c>
      <c r="K144" s="28">
        <f>'Reference Score Calculation'!U136</f>
        <v>25</v>
      </c>
      <c r="L144" s="112">
        <f>'Reference Score Calculation'!X136</f>
        <v>8.48</v>
      </c>
      <c r="M144" s="13">
        <f>入學要求!Z145</f>
        <v>0</v>
      </c>
    </row>
    <row r="145" spans="1:13">
      <c r="A145" s="13" t="str">
        <f>'Reference Score Calculation'!A137</f>
        <v>JS4082</v>
      </c>
      <c r="B145" s="13" t="str">
        <f>'Reference Score Calculation'!B137</f>
        <v>CUHK</v>
      </c>
      <c r="C145" s="13" t="str">
        <f>'Reference Score Calculation'!D137</f>
        <v>音樂</v>
      </c>
      <c r="D145" s="13" t="str">
        <f>'Reference Score Calculation'!R137</f>
        <v>MUSIC</v>
      </c>
      <c r="E145" s="13" t="str">
        <f>'Reference Score Calculation'!E137</f>
        <v>Best 5</v>
      </c>
      <c r="F145" s="20">
        <f>'Reference Score Calculation'!G137</f>
        <v>29</v>
      </c>
      <c r="G145" s="20">
        <f>'Reference Score Calculation'!H137</f>
        <v>23</v>
      </c>
      <c r="H145" s="20">
        <f>'Reference Score Calculation'!I137</f>
        <v>21.5</v>
      </c>
      <c r="I145" s="20">
        <f>計分版!J160</f>
        <v>3.9500000000000006E-9</v>
      </c>
      <c r="J145" s="13">
        <f>'Reference Score Calculation'!T137</f>
        <v>27</v>
      </c>
      <c r="K145" s="28">
        <f>'Reference Score Calculation'!U137</f>
        <v>28</v>
      </c>
      <c r="L145" s="112">
        <f>'Reference Score Calculation'!X137</f>
        <v>7</v>
      </c>
      <c r="M145" s="13">
        <f>入學要求!Z146</f>
        <v>0</v>
      </c>
    </row>
    <row r="146" spans="1:13">
      <c r="A146" s="13" t="str">
        <f>'Reference Score Calculation'!A138</f>
        <v>JS4094</v>
      </c>
      <c r="B146" s="13" t="str">
        <f>'Reference Score Calculation'!B138</f>
        <v>CUHK</v>
      </c>
      <c r="C146" s="13" t="str">
        <f>'Reference Score Calculation'!D138</f>
        <v>哲學</v>
      </c>
      <c r="D146" s="13" t="str">
        <f>'Reference Score Calculation'!R138</f>
        <v>PHILOSOPHY</v>
      </c>
      <c r="E146" s="13" t="str">
        <f>'Reference Score Calculation'!E138</f>
        <v>Best 5</v>
      </c>
      <c r="F146" s="20">
        <f>'Reference Score Calculation'!G138</f>
        <v>27.5</v>
      </c>
      <c r="G146" s="20">
        <f>'Reference Score Calculation'!H138</f>
        <v>23.5</v>
      </c>
      <c r="H146" s="20">
        <f>'Reference Score Calculation'!I138</f>
        <v>23</v>
      </c>
      <c r="I146" s="20">
        <f>計分版!J161</f>
        <v>3.2500000000000002E-9</v>
      </c>
      <c r="J146" s="13">
        <f>'Reference Score Calculation'!T138</f>
        <v>19</v>
      </c>
      <c r="K146" s="28">
        <f>'Reference Score Calculation'!U138</f>
        <v>22</v>
      </c>
      <c r="L146" s="112">
        <f>'Reference Score Calculation'!X138</f>
        <v>10.136363636363637</v>
      </c>
      <c r="M146" s="13">
        <f>入學要求!Z147</f>
        <v>0</v>
      </c>
    </row>
    <row r="147" spans="1:13">
      <c r="A147" s="13" t="str">
        <f>'Reference Score Calculation'!A139</f>
        <v>JS4109</v>
      </c>
      <c r="B147" s="13" t="str">
        <f>'Reference Score Calculation'!B139</f>
        <v>CUHK</v>
      </c>
      <c r="C147" s="13" t="str">
        <f>'Reference Score Calculation'!D139</f>
        <v>宗教研究</v>
      </c>
      <c r="D147" s="13" t="str">
        <f>'Reference Score Calculation'!R139</f>
        <v>RELIGION</v>
      </c>
      <c r="E147" s="13" t="str">
        <f>'Reference Score Calculation'!E139</f>
        <v>Best 5</v>
      </c>
      <c r="F147" s="20">
        <f>'Reference Score Calculation'!G139</f>
        <v>22</v>
      </c>
      <c r="G147" s="20">
        <f>'Reference Score Calculation'!H139</f>
        <v>21</v>
      </c>
      <c r="H147" s="20">
        <f>'Reference Score Calculation'!I139</f>
        <v>20</v>
      </c>
      <c r="I147" s="20">
        <f>計分版!J162</f>
        <v>3.9500000000000006E-9</v>
      </c>
      <c r="J147" s="13" t="str">
        <f>'Reference Score Calculation'!T139</f>
        <v>18*</v>
      </c>
      <c r="K147" s="28">
        <f>'Reference Score Calculation'!U139</f>
        <v>16</v>
      </c>
      <c r="L147" s="112">
        <f>'Reference Score Calculation'!X139</f>
        <v>6.4375</v>
      </c>
      <c r="M147" s="13">
        <f>入學要求!Z148</f>
        <v>0</v>
      </c>
    </row>
    <row r="148" spans="1:13">
      <c r="A148" s="13" t="str">
        <f>'Reference Score Calculation'!A140</f>
        <v>JS4111</v>
      </c>
      <c r="B148" s="13" t="str">
        <f>'Reference Score Calculation'!B140</f>
        <v>CUHK</v>
      </c>
      <c r="C148" s="13" t="str">
        <f>'Reference Score Calculation'!D140</f>
        <v>神學</v>
      </c>
      <c r="D148" s="13" t="str">
        <f>'Reference Score Calculation'!R140</f>
        <v>THEOLOGY</v>
      </c>
      <c r="E148" s="13" t="str">
        <f>'Reference Score Calculation'!E140</f>
        <v>Best 5</v>
      </c>
      <c r="F148" s="20" t="str">
        <f>'Reference Score Calculation'!G140</f>
        <v>/</v>
      </c>
      <c r="G148" s="20" t="str">
        <f>'Reference Score Calculation'!H140</f>
        <v>/</v>
      </c>
      <c r="H148" s="20" t="str">
        <f>'Reference Score Calculation'!I140</f>
        <v>/</v>
      </c>
      <c r="I148" s="20" t="str">
        <f>計分版!J163</f>
        <v>/</v>
      </c>
      <c r="J148" s="13" t="str">
        <f>'Reference Score Calculation'!T140</f>
        <v>18*</v>
      </c>
      <c r="K148" s="28">
        <f>'Reference Score Calculation'!U140</f>
        <v>1</v>
      </c>
      <c r="L148" s="112">
        <f>'Reference Score Calculation'!X140</f>
        <v>32</v>
      </c>
      <c r="M148" s="13">
        <f>入學要求!Z149</f>
        <v>0</v>
      </c>
    </row>
    <row r="149" spans="1:13">
      <c r="A149" s="13" t="str">
        <f>'Reference Score Calculation'!A141</f>
        <v>JS4123</v>
      </c>
      <c r="B149" s="13" t="str">
        <f>'Reference Score Calculation'!B141</f>
        <v>CUHK</v>
      </c>
      <c r="C149" s="13" t="str">
        <f>'Reference Score Calculation'!D141</f>
        <v>翻譯</v>
      </c>
      <c r="D149" s="13" t="str">
        <f>'Reference Score Calculation'!R141</f>
        <v>TRANSLATION</v>
      </c>
      <c r="E149" s="13" t="str">
        <f>'Reference Score Calculation'!E141</f>
        <v>Best 5</v>
      </c>
      <c r="F149" s="20">
        <f>'Reference Score Calculation'!G141</f>
        <v>26</v>
      </c>
      <c r="G149" s="20">
        <f>'Reference Score Calculation'!H141</f>
        <v>23</v>
      </c>
      <c r="H149" s="20">
        <f>'Reference Score Calculation'!I141</f>
        <v>21.5</v>
      </c>
      <c r="I149" s="20">
        <f>計分版!J164</f>
        <v>3.9500000000000006E-9</v>
      </c>
      <c r="J149" s="13">
        <f>'Reference Score Calculation'!T141</f>
        <v>32</v>
      </c>
      <c r="K149" s="28">
        <f>'Reference Score Calculation'!U141</f>
        <v>28</v>
      </c>
      <c r="L149" s="112">
        <f>'Reference Score Calculation'!X141</f>
        <v>4.384615384615385</v>
      </c>
      <c r="M149" s="13">
        <f>入學要求!Z150</f>
        <v>0</v>
      </c>
    </row>
    <row r="150" spans="1:13">
      <c r="A150" s="13" t="str">
        <f>'Reference Score Calculation'!A142</f>
        <v>JS4136</v>
      </c>
      <c r="B150" s="13" t="str">
        <f>'Reference Score Calculation'!B142</f>
        <v>CUHK</v>
      </c>
      <c r="C150" s="13" t="str">
        <f>'Reference Score Calculation'!D142</f>
        <v>中國研究</v>
      </c>
      <c r="D150" s="13" t="str">
        <f>'Reference Score Calculation'!R142</f>
        <v>CHINESE STUDIES</v>
      </c>
      <c r="E150" s="13" t="str">
        <f>'Reference Score Calculation'!E142</f>
        <v>Best 5</v>
      </c>
      <c r="F150" s="20">
        <f>'Reference Score Calculation'!G142</f>
        <v>24</v>
      </c>
      <c r="G150" s="20">
        <f>'Reference Score Calculation'!H142</f>
        <v>22.75</v>
      </c>
      <c r="H150" s="20">
        <f>'Reference Score Calculation'!I142</f>
        <v>21.25</v>
      </c>
      <c r="I150" s="20">
        <f>計分版!J165</f>
        <v>3.9500000000000006E-9</v>
      </c>
      <c r="J150" s="13">
        <f>'Reference Score Calculation'!T142</f>
        <v>10</v>
      </c>
      <c r="K150" s="28">
        <f>'Reference Score Calculation'!U142</f>
        <v>13</v>
      </c>
      <c r="L150" s="112">
        <f>'Reference Score Calculation'!X142</f>
        <v>11.76923076923077</v>
      </c>
      <c r="M150" s="13">
        <f>入學要求!Z151</f>
        <v>0</v>
      </c>
    </row>
    <row r="151" spans="1:13">
      <c r="A151" s="13" t="str">
        <f>'Reference Score Calculation'!A143</f>
        <v>JS4202</v>
      </c>
      <c r="B151" s="13" t="str">
        <f>'Reference Score Calculation'!B143</f>
        <v>CUHK</v>
      </c>
      <c r="C151" s="13" t="str">
        <f>'Reference Score Calculation'!D143</f>
        <v>工商管理學士綜合課程</v>
      </c>
      <c r="D151" s="13" t="str">
        <f>'Reference Score Calculation'!R143</f>
        <v>INTEGRATED BBA</v>
      </c>
      <c r="E151" s="13" t="str">
        <f>'Reference Score Calculation'!E143</f>
        <v>Best 5</v>
      </c>
      <c r="F151" s="20">
        <f>'Reference Score Calculation'!G143</f>
        <v>27.5</v>
      </c>
      <c r="G151" s="20">
        <f>'Reference Score Calculation'!H143</f>
        <v>26</v>
      </c>
      <c r="H151" s="20">
        <f>'Reference Score Calculation'!I143</f>
        <v>24.5</v>
      </c>
      <c r="I151" s="20">
        <f>計分版!J166</f>
        <v>3.9500000000000006E-9</v>
      </c>
      <c r="J151" s="13">
        <f>'Reference Score Calculation'!T143</f>
        <v>222</v>
      </c>
      <c r="K151" s="28">
        <f>'Reference Score Calculation'!U143</f>
        <v>226</v>
      </c>
      <c r="L151" s="112">
        <f>'Reference Score Calculation'!X143</f>
        <v>6.7920353982300883</v>
      </c>
      <c r="M151" s="13">
        <f>入學要求!Z152</f>
        <v>0</v>
      </c>
    </row>
    <row r="152" spans="1:13">
      <c r="A152" s="13" t="str">
        <f>'Reference Score Calculation'!A144</f>
        <v>JS4214</v>
      </c>
      <c r="B152" s="13" t="str">
        <f>'Reference Score Calculation'!B144</f>
        <v>CUHK</v>
      </c>
      <c r="C152" s="13" t="str">
        <f>'Reference Score Calculation'!D144</f>
        <v>環球商業學</v>
      </c>
      <c r="D152" s="13" t="str">
        <f>'Reference Score Calculation'!R144</f>
        <v>GBS</v>
      </c>
      <c r="E152" s="13" t="str">
        <f>'Reference Score Calculation'!E144</f>
        <v>4C2X</v>
      </c>
      <c r="F152" s="20">
        <f>'Reference Score Calculation'!G144</f>
        <v>43.5</v>
      </c>
      <c r="G152" s="20">
        <f>'Reference Score Calculation'!H144</f>
        <v>40.5</v>
      </c>
      <c r="H152" s="20">
        <f>'Reference Score Calculation'!I144</f>
        <v>40.5</v>
      </c>
      <c r="I152" s="20">
        <f>計分版!J167</f>
        <v>2.7499999999999998E-9</v>
      </c>
      <c r="J152" s="13">
        <f>'Reference Score Calculation'!T144</f>
        <v>15</v>
      </c>
      <c r="K152" s="28">
        <f>'Reference Score Calculation'!U144</f>
        <v>12</v>
      </c>
      <c r="L152" s="112">
        <f>'Reference Score Calculation'!X144</f>
        <v>6.25</v>
      </c>
      <c r="M152" s="13">
        <f>入學要求!Z153</f>
        <v>0</v>
      </c>
    </row>
    <row r="153" spans="1:13">
      <c r="A153" s="13" t="str">
        <f>'Reference Score Calculation'!A145</f>
        <v>JS4226</v>
      </c>
      <c r="B153" s="13" t="str">
        <f>'Reference Score Calculation'!B145</f>
        <v>CUHK</v>
      </c>
      <c r="C153" s="13" t="str">
        <f>'Reference Score Calculation'!D145</f>
        <v>酒店旅遊及房地產</v>
      </c>
      <c r="D153" s="13" t="str">
        <f>'Reference Score Calculation'!R145</f>
        <v>HOSP &amp; REAL EST</v>
      </c>
      <c r="E153" s="13" t="str">
        <f>'Reference Score Calculation'!E145</f>
        <v>Best 5</v>
      </c>
      <c r="F153" s="20">
        <f>'Reference Score Calculation'!G145</f>
        <v>24.5</v>
      </c>
      <c r="G153" s="20">
        <f>'Reference Score Calculation'!H145</f>
        <v>23</v>
      </c>
      <c r="H153" s="20">
        <f>'Reference Score Calculation'!I145</f>
        <v>23</v>
      </c>
      <c r="I153" s="20">
        <f>計分版!J168</f>
        <v>3.9500000000000006E-9</v>
      </c>
      <c r="J153" s="13">
        <f>'Reference Score Calculation'!T145</f>
        <v>60</v>
      </c>
      <c r="K153" s="28">
        <f>'Reference Score Calculation'!U145</f>
        <v>50</v>
      </c>
      <c r="L153" s="112">
        <f>'Reference Score Calculation'!X145</f>
        <v>10.52</v>
      </c>
      <c r="M153" s="13">
        <f>入學要求!Z154</f>
        <v>0</v>
      </c>
    </row>
    <row r="154" spans="1:13">
      <c r="A154" s="13" t="str">
        <f>'Reference Score Calculation'!A146</f>
        <v>JS4238</v>
      </c>
      <c r="B154" s="13" t="str">
        <f>'Reference Score Calculation'!B146</f>
        <v>CUHK</v>
      </c>
      <c r="C154" s="13" t="str">
        <f>'Reference Score Calculation'!D146</f>
        <v>保險、金融與精算學</v>
      </c>
      <c r="D154" s="13" t="str">
        <f>'Reference Score Calculation'!R146</f>
        <v>IFAA</v>
      </c>
      <c r="E154" s="13" t="str">
        <f>'Reference Score Calculation'!E146</f>
        <v>Best 5</v>
      </c>
      <c r="F154" s="20">
        <f>'Reference Score Calculation'!G146</f>
        <v>32</v>
      </c>
      <c r="G154" s="20">
        <f>'Reference Score Calculation'!H146</f>
        <v>32</v>
      </c>
      <c r="H154" s="20">
        <f>'Reference Score Calculation'!I146</f>
        <v>30.5</v>
      </c>
      <c r="I154" s="20">
        <f>計分版!J169</f>
        <v>3.3500000000000002E-9</v>
      </c>
      <c r="J154" s="13">
        <f>'Reference Score Calculation'!T146</f>
        <v>45</v>
      </c>
      <c r="K154" s="28">
        <f>'Reference Score Calculation'!U146</f>
        <v>45</v>
      </c>
      <c r="L154" s="112">
        <f>'Reference Score Calculation'!X146</f>
        <v>4.2</v>
      </c>
      <c r="M154" s="13">
        <f>入學要求!Z155</f>
        <v>0</v>
      </c>
    </row>
    <row r="155" spans="1:13">
      <c r="A155" s="13" t="str">
        <f>'Reference Score Calculation'!A147</f>
        <v>JS4240</v>
      </c>
      <c r="B155" s="13" t="str">
        <f>'Reference Score Calculation'!B147</f>
        <v>CUHK</v>
      </c>
      <c r="C155" s="13" t="str">
        <f>'Reference Score Calculation'!D147</f>
        <v>專業會計學</v>
      </c>
      <c r="D155" s="13" t="str">
        <f>'Reference Score Calculation'!R147</f>
        <v>PROF ACCOUNTANCY</v>
      </c>
      <c r="E155" s="13" t="str">
        <f>'Reference Score Calculation'!E147</f>
        <v>Best 5</v>
      </c>
      <c r="F155" s="20">
        <f>'Reference Score Calculation'!G147</f>
        <v>27.5</v>
      </c>
      <c r="G155" s="20">
        <f>'Reference Score Calculation'!H147</f>
        <v>26</v>
      </c>
      <c r="H155" s="20">
        <f>'Reference Score Calculation'!I147</f>
        <v>24.5</v>
      </c>
      <c r="I155" s="20">
        <f>計分版!J170</f>
        <v>3.9500000000000006E-9</v>
      </c>
      <c r="J155" s="13">
        <f>'Reference Score Calculation'!T147</f>
        <v>126</v>
      </c>
      <c r="K155" s="28">
        <f>'Reference Score Calculation'!U147</f>
        <v>124</v>
      </c>
      <c r="L155" s="112">
        <f>'Reference Score Calculation'!X147</f>
        <v>4.919354838709677</v>
      </c>
      <c r="M155" s="13">
        <f>入學要求!Z156</f>
        <v>0</v>
      </c>
    </row>
    <row r="156" spans="1:13">
      <c r="A156" s="13" t="str">
        <f>'Reference Score Calculation'!A148</f>
        <v>JS4252</v>
      </c>
      <c r="B156" s="13" t="str">
        <f>'Reference Score Calculation'!B148</f>
        <v>CUHK</v>
      </c>
      <c r="C156" s="13" t="str">
        <f>'Reference Score Calculation'!D148</f>
        <v>計量金融學</v>
      </c>
      <c r="D156" s="13" t="str">
        <f>'Reference Score Calculation'!R148</f>
        <v>QFIN</v>
      </c>
      <c r="E156" s="13" t="str">
        <f>'Reference Score Calculation'!E148</f>
        <v>Best 5</v>
      </c>
      <c r="F156" s="20">
        <f>'Reference Score Calculation'!G148</f>
        <v>54</v>
      </c>
      <c r="G156" s="20">
        <f>'Reference Score Calculation'!H148</f>
        <v>52.5</v>
      </c>
      <c r="H156" s="20">
        <f>'Reference Score Calculation'!I148</f>
        <v>51</v>
      </c>
      <c r="I156" s="20">
        <f>計分版!J171</f>
        <v>4.1000000000000003E-9</v>
      </c>
      <c r="J156" s="13">
        <f>'Reference Score Calculation'!T148</f>
        <v>37</v>
      </c>
      <c r="K156" s="28">
        <f>'Reference Score Calculation'!U148</f>
        <v>36</v>
      </c>
      <c r="L156" s="112">
        <f>'Reference Score Calculation'!X148</f>
        <v>4.6388888888888893</v>
      </c>
      <c r="M156" s="13">
        <f>入學要求!Z157</f>
        <v>0</v>
      </c>
    </row>
    <row r="157" spans="1:13">
      <c r="A157" s="13" t="str">
        <f>'Reference Score Calculation'!A149</f>
        <v>JS4254</v>
      </c>
      <c r="B157" s="13" t="str">
        <f>'Reference Score Calculation'!B149</f>
        <v>CUHK</v>
      </c>
      <c r="C157" s="13" t="str">
        <f>'Reference Score Calculation'!D149</f>
        <v>環球經濟與金融跨學科主修課程</v>
      </c>
      <c r="D157" s="13" t="str">
        <f>'Reference Score Calculation'!R149</f>
        <v>GLEF</v>
      </c>
      <c r="E157" s="13" t="str">
        <f>'Reference Score Calculation'!E149</f>
        <v>Best 5</v>
      </c>
      <c r="F157" s="20">
        <f>'Reference Score Calculation'!G149</f>
        <v>35</v>
      </c>
      <c r="G157" s="20">
        <f>'Reference Score Calculation'!H149</f>
        <v>33.5</v>
      </c>
      <c r="H157" s="20">
        <f>'Reference Score Calculation'!I149</f>
        <v>32</v>
      </c>
      <c r="I157" s="20">
        <f>計分版!J172</f>
        <v>3.5500000000000004E-9</v>
      </c>
      <c r="J157" s="13">
        <f>'Reference Score Calculation'!T149</f>
        <v>24</v>
      </c>
      <c r="K157" s="28">
        <f>'Reference Score Calculation'!U149</f>
        <v>16</v>
      </c>
      <c r="L157" s="112">
        <f>'Reference Score Calculation'!X149</f>
        <v>7.5</v>
      </c>
      <c r="M157" s="13">
        <f>入學要求!Z158</f>
        <v>0</v>
      </c>
    </row>
    <row r="158" spans="1:13">
      <c r="A158" s="13" t="str">
        <f>'Reference Score Calculation'!A150</f>
        <v>JS4264</v>
      </c>
      <c r="B158" s="13" t="str">
        <f>'Reference Score Calculation'!B150</f>
        <v>CUHK</v>
      </c>
      <c r="C158" s="13" t="str">
        <f>'Reference Score Calculation'!D150</f>
        <v>工商管理學士（工商管理學士綜合課程）及法律博士雙學位課程</v>
      </c>
      <c r="D158" s="13" t="str">
        <f>'Reference Score Calculation'!R150</f>
        <v>BBA-JD</v>
      </c>
      <c r="E158" s="13" t="str">
        <f>'Reference Score Calculation'!E150</f>
        <v>4C2X</v>
      </c>
      <c r="F158" s="20">
        <f>'Reference Score Calculation'!G150</f>
        <v>54.25</v>
      </c>
      <c r="G158" s="20">
        <f>'Reference Score Calculation'!H150</f>
        <v>49.75</v>
      </c>
      <c r="H158" s="20">
        <f>'Reference Score Calculation'!I150</f>
        <v>50.5</v>
      </c>
      <c r="I158" s="20">
        <f>計分版!J173</f>
        <v>3.1500000000000001E-9</v>
      </c>
      <c r="J158" s="13">
        <f>'Reference Score Calculation'!T150</f>
        <v>25</v>
      </c>
      <c r="K158" s="28">
        <f>'Reference Score Calculation'!U150</f>
        <v>22</v>
      </c>
      <c r="L158" s="112">
        <f>'Reference Score Calculation'!X150</f>
        <v>4.7272727272727275</v>
      </c>
      <c r="M158" s="13">
        <f>入學要求!Z159</f>
        <v>0</v>
      </c>
    </row>
    <row r="159" spans="1:13">
      <c r="A159" s="13" t="str">
        <f>'Reference Score Calculation'!A151</f>
        <v>JS4276</v>
      </c>
      <c r="B159" s="13" t="str">
        <f>'Reference Score Calculation'!B151</f>
        <v>CUHK</v>
      </c>
      <c r="C159" s="13" t="str">
        <f>'Reference Score Calculation'!D151</f>
        <v>計量金融學及風險管理科學</v>
      </c>
      <c r="D159" s="13" t="str">
        <f>'Reference Score Calculation'!R151</f>
        <v>QFRM</v>
      </c>
      <c r="E159" s="13" t="str">
        <f>'Reference Score Calculation'!E151</f>
        <v>Best 5</v>
      </c>
      <c r="F159" s="20">
        <f>'Reference Score Calculation'!G151</f>
        <v>57.75</v>
      </c>
      <c r="G159" s="20">
        <f>'Reference Score Calculation'!H151</f>
        <v>56.25</v>
      </c>
      <c r="H159" s="20">
        <f>'Reference Score Calculation'!I151</f>
        <v>54.75</v>
      </c>
      <c r="I159" s="20">
        <f>計分版!J174</f>
        <v>4.1000000000000003E-9</v>
      </c>
      <c r="J159" s="13">
        <f>'Reference Score Calculation'!T151</f>
        <v>20</v>
      </c>
      <c r="K159" s="28">
        <f>'Reference Score Calculation'!U151</f>
        <v>21</v>
      </c>
      <c r="L159" s="112">
        <f>'Reference Score Calculation'!X151</f>
        <v>2.9047619047619047</v>
      </c>
      <c r="M159" s="13">
        <f>入學要求!Z160</f>
        <v>0</v>
      </c>
    </row>
    <row r="160" spans="1:13">
      <c r="A160" s="13" t="str">
        <f>'Reference Score Calculation'!A152</f>
        <v>JS4329</v>
      </c>
      <c r="B160" s="13" t="str">
        <f>'Reference Score Calculation'!B152</f>
        <v>CUHK</v>
      </c>
      <c r="C160" s="13" t="str">
        <f>'Reference Score Calculation'!D152</f>
        <v>健康與體育運動科學</v>
      </c>
      <c r="D160" s="13" t="str">
        <f>'Reference Score Calculation'!R152</f>
        <v>PHY ED, EX SCI &amp; HEALTH</v>
      </c>
      <c r="E160" s="13" t="str">
        <f>'Reference Score Calculation'!E152</f>
        <v>Best 5</v>
      </c>
      <c r="F160" s="20">
        <f>'Reference Score Calculation'!G152</f>
        <v>30.5</v>
      </c>
      <c r="G160" s="20">
        <f>'Reference Score Calculation'!H152</f>
        <v>26</v>
      </c>
      <c r="H160" s="20">
        <f>'Reference Score Calculation'!I152</f>
        <v>26</v>
      </c>
      <c r="I160" s="20">
        <f>計分版!J175</f>
        <v>3.9500000000000006E-9</v>
      </c>
      <c r="J160" s="13">
        <f>'Reference Score Calculation'!T152</f>
        <v>17</v>
      </c>
      <c r="K160" s="28">
        <f>'Reference Score Calculation'!U152</f>
        <v>26</v>
      </c>
      <c r="L160" s="112">
        <f>'Reference Score Calculation'!X152</f>
        <v>17.192307692307693</v>
      </c>
      <c r="M160" s="13">
        <f>入學要求!Z161</f>
        <v>0</v>
      </c>
    </row>
    <row r="161" spans="1:18">
      <c r="A161" s="13" t="str">
        <f>'Reference Score Calculation'!A153</f>
        <v>JS4331</v>
      </c>
      <c r="B161" s="13" t="str">
        <f>'Reference Score Calculation'!B153</f>
        <v>CUHK</v>
      </c>
      <c r="C161" s="13" t="str">
        <f>'Reference Score Calculation'!D153</f>
        <v>文學士 (中國語文研究) 及教育學士 (中國語文教育)</v>
      </c>
      <c r="D161" s="13" t="str">
        <f>'Reference Score Calculation'!R153</f>
        <v>BA (CHI) BEd (CHI EDU)</v>
      </c>
      <c r="E161" s="13" t="str">
        <f>'Reference Score Calculation'!E153</f>
        <v>Best 5</v>
      </c>
      <c r="F161" s="20">
        <f>'Reference Score Calculation'!G153</f>
        <v>43.5</v>
      </c>
      <c r="G161" s="20">
        <f>'Reference Score Calculation'!H153</f>
        <v>42</v>
      </c>
      <c r="H161" s="20">
        <f>'Reference Score Calculation'!I153</f>
        <v>39.5</v>
      </c>
      <c r="I161" s="20">
        <f>計分版!J176</f>
        <v>4.1499999999999999E-9</v>
      </c>
      <c r="J161" s="13">
        <f>'Reference Score Calculation'!T153</f>
        <v>12</v>
      </c>
      <c r="K161" s="28">
        <f>'Reference Score Calculation'!U153</f>
        <v>17</v>
      </c>
      <c r="L161" s="112">
        <f>'Reference Score Calculation'!X153</f>
        <v>9.882352941176471</v>
      </c>
      <c r="M161" s="13">
        <f>入學要求!Z162</f>
        <v>0</v>
      </c>
    </row>
    <row r="162" spans="1:18">
      <c r="A162" s="13" t="str">
        <f>'Reference Score Calculation'!A154</f>
        <v>JS4343</v>
      </c>
      <c r="B162" s="13" t="str">
        <f>'Reference Score Calculation'!B154</f>
        <v>CUHK</v>
      </c>
      <c r="C162" s="13" t="str">
        <f>'Reference Score Calculation'!D154</f>
        <v>文學士(英國語文研究)及教育學士(英國語文教育)</v>
      </c>
      <c r="D162" s="13" t="str">
        <f>'Reference Score Calculation'!R154</f>
        <v>BA (ENG) BEd (ENG EDU)</v>
      </c>
      <c r="E162" s="13" t="str">
        <f>'Reference Score Calculation'!E154</f>
        <v>Best 5</v>
      </c>
      <c r="F162" s="20">
        <f>'Reference Score Calculation'!G154</f>
        <v>40.5</v>
      </c>
      <c r="G162" s="20">
        <f>'Reference Score Calculation'!H154</f>
        <v>36</v>
      </c>
      <c r="H162" s="20">
        <f>'Reference Score Calculation'!I154</f>
        <v>36</v>
      </c>
      <c r="I162" s="20">
        <f>計分版!J177</f>
        <v>3.7500000000000005E-9</v>
      </c>
      <c r="J162" s="13">
        <f>'Reference Score Calculation'!T154</f>
        <v>12</v>
      </c>
      <c r="K162" s="28">
        <f>'Reference Score Calculation'!U154</f>
        <v>14</v>
      </c>
      <c r="L162" s="112">
        <f>'Reference Score Calculation'!X154</f>
        <v>6.6428571428571432</v>
      </c>
      <c r="M162" s="13">
        <f>入學要求!Z163</f>
        <v>0</v>
      </c>
    </row>
    <row r="163" spans="1:18">
      <c r="A163" s="13" t="str">
        <f>'Reference Score Calculation'!A155</f>
        <v>JS4361</v>
      </c>
      <c r="B163" s="13" t="str">
        <f>'Reference Score Calculation'!B155</f>
        <v>CUHK</v>
      </c>
      <c r="C163" s="13" t="str">
        <f>'Reference Score Calculation'!D155</f>
        <v>教育學士(數學及數學教育)</v>
      </c>
      <c r="D163" s="13" t="str">
        <f>'Reference Score Calculation'!R155</f>
        <v>MATHS EDUCATION</v>
      </c>
      <c r="E163" s="13" t="str">
        <f>'Reference Score Calculation'!E155</f>
        <v>Best 5</v>
      </c>
      <c r="F163" s="20">
        <f>'Reference Score Calculation'!G155</f>
        <v>53</v>
      </c>
      <c r="G163" s="20">
        <f>'Reference Score Calculation'!H155</f>
        <v>50.75</v>
      </c>
      <c r="H163" s="20">
        <f>'Reference Score Calculation'!I155</f>
        <v>50</v>
      </c>
      <c r="I163" s="20">
        <f>計分版!J178</f>
        <v>4.25E-9</v>
      </c>
      <c r="J163" s="13">
        <f>'Reference Score Calculation'!T155</f>
        <v>12</v>
      </c>
      <c r="K163" s="28">
        <f>'Reference Score Calculation'!U155</f>
        <v>18</v>
      </c>
      <c r="L163" s="112">
        <f>'Reference Score Calculation'!X155</f>
        <v>5.666666666666667</v>
      </c>
      <c r="M163" s="13">
        <f>入學要求!Z164</f>
        <v>0</v>
      </c>
    </row>
    <row r="164" spans="1:18">
      <c r="A164" s="13" t="str">
        <f>'Reference Score Calculation'!A156</f>
        <v>JS4372</v>
      </c>
      <c r="B164" s="13" t="str">
        <f>'Reference Score Calculation'!B156</f>
        <v>CUHK</v>
      </c>
      <c r="C164" s="13" t="str">
        <f>'Reference Score Calculation'!D156</f>
        <v>教育學士(幼兒教育)</v>
      </c>
      <c r="D164" s="13" t="str">
        <f>'Reference Score Calculation'!R156</f>
        <v>BEd (ECE)</v>
      </c>
      <c r="E164" s="13" t="str">
        <f>'Reference Score Calculation'!E156</f>
        <v>Best 5</v>
      </c>
      <c r="F164" s="20">
        <f>'Reference Score Calculation'!G156</f>
        <v>23</v>
      </c>
      <c r="G164" s="20">
        <f>'Reference Score Calculation'!H156</f>
        <v>21.5</v>
      </c>
      <c r="H164" s="20">
        <f>'Reference Score Calculation'!I156</f>
        <v>20.5</v>
      </c>
      <c r="I164" s="20">
        <f>計分版!J179</f>
        <v>3.9500000000000006E-9</v>
      </c>
      <c r="J164" s="13">
        <f>'Reference Score Calculation'!T156</f>
        <v>21</v>
      </c>
      <c r="K164" s="28">
        <f>'Reference Score Calculation'!U156</f>
        <v>24</v>
      </c>
      <c r="L164" s="112">
        <f>'Reference Score Calculation'!X156</f>
        <v>15.916666666666666</v>
      </c>
      <c r="M164" s="13">
        <f>入學要求!Z165</f>
        <v>0</v>
      </c>
    </row>
    <row r="165" spans="1:18">
      <c r="A165" s="13" t="str">
        <f>'Reference Score Calculation'!A157</f>
        <v>JS4386</v>
      </c>
      <c r="B165" s="13" t="str">
        <f>'Reference Score Calculation'!B157</f>
        <v>CUHK</v>
      </c>
      <c r="C165" s="13" t="str">
        <f>'Reference Score Calculation'!D157</f>
        <v>理學士（學習設計與科技）</v>
      </c>
      <c r="D165" s="13" t="str">
        <f>'Reference Score Calculation'!R157</f>
        <v>LEARNING DESIGN AND TECH</v>
      </c>
      <c r="E165" s="13" t="str">
        <f>'Reference Score Calculation'!E157</f>
        <v>Best 5</v>
      </c>
      <c r="F165" s="20">
        <f>'Reference Score Calculation'!G157</f>
        <v>34.75</v>
      </c>
      <c r="G165" s="20">
        <f>'Reference Score Calculation'!H157</f>
        <v>29.25</v>
      </c>
      <c r="H165" s="20">
        <f>'Reference Score Calculation'!I157</f>
        <v>27.5</v>
      </c>
      <c r="I165" s="20">
        <f>計分版!J180</f>
        <v>4.2250000000000006E-9</v>
      </c>
      <c r="J165" s="13">
        <f>'Reference Score Calculation'!T157</f>
        <v>20</v>
      </c>
      <c r="K165" s="28">
        <f>'Reference Score Calculation'!U157</f>
        <v>4</v>
      </c>
      <c r="L165" s="112">
        <f>'Reference Score Calculation'!X157</f>
        <v>12.666666666666666</v>
      </c>
      <c r="M165" s="13">
        <f>入學要求!Z166</f>
        <v>0</v>
      </c>
      <c r="R165" s="28"/>
    </row>
    <row r="166" spans="1:18">
      <c r="A166" s="13" t="str">
        <f>'Reference Score Calculation'!A158</f>
        <v>JS4408</v>
      </c>
      <c r="B166" s="13" t="str">
        <f>'Reference Score Calculation'!B158</f>
        <v>CUHK</v>
      </c>
      <c r="C166" s="13" t="str">
        <f>'Reference Score Calculation'!D158</f>
        <v>機械與自動化工程學</v>
      </c>
      <c r="D166" s="13" t="str">
        <f>'Reference Score Calculation'!R158</f>
        <v>MAEG</v>
      </c>
      <c r="E166" s="13" t="str">
        <f>'Reference Score Calculation'!E158</f>
        <v>Best 5</v>
      </c>
      <c r="F166" s="20">
        <f>'Reference Score Calculation'!G158</f>
        <v>30</v>
      </c>
      <c r="G166" s="20">
        <f>'Reference Score Calculation'!H158</f>
        <v>27.5</v>
      </c>
      <c r="H166" s="20">
        <f>'Reference Score Calculation'!I158</f>
        <v>26</v>
      </c>
      <c r="I166" s="20">
        <f>計分版!J181</f>
        <v>4.1000000000000003E-9</v>
      </c>
      <c r="J166" s="13">
        <f>'Reference Score Calculation'!T158</f>
        <v>53</v>
      </c>
      <c r="K166" s="28">
        <f>'Reference Score Calculation'!U158</f>
        <v>47</v>
      </c>
      <c r="L166" s="112">
        <f>'Reference Score Calculation'!X158</f>
        <v>8.0425531914893611</v>
      </c>
      <c r="M166" s="13">
        <f>入學要求!Z167</f>
        <v>0</v>
      </c>
      <c r="R166" s="28"/>
    </row>
    <row r="167" spans="1:18">
      <c r="A167" s="13" t="str">
        <f>'Reference Score Calculation'!A159</f>
        <v>JS4412</v>
      </c>
      <c r="B167" s="13" t="str">
        <f>'Reference Score Calculation'!B159</f>
        <v>CUHK</v>
      </c>
      <c r="C167" s="13" t="str">
        <f>'Reference Score Calculation'!D159</f>
        <v>計算機科學與工程</v>
      </c>
      <c r="D167" s="13" t="str">
        <f>'Reference Score Calculation'!R159</f>
        <v>COMPUTER SCI &amp; ENG</v>
      </c>
      <c r="E167" s="13" t="str">
        <f>'Reference Score Calculation'!E159</f>
        <v>Best 5</v>
      </c>
      <c r="F167" s="20">
        <f>'Reference Score Calculation'!G159</f>
        <v>45.875</v>
      </c>
      <c r="G167" s="20">
        <f>'Reference Score Calculation'!H159</f>
        <v>42.5</v>
      </c>
      <c r="H167" s="20">
        <f>'Reference Score Calculation'!I159</f>
        <v>39.875</v>
      </c>
      <c r="I167" s="20">
        <f>計分版!J182</f>
        <v>4.2250000000000006E-9</v>
      </c>
      <c r="J167" s="13">
        <f>'Reference Score Calculation'!T159</f>
        <v>107</v>
      </c>
      <c r="K167" s="28">
        <f>'Reference Score Calculation'!U159</f>
        <v>123</v>
      </c>
      <c r="L167" s="112">
        <f>'Reference Score Calculation'!X159</f>
        <v>4.9512195121951219</v>
      </c>
      <c r="M167" s="13">
        <f>入學要求!Z168</f>
        <v>0</v>
      </c>
      <c r="R167" s="28"/>
    </row>
    <row r="168" spans="1:18">
      <c r="A168" s="13" t="str">
        <f>'Reference Score Calculation'!A160</f>
        <v>JS4416</v>
      </c>
      <c r="B168" s="13" t="str">
        <f>'Reference Score Calculation'!B160</f>
        <v>CUHK</v>
      </c>
      <c r="C168" s="13" t="str">
        <f>'Reference Score Calculation'!D160</f>
        <v>計算數據科學</v>
      </c>
      <c r="D168" s="13" t="str">
        <f>'Reference Score Calculation'!R160</f>
        <v>CDAS</v>
      </c>
      <c r="E168" s="13" t="str">
        <f>'Reference Score Calculation'!E160</f>
        <v>Best 5</v>
      </c>
      <c r="F168" s="20">
        <f>'Reference Score Calculation'!G160</f>
        <v>65</v>
      </c>
      <c r="G168" s="20">
        <f>'Reference Score Calculation'!H160</f>
        <v>61.25</v>
      </c>
      <c r="H168" s="20">
        <f>'Reference Score Calculation'!I160</f>
        <v>60</v>
      </c>
      <c r="I168" s="20">
        <f>計分版!J183</f>
        <v>4.3500000000000001E-9</v>
      </c>
      <c r="J168" s="13">
        <f>'Reference Score Calculation'!T160</f>
        <v>20</v>
      </c>
      <c r="K168" s="28">
        <f>'Reference Score Calculation'!U160</f>
        <v>12</v>
      </c>
      <c r="L168" s="112">
        <f>'Reference Score Calculation'!X160</f>
        <v>6.166666666666667</v>
      </c>
      <c r="M168" s="13">
        <f>入學要求!Z169</f>
        <v>0</v>
      </c>
    </row>
    <row r="169" spans="1:18">
      <c r="A169" s="13" t="str">
        <f>'Reference Score Calculation'!A161</f>
        <v>JS4428</v>
      </c>
      <c r="B169" s="13" t="str">
        <f>'Reference Score Calculation'!B161</f>
        <v>CUHK</v>
      </c>
      <c r="C169" s="13" t="str">
        <f>'Reference Score Calculation'!D161</f>
        <v>金融科技學</v>
      </c>
      <c r="D169" s="13" t="str">
        <f>'Reference Score Calculation'!R161</f>
        <v>BENG FINTECH</v>
      </c>
      <c r="E169" s="13" t="str">
        <f>'Reference Score Calculation'!E161</f>
        <v>Best 5</v>
      </c>
      <c r="F169" s="20">
        <f>'Reference Score Calculation'!G161</f>
        <v>48.875</v>
      </c>
      <c r="G169" s="20">
        <f>'Reference Score Calculation'!H161</f>
        <v>46.5</v>
      </c>
      <c r="H169" s="20">
        <f>'Reference Score Calculation'!I161</f>
        <v>43.75</v>
      </c>
      <c r="I169" s="20">
        <f>計分版!J184</f>
        <v>4.2250000000000006E-9</v>
      </c>
      <c r="J169" s="13">
        <f>'Reference Score Calculation'!T161</f>
        <v>35</v>
      </c>
      <c r="K169" s="28">
        <f>'Reference Score Calculation'!U161</f>
        <v>41</v>
      </c>
      <c r="L169" s="112">
        <f>'Reference Score Calculation'!X161</f>
        <v>3.2439024390243905</v>
      </c>
      <c r="M169" s="13">
        <f>入學要求!Z170</f>
        <v>0</v>
      </c>
    </row>
    <row r="170" spans="1:18">
      <c r="A170" s="13" t="str">
        <f>'Reference Score Calculation'!A162</f>
        <v>JS4434</v>
      </c>
      <c r="B170" s="13" t="str">
        <f>'Reference Score Calculation'!B162</f>
        <v>CUHK</v>
      </c>
      <c r="C170" s="13" t="str">
        <f>'Reference Score Calculation'!D162</f>
        <v>電子工程學</v>
      </c>
      <c r="D170" s="13" t="str">
        <f>'Reference Score Calculation'!R162</f>
        <v>ELEG</v>
      </c>
      <c r="E170" s="13" t="str">
        <f>'Reference Score Calculation'!E162</f>
        <v>Best 5</v>
      </c>
      <c r="F170" s="20">
        <f>'Reference Score Calculation'!G162</f>
        <v>29.5</v>
      </c>
      <c r="G170" s="20">
        <f>'Reference Score Calculation'!H162</f>
        <v>28</v>
      </c>
      <c r="H170" s="20">
        <f>'Reference Score Calculation'!I162</f>
        <v>26.5</v>
      </c>
      <c r="I170" s="20">
        <f>計分版!J185</f>
        <v>4.1000000000000003E-9</v>
      </c>
      <c r="J170" s="13">
        <f>'Reference Score Calculation'!T162</f>
        <v>53</v>
      </c>
      <c r="K170" s="28">
        <f>'Reference Score Calculation'!U162</f>
        <v>48</v>
      </c>
      <c r="L170" s="112">
        <f>'Reference Score Calculation'!X162</f>
        <v>7.25</v>
      </c>
      <c r="M170" s="13">
        <f>入學要求!Z171</f>
        <v>0</v>
      </c>
    </row>
    <row r="171" spans="1:18">
      <c r="A171" s="13" t="str">
        <f>'Reference Score Calculation'!A163</f>
        <v>JS4446</v>
      </c>
      <c r="B171" s="13" t="str">
        <f>'Reference Score Calculation'!B163</f>
        <v>CUHK</v>
      </c>
      <c r="C171" s="13" t="str">
        <f>'Reference Score Calculation'!D163</f>
        <v>信息工程學</v>
      </c>
      <c r="D171" s="13" t="str">
        <f>'Reference Score Calculation'!R163</f>
        <v>IERGN</v>
      </c>
      <c r="E171" s="13" t="str">
        <f>'Reference Score Calculation'!E163</f>
        <v>Best 5</v>
      </c>
      <c r="F171" s="20">
        <f>'Reference Score Calculation'!G163</f>
        <v>38.875</v>
      </c>
      <c r="G171" s="20">
        <f>'Reference Score Calculation'!H163</f>
        <v>36.75</v>
      </c>
      <c r="H171" s="20">
        <f>'Reference Score Calculation'!I163</f>
        <v>34.5</v>
      </c>
      <c r="I171" s="20">
        <f>計分版!J186</f>
        <v>4.2250000000000006E-9</v>
      </c>
      <c r="J171" s="13">
        <f>'Reference Score Calculation'!T163</f>
        <v>75</v>
      </c>
      <c r="K171" s="28">
        <f>'Reference Score Calculation'!U163</f>
        <v>68</v>
      </c>
      <c r="L171" s="112">
        <f>'Reference Score Calculation'!X163</f>
        <v>4.5</v>
      </c>
      <c r="M171" s="13">
        <f>入學要求!Z172</f>
        <v>0</v>
      </c>
    </row>
    <row r="172" spans="1:18">
      <c r="A172" s="13" t="str">
        <f>'Reference Score Calculation'!A164</f>
        <v>JS4458</v>
      </c>
      <c r="B172" s="13" t="str">
        <f>'Reference Score Calculation'!B164</f>
        <v>CUHK</v>
      </c>
      <c r="C172" s="13" t="str">
        <f>'Reference Score Calculation'!D164</f>
        <v>系統工程與工程管理</v>
      </c>
      <c r="D172" s="13" t="str">
        <f>'Reference Score Calculation'!R164</f>
        <v>SEEM</v>
      </c>
      <c r="E172" s="13" t="str">
        <f>'Reference Score Calculation'!E164</f>
        <v>Best 5</v>
      </c>
      <c r="F172" s="20">
        <f>'Reference Score Calculation'!G164</f>
        <v>30.25</v>
      </c>
      <c r="G172" s="20">
        <f>'Reference Score Calculation'!H164</f>
        <v>28</v>
      </c>
      <c r="H172" s="20">
        <f>'Reference Score Calculation'!I164</f>
        <v>26.75</v>
      </c>
      <c r="I172" s="20">
        <f>計分版!J187</f>
        <v>4.1000000000000003E-9</v>
      </c>
      <c r="J172" s="13">
        <f>'Reference Score Calculation'!T164</f>
        <v>53</v>
      </c>
      <c r="K172" s="28">
        <f>'Reference Score Calculation'!U164</f>
        <v>42</v>
      </c>
      <c r="L172" s="112">
        <f>'Reference Score Calculation'!X164</f>
        <v>4.333333333333333</v>
      </c>
      <c r="M172" s="13">
        <f>入學要求!Z173</f>
        <v>0</v>
      </c>
      <c r="R172" s="28"/>
    </row>
    <row r="173" spans="1:18">
      <c r="A173" s="13" t="str">
        <f>'Reference Score Calculation'!A165</f>
        <v>JS4460</v>
      </c>
      <c r="B173" s="13" t="str">
        <f>'Reference Score Calculation'!B165</f>
        <v>CUHK</v>
      </c>
      <c r="C173" s="13" t="str">
        <f>'Reference Score Calculation'!D165</f>
        <v>生物醫學工程學</v>
      </c>
      <c r="D173" s="13" t="str">
        <f>'Reference Score Calculation'!R165</f>
        <v>BMEG</v>
      </c>
      <c r="E173" s="13" t="str">
        <f>'Reference Score Calculation'!E165</f>
        <v>Best 5</v>
      </c>
      <c r="F173" s="20">
        <f>'Reference Score Calculation'!G165</f>
        <v>41.5</v>
      </c>
      <c r="G173" s="20">
        <f>'Reference Score Calculation'!H165</f>
        <v>40</v>
      </c>
      <c r="H173" s="20">
        <f>'Reference Score Calculation'!I165</f>
        <v>38.5</v>
      </c>
      <c r="I173" s="20">
        <f>計分版!J188</f>
        <v>4.1000000000000003E-9</v>
      </c>
      <c r="J173" s="13">
        <f>'Reference Score Calculation'!T165</f>
        <v>44</v>
      </c>
      <c r="K173" s="28">
        <f>'Reference Score Calculation'!U165</f>
        <v>21</v>
      </c>
      <c r="L173" s="112">
        <f>'Reference Score Calculation'!X165</f>
        <v>7.7142857142857144</v>
      </c>
      <c r="M173" s="13">
        <f>入學要求!Z174</f>
        <v>0</v>
      </c>
    </row>
    <row r="174" spans="1:18">
      <c r="A174" s="13" t="str">
        <f>'Reference Score Calculation'!A166</f>
        <v>JS4462</v>
      </c>
      <c r="B174" s="13" t="str">
        <f>'Reference Score Calculation'!B166</f>
        <v>CUHK</v>
      </c>
      <c r="C174" s="13" t="str">
        <f>'Reference Score Calculation'!D166</f>
        <v>能源與環境工程學</v>
      </c>
      <c r="D174" s="13" t="str">
        <f>'Reference Score Calculation'!R166</f>
        <v>EEEN</v>
      </c>
      <c r="E174" s="13" t="str">
        <f>'Reference Score Calculation'!E166</f>
        <v>Best 5</v>
      </c>
      <c r="F174" s="20">
        <f>'Reference Score Calculation'!G166</f>
        <v>29.05</v>
      </c>
      <c r="G174" s="20">
        <f>'Reference Score Calculation'!H166</f>
        <v>28</v>
      </c>
      <c r="H174" s="20">
        <f>'Reference Score Calculation'!I166</f>
        <v>27.3</v>
      </c>
      <c r="I174" s="20">
        <f>計分版!J189</f>
        <v>4.1000000000000003E-9</v>
      </c>
      <c r="J174" s="13">
        <f>'Reference Score Calculation'!T166</f>
        <v>28</v>
      </c>
      <c r="K174" s="28">
        <f>'Reference Score Calculation'!U166</f>
        <v>33</v>
      </c>
      <c r="L174" s="112">
        <f>'Reference Score Calculation'!X166</f>
        <v>10.212121212121213</v>
      </c>
      <c r="M174" s="13">
        <f>入學要求!Z175</f>
        <v>0</v>
      </c>
    </row>
    <row r="175" spans="1:18">
      <c r="A175" s="13" t="str">
        <f>'Reference Score Calculation'!A167</f>
        <v>JS4468</v>
      </c>
      <c r="B175" s="13" t="str">
        <f>'Reference Score Calculation'!B167</f>
        <v>CUHK</v>
      </c>
      <c r="C175" s="13" t="str">
        <f>'Reference Score Calculation'!D167</f>
        <v>人工智能：系統與科技</v>
      </c>
      <c r="D175" s="13" t="str">
        <f>'Reference Score Calculation'!R167</f>
        <v>AIST</v>
      </c>
      <c r="E175" s="13" t="str">
        <f>'Reference Score Calculation'!E167</f>
        <v>Best 5</v>
      </c>
      <c r="F175" s="20">
        <f>'Reference Score Calculation'!G167</f>
        <v>58</v>
      </c>
      <c r="G175" s="20">
        <f>'Reference Score Calculation'!H167</f>
        <v>54.125</v>
      </c>
      <c r="H175" s="20">
        <f>'Reference Score Calculation'!I167</f>
        <v>51.375</v>
      </c>
      <c r="I175" s="20">
        <f>計分版!J190</f>
        <v>4.2250000000000006E-9</v>
      </c>
      <c r="J175" s="13">
        <f>'Reference Score Calculation'!T167</f>
        <v>30</v>
      </c>
      <c r="K175" s="28">
        <f>'Reference Score Calculation'!U167</f>
        <v>35</v>
      </c>
      <c r="L175" s="112">
        <f>'Reference Score Calculation'!X167</f>
        <v>4.628571428571429</v>
      </c>
      <c r="M175" s="13">
        <f>入學要求!Z176</f>
        <v>0</v>
      </c>
    </row>
    <row r="176" spans="1:18">
      <c r="A176" s="13" t="str">
        <f>'Reference Score Calculation'!A168</f>
        <v>JS4501</v>
      </c>
      <c r="B176" s="13" t="str">
        <f>'Reference Score Calculation'!B168</f>
        <v>CUHK</v>
      </c>
      <c r="C176" s="13" t="str">
        <f>'Reference Score Calculation'!D168</f>
        <v>內外全科醫學士課程</v>
      </c>
      <c r="D176" s="13" t="str">
        <f>'Reference Score Calculation'!R168</f>
        <v>MBChB</v>
      </c>
      <c r="E176" s="13" t="str">
        <f>'Reference Score Calculation'!E168</f>
        <v>4C3X</v>
      </c>
      <c r="F176" s="20">
        <f>'Reference Score Calculation'!G168</f>
        <v>44</v>
      </c>
      <c r="G176" s="20">
        <f>'Reference Score Calculation'!H168</f>
        <v>43</v>
      </c>
      <c r="H176" s="20">
        <f>'Reference Score Calculation'!I168</f>
        <v>41</v>
      </c>
      <c r="I176" s="20">
        <f>計分版!J191</f>
        <v>3.6E-9</v>
      </c>
      <c r="J176" s="13">
        <f>'Reference Score Calculation'!T168</f>
        <v>295</v>
      </c>
      <c r="K176" s="28">
        <f>'Reference Score Calculation'!U168</f>
        <v>177</v>
      </c>
      <c r="L176" s="112">
        <f>'Reference Score Calculation'!X168</f>
        <v>2.3107344632768361</v>
      </c>
      <c r="M176" s="13">
        <f>入學要求!Z177</f>
        <v>0</v>
      </c>
    </row>
    <row r="177" spans="1:18">
      <c r="A177" s="13" t="str">
        <f>'Reference Score Calculation'!A169</f>
        <v>JS4502</v>
      </c>
      <c r="B177" s="13" t="str">
        <f>'Reference Score Calculation'!B169</f>
        <v>CUHK</v>
      </c>
      <c r="C177" s="13" t="str">
        <f>'Reference Score Calculation'!D169</f>
        <v>內外全科醫學士課程環球醫學領袖培訓專修組別</v>
      </c>
      <c r="D177" s="13" t="str">
        <f>'Reference Score Calculation'!R169</f>
        <v>MBChB-GPS</v>
      </c>
      <c r="E177" s="13" t="str">
        <f>'Reference Score Calculation'!E169</f>
        <v>4C3X</v>
      </c>
      <c r="F177" s="20">
        <f>'Reference Score Calculation'!G169</f>
        <v>47.5</v>
      </c>
      <c r="G177" s="20">
        <f>'Reference Score Calculation'!H169</f>
        <v>47</v>
      </c>
      <c r="H177" s="20">
        <f>'Reference Score Calculation'!I169</f>
        <v>46</v>
      </c>
      <c r="I177" s="20">
        <f>計分版!J192</f>
        <v>3.6E-9</v>
      </c>
      <c r="J177" s="13">
        <f>'Reference Score Calculation'!T169</f>
        <v>30</v>
      </c>
      <c r="K177" s="28">
        <f>'Reference Score Calculation'!U169</f>
        <v>30</v>
      </c>
      <c r="L177" s="112">
        <f>'Reference Score Calculation'!X169</f>
        <v>2.2333333333333334</v>
      </c>
      <c r="M177" s="13">
        <f>入學要求!Z178</f>
        <v>0</v>
      </c>
    </row>
    <row r="178" spans="1:18">
      <c r="A178" s="13" t="str">
        <f>'Reference Score Calculation'!A170</f>
        <v>JS4513</v>
      </c>
      <c r="B178" s="13" t="str">
        <f>'Reference Score Calculation'!B170</f>
        <v>CUHK</v>
      </c>
      <c r="C178" s="13" t="str">
        <f>'Reference Score Calculation'!D170</f>
        <v>護理學</v>
      </c>
      <c r="D178" s="13" t="str">
        <f>'Reference Score Calculation'!R170</f>
        <v>NURSING</v>
      </c>
      <c r="E178" s="13" t="str">
        <f>'Reference Score Calculation'!E170</f>
        <v>4C2X</v>
      </c>
      <c r="F178" s="20">
        <f>'Reference Score Calculation'!G170</f>
        <v>34.1</v>
      </c>
      <c r="G178" s="20">
        <f>'Reference Score Calculation'!H170</f>
        <v>32.9</v>
      </c>
      <c r="H178" s="20">
        <f>'Reference Score Calculation'!I170</f>
        <v>31.1</v>
      </c>
      <c r="I178" s="20">
        <f>計分版!J193</f>
        <v>2.7499999999999998E-9</v>
      </c>
      <c r="J178" s="13">
        <f>'Reference Score Calculation'!T170</f>
        <v>217</v>
      </c>
      <c r="K178" s="28">
        <f>'Reference Score Calculation'!U170</f>
        <v>245</v>
      </c>
      <c r="L178" s="112">
        <f>'Reference Score Calculation'!X170</f>
        <v>3.6734693877551021</v>
      </c>
      <c r="M178" s="13">
        <f>入學要求!Z179</f>
        <v>0</v>
      </c>
      <c r="R178" s="28"/>
    </row>
    <row r="179" spans="1:18">
      <c r="A179" s="13" t="str">
        <f>'Reference Score Calculation'!A171</f>
        <v>JS4525</v>
      </c>
      <c r="B179" s="13" t="str">
        <f>'Reference Score Calculation'!B171</f>
        <v>CUHK</v>
      </c>
      <c r="C179" s="13" t="str">
        <f>'Reference Score Calculation'!D171</f>
        <v>藥劑學</v>
      </c>
      <c r="D179" s="13" t="str">
        <f>'Reference Score Calculation'!R171</f>
        <v>PHARMACY</v>
      </c>
      <c r="E179" s="13" t="str">
        <f>'Reference Score Calculation'!E171</f>
        <v>4C2X</v>
      </c>
      <c r="F179" s="20">
        <f>'Reference Score Calculation'!G171</f>
        <v>36</v>
      </c>
      <c r="G179" s="20">
        <f>'Reference Score Calculation'!H171</f>
        <v>34.5</v>
      </c>
      <c r="H179" s="20">
        <f>'Reference Score Calculation'!I171</f>
        <v>33</v>
      </c>
      <c r="I179" s="20">
        <f>計分版!J194</f>
        <v>2.7499999999999998E-9</v>
      </c>
      <c r="J179" s="13">
        <f>'Reference Score Calculation'!T171</f>
        <v>59</v>
      </c>
      <c r="K179" s="28">
        <f>'Reference Score Calculation'!U171</f>
        <v>60</v>
      </c>
      <c r="L179" s="112">
        <f>'Reference Score Calculation'!X171</f>
        <v>5.1166666666666663</v>
      </c>
      <c r="M179" s="13">
        <f>入學要求!Z180</f>
        <v>0</v>
      </c>
    </row>
    <row r="180" spans="1:18">
      <c r="A180" s="13" t="str">
        <f>'Reference Score Calculation'!A172</f>
        <v>JS4537</v>
      </c>
      <c r="B180" s="13" t="str">
        <f>'Reference Score Calculation'!B172</f>
        <v>CUHK</v>
      </c>
      <c r="C180" s="13" t="str">
        <f>'Reference Score Calculation'!D172</f>
        <v>公共衞生</v>
      </c>
      <c r="D180" s="13" t="str">
        <f>'Reference Score Calculation'!R172</f>
        <v>PUBLIC HEALTH</v>
      </c>
      <c r="E180" s="13" t="str">
        <f>'Reference Score Calculation'!E172</f>
        <v>Best 5</v>
      </c>
      <c r="F180" s="20">
        <f>'Reference Score Calculation'!G172</f>
        <v>24.5</v>
      </c>
      <c r="G180" s="20">
        <f>'Reference Score Calculation'!H172</f>
        <v>24.5</v>
      </c>
      <c r="H180" s="20">
        <f>'Reference Score Calculation'!I172</f>
        <v>23.5</v>
      </c>
      <c r="I180" s="20">
        <f>計分版!J195</f>
        <v>3.9500000000000006E-9</v>
      </c>
      <c r="J180" s="13">
        <f>'Reference Score Calculation'!T172</f>
        <v>31</v>
      </c>
      <c r="K180" s="28">
        <f>'Reference Score Calculation'!U172</f>
        <v>15</v>
      </c>
      <c r="L180" s="112">
        <f>'Reference Score Calculation'!X172</f>
        <v>6.9333333333333336</v>
      </c>
      <c r="M180" s="13">
        <f>入學要求!Z181</f>
        <v>0</v>
      </c>
    </row>
    <row r="181" spans="1:18">
      <c r="A181" s="13" t="str">
        <f>'Reference Score Calculation'!A173</f>
        <v>JS4542</v>
      </c>
      <c r="B181" s="13" t="str">
        <f>'Reference Score Calculation'!B173</f>
        <v>CUHK</v>
      </c>
      <c r="C181" s="13" t="str">
        <f>'Reference Score Calculation'!D173</f>
        <v>中醫學</v>
      </c>
      <c r="D181" s="13" t="str">
        <f>'Reference Score Calculation'!R173</f>
        <v>CHIN MEDICINE</v>
      </c>
      <c r="E181" s="13" t="str">
        <f>'Reference Score Calculation'!E173</f>
        <v>4C2X</v>
      </c>
      <c r="F181" s="20">
        <f>'Reference Score Calculation'!G173</f>
        <v>34.5</v>
      </c>
      <c r="G181" s="20">
        <f>'Reference Score Calculation'!H173</f>
        <v>32</v>
      </c>
      <c r="H181" s="20">
        <f>'Reference Score Calculation'!I173</f>
        <v>31.5</v>
      </c>
      <c r="I181" s="20">
        <f>計分版!J196</f>
        <v>2.7499999999999998E-9</v>
      </c>
      <c r="J181" s="13">
        <f>'Reference Score Calculation'!T173</f>
        <v>20</v>
      </c>
      <c r="K181" s="28">
        <f>'Reference Score Calculation'!U173</f>
        <v>27</v>
      </c>
      <c r="L181" s="112">
        <f>'Reference Score Calculation'!X173</f>
        <v>7.0740740740740744</v>
      </c>
      <c r="M181" s="13">
        <f>入學要求!Z182</f>
        <v>0</v>
      </c>
    </row>
    <row r="182" spans="1:18">
      <c r="A182" s="13" t="str">
        <f>'Reference Score Calculation'!A174</f>
        <v>JS4550</v>
      </c>
      <c r="B182" s="13" t="str">
        <f>'Reference Score Calculation'!B174</f>
        <v>CUHK</v>
      </c>
      <c r="C182" s="13" t="str">
        <f>'Reference Score Calculation'!D174</f>
        <v>生物醫學</v>
      </c>
      <c r="D182" s="13" t="str">
        <f>'Reference Score Calculation'!R174</f>
        <v>BIOMEDICAL SCIENCES</v>
      </c>
      <c r="E182" s="13" t="str">
        <f>'Reference Score Calculation'!E174</f>
        <v>4C2X</v>
      </c>
      <c r="F182" s="20">
        <f>'Reference Score Calculation'!G174</f>
        <v>36</v>
      </c>
      <c r="G182" s="20">
        <f>'Reference Score Calculation'!H174</f>
        <v>35</v>
      </c>
      <c r="H182" s="20">
        <f>'Reference Score Calculation'!I174</f>
        <v>34.5</v>
      </c>
      <c r="I182" s="20">
        <f>計分版!J197</f>
        <v>2.6000000000000001E-9</v>
      </c>
      <c r="J182" s="13">
        <f>'Reference Score Calculation'!T174</f>
        <v>19</v>
      </c>
      <c r="K182" s="28">
        <f>'Reference Score Calculation'!U174</f>
        <v>18</v>
      </c>
      <c r="L182" s="112">
        <f>'Reference Score Calculation'!X174</f>
        <v>6.7222222222222223</v>
      </c>
      <c r="M182" s="13">
        <f>入學要求!Z183</f>
        <v>0</v>
      </c>
    </row>
    <row r="183" spans="1:18">
      <c r="A183" s="13" t="str">
        <f>'Reference Score Calculation'!A175</f>
        <v>JS4601</v>
      </c>
      <c r="B183" s="13" t="str">
        <f>'Reference Score Calculation'!B175</f>
        <v>CUHK</v>
      </c>
      <c r="C183" s="13" t="str">
        <f>'Reference Score Calculation'!D175</f>
        <v>理學</v>
      </c>
      <c r="D183" s="13" t="str">
        <f>'Reference Score Calculation'!R175</f>
        <v>SCIENCE</v>
      </c>
      <c r="E183" s="13" t="str">
        <f>'Reference Score Calculation'!E175</f>
        <v>Best 5</v>
      </c>
      <c r="F183" s="20">
        <f>'Reference Score Calculation'!G175</f>
        <v>39</v>
      </c>
      <c r="G183" s="20">
        <f>'Reference Score Calculation'!H175</f>
        <v>35.25</v>
      </c>
      <c r="H183" s="20">
        <f>'Reference Score Calculation'!I175</f>
        <v>33</v>
      </c>
      <c r="I183" s="20">
        <f>計分版!J198</f>
        <v>3.3999999999999998E-9</v>
      </c>
      <c r="J183" s="13">
        <f>'Reference Score Calculation'!T175</f>
        <v>352</v>
      </c>
      <c r="K183" s="28">
        <f>'Reference Score Calculation'!U175</f>
        <v>380</v>
      </c>
      <c r="L183" s="112">
        <f>'Reference Score Calculation'!X175</f>
        <v>4.8719999999999999</v>
      </c>
      <c r="M183" s="13">
        <f>入學要求!Z184</f>
        <v>0</v>
      </c>
    </row>
    <row r="184" spans="1:18">
      <c r="A184" s="13" t="str">
        <f>'Reference Score Calculation'!A176</f>
        <v>JS4648</v>
      </c>
      <c r="B184" s="13" t="str">
        <f>'Reference Score Calculation'!B176</f>
        <v>CUHK</v>
      </c>
      <c r="C184" s="13" t="str">
        <f>'Reference Score Calculation'!D176</f>
        <v>地球與環境科學</v>
      </c>
      <c r="D184" s="13" t="str">
        <f>'Reference Score Calculation'!R176</f>
        <v>EESC</v>
      </c>
      <c r="E184" s="13" t="str">
        <f>'Reference Score Calculation'!E176</f>
        <v>Best 5</v>
      </c>
      <c r="F184" s="20">
        <f>'Reference Score Calculation'!G176</f>
        <v>56</v>
      </c>
      <c r="G184" s="20">
        <f>'Reference Score Calculation'!H176</f>
        <v>49</v>
      </c>
      <c r="H184" s="20">
        <f>'Reference Score Calculation'!I176</f>
        <v>45</v>
      </c>
      <c r="I184" s="20">
        <f>計分版!J199</f>
        <v>3.3999999999999998E-9</v>
      </c>
      <c r="J184" s="13">
        <f>'Reference Score Calculation'!T176</f>
        <v>35</v>
      </c>
      <c r="K184" s="28">
        <f>'Reference Score Calculation'!U176</f>
        <v>38</v>
      </c>
      <c r="L184" s="112">
        <f>'Reference Score Calculation'!X176</f>
        <v>4.8684210526315788</v>
      </c>
      <c r="M184" s="13">
        <f>入學要求!Z185</f>
        <v>0</v>
      </c>
    </row>
    <row r="185" spans="1:18">
      <c r="A185" s="13" t="str">
        <f>'Reference Score Calculation'!A177</f>
        <v>JS4682</v>
      </c>
      <c r="B185" s="13" t="str">
        <f>'Reference Score Calculation'!B177</f>
        <v>CUHK</v>
      </c>
      <c r="C185" s="13" t="str">
        <f>'Reference Score Calculation'!D177</f>
        <v>數學精研</v>
      </c>
      <c r="D185" s="13" t="str">
        <f>'Reference Score Calculation'!R177</f>
        <v>ENRICHMENT MATHEMATICS</v>
      </c>
      <c r="E185" s="13" t="str">
        <f>'Reference Score Calculation'!E177</f>
        <v>Best 5</v>
      </c>
      <c r="F185" s="20">
        <f>'Reference Score Calculation'!G177</f>
        <v>56.25</v>
      </c>
      <c r="G185" s="20">
        <f>'Reference Score Calculation'!H177</f>
        <v>52.5</v>
      </c>
      <c r="H185" s="20">
        <f>'Reference Score Calculation'!I177</f>
        <v>48</v>
      </c>
      <c r="I185" s="20">
        <f>計分版!J200</f>
        <v>5.1000000000000002E-9</v>
      </c>
      <c r="J185" s="13">
        <f>'Reference Score Calculation'!T177</f>
        <v>35</v>
      </c>
      <c r="K185" s="28">
        <f>'Reference Score Calculation'!U177</f>
        <v>32</v>
      </c>
      <c r="L185" s="112">
        <f>'Reference Score Calculation'!X177</f>
        <v>3.53125</v>
      </c>
      <c r="M185" s="13">
        <f>入學要求!Z186</f>
        <v>0</v>
      </c>
    </row>
    <row r="186" spans="1:18">
      <c r="A186" s="13" t="str">
        <f>'Reference Score Calculation'!A178</f>
        <v>JS4690</v>
      </c>
      <c r="B186" s="13" t="str">
        <f>'Reference Score Calculation'!B178</f>
        <v>CUHK</v>
      </c>
      <c r="C186" s="13" t="str">
        <f>'Reference Score Calculation'!D178</f>
        <v>理論物理精研</v>
      </c>
      <c r="D186" s="13" t="str">
        <f>'Reference Score Calculation'!R178</f>
        <v>THEORETICAL PHYSICS</v>
      </c>
      <c r="E186" s="13" t="str">
        <f>'Reference Score Calculation'!E178</f>
        <v>Best 5</v>
      </c>
      <c r="F186" s="20">
        <f>'Reference Score Calculation'!G178</f>
        <v>48.5</v>
      </c>
      <c r="G186" s="20">
        <f>'Reference Score Calculation'!H178</f>
        <v>45.25</v>
      </c>
      <c r="H186" s="20">
        <f>'Reference Score Calculation'!I178</f>
        <v>43</v>
      </c>
      <c r="I186" s="20">
        <f>計分版!J201</f>
        <v>4.1000000000000003E-9</v>
      </c>
      <c r="J186" s="13">
        <f>'Reference Score Calculation'!T178</f>
        <v>20</v>
      </c>
      <c r="K186" s="28">
        <f>'Reference Score Calculation'!U178</f>
        <v>27</v>
      </c>
      <c r="L186" s="112">
        <f>'Reference Score Calculation'!X178</f>
        <v>2.8518518518518516</v>
      </c>
      <c r="M186" s="13">
        <f>入學要求!Z187</f>
        <v>0</v>
      </c>
    </row>
    <row r="187" spans="1:18">
      <c r="A187" s="13" t="str">
        <f>'Reference Score Calculation'!A179</f>
        <v>JS4719</v>
      </c>
      <c r="B187" s="13" t="str">
        <f>'Reference Score Calculation'!B179</f>
        <v>CUHK</v>
      </c>
      <c r="C187" s="13" t="str">
        <f>'Reference Score Calculation'!D179</f>
        <v>風險管理科學</v>
      </c>
      <c r="D187" s="13" t="str">
        <f>'Reference Score Calculation'!R179</f>
        <v>RISK MGT SCI</v>
      </c>
      <c r="E187" s="13" t="str">
        <f>'Reference Score Calculation'!E179</f>
        <v>Best 5</v>
      </c>
      <c r="F187" s="20">
        <f>'Reference Score Calculation'!G179</f>
        <v>44.5</v>
      </c>
      <c r="G187" s="20">
        <f>'Reference Score Calculation'!H179</f>
        <v>41.5</v>
      </c>
      <c r="H187" s="20">
        <f>'Reference Score Calculation'!I179</f>
        <v>39</v>
      </c>
      <c r="I187" s="20">
        <f>計分版!J202</f>
        <v>4.3500000000000001E-9</v>
      </c>
      <c r="J187" s="13">
        <f>'Reference Score Calculation'!T179</f>
        <v>25</v>
      </c>
      <c r="K187" s="28">
        <f>'Reference Score Calculation'!U179</f>
        <v>30</v>
      </c>
      <c r="L187" s="112">
        <f>'Reference Score Calculation'!X179</f>
        <v>2.9666666666666668</v>
      </c>
      <c r="M187" s="13">
        <f>入學要求!Z188</f>
        <v>0</v>
      </c>
    </row>
    <row r="188" spans="1:18">
      <c r="A188" s="13" t="str">
        <f>'Reference Score Calculation'!A180</f>
        <v>JS4725</v>
      </c>
      <c r="B188" s="13" t="str">
        <f>'Reference Score Calculation'!B180</f>
        <v>CUHK</v>
      </c>
      <c r="C188" s="13" t="str">
        <f>'Reference Score Calculation'!D180</f>
        <v>生物科技、創業與醫療管理</v>
      </c>
      <c r="D188" s="13" t="str">
        <f>'Reference Score Calculation'!R180</f>
        <v>BEHM</v>
      </c>
      <c r="E188" s="13" t="str">
        <f>'Reference Score Calculation'!E180</f>
        <v>Best 5</v>
      </c>
      <c r="F188" s="20">
        <f>'Reference Score Calculation'!G180</f>
        <v>30.5</v>
      </c>
      <c r="G188" s="20">
        <f>'Reference Score Calculation'!H180</f>
        <v>29</v>
      </c>
      <c r="H188" s="20">
        <f>'Reference Score Calculation'!I180</f>
        <v>29</v>
      </c>
      <c r="I188" s="20">
        <f>計分版!J203</f>
        <v>3.9500000000000006E-9</v>
      </c>
      <c r="J188" s="13">
        <f>'Reference Score Calculation'!T180</f>
        <v>15</v>
      </c>
      <c r="K188" s="28">
        <f>'Reference Score Calculation'!U180</f>
        <v>15</v>
      </c>
      <c r="L188" s="112">
        <f>'Reference Score Calculation'!X180</f>
        <v>3.9333333333333331</v>
      </c>
      <c r="M188" s="13">
        <f>入學要求!Z189</f>
        <v>0</v>
      </c>
    </row>
    <row r="189" spans="1:18">
      <c r="A189" s="13" t="str">
        <f>'Reference Score Calculation'!A181</f>
        <v>JS4733</v>
      </c>
      <c r="B189" s="13" t="str">
        <f>'Reference Score Calculation'!B181</f>
        <v>CUHK</v>
      </c>
      <c r="C189" s="13" t="str">
        <f>'Reference Score Calculation'!D181</f>
        <v>數學與信息工程學</v>
      </c>
      <c r="D189" s="13" t="str">
        <f>'Reference Score Calculation'!R181</f>
        <v>MIEGN</v>
      </c>
      <c r="E189" s="13" t="str">
        <f>'Reference Score Calculation'!E181</f>
        <v>4C2X</v>
      </c>
      <c r="F189" s="20" t="str">
        <f>'Reference Score Calculation'!G181</f>
        <v>/</v>
      </c>
      <c r="G189" s="20" t="str">
        <f>'Reference Score Calculation'!H181</f>
        <v>/</v>
      </c>
      <c r="H189" s="20" t="str">
        <f>'Reference Score Calculation'!I181</f>
        <v>/</v>
      </c>
      <c r="I189" s="20">
        <f>計分版!J204</f>
        <v>3.05E-9</v>
      </c>
      <c r="J189" s="13">
        <f>'Reference Score Calculation'!T181</f>
        <v>13</v>
      </c>
      <c r="K189" s="28">
        <f>'Reference Score Calculation'!U181</f>
        <v>4</v>
      </c>
      <c r="L189" s="112">
        <f>'Reference Score Calculation'!X181</f>
        <v>8</v>
      </c>
      <c r="M189" s="13">
        <f>入學要求!Z190</f>
        <v>0</v>
      </c>
    </row>
    <row r="190" spans="1:18">
      <c r="A190" s="13" t="str">
        <f>'Reference Score Calculation'!A182</f>
        <v>JS4750</v>
      </c>
      <c r="B190" s="13" t="str">
        <f>'Reference Score Calculation'!B182</f>
        <v>CUHK</v>
      </c>
      <c r="C190" s="13" t="str">
        <f>'Reference Score Calculation'!D182</f>
        <v>航天科學與地球信息學＋Ｘ雙主修課程</v>
      </c>
      <c r="D190" s="13" t="str">
        <f>'Reference Score Calculation'!R182</f>
        <v>ASEIDM</v>
      </c>
      <c r="E190" s="13" t="str">
        <f>'Reference Score Calculation'!E182</f>
        <v>24年新科目</v>
      </c>
      <c r="F190" s="20" t="str">
        <f>'Reference Score Calculation'!G182</f>
        <v>/</v>
      </c>
      <c r="G190" s="20" t="str">
        <f>'Reference Score Calculation'!H182</f>
        <v>/</v>
      </c>
      <c r="H190" s="20" t="str">
        <f>'Reference Score Calculation'!I182</f>
        <v>/</v>
      </c>
      <c r="I190" s="20">
        <f>計分版!J205</f>
        <v>0</v>
      </c>
      <c r="J190" s="13">
        <f>'Reference Score Calculation'!T182</f>
        <v>20</v>
      </c>
      <c r="K190" s="28" t="str">
        <f>'Reference Score Calculation'!U182</f>
        <v>/</v>
      </c>
      <c r="L190" s="112" t="str">
        <f>'Reference Score Calculation'!X182</f>
        <v>新科目</v>
      </c>
      <c r="M190" s="13">
        <f>入學要求!Z191</f>
        <v>0</v>
      </c>
    </row>
    <row r="191" spans="1:18">
      <c r="A191" s="13" t="str">
        <f>'Reference Score Calculation'!A183</f>
        <v>JS4760</v>
      </c>
      <c r="B191" s="13" t="str">
        <f>'Reference Score Calculation'!B183</f>
        <v>CUHK</v>
      </c>
      <c r="C191" s="13" t="str">
        <f>'Reference Score Calculation'!D183</f>
        <v>跨學科數據分析及Ｘ 理學士雙主修課程</v>
      </c>
      <c r="D191" s="13" t="str">
        <f>'Reference Score Calculation'!R183</f>
        <v>IDADM</v>
      </c>
      <c r="E191" s="13" t="str">
        <f>'Reference Score Calculation'!E183</f>
        <v>Best 5</v>
      </c>
      <c r="F191" s="20">
        <f>'Reference Score Calculation'!G183</f>
        <v>31</v>
      </c>
      <c r="G191" s="20">
        <f>'Reference Score Calculation'!H183</f>
        <v>29.5</v>
      </c>
      <c r="H191" s="20">
        <f>'Reference Score Calculation'!I183</f>
        <v>25</v>
      </c>
      <c r="I191" s="20">
        <f>計分版!J206</f>
        <v>3.9500000000000006E-9</v>
      </c>
      <c r="J191" s="13">
        <f>'Reference Score Calculation'!T183</f>
        <v>20</v>
      </c>
      <c r="K191" s="28">
        <f>'Reference Score Calculation'!U183</f>
        <v>9</v>
      </c>
      <c r="L191" s="112">
        <f>'Reference Score Calculation'!X183</f>
        <v>4.1111111111111107</v>
      </c>
      <c r="M191" s="13">
        <f>入學要求!Z192</f>
        <v>0</v>
      </c>
    </row>
    <row r="192" spans="1:18">
      <c r="A192" s="13" t="str">
        <f>'Reference Score Calculation'!A184</f>
        <v>JS4801</v>
      </c>
      <c r="B192" s="13" t="str">
        <f>'Reference Score Calculation'!B184</f>
        <v>CUHK</v>
      </c>
      <c r="C192" s="13" t="str">
        <f>'Reference Score Calculation'!D184</f>
        <v>社會科學</v>
      </c>
      <c r="D192" s="13" t="str">
        <f>'Reference Score Calculation'!R184</f>
        <v>SOCIAL SCIENCE</v>
      </c>
      <c r="E192" s="13" t="str">
        <f>'Reference Score Calculation'!E184</f>
        <v>Best 5</v>
      </c>
      <c r="F192" s="20">
        <f>'Reference Score Calculation'!G184</f>
        <v>27.2</v>
      </c>
      <c r="G192" s="20">
        <f>'Reference Score Calculation'!H184</f>
        <v>26.15</v>
      </c>
      <c r="H192" s="20">
        <f>'Reference Score Calculation'!I184</f>
        <v>25.7</v>
      </c>
      <c r="I192" s="20">
        <f>計分版!J207</f>
        <v>3.9500000000000006E-9</v>
      </c>
      <c r="J192" s="13">
        <f>'Reference Score Calculation'!T184</f>
        <v>63</v>
      </c>
      <c r="K192" s="28">
        <f>'Reference Score Calculation'!U184</f>
        <v>84</v>
      </c>
      <c r="L192" s="112">
        <f>'Reference Score Calculation'!X184</f>
        <v>9.75</v>
      </c>
      <c r="M192" s="13">
        <f>入學要求!Z193</f>
        <v>0</v>
      </c>
    </row>
    <row r="193" spans="1:13">
      <c r="A193" s="13" t="str">
        <f>'Reference Score Calculation'!A185</f>
        <v>JS4812</v>
      </c>
      <c r="B193" s="13" t="str">
        <f>'Reference Score Calculation'!B185</f>
        <v>CUHK</v>
      </c>
      <c r="C193" s="13" t="str">
        <f>'Reference Score Calculation'!D185</f>
        <v>建築學</v>
      </c>
      <c r="D193" s="13" t="str">
        <f>'Reference Score Calculation'!R185</f>
        <v>ARCHITECTURE</v>
      </c>
      <c r="E193" s="13" t="str">
        <f>'Reference Score Calculation'!E185</f>
        <v>Best 5</v>
      </c>
      <c r="F193" s="20">
        <f>'Reference Score Calculation'!G185</f>
        <v>31</v>
      </c>
      <c r="G193" s="20">
        <f>'Reference Score Calculation'!H185</f>
        <v>28</v>
      </c>
      <c r="H193" s="20">
        <f>'Reference Score Calculation'!I185</f>
        <v>27.25</v>
      </c>
      <c r="I193" s="20">
        <f>計分版!J208</f>
        <v>3.9500000000000006E-9</v>
      </c>
      <c r="J193" s="13">
        <f>'Reference Score Calculation'!T185</f>
        <v>31</v>
      </c>
      <c r="K193" s="28">
        <f>'Reference Score Calculation'!U185</f>
        <v>33</v>
      </c>
      <c r="L193" s="112">
        <f>'Reference Score Calculation'!X185</f>
        <v>5</v>
      </c>
      <c r="M193" s="13">
        <f>入學要求!Z194</f>
        <v>0</v>
      </c>
    </row>
    <row r="194" spans="1:13">
      <c r="A194" s="13" t="str">
        <f>'Reference Score Calculation'!A186</f>
        <v>JS4824</v>
      </c>
      <c r="B194" s="13" t="str">
        <f>'Reference Score Calculation'!B186</f>
        <v>CUHK</v>
      </c>
      <c r="C194" s="13" t="str">
        <f>'Reference Score Calculation'!D186</f>
        <v>經濟學</v>
      </c>
      <c r="D194" s="13" t="str">
        <f>'Reference Score Calculation'!R186</f>
        <v>ECONOMICS</v>
      </c>
      <c r="E194" s="13" t="str">
        <f>'Reference Score Calculation'!E186</f>
        <v>Best 5</v>
      </c>
      <c r="F194" s="20">
        <f>'Reference Score Calculation'!G186</f>
        <v>31.5</v>
      </c>
      <c r="G194" s="20">
        <f>'Reference Score Calculation'!H186</f>
        <v>30</v>
      </c>
      <c r="H194" s="20">
        <f>'Reference Score Calculation'!I186</f>
        <v>28.5</v>
      </c>
      <c r="I194" s="20">
        <f>計分版!J209</f>
        <v>4.1000000000000003E-9</v>
      </c>
      <c r="J194" s="13">
        <f>'Reference Score Calculation'!T186</f>
        <v>65</v>
      </c>
      <c r="K194" s="28">
        <f>'Reference Score Calculation'!U186</f>
        <v>45</v>
      </c>
      <c r="L194" s="112">
        <f>'Reference Score Calculation'!X186</f>
        <v>9.7333333333333325</v>
      </c>
      <c r="M194" s="13">
        <f>入學要求!Z195</f>
        <v>0</v>
      </c>
    </row>
    <row r="195" spans="1:13">
      <c r="A195" s="13" t="str">
        <f>'Reference Score Calculation'!A187</f>
        <v>JS4836</v>
      </c>
      <c r="B195" s="13" t="str">
        <f>'Reference Score Calculation'!B187</f>
        <v>CUHK</v>
      </c>
      <c r="C195" s="13" t="str">
        <f>'Reference Score Calculation'!D187</f>
        <v>地理與資源管理學</v>
      </c>
      <c r="D195" s="13" t="str">
        <f>'Reference Score Calculation'!R187</f>
        <v>GEO &amp; RES MGT</v>
      </c>
      <c r="E195" s="13" t="str">
        <f>'Reference Score Calculation'!E187</f>
        <v>Best 5</v>
      </c>
      <c r="F195" s="20">
        <f>'Reference Score Calculation'!G187</f>
        <v>31.5</v>
      </c>
      <c r="G195" s="20">
        <f>'Reference Score Calculation'!H187</f>
        <v>30</v>
      </c>
      <c r="H195" s="20">
        <f>'Reference Score Calculation'!I187</f>
        <v>28.5</v>
      </c>
      <c r="I195" s="20">
        <f>計分版!J210</f>
        <v>3.9500000000000006E-9</v>
      </c>
      <c r="J195" s="13">
        <f>'Reference Score Calculation'!T187</f>
        <v>39</v>
      </c>
      <c r="K195" s="28">
        <f>'Reference Score Calculation'!U187</f>
        <v>45</v>
      </c>
      <c r="L195" s="112">
        <f>'Reference Score Calculation'!X187</f>
        <v>7.8</v>
      </c>
      <c r="M195" s="13">
        <f>入學要求!Z196</f>
        <v>0</v>
      </c>
    </row>
    <row r="196" spans="1:13">
      <c r="A196" s="13" t="str">
        <f>'Reference Score Calculation'!A188</f>
        <v>JS4838</v>
      </c>
      <c r="B196" s="13" t="str">
        <f>'Reference Score Calculation'!B188</f>
        <v>CUHK</v>
      </c>
      <c r="C196" s="13" t="str">
        <f>'Reference Score Calculation'!D188</f>
        <v>城市研究</v>
      </c>
      <c r="D196" s="13" t="str">
        <f>'Reference Score Calculation'!R188</f>
        <v>URBAN STUDIES</v>
      </c>
      <c r="E196" s="13" t="str">
        <f>'Reference Score Calculation'!E188</f>
        <v>Best 5</v>
      </c>
      <c r="F196" s="20">
        <f>'Reference Score Calculation'!G188</f>
        <v>27.5</v>
      </c>
      <c r="G196" s="20">
        <f>'Reference Score Calculation'!H188</f>
        <v>24.5</v>
      </c>
      <c r="H196" s="20">
        <f>'Reference Score Calculation'!I188</f>
        <v>24.5</v>
      </c>
      <c r="I196" s="20">
        <f>計分版!J211</f>
        <v>3.9500000000000006E-9</v>
      </c>
      <c r="J196" s="13">
        <f>'Reference Score Calculation'!T188</f>
        <v>19</v>
      </c>
      <c r="K196" s="28">
        <f>'Reference Score Calculation'!U188</f>
        <v>27</v>
      </c>
      <c r="L196" s="112">
        <f>'Reference Score Calculation'!X188</f>
        <v>6.5185185185185182</v>
      </c>
      <c r="M196" s="13">
        <f>入學要求!Z197</f>
        <v>0</v>
      </c>
    </row>
    <row r="197" spans="1:13">
      <c r="A197" s="13" t="str">
        <f>'Reference Score Calculation'!A189</f>
        <v>JS4848</v>
      </c>
      <c r="B197" s="13" t="str">
        <f>'Reference Score Calculation'!B189</f>
        <v>CUHK</v>
      </c>
      <c r="C197" s="13" t="str">
        <f>'Reference Score Calculation'!D189</f>
        <v>政治與行政學</v>
      </c>
      <c r="D197" s="13" t="str">
        <f>'Reference Score Calculation'!R189</f>
        <v>GOV'T &amp; PUBLIC ADMIN</v>
      </c>
      <c r="E197" s="13" t="str">
        <f>'Reference Score Calculation'!E189</f>
        <v>Best 5</v>
      </c>
      <c r="F197" s="20">
        <f>'Reference Score Calculation'!G189</f>
        <v>27.75</v>
      </c>
      <c r="G197" s="20">
        <f>'Reference Score Calculation'!H189</f>
        <v>27.375</v>
      </c>
      <c r="H197" s="20">
        <f>'Reference Score Calculation'!I189</f>
        <v>26.75</v>
      </c>
      <c r="I197" s="20">
        <f>計分版!J212</f>
        <v>3.9500000000000006E-9</v>
      </c>
      <c r="J197" s="13">
        <f>'Reference Score Calculation'!T189</f>
        <v>37</v>
      </c>
      <c r="K197" s="28">
        <f>'Reference Score Calculation'!U189</f>
        <v>34</v>
      </c>
      <c r="L197" s="112">
        <f>'Reference Score Calculation'!X189</f>
        <v>9.382352941176471</v>
      </c>
      <c r="M197" s="13">
        <f>入學要求!Z198</f>
        <v>0</v>
      </c>
    </row>
    <row r="198" spans="1:13">
      <c r="A198" s="13" t="str">
        <f>'Reference Score Calculation'!A190</f>
        <v>JS4850</v>
      </c>
      <c r="B198" s="13" t="str">
        <f>'Reference Score Calculation'!B190</f>
        <v>CUHK</v>
      </c>
      <c r="C198" s="13" t="str">
        <f>'Reference Score Calculation'!D190</f>
        <v>新聞與傳播學</v>
      </c>
      <c r="D198" s="13" t="str">
        <f>'Reference Score Calculation'!R190</f>
        <v>JOURNALISM &amp; COMMUN</v>
      </c>
      <c r="E198" s="13" t="str">
        <f>'Reference Score Calculation'!E190</f>
        <v>Best 5</v>
      </c>
      <c r="F198" s="20">
        <f>'Reference Score Calculation'!G190</f>
        <v>32.75</v>
      </c>
      <c r="G198" s="20">
        <f>'Reference Score Calculation'!H190</f>
        <v>30.65</v>
      </c>
      <c r="H198" s="20">
        <f>'Reference Score Calculation'!I190</f>
        <v>28.85</v>
      </c>
      <c r="I198" s="20">
        <f>計分版!J213</f>
        <v>3.9500000000000006E-9</v>
      </c>
      <c r="J198" s="13">
        <f>'Reference Score Calculation'!T190</f>
        <v>43</v>
      </c>
      <c r="K198" s="28">
        <f>'Reference Score Calculation'!U190</f>
        <v>45</v>
      </c>
      <c r="L198" s="112">
        <f>'Reference Score Calculation'!X190</f>
        <v>4.3555555555555552</v>
      </c>
      <c r="M198" s="13">
        <f>入學要求!Z199</f>
        <v>0</v>
      </c>
    </row>
    <row r="199" spans="1:13">
      <c r="A199" s="13" t="str">
        <f>'Reference Score Calculation'!A191</f>
        <v>JS4858</v>
      </c>
      <c r="B199" s="13" t="str">
        <f>'Reference Score Calculation'!B191</f>
        <v>CUHK</v>
      </c>
      <c r="C199" s="13" t="str">
        <f>'Reference Score Calculation'!D191</f>
        <v>全球傳播</v>
      </c>
      <c r="D199" s="13" t="str">
        <f>'Reference Score Calculation'!R191</f>
        <v>GLOBAL COMM</v>
      </c>
      <c r="E199" s="13" t="str">
        <f>'Reference Score Calculation'!E191</f>
        <v>Best 5</v>
      </c>
      <c r="F199" s="20">
        <f>'Reference Score Calculation'!G191</f>
        <v>32.6</v>
      </c>
      <c r="G199" s="20">
        <f>'Reference Score Calculation'!H191</f>
        <v>28.7</v>
      </c>
      <c r="H199" s="20">
        <f>'Reference Score Calculation'!I191</f>
        <v>27.2</v>
      </c>
      <c r="I199" s="20">
        <f>計分版!J214</f>
        <v>3.9500000000000006E-9</v>
      </c>
      <c r="J199" s="13">
        <f>'Reference Score Calculation'!T191</f>
        <v>9</v>
      </c>
      <c r="K199" s="28">
        <f>'Reference Score Calculation'!U191</f>
        <v>10</v>
      </c>
      <c r="L199" s="112">
        <f>'Reference Score Calculation'!X191</f>
        <v>4</v>
      </c>
      <c r="M199" s="13">
        <f>入學要求!Z200</f>
        <v>0</v>
      </c>
    </row>
    <row r="200" spans="1:13">
      <c r="A200" s="13" t="str">
        <f>'Reference Score Calculation'!A192</f>
        <v>JS4862</v>
      </c>
      <c r="B200" s="13" t="str">
        <f>'Reference Score Calculation'!B192</f>
        <v>CUHK</v>
      </c>
      <c r="C200" s="13" t="str">
        <f>'Reference Score Calculation'!D192</f>
        <v>心理學</v>
      </c>
      <c r="D200" s="13" t="str">
        <f>'Reference Score Calculation'!R192</f>
        <v>PSYCHOLOGY</v>
      </c>
      <c r="E200" s="13" t="str">
        <f>'Reference Score Calculation'!E192</f>
        <v>Best 5</v>
      </c>
      <c r="F200" s="20">
        <f>'Reference Score Calculation'!G192</f>
        <v>34.5</v>
      </c>
      <c r="G200" s="20">
        <f>'Reference Score Calculation'!H192</f>
        <v>33</v>
      </c>
      <c r="H200" s="20">
        <f>'Reference Score Calculation'!I192</f>
        <v>30.75</v>
      </c>
      <c r="I200" s="20">
        <f>計分版!J215</f>
        <v>3.9500000000000006E-9</v>
      </c>
      <c r="J200" s="13">
        <f>'Reference Score Calculation'!T192</f>
        <v>56</v>
      </c>
      <c r="K200" s="28">
        <f>'Reference Score Calculation'!U192</f>
        <v>73</v>
      </c>
      <c r="L200" s="112">
        <f>'Reference Score Calculation'!X192</f>
        <v>5.4794520547945202</v>
      </c>
      <c r="M200" s="13">
        <f>入學要求!Z201</f>
        <v>0</v>
      </c>
    </row>
    <row r="201" spans="1:13">
      <c r="A201" s="13" t="str">
        <f>'Reference Score Calculation'!A193</f>
        <v>JS4874</v>
      </c>
      <c r="B201" s="13" t="str">
        <f>'Reference Score Calculation'!B193</f>
        <v>CUHK</v>
      </c>
      <c r="C201" s="13" t="str">
        <f>'Reference Score Calculation'!D193</f>
        <v>社會工作</v>
      </c>
      <c r="D201" s="13" t="str">
        <f>'Reference Score Calculation'!R193</f>
        <v>SOCIAL WORK</v>
      </c>
      <c r="E201" s="13" t="str">
        <f>'Reference Score Calculation'!E193</f>
        <v>Best 5</v>
      </c>
      <c r="F201" s="20">
        <f>'Reference Score Calculation'!G193</f>
        <v>29</v>
      </c>
      <c r="G201" s="20">
        <f>'Reference Score Calculation'!H193</f>
        <v>27.5</v>
      </c>
      <c r="H201" s="20">
        <f>'Reference Score Calculation'!I193</f>
        <v>27.5</v>
      </c>
      <c r="I201" s="20">
        <f>計分版!J216</f>
        <v>3.9500000000000006E-9</v>
      </c>
      <c r="J201" s="13">
        <f>'Reference Score Calculation'!T193</f>
        <v>45</v>
      </c>
      <c r="K201" s="28">
        <f>'Reference Score Calculation'!U193</f>
        <v>40</v>
      </c>
      <c r="L201" s="112">
        <f>'Reference Score Calculation'!X193</f>
        <v>9.625</v>
      </c>
      <c r="M201" s="13">
        <f>入學要求!Z202</f>
        <v>0</v>
      </c>
    </row>
    <row r="202" spans="1:13">
      <c r="A202" s="13" t="str">
        <f>'Reference Score Calculation'!A194</f>
        <v>JS4886</v>
      </c>
      <c r="B202" s="13" t="str">
        <f>'Reference Score Calculation'!B194</f>
        <v>CUHK</v>
      </c>
      <c r="C202" s="13" t="str">
        <f>'Reference Score Calculation'!D194</f>
        <v>社會學</v>
      </c>
      <c r="D202" s="13" t="str">
        <f>'Reference Score Calculation'!R194</f>
        <v>SOCIOLOGY</v>
      </c>
      <c r="E202" s="13" t="str">
        <f>'Reference Score Calculation'!E194</f>
        <v>Best 5</v>
      </c>
      <c r="F202" s="20">
        <f>'Reference Score Calculation'!G194</f>
        <v>28.5</v>
      </c>
      <c r="G202" s="20">
        <f>'Reference Score Calculation'!H194</f>
        <v>27.75</v>
      </c>
      <c r="H202" s="20">
        <f>'Reference Score Calculation'!I194</f>
        <v>27</v>
      </c>
      <c r="I202" s="20">
        <f>計分版!J217</f>
        <v>3.9500000000000006E-9</v>
      </c>
      <c r="J202" s="13">
        <f>'Reference Score Calculation'!T194</f>
        <v>38</v>
      </c>
      <c r="K202" s="28">
        <f>'Reference Score Calculation'!U194</f>
        <v>49</v>
      </c>
      <c r="L202" s="112">
        <f>'Reference Score Calculation'!X194</f>
        <v>8.9787234042553195</v>
      </c>
      <c r="M202" s="13">
        <f>入學要求!Z203</f>
        <v>0</v>
      </c>
    </row>
    <row r="203" spans="1:13">
      <c r="A203" s="13" t="str">
        <f>'Reference Score Calculation'!A195</f>
        <v>JS4892</v>
      </c>
      <c r="B203" s="13" t="str">
        <f>'Reference Score Calculation'!B195</f>
        <v>CUHK</v>
      </c>
      <c r="C203" s="13" t="str">
        <f>'Reference Score Calculation'!D195</f>
        <v>全球研究</v>
      </c>
      <c r="D203" s="13" t="str">
        <f>'Reference Score Calculation'!R195</f>
        <v>GLOBAL STUDIES</v>
      </c>
      <c r="E203" s="13" t="str">
        <f>'Reference Score Calculation'!E195</f>
        <v>Best 5</v>
      </c>
      <c r="F203" s="20">
        <f>'Reference Score Calculation'!G195</f>
        <v>29.5</v>
      </c>
      <c r="G203" s="20">
        <f>'Reference Score Calculation'!H195</f>
        <v>26.5</v>
      </c>
      <c r="H203" s="20">
        <f>'Reference Score Calculation'!I195</f>
        <v>25.75</v>
      </c>
      <c r="I203" s="20">
        <f>計分版!J218</f>
        <v>3.9500000000000006E-9</v>
      </c>
      <c r="J203" s="13">
        <f>'Reference Score Calculation'!T195</f>
        <v>19</v>
      </c>
      <c r="K203" s="28">
        <f>'Reference Score Calculation'!U195</f>
        <v>16</v>
      </c>
      <c r="L203" s="112">
        <f>'Reference Score Calculation'!X195</f>
        <v>5.25</v>
      </c>
      <c r="M203" s="13">
        <f>入學要求!Z204</f>
        <v>0</v>
      </c>
    </row>
    <row r="204" spans="1:13">
      <c r="A204" s="13" t="str">
        <f>'Reference Score Calculation'!A196</f>
        <v>JS4893</v>
      </c>
      <c r="B204" s="13" t="str">
        <f>'Reference Score Calculation'!B196</f>
        <v>CUHK</v>
      </c>
      <c r="C204" s="13" t="str">
        <f>'Reference Score Calculation'!D196</f>
        <v>數據科學與政策研究</v>
      </c>
      <c r="D204" s="13" t="str">
        <f>'Reference Score Calculation'!R196</f>
        <v>DSPS</v>
      </c>
      <c r="E204" s="13" t="str">
        <f>'Reference Score Calculation'!E196</f>
        <v>Best 5</v>
      </c>
      <c r="F204" s="20">
        <f>'Reference Score Calculation'!G196</f>
        <v>26</v>
      </c>
      <c r="G204" s="20">
        <f>'Reference Score Calculation'!H196</f>
        <v>23</v>
      </c>
      <c r="H204" s="20">
        <f>'Reference Score Calculation'!I196</f>
        <v>21.5</v>
      </c>
      <c r="I204" s="20">
        <f>計分版!J219</f>
        <v>3.9500000000000006E-9</v>
      </c>
      <c r="J204" s="13">
        <f>'Reference Score Calculation'!T196</f>
        <v>19</v>
      </c>
      <c r="K204" s="28">
        <f>'Reference Score Calculation'!U196</f>
        <v>12</v>
      </c>
      <c r="L204" s="112">
        <f>'Reference Score Calculation'!X196</f>
        <v>2.75</v>
      </c>
      <c r="M204" s="13">
        <f>入學要求!Z205</f>
        <v>0</v>
      </c>
    </row>
    <row r="205" spans="1:13">
      <c r="A205" s="13" t="str">
        <f>'Reference Score Calculation'!A197</f>
        <v>JS4903</v>
      </c>
      <c r="B205" s="13" t="str">
        <f>'Reference Score Calculation'!B197</f>
        <v>CUHK</v>
      </c>
      <c r="C205" s="13" t="str">
        <f>'Reference Score Calculation'!D197</f>
        <v>法學士</v>
      </c>
      <c r="D205" s="13" t="str">
        <f>'Reference Score Calculation'!R197</f>
        <v>LLB</v>
      </c>
      <c r="E205" s="13" t="str">
        <f>'Reference Score Calculation'!E197</f>
        <v>4C2X</v>
      </c>
      <c r="F205" s="20">
        <f>'Reference Score Calculation'!G197</f>
        <v>47.5</v>
      </c>
      <c r="G205" s="20">
        <f>'Reference Score Calculation'!H197</f>
        <v>45.25</v>
      </c>
      <c r="H205" s="20">
        <f>'Reference Score Calculation'!I197</f>
        <v>43.75</v>
      </c>
      <c r="I205" s="20">
        <f>計分版!J220</f>
        <v>3.1500000000000001E-9</v>
      </c>
      <c r="J205" s="13">
        <f>'Reference Score Calculation'!T197</f>
        <v>73</v>
      </c>
      <c r="K205" s="28">
        <f>'Reference Score Calculation'!U197</f>
        <v>46</v>
      </c>
      <c r="L205" s="112">
        <f>'Reference Score Calculation'!X197</f>
        <v>5.3695652173913047</v>
      </c>
      <c r="M205" s="13">
        <f>入學要求!Z206</f>
        <v>0</v>
      </c>
    </row>
    <row r="206" spans="1:13">
      <c r="D206" s="13"/>
      <c r="K206" s="28"/>
    </row>
    <row r="207" spans="1:13">
      <c r="D207" s="13"/>
      <c r="K207" s="28"/>
    </row>
    <row r="208" spans="1:13">
      <c r="A208" s="13" t="str">
        <f>'Reference Score Calculation'!A200</f>
        <v>JS5101</v>
      </c>
      <c r="B208" s="13" t="str">
        <f>'Reference Score Calculation'!B200</f>
        <v>HKUST</v>
      </c>
      <c r="C208" s="13" t="str">
        <f>'Reference Score Calculation'!D200</f>
        <v>國際科研</v>
      </c>
      <c r="D208" s="13" t="str">
        <f>'Reference Score Calculation'!R200</f>
        <v>IRE</v>
      </c>
      <c r="E208" s="13" t="str">
        <f>'Reference Score Calculation'!E200</f>
        <v>英數Best3</v>
      </c>
      <c r="F208" s="20" t="str">
        <f>'Reference Score Calculation'!G200</f>
        <v>/</v>
      </c>
      <c r="G208" s="20">
        <f>'Reference Score Calculation'!H200</f>
        <v>36.5</v>
      </c>
      <c r="H208" s="20">
        <f>'Reference Score Calculation'!I200</f>
        <v>34.630000000000003</v>
      </c>
      <c r="I208" s="20">
        <f>計分版!J223</f>
        <v>1.6000000000000001E-9</v>
      </c>
      <c r="J208" s="13">
        <f>'Reference Score Calculation'!T200</f>
        <v>21</v>
      </c>
      <c r="K208" s="28">
        <f>'Reference Score Calculation'!U200</f>
        <v>20</v>
      </c>
      <c r="L208" s="112">
        <f>'Reference Score Calculation'!X200</f>
        <v>3.65</v>
      </c>
      <c r="M208" s="13">
        <f>入學要求!Z209</f>
        <v>0</v>
      </c>
    </row>
    <row r="209" spans="1:13">
      <c r="A209" s="13" t="str">
        <f>'Reference Score Calculation'!A201</f>
        <v>JS5102</v>
      </c>
      <c r="B209" s="13" t="str">
        <f>'Reference Score Calculation'!B201</f>
        <v>HKUST</v>
      </c>
      <c r="C209" s="13" t="str">
        <f>'Reference Score Calculation'!D201</f>
        <v>理學Ａ組</v>
      </c>
      <c r="D209" s="13" t="str">
        <f>'Reference Score Calculation'!R201</f>
        <v>SSCI-A</v>
      </c>
      <c r="E209" s="13" t="str">
        <f>'Reference Score Calculation'!E201</f>
        <v>英數Best3</v>
      </c>
      <c r="F209" s="20" t="str">
        <f>'Reference Score Calculation'!G201</f>
        <v>/</v>
      </c>
      <c r="G209" s="20">
        <f>'Reference Score Calculation'!H201</f>
        <v>29</v>
      </c>
      <c r="H209" s="20">
        <f>'Reference Score Calculation'!I201</f>
        <v>27</v>
      </c>
      <c r="I209" s="20">
        <f>計分版!J224</f>
        <v>2.5000000000000001E-9</v>
      </c>
      <c r="J209" s="13" t="str">
        <f>'Reference Score Calculation'!T201</f>
        <v>431*</v>
      </c>
      <c r="K209" s="28">
        <f>'Reference Score Calculation'!U201</f>
        <v>178</v>
      </c>
      <c r="L209" s="112">
        <f>'Reference Score Calculation'!X201</f>
        <v>3.6860465116279069</v>
      </c>
      <c r="M209" s="13">
        <f>入學要求!Z210</f>
        <v>0</v>
      </c>
    </row>
    <row r="210" spans="1:13">
      <c r="A210" s="13" t="str">
        <f>'Reference Score Calculation'!A202</f>
        <v>JS5103</v>
      </c>
      <c r="B210" s="13" t="str">
        <f>'Reference Score Calculation'!B202</f>
        <v>HKUST</v>
      </c>
      <c r="C210" s="13" t="str">
        <f>'Reference Score Calculation'!D202</f>
        <v>理學Ｂ組</v>
      </c>
      <c r="D210" s="13" t="str">
        <f>'Reference Score Calculation'!R202</f>
        <v>SSCI-B</v>
      </c>
      <c r="E210" s="13" t="str">
        <f>'Reference Score Calculation'!E202</f>
        <v>英數Best3</v>
      </c>
      <c r="F210" s="20" t="str">
        <f>'Reference Score Calculation'!G202</f>
        <v>/</v>
      </c>
      <c r="G210" s="20">
        <f>'Reference Score Calculation'!H202</f>
        <v>30</v>
      </c>
      <c r="H210" s="20">
        <f>'Reference Score Calculation'!I202</f>
        <v>28.5</v>
      </c>
      <c r="I210" s="20">
        <f>計分版!J225</f>
        <v>2.2500000000000003E-9</v>
      </c>
      <c r="J210" s="13" t="str">
        <f>'Reference Score Calculation'!T202</f>
        <v>431*</v>
      </c>
      <c r="K210" s="28">
        <f>'Reference Score Calculation'!U202</f>
        <v>264</v>
      </c>
      <c r="L210" s="112">
        <f>'Reference Score Calculation'!X202</f>
        <v>3.3647058823529412</v>
      </c>
      <c r="M210" s="13">
        <f>入學要求!Z211</f>
        <v>0</v>
      </c>
    </row>
    <row r="211" spans="1:13">
      <c r="A211" s="13" t="str">
        <f>'Reference Score Calculation'!A203</f>
        <v>JS5181</v>
      </c>
      <c r="B211" s="13" t="str">
        <f>'Reference Score Calculation'!B203</f>
        <v>HKUST</v>
      </c>
      <c r="C211" s="13" t="str">
        <f>'Reference Score Calculation'!D203</f>
        <v>理學Ａ組– 延伸主修人工智能</v>
      </c>
      <c r="D211" s="13" t="str">
        <f>'Reference Score Calculation'!R203</f>
        <v>SSCI-A (AI)</v>
      </c>
      <c r="E211" s="13" t="str">
        <f>'Reference Score Calculation'!E203</f>
        <v>英數Best3</v>
      </c>
      <c r="F211" s="20" t="str">
        <f>'Reference Score Calculation'!G203</f>
        <v>/</v>
      </c>
      <c r="G211" s="20">
        <f>'Reference Score Calculation'!H203</f>
        <v>36</v>
      </c>
      <c r="H211" s="20">
        <f>'Reference Score Calculation'!I203</f>
        <v>34.5</v>
      </c>
      <c r="I211" s="20">
        <f>計分版!J226</f>
        <v>2.5000000000000001E-9</v>
      </c>
      <c r="J211" s="13">
        <f>'Reference Score Calculation'!T203</f>
        <v>41</v>
      </c>
      <c r="K211" s="28">
        <f>'Reference Score Calculation'!U203</f>
        <v>33</v>
      </c>
      <c r="L211" s="112">
        <f>'Reference Score Calculation'!X203</f>
        <v>4</v>
      </c>
      <c r="M211" s="13">
        <f>入學要求!Z212</f>
        <v>0</v>
      </c>
    </row>
    <row r="212" spans="1:13">
      <c r="A212" s="13" t="str">
        <f>'Reference Score Calculation'!A204</f>
        <v>JS5200</v>
      </c>
      <c r="B212" s="13" t="str">
        <f>'Reference Score Calculation'!B204</f>
        <v>HKUST</v>
      </c>
      <c r="C212" s="13" t="str">
        <f>'Reference Score Calculation'!D204</f>
        <v>工程學</v>
      </c>
      <c r="D212" s="13" t="str">
        <f>'Reference Score Calculation'!R204</f>
        <v>ENGG</v>
      </c>
      <c r="E212" s="13" t="str">
        <f>'Reference Score Calculation'!E204</f>
        <v>英數Best3</v>
      </c>
      <c r="F212" s="20" t="str">
        <f>'Reference Score Calculation'!G204</f>
        <v>/</v>
      </c>
      <c r="G212" s="20">
        <f>'Reference Score Calculation'!H204</f>
        <v>35.5</v>
      </c>
      <c r="H212" s="20">
        <f>'Reference Score Calculation'!I204</f>
        <v>34</v>
      </c>
      <c r="I212" s="20">
        <f>計分版!J227</f>
        <v>2.5000000000000001E-9</v>
      </c>
      <c r="J212" s="13">
        <f>'Reference Score Calculation'!T204</f>
        <v>532</v>
      </c>
      <c r="K212" s="28">
        <f>'Reference Score Calculation'!U204</f>
        <v>385</v>
      </c>
      <c r="L212" s="112">
        <f>'Reference Score Calculation'!X204</f>
        <v>3.3280839895013123</v>
      </c>
      <c r="M212" s="13">
        <f>入學要求!Z213</f>
        <v>0</v>
      </c>
    </row>
    <row r="213" spans="1:13">
      <c r="A213" s="13" t="str">
        <f>'Reference Score Calculation'!A205</f>
        <v>JS5282</v>
      </c>
      <c r="B213" s="13" t="str">
        <f>'Reference Score Calculation'!B205</f>
        <v>HKUST</v>
      </c>
      <c r="C213" s="13" t="str">
        <f>'Reference Score Calculation'!D205</f>
        <v>工程學– 延伸主修人工智能</v>
      </c>
      <c r="D213" s="13" t="str">
        <f>'Reference Score Calculation'!R205</f>
        <v>ENGG+AI</v>
      </c>
      <c r="E213" s="13" t="str">
        <f>'Reference Score Calculation'!E205</f>
        <v>英數Best3</v>
      </c>
      <c r="F213" s="20" t="str">
        <f>'Reference Score Calculation'!G205</f>
        <v>/</v>
      </c>
      <c r="G213" s="20">
        <f>'Reference Score Calculation'!H205</f>
        <v>46.5</v>
      </c>
      <c r="H213" s="20">
        <f>'Reference Score Calculation'!I205</f>
        <v>43.25</v>
      </c>
      <c r="I213" s="20">
        <f>計分版!J228</f>
        <v>2.5000000000000001E-9</v>
      </c>
      <c r="J213" s="13">
        <f>'Reference Score Calculation'!T205</f>
        <v>152</v>
      </c>
      <c r="K213" s="28">
        <f>'Reference Score Calculation'!U205</f>
        <v>140</v>
      </c>
      <c r="L213" s="112">
        <f>'Reference Score Calculation'!X205</f>
        <v>2.5142857142857142</v>
      </c>
      <c r="M213" s="13">
        <f>入學要求!Z214</f>
        <v>0</v>
      </c>
    </row>
    <row r="214" spans="1:13">
      <c r="A214" s="13" t="str">
        <f>'Reference Score Calculation'!A206</f>
        <v>JS5300</v>
      </c>
      <c r="B214" s="13" t="str">
        <f>'Reference Score Calculation'!B206</f>
        <v>HKUST</v>
      </c>
      <c r="C214" s="13" t="str">
        <f>'Reference Score Calculation'!D206</f>
        <v>工商管理</v>
      </c>
      <c r="D214" s="13" t="str">
        <f>'Reference Score Calculation'!R206</f>
        <v>B&amp;M</v>
      </c>
      <c r="E214" s="13" t="str">
        <f>'Reference Score Calculation'!E206</f>
        <v>英數Best4</v>
      </c>
      <c r="F214" s="20" t="str">
        <f>'Reference Score Calculation'!G206</f>
        <v>/</v>
      </c>
      <c r="G214" s="20">
        <f>'Reference Score Calculation'!H206</f>
        <v>35</v>
      </c>
      <c r="H214" s="20">
        <f>'Reference Score Calculation'!I206</f>
        <v>34</v>
      </c>
      <c r="I214" s="20">
        <f>計分版!J229</f>
        <v>4.0000000000000002E-9</v>
      </c>
      <c r="J214" s="13">
        <f>'Reference Score Calculation'!T206</f>
        <v>377</v>
      </c>
      <c r="K214" s="28">
        <f>'Reference Score Calculation'!U206</f>
        <v>300</v>
      </c>
      <c r="L214" s="112">
        <f>'Reference Score Calculation'!X206</f>
        <v>2.9733333333333332</v>
      </c>
      <c r="M214" s="13">
        <f>入學要求!Z215</f>
        <v>0</v>
      </c>
    </row>
    <row r="215" spans="1:13">
      <c r="A215" s="13" t="str">
        <f>'Reference Score Calculation'!A207</f>
        <v>JS5311</v>
      </c>
      <c r="B215" s="13" t="str">
        <f>'Reference Score Calculation'!B207</f>
        <v>HKUST</v>
      </c>
      <c r="C215" s="13" t="str">
        <f>'Reference Score Calculation'!D207</f>
        <v>工商管理學士（經濟學）</v>
      </c>
      <c r="D215" s="13" t="str">
        <f>'Reference Score Calculation'!R207</f>
        <v>ECON</v>
      </c>
      <c r="E215" s="13" t="str">
        <f>'Reference Score Calculation'!E207</f>
        <v>英數Best4</v>
      </c>
      <c r="F215" s="20" t="str">
        <f>'Reference Score Calculation'!G207</f>
        <v>/</v>
      </c>
      <c r="G215" s="20">
        <f>'Reference Score Calculation'!H207</f>
        <v>38</v>
      </c>
      <c r="H215" s="20">
        <f>'Reference Score Calculation'!I207</f>
        <v>36.5</v>
      </c>
      <c r="I215" s="20">
        <f>計分版!J230</f>
        <v>4.0000000000000002E-9</v>
      </c>
      <c r="J215" s="13" t="str">
        <f>'Reference Score Calculation'!T207</f>
        <v>125*</v>
      </c>
      <c r="K215" s="28">
        <f>'Reference Score Calculation'!U207</f>
        <v>29</v>
      </c>
      <c r="L215" s="112">
        <f>'Reference Score Calculation'!X207</f>
        <v>3.3448275862068964</v>
      </c>
      <c r="M215" s="13">
        <f>入學要求!Z216</f>
        <v>0</v>
      </c>
    </row>
    <row r="216" spans="1:13">
      <c r="A216" s="13" t="str">
        <f>'Reference Score Calculation'!A208</f>
        <v>JS5312</v>
      </c>
      <c r="B216" s="13" t="str">
        <f>'Reference Score Calculation'!B208</f>
        <v>HKUST</v>
      </c>
      <c r="C216" s="13" t="str">
        <f>'Reference Score Calculation'!D208</f>
        <v>工商管理學士（金融學）</v>
      </c>
      <c r="D216" s="13" t="str">
        <f>'Reference Score Calculation'!R208</f>
        <v>FINA</v>
      </c>
      <c r="E216" s="13" t="str">
        <f>'Reference Score Calculation'!E208</f>
        <v>英數Best4</v>
      </c>
      <c r="F216" s="20" t="str">
        <f>'Reference Score Calculation'!G208</f>
        <v>/</v>
      </c>
      <c r="G216" s="20">
        <f>'Reference Score Calculation'!H208</f>
        <v>47.5</v>
      </c>
      <c r="H216" s="20">
        <f>'Reference Score Calculation'!I208</f>
        <v>46</v>
      </c>
      <c r="I216" s="20">
        <f>計分版!J231</f>
        <v>3.3999999999999998E-9</v>
      </c>
      <c r="J216" s="13">
        <f>'Reference Score Calculation'!T208</f>
        <v>30</v>
      </c>
      <c r="K216" s="28">
        <f>'Reference Score Calculation'!U208</f>
        <v>45</v>
      </c>
      <c r="L216" s="112">
        <f>'Reference Score Calculation'!X208</f>
        <v>3.1333333333333333</v>
      </c>
      <c r="M216" s="13">
        <f>入學要求!Z217</f>
        <v>0</v>
      </c>
    </row>
    <row r="217" spans="1:13">
      <c r="A217" s="13" t="str">
        <f>'Reference Score Calculation'!A209</f>
        <v>JS5313</v>
      </c>
      <c r="B217" s="13" t="str">
        <f>'Reference Score Calculation'!B209</f>
        <v>HKUST</v>
      </c>
      <c r="C217" s="13" t="str">
        <f>'Reference Score Calculation'!D209</f>
        <v>工商管理學士（環球商業管理）</v>
      </c>
      <c r="D217" s="13" t="str">
        <f>'Reference Score Calculation'!R209</f>
        <v>GBUS</v>
      </c>
      <c r="E217" s="13" t="str">
        <f>'Reference Score Calculation'!E209</f>
        <v>英數Best4</v>
      </c>
      <c r="F217" s="20" t="str">
        <f>'Reference Score Calculation'!G209</f>
        <v>/</v>
      </c>
      <c r="G217" s="20">
        <f>'Reference Score Calculation'!H209</f>
        <v>59</v>
      </c>
      <c r="H217" s="20">
        <f>'Reference Score Calculation'!I209</f>
        <v>56</v>
      </c>
      <c r="I217" s="20">
        <f>計分版!J232</f>
        <v>4.0000000000000002E-9</v>
      </c>
      <c r="J217" s="13">
        <f>'Reference Score Calculation'!T209</f>
        <v>26</v>
      </c>
      <c r="K217" s="28">
        <f>'Reference Score Calculation'!U209</f>
        <v>20</v>
      </c>
      <c r="L217" s="112">
        <f>'Reference Score Calculation'!X209</f>
        <v>3.95</v>
      </c>
      <c r="M217" s="13">
        <f>入學要求!Z218</f>
        <v>0</v>
      </c>
    </row>
    <row r="218" spans="1:13">
      <c r="A218" s="13" t="str">
        <f>'Reference Score Calculation'!A210</f>
        <v>JS5314</v>
      </c>
      <c r="B218" s="13" t="str">
        <f>'Reference Score Calculation'!B210</f>
        <v>HKUST</v>
      </c>
      <c r="C218" s="13" t="str">
        <f>'Reference Score Calculation'!D210</f>
        <v>工商管理學士（資訊系統學）</v>
      </c>
      <c r="D218" s="13" t="str">
        <f>'Reference Score Calculation'!R210</f>
        <v>IS</v>
      </c>
      <c r="E218" s="13" t="str">
        <f>'Reference Score Calculation'!E210</f>
        <v>英數Best4</v>
      </c>
      <c r="F218" s="20" t="str">
        <f>'Reference Score Calculation'!G210</f>
        <v>/</v>
      </c>
      <c r="G218" s="20">
        <f>'Reference Score Calculation'!H210</f>
        <v>38.5</v>
      </c>
      <c r="H218" s="20">
        <f>'Reference Score Calculation'!I210</f>
        <v>37</v>
      </c>
      <c r="I218" s="20">
        <f>計分版!J233</f>
        <v>4.0000000000000002E-9</v>
      </c>
      <c r="J218" s="13" t="str">
        <f>'Reference Score Calculation'!T210</f>
        <v>125*</v>
      </c>
      <c r="K218" s="28">
        <f>'Reference Score Calculation'!U210</f>
        <v>45</v>
      </c>
      <c r="L218" s="112">
        <f>'Reference Score Calculation'!X210</f>
        <v>2.4222222222222221</v>
      </c>
      <c r="M218" s="13">
        <f>入學要求!Z219</f>
        <v>0</v>
      </c>
    </row>
    <row r="219" spans="1:13">
      <c r="A219" s="13" t="str">
        <f>'Reference Score Calculation'!A211</f>
        <v>JS5315</v>
      </c>
      <c r="B219" s="13" t="str">
        <f>'Reference Score Calculation'!B211</f>
        <v>HKUST</v>
      </c>
      <c r="C219" s="13" t="str">
        <f>'Reference Score Calculation'!D211</f>
        <v>工商管理學士（管理學）</v>
      </c>
      <c r="D219" s="13" t="str">
        <f>'Reference Score Calculation'!R211</f>
        <v>MGMT</v>
      </c>
      <c r="E219" s="13" t="str">
        <f>'Reference Score Calculation'!E211</f>
        <v>英數Best4</v>
      </c>
      <c r="F219" s="20" t="str">
        <f>'Reference Score Calculation'!G211</f>
        <v>/</v>
      </c>
      <c r="G219" s="20">
        <f>'Reference Score Calculation'!H211</f>
        <v>35.5</v>
      </c>
      <c r="H219" s="20">
        <f>'Reference Score Calculation'!I211</f>
        <v>35.5</v>
      </c>
      <c r="I219" s="20">
        <f>計分版!J234</f>
        <v>4.0000000000000002E-9</v>
      </c>
      <c r="J219" s="13" t="str">
        <f>'Reference Score Calculation'!T211</f>
        <v>125*</v>
      </c>
      <c r="K219" s="28">
        <f>'Reference Score Calculation'!U211</f>
        <v>7</v>
      </c>
      <c r="L219" s="112">
        <f>'Reference Score Calculation'!X211</f>
        <v>8.5714285714285712</v>
      </c>
      <c r="M219" s="13">
        <f>入學要求!Z220</f>
        <v>0</v>
      </c>
    </row>
    <row r="220" spans="1:13">
      <c r="A220" s="13" t="str">
        <f>'Reference Score Calculation'!A212</f>
        <v>JS5316</v>
      </c>
      <c r="B220" s="13" t="str">
        <f>'Reference Score Calculation'!B212</f>
        <v>HKUST</v>
      </c>
      <c r="C220" s="13" t="str">
        <f>'Reference Score Calculation'!D212</f>
        <v>工商管理學士（市場學）</v>
      </c>
      <c r="D220" s="13" t="str">
        <f>'Reference Score Calculation'!R212</f>
        <v>MARK</v>
      </c>
      <c r="E220" s="13" t="str">
        <f>'Reference Score Calculation'!E212</f>
        <v>英數Best4</v>
      </c>
      <c r="F220" s="20" t="str">
        <f>'Reference Score Calculation'!G212</f>
        <v>/</v>
      </c>
      <c r="G220" s="20">
        <f>'Reference Score Calculation'!H212</f>
        <v>38</v>
      </c>
      <c r="H220" s="20">
        <f>'Reference Score Calculation'!I212</f>
        <v>36.130000000000003</v>
      </c>
      <c r="I220" s="20">
        <f>計分版!J235</f>
        <v>4.0000000000000002E-9</v>
      </c>
      <c r="J220" s="13" t="str">
        <f>'Reference Score Calculation'!T212</f>
        <v>125*</v>
      </c>
      <c r="K220" s="28">
        <f>'Reference Score Calculation'!U212</f>
        <v>20</v>
      </c>
      <c r="L220" s="112">
        <f>'Reference Score Calculation'!X212</f>
        <v>6</v>
      </c>
      <c r="M220" s="13">
        <f>入學要求!Z221</f>
        <v>0</v>
      </c>
    </row>
    <row r="221" spans="1:13">
      <c r="A221" s="13" t="str">
        <f>'Reference Score Calculation'!A213</f>
        <v>JS5317</v>
      </c>
      <c r="B221" s="13" t="str">
        <f>'Reference Score Calculation'!B213</f>
        <v>HKUST</v>
      </c>
      <c r="C221" s="13" t="str">
        <f>'Reference Score Calculation'!D213</f>
        <v>工商管理學士（營運管理學）</v>
      </c>
      <c r="D221" s="13" t="str">
        <f>'Reference Score Calculation'!R213</f>
        <v>OM</v>
      </c>
      <c r="E221" s="13" t="str">
        <f>'Reference Score Calculation'!E213</f>
        <v>英數Best4</v>
      </c>
      <c r="F221" s="20" t="str">
        <f>'Reference Score Calculation'!G213</f>
        <v>/</v>
      </c>
      <c r="G221" s="20" t="str">
        <f>'Reference Score Calculation'!H213</f>
        <v>/</v>
      </c>
      <c r="H221" s="20" t="str">
        <f>'Reference Score Calculation'!I213</f>
        <v>/</v>
      </c>
      <c r="I221" s="20">
        <f>計分版!J236</f>
        <v>4.0000000000000002E-9</v>
      </c>
      <c r="J221" s="13" t="str">
        <f>'Reference Score Calculation'!T213</f>
        <v>125*</v>
      </c>
      <c r="K221" s="28">
        <f>'Reference Score Calculation'!U213</f>
        <v>0</v>
      </c>
      <c r="L221" s="112" t="str">
        <f>'Reference Score Calculation'!X213</f>
        <v>新科目</v>
      </c>
      <c r="M221" s="13">
        <f>入學要求!Z222</f>
        <v>0</v>
      </c>
    </row>
    <row r="222" spans="1:13">
      <c r="A222" s="13" t="str">
        <f>'Reference Score Calculation'!A214</f>
        <v>JS5318</v>
      </c>
      <c r="B222" s="13" t="str">
        <f>'Reference Score Calculation'!B214</f>
        <v>HKUST</v>
      </c>
      <c r="C222" s="13" t="str">
        <f>'Reference Score Calculation'!D214</f>
        <v>工商管理學士（專業會計學）</v>
      </c>
      <c r="D222" s="13" t="str">
        <f>'Reference Score Calculation'!R214</f>
        <v>ACCT</v>
      </c>
      <c r="E222" s="13" t="str">
        <f>'Reference Score Calculation'!E214</f>
        <v>英數Best4</v>
      </c>
      <c r="F222" s="20" t="str">
        <f>'Reference Score Calculation'!G214</f>
        <v>/</v>
      </c>
      <c r="G222" s="20">
        <f>'Reference Score Calculation'!H214</f>
        <v>37</v>
      </c>
      <c r="H222" s="20">
        <f>'Reference Score Calculation'!I214</f>
        <v>36.5</v>
      </c>
      <c r="I222" s="20">
        <f>計分版!J237</f>
        <v>4.0000000000000002E-9</v>
      </c>
      <c r="J222" s="13">
        <f>'Reference Score Calculation'!T214</f>
        <v>60</v>
      </c>
      <c r="K222" s="28">
        <f>'Reference Score Calculation'!U214</f>
        <v>49</v>
      </c>
      <c r="L222" s="112">
        <f>'Reference Score Calculation'!X214</f>
        <v>3.5714285714285716</v>
      </c>
      <c r="M222" s="13">
        <f>入學要求!Z223</f>
        <v>0</v>
      </c>
    </row>
    <row r="223" spans="1:13">
      <c r="A223" s="13" t="str">
        <f>'Reference Score Calculation'!A215</f>
        <v>JS5331</v>
      </c>
      <c r="B223" s="13" t="str">
        <f>'Reference Score Calculation'!B215</f>
        <v>HKUST</v>
      </c>
      <c r="C223" s="13" t="str">
        <f>'Reference Score Calculation'!D215</f>
        <v>理學士（經濟及金融學）</v>
      </c>
      <c r="D223" s="13" t="str">
        <f>'Reference Score Calculation'!R215</f>
        <v>ECOF</v>
      </c>
      <c r="E223" s="13" t="str">
        <f>'Reference Score Calculation'!E215</f>
        <v>英數Best4</v>
      </c>
      <c r="F223" s="20" t="str">
        <f>'Reference Score Calculation'!G215</f>
        <v>/</v>
      </c>
      <c r="G223" s="20">
        <f>'Reference Score Calculation'!H215</f>
        <v>52.75</v>
      </c>
      <c r="H223" s="20">
        <f>'Reference Score Calculation'!I215</f>
        <v>51.25</v>
      </c>
      <c r="I223" s="20">
        <f>計分版!J238</f>
        <v>3.3999999999999998E-9</v>
      </c>
      <c r="J223" s="13">
        <f>'Reference Score Calculation'!T215</f>
        <v>26</v>
      </c>
      <c r="K223" s="28">
        <f>'Reference Score Calculation'!U215</f>
        <v>33</v>
      </c>
      <c r="L223" s="112">
        <f>'Reference Score Calculation'!X215</f>
        <v>3.2121212121212119</v>
      </c>
      <c r="M223" s="13">
        <f>入學要求!Z224</f>
        <v>0</v>
      </c>
    </row>
    <row r="224" spans="1:13">
      <c r="A224" s="13" t="str">
        <f>'Reference Score Calculation'!A216</f>
        <v>JS5332</v>
      </c>
      <c r="B224" s="13" t="str">
        <f>'Reference Score Calculation'!B216</f>
        <v>HKUST</v>
      </c>
      <c r="C224" s="13" t="str">
        <f>'Reference Score Calculation'!D216</f>
        <v>理學士（量化金融學）</v>
      </c>
      <c r="D224" s="13" t="str">
        <f>'Reference Score Calculation'!R216</f>
        <v>QFIN</v>
      </c>
      <c r="E224" s="13" t="str">
        <f>'Reference Score Calculation'!E216</f>
        <v>英數Best4</v>
      </c>
      <c r="F224" s="20" t="str">
        <f>'Reference Score Calculation'!G216</f>
        <v>/</v>
      </c>
      <c r="G224" s="20">
        <f>'Reference Score Calculation'!H216</f>
        <v>62.5</v>
      </c>
      <c r="H224" s="20">
        <f>'Reference Score Calculation'!I216</f>
        <v>60.25</v>
      </c>
      <c r="I224" s="20">
        <f>計分版!J239</f>
        <v>3.3999999999999998E-9</v>
      </c>
      <c r="J224" s="13">
        <f>'Reference Score Calculation'!T216</f>
        <v>20</v>
      </c>
      <c r="K224" s="28">
        <f>'Reference Score Calculation'!U216</f>
        <v>13</v>
      </c>
      <c r="L224" s="112">
        <f>'Reference Score Calculation'!X216</f>
        <v>2.9230769230769229</v>
      </c>
      <c r="M224" s="13">
        <f>入學要求!Z225</f>
        <v>0</v>
      </c>
    </row>
    <row r="225" spans="1:13">
      <c r="A225" s="13" t="str">
        <f>'Reference Score Calculation'!A217</f>
        <v>JS5411</v>
      </c>
      <c r="B225" s="13" t="str">
        <f>'Reference Score Calculation'!B217</f>
        <v>HKUST</v>
      </c>
      <c r="C225" s="13" t="str">
        <f>'Reference Score Calculation'!D217</f>
        <v>理學士（環球中國研究）</v>
      </c>
      <c r="D225" s="13" t="str">
        <f>'Reference Score Calculation'!R217</f>
        <v>GCS</v>
      </c>
      <c r="E225" s="13" t="str">
        <f>'Reference Score Calculation'!E217</f>
        <v>中英Best4</v>
      </c>
      <c r="F225" s="20" t="str">
        <f>'Reference Score Calculation'!G217</f>
        <v>/</v>
      </c>
      <c r="G225" s="20">
        <f>'Reference Score Calculation'!H217</f>
        <v>29.5</v>
      </c>
      <c r="H225" s="20">
        <f>'Reference Score Calculation'!I217</f>
        <v>29</v>
      </c>
      <c r="I225" s="20">
        <f>計分版!J240</f>
        <v>4.0000000000000002E-9</v>
      </c>
      <c r="J225" s="13">
        <f>'Reference Score Calculation'!T217</f>
        <v>50</v>
      </c>
      <c r="K225" s="28">
        <f>'Reference Score Calculation'!U217</f>
        <v>52</v>
      </c>
      <c r="L225" s="112">
        <f>'Reference Score Calculation'!X217</f>
        <v>2.68</v>
      </c>
      <c r="M225" s="13">
        <f>入學要求!Z226</f>
        <v>0</v>
      </c>
    </row>
    <row r="226" spans="1:13">
      <c r="A226" s="13" t="str">
        <f>'Reference Score Calculation'!A218</f>
        <v>JS5412</v>
      </c>
      <c r="B226" s="13" t="str">
        <f>'Reference Score Calculation'!B218</f>
        <v>HKUST</v>
      </c>
      <c r="C226" s="13" t="str">
        <f>'Reference Score Calculation'!D218</f>
        <v>理學士（定量社會數據分析）</v>
      </c>
      <c r="D226" s="13" t="str">
        <f>'Reference Score Calculation'!R218</f>
        <v>QSA</v>
      </c>
      <c r="E226" s="13" t="str">
        <f>'Reference Score Calculation'!E218</f>
        <v>英數Best4</v>
      </c>
      <c r="F226" s="20" t="str">
        <f>'Reference Score Calculation'!G218</f>
        <v>/</v>
      </c>
      <c r="G226" s="20">
        <f>'Reference Score Calculation'!H218</f>
        <v>34</v>
      </c>
      <c r="H226" s="20">
        <f>'Reference Score Calculation'!I218</f>
        <v>33.25</v>
      </c>
      <c r="I226" s="20">
        <f>計分版!J241</f>
        <v>4.1499999999999999E-9</v>
      </c>
      <c r="J226" s="13">
        <f>'Reference Score Calculation'!T218</f>
        <v>28</v>
      </c>
      <c r="K226" s="28">
        <f>'Reference Score Calculation'!U218</f>
        <v>34</v>
      </c>
      <c r="L226" s="112">
        <f>'Reference Score Calculation'!X218</f>
        <v>3.3030303030303032</v>
      </c>
      <c r="M226" s="13">
        <f>入學要求!Z227</f>
        <v>0</v>
      </c>
    </row>
    <row r="227" spans="1:13">
      <c r="A227" s="13" t="str">
        <f>'Reference Score Calculation'!A219</f>
        <v>JS5711</v>
      </c>
      <c r="B227" s="13" t="str">
        <f>'Reference Score Calculation'!B219</f>
        <v>HKUST</v>
      </c>
      <c r="C227" s="13" t="str">
        <f>'Reference Score Calculation'!D219</f>
        <v>理學士（綜合系統與設計）</v>
      </c>
      <c r="D227" s="13" t="str">
        <f>'Reference Score Calculation'!R219</f>
        <v>ISDN</v>
      </c>
      <c r="E227" s="13" t="str">
        <f>'Reference Score Calculation'!E219</f>
        <v>英數Best3</v>
      </c>
      <c r="F227" s="20" t="str">
        <f>'Reference Score Calculation'!G219</f>
        <v>/</v>
      </c>
      <c r="G227" s="20">
        <f>'Reference Score Calculation'!H219</f>
        <v>40.75</v>
      </c>
      <c r="H227" s="20">
        <f>'Reference Score Calculation'!I219</f>
        <v>37</v>
      </c>
      <c r="I227" s="20">
        <f>計分版!J242</f>
        <v>2.5000000000000001E-9</v>
      </c>
      <c r="J227" s="13">
        <f>'Reference Score Calculation'!T219</f>
        <v>25</v>
      </c>
      <c r="K227" s="28">
        <f>'Reference Score Calculation'!U219</f>
        <v>9</v>
      </c>
      <c r="L227" s="112">
        <f>'Reference Score Calculation'!X219</f>
        <v>3.5555555555555554</v>
      </c>
      <c r="M227" s="13">
        <f>入學要求!Z228</f>
        <v>0</v>
      </c>
    </row>
    <row r="228" spans="1:13">
      <c r="A228" s="13" t="str">
        <f>'Reference Score Calculation'!A220</f>
        <v>JS5811</v>
      </c>
      <c r="B228" s="13" t="str">
        <f>'Reference Score Calculation'!B220</f>
        <v>HKUST</v>
      </c>
      <c r="C228" s="13" t="str">
        <f>'Reference Score Calculation'!D220</f>
        <v>理學士（生物科技及商學）</v>
      </c>
      <c r="D228" s="13" t="str">
        <f>'Reference Score Calculation'!R220</f>
        <v>BIBU</v>
      </c>
      <c r="E228" s="13" t="str">
        <f>'Reference Score Calculation'!E220</f>
        <v>英數Best4</v>
      </c>
      <c r="F228" s="20" t="str">
        <f>'Reference Score Calculation'!G220</f>
        <v>/</v>
      </c>
      <c r="G228" s="20">
        <f>'Reference Score Calculation'!H220</f>
        <v>42.25</v>
      </c>
      <c r="H228" s="20">
        <f>'Reference Score Calculation'!I220</f>
        <v>40.630000000000003</v>
      </c>
      <c r="I228" s="20">
        <f>計分版!J243</f>
        <v>3.2999999999999998E-9</v>
      </c>
      <c r="J228" s="13">
        <f>'Reference Score Calculation'!T220</f>
        <v>26</v>
      </c>
      <c r="K228" s="28">
        <f>'Reference Score Calculation'!U220</f>
        <v>15</v>
      </c>
      <c r="L228" s="112">
        <f>'Reference Score Calculation'!X220</f>
        <v>2.3333333333333335</v>
      </c>
      <c r="M228" s="13">
        <f>入學要求!Z229</f>
        <v>0</v>
      </c>
    </row>
    <row r="229" spans="1:13">
      <c r="A229" s="13" t="str">
        <f>'Reference Score Calculation'!A221</f>
        <v>JS5812</v>
      </c>
      <c r="B229" s="13" t="str">
        <f>'Reference Score Calculation'!B221</f>
        <v>HKUST</v>
      </c>
      <c r="C229" s="13" t="str">
        <f>'Reference Score Calculation'!D221</f>
        <v>理學士（環境管理及科技）</v>
      </c>
      <c r="D229" s="13" t="str">
        <f>'Reference Score Calculation'!R221</f>
        <v>EVMT</v>
      </c>
      <c r="E229" s="13" t="str">
        <f>'Reference Score Calculation'!E221</f>
        <v>英數Best4</v>
      </c>
      <c r="F229" s="20" t="str">
        <f>'Reference Score Calculation'!G221</f>
        <v>/</v>
      </c>
      <c r="G229" s="20">
        <f>'Reference Score Calculation'!H221</f>
        <v>32.25</v>
      </c>
      <c r="H229" s="20">
        <f>'Reference Score Calculation'!I221</f>
        <v>30</v>
      </c>
      <c r="I229" s="20">
        <f>計分版!J244</f>
        <v>4.0000000000000002E-9</v>
      </c>
      <c r="J229" s="13">
        <f>'Reference Score Calculation'!T221</f>
        <v>16</v>
      </c>
      <c r="K229" s="28">
        <f>'Reference Score Calculation'!U221</f>
        <v>10</v>
      </c>
      <c r="L229" s="112">
        <f>'Reference Score Calculation'!X221</f>
        <v>3.7</v>
      </c>
      <c r="M229" s="13">
        <f>入學要求!Z230</f>
        <v>0</v>
      </c>
    </row>
    <row r="230" spans="1:13">
      <c r="A230" s="13" t="str">
        <f>'Reference Score Calculation'!A222</f>
        <v>JS5813</v>
      </c>
      <c r="B230" s="13" t="str">
        <f>'Reference Score Calculation'!B222</f>
        <v>HKUST</v>
      </c>
      <c r="C230" s="13" t="str">
        <f>'Reference Score Calculation'!D222</f>
        <v>理學士（數學與經濟學）</v>
      </c>
      <c r="D230" s="13" t="str">
        <f>'Reference Score Calculation'!R222</f>
        <v>MAEC</v>
      </c>
      <c r="E230" s="13" t="str">
        <f>'Reference Score Calculation'!E222</f>
        <v>英數Best4</v>
      </c>
      <c r="F230" s="20" t="str">
        <f>'Reference Score Calculation'!G222</f>
        <v>/</v>
      </c>
      <c r="G230" s="20">
        <f>'Reference Score Calculation'!H222</f>
        <v>45</v>
      </c>
      <c r="H230" s="20">
        <f>'Reference Score Calculation'!I222</f>
        <v>43.5</v>
      </c>
      <c r="I230" s="20">
        <f>計分版!J245</f>
        <v>3.7E-9</v>
      </c>
      <c r="J230" s="13">
        <f>'Reference Score Calculation'!T222</f>
        <v>16</v>
      </c>
      <c r="K230" s="28">
        <f>'Reference Score Calculation'!U222</f>
        <v>19</v>
      </c>
      <c r="L230" s="112">
        <f>'Reference Score Calculation'!X222</f>
        <v>2.9473684210526314</v>
      </c>
      <c r="M230" s="13">
        <f>入學要求!Z231</f>
        <v>0</v>
      </c>
    </row>
    <row r="231" spans="1:13">
      <c r="A231" s="13" t="str">
        <f>'Reference Score Calculation'!A223</f>
        <v>JS5814</v>
      </c>
      <c r="B231" s="13" t="str">
        <f>'Reference Score Calculation'!B223</f>
        <v>HKUST</v>
      </c>
      <c r="C231" s="13" t="str">
        <f>'Reference Score Calculation'!D223</f>
        <v>理學士（風險管理及商業智能學）</v>
      </c>
      <c r="D231" s="13" t="str">
        <f>'Reference Score Calculation'!R223</f>
        <v>RMBI</v>
      </c>
      <c r="E231" s="13" t="str">
        <f>'Reference Score Calculation'!E223</f>
        <v>英數Best4</v>
      </c>
      <c r="F231" s="20" t="str">
        <f>'Reference Score Calculation'!G223</f>
        <v>/</v>
      </c>
      <c r="G231" s="20">
        <f>'Reference Score Calculation'!H223</f>
        <v>48.5</v>
      </c>
      <c r="H231" s="20">
        <f>'Reference Score Calculation'!I223</f>
        <v>46.75</v>
      </c>
      <c r="I231" s="20">
        <f>計分版!J246</f>
        <v>4.1499999999999999E-9</v>
      </c>
      <c r="J231" s="13">
        <f>'Reference Score Calculation'!T223</f>
        <v>23</v>
      </c>
      <c r="K231" s="28">
        <f>'Reference Score Calculation'!U223</f>
        <v>19</v>
      </c>
      <c r="L231" s="112">
        <f>'Reference Score Calculation'!X223</f>
        <v>1.8421052631578947</v>
      </c>
      <c r="M231" s="13">
        <f>入學要求!Z232</f>
        <v>0</v>
      </c>
    </row>
    <row r="232" spans="1:13">
      <c r="A232" s="13" t="str">
        <f>'Reference Score Calculation'!A224</f>
        <v>JS5822</v>
      </c>
      <c r="B232" s="13" t="str">
        <f>'Reference Score Calculation'!B224</f>
        <v>HKUST</v>
      </c>
      <c r="C232" s="13" t="str">
        <f>'Reference Score Calculation'!D224</f>
        <v>理學士（可持續發展及綠色金融）</v>
      </c>
      <c r="D232" s="13" t="str">
        <f>'Reference Score Calculation'!R224</f>
        <v>SGFN</v>
      </c>
      <c r="E232" s="13" t="str">
        <f>'Reference Score Calculation'!E224</f>
        <v>英數Best4</v>
      </c>
      <c r="F232" s="20" t="str">
        <f>'Reference Score Calculation'!G224</f>
        <v>/</v>
      </c>
      <c r="G232" s="20">
        <f>'Reference Score Calculation'!H224</f>
        <v>43.75</v>
      </c>
      <c r="H232" s="20">
        <f>'Reference Score Calculation'!I224</f>
        <v>41.75</v>
      </c>
      <c r="I232" s="20">
        <f>計分版!J247</f>
        <v>3.3999999999999998E-9</v>
      </c>
      <c r="J232" s="13">
        <f>'Reference Score Calculation'!T224</f>
        <v>18</v>
      </c>
      <c r="K232" s="28">
        <f>'Reference Score Calculation'!U224</f>
        <v>9</v>
      </c>
      <c r="L232" s="112">
        <f>'Reference Score Calculation'!X224</f>
        <v>2.8888888888888888</v>
      </c>
      <c r="M232" s="13">
        <f>入學要求!Z233</f>
        <v>0</v>
      </c>
    </row>
    <row r="233" spans="1:13">
      <c r="A233" s="13" t="str">
        <f>'Reference Score Calculation'!A225</f>
        <v>JS5901</v>
      </c>
      <c r="B233" s="13" t="str">
        <f>'Reference Score Calculation'!B225</f>
        <v>HKUST</v>
      </c>
      <c r="C233" s="13" t="str">
        <f>'Reference Score Calculation'!D225</f>
        <v>科技及管理學雙學位課程</v>
      </c>
      <c r="D233" s="13" t="str">
        <f>'Reference Score Calculation'!R225</f>
        <v>T&amp;M-DDP</v>
      </c>
      <c r="E233" s="13" t="str">
        <f>'Reference Score Calculation'!E225</f>
        <v>英數Best4</v>
      </c>
      <c r="F233" s="20" t="str">
        <f>'Reference Score Calculation'!G225</f>
        <v>/</v>
      </c>
      <c r="G233" s="20">
        <f>'Reference Score Calculation'!H225</f>
        <v>65.75</v>
      </c>
      <c r="H233" s="20">
        <f>'Reference Score Calculation'!I225</f>
        <v>64.25</v>
      </c>
      <c r="I233" s="20">
        <f>計分版!J248</f>
        <v>3.2999999999999998E-9</v>
      </c>
      <c r="J233" s="13">
        <f>'Reference Score Calculation'!T225</f>
        <v>22</v>
      </c>
      <c r="K233" s="28">
        <f>'Reference Score Calculation'!U225</f>
        <v>13</v>
      </c>
      <c r="L233" s="112">
        <f>'Reference Score Calculation'!X225</f>
        <v>3.8461538461538463</v>
      </c>
      <c r="M233" s="13">
        <f>入學要求!Z234</f>
        <v>0</v>
      </c>
    </row>
    <row r="234" spans="1:13">
      <c r="D234" s="13"/>
      <c r="K234" s="28"/>
    </row>
    <row r="235" spans="1:13">
      <c r="D235" s="13"/>
      <c r="K235" s="28"/>
    </row>
    <row r="236" spans="1:13">
      <c r="A236" s="13" t="str">
        <f>'Reference Score Calculation'!A228</f>
        <v>JS6004</v>
      </c>
      <c r="B236" s="13" t="str">
        <f>'Reference Score Calculation'!B228</f>
        <v>HKU</v>
      </c>
      <c r="C236" s="13" t="str">
        <f>'Reference Score Calculation'!D228</f>
        <v>建築學文學士</v>
      </c>
      <c r="D236" s="13" t="str">
        <f>'Reference Score Calculation'!R228</f>
        <v>BA(AS)</v>
      </c>
      <c r="E236" s="13" t="str">
        <f>'Reference Score Calculation'!E228</f>
        <v>Best 6</v>
      </c>
      <c r="F236" s="20">
        <f>'Reference Score Calculation'!G228</f>
        <v>36</v>
      </c>
      <c r="G236" s="20">
        <f>'Reference Score Calculation'!H228</f>
        <v>32</v>
      </c>
      <c r="H236" s="20">
        <f>'Reference Score Calculation'!I228</f>
        <v>32</v>
      </c>
      <c r="I236" s="20">
        <f>計分版!J251</f>
        <v>4.3500000000000001E-9</v>
      </c>
      <c r="J236" s="13">
        <f>'Reference Score Calculation'!T228</f>
        <v>54</v>
      </c>
      <c r="K236" s="28">
        <f>'Reference Score Calculation'!U228</f>
        <v>38</v>
      </c>
      <c r="L236" s="112">
        <f>'Reference Score Calculation'!X228</f>
        <v>3.2105263157894739</v>
      </c>
      <c r="M236" s="13">
        <f>入學要求!Z237</f>
        <v>0</v>
      </c>
    </row>
    <row r="237" spans="1:13">
      <c r="A237" s="13" t="str">
        <f>'Reference Score Calculation'!A229</f>
        <v>JS6016</v>
      </c>
      <c r="B237" s="13" t="str">
        <f>'Reference Score Calculation'!B229</f>
        <v>HKU</v>
      </c>
      <c r="C237" s="13" t="str">
        <f>'Reference Score Calculation'!D229</f>
        <v>理學士(測量學)</v>
      </c>
      <c r="D237" s="13" t="str">
        <f>'Reference Score Calculation'!R229</f>
        <v xml:space="preserve">	BSC(SURV)</v>
      </c>
      <c r="E237" s="13" t="str">
        <f>'Reference Score Calculation'!E229</f>
        <v>Best 5</v>
      </c>
      <c r="F237" s="20">
        <f>'Reference Score Calculation'!G229</f>
        <v>31</v>
      </c>
      <c r="G237" s="20">
        <f>'Reference Score Calculation'!H229</f>
        <v>29</v>
      </c>
      <c r="H237" s="20">
        <f>'Reference Score Calculation'!I229</f>
        <v>28</v>
      </c>
      <c r="I237" s="20">
        <f>計分版!J252</f>
        <v>3.9500000000000006E-9</v>
      </c>
      <c r="J237" s="13">
        <f>'Reference Score Calculation'!T229</f>
        <v>42</v>
      </c>
      <c r="K237" s="28">
        <f>'Reference Score Calculation'!U229</f>
        <v>61</v>
      </c>
      <c r="L237" s="112">
        <f>'Reference Score Calculation'!X229</f>
        <v>2.9508196721311477</v>
      </c>
      <c r="M237" s="13">
        <f>入學要求!Z238</f>
        <v>0</v>
      </c>
    </row>
    <row r="238" spans="1:13">
      <c r="A238" s="13" t="str">
        <f>'Reference Score Calculation'!A230</f>
        <v>JS6028</v>
      </c>
      <c r="B238" s="13" t="str">
        <f>'Reference Score Calculation'!B230</f>
        <v>HKU</v>
      </c>
      <c r="C238" s="13" t="str">
        <f>'Reference Score Calculation'!D230</f>
        <v>園境學文學士</v>
      </c>
      <c r="D238" s="13" t="str">
        <f>'Reference Score Calculation'!R230</f>
        <v xml:space="preserve">	BA(LS)</v>
      </c>
      <c r="E238" s="13" t="str">
        <f>'Reference Score Calculation'!E230</f>
        <v>Best 5</v>
      </c>
      <c r="F238" s="20">
        <f>'Reference Score Calculation'!G230</f>
        <v>26</v>
      </c>
      <c r="G238" s="20">
        <f>'Reference Score Calculation'!H230</f>
        <v>26</v>
      </c>
      <c r="H238" s="20">
        <f>'Reference Score Calculation'!I230</f>
        <v>25</v>
      </c>
      <c r="I238" s="20">
        <f>計分版!J253</f>
        <v>3.9500000000000006E-9</v>
      </c>
      <c r="J238" s="13">
        <f>'Reference Score Calculation'!T230</f>
        <v>12</v>
      </c>
      <c r="K238" s="28">
        <f>'Reference Score Calculation'!U230</f>
        <v>7</v>
      </c>
      <c r="L238" s="112">
        <f>'Reference Score Calculation'!X230</f>
        <v>5.4285714285714288</v>
      </c>
      <c r="M238" s="13">
        <f>入學要求!Z239</f>
        <v>0</v>
      </c>
    </row>
    <row r="239" spans="1:13">
      <c r="A239" s="13" t="str">
        <f>'Reference Score Calculation'!A231</f>
        <v>JS6042</v>
      </c>
      <c r="B239" s="13" t="str">
        <f>'Reference Score Calculation'!B231</f>
        <v>HKU</v>
      </c>
      <c r="C239" s="13" t="str">
        <f>'Reference Score Calculation'!D231</f>
        <v>文學士(城市研究)</v>
      </c>
      <c r="D239" s="13" t="str">
        <f>'Reference Score Calculation'!R231</f>
        <v xml:space="preserve">	BA(US)</v>
      </c>
      <c r="E239" s="13" t="str">
        <f>'Reference Score Calculation'!E231</f>
        <v>Best 5</v>
      </c>
      <c r="F239" s="20">
        <f>'Reference Score Calculation'!G231</f>
        <v>32</v>
      </c>
      <c r="G239" s="20">
        <f>'Reference Score Calculation'!H231</f>
        <v>29</v>
      </c>
      <c r="H239" s="20">
        <f>'Reference Score Calculation'!I231</f>
        <v>26</v>
      </c>
      <c r="I239" s="20">
        <f>計分版!J254</f>
        <v>3.9500000000000006E-9</v>
      </c>
      <c r="J239" s="13">
        <f>'Reference Score Calculation'!T231</f>
        <v>17</v>
      </c>
      <c r="K239" s="28">
        <f>'Reference Score Calculation'!U231</f>
        <v>26</v>
      </c>
      <c r="L239" s="112">
        <f>'Reference Score Calculation'!X231</f>
        <v>3.8846153846153846</v>
      </c>
      <c r="M239" s="13">
        <f>入學要求!Z240</f>
        <v>0</v>
      </c>
    </row>
    <row r="240" spans="1:13">
      <c r="A240" s="13" t="str">
        <f>'Reference Score Calculation'!A232</f>
        <v>JS6054</v>
      </c>
      <c r="B240" s="13" t="str">
        <f>'Reference Score Calculation'!B232</f>
        <v>HKU</v>
      </c>
      <c r="C240" s="13" t="str">
        <f>'Reference Score Calculation'!D232</f>
        <v>文學士</v>
      </c>
      <c r="D240" s="13" t="str">
        <f>'Reference Score Calculation'!R232</f>
        <v xml:space="preserve">	BA</v>
      </c>
      <c r="E240" s="13" t="str">
        <f>'Reference Score Calculation'!E232</f>
        <v>Best 5</v>
      </c>
      <c r="F240" s="20">
        <f>'Reference Score Calculation'!G232</f>
        <v>33</v>
      </c>
      <c r="G240" s="20">
        <f>'Reference Score Calculation'!H232</f>
        <v>31</v>
      </c>
      <c r="H240" s="20">
        <f>'Reference Score Calculation'!I232</f>
        <v>30</v>
      </c>
      <c r="I240" s="20">
        <f>計分版!J255</f>
        <v>3.6500000000000004E-9</v>
      </c>
      <c r="J240" s="13">
        <f>'Reference Score Calculation'!T232</f>
        <v>289</v>
      </c>
      <c r="K240" s="28">
        <f>'Reference Score Calculation'!U232</f>
        <v>221</v>
      </c>
      <c r="L240" s="112">
        <f>'Reference Score Calculation'!X232</f>
        <v>4.4434389140271495</v>
      </c>
      <c r="M240" s="13">
        <f>入學要求!Z241</f>
        <v>0</v>
      </c>
    </row>
    <row r="241" spans="1:19">
      <c r="A241" s="13" t="str">
        <f>'Reference Score Calculation'!A233</f>
        <v>JS6286</v>
      </c>
      <c r="B241" s="13" t="str">
        <f>'Reference Score Calculation'!B233</f>
        <v>HKU</v>
      </c>
      <c r="C241" s="13" t="str">
        <f>'Reference Score Calculation'!D233</f>
        <v>文學士(人文及數碼科技)</v>
      </c>
      <c r="D241" s="13" t="str">
        <f>'Reference Score Calculation'!R233</f>
        <v>BA(HDT)</v>
      </c>
      <c r="E241" s="13" t="str">
        <f>'Reference Score Calculation'!E233</f>
        <v>Best 5</v>
      </c>
      <c r="F241" s="20">
        <f>'Reference Score Calculation'!G233</f>
        <v>35</v>
      </c>
      <c r="G241" s="20">
        <f>'Reference Score Calculation'!H233</f>
        <v>33</v>
      </c>
      <c r="H241" s="20">
        <f>'Reference Score Calculation'!I233</f>
        <v>30</v>
      </c>
      <c r="I241" s="20">
        <f>計分版!J256</f>
        <v>3.6500000000000004E-9</v>
      </c>
      <c r="J241" s="13">
        <f>'Reference Score Calculation'!T233</f>
        <v>50</v>
      </c>
      <c r="K241" s="28">
        <f>'Reference Score Calculation'!U233</f>
        <v>15</v>
      </c>
      <c r="L241" s="112">
        <f>'Reference Score Calculation'!X233</f>
        <v>3.1333333333333333</v>
      </c>
      <c r="M241" s="13">
        <f>入學要求!Z242</f>
        <v>0</v>
      </c>
    </row>
    <row r="242" spans="1:19">
      <c r="A242" s="13" t="str">
        <f>'Reference Score Calculation'!A234</f>
        <v>JS6755</v>
      </c>
      <c r="B242" s="13" t="str">
        <f>'Reference Score Calculation'!B234</f>
        <v>HKU</v>
      </c>
      <c r="C242" s="13" t="str">
        <f>'Reference Score Calculation'!D234</f>
        <v>工商管理學學士</v>
      </c>
      <c r="D242" s="13" t="str">
        <f>'Reference Score Calculation'!R234</f>
        <v>BBA</v>
      </c>
      <c r="E242" s="13" t="str">
        <f>'Reference Score Calculation'!E234</f>
        <v>Best 6</v>
      </c>
      <c r="F242" s="20">
        <f>'Reference Score Calculation'!G234</f>
        <v>39</v>
      </c>
      <c r="G242" s="20">
        <f>'Reference Score Calculation'!H234</f>
        <v>37</v>
      </c>
      <c r="H242" s="20">
        <f>'Reference Score Calculation'!I234</f>
        <v>36</v>
      </c>
      <c r="I242" s="20">
        <f>計分版!J257</f>
        <v>3.7500000000000005E-9</v>
      </c>
      <c r="J242" s="13" t="str">
        <f>'Reference Score Calculation'!T234</f>
        <v>220*</v>
      </c>
      <c r="K242" s="28">
        <f>'Reference Score Calculation'!U234</f>
        <v>50</v>
      </c>
      <c r="L242" s="112">
        <f>'Reference Score Calculation'!X234</f>
        <v>7.02</v>
      </c>
      <c r="M242" s="13">
        <f>入學要求!Z243</f>
        <v>0</v>
      </c>
    </row>
    <row r="243" spans="1:19">
      <c r="A243" s="13" t="str">
        <f>'Reference Score Calculation'!A235</f>
        <v>JS6767</v>
      </c>
      <c r="B243" s="13" t="str">
        <f>'Reference Score Calculation'!B235</f>
        <v>HKU</v>
      </c>
      <c r="C243" s="13" t="str">
        <f>'Reference Score Calculation'!D235</f>
        <v>經濟學學士 / 經濟金融學學士</v>
      </c>
      <c r="D243" s="13" t="str">
        <f>'Reference Score Calculation'!R235</f>
        <v xml:space="preserve">	BEcon/BEcon&amp;Fin</v>
      </c>
      <c r="E243" s="13" t="str">
        <f>'Reference Score Calculation'!E235</f>
        <v>Best 6</v>
      </c>
      <c r="F243" s="20">
        <f>'Reference Score Calculation'!G235</f>
        <v>42</v>
      </c>
      <c r="G243" s="20">
        <f>'Reference Score Calculation'!H235</f>
        <v>41</v>
      </c>
      <c r="H243" s="20">
        <f>'Reference Score Calculation'!I235</f>
        <v>40</v>
      </c>
      <c r="I243" s="20">
        <f>計分版!J258</f>
        <v>3.7500000000000005E-9</v>
      </c>
      <c r="J243" s="13" t="str">
        <f>'Reference Score Calculation'!T235</f>
        <v>220*</v>
      </c>
      <c r="K243" s="28">
        <f>'Reference Score Calculation'!U235</f>
        <v>60</v>
      </c>
      <c r="L243" s="112">
        <f>'Reference Score Calculation'!X235</f>
        <v>5.45</v>
      </c>
      <c r="M243" s="13">
        <f>入學要求!Z244</f>
        <v>0</v>
      </c>
    </row>
    <row r="244" spans="1:19">
      <c r="A244" s="13" t="str">
        <f>'Reference Score Calculation'!A236</f>
        <v>JS6781</v>
      </c>
      <c r="B244" s="13" t="str">
        <f>'Reference Score Calculation'!B236</f>
        <v>HKU</v>
      </c>
      <c r="C244" s="13" t="str">
        <f>'Reference Score Calculation'!D236</f>
        <v>工商管理學學士 / 工商管理學學士(會計及財務)</v>
      </c>
      <c r="D244" s="13" t="str">
        <f>'Reference Score Calculation'!R236</f>
        <v xml:space="preserve">	BBA/BBA(Acc&amp;Fin)</v>
      </c>
      <c r="E244" s="13" t="str">
        <f>'Reference Score Calculation'!E236</f>
        <v>Best 6</v>
      </c>
      <c r="F244" s="20">
        <f>'Reference Score Calculation'!G236</f>
        <v>40</v>
      </c>
      <c r="G244" s="20">
        <f>'Reference Score Calculation'!H236</f>
        <v>38</v>
      </c>
      <c r="H244" s="20">
        <f>'Reference Score Calculation'!I236</f>
        <v>37</v>
      </c>
      <c r="I244" s="20">
        <f>計分版!J259</f>
        <v>3.7500000000000005E-9</v>
      </c>
      <c r="J244" s="13" t="str">
        <f>'Reference Score Calculation'!T236</f>
        <v>220*</v>
      </c>
      <c r="K244" s="28">
        <f>'Reference Score Calculation'!U236</f>
        <v>90</v>
      </c>
      <c r="L244" s="112">
        <f>'Reference Score Calculation'!X236</f>
        <v>3.9666666666666668</v>
      </c>
      <c r="M244" s="13">
        <f>入學要求!Z245</f>
        <v>0</v>
      </c>
    </row>
    <row r="245" spans="1:19">
      <c r="A245" s="13" t="str">
        <f>'Reference Score Calculation'!A237</f>
        <v>JS6860</v>
      </c>
      <c r="B245" s="13" t="str">
        <f>'Reference Score Calculation'!B237</f>
        <v>HKU</v>
      </c>
      <c r="C245" s="13" t="str">
        <f>'Reference Score Calculation'!D237</f>
        <v>金融學學士(資產管理及私人銀行)</v>
      </c>
      <c r="D245" s="13" t="str">
        <f>'Reference Score Calculation'!R237</f>
        <v xml:space="preserve">	BFin(AMPB)</v>
      </c>
      <c r="E245" s="13" t="str">
        <f>'Reference Score Calculation'!E237</f>
        <v>Best 6</v>
      </c>
      <c r="F245" s="20">
        <f>'Reference Score Calculation'!G237</f>
        <v>48</v>
      </c>
      <c r="G245" s="20">
        <f>'Reference Score Calculation'!H237</f>
        <v>46</v>
      </c>
      <c r="H245" s="20">
        <f>'Reference Score Calculation'!I237</f>
        <v>46</v>
      </c>
      <c r="I245" s="20">
        <f>計分版!J260</f>
        <v>3.7500000000000005E-9</v>
      </c>
      <c r="J245" s="13">
        <f>'Reference Score Calculation'!T237</f>
        <v>30</v>
      </c>
      <c r="K245" s="28">
        <f>'Reference Score Calculation'!U237</f>
        <v>26</v>
      </c>
      <c r="L245" s="112">
        <f>'Reference Score Calculation'!X237</f>
        <v>4.3461538461538458</v>
      </c>
      <c r="M245" s="13">
        <f>入學要求!Z246</f>
        <v>0</v>
      </c>
      <c r="S245" s="12"/>
    </row>
    <row r="246" spans="1:19">
      <c r="A246" s="13" t="str">
        <f>'Reference Score Calculation'!A238</f>
        <v>JS6793</v>
      </c>
      <c r="B246" s="13" t="str">
        <f>'Reference Score Calculation'!B238</f>
        <v>HKU</v>
      </c>
      <c r="C246" s="13" t="str">
        <f>'Reference Score Calculation'!D238</f>
        <v>工商管理學學士(資訊系統)</v>
      </c>
      <c r="D246" s="13" t="str">
        <f>'Reference Score Calculation'!R238</f>
        <v xml:space="preserve">	BBA(IS)</v>
      </c>
      <c r="E246" s="13" t="str">
        <f>'Reference Score Calculation'!E238</f>
        <v>Best 6</v>
      </c>
      <c r="F246" s="20">
        <f>'Reference Score Calculation'!G238</f>
        <v>39</v>
      </c>
      <c r="G246" s="20">
        <f>'Reference Score Calculation'!H238</f>
        <v>36</v>
      </c>
      <c r="H246" s="20">
        <f>'Reference Score Calculation'!I238</f>
        <v>35</v>
      </c>
      <c r="I246" s="20">
        <f>計分版!J261</f>
        <v>3.7500000000000005E-9</v>
      </c>
      <c r="J246" s="13">
        <f>'Reference Score Calculation'!T238</f>
        <v>15</v>
      </c>
      <c r="K246" s="28">
        <f>'Reference Score Calculation'!U238</f>
        <v>25</v>
      </c>
      <c r="L246" s="112">
        <f>'Reference Score Calculation'!X238</f>
        <v>2.52</v>
      </c>
      <c r="M246" s="13">
        <f>入學要求!Z247</f>
        <v>0</v>
      </c>
      <c r="S246" s="12"/>
    </row>
    <row r="247" spans="1:19">
      <c r="A247" s="13" t="str">
        <f>'Reference Score Calculation'!A239</f>
        <v>JS6808</v>
      </c>
      <c r="B247" s="13" t="str">
        <f>'Reference Score Calculation'!B239</f>
        <v>HKU</v>
      </c>
      <c r="C247" s="13" t="str">
        <f>'Reference Score Calculation'!D239</f>
        <v>工商管理學學士(法學)及法學士 (雙學位課程)</v>
      </c>
      <c r="D247" s="13" t="str">
        <f>'Reference Score Calculation'!R239</f>
        <v xml:space="preserve">	BBA(Law)&amp;LLB</v>
      </c>
      <c r="E247" s="13" t="str">
        <f>'Reference Score Calculation'!E239</f>
        <v>Best 6</v>
      </c>
      <c r="F247" s="20">
        <f>'Reference Score Calculation'!G239</f>
        <v>49</v>
      </c>
      <c r="G247" s="20">
        <f>'Reference Score Calculation'!H239</f>
        <v>46</v>
      </c>
      <c r="H247" s="20">
        <f>'Reference Score Calculation'!I239</f>
        <v>45</v>
      </c>
      <c r="I247" s="20">
        <f>計分版!J262</f>
        <v>3.7500000000000005E-9</v>
      </c>
      <c r="J247" s="13">
        <f>'Reference Score Calculation'!T239</f>
        <v>80</v>
      </c>
      <c r="K247" s="28">
        <f>'Reference Score Calculation'!U239</f>
        <v>80</v>
      </c>
      <c r="L247" s="112">
        <f>'Reference Score Calculation'!X239</f>
        <v>2.3374999999999999</v>
      </c>
      <c r="M247" s="13">
        <f>入學要求!Z248</f>
        <v>0</v>
      </c>
      <c r="S247" s="12"/>
    </row>
    <row r="248" spans="1:19">
      <c r="A248" s="13" t="str">
        <f>'Reference Score Calculation'!A240</f>
        <v>JS6846</v>
      </c>
      <c r="B248" s="13" t="str">
        <f>'Reference Score Calculation'!B240</f>
        <v>HKU</v>
      </c>
      <c r="C248" s="13" t="str">
        <f>'Reference Score Calculation'!D240</f>
        <v>理學士(營銷分析及科技)</v>
      </c>
      <c r="D248" s="13" t="str">
        <f>'Reference Score Calculation'!R240</f>
        <v>BSc(MAT)</v>
      </c>
      <c r="E248" s="13" t="str">
        <f>'Reference Score Calculation'!E240</f>
        <v>Best 6</v>
      </c>
      <c r="F248" s="20">
        <f>'Reference Score Calculation'!G240</f>
        <v>36</v>
      </c>
      <c r="G248" s="20">
        <f>'Reference Score Calculation'!H240</f>
        <v>35</v>
      </c>
      <c r="H248" s="20">
        <f>'Reference Score Calculation'!I240</f>
        <v>33</v>
      </c>
      <c r="I248" s="20">
        <f>計分版!J263</f>
        <v>3.7500000000000005E-9</v>
      </c>
      <c r="J248" s="13">
        <f>'Reference Score Calculation'!T240</f>
        <v>25</v>
      </c>
      <c r="K248" s="28">
        <f>'Reference Score Calculation'!U240</f>
        <v>30</v>
      </c>
      <c r="L248" s="112">
        <f>'Reference Score Calculation'!X240</f>
        <v>1.7931034482758621</v>
      </c>
      <c r="M248" s="13">
        <f>入學要求!Z249</f>
        <v>0</v>
      </c>
    </row>
    <row r="249" spans="1:19">
      <c r="A249" s="13" t="str">
        <f>'Reference Score Calculation'!A241</f>
        <v>JS6884</v>
      </c>
      <c r="B249" s="13" t="str">
        <f>'Reference Score Calculation'!B241</f>
        <v>HKU</v>
      </c>
      <c r="C249" s="13" t="str">
        <f>'Reference Score Calculation'!D241</f>
        <v>理學士(計量金融)</v>
      </c>
      <c r="D249" s="13" t="str">
        <f>'Reference Score Calculation'!R241</f>
        <v xml:space="preserve">	BSc(QFin)</v>
      </c>
      <c r="E249" s="13" t="str">
        <f>'Reference Score Calculation'!E241</f>
        <v>Best 6</v>
      </c>
      <c r="F249" s="20">
        <f>'Reference Score Calculation'!G241</f>
        <v>50</v>
      </c>
      <c r="G249" s="20">
        <f>'Reference Score Calculation'!H241</f>
        <v>48</v>
      </c>
      <c r="H249" s="20">
        <f>'Reference Score Calculation'!I241</f>
        <v>47</v>
      </c>
      <c r="I249" s="20">
        <f>計分版!J264</f>
        <v>3.7E-9</v>
      </c>
      <c r="J249" s="13">
        <f>'Reference Score Calculation'!T241</f>
        <v>25</v>
      </c>
      <c r="K249" s="28">
        <f>'Reference Score Calculation'!U241</f>
        <v>24</v>
      </c>
      <c r="L249" s="112">
        <f>'Reference Score Calculation'!X241</f>
        <v>4.291666666666667</v>
      </c>
      <c r="M249" s="13">
        <f>入學要求!Z250</f>
        <v>0</v>
      </c>
    </row>
    <row r="250" spans="1:19">
      <c r="A250" s="13" t="str">
        <f>'Reference Score Calculation'!A242</f>
        <v>JS6896</v>
      </c>
      <c r="B250" s="13" t="str">
        <f>'Reference Score Calculation'!B242</f>
        <v>HKU</v>
      </c>
      <c r="C250" s="13" t="str">
        <f>'Reference Score Calculation'!D242</f>
        <v>工商管理學學士(國際商業及環球管理)</v>
      </c>
      <c r="D250" s="13" t="str">
        <f>'Reference Score Calculation'!R242</f>
        <v>BBA(IBGM)</v>
      </c>
      <c r="E250" s="13" t="str">
        <f>'Reference Score Calculation'!E242</f>
        <v>Best 6</v>
      </c>
      <c r="F250" s="20">
        <f>'Reference Score Calculation'!G242</f>
        <v>55</v>
      </c>
      <c r="G250" s="20">
        <f>'Reference Score Calculation'!H242</f>
        <v>53</v>
      </c>
      <c r="H250" s="20">
        <f>'Reference Score Calculation'!I242</f>
        <v>52</v>
      </c>
      <c r="I250" s="20">
        <f>計分版!J265</f>
        <v>3.7500000000000005E-9</v>
      </c>
      <c r="J250" s="13">
        <f>'Reference Score Calculation'!T242</f>
        <v>31</v>
      </c>
      <c r="K250" s="28">
        <f>'Reference Score Calculation'!U242</f>
        <v>18</v>
      </c>
      <c r="L250" s="112">
        <f>'Reference Score Calculation'!X242</f>
        <v>4.2222222222222223</v>
      </c>
      <c r="M250" s="13">
        <f>入學要求!Z251</f>
        <v>0</v>
      </c>
    </row>
    <row r="251" spans="1:19">
      <c r="A251" s="13" t="str">
        <f>'Reference Score Calculation'!A243</f>
        <v>JS6107</v>
      </c>
      <c r="B251" s="13" t="str">
        <f>'Reference Score Calculation'!B243</f>
        <v>HKU</v>
      </c>
      <c r="C251" s="13" t="str">
        <f>'Reference Score Calculation'!D243</f>
        <v>牙醫學士</v>
      </c>
      <c r="D251" s="13" t="str">
        <f>'Reference Score Calculation'!R243</f>
        <v>BDS</v>
      </c>
      <c r="E251" s="13" t="str">
        <f>'Reference Score Calculation'!E243</f>
        <v>Best 6</v>
      </c>
      <c r="F251" s="20">
        <f>'Reference Score Calculation'!G243</f>
        <v>49</v>
      </c>
      <c r="G251" s="20">
        <f>'Reference Score Calculation'!H243</f>
        <v>48</v>
      </c>
      <c r="H251" s="20">
        <f>'Reference Score Calculation'!I243</f>
        <v>46</v>
      </c>
      <c r="I251" s="20">
        <f>計分版!J266</f>
        <v>4.08E-9</v>
      </c>
      <c r="J251" s="13">
        <f>'Reference Score Calculation'!T243</f>
        <v>90</v>
      </c>
      <c r="K251" s="28">
        <f>'Reference Score Calculation'!U243</f>
        <v>65</v>
      </c>
      <c r="L251" s="112">
        <f>'Reference Score Calculation'!X243</f>
        <v>4</v>
      </c>
      <c r="M251" s="13">
        <f>入學要求!Z252</f>
        <v>0</v>
      </c>
    </row>
    <row r="252" spans="1:19">
      <c r="A252" s="13" t="str">
        <f>'Reference Score Calculation'!A244</f>
        <v>JS6066</v>
      </c>
      <c r="B252" s="13" t="str">
        <f>'Reference Score Calculation'!B244</f>
        <v>HKU</v>
      </c>
      <c r="C252" s="13" t="str">
        <f>'Reference Score Calculation'!D244</f>
        <v>文學士及教育學士(語文教育) - 英文教育 (雙學位課程)</v>
      </c>
      <c r="D252" s="13" t="str">
        <f>'Reference Score Calculation'!R244</f>
        <v>BA&amp;BED(LangEd)-Eng</v>
      </c>
      <c r="E252" s="13" t="str">
        <f>'Reference Score Calculation'!E244</f>
        <v>Best 5</v>
      </c>
      <c r="F252" s="20">
        <f>'Reference Score Calculation'!G244</f>
        <v>36</v>
      </c>
      <c r="G252" s="20">
        <f>'Reference Score Calculation'!H244</f>
        <v>35</v>
      </c>
      <c r="H252" s="20">
        <f>'Reference Score Calculation'!I244</f>
        <v>34</v>
      </c>
      <c r="I252" s="20">
        <f>計分版!J267</f>
        <v>3.2999999999999998E-9</v>
      </c>
      <c r="J252" s="13">
        <f>'Reference Score Calculation'!T244</f>
        <v>17</v>
      </c>
      <c r="K252" s="28">
        <f>'Reference Score Calculation'!U244</f>
        <v>15</v>
      </c>
      <c r="L252" s="112">
        <f>'Reference Score Calculation'!X244</f>
        <v>9.8666666666666671</v>
      </c>
      <c r="M252" s="13">
        <f>入學要求!Z253</f>
        <v>0</v>
      </c>
    </row>
    <row r="253" spans="1:19">
      <c r="A253" s="13" t="str">
        <f>'Reference Score Calculation'!A245</f>
        <v>JS6080</v>
      </c>
      <c r="B253" s="13" t="str">
        <f>'Reference Score Calculation'!B245</f>
        <v>HKU</v>
      </c>
      <c r="C253" s="13" t="str">
        <f>'Reference Score Calculation'!D245</f>
        <v>文學士及教育學士(語文教育) - 中文教育 (雙學位課程)</v>
      </c>
      <c r="D253" s="13" t="str">
        <f>'Reference Score Calculation'!R245</f>
        <v xml:space="preserve">	BA&amp;BED(LangEd)-Chin</v>
      </c>
      <c r="E253" s="13" t="str">
        <f>'Reference Score Calculation'!E245</f>
        <v>Best 5</v>
      </c>
      <c r="F253" s="20">
        <f>'Reference Score Calculation'!G245</f>
        <v>39</v>
      </c>
      <c r="G253" s="20">
        <f>'Reference Score Calculation'!H245</f>
        <v>37</v>
      </c>
      <c r="H253" s="20">
        <f>'Reference Score Calculation'!I245</f>
        <v>35</v>
      </c>
      <c r="I253" s="20">
        <f>計分版!J268</f>
        <v>3.6E-9</v>
      </c>
      <c r="J253" s="13">
        <f>'Reference Score Calculation'!T245</f>
        <v>17</v>
      </c>
      <c r="K253" s="28">
        <f>'Reference Score Calculation'!U245</f>
        <v>15</v>
      </c>
      <c r="L253" s="112">
        <f>'Reference Score Calculation'!X245</f>
        <v>9.1333333333333329</v>
      </c>
      <c r="M253" s="13">
        <f>入學要求!Z254</f>
        <v>0</v>
      </c>
    </row>
    <row r="254" spans="1:19">
      <c r="A254" s="13" t="str">
        <f>'Reference Score Calculation'!A246</f>
        <v>JS6092</v>
      </c>
      <c r="B254" s="13" t="str">
        <f>'Reference Score Calculation'!B246</f>
        <v>HKU</v>
      </c>
      <c r="C254" s="13" t="str">
        <f>'Reference Score Calculation'!D246</f>
        <v>教育學士(幼兒教育及特殊教育)</v>
      </c>
      <c r="D254" s="13" t="str">
        <f>'Reference Score Calculation'!R246</f>
        <v xml:space="preserve">	BED(ECE&amp;SE)</v>
      </c>
      <c r="E254" s="13" t="str">
        <f>'Reference Score Calculation'!E246</f>
        <v>Best 5</v>
      </c>
      <c r="F254" s="20">
        <f>'Reference Score Calculation'!G246</f>
        <v>27</v>
      </c>
      <c r="G254" s="20">
        <f>'Reference Score Calculation'!H246</f>
        <v>25</v>
      </c>
      <c r="H254" s="20">
        <f>'Reference Score Calculation'!I246</f>
        <v>24</v>
      </c>
      <c r="I254" s="20">
        <f>計分版!J269</f>
        <v>3.1800000000000002E-9</v>
      </c>
      <c r="J254" s="13">
        <f>'Reference Score Calculation'!T246</f>
        <v>18</v>
      </c>
      <c r="K254" s="28">
        <f>'Reference Score Calculation'!U246</f>
        <v>10</v>
      </c>
      <c r="L254" s="112">
        <f>'Reference Score Calculation'!X246</f>
        <v>21</v>
      </c>
      <c r="M254" s="13">
        <f>入學要求!Z255</f>
        <v>0</v>
      </c>
    </row>
    <row r="255" spans="1:19">
      <c r="A255" s="13" t="str">
        <f>'Reference Score Calculation'!A247</f>
        <v>JS6119</v>
      </c>
      <c r="B255" s="13" t="str">
        <f>'Reference Score Calculation'!B247</f>
        <v>HKU</v>
      </c>
      <c r="C255" s="13" t="str">
        <f>'Reference Score Calculation'!D247</f>
        <v>教育學士及理學士 (雙學位課程)</v>
      </c>
      <c r="D255" s="13" t="str">
        <f>'Reference Score Calculation'!R247</f>
        <v xml:space="preserve">	BED&amp;BSC</v>
      </c>
      <c r="E255" s="13" t="str">
        <f>'Reference Score Calculation'!E247</f>
        <v>Best 5</v>
      </c>
      <c r="F255" s="20">
        <f>'Reference Score Calculation'!G247</f>
        <v>43</v>
      </c>
      <c r="G255" s="20">
        <f>'Reference Score Calculation'!H247</f>
        <v>42</v>
      </c>
      <c r="H255" s="20">
        <f>'Reference Score Calculation'!I247</f>
        <v>40</v>
      </c>
      <c r="I255" s="20">
        <f>計分版!J270</f>
        <v>2.1500000000000002E-9</v>
      </c>
      <c r="J255" s="13">
        <f>'Reference Score Calculation'!T247</f>
        <v>16</v>
      </c>
      <c r="K255" s="28">
        <f>'Reference Score Calculation'!U247</f>
        <v>18</v>
      </c>
      <c r="L255" s="112">
        <f>'Reference Score Calculation'!X247</f>
        <v>5.5</v>
      </c>
      <c r="M255" s="13">
        <f>入學要求!Z256</f>
        <v>0</v>
      </c>
    </row>
    <row r="256" spans="1:19">
      <c r="A256" s="13" t="str">
        <f>'Reference Score Calculation'!A248</f>
        <v>JS6157</v>
      </c>
      <c r="B256" s="13" t="str">
        <f>'Reference Score Calculation'!B248</f>
        <v>HKU</v>
      </c>
      <c r="C256" s="13" t="str">
        <f>'Reference Score Calculation'!D248</f>
        <v>理學士(言語及聽覺科學)</v>
      </c>
      <c r="D256" s="13" t="str">
        <f>'Reference Score Calculation'!R248</f>
        <v xml:space="preserve">	BSC(SPEECH)</v>
      </c>
      <c r="E256" s="13" t="str">
        <f>'Reference Score Calculation'!E248</f>
        <v>Best 6</v>
      </c>
      <c r="F256" s="20">
        <f>'Reference Score Calculation'!G248</f>
        <v>39</v>
      </c>
      <c r="G256" s="20">
        <f>'Reference Score Calculation'!H248</f>
        <v>38</v>
      </c>
      <c r="H256" s="20">
        <f>'Reference Score Calculation'!I248</f>
        <v>36</v>
      </c>
      <c r="I256" s="20">
        <f>計分版!J271</f>
        <v>3.9000000000000002E-9</v>
      </c>
      <c r="J256" s="13">
        <f>'Reference Score Calculation'!T248</f>
        <v>48</v>
      </c>
      <c r="K256" s="28">
        <f>'Reference Score Calculation'!U248</f>
        <v>59</v>
      </c>
      <c r="L256" s="112">
        <f>'Reference Score Calculation'!X248</f>
        <v>2.6271186440677967</v>
      </c>
      <c r="M256" s="13">
        <f>入學要求!Z257</f>
        <v>0</v>
      </c>
    </row>
    <row r="257" spans="1:13">
      <c r="A257" s="13" t="str">
        <f>'Reference Score Calculation'!A249</f>
        <v>JS6262</v>
      </c>
      <c r="B257" s="13" t="str">
        <f>'Reference Score Calculation'!B249</f>
        <v>HKU</v>
      </c>
      <c r="C257" s="13" t="str">
        <f>'Reference Score Calculation'!D249</f>
        <v>工學學士(數據科學及工程)</v>
      </c>
      <c r="D257" s="13" t="str">
        <f>'Reference Score Calculation'!R249</f>
        <v>BEng(DS&amp;E)</v>
      </c>
      <c r="E257" s="13" t="str">
        <f>'Reference Score Calculation'!E249</f>
        <v>Best 5</v>
      </c>
      <c r="F257" s="20">
        <f>'Reference Score Calculation'!G249</f>
        <v>31</v>
      </c>
      <c r="G257" s="20">
        <f>'Reference Score Calculation'!H249</f>
        <v>30</v>
      </c>
      <c r="H257" s="20">
        <f>'Reference Score Calculation'!I249</f>
        <v>28</v>
      </c>
      <c r="I257" s="20">
        <f>計分版!J272</f>
        <v>3.1500000000000001E-9</v>
      </c>
      <c r="J257" s="13">
        <f>'Reference Score Calculation'!T249</f>
        <v>30</v>
      </c>
      <c r="K257" s="28">
        <f>'Reference Score Calculation'!U249</f>
        <v>30</v>
      </c>
      <c r="L257" s="112">
        <f>'Reference Score Calculation'!X249</f>
        <v>3.1666666666666665</v>
      </c>
      <c r="M257" s="13">
        <f>入學要求!Z258</f>
        <v>0</v>
      </c>
    </row>
    <row r="258" spans="1:13">
      <c r="A258" s="13" t="str">
        <f>'Reference Score Calculation'!A250</f>
        <v>JS6925</v>
      </c>
      <c r="B258" s="13" t="str">
        <f>'Reference Score Calculation'!B250</f>
        <v>HKU</v>
      </c>
      <c r="C258" s="13" t="str">
        <f>'Reference Score Calculation'!D250</f>
        <v>工學學士(生物醫學工程)</v>
      </c>
      <c r="D258" s="13" t="str">
        <f>'Reference Score Calculation'!R250</f>
        <v xml:space="preserve">	BENG(BME)</v>
      </c>
      <c r="E258" s="13" t="str">
        <f>'Reference Score Calculation'!E250</f>
        <v>Best 5</v>
      </c>
      <c r="F258" s="20">
        <f>'Reference Score Calculation'!G250</f>
        <v>31</v>
      </c>
      <c r="G258" s="20">
        <f>'Reference Score Calculation'!H250</f>
        <v>28</v>
      </c>
      <c r="H258" s="20">
        <f>'Reference Score Calculation'!I250</f>
        <v>27</v>
      </c>
      <c r="I258" s="20">
        <f>計分版!J273</f>
        <v>3.1500000000000001E-9</v>
      </c>
      <c r="J258" s="13">
        <f>'Reference Score Calculation'!T250</f>
        <v>35</v>
      </c>
      <c r="K258" s="28">
        <f>'Reference Score Calculation'!U250</f>
        <v>17</v>
      </c>
      <c r="L258" s="112">
        <f>'Reference Score Calculation'!X250</f>
        <v>3.3529411764705883</v>
      </c>
      <c r="M258" s="13">
        <f>入學要求!Z259</f>
        <v>0</v>
      </c>
    </row>
    <row r="259" spans="1:13">
      <c r="A259" s="13" t="str">
        <f>'Reference Score Calculation'!A251</f>
        <v>JS6937</v>
      </c>
      <c r="B259" s="13" t="str">
        <f>'Reference Score Calculation'!B251</f>
        <v>HKU</v>
      </c>
      <c r="C259" s="13" t="str">
        <f>'Reference Score Calculation'!D251</f>
        <v>環球工程與商業課程</v>
      </c>
      <c r="D259" s="13" t="str">
        <f>'Reference Score Calculation'!R251</f>
        <v>GEBP</v>
      </c>
      <c r="E259" s="13" t="str">
        <f>'Reference Score Calculation'!E251</f>
        <v>Best 5</v>
      </c>
      <c r="F259" s="20">
        <f>'Reference Score Calculation'!G251</f>
        <v>34</v>
      </c>
      <c r="G259" s="20">
        <f>'Reference Score Calculation'!H251</f>
        <v>31</v>
      </c>
      <c r="H259" s="20">
        <f>'Reference Score Calculation'!I251</f>
        <v>29</v>
      </c>
      <c r="I259" s="20">
        <f>計分版!J274</f>
        <v>3.1500000000000001E-9</v>
      </c>
      <c r="J259" s="13" t="str">
        <f>'Reference Score Calculation'!T251</f>
        <v>355*</v>
      </c>
      <c r="K259" s="28">
        <f>'Reference Score Calculation'!U251</f>
        <v>20</v>
      </c>
      <c r="L259" s="112">
        <f>'Reference Score Calculation'!X251</f>
        <v>3.1</v>
      </c>
      <c r="M259" s="13">
        <f>入學要求!Z260</f>
        <v>0</v>
      </c>
    </row>
    <row r="260" spans="1:13">
      <c r="A260" s="13" t="str">
        <f>'Reference Score Calculation'!A252</f>
        <v>JS6951</v>
      </c>
      <c r="B260" s="13" t="str">
        <f>'Reference Score Calculation'!B252</f>
        <v>HKU</v>
      </c>
      <c r="C260" s="13" t="str">
        <f>'Reference Score Calculation'!D252</f>
        <v>工學學士(工程科學)</v>
      </c>
      <c r="D260" s="13" t="str">
        <f>'Reference Score Calculation'!R252</f>
        <v xml:space="preserve">	BENG(EngSc)</v>
      </c>
      <c r="E260" s="13" t="str">
        <f>'Reference Score Calculation'!E252</f>
        <v>Best 5</v>
      </c>
      <c r="F260" s="20">
        <f>'Reference Score Calculation'!G252</f>
        <v>28</v>
      </c>
      <c r="G260" s="20">
        <f>'Reference Score Calculation'!H252</f>
        <v>26</v>
      </c>
      <c r="H260" s="20">
        <f>'Reference Score Calculation'!I252</f>
        <v>25</v>
      </c>
      <c r="I260" s="20">
        <f>計分版!J275</f>
        <v>3.1500000000000001E-9</v>
      </c>
      <c r="J260" s="13">
        <f>'Reference Score Calculation'!T252</f>
        <v>18</v>
      </c>
      <c r="K260" s="28">
        <f>'Reference Score Calculation'!U252</f>
        <v>17</v>
      </c>
      <c r="L260" s="112">
        <f>'Reference Score Calculation'!X252</f>
        <v>5.3529411764705879</v>
      </c>
      <c r="M260" s="13">
        <f>入學要求!Z261</f>
        <v>0</v>
      </c>
    </row>
    <row r="261" spans="1:13">
      <c r="A261" s="13" t="str">
        <f>'Reference Score Calculation'!A253</f>
        <v>JS6963</v>
      </c>
      <c r="B261" s="13" t="str">
        <f>'Reference Score Calculation'!B253</f>
        <v>HKU</v>
      </c>
      <c r="C261" s="13" t="str">
        <f>'Reference Score Calculation'!D253</f>
        <v>工學學士</v>
      </c>
      <c r="D261" s="13" t="str">
        <f>'Reference Score Calculation'!R253</f>
        <v xml:space="preserve">	BENG</v>
      </c>
      <c r="E261" s="13" t="str">
        <f>'Reference Score Calculation'!E253</f>
        <v>Best 5</v>
      </c>
      <c r="F261" s="20">
        <f>'Reference Score Calculation'!G253</f>
        <v>26</v>
      </c>
      <c r="G261" s="20">
        <f>'Reference Score Calculation'!H253</f>
        <v>25</v>
      </c>
      <c r="H261" s="20">
        <f>'Reference Score Calculation'!I253</f>
        <v>23</v>
      </c>
      <c r="I261" s="20">
        <f>計分版!J276</f>
        <v>3.1500000000000001E-9</v>
      </c>
      <c r="J261" s="13" t="str">
        <f>'Reference Score Calculation'!T253</f>
        <v>355*</v>
      </c>
      <c r="K261" s="28">
        <f>'Reference Score Calculation'!U253</f>
        <v>276</v>
      </c>
      <c r="L261" s="112">
        <f>'Reference Score Calculation'!X253</f>
        <v>2.9890109890109891</v>
      </c>
      <c r="M261" s="13">
        <f>入學要求!Z262</f>
        <v>0</v>
      </c>
    </row>
    <row r="262" spans="1:13">
      <c r="A262" s="13" t="str">
        <f>'Reference Score Calculation'!A254</f>
        <v>JS6078</v>
      </c>
      <c r="B262" s="13" t="str">
        <f>'Reference Score Calculation'!B254</f>
        <v>HKU</v>
      </c>
      <c r="C262" s="13" t="str">
        <f>'Reference Score Calculation'!D254</f>
        <v>文學士及法學士 (雙學位課程)</v>
      </c>
      <c r="D262" s="13" t="str">
        <f>'Reference Score Calculation'!R254</f>
        <v xml:space="preserve">	BA&amp;LLB</v>
      </c>
      <c r="E262" s="13" t="str">
        <f>'Reference Score Calculation'!E254</f>
        <v>Best 6</v>
      </c>
      <c r="F262" s="20">
        <f>'Reference Score Calculation'!G254</f>
        <v>40</v>
      </c>
      <c r="G262" s="20">
        <f>'Reference Score Calculation'!H254</f>
        <v>39</v>
      </c>
      <c r="H262" s="20">
        <f>'Reference Score Calculation'!I254</f>
        <v>37</v>
      </c>
      <c r="I262" s="20">
        <f>計分版!J277</f>
        <v>3.7E-9</v>
      </c>
      <c r="J262" s="13">
        <f>'Reference Score Calculation'!T254</f>
        <v>20</v>
      </c>
      <c r="K262" s="28">
        <f>'Reference Score Calculation'!U254</f>
        <v>27</v>
      </c>
      <c r="L262" s="112">
        <f>'Reference Score Calculation'!X254</f>
        <v>2.3703703703703702</v>
      </c>
      <c r="M262" s="13">
        <f>入學要求!Z263</f>
        <v>0</v>
      </c>
    </row>
    <row r="263" spans="1:13">
      <c r="A263" s="13" t="str">
        <f>'Reference Score Calculation'!A255</f>
        <v>JS6406</v>
      </c>
      <c r="B263" s="13" t="str">
        <f>'Reference Score Calculation'!B255</f>
        <v>HKU</v>
      </c>
      <c r="C263" s="13" t="str">
        <f>'Reference Score Calculation'!D255</f>
        <v>法學士</v>
      </c>
      <c r="D263" s="13" t="str">
        <f>'Reference Score Calculation'!R255</f>
        <v xml:space="preserve">	LLB</v>
      </c>
      <c r="E263" s="13" t="str">
        <f>'Reference Score Calculation'!E255</f>
        <v>Best 6</v>
      </c>
      <c r="F263" s="20">
        <f>'Reference Score Calculation'!G255</f>
        <v>36</v>
      </c>
      <c r="G263" s="20">
        <f>'Reference Score Calculation'!H255</f>
        <v>35</v>
      </c>
      <c r="H263" s="20">
        <f>'Reference Score Calculation'!I255</f>
        <v>33</v>
      </c>
      <c r="I263" s="20">
        <f>計分版!J278</f>
        <v>3.7E-9</v>
      </c>
      <c r="J263" s="13">
        <f>'Reference Score Calculation'!T255</f>
        <v>93</v>
      </c>
      <c r="K263" s="28">
        <f>'Reference Score Calculation'!U255</f>
        <v>93</v>
      </c>
      <c r="L263" s="112">
        <f>'Reference Score Calculation'!X255</f>
        <v>3.021505376344086</v>
      </c>
      <c r="M263" s="13">
        <f>入學要求!Z264</f>
        <v>0</v>
      </c>
    </row>
    <row r="264" spans="1:13">
      <c r="A264" s="13" t="str">
        <f>'Reference Score Calculation'!A256</f>
        <v>JS6418</v>
      </c>
      <c r="B264" s="13" t="str">
        <f>'Reference Score Calculation'!B256</f>
        <v>HKU</v>
      </c>
      <c r="C264" s="13" t="str">
        <f>'Reference Score Calculation'!D256</f>
        <v>護理學學士菁英領袖培育專修組別</v>
      </c>
      <c r="D264" s="13" t="str">
        <f>'Reference Score Calculation'!R256</f>
        <v>BNURS-ALT</v>
      </c>
      <c r="E264" s="13" t="str">
        <f>'Reference Score Calculation'!E256</f>
        <v>Best 5</v>
      </c>
      <c r="F264" s="20">
        <f>'Reference Score Calculation'!G256</f>
        <v>38</v>
      </c>
      <c r="G264" s="20">
        <f>'Reference Score Calculation'!H256</f>
        <v>36</v>
      </c>
      <c r="H264" s="20">
        <f>'Reference Score Calculation'!I256</f>
        <v>35</v>
      </c>
      <c r="I264" s="20">
        <f>計分版!J279</f>
        <v>3.9500000000000006E-9</v>
      </c>
      <c r="J264" s="13" t="str">
        <f>'Reference Score Calculation'!T256</f>
        <v>210*</v>
      </c>
      <c r="K264" s="28">
        <f>'Reference Score Calculation'!U256</f>
        <v>8</v>
      </c>
      <c r="L264" s="112">
        <f>'Reference Score Calculation'!X256</f>
        <v>8.75</v>
      </c>
      <c r="M264" s="13">
        <f>入學要求!Z265</f>
        <v>0</v>
      </c>
    </row>
    <row r="265" spans="1:13">
      <c r="A265" s="13" t="str">
        <f>'Reference Score Calculation'!A257</f>
        <v>JS6456</v>
      </c>
      <c r="B265" s="13" t="str">
        <f>'Reference Score Calculation'!B257</f>
        <v>HKU</v>
      </c>
      <c r="C265" s="13" t="str">
        <f>'Reference Score Calculation'!D257</f>
        <v>內外全科醫學士</v>
      </c>
      <c r="D265" s="13" t="str">
        <f>'Reference Score Calculation'!R257</f>
        <v xml:space="preserve">	MBBS</v>
      </c>
      <c r="E265" s="13" t="str">
        <f>'Reference Score Calculation'!E257</f>
        <v>Best 6</v>
      </c>
      <c r="F265" s="20">
        <f>'Reference Score Calculation'!G257</f>
        <v>47</v>
      </c>
      <c r="G265" s="20">
        <f>'Reference Score Calculation'!H257</f>
        <v>45</v>
      </c>
      <c r="H265" s="20">
        <f>'Reference Score Calculation'!I257</f>
        <v>44</v>
      </c>
      <c r="I265" s="20">
        <f>計分版!J280</f>
        <v>3.9000000000000002E-9</v>
      </c>
      <c r="J265" s="13">
        <f>'Reference Score Calculation'!T257</f>
        <v>295</v>
      </c>
      <c r="K265" s="28">
        <f>'Reference Score Calculation'!U257</f>
        <v>132</v>
      </c>
      <c r="L265" s="112">
        <f>'Reference Score Calculation'!X257</f>
        <v>4.6818181818181817</v>
      </c>
      <c r="M265" s="13">
        <f>入學要求!Z266</f>
        <v>0</v>
      </c>
    </row>
    <row r="266" spans="1:13">
      <c r="A266" s="13" t="str">
        <f>'Reference Score Calculation'!A258</f>
        <v>JS6468</v>
      </c>
      <c r="B266" s="13" t="str">
        <f>'Reference Score Calculation'!B258</f>
        <v>HKU</v>
      </c>
      <c r="C266" s="13" t="str">
        <f>'Reference Score Calculation'!D258</f>
        <v>護理學學士</v>
      </c>
      <c r="D266" s="13" t="str">
        <f>'Reference Score Calculation'!R258</f>
        <v xml:space="preserve">	BNURS</v>
      </c>
      <c r="E266" s="13" t="str">
        <f>'Reference Score Calculation'!E258</f>
        <v>Best 5</v>
      </c>
      <c r="F266" s="20">
        <f>'Reference Score Calculation'!G258</f>
        <v>28</v>
      </c>
      <c r="G266" s="20">
        <f>'Reference Score Calculation'!H258</f>
        <v>27</v>
      </c>
      <c r="H266" s="20">
        <f>'Reference Score Calculation'!I258</f>
        <v>26</v>
      </c>
      <c r="I266" s="20">
        <f>計分版!J281</f>
        <v>3.9500000000000006E-9</v>
      </c>
      <c r="J266" s="13" t="str">
        <f>'Reference Score Calculation'!T258</f>
        <v>210*</v>
      </c>
      <c r="K266" s="28">
        <f>'Reference Score Calculation'!U258</f>
        <v>158</v>
      </c>
      <c r="L266" s="112">
        <f>'Reference Score Calculation'!X258</f>
        <v>5.5506329113924053</v>
      </c>
      <c r="M266" s="13">
        <f>入學要求!Z267</f>
        <v>0</v>
      </c>
    </row>
    <row r="267" spans="1:13">
      <c r="A267" s="13" t="str">
        <f>'Reference Score Calculation'!A259</f>
        <v>JS6470</v>
      </c>
      <c r="B267" s="13" t="str">
        <f>'Reference Score Calculation'!B259</f>
        <v>HKU</v>
      </c>
      <c r="C267" s="13" t="str">
        <f>'Reference Score Calculation'!D259</f>
        <v>理學士(生物訊息學)</v>
      </c>
      <c r="D267" s="13" t="str">
        <f>'Reference Score Calculation'!R259</f>
        <v>BSc(Bioinformatics)</v>
      </c>
      <c r="E267" s="13" t="str">
        <f>'Reference Score Calculation'!E259</f>
        <v>Best 6</v>
      </c>
      <c r="F267" s="20">
        <f>'Reference Score Calculation'!G259</f>
        <v>38</v>
      </c>
      <c r="G267" s="20">
        <f>'Reference Score Calculation'!H259</f>
        <v>36</v>
      </c>
      <c r="H267" s="20">
        <f>'Reference Score Calculation'!I259</f>
        <v>35</v>
      </c>
      <c r="I267" s="20">
        <f>計分版!J282</f>
        <v>3.9000000000000002E-9</v>
      </c>
      <c r="J267" s="13">
        <f>'Reference Score Calculation'!T259</f>
        <v>15</v>
      </c>
      <c r="K267" s="28">
        <f>'Reference Score Calculation'!U259</f>
        <v>7</v>
      </c>
      <c r="L267" s="112">
        <f>'Reference Score Calculation'!X259</f>
        <v>3.5714285714285716</v>
      </c>
      <c r="M267" s="13">
        <f>入學要求!Z268</f>
        <v>0</v>
      </c>
    </row>
    <row r="268" spans="1:13">
      <c r="A268" s="13" t="str">
        <f>'Reference Score Calculation'!A260</f>
        <v>JS6482</v>
      </c>
      <c r="B268" s="13" t="str">
        <f>'Reference Score Calculation'!B260</f>
        <v>HKU</v>
      </c>
      <c r="C268" s="13" t="str">
        <f>'Reference Score Calculation'!D260</f>
        <v>中醫全科學士</v>
      </c>
      <c r="D268" s="13" t="str">
        <f>'Reference Score Calculation'!R260</f>
        <v>BChinMed</v>
      </c>
      <c r="E268" s="13" t="str">
        <f>'Reference Score Calculation'!E260</f>
        <v>Best 5</v>
      </c>
      <c r="F268" s="20">
        <f>'Reference Score Calculation'!G260</f>
        <v>34</v>
      </c>
      <c r="G268" s="20">
        <f>'Reference Score Calculation'!H260</f>
        <v>31</v>
      </c>
      <c r="H268" s="20">
        <f>'Reference Score Calculation'!I260</f>
        <v>30</v>
      </c>
      <c r="I268" s="20">
        <f>計分版!J283</f>
        <v>3.9500000000000006E-9</v>
      </c>
      <c r="J268" s="13">
        <f>'Reference Score Calculation'!T260</f>
        <v>24</v>
      </c>
      <c r="K268" s="28">
        <f>'Reference Score Calculation'!U260</f>
        <v>20</v>
      </c>
      <c r="L268" s="112">
        <f>'Reference Score Calculation'!X260</f>
        <v>7</v>
      </c>
      <c r="M268" s="13">
        <f>入學要求!Z269</f>
        <v>0</v>
      </c>
    </row>
    <row r="269" spans="1:13">
      <c r="A269" s="13" t="str">
        <f>'Reference Score Calculation'!A261</f>
        <v>JS6494</v>
      </c>
      <c r="B269" s="13" t="str">
        <f>'Reference Score Calculation'!B261</f>
        <v>HKU</v>
      </c>
      <c r="C269" s="13" t="str">
        <f>'Reference Score Calculation'!D261</f>
        <v>藥劑學學士</v>
      </c>
      <c r="D269" s="13" t="str">
        <f>'Reference Score Calculation'!R261</f>
        <v>BPharm</v>
      </c>
      <c r="E269" s="13" t="str">
        <f>'Reference Score Calculation'!E261</f>
        <v>Best 6</v>
      </c>
      <c r="F269" s="20">
        <f>'Reference Score Calculation'!G261</f>
        <v>41</v>
      </c>
      <c r="G269" s="20">
        <f>'Reference Score Calculation'!H261</f>
        <v>39</v>
      </c>
      <c r="H269" s="20">
        <f>'Reference Score Calculation'!I261</f>
        <v>38</v>
      </c>
      <c r="I269" s="20">
        <f>計分版!J284</f>
        <v>3.9000000000000002E-9</v>
      </c>
      <c r="J269" s="13">
        <f>'Reference Score Calculation'!T261</f>
        <v>35</v>
      </c>
      <c r="K269" s="28">
        <f>'Reference Score Calculation'!U261</f>
        <v>30</v>
      </c>
      <c r="L269" s="112">
        <f>'Reference Score Calculation'!X261</f>
        <v>3.8</v>
      </c>
      <c r="M269" s="13">
        <f>入學要求!Z270</f>
        <v>0</v>
      </c>
    </row>
    <row r="270" spans="1:13">
      <c r="A270" s="13" t="str">
        <f>'Reference Score Calculation'!A262</f>
        <v>JS6949</v>
      </c>
      <c r="B270" s="13" t="str">
        <f>'Reference Score Calculation'!B262</f>
        <v>HKU</v>
      </c>
      <c r="C270" s="13" t="str">
        <f>'Reference Score Calculation'!D262</f>
        <v>生物醫學學士</v>
      </c>
      <c r="D270" s="13" t="str">
        <f>'Reference Score Calculation'!R262</f>
        <v xml:space="preserve">	BBiomedSc</v>
      </c>
      <c r="E270" s="13" t="str">
        <f>'Reference Score Calculation'!E262</f>
        <v>Best 6</v>
      </c>
      <c r="F270" s="20">
        <f>'Reference Score Calculation'!G262</f>
        <v>41</v>
      </c>
      <c r="G270" s="20">
        <f>'Reference Score Calculation'!H262</f>
        <v>39</v>
      </c>
      <c r="H270" s="20">
        <f>'Reference Score Calculation'!I262</f>
        <v>39</v>
      </c>
      <c r="I270" s="20">
        <f>計分版!J285</f>
        <v>3.9000000000000002E-9</v>
      </c>
      <c r="J270" s="13">
        <f>'Reference Score Calculation'!T262</f>
        <v>38</v>
      </c>
      <c r="K270" s="28">
        <f>'Reference Score Calculation'!U262</f>
        <v>33</v>
      </c>
      <c r="L270" s="112">
        <f>'Reference Score Calculation'!X262</f>
        <v>3.75</v>
      </c>
      <c r="M270" s="13">
        <f>入學要求!Z271</f>
        <v>0</v>
      </c>
    </row>
    <row r="271" spans="1:13">
      <c r="A271" s="13" t="str">
        <f>'Reference Score Calculation'!A263</f>
        <v>JS6688</v>
      </c>
      <c r="B271" s="13" t="str">
        <f>'Reference Score Calculation'!B263</f>
        <v>HKU</v>
      </c>
      <c r="C271" s="13" t="str">
        <f>'Reference Score Calculation'!D263</f>
        <v>科研專才啟導課程</v>
      </c>
      <c r="D271" s="13" t="str">
        <f>'Reference Score Calculation'!R263</f>
        <v>SMC</v>
      </c>
      <c r="E271" s="13" t="str">
        <f>'Reference Score Calculation'!E263</f>
        <v>Best 5</v>
      </c>
      <c r="F271" s="20">
        <f>'Reference Score Calculation'!G263</f>
        <v>40</v>
      </c>
      <c r="G271" s="20">
        <f>'Reference Score Calculation'!H263</f>
        <v>37</v>
      </c>
      <c r="H271" s="20">
        <f>'Reference Score Calculation'!I263</f>
        <v>35</v>
      </c>
      <c r="I271" s="20">
        <f>計分版!J286</f>
        <v>2.7499999999999998E-9</v>
      </c>
      <c r="J271" s="13">
        <f>'Reference Score Calculation'!T263</f>
        <v>24</v>
      </c>
      <c r="K271" s="28">
        <f>'Reference Score Calculation'!U263</f>
        <v>21</v>
      </c>
      <c r="L271" s="112">
        <f>'Reference Score Calculation'!X263</f>
        <v>4.2380952380952381</v>
      </c>
      <c r="M271" s="13">
        <f>入學要求!Z272</f>
        <v>0</v>
      </c>
    </row>
    <row r="272" spans="1:13">
      <c r="A272" s="13" t="str">
        <f>'Reference Score Calculation'!A264</f>
        <v>JS6729</v>
      </c>
      <c r="B272" s="13" t="str">
        <f>'Reference Score Calculation'!B264</f>
        <v>HKU</v>
      </c>
      <c r="C272" s="13" t="str">
        <f>'Reference Score Calculation'!D264</f>
        <v>理學士(精算學)</v>
      </c>
      <c r="D272" s="13" t="str">
        <f>'Reference Score Calculation'!R264</f>
        <v xml:space="preserve">	BSC(AC)</v>
      </c>
      <c r="E272" s="13" t="str">
        <f>'Reference Score Calculation'!E264</f>
        <v>Best 5</v>
      </c>
      <c r="F272" s="20">
        <f>'Reference Score Calculation'!G264</f>
        <v>34</v>
      </c>
      <c r="G272" s="20">
        <f>'Reference Score Calculation'!H264</f>
        <v>32</v>
      </c>
      <c r="H272" s="20">
        <f>'Reference Score Calculation'!I264</f>
        <v>31</v>
      </c>
      <c r="I272" s="20">
        <f>計分版!J287</f>
        <v>2.9000000000000003E-9</v>
      </c>
      <c r="J272" s="13">
        <f>'Reference Score Calculation'!T264</f>
        <v>50</v>
      </c>
      <c r="K272" s="28">
        <f>'Reference Score Calculation'!U264</f>
        <v>74</v>
      </c>
      <c r="L272" s="112">
        <f>'Reference Score Calculation'!X264</f>
        <v>2.310810810810811</v>
      </c>
      <c r="M272" s="13">
        <f>入學要求!Z273</f>
        <v>0</v>
      </c>
    </row>
    <row r="273" spans="1:13">
      <c r="A273" s="13" t="str">
        <f>'Reference Score Calculation'!A265</f>
        <v>JS6858</v>
      </c>
      <c r="B273" s="13" t="str">
        <f>'Reference Score Calculation'!B265</f>
        <v>HKU</v>
      </c>
      <c r="C273" s="13" t="str">
        <f>'Reference Score Calculation'!D265</f>
        <v>理學士及法學士(雙學位課程)</v>
      </c>
      <c r="D273" s="13" t="str">
        <f>'Reference Score Calculation'!R265</f>
        <v>BSc&amp;LLB</v>
      </c>
      <c r="E273" s="13" t="str">
        <f>'Reference Score Calculation'!E265</f>
        <v>Best 6</v>
      </c>
      <c r="F273" s="20">
        <f>'Reference Score Calculation'!G265</f>
        <v>60</v>
      </c>
      <c r="G273" s="20">
        <f>'Reference Score Calculation'!H265</f>
        <v>54</v>
      </c>
      <c r="H273" s="20">
        <f>'Reference Score Calculation'!I265</f>
        <v>53</v>
      </c>
      <c r="I273" s="20">
        <f>計分版!J288</f>
        <v>4.0000000000000002E-9</v>
      </c>
      <c r="J273" s="13">
        <f>'Reference Score Calculation'!T265</f>
        <v>20</v>
      </c>
      <c r="K273" s="28">
        <f>'Reference Score Calculation'!U265</f>
        <v>17</v>
      </c>
      <c r="L273" s="112">
        <f>'Reference Score Calculation'!X265</f>
        <v>2.4117647058823528</v>
      </c>
      <c r="M273" s="13">
        <f>入學要求!Z274</f>
        <v>0</v>
      </c>
    </row>
    <row r="274" spans="1:13">
      <c r="A274" s="13" t="str">
        <f>'Reference Score Calculation'!A266</f>
        <v>JS6901</v>
      </c>
      <c r="B274" s="13" t="str">
        <f>'Reference Score Calculation'!B266</f>
        <v>HKU</v>
      </c>
      <c r="C274" s="13" t="str">
        <f>'Reference Score Calculation'!D266</f>
        <v>理學士</v>
      </c>
      <c r="D274" s="13" t="str">
        <f>'Reference Score Calculation'!R266</f>
        <v xml:space="preserve">	BSC</v>
      </c>
      <c r="E274" s="13" t="str">
        <f>'Reference Score Calculation'!E266</f>
        <v>Best 5</v>
      </c>
      <c r="F274" s="20">
        <f>'Reference Score Calculation'!G266</f>
        <v>34</v>
      </c>
      <c r="G274" s="20">
        <f>'Reference Score Calculation'!H266</f>
        <v>32</v>
      </c>
      <c r="H274" s="20">
        <f>'Reference Score Calculation'!I266</f>
        <v>29</v>
      </c>
      <c r="I274" s="20">
        <f>計分版!J289</f>
        <v>2.2500000000000003E-9</v>
      </c>
      <c r="J274" s="13">
        <f>'Reference Score Calculation'!T266</f>
        <v>305</v>
      </c>
      <c r="K274" s="28">
        <f>'Reference Score Calculation'!U266</f>
        <v>256</v>
      </c>
      <c r="L274" s="112">
        <f>'Reference Score Calculation'!X266</f>
        <v>4.578125</v>
      </c>
      <c r="M274" s="13">
        <f>入學要求!Z275</f>
        <v>0</v>
      </c>
    </row>
    <row r="275" spans="1:13">
      <c r="A275" s="13" t="str">
        <f>'Reference Score Calculation'!A267</f>
        <v>JS6705</v>
      </c>
      <c r="B275" s="13" t="str">
        <f>'Reference Score Calculation'!B267</f>
        <v>HKU</v>
      </c>
      <c r="C275" s="13" t="str">
        <f>'Reference Score Calculation'!D267</f>
        <v>心理學學士</v>
      </c>
      <c r="D275" s="13" t="str">
        <f>'Reference Score Calculation'!R267</f>
        <v>BPsych</v>
      </c>
      <c r="E275" s="13" t="str">
        <f>'Reference Score Calculation'!E267</f>
        <v>Best 5</v>
      </c>
      <c r="F275" s="20">
        <f>'Reference Score Calculation'!G267</f>
        <v>31</v>
      </c>
      <c r="G275" s="20">
        <f>'Reference Score Calculation'!H267</f>
        <v>29</v>
      </c>
      <c r="H275" s="20">
        <f>'Reference Score Calculation'!I267</f>
        <v>28</v>
      </c>
      <c r="I275" s="20">
        <f>計分版!J290</f>
        <v>3.9500000000000006E-9</v>
      </c>
      <c r="J275" s="13">
        <f>'Reference Score Calculation'!T267</f>
        <v>70</v>
      </c>
      <c r="K275" s="28">
        <f>'Reference Score Calculation'!U267</f>
        <v>48</v>
      </c>
      <c r="L275" s="112">
        <f>'Reference Score Calculation'!X267</f>
        <v>6.5625</v>
      </c>
      <c r="M275" s="13">
        <f>入學要求!Z276</f>
        <v>0</v>
      </c>
    </row>
    <row r="276" spans="1:13">
      <c r="A276" s="13" t="str">
        <f>'Reference Score Calculation'!A268</f>
        <v>JS6717</v>
      </c>
      <c r="B276" s="13" t="str">
        <f>'Reference Score Calculation'!B268</f>
        <v>HKU</v>
      </c>
      <c r="C276" s="13" t="str">
        <f>'Reference Score Calculation'!D268</f>
        <v>社會科學學士</v>
      </c>
      <c r="D276" s="13" t="str">
        <f>'Reference Score Calculation'!R268</f>
        <v xml:space="preserve">	BSS</v>
      </c>
      <c r="E276" s="13" t="str">
        <f>'Reference Score Calculation'!E268</f>
        <v>Best 5</v>
      </c>
      <c r="F276" s="20">
        <f>'Reference Score Calculation'!G268</f>
        <v>28</v>
      </c>
      <c r="G276" s="20">
        <f>'Reference Score Calculation'!H268</f>
        <v>26</v>
      </c>
      <c r="H276" s="20">
        <f>'Reference Score Calculation'!I268</f>
        <v>25</v>
      </c>
      <c r="I276" s="20">
        <f>計分版!J291</f>
        <v>3.9500000000000006E-9</v>
      </c>
      <c r="J276" s="13">
        <f>'Reference Score Calculation'!T268</f>
        <v>114</v>
      </c>
      <c r="K276" s="28">
        <f>'Reference Score Calculation'!U268</f>
        <v>76</v>
      </c>
      <c r="L276" s="112">
        <f>'Reference Score Calculation'!X268</f>
        <v>4.9736842105263159</v>
      </c>
      <c r="M276" s="13">
        <f>入學要求!Z277</f>
        <v>0</v>
      </c>
    </row>
    <row r="277" spans="1:13">
      <c r="A277" s="13" t="str">
        <f>'Reference Score Calculation'!A269</f>
        <v>JS6731</v>
      </c>
      <c r="B277" s="13" t="str">
        <f>'Reference Score Calculation'!B269</f>
        <v>HKU</v>
      </c>
      <c r="C277" s="13" t="str">
        <f>'Reference Score Calculation'!D269</f>
        <v>社會工作學學士</v>
      </c>
      <c r="D277" s="13" t="str">
        <f>'Reference Score Calculation'!R269</f>
        <v>BSW</v>
      </c>
      <c r="E277" s="13" t="str">
        <f>'Reference Score Calculation'!E269</f>
        <v>Best 5</v>
      </c>
      <c r="F277" s="20">
        <f>'Reference Score Calculation'!G269</f>
        <v>28</v>
      </c>
      <c r="G277" s="20">
        <f>'Reference Score Calculation'!H269</f>
        <v>28</v>
      </c>
      <c r="H277" s="20">
        <f>'Reference Score Calculation'!I269</f>
        <v>26</v>
      </c>
      <c r="I277" s="20">
        <f>計分版!J292</f>
        <v>3.9500000000000006E-9</v>
      </c>
      <c r="J277" s="13">
        <f>'Reference Score Calculation'!T269</f>
        <v>30</v>
      </c>
      <c r="K277" s="28">
        <f>'Reference Score Calculation'!U269</f>
        <v>25</v>
      </c>
      <c r="L277" s="112">
        <f>'Reference Score Calculation'!X269</f>
        <v>8.44</v>
      </c>
      <c r="M277" s="13">
        <f>入學要求!Z278</f>
        <v>0</v>
      </c>
    </row>
    <row r="278" spans="1:13">
      <c r="A278" s="13" t="str">
        <f>'Reference Score Calculation'!A270</f>
        <v>JS6810</v>
      </c>
      <c r="B278" s="13" t="str">
        <f>'Reference Score Calculation'!B270</f>
        <v>HKU</v>
      </c>
      <c r="C278" s="13" t="str">
        <f>'Reference Score Calculation'!D270</f>
        <v>社會科學學士(政治學與法學)及法學士 (雙學位課程)</v>
      </c>
      <c r="D278" s="13" t="str">
        <f>'Reference Score Calculation'!R270</f>
        <v xml:space="preserve">	BSS(GL)&amp;LLB</v>
      </c>
      <c r="E278" s="13" t="str">
        <f>'Reference Score Calculation'!E270</f>
        <v>Best 6</v>
      </c>
      <c r="F278" s="20">
        <f>'Reference Score Calculation'!G270</f>
        <v>41</v>
      </c>
      <c r="G278" s="20">
        <f>'Reference Score Calculation'!H270</f>
        <v>38</v>
      </c>
      <c r="H278" s="20">
        <f>'Reference Score Calculation'!I270</f>
        <v>38</v>
      </c>
      <c r="I278" s="20">
        <f>計分版!J293</f>
        <v>3.9000000000000002E-9</v>
      </c>
      <c r="J278" s="13">
        <f>'Reference Score Calculation'!T270</f>
        <v>50</v>
      </c>
      <c r="K278" s="28">
        <f>'Reference Score Calculation'!U270</f>
        <v>39</v>
      </c>
      <c r="L278" s="112">
        <f>'Reference Score Calculation'!X270</f>
        <v>1.9743589743589745</v>
      </c>
      <c r="M278" s="13">
        <f>入學要求!Z279</f>
        <v>0</v>
      </c>
    </row>
    <row r="279" spans="1:13">
      <c r="A279" s="13" t="str">
        <f>'Reference Score Calculation'!A271</f>
        <v>JS6822</v>
      </c>
      <c r="B279" s="13" t="str">
        <f>'Reference Score Calculation'!B271</f>
        <v>HKU</v>
      </c>
      <c r="C279" s="13" t="str">
        <f>'Reference Score Calculation'!D271</f>
        <v>新聞學學士</v>
      </c>
      <c r="D279" s="13" t="str">
        <f>'Reference Score Calculation'!R271</f>
        <v xml:space="preserve">	BJ</v>
      </c>
      <c r="E279" s="13" t="str">
        <f>'Reference Score Calculation'!E271</f>
        <v>Best 5</v>
      </c>
      <c r="F279" s="20">
        <f>'Reference Score Calculation'!G271</f>
        <v>26</v>
      </c>
      <c r="G279" s="20">
        <f>'Reference Score Calculation'!H271</f>
        <v>25</v>
      </c>
      <c r="H279" s="20">
        <f>'Reference Score Calculation'!I271</f>
        <v>24</v>
      </c>
      <c r="I279" s="20">
        <f>計分版!J294</f>
        <v>3.9500000000000006E-9</v>
      </c>
      <c r="J279" s="13">
        <f>'Reference Score Calculation'!T271</f>
        <v>19</v>
      </c>
      <c r="K279" s="28">
        <f>'Reference Score Calculation'!U271</f>
        <v>12</v>
      </c>
      <c r="L279" s="112">
        <f>'Reference Score Calculation'!X271</f>
        <v>7.083333333333333</v>
      </c>
      <c r="M279" s="13">
        <f>入學要求!Z280</f>
        <v>0</v>
      </c>
    </row>
    <row r="280" spans="1:13">
      <c r="A280" s="13" t="str">
        <f>'Reference Score Calculation'!A272</f>
        <v>JS6212</v>
      </c>
      <c r="B280" s="13" t="str">
        <f>'Reference Score Calculation'!B272</f>
        <v>HKU</v>
      </c>
      <c r="C280" s="13" t="str">
        <f>'Reference Score Calculation'!D272</f>
        <v>文理學士</v>
      </c>
      <c r="D280" s="13" t="str">
        <f>'Reference Score Calculation'!R272</f>
        <v xml:space="preserve">	BASc</v>
      </c>
      <c r="E280" s="13" t="str">
        <f>'Reference Score Calculation'!E272</f>
        <v>Best 5</v>
      </c>
      <c r="F280" s="20">
        <f>'Reference Score Calculation'!G272</f>
        <v>32</v>
      </c>
      <c r="G280" s="20">
        <f>'Reference Score Calculation'!H272</f>
        <v>32</v>
      </c>
      <c r="H280" s="20">
        <f>'Reference Score Calculation'!I272</f>
        <v>30</v>
      </c>
      <c r="I280" s="20">
        <f>計分版!J295</f>
        <v>3.9500000000000006E-9</v>
      </c>
      <c r="J280" s="13">
        <f>'Reference Score Calculation'!T272</f>
        <v>24</v>
      </c>
      <c r="K280" s="28">
        <f>'Reference Score Calculation'!U272</f>
        <v>5</v>
      </c>
      <c r="L280" s="112">
        <f>'Reference Score Calculation'!X272</f>
        <v>5</v>
      </c>
      <c r="M280" s="13">
        <f>入學要求!Z281</f>
        <v>0</v>
      </c>
    </row>
    <row r="281" spans="1:13">
      <c r="A281" s="13" t="str">
        <f>'Reference Score Calculation'!A273</f>
        <v>JS6224</v>
      </c>
      <c r="B281" s="13" t="str">
        <f>'Reference Score Calculation'!B273</f>
        <v>HKU</v>
      </c>
      <c r="C281" s="13" t="str">
        <f>'Reference Score Calculation'!D273</f>
        <v>文理學士(應用人工智能)</v>
      </c>
      <c r="D281" s="13" t="str">
        <f>'Reference Score Calculation'!R273</f>
        <v>BASc(AppliedAI)</v>
      </c>
      <c r="E281" s="13" t="str">
        <f>'Reference Score Calculation'!E273</f>
        <v>Best 5</v>
      </c>
      <c r="F281" s="20">
        <f>'Reference Score Calculation'!G273</f>
        <v>57</v>
      </c>
      <c r="G281" s="20">
        <f>'Reference Score Calculation'!H273</f>
        <v>53</v>
      </c>
      <c r="H281" s="20">
        <f>'Reference Score Calculation'!I273</f>
        <v>50</v>
      </c>
      <c r="I281" s="20">
        <f>計分版!J296</f>
        <v>3.7E-9</v>
      </c>
      <c r="J281" s="13">
        <f>'Reference Score Calculation'!T273</f>
        <v>15</v>
      </c>
      <c r="K281" s="28">
        <f>'Reference Score Calculation'!U273</f>
        <v>25</v>
      </c>
      <c r="L281" s="112">
        <f>'Reference Score Calculation'!X273</f>
        <v>2.36</v>
      </c>
      <c r="M281" s="13">
        <f>入學要求!Z282</f>
        <v>0</v>
      </c>
    </row>
    <row r="282" spans="1:13">
      <c r="A282" s="13" t="str">
        <f>'Reference Score Calculation'!A274</f>
        <v>JS6236</v>
      </c>
      <c r="B282" s="13" t="str">
        <f>'Reference Score Calculation'!B274</f>
        <v>HKU</v>
      </c>
      <c r="C282" s="13" t="str">
        <f>'Reference Score Calculation'!D274</f>
        <v>文理學士(設計＋)</v>
      </c>
      <c r="D282" s="13" t="str">
        <f>'Reference Score Calculation'!R274</f>
        <v xml:space="preserve">	BASc(Design+)</v>
      </c>
      <c r="E282" s="13" t="str">
        <f>'Reference Score Calculation'!E274</f>
        <v>Best 6</v>
      </c>
      <c r="F282" s="20">
        <f>'Reference Score Calculation'!G274</f>
        <v>35</v>
      </c>
      <c r="G282" s="20">
        <f>'Reference Score Calculation'!H274</f>
        <v>35</v>
      </c>
      <c r="H282" s="20">
        <f>'Reference Score Calculation'!I274</f>
        <v>35</v>
      </c>
      <c r="I282" s="20">
        <f>計分版!J297</f>
        <v>4.3500000000000001E-9</v>
      </c>
      <c r="J282" s="13">
        <f>'Reference Score Calculation'!T274</f>
        <v>13</v>
      </c>
      <c r="K282" s="28">
        <f>'Reference Score Calculation'!U274</f>
        <v>2</v>
      </c>
      <c r="L282" s="112">
        <f>'Reference Score Calculation'!X274</f>
        <v>16.5</v>
      </c>
      <c r="M282" s="13">
        <f>入學要求!Z283</f>
        <v>0</v>
      </c>
    </row>
    <row r="283" spans="1:13">
      <c r="A283" s="13" t="str">
        <f>'Reference Score Calculation'!A275</f>
        <v>JS6248</v>
      </c>
      <c r="B283" s="13" t="str">
        <f>'Reference Score Calculation'!B275</f>
        <v>HKU</v>
      </c>
      <c r="C283" s="13" t="str">
        <f>'Reference Score Calculation'!D275</f>
        <v>文理學士(金融科技)</v>
      </c>
      <c r="D283" s="13" t="str">
        <f>'Reference Score Calculation'!R275</f>
        <v xml:space="preserve">	BASc(FinTech)</v>
      </c>
      <c r="E283" s="13" t="str">
        <f>'Reference Score Calculation'!E275</f>
        <v>Best 6</v>
      </c>
      <c r="F283" s="20">
        <f>'Reference Score Calculation'!G275</f>
        <v>37</v>
      </c>
      <c r="G283" s="20">
        <f>'Reference Score Calculation'!H275</f>
        <v>36</v>
      </c>
      <c r="H283" s="20">
        <f>'Reference Score Calculation'!I275</f>
        <v>35</v>
      </c>
      <c r="I283" s="20">
        <f>計分版!J298</f>
        <v>3.8500000000000006E-9</v>
      </c>
      <c r="J283" s="13">
        <f>'Reference Score Calculation'!T275</f>
        <v>24</v>
      </c>
      <c r="K283" s="28">
        <f>'Reference Score Calculation'!U275</f>
        <v>22</v>
      </c>
      <c r="L283" s="112">
        <f>'Reference Score Calculation'!X275</f>
        <v>2.5909090909090908</v>
      </c>
      <c r="M283" s="13">
        <f>入學要求!Z284</f>
        <v>0</v>
      </c>
    </row>
    <row r="284" spans="1:13">
      <c r="A284" s="13" t="str">
        <f>'Reference Score Calculation'!A276</f>
        <v>JS6250</v>
      </c>
      <c r="B284" s="13" t="str">
        <f>'Reference Score Calculation'!B276</f>
        <v>HKU</v>
      </c>
      <c r="C284" s="13" t="str">
        <f>'Reference Score Calculation'!D276</f>
        <v>文理學士(環球衞生及發展)</v>
      </c>
      <c r="D284" s="13" t="str">
        <f>'Reference Score Calculation'!R276</f>
        <v xml:space="preserve">	BASc(GHD)</v>
      </c>
      <c r="E284" s="13" t="str">
        <f>'Reference Score Calculation'!E276</f>
        <v>Best 5</v>
      </c>
      <c r="F284" s="20">
        <f>'Reference Score Calculation'!G276</f>
        <v>30</v>
      </c>
      <c r="G284" s="20">
        <f>'Reference Score Calculation'!H276</f>
        <v>28</v>
      </c>
      <c r="H284" s="20">
        <f>'Reference Score Calculation'!I276</f>
        <v>28</v>
      </c>
      <c r="I284" s="20">
        <f>計分版!J299</f>
        <v>3.9500000000000006E-9</v>
      </c>
      <c r="J284" s="13">
        <f>'Reference Score Calculation'!T276</f>
        <v>18</v>
      </c>
      <c r="K284" s="28">
        <f>'Reference Score Calculation'!U276</f>
        <v>4</v>
      </c>
      <c r="L284" s="112">
        <f>'Reference Score Calculation'!X276</f>
        <v>3.5</v>
      </c>
      <c r="M284" s="13">
        <f>入學要求!Z285</f>
        <v>0</v>
      </c>
    </row>
    <row r="285" spans="1:13">
      <c r="D285" s="13"/>
      <c r="K285" s="28"/>
    </row>
    <row r="286" spans="1:13">
      <c r="D286" s="13"/>
      <c r="K286" s="28"/>
    </row>
    <row r="287" spans="1:13">
      <c r="A287" s="13" t="str">
        <f>'Reference Score Calculation'!A279</f>
        <v>JS7101</v>
      </c>
      <c r="B287" s="13" t="str">
        <f>'Reference Score Calculation'!B279</f>
        <v>LingU</v>
      </c>
      <c r="C287" s="13" t="str">
        <f>'Reference Score Calculation'!D279</f>
        <v>中文(榮譽)文學士</v>
      </c>
      <c r="D287" s="13" t="str">
        <f>'Reference Score Calculation'!R279</f>
        <v>BA (Hons) Chinese</v>
      </c>
      <c r="E287" s="13" t="str">
        <f>'Reference Score Calculation'!E279</f>
        <v>Best 5</v>
      </c>
      <c r="F287" s="20" t="str">
        <f>'Reference Score Calculation'!G279</f>
        <v>/</v>
      </c>
      <c r="G287" s="20">
        <f>'Reference Score Calculation'!H279</f>
        <v>26</v>
      </c>
      <c r="H287" s="20">
        <f>'Reference Score Calculation'!I279</f>
        <v>25.25</v>
      </c>
      <c r="I287" s="20">
        <f>計分版!J302</f>
        <v>3.3500000000000002E-9</v>
      </c>
      <c r="J287" s="13">
        <f>'Reference Score Calculation'!T279</f>
        <v>47</v>
      </c>
      <c r="K287" s="28">
        <f>'Reference Score Calculation'!U279</f>
        <v>44</v>
      </c>
      <c r="L287" s="112">
        <f>'Reference Score Calculation'!X279</f>
        <v>10.545454545454545</v>
      </c>
      <c r="M287" s="13">
        <f>入學要求!Z288</f>
        <v>0</v>
      </c>
    </row>
    <row r="288" spans="1:13">
      <c r="A288" s="13" t="str">
        <f>'Reference Score Calculation'!A280</f>
        <v>JS7123</v>
      </c>
      <c r="B288" s="13" t="str">
        <f>'Reference Score Calculation'!B280</f>
        <v>LingU</v>
      </c>
      <c r="C288" s="13" t="str">
        <f>'Reference Score Calculation'!D280</f>
        <v>環球可持續發展(榮譽)博雅學士</v>
      </c>
      <c r="D288" s="13" t="str">
        <f>'Reference Score Calculation'!R280</f>
        <v>BLA (Hons) GDS</v>
      </c>
      <c r="E288" s="13" t="str">
        <f>'Reference Score Calculation'!E280</f>
        <v>Best 5</v>
      </c>
      <c r="F288" s="20" t="str">
        <f>'Reference Score Calculation'!G280</f>
        <v>/</v>
      </c>
      <c r="G288" s="20">
        <f>'Reference Score Calculation'!H280</f>
        <v>24</v>
      </c>
      <c r="H288" s="20">
        <f>'Reference Score Calculation'!I280</f>
        <v>23.5</v>
      </c>
      <c r="I288" s="20">
        <f>計分版!J303</f>
        <v>3.9500000000000006E-9</v>
      </c>
      <c r="J288" s="13">
        <f>'Reference Score Calculation'!T280</f>
        <v>20</v>
      </c>
      <c r="K288" s="28">
        <f>'Reference Score Calculation'!U280</f>
        <v>21</v>
      </c>
      <c r="L288" s="112">
        <f>'Reference Score Calculation'!X280</f>
        <v>10.210526315789474</v>
      </c>
      <c r="M288" s="13">
        <f>入學要求!Z289</f>
        <v>0</v>
      </c>
    </row>
    <row r="289" spans="1:13">
      <c r="A289" s="13" t="str">
        <f>'Reference Score Calculation'!A281</f>
        <v>JS7133</v>
      </c>
      <c r="B289" s="13" t="str">
        <f>'Reference Score Calculation'!B281</f>
        <v>LingU</v>
      </c>
      <c r="C289" s="13" t="str">
        <f>'Reference Score Calculation'!D281</f>
        <v>動畫及數碼藝術(榮譽)文學士</v>
      </c>
      <c r="D289" s="13" t="str">
        <f>'Reference Score Calculation'!R281</f>
        <v>BA (Hons) ADA</v>
      </c>
      <c r="E289" s="13" t="str">
        <f>'Reference Score Calculation'!E281</f>
        <v>Best 5</v>
      </c>
      <c r="F289" s="20" t="str">
        <f>'Reference Score Calculation'!G281</f>
        <v>/</v>
      </c>
      <c r="G289" s="20">
        <f>'Reference Score Calculation'!H281</f>
        <v>23</v>
      </c>
      <c r="H289" s="20">
        <f>'Reference Score Calculation'!I281</f>
        <v>22.5</v>
      </c>
      <c r="I289" s="20">
        <f>計分版!J304</f>
        <v>3.3500000000000002E-9</v>
      </c>
      <c r="J289" s="13">
        <f>'Reference Score Calculation'!T281</f>
        <v>12</v>
      </c>
      <c r="K289" s="28">
        <f>'Reference Score Calculation'!U281</f>
        <v>12</v>
      </c>
      <c r="L289" s="112">
        <f>'Reference Score Calculation'!X281</f>
        <v>40.083333333333336</v>
      </c>
      <c r="M289" s="13">
        <f>入學要求!Z290</f>
        <v>0</v>
      </c>
    </row>
    <row r="290" spans="1:13">
      <c r="A290" s="13" t="str">
        <f>'Reference Score Calculation'!A282</f>
        <v>JS7200</v>
      </c>
      <c r="B290" s="13" t="str">
        <f>'Reference Score Calculation'!B282</f>
        <v>LingU</v>
      </c>
      <c r="C290" s="13" t="str">
        <f>'Reference Score Calculation'!D282</f>
        <v>工商管理(榮譽)學士</v>
      </c>
      <c r="D290" s="13" t="str">
        <f>'Reference Score Calculation'!R282</f>
        <v>BBA (Hons)</v>
      </c>
      <c r="E290" s="13" t="str">
        <f>'Reference Score Calculation'!E282</f>
        <v>Best 5</v>
      </c>
      <c r="F290" s="20" t="str">
        <f>'Reference Score Calculation'!G282</f>
        <v>/</v>
      </c>
      <c r="G290" s="20">
        <f>'Reference Score Calculation'!H282</f>
        <v>23</v>
      </c>
      <c r="H290" s="20">
        <f>'Reference Score Calculation'!I282</f>
        <v>23</v>
      </c>
      <c r="I290" s="20">
        <f>計分版!J305</f>
        <v>3.9500000000000006E-9</v>
      </c>
      <c r="J290" s="13">
        <f>'Reference Score Calculation'!T282</f>
        <v>137</v>
      </c>
      <c r="K290" s="28">
        <f>'Reference Score Calculation'!U282</f>
        <v>181</v>
      </c>
      <c r="L290" s="112">
        <f>'Reference Score Calculation'!X282</f>
        <v>5.8895027624309391</v>
      </c>
      <c r="M290" s="13">
        <f>入學要求!Z291</f>
        <v>0</v>
      </c>
    </row>
    <row r="291" spans="1:13">
      <c r="A291" s="13" t="str">
        <f>'Reference Score Calculation'!A283</f>
        <v>JS7204</v>
      </c>
      <c r="B291" s="13" t="str">
        <f>'Reference Score Calculation'!B283</f>
        <v>LingU</v>
      </c>
      <c r="C291" s="13" t="str">
        <f>'Reference Score Calculation'!D283</f>
        <v>翻譯、跨文化研究及企業傳訊(榮譽)文學士</v>
      </c>
      <c r="D291" s="13" t="str">
        <f>'Reference Score Calculation'!R283</f>
        <v>BA (Hons) Trans, CS &amp; CC</v>
      </c>
      <c r="E291" s="13" t="str">
        <f>'Reference Score Calculation'!E283</f>
        <v>Best 5</v>
      </c>
      <c r="F291" s="20" t="str">
        <f>'Reference Score Calculation'!G283</f>
        <v>/</v>
      </c>
      <c r="G291" s="20">
        <f>'Reference Score Calculation'!H283</f>
        <v>25</v>
      </c>
      <c r="H291" s="20">
        <f>'Reference Score Calculation'!I283</f>
        <v>24</v>
      </c>
      <c r="I291" s="20">
        <f>計分版!J306</f>
        <v>3.3500000000000002E-9</v>
      </c>
      <c r="J291" s="13">
        <f>'Reference Score Calculation'!T283</f>
        <v>37</v>
      </c>
      <c r="K291" s="28">
        <f>'Reference Score Calculation'!U283</f>
        <v>51</v>
      </c>
      <c r="L291" s="112">
        <f>'Reference Score Calculation'!X283</f>
        <v>4.8913043478260869</v>
      </c>
      <c r="M291" s="13">
        <f>入學要求!Z292</f>
        <v>0</v>
      </c>
    </row>
    <row r="292" spans="1:13">
      <c r="A292" s="13" t="str">
        <f>'Reference Score Calculation'!A284</f>
        <v>JS7216</v>
      </c>
      <c r="B292" s="13" t="str">
        <f>'Reference Score Calculation'!B284</f>
        <v>LingU</v>
      </c>
      <c r="C292" s="13" t="str">
        <f>'Reference Score Calculation'!D284</f>
        <v>工商管理(榮譽)學士 - 風險及保險管理</v>
      </c>
      <c r="D292" s="13" t="str">
        <f>'Reference Score Calculation'!R284</f>
        <v>BBA (Hons) - RIM</v>
      </c>
      <c r="E292" s="13" t="str">
        <f>'Reference Score Calculation'!E284</f>
        <v>Best 5</v>
      </c>
      <c r="F292" s="20" t="str">
        <f>'Reference Score Calculation'!G284</f>
        <v>/</v>
      </c>
      <c r="G292" s="20">
        <f>'Reference Score Calculation'!H284</f>
        <v>23.5</v>
      </c>
      <c r="H292" s="20">
        <f>'Reference Score Calculation'!I284</f>
        <v>23</v>
      </c>
      <c r="I292" s="20">
        <f>計分版!J307</f>
        <v>3.9500000000000006E-9</v>
      </c>
      <c r="J292" s="13">
        <f>'Reference Score Calculation'!T284</f>
        <v>25</v>
      </c>
      <c r="K292" s="28">
        <f>'Reference Score Calculation'!U284</f>
        <v>40</v>
      </c>
      <c r="L292" s="112">
        <f>'Reference Score Calculation'!X284</f>
        <v>9.6086956521739122</v>
      </c>
      <c r="M292" s="13">
        <f>入學要求!Z293</f>
        <v>0</v>
      </c>
    </row>
    <row r="293" spans="1:13">
      <c r="A293" s="13" t="str">
        <f>'Reference Score Calculation'!A285</f>
        <v>JS7225</v>
      </c>
      <c r="B293" s="13" t="str">
        <f>'Reference Score Calculation'!B285</f>
        <v>LingU</v>
      </c>
      <c r="C293" s="13" t="str">
        <f>'Reference Score Calculation'!D285</f>
        <v>數據科學(榮譽)理學士</v>
      </c>
      <c r="D293" s="13" t="str">
        <f>'Reference Score Calculation'!R285</f>
        <v>BSc (Hons) Data Science</v>
      </c>
      <c r="E293" s="13" t="str">
        <f>'Reference Score Calculation'!E285</f>
        <v>Best 5</v>
      </c>
      <c r="F293" s="20" t="str">
        <f>'Reference Score Calculation'!G285</f>
        <v>/</v>
      </c>
      <c r="G293" s="20">
        <f>'Reference Score Calculation'!H285</f>
        <v>29</v>
      </c>
      <c r="H293" s="20">
        <f>'Reference Score Calculation'!I285</f>
        <v>28</v>
      </c>
      <c r="I293" s="20">
        <f>計分版!J308</f>
        <v>4.3500000000000001E-9</v>
      </c>
      <c r="J293" s="13">
        <f>'Reference Score Calculation'!T285</f>
        <v>25</v>
      </c>
      <c r="K293" s="28">
        <f>'Reference Score Calculation'!U285</f>
        <v>30</v>
      </c>
      <c r="L293" s="112">
        <f>'Reference Score Calculation'!X285</f>
        <v>13.066666666666666</v>
      </c>
      <c r="M293" s="13">
        <f>入學要求!Z294</f>
        <v>0</v>
      </c>
    </row>
    <row r="294" spans="1:13">
      <c r="A294" s="13" t="str">
        <f>'Reference Score Calculation'!A286</f>
        <v>JS7301</v>
      </c>
      <c r="B294" s="13" t="str">
        <f>'Reference Score Calculation'!B286</f>
        <v>LingU</v>
      </c>
      <c r="C294" s="13" t="str">
        <f>'Reference Score Calculation'!D286</f>
        <v>社會科學(榮譽)學士 - 經濟學</v>
      </c>
      <c r="D294" s="13" t="str">
        <f>'Reference Score Calculation'!R286</f>
        <v>BSocSc (Hons) Economics</v>
      </c>
      <c r="E294" s="13" t="str">
        <f>'Reference Score Calculation'!E286</f>
        <v>Best 5</v>
      </c>
      <c r="F294" s="20" t="str">
        <f>'Reference Score Calculation'!G286</f>
        <v>/</v>
      </c>
      <c r="G294" s="20">
        <f>'Reference Score Calculation'!H286</f>
        <v>28</v>
      </c>
      <c r="H294" s="20">
        <f>'Reference Score Calculation'!I286</f>
        <v>26.75</v>
      </c>
      <c r="I294" s="20">
        <f>計分版!J309</f>
        <v>3.9500000000000006E-9</v>
      </c>
      <c r="J294" s="13">
        <f>'Reference Score Calculation'!T286</f>
        <v>15</v>
      </c>
      <c r="K294" s="28">
        <f>'Reference Score Calculation'!U286</f>
        <v>25</v>
      </c>
      <c r="L294" s="112">
        <f>'Reference Score Calculation'!X286</f>
        <v>28.5</v>
      </c>
      <c r="M294" s="13">
        <f>入學要求!Z295</f>
        <v>0</v>
      </c>
    </row>
    <row r="295" spans="1:13">
      <c r="A295" s="13" t="str">
        <f>'Reference Score Calculation'!A287</f>
        <v>JS7302</v>
      </c>
      <c r="B295" s="13" t="str">
        <f>'Reference Score Calculation'!B287</f>
        <v>LingU</v>
      </c>
      <c r="C295" s="13" t="str">
        <f>'Reference Score Calculation'!D287</f>
        <v>社會科學(榮譽)學士 - 政府與國際事務學</v>
      </c>
      <c r="D295" s="13" t="str">
        <f>'Reference Score Calculation'!R287</f>
        <v>BSocSc (Hons) Gov't &amp; IA</v>
      </c>
      <c r="E295" s="13" t="str">
        <f>'Reference Score Calculation'!E287</f>
        <v>Best 5</v>
      </c>
      <c r="F295" s="20" t="str">
        <f>'Reference Score Calculation'!G287</f>
        <v>/</v>
      </c>
      <c r="G295" s="20">
        <f>'Reference Score Calculation'!H287</f>
        <v>28.5</v>
      </c>
      <c r="H295" s="20">
        <f>'Reference Score Calculation'!I287</f>
        <v>28</v>
      </c>
      <c r="I295" s="20">
        <f>計分版!J310</f>
        <v>3.9500000000000006E-9</v>
      </c>
      <c r="J295" s="13">
        <f>'Reference Score Calculation'!T287</f>
        <v>15</v>
      </c>
      <c r="K295" s="28">
        <f>'Reference Score Calculation'!U287</f>
        <v>18</v>
      </c>
      <c r="L295" s="112">
        <f>'Reference Score Calculation'!X287</f>
        <v>6.8888888888888893</v>
      </c>
      <c r="M295" s="13">
        <f>入學要求!Z296</f>
        <v>0</v>
      </c>
    </row>
    <row r="296" spans="1:13">
      <c r="A296" s="13" t="str">
        <f>'Reference Score Calculation'!A288</f>
        <v>JS7303</v>
      </c>
      <c r="B296" s="13" t="str">
        <f>'Reference Score Calculation'!B288</f>
        <v>LingU</v>
      </c>
      <c r="C296" s="13" t="str">
        <f>'Reference Score Calculation'!D288</f>
        <v>社會科學(榮譽)學士 - 心理學</v>
      </c>
      <c r="D296" s="13" t="str">
        <f>'Reference Score Calculation'!R288</f>
        <v>BSocSc (Hons) Psychology</v>
      </c>
      <c r="E296" s="13" t="str">
        <f>'Reference Score Calculation'!E288</f>
        <v>Best 5</v>
      </c>
      <c r="F296" s="20" t="str">
        <f>'Reference Score Calculation'!G288</f>
        <v>/</v>
      </c>
      <c r="G296" s="20">
        <f>'Reference Score Calculation'!H288</f>
        <v>27.5</v>
      </c>
      <c r="H296" s="20">
        <f>'Reference Score Calculation'!I288</f>
        <v>26.5</v>
      </c>
      <c r="I296" s="20">
        <f>計分版!J311</f>
        <v>3.9500000000000006E-9</v>
      </c>
      <c r="J296" s="13">
        <f>'Reference Score Calculation'!T288</f>
        <v>21</v>
      </c>
      <c r="K296" s="28">
        <f>'Reference Score Calculation'!U288</f>
        <v>25</v>
      </c>
      <c r="L296" s="112">
        <f>'Reference Score Calculation'!X288</f>
        <v>20</v>
      </c>
      <c r="M296" s="13">
        <f>入學要求!Z297</f>
        <v>0</v>
      </c>
    </row>
    <row r="297" spans="1:13">
      <c r="A297" s="13" t="str">
        <f>'Reference Score Calculation'!A289</f>
        <v>JS7304</v>
      </c>
      <c r="B297" s="13" t="str">
        <f>'Reference Score Calculation'!B289</f>
        <v>LingU</v>
      </c>
      <c r="C297" s="13" t="str">
        <f>'Reference Score Calculation'!D289</f>
        <v>社會科學(榮譽)學士 - 社會學</v>
      </c>
      <c r="D297" s="13" t="str">
        <f>'Reference Score Calculation'!R289</f>
        <v>BSocSc (Hons) Sociology</v>
      </c>
      <c r="E297" s="13" t="str">
        <f>'Reference Score Calculation'!E289</f>
        <v>Best 5</v>
      </c>
      <c r="F297" s="20" t="str">
        <f>'Reference Score Calculation'!G289</f>
        <v>/</v>
      </c>
      <c r="G297" s="20">
        <f>'Reference Score Calculation'!H289</f>
        <v>27</v>
      </c>
      <c r="H297" s="20">
        <f>'Reference Score Calculation'!I289</f>
        <v>26</v>
      </c>
      <c r="I297" s="20">
        <f>計分版!J312</f>
        <v>3.9500000000000006E-9</v>
      </c>
      <c r="J297" s="13">
        <f>'Reference Score Calculation'!T289</f>
        <v>17</v>
      </c>
      <c r="K297" s="28">
        <f>'Reference Score Calculation'!U289</f>
        <v>28</v>
      </c>
      <c r="L297" s="112">
        <f>'Reference Score Calculation'!X289</f>
        <v>19.884615384615383</v>
      </c>
      <c r="M297" s="13">
        <f>入學要求!Z298</f>
        <v>0</v>
      </c>
    </row>
    <row r="298" spans="1:13">
      <c r="A298" s="13" t="str">
        <f>'Reference Score Calculation'!A290</f>
        <v>JS7305</v>
      </c>
      <c r="B298" s="13" t="str">
        <f>'Reference Score Calculation'!B290</f>
        <v>LingU</v>
      </c>
      <c r="C298" s="13" t="str">
        <f>'Reference Score Calculation'!D290</f>
        <v>社會科學(榮譽)學士 - 健康及社會服務管理</v>
      </c>
      <c r="D298" s="13" t="str">
        <f>'Reference Score Calculation'!R290</f>
        <v>BSocSc (Hons) HSSM</v>
      </c>
      <c r="E298" s="13" t="str">
        <f>'Reference Score Calculation'!E290</f>
        <v>Best 5</v>
      </c>
      <c r="F298" s="20" t="str">
        <f>'Reference Score Calculation'!G290</f>
        <v>/</v>
      </c>
      <c r="G298" s="20">
        <f>'Reference Score Calculation'!H290</f>
        <v>25.5</v>
      </c>
      <c r="H298" s="20">
        <f>'Reference Score Calculation'!I290</f>
        <v>24.5</v>
      </c>
      <c r="I298" s="20">
        <f>計分版!J313</f>
        <v>3.9500000000000006E-9</v>
      </c>
      <c r="J298" s="13">
        <f>'Reference Score Calculation'!T290</f>
        <v>14</v>
      </c>
      <c r="K298" s="28">
        <f>'Reference Score Calculation'!U290</f>
        <v>18</v>
      </c>
      <c r="L298" s="112" t="str">
        <f>'Reference Score Calculation'!X290</f>
        <v>新科目</v>
      </c>
      <c r="M298" s="13">
        <f>入學要求!Z299</f>
        <v>0</v>
      </c>
    </row>
    <row r="299" spans="1:13">
      <c r="A299" s="13" t="str">
        <f>'Reference Score Calculation'!A291</f>
        <v>JS7306</v>
      </c>
      <c r="B299" s="13" t="str">
        <f>'Reference Score Calculation'!B291</f>
        <v>LingU</v>
      </c>
      <c r="C299" s="13" t="str">
        <f>'Reference Score Calculation'!D291</f>
        <v>社會科學(榮譽)學士 - 社會與公共政策研究</v>
      </c>
      <c r="D299" s="13" t="str">
        <f>'Reference Score Calculation'!R291</f>
        <v>BSocSc (Hons) SPPS</v>
      </c>
      <c r="E299" s="13" t="str">
        <f>'Reference Score Calculation'!E291</f>
        <v>Best 5</v>
      </c>
      <c r="F299" s="20" t="str">
        <f>'Reference Score Calculation'!G291</f>
        <v>/</v>
      </c>
      <c r="G299" s="20">
        <f>'Reference Score Calculation'!H291</f>
        <v>26</v>
      </c>
      <c r="H299" s="20">
        <f>'Reference Score Calculation'!I291</f>
        <v>25</v>
      </c>
      <c r="I299" s="20">
        <f>計分版!J314</f>
        <v>3.9500000000000006E-9</v>
      </c>
      <c r="J299" s="13">
        <f>'Reference Score Calculation'!T291</f>
        <v>20</v>
      </c>
      <c r="K299" s="28">
        <f>'Reference Score Calculation'!U291</f>
        <v>28</v>
      </c>
      <c r="L299" s="112">
        <f>'Reference Score Calculation'!X291</f>
        <v>6.75</v>
      </c>
      <c r="M299" s="13">
        <f>入學要求!Z300</f>
        <v>0</v>
      </c>
    </row>
    <row r="300" spans="1:13">
      <c r="A300" s="13" t="str">
        <f>'Reference Score Calculation'!A292</f>
        <v>JS7503</v>
      </c>
      <c r="B300" s="13" t="str">
        <f>'Reference Score Calculation'!B292</f>
        <v>LingU</v>
      </c>
      <c r="C300" s="13" t="str">
        <f>'Reference Score Calculation'!D292</f>
        <v>當代英語語言文學課程(榮譽)文學士</v>
      </c>
      <c r="D300" s="13" t="str">
        <f>'Reference Score Calculation'!R292</f>
        <v>BA (Hons) Contem English</v>
      </c>
      <c r="E300" s="13" t="str">
        <f>'Reference Score Calculation'!E292</f>
        <v>Best 5</v>
      </c>
      <c r="F300" s="20" t="str">
        <f>'Reference Score Calculation'!G292</f>
        <v>/</v>
      </c>
      <c r="G300" s="20">
        <f>'Reference Score Calculation'!H292</f>
        <v>27.5</v>
      </c>
      <c r="H300" s="20">
        <f>'Reference Score Calculation'!I292</f>
        <v>27</v>
      </c>
      <c r="I300" s="20">
        <f>計分版!J315</f>
        <v>3.3500000000000002E-9</v>
      </c>
      <c r="J300" s="13">
        <f>'Reference Score Calculation'!T292</f>
        <v>18</v>
      </c>
      <c r="K300" s="28">
        <f>'Reference Score Calculation'!U292</f>
        <v>23</v>
      </c>
      <c r="L300" s="112">
        <f>'Reference Score Calculation'!X292</f>
        <v>6.25</v>
      </c>
      <c r="M300" s="13">
        <f>入學要求!Z301</f>
        <v>0</v>
      </c>
    </row>
    <row r="301" spans="1:13">
      <c r="A301" s="13" t="str">
        <f>'Reference Score Calculation'!A293</f>
        <v>JS7606</v>
      </c>
      <c r="B301" s="13" t="str">
        <f>'Reference Score Calculation'!B293</f>
        <v>LingU</v>
      </c>
      <c r="C301" s="13" t="str">
        <f>'Reference Score Calculation'!D293</f>
        <v>文化研究(榮譽)文學士</v>
      </c>
      <c r="D301" s="13" t="str">
        <f>'Reference Score Calculation'!R293</f>
        <v>BA (Hons) Cultural Stud</v>
      </c>
      <c r="E301" s="13" t="str">
        <f>'Reference Score Calculation'!E293</f>
        <v>Best 5</v>
      </c>
      <c r="F301" s="20" t="str">
        <f>'Reference Score Calculation'!G293</f>
        <v>/</v>
      </c>
      <c r="G301" s="20">
        <f>'Reference Score Calculation'!H293</f>
        <v>24</v>
      </c>
      <c r="H301" s="20">
        <f>'Reference Score Calculation'!I293</f>
        <v>24</v>
      </c>
      <c r="I301" s="20">
        <f>計分版!J316</f>
        <v>3.3500000000000002E-9</v>
      </c>
      <c r="J301" s="13">
        <f>'Reference Score Calculation'!T293</f>
        <v>29</v>
      </c>
      <c r="K301" s="28">
        <f>'Reference Score Calculation'!U293</f>
        <v>35</v>
      </c>
      <c r="L301" s="112">
        <f>'Reference Score Calculation'!X293</f>
        <v>6.8787878787878789</v>
      </c>
      <c r="M301" s="13">
        <f>入學要求!Z302</f>
        <v>0</v>
      </c>
    </row>
    <row r="302" spans="1:13">
      <c r="A302" s="13" t="str">
        <f>'Reference Score Calculation'!A294</f>
        <v>JS7709</v>
      </c>
      <c r="B302" s="13" t="str">
        <f>'Reference Score Calculation'!B294</f>
        <v>LingU</v>
      </c>
      <c r="C302" s="13" t="str">
        <f>'Reference Score Calculation'!D294</f>
        <v>歷史(榮譽)文學士</v>
      </c>
      <c r="D302" s="13" t="str">
        <f>'Reference Score Calculation'!R294</f>
        <v>BA (Hons) History</v>
      </c>
      <c r="E302" s="13" t="str">
        <f>'Reference Score Calculation'!E294</f>
        <v>Best 5</v>
      </c>
      <c r="F302" s="20" t="str">
        <f>'Reference Score Calculation'!G294</f>
        <v>/</v>
      </c>
      <c r="G302" s="20">
        <f>'Reference Score Calculation'!H294</f>
        <v>25.6</v>
      </c>
      <c r="H302" s="20">
        <f>'Reference Score Calculation'!I294</f>
        <v>24.8</v>
      </c>
      <c r="I302" s="20">
        <f>計分版!J317</f>
        <v>3.3500000000000002E-9</v>
      </c>
      <c r="J302" s="13">
        <f>'Reference Score Calculation'!T294</f>
        <v>32</v>
      </c>
      <c r="K302" s="28">
        <f>'Reference Score Calculation'!U294</f>
        <v>38</v>
      </c>
      <c r="L302" s="112">
        <f>'Reference Score Calculation'!X294</f>
        <v>10.171428571428571</v>
      </c>
      <c r="M302" s="13">
        <f>入學要求!Z303</f>
        <v>0</v>
      </c>
    </row>
    <row r="303" spans="1:13">
      <c r="A303" s="13" t="str">
        <f>'Reference Score Calculation'!A295</f>
        <v>JS7802</v>
      </c>
      <c r="B303" s="13" t="str">
        <f>'Reference Score Calculation'!B295</f>
        <v>LingU</v>
      </c>
      <c r="C303" s="13" t="str">
        <f>'Reference Score Calculation'!D295</f>
        <v>哲學(榮譽)文學士</v>
      </c>
      <c r="D303" s="13" t="str">
        <f>'Reference Score Calculation'!R295</f>
        <v>BA (Hons) Philosophy</v>
      </c>
      <c r="E303" s="13" t="str">
        <f>'Reference Score Calculation'!E295</f>
        <v>Best 5</v>
      </c>
      <c r="F303" s="20" t="str">
        <f>'Reference Score Calculation'!G295</f>
        <v>/</v>
      </c>
      <c r="G303" s="20">
        <f>'Reference Score Calculation'!H295</f>
        <v>25.5</v>
      </c>
      <c r="H303" s="20">
        <f>'Reference Score Calculation'!I295</f>
        <v>24.5</v>
      </c>
      <c r="I303" s="20">
        <f>計分版!J318</f>
        <v>3.3500000000000002E-9</v>
      </c>
      <c r="J303" s="13">
        <f>'Reference Score Calculation'!T295</f>
        <v>27</v>
      </c>
      <c r="K303" s="28">
        <f>'Reference Score Calculation'!U295</f>
        <v>39</v>
      </c>
      <c r="L303" s="112">
        <f>'Reference Score Calculation'!X295</f>
        <v>6.7727272727272725</v>
      </c>
      <c r="M303" s="13">
        <f>入學要求!Z304</f>
        <v>0</v>
      </c>
    </row>
    <row r="304" spans="1:13">
      <c r="A304" s="13" t="str">
        <f>'Reference Score Calculation'!A296</f>
        <v>JS7905</v>
      </c>
      <c r="B304" s="13" t="str">
        <f>'Reference Score Calculation'!B296</f>
        <v>LingU</v>
      </c>
      <c r="C304" s="13" t="str">
        <f>'Reference Score Calculation'!D296</f>
        <v>視覺研究(榮譽)文學士</v>
      </c>
      <c r="D304" s="13" t="str">
        <f>'Reference Score Calculation'!R296</f>
        <v>BA (Hons) Visual Studies</v>
      </c>
      <c r="E304" s="13" t="str">
        <f>'Reference Score Calculation'!E296</f>
        <v>Best 5</v>
      </c>
      <c r="F304" s="20" t="str">
        <f>'Reference Score Calculation'!G296</f>
        <v>/</v>
      </c>
      <c r="G304" s="20">
        <f>'Reference Score Calculation'!H296</f>
        <v>25.5</v>
      </c>
      <c r="H304" s="20">
        <f>'Reference Score Calculation'!I296</f>
        <v>24.5</v>
      </c>
      <c r="I304" s="20">
        <f>計分版!J319</f>
        <v>3.3500000000000002E-9</v>
      </c>
      <c r="J304" s="13">
        <f>'Reference Score Calculation'!T296</f>
        <v>20</v>
      </c>
      <c r="K304" s="28">
        <f>'Reference Score Calculation'!U296</f>
        <v>21</v>
      </c>
      <c r="L304" s="112">
        <f>'Reference Score Calculation'!X296</f>
        <v>11.352941176470589</v>
      </c>
      <c r="M304" s="13">
        <f>入學要求!Z305</f>
        <v>0</v>
      </c>
    </row>
    <row r="305" spans="1:13">
      <c r="D305" s="13"/>
      <c r="K305" s="28"/>
    </row>
    <row r="306" spans="1:13">
      <c r="D306" s="13"/>
      <c r="K306" s="28"/>
    </row>
    <row r="307" spans="1:13">
      <c r="A307" s="13" t="str">
        <f>'Reference Score Calculation'!A299</f>
        <v>JS8105</v>
      </c>
      <c r="B307" s="13" t="str">
        <f>'Reference Score Calculation'!B299</f>
        <v>EdUHK</v>
      </c>
      <c r="C307" s="13" t="str">
        <f>'Reference Score Calculation'!D299</f>
        <v>中國語文教育榮譽學士</v>
      </c>
      <c r="D307" s="13" t="str">
        <f>'Reference Score Calculation'!R299</f>
        <v>BEd(CHI)</v>
      </c>
      <c r="E307" s="13" t="str">
        <f>'Reference Score Calculation'!E299</f>
        <v>Best 5</v>
      </c>
      <c r="F307" s="20" t="str">
        <f>'Reference Score Calculation'!G299</f>
        <v>/</v>
      </c>
      <c r="G307" s="20" t="str">
        <f>'Reference Score Calculation'!H299</f>
        <v>/</v>
      </c>
      <c r="H307" s="20">
        <f>'Reference Score Calculation'!I299</f>
        <v>22</v>
      </c>
      <c r="I307" s="20">
        <f>計分版!J322</f>
        <v>3.9500000000000006E-9</v>
      </c>
      <c r="J307" s="13">
        <f>'Reference Score Calculation'!T299</f>
        <v>67</v>
      </c>
      <c r="K307" s="28">
        <f>'Reference Score Calculation'!U299</f>
        <v>43</v>
      </c>
      <c r="L307" s="112">
        <f>'Reference Score Calculation'!X299</f>
        <v>15.780487804878049</v>
      </c>
      <c r="M307" s="13">
        <f>入學要求!Z308</f>
        <v>0</v>
      </c>
    </row>
    <row r="308" spans="1:13">
      <c r="A308" s="13" t="str">
        <f>'Reference Score Calculation'!A300</f>
        <v>JS8222</v>
      </c>
      <c r="B308" s="13" t="str">
        <f>'Reference Score Calculation'!B300</f>
        <v>EdUHK</v>
      </c>
      <c r="C308" s="13" t="str">
        <f>'Reference Score Calculation'!D300</f>
        <v>英國語文教育榮譽學士 — 小學</v>
      </c>
      <c r="D308" s="13" t="str">
        <f>'Reference Score Calculation'!R300</f>
        <v>BEd(ENG)-Pri</v>
      </c>
      <c r="E308" s="13" t="str">
        <f>'Reference Score Calculation'!E300</f>
        <v>Best 5</v>
      </c>
      <c r="F308" s="20" t="str">
        <f>'Reference Score Calculation'!G300</f>
        <v>/</v>
      </c>
      <c r="G308" s="20" t="str">
        <f>'Reference Score Calculation'!H300</f>
        <v>/</v>
      </c>
      <c r="H308" s="20">
        <f>'Reference Score Calculation'!I300</f>
        <v>22</v>
      </c>
      <c r="I308" s="20">
        <f>計分版!J323</f>
        <v>3.9500000000000006E-9</v>
      </c>
      <c r="J308" s="13">
        <f>'Reference Score Calculation'!T300</f>
        <v>14</v>
      </c>
      <c r="K308" s="28">
        <f>'Reference Score Calculation'!U300</f>
        <v>13</v>
      </c>
      <c r="L308" s="112">
        <f>'Reference Score Calculation'!X300</f>
        <v>16.153846153846153</v>
      </c>
      <c r="M308" s="13">
        <f>入學要求!Z309</f>
        <v>0</v>
      </c>
    </row>
    <row r="309" spans="1:13">
      <c r="A309" s="13" t="str">
        <f>'Reference Score Calculation'!A301</f>
        <v>JS8234</v>
      </c>
      <c r="B309" s="13" t="str">
        <f>'Reference Score Calculation'!B301</f>
        <v>EdUHK</v>
      </c>
      <c r="C309" s="13" t="str">
        <f>'Reference Score Calculation'!D301</f>
        <v>小學教育榮譽學士 - 常識</v>
      </c>
      <c r="D309" s="13" t="str">
        <f>'Reference Score Calculation'!R301</f>
        <v>BEd(P)-GS</v>
      </c>
      <c r="E309" s="13" t="str">
        <f>'Reference Score Calculation'!E301</f>
        <v>Best 5</v>
      </c>
      <c r="F309" s="20" t="str">
        <f>'Reference Score Calculation'!G301</f>
        <v>/</v>
      </c>
      <c r="G309" s="20" t="str">
        <f>'Reference Score Calculation'!H301</f>
        <v>/</v>
      </c>
      <c r="H309" s="20">
        <f>'Reference Score Calculation'!I301</f>
        <v>21</v>
      </c>
      <c r="I309" s="20">
        <f>計分版!J324</f>
        <v>3.9500000000000006E-9</v>
      </c>
      <c r="J309" s="13">
        <f>'Reference Score Calculation'!T301</f>
        <v>35</v>
      </c>
      <c r="K309" s="28">
        <f>'Reference Score Calculation'!U301</f>
        <v>23</v>
      </c>
      <c r="L309" s="112">
        <f>'Reference Score Calculation'!X301</f>
        <v>26</v>
      </c>
      <c r="M309" s="13">
        <f>入學要求!Z310</f>
        <v>0</v>
      </c>
    </row>
    <row r="310" spans="1:13">
      <c r="A310" s="13" t="str">
        <f>'Reference Score Calculation'!A302</f>
        <v>JS8246</v>
      </c>
      <c r="B310" s="13" t="str">
        <f>'Reference Score Calculation'!B302</f>
        <v>EdUHK</v>
      </c>
      <c r="C310" s="13" t="str">
        <f>'Reference Score Calculation'!D302</f>
        <v>小學教育榮譽學士 - 數學</v>
      </c>
      <c r="D310" s="13" t="str">
        <f>'Reference Score Calculation'!R302</f>
        <v>BEd(P)-MA</v>
      </c>
      <c r="E310" s="13" t="str">
        <f>'Reference Score Calculation'!E302</f>
        <v>Best 5</v>
      </c>
      <c r="F310" s="20" t="str">
        <f>'Reference Score Calculation'!G302</f>
        <v>/</v>
      </c>
      <c r="G310" s="20" t="str">
        <f>'Reference Score Calculation'!H302</f>
        <v>/</v>
      </c>
      <c r="H310" s="20">
        <f>'Reference Score Calculation'!I302</f>
        <v>20</v>
      </c>
      <c r="I310" s="20">
        <f>計分版!J325</f>
        <v>3.9500000000000006E-9</v>
      </c>
      <c r="J310" s="13">
        <f>'Reference Score Calculation'!T302</f>
        <v>55</v>
      </c>
      <c r="K310" s="28">
        <f>'Reference Score Calculation'!U302</f>
        <v>48</v>
      </c>
      <c r="L310" s="112">
        <f>'Reference Score Calculation'!X302</f>
        <v>10.6875</v>
      </c>
      <c r="M310" s="13">
        <f>入學要求!Z311</f>
        <v>0</v>
      </c>
    </row>
    <row r="311" spans="1:13">
      <c r="A311" s="13" t="str">
        <f>'Reference Score Calculation'!A303</f>
        <v>JS8325</v>
      </c>
      <c r="B311" s="13" t="str">
        <f>'Reference Score Calculation'!B303</f>
        <v>EdUHK</v>
      </c>
      <c r="C311" s="13" t="str">
        <f>'Reference Score Calculation'!D303</f>
        <v>體育教育榮譽學士</v>
      </c>
      <c r="D311" s="13" t="str">
        <f>'Reference Score Calculation'!R303</f>
        <v>BEd(PE)</v>
      </c>
      <c r="E311" s="13" t="str">
        <f>'Reference Score Calculation'!E303</f>
        <v>Best 5</v>
      </c>
      <c r="F311" s="20" t="str">
        <f>'Reference Score Calculation'!G303</f>
        <v>/</v>
      </c>
      <c r="G311" s="20" t="str">
        <f>'Reference Score Calculation'!H303</f>
        <v>/</v>
      </c>
      <c r="H311" s="20">
        <f>'Reference Score Calculation'!I303</f>
        <v>21</v>
      </c>
      <c r="I311" s="20">
        <f>計分版!J326</f>
        <v>3.9500000000000006E-9</v>
      </c>
      <c r="J311" s="13">
        <f>'Reference Score Calculation'!T303</f>
        <v>26</v>
      </c>
      <c r="K311" s="28">
        <f>'Reference Score Calculation'!U303</f>
        <v>19</v>
      </c>
      <c r="L311" s="112">
        <f>'Reference Score Calculation'!X303</f>
        <v>48.210526315789473</v>
      </c>
      <c r="M311" s="13">
        <f>入學要求!Z312</f>
        <v>0</v>
      </c>
    </row>
    <row r="312" spans="1:13">
      <c r="A312" s="13" t="str">
        <f>'Reference Score Calculation'!A304</f>
        <v>JS8361</v>
      </c>
      <c r="B312" s="13" t="str">
        <f>'Reference Score Calculation'!B304</f>
        <v>EdUHK</v>
      </c>
      <c r="C312" s="13" t="str">
        <f>'Reference Score Calculation'!D304</f>
        <v>中學教育榮譽學士 - 資訊及通訊科技</v>
      </c>
      <c r="D312" s="13" t="str">
        <f>'Reference Score Calculation'!R304</f>
        <v>BEd(S)-ICT</v>
      </c>
      <c r="E312" s="13" t="str">
        <f>'Reference Score Calculation'!E304</f>
        <v>Best 5</v>
      </c>
      <c r="F312" s="20" t="str">
        <f>'Reference Score Calculation'!G304</f>
        <v>/</v>
      </c>
      <c r="G312" s="20" t="str">
        <f>'Reference Score Calculation'!H304</f>
        <v>/</v>
      </c>
      <c r="H312" s="20">
        <f>'Reference Score Calculation'!I304</f>
        <v>20</v>
      </c>
      <c r="I312" s="20">
        <f>計分版!J327</f>
        <v>3.9500000000000006E-9</v>
      </c>
      <c r="J312" s="13">
        <f>'Reference Score Calculation'!T304</f>
        <v>14</v>
      </c>
      <c r="K312" s="28">
        <f>'Reference Score Calculation'!U304</f>
        <v>8</v>
      </c>
      <c r="L312" s="112">
        <f>'Reference Score Calculation'!X304</f>
        <v>26.714285714285715</v>
      </c>
      <c r="M312" s="13">
        <f>入學要求!Z313</f>
        <v>0</v>
      </c>
    </row>
    <row r="313" spans="1:13">
      <c r="A313" s="13" t="str">
        <f>'Reference Score Calculation'!A305</f>
        <v>JS8371</v>
      </c>
      <c r="B313" s="13" t="str">
        <f>'Reference Score Calculation'!B305</f>
        <v>EdUHK</v>
      </c>
      <c r="C313" s="13" t="str">
        <f>'Reference Score Calculation'!D305</f>
        <v>企業、會計與財務概論教育榮譽學士</v>
      </c>
      <c r="D313" s="13" t="str">
        <f>'Reference Score Calculation'!R305</f>
        <v>BEd(BAFS)</v>
      </c>
      <c r="E313" s="13" t="str">
        <f>'Reference Score Calculation'!E305</f>
        <v>Best 5</v>
      </c>
      <c r="F313" s="20" t="str">
        <f>'Reference Score Calculation'!G305</f>
        <v>/</v>
      </c>
      <c r="G313" s="20" t="str">
        <f>'Reference Score Calculation'!H305</f>
        <v>/</v>
      </c>
      <c r="H313" s="20">
        <f>'Reference Score Calculation'!I305</f>
        <v>20</v>
      </c>
      <c r="I313" s="20">
        <f>計分版!J328</f>
        <v>3.9500000000000006E-9</v>
      </c>
      <c r="J313" s="13">
        <f>'Reference Score Calculation'!T305</f>
        <v>19</v>
      </c>
      <c r="K313" s="28">
        <f>'Reference Score Calculation'!U305</f>
        <v>17</v>
      </c>
      <c r="L313" s="112">
        <f>'Reference Score Calculation'!X305</f>
        <v>16.176470588235293</v>
      </c>
      <c r="M313" s="13">
        <f>入學要求!Z314</f>
        <v>0</v>
      </c>
    </row>
    <row r="314" spans="1:13">
      <c r="A314" s="13" t="str">
        <f>'Reference Score Calculation'!A306</f>
        <v>JS8381</v>
      </c>
      <c r="B314" s="13" t="str">
        <f>'Reference Score Calculation'!B306</f>
        <v>EdUHK</v>
      </c>
      <c r="C314" s="13" t="str">
        <f>'Reference Score Calculation'!D306</f>
        <v>歷史教育榮譽學士</v>
      </c>
      <c r="D314" s="13" t="str">
        <f>'Reference Score Calculation'!R306</f>
        <v>BEd(HIST)</v>
      </c>
      <c r="E314" s="13" t="str">
        <f>'Reference Score Calculation'!E306</f>
        <v>Best 5</v>
      </c>
      <c r="F314" s="20" t="str">
        <f>'Reference Score Calculation'!G306</f>
        <v>/</v>
      </c>
      <c r="G314" s="20" t="str">
        <f>'Reference Score Calculation'!H306</f>
        <v>/</v>
      </c>
      <c r="H314" s="20">
        <f>'Reference Score Calculation'!I306</f>
        <v>21</v>
      </c>
      <c r="I314" s="20">
        <f>計分版!J329</f>
        <v>3.9500000000000006E-9</v>
      </c>
      <c r="J314" s="13">
        <f>'Reference Score Calculation'!T306</f>
        <v>10</v>
      </c>
      <c r="K314" s="28" t="str">
        <f>'Reference Score Calculation'!U306</f>
        <v>/</v>
      </c>
      <c r="L314" s="112" t="str">
        <f>'Reference Score Calculation'!X306</f>
        <v>無開辦</v>
      </c>
      <c r="M314" s="13">
        <f>入學要求!Z315</f>
        <v>0</v>
      </c>
    </row>
    <row r="315" spans="1:13">
      <c r="A315" s="13" t="str">
        <f>'Reference Score Calculation'!A307</f>
        <v>JS8404</v>
      </c>
      <c r="B315" s="13" t="str">
        <f>'Reference Score Calculation'!B307</f>
        <v>EdUHK</v>
      </c>
      <c r="C315" s="13" t="str">
        <f>'Reference Score Calculation'!D307</f>
        <v>幼兒教育榮譽學士</v>
      </c>
      <c r="D315" s="13" t="str">
        <f>'Reference Score Calculation'!R307</f>
        <v>BEd(ECE)</v>
      </c>
      <c r="E315" s="13" t="str">
        <f>'Reference Score Calculation'!E307</f>
        <v>Best 5</v>
      </c>
      <c r="F315" s="20" t="str">
        <f>'Reference Score Calculation'!G307</f>
        <v>/</v>
      </c>
      <c r="G315" s="20" t="str">
        <f>'Reference Score Calculation'!H307</f>
        <v>/</v>
      </c>
      <c r="H315" s="20">
        <f>'Reference Score Calculation'!I307</f>
        <v>20</v>
      </c>
      <c r="I315" s="20">
        <f>計分版!J330</f>
        <v>3.9500000000000006E-9</v>
      </c>
      <c r="J315" s="13">
        <f>'Reference Score Calculation'!T307</f>
        <v>49</v>
      </c>
      <c r="K315" s="28">
        <f>'Reference Score Calculation'!U307</f>
        <v>36</v>
      </c>
      <c r="L315" s="112">
        <f>'Reference Score Calculation'!X307</f>
        <v>36.771428571428572</v>
      </c>
      <c r="M315" s="13">
        <f>入學要求!Z316</f>
        <v>0</v>
      </c>
    </row>
    <row r="316" spans="1:13">
      <c r="A316" s="13" t="str">
        <f>'Reference Score Calculation'!A308</f>
        <v>JS8416</v>
      </c>
      <c r="B316" s="13" t="str">
        <f>'Reference Score Calculation'!B308</f>
        <v>EdUHK</v>
      </c>
      <c r="C316" s="13" t="str">
        <f>'Reference Score Calculation'!D308</f>
        <v>中國歷史教育榮譽學士</v>
      </c>
      <c r="D316" s="13" t="str">
        <f>'Reference Score Calculation'!R308</f>
        <v>BEd(CHI HIST)</v>
      </c>
      <c r="E316" s="13" t="str">
        <f>'Reference Score Calculation'!E308</f>
        <v>Best 5</v>
      </c>
      <c r="F316" s="20" t="str">
        <f>'Reference Score Calculation'!G308</f>
        <v>/</v>
      </c>
      <c r="G316" s="20" t="str">
        <f>'Reference Score Calculation'!H308</f>
        <v>/</v>
      </c>
      <c r="H316" s="20" t="str">
        <f>'Reference Score Calculation'!I308</f>
        <v>無開辦</v>
      </c>
      <c r="I316" s="20">
        <f>計分版!J331</f>
        <v>3.9500000000000006E-9</v>
      </c>
      <c r="J316" s="13" t="str">
        <f>'Reference Score Calculation'!T308</f>
        <v>/</v>
      </c>
      <c r="K316" s="28">
        <f>'Reference Score Calculation'!U308</f>
        <v>9</v>
      </c>
      <c r="L316" s="112">
        <f>'Reference Score Calculation'!X308</f>
        <v>38</v>
      </c>
      <c r="M316" s="13">
        <f>入學要求!Z317</f>
        <v>0</v>
      </c>
    </row>
    <row r="317" spans="1:13">
      <c r="A317" s="13" t="str">
        <f>'Reference Score Calculation'!A309</f>
        <v>JS8428</v>
      </c>
      <c r="B317" s="13" t="str">
        <f>'Reference Score Calculation'!B309</f>
        <v>EdUHK</v>
      </c>
      <c r="C317" s="13" t="str">
        <f>'Reference Score Calculation'!D309</f>
        <v>地理教育榮譽學士</v>
      </c>
      <c r="D317" s="13" t="str">
        <f>'Reference Score Calculation'!R309</f>
        <v>BEd(GEOG)</v>
      </c>
      <c r="E317" s="13" t="str">
        <f>'Reference Score Calculation'!E309</f>
        <v>Best 5</v>
      </c>
      <c r="F317" s="20" t="str">
        <f>'Reference Score Calculation'!G309</f>
        <v>/</v>
      </c>
      <c r="G317" s="20" t="str">
        <f>'Reference Score Calculation'!H309</f>
        <v>/</v>
      </c>
      <c r="H317" s="20">
        <f>'Reference Score Calculation'!I309</f>
        <v>21</v>
      </c>
      <c r="I317" s="20">
        <f>計分版!J332</f>
        <v>3.9500000000000006E-9</v>
      </c>
      <c r="J317" s="13">
        <f>'Reference Score Calculation'!T309</f>
        <v>10</v>
      </c>
      <c r="K317" s="28">
        <f>'Reference Score Calculation'!U309</f>
        <v>13</v>
      </c>
      <c r="L317" s="112">
        <f>'Reference Score Calculation'!X309</f>
        <v>19.153846153846153</v>
      </c>
      <c r="M317" s="13">
        <f>入學要求!Z318</f>
        <v>0</v>
      </c>
    </row>
    <row r="318" spans="1:13">
      <c r="A318" s="13" t="str">
        <f>'Reference Score Calculation'!A310</f>
        <v>JS8430</v>
      </c>
      <c r="B318" s="13" t="str">
        <f>'Reference Score Calculation'!B310</f>
        <v>EdUHK</v>
      </c>
      <c r="C318" s="13" t="str">
        <f>'Reference Score Calculation'!D310</f>
        <v>科學教育榮譽學士</v>
      </c>
      <c r="D318" s="13" t="str">
        <f>'Reference Score Calculation'!R310</f>
        <v>BEd(Science)</v>
      </c>
      <c r="E318" s="13" t="str">
        <f>'Reference Score Calculation'!E310</f>
        <v>Best 5</v>
      </c>
      <c r="F318" s="20" t="str">
        <f>'Reference Score Calculation'!G310</f>
        <v>/</v>
      </c>
      <c r="G318" s="20" t="str">
        <f>'Reference Score Calculation'!H310</f>
        <v>/</v>
      </c>
      <c r="H318" s="20">
        <f>'Reference Score Calculation'!I310</f>
        <v>20</v>
      </c>
      <c r="I318" s="20">
        <f>計分版!J333</f>
        <v>3.9500000000000006E-9</v>
      </c>
      <c r="J318" s="13">
        <f>'Reference Score Calculation'!T310</f>
        <v>13</v>
      </c>
      <c r="K318" s="28">
        <f>'Reference Score Calculation'!U310</f>
        <v>392</v>
      </c>
      <c r="L318" s="112">
        <f>'Reference Score Calculation'!X310</f>
        <v>4.7492260061919502</v>
      </c>
      <c r="M318" s="13">
        <f>入學要求!Z319</f>
        <v>0</v>
      </c>
    </row>
    <row r="319" spans="1:13">
      <c r="A319" s="13" t="str">
        <f>'Reference Score Calculation'!A311</f>
        <v>JS8507</v>
      </c>
      <c r="B319" s="13" t="str">
        <f>'Reference Score Calculation'!B311</f>
        <v>EdUHK</v>
      </c>
      <c r="C319" s="13" t="str">
        <f>'Reference Score Calculation'!D311</f>
        <v>幼兒教育高級文憑</v>
      </c>
      <c r="D319" s="13" t="str">
        <f>'Reference Score Calculation'!R311</f>
        <v>HD(ECE)</v>
      </c>
      <c r="E319" s="13" t="str">
        <f>'Reference Score Calculation'!E311</f>
        <v>Best 5</v>
      </c>
      <c r="F319" s="20" t="str">
        <f>'Reference Score Calculation'!G311</f>
        <v>/</v>
      </c>
      <c r="G319" s="20" t="str">
        <f>'Reference Score Calculation'!H311</f>
        <v>/</v>
      </c>
      <c r="H319" s="20">
        <f>'Reference Score Calculation'!I311</f>
        <v>15</v>
      </c>
      <c r="I319" s="20">
        <f>計分版!J334</f>
        <v>3.9500000000000006E-9</v>
      </c>
      <c r="J319" s="13">
        <f>'Reference Score Calculation'!T311</f>
        <v>330</v>
      </c>
      <c r="K319" s="28">
        <f>'Reference Score Calculation'!U311</f>
        <v>17</v>
      </c>
      <c r="L319" s="112">
        <f>'Reference Score Calculation'!X311</f>
        <v>12.6</v>
      </c>
      <c r="M319" s="13">
        <f>入學要求!Z320</f>
        <v>0</v>
      </c>
    </row>
    <row r="320" spans="1:13">
      <c r="A320" s="13" t="str">
        <f>'Reference Score Calculation'!A312</f>
        <v>JS8600</v>
      </c>
      <c r="B320" s="13" t="str">
        <f>'Reference Score Calculation'!B312</f>
        <v>EdUHK</v>
      </c>
      <c r="C320" s="13" t="str">
        <f>'Reference Score Calculation'!D312</f>
        <v>語文研究榮譽文學士 (中文主修)</v>
      </c>
      <c r="D320" s="13" t="str">
        <f>'Reference Score Calculation'!R312</f>
        <v>BA(Lang Studies)-CN</v>
      </c>
      <c r="E320" s="13" t="str">
        <f>'Reference Score Calculation'!E312</f>
        <v>Best 5</v>
      </c>
      <c r="F320" s="20" t="str">
        <f>'Reference Score Calculation'!G312</f>
        <v>/</v>
      </c>
      <c r="G320" s="20" t="str">
        <f>'Reference Score Calculation'!H312</f>
        <v>/</v>
      </c>
      <c r="H320" s="20">
        <f>'Reference Score Calculation'!I312</f>
        <v>20</v>
      </c>
      <c r="I320" s="20">
        <f>計分版!J335</f>
        <v>3.9500000000000006E-9</v>
      </c>
      <c r="J320" s="13">
        <f>'Reference Score Calculation'!T312</f>
        <v>11</v>
      </c>
      <c r="K320" s="28">
        <f>'Reference Score Calculation'!U312</f>
        <v>15</v>
      </c>
      <c r="L320" s="112">
        <f>'Reference Score Calculation'!X312</f>
        <v>12.666666666666666</v>
      </c>
      <c r="M320" s="13">
        <f>入學要求!Z321</f>
        <v>0</v>
      </c>
    </row>
    <row r="321" spans="1:13">
      <c r="A321" s="13" t="str">
        <f>'Reference Score Calculation'!A313</f>
        <v>JS8612</v>
      </c>
      <c r="B321" s="13" t="str">
        <f>'Reference Score Calculation'!B313</f>
        <v>EdUHK</v>
      </c>
      <c r="C321" s="13" t="str">
        <f>'Reference Score Calculation'!D313</f>
        <v>語文研究榮譽文學士 (英文主修)</v>
      </c>
      <c r="D321" s="13" t="str">
        <f>'Reference Score Calculation'!R313</f>
        <v>BA(Lang Studies)-EG</v>
      </c>
      <c r="E321" s="13" t="str">
        <f>'Reference Score Calculation'!E313</f>
        <v>Best 5</v>
      </c>
      <c r="F321" s="20" t="str">
        <f>'Reference Score Calculation'!G313</f>
        <v>/</v>
      </c>
      <c r="G321" s="20" t="str">
        <f>'Reference Score Calculation'!H313</f>
        <v>/</v>
      </c>
      <c r="H321" s="20">
        <f>'Reference Score Calculation'!I313</f>
        <v>20</v>
      </c>
      <c r="I321" s="20">
        <f>計分版!J336</f>
        <v>3.9500000000000006E-9</v>
      </c>
      <c r="J321" s="13">
        <f>'Reference Score Calculation'!T313</f>
        <v>10</v>
      </c>
      <c r="K321" s="28">
        <f>'Reference Score Calculation'!U313</f>
        <v>12</v>
      </c>
      <c r="L321" s="112">
        <f>'Reference Score Calculation'!X313</f>
        <v>18.363636363636363</v>
      </c>
      <c r="M321" s="13">
        <f>入學要求!Z322</f>
        <v>0</v>
      </c>
    </row>
    <row r="322" spans="1:13">
      <c r="A322" s="13" t="str">
        <f>'Reference Score Calculation'!A314</f>
        <v>JS8636</v>
      </c>
      <c r="B322" s="13" t="str">
        <f>'Reference Score Calculation'!B314</f>
        <v>EdUHK</v>
      </c>
      <c r="C322" s="13" t="str">
        <f>'Reference Score Calculation'!D314</f>
        <v>創意藝術與文化榮譽文學士 (音樂)</v>
      </c>
      <c r="D322" s="13" t="str">
        <f>'Reference Score Calculation'!R314</f>
        <v>BA(CAC)-MU</v>
      </c>
      <c r="E322" s="13" t="str">
        <f>'Reference Score Calculation'!E314</f>
        <v>Best 5</v>
      </c>
      <c r="F322" s="20" t="str">
        <f>'Reference Score Calculation'!G314</f>
        <v>/</v>
      </c>
      <c r="G322" s="20" t="str">
        <f>'Reference Score Calculation'!H314</f>
        <v>/</v>
      </c>
      <c r="H322" s="20">
        <f>'Reference Score Calculation'!I314</f>
        <v>18</v>
      </c>
      <c r="I322" s="20">
        <f>計分版!J337</f>
        <v>3.9500000000000006E-9</v>
      </c>
      <c r="J322" s="13">
        <f>'Reference Score Calculation'!T314</f>
        <v>10</v>
      </c>
      <c r="K322" s="28">
        <f>'Reference Score Calculation'!U314</f>
        <v>17</v>
      </c>
      <c r="L322" s="112">
        <f>'Reference Score Calculation'!X314</f>
        <v>33.333333333333336</v>
      </c>
      <c r="M322" s="13">
        <f>入學要求!Z323</f>
        <v>0</v>
      </c>
    </row>
    <row r="323" spans="1:13">
      <c r="A323" s="13" t="str">
        <f>'Reference Score Calculation'!A315</f>
        <v>JS8648</v>
      </c>
      <c r="B323" s="13" t="str">
        <f>'Reference Score Calculation'!B315</f>
        <v>EdUHK</v>
      </c>
      <c r="C323" s="13" t="str">
        <f>'Reference Score Calculation'!D315</f>
        <v>創意藝術與文化榮譽文學士 (視覺藝術)</v>
      </c>
      <c r="D323" s="13" t="str">
        <f>'Reference Score Calculation'!R315</f>
        <v>BA(CAC)-VA</v>
      </c>
      <c r="E323" s="13" t="str">
        <f>'Reference Score Calculation'!E315</f>
        <v>Best 5</v>
      </c>
      <c r="F323" s="20" t="str">
        <f>'Reference Score Calculation'!G315</f>
        <v>/</v>
      </c>
      <c r="G323" s="20" t="str">
        <f>'Reference Score Calculation'!H315</f>
        <v>/</v>
      </c>
      <c r="H323" s="20">
        <f>'Reference Score Calculation'!I315</f>
        <v>19</v>
      </c>
      <c r="I323" s="20">
        <f>計分版!J338</f>
        <v>3.9500000000000006E-9</v>
      </c>
      <c r="J323" s="13">
        <f>'Reference Score Calculation'!T315</f>
        <v>10</v>
      </c>
      <c r="K323" s="28">
        <f>'Reference Score Calculation'!U315</f>
        <v>31</v>
      </c>
      <c r="L323" s="112">
        <f>'Reference Score Calculation'!X315</f>
        <v>21.375</v>
      </c>
      <c r="M323" s="13">
        <f>入學要求!Z324</f>
        <v>0</v>
      </c>
    </row>
    <row r="324" spans="1:13">
      <c r="A324" s="13" t="str">
        <f>'Reference Score Calculation'!A316</f>
        <v>JS8651</v>
      </c>
      <c r="B324" s="13" t="str">
        <f>'Reference Score Calculation'!B316</f>
        <v>EdUHK</v>
      </c>
      <c r="C324" s="13" t="str">
        <f>'Reference Score Calculation'!D316</f>
        <v>心理學榮譽社會科學學士</v>
      </c>
      <c r="D324" s="13" t="str">
        <f>'Reference Score Calculation'!R316</f>
        <v>BSocSc(Psy)</v>
      </c>
      <c r="E324" s="13" t="str">
        <f>'Reference Score Calculation'!E316</f>
        <v>Best 5</v>
      </c>
      <c r="F324" s="20" t="str">
        <f>'Reference Score Calculation'!G316</f>
        <v>/</v>
      </c>
      <c r="G324" s="20" t="str">
        <f>'Reference Score Calculation'!H316</f>
        <v>/</v>
      </c>
      <c r="H324" s="20">
        <f>'Reference Score Calculation'!I316</f>
        <v>21</v>
      </c>
      <c r="I324" s="20">
        <f>計分版!J339</f>
        <v>3.9500000000000006E-9</v>
      </c>
      <c r="J324" s="13">
        <f>'Reference Score Calculation'!T316</f>
        <v>20</v>
      </c>
      <c r="K324" s="28">
        <f>'Reference Score Calculation'!U316</f>
        <v>17</v>
      </c>
      <c r="L324" s="112">
        <f>'Reference Score Calculation'!X316</f>
        <v>13.588235294117647</v>
      </c>
      <c r="M324" s="13">
        <f>入學要求!Z325</f>
        <v>0</v>
      </c>
    </row>
    <row r="325" spans="1:13">
      <c r="A325" s="13" t="str">
        <f>'Reference Score Calculation'!A317</f>
        <v>JS8663</v>
      </c>
      <c r="B325" s="13" t="str">
        <f>'Reference Score Calculation'!B317</f>
        <v>EdUHK</v>
      </c>
      <c r="C325" s="13" t="str">
        <f>'Reference Score Calculation'!D317</f>
        <v>特殊教育榮譽文學士</v>
      </c>
      <c r="D325" s="13" t="str">
        <f>'Reference Score Calculation'!R317</f>
        <v>BA(SE)</v>
      </c>
      <c r="E325" s="13" t="str">
        <f>'Reference Score Calculation'!E317</f>
        <v>Best 5</v>
      </c>
      <c r="F325" s="20" t="str">
        <f>'Reference Score Calculation'!G317</f>
        <v>/</v>
      </c>
      <c r="G325" s="20" t="str">
        <f>'Reference Score Calculation'!H317</f>
        <v>/</v>
      </c>
      <c r="H325" s="20">
        <f>'Reference Score Calculation'!I317</f>
        <v>19</v>
      </c>
      <c r="I325" s="20">
        <f>計分版!J340</f>
        <v>3.9500000000000006E-9</v>
      </c>
      <c r="J325" s="13">
        <f>'Reference Score Calculation'!T317</f>
        <v>20</v>
      </c>
      <c r="K325" s="28">
        <f>'Reference Score Calculation'!U317</f>
        <v>22</v>
      </c>
      <c r="L325" s="112">
        <f>'Reference Score Calculation'!X317</f>
        <v>9.1363636363636367</v>
      </c>
      <c r="M325" s="13">
        <f>入學要求!Z326</f>
        <v>0</v>
      </c>
    </row>
    <row r="326" spans="1:13">
      <c r="A326" s="13" t="str">
        <f>'Reference Score Calculation'!A318</f>
        <v>JS8675</v>
      </c>
      <c r="B326" s="13" t="str">
        <f>'Reference Score Calculation'!B318</f>
        <v>EdUHK</v>
      </c>
      <c r="C326" s="13" t="str">
        <f>'Reference Score Calculation'!D318</f>
        <v>英語研究及數碼傳訊榮譽文學士</v>
      </c>
      <c r="D326" s="13" t="str">
        <f>'Reference Score Calculation'!R318</f>
        <v>BA(ESDC)</v>
      </c>
      <c r="E326" s="13" t="str">
        <f>'Reference Score Calculation'!E318</f>
        <v>24年新科目</v>
      </c>
      <c r="F326" s="20" t="str">
        <f>'Reference Score Calculation'!G318</f>
        <v>/</v>
      </c>
      <c r="G326" s="20" t="str">
        <f>'Reference Score Calculation'!H318</f>
        <v>/</v>
      </c>
      <c r="H326" s="20" t="str">
        <f>'Reference Score Calculation'!I318</f>
        <v>/</v>
      </c>
      <c r="I326" s="20">
        <f>計分版!J341</f>
        <v>3.9500000000000006E-9</v>
      </c>
      <c r="J326" s="13">
        <f>'Reference Score Calculation'!T318</f>
        <v>17</v>
      </c>
      <c r="K326" s="28" t="str">
        <f>'Reference Score Calculation'!U318</f>
        <v>/</v>
      </c>
      <c r="L326" s="112" t="str">
        <f>'Reference Score Calculation'!X318</f>
        <v>新科目</v>
      </c>
      <c r="M326" s="13">
        <f>入學要求!Z327</f>
        <v>0</v>
      </c>
    </row>
    <row r="327" spans="1:13">
      <c r="A327" s="13" t="str">
        <f>'Reference Score Calculation'!A319</f>
        <v>JS8687</v>
      </c>
      <c r="B327" s="13" t="str">
        <f>'Reference Score Calculation'!B319</f>
        <v>EdUHK</v>
      </c>
      <c r="C327" s="13" t="str">
        <f>'Reference Score Calculation'!D319</f>
        <v>文化傳承教育與藝術管理榮譽文學士</v>
      </c>
      <c r="D327" s="13" t="str">
        <f>'Reference Score Calculation'!R319</f>
        <v>BA(HE&amp;AM)</v>
      </c>
      <c r="E327" s="13" t="str">
        <f>'Reference Score Calculation'!E319</f>
        <v>Best 5</v>
      </c>
      <c r="F327" s="20" t="str">
        <f>'Reference Score Calculation'!G319</f>
        <v>/</v>
      </c>
      <c r="G327" s="20" t="str">
        <f>'Reference Score Calculation'!H319</f>
        <v>/</v>
      </c>
      <c r="H327" s="20">
        <f>'Reference Score Calculation'!I319</f>
        <v>19</v>
      </c>
      <c r="I327" s="20">
        <f>計分版!J342</f>
        <v>3.9500000000000006E-9</v>
      </c>
      <c r="J327" s="13">
        <f>'Reference Score Calculation'!T319</f>
        <v>22</v>
      </c>
      <c r="K327" s="28" t="str">
        <f>'Reference Score Calculation'!U319</f>
        <v>/</v>
      </c>
      <c r="L327" s="112" t="str">
        <f>'Reference Score Calculation'!X319</f>
        <v>新科目</v>
      </c>
      <c r="M327" s="13">
        <f>入學要求!Z328</f>
        <v>0</v>
      </c>
    </row>
    <row r="328" spans="1:13">
      <c r="A328" s="13" t="str">
        <f>'Reference Score Calculation'!A320</f>
        <v>JS8702</v>
      </c>
      <c r="B328" s="13" t="str">
        <f>'Reference Score Calculation'!B320</f>
        <v>EdUHK</v>
      </c>
      <c r="C328" s="13" t="str">
        <f>'Reference Score Calculation'!D320</f>
        <v>綜合環境管理榮譽理學士</v>
      </c>
      <c r="D328" s="13" t="str">
        <f>'Reference Score Calculation'!R320</f>
        <v>BSc(IEM)</v>
      </c>
      <c r="E328" s="13" t="str">
        <f>'Reference Score Calculation'!E320</f>
        <v>Best 5</v>
      </c>
      <c r="F328" s="20" t="str">
        <f>'Reference Score Calculation'!G320</f>
        <v>/</v>
      </c>
      <c r="G328" s="20" t="str">
        <f>'Reference Score Calculation'!H320</f>
        <v>/</v>
      </c>
      <c r="H328" s="20">
        <f>'Reference Score Calculation'!I320</f>
        <v>19</v>
      </c>
      <c r="I328" s="20">
        <f>計分版!J343</f>
        <v>3.9500000000000006E-9</v>
      </c>
      <c r="J328" s="13">
        <f>'Reference Score Calculation'!T320</f>
        <v>21</v>
      </c>
      <c r="K328" s="28">
        <f>'Reference Score Calculation'!U320</f>
        <v>22</v>
      </c>
      <c r="L328" s="112">
        <f>'Reference Score Calculation'!X320</f>
        <v>14.272727272727273</v>
      </c>
      <c r="M328" s="13">
        <f>入學要求!Z329</f>
        <v>0</v>
      </c>
    </row>
    <row r="329" spans="1:13">
      <c r="A329" s="13" t="str">
        <f>'Reference Score Calculation'!A321</f>
        <v>JS8714</v>
      </c>
      <c r="B329" s="13" t="str">
        <f>'Reference Score Calculation'!B321</f>
        <v>EdUHK</v>
      </c>
      <c r="C329" s="13" t="str">
        <f>'Reference Score Calculation'!D321</f>
        <v>人工智能與教育科技榮譽理學士</v>
      </c>
      <c r="D329" s="13" t="str">
        <f>'Reference Score Calculation'!R321</f>
        <v>BSc(AI&amp;EdTech)</v>
      </c>
      <c r="E329" s="13" t="str">
        <f>'Reference Score Calculation'!E321</f>
        <v>Best 5</v>
      </c>
      <c r="F329" s="20" t="str">
        <f>'Reference Score Calculation'!G321</f>
        <v>/</v>
      </c>
      <c r="G329" s="20" t="str">
        <f>'Reference Score Calculation'!H321</f>
        <v>/</v>
      </c>
      <c r="H329" s="20">
        <f>'Reference Score Calculation'!I321</f>
        <v>19</v>
      </c>
      <c r="I329" s="20">
        <f>計分版!J344</f>
        <v>3.9500000000000006E-9</v>
      </c>
      <c r="J329" s="13">
        <f>'Reference Score Calculation'!T321</f>
        <v>30</v>
      </c>
      <c r="K329" s="28">
        <f>'Reference Score Calculation'!U321</f>
        <v>21</v>
      </c>
      <c r="L329" s="112">
        <f>'Reference Score Calculation'!X321</f>
        <v>23.722222222222221</v>
      </c>
      <c r="M329" s="13">
        <f>入學要求!Z330</f>
        <v>0</v>
      </c>
    </row>
    <row r="330" spans="1:13">
      <c r="A330" s="13" t="str">
        <f>'Reference Score Calculation'!A322</f>
        <v>JS8726</v>
      </c>
      <c r="B330" s="13" t="str">
        <f>'Reference Score Calculation'!B322</f>
        <v>EdUHK</v>
      </c>
      <c r="C330" s="13" t="str">
        <f>'Reference Score Calculation'!D322</f>
        <v>運動科學及教練榮譽理學士</v>
      </c>
      <c r="D330" s="13" t="str">
        <f>'Reference Score Calculation'!R322</f>
        <v>BSc(SPSC)</v>
      </c>
      <c r="E330" s="13" t="str">
        <f>'Reference Score Calculation'!E322</f>
        <v>Best 5</v>
      </c>
      <c r="F330" s="20" t="str">
        <f>'Reference Score Calculation'!G322</f>
        <v>/</v>
      </c>
      <c r="G330" s="20" t="str">
        <f>'Reference Score Calculation'!H322</f>
        <v>/</v>
      </c>
      <c r="H330" s="20">
        <f>'Reference Score Calculation'!I322</f>
        <v>20</v>
      </c>
      <c r="I330" s="20">
        <f>計分版!J345</f>
        <v>3.9500000000000006E-9</v>
      </c>
      <c r="J330" s="13">
        <f>'Reference Score Calculation'!T322</f>
        <v>24</v>
      </c>
      <c r="K330" s="28">
        <f>'Reference Score Calculation'!U322</f>
        <v>22</v>
      </c>
      <c r="L330" s="112">
        <f>'Reference Score Calculation'!X322</f>
        <v>31.727272727272727</v>
      </c>
      <c r="M330" s="13">
        <f>入學要求!Z331</f>
        <v>0</v>
      </c>
    </row>
    <row r="331" spans="1:13">
      <c r="A331" s="13" t="str">
        <f>'Reference Score Calculation'!A323</f>
        <v>JS8801</v>
      </c>
      <c r="B331" s="13" t="str">
        <f>'Reference Score Calculation'!B323</f>
        <v>EdUHK</v>
      </c>
      <c r="C331" s="13" t="str">
        <f>'Reference Score Calculation'!D323</f>
        <v>創意藝術與文化榮譽文學士及音樂教育榮譽學士 (同期結業雙學位課程)</v>
      </c>
      <c r="D331" s="13" t="str">
        <f>'Reference Score Calculation'!R323</f>
        <v>BA(CAC) &amp; BEd(MU)</v>
      </c>
      <c r="E331" s="13" t="str">
        <f>'Reference Score Calculation'!E323</f>
        <v>Best 5</v>
      </c>
      <c r="F331" s="20" t="str">
        <f>'Reference Score Calculation'!G323</f>
        <v>/</v>
      </c>
      <c r="G331" s="20" t="str">
        <f>'Reference Score Calculation'!H323</f>
        <v>/</v>
      </c>
      <c r="H331" s="20">
        <f>'Reference Score Calculation'!I323</f>
        <v>20</v>
      </c>
      <c r="I331" s="20">
        <f>計分版!J346</f>
        <v>3.9500000000000006E-9</v>
      </c>
      <c r="J331" s="13">
        <f>'Reference Score Calculation'!T323</f>
        <v>33</v>
      </c>
      <c r="K331" s="28">
        <f>'Reference Score Calculation'!U323</f>
        <v>21</v>
      </c>
      <c r="L331" s="112">
        <f>'Reference Score Calculation'!X323</f>
        <v>8.4761904761904763</v>
      </c>
      <c r="M331" s="13">
        <f>入學要求!Z332</f>
        <v>0</v>
      </c>
    </row>
    <row r="332" spans="1:13">
      <c r="A332" s="13" t="str">
        <f>'Reference Score Calculation'!A324</f>
        <v>JS8813</v>
      </c>
      <c r="B332" s="13" t="str">
        <f>'Reference Score Calculation'!B324</f>
        <v>EdUHK</v>
      </c>
      <c r="C332" s="13" t="str">
        <f>'Reference Score Calculation'!D324</f>
        <v>創意藝術與文化榮譽文學士及視覺藝術教育榮譽學士 (同期結業雙學位課程)</v>
      </c>
      <c r="D332" s="13" t="str">
        <f>'Reference Score Calculation'!R324</f>
        <v>BA(CAC) &amp; BEd(VA)</v>
      </c>
      <c r="E332" s="13" t="str">
        <f>'Reference Score Calculation'!E324</f>
        <v>Best 5</v>
      </c>
      <c r="F332" s="20" t="str">
        <f>'Reference Score Calculation'!G324</f>
        <v>/</v>
      </c>
      <c r="G332" s="20" t="str">
        <f>'Reference Score Calculation'!H324</f>
        <v>/</v>
      </c>
      <c r="H332" s="20">
        <f>'Reference Score Calculation'!I324</f>
        <v>20</v>
      </c>
      <c r="I332" s="20">
        <f>計分版!J347</f>
        <v>3.9500000000000006E-9</v>
      </c>
      <c r="J332" s="13">
        <f>'Reference Score Calculation'!T324</f>
        <v>33</v>
      </c>
      <c r="K332" s="28">
        <f>'Reference Score Calculation'!U324</f>
        <v>20</v>
      </c>
      <c r="L332" s="112">
        <f>'Reference Score Calculation'!X324</f>
        <v>16.45</v>
      </c>
      <c r="M332" s="13">
        <f>入學要求!Z333</f>
        <v>0</v>
      </c>
    </row>
    <row r="333" spans="1:13">
      <c r="A333" s="13" t="str">
        <f>'Reference Score Calculation'!A325</f>
        <v>JS8825</v>
      </c>
      <c r="B333" s="13" t="str">
        <f>'Reference Score Calculation'!B325</f>
        <v>EdUHK</v>
      </c>
      <c r="C333" s="13" t="str">
        <f>'Reference Score Calculation'!D325</f>
        <v>語文研究榮譽文學士及英文教育榮譽學士 (同期結業雙學位課程)</v>
      </c>
      <c r="D333" s="13" t="str">
        <f>'Reference Score Calculation'!R325</f>
        <v>BA(Lang Studies)&amp;BEd(EL)</v>
      </c>
      <c r="E333" s="13" t="str">
        <f>'Reference Score Calculation'!E325</f>
        <v>Best 5</v>
      </c>
      <c r="F333" s="20" t="str">
        <f>'Reference Score Calculation'!G325</f>
        <v>/</v>
      </c>
      <c r="G333" s="20" t="str">
        <f>'Reference Score Calculation'!H325</f>
        <v>/</v>
      </c>
      <c r="H333" s="20">
        <f>'Reference Score Calculation'!I325</f>
        <v>22</v>
      </c>
      <c r="I333" s="20">
        <f>計分版!J348</f>
        <v>3.9500000000000006E-9</v>
      </c>
      <c r="J333" s="13">
        <f>'Reference Score Calculation'!T325</f>
        <v>20</v>
      </c>
      <c r="K333" s="28">
        <f>'Reference Score Calculation'!U325</f>
        <v>15</v>
      </c>
      <c r="L333" s="112">
        <f>'Reference Score Calculation'!X325</f>
        <v>9.615384615384615</v>
      </c>
      <c r="M333" s="13">
        <f>入學要求!Z334</f>
        <v>0</v>
      </c>
    </row>
    <row r="334" spans="1:13">
      <c r="D334" s="13"/>
      <c r="K334" s="28"/>
    </row>
    <row r="335" spans="1:13">
      <c r="D335" s="13"/>
      <c r="K335" s="28"/>
    </row>
    <row r="336" spans="1:13">
      <c r="A336" s="13" t="str">
        <f>'Reference Score Calculation'!A328</f>
        <v>JS9009</v>
      </c>
      <c r="B336" s="13" t="str">
        <f>'Reference Score Calculation'!B328</f>
        <v>HKMU</v>
      </c>
      <c r="C336" s="13" t="str">
        <f>'Reference Score Calculation'!D328</f>
        <v>社會科學榮譽學士</v>
      </c>
      <c r="D336" s="13" t="str">
        <f>'Reference Score Calculation'!R328</f>
        <v>BSSc(Hons)</v>
      </c>
      <c r="E336" s="13" t="str">
        <f>'Reference Score Calculation'!E328</f>
        <v>Best 5</v>
      </c>
      <c r="F336" s="20" t="str">
        <f>'Reference Score Calculation'!G328</f>
        <v>/</v>
      </c>
      <c r="G336" s="20">
        <f>'Reference Score Calculation'!H328</f>
        <v>16</v>
      </c>
      <c r="H336" s="20">
        <f>'Reference Score Calculation'!I328</f>
        <v>15</v>
      </c>
      <c r="I336" s="20">
        <f>計分版!J351</f>
        <v>3.9500000000000006E-9</v>
      </c>
      <c r="J336" s="13">
        <f>'Reference Score Calculation'!T328</f>
        <v>80</v>
      </c>
      <c r="K336" s="28">
        <f>'Reference Score Calculation'!U328</f>
        <v>124</v>
      </c>
      <c r="L336" s="112">
        <f>'Reference Score Calculation'!X328</f>
        <v>4.8852459016393439</v>
      </c>
      <c r="M336" s="13">
        <f>入學要求!Z337</f>
        <v>0</v>
      </c>
    </row>
    <row r="337" spans="1:13">
      <c r="A337" s="13" t="str">
        <f>'Reference Score Calculation'!A329</f>
        <v>JS9010</v>
      </c>
      <c r="B337" s="13" t="str">
        <f>'Reference Score Calculation'!B329</f>
        <v>HKMU</v>
      </c>
      <c r="C337" s="13" t="str">
        <f>'Reference Score Calculation'!D329</f>
        <v>心理學榮譽社會科學學士</v>
      </c>
      <c r="D337" s="13" t="str">
        <f>'Reference Score Calculation'!R329</f>
        <v>BSSc(Hons)Psychology</v>
      </c>
      <c r="E337" s="13" t="str">
        <f>'Reference Score Calculation'!E329</f>
        <v>Best 5</v>
      </c>
      <c r="F337" s="20" t="str">
        <f>'Reference Score Calculation'!G329</f>
        <v>/</v>
      </c>
      <c r="G337" s="20">
        <f>'Reference Score Calculation'!H329</f>
        <v>17</v>
      </c>
      <c r="H337" s="20">
        <f>'Reference Score Calculation'!I329</f>
        <v>15</v>
      </c>
      <c r="I337" s="20">
        <f>計分版!J352</f>
        <v>3.9500000000000006E-9</v>
      </c>
      <c r="J337" s="13">
        <f>'Reference Score Calculation'!T329</f>
        <v>120</v>
      </c>
      <c r="K337" s="28">
        <f>'Reference Score Calculation'!U329</f>
        <v>235</v>
      </c>
      <c r="L337" s="112">
        <f>'Reference Score Calculation'!X329</f>
        <v>4.1679389312977095</v>
      </c>
      <c r="M337" s="13">
        <f>入學要求!Z338</f>
        <v>0</v>
      </c>
    </row>
    <row r="338" spans="1:13">
      <c r="A338" s="13" t="str">
        <f>'Reference Score Calculation'!A330</f>
        <v>JS9011</v>
      </c>
      <c r="B338" s="13" t="str">
        <f>'Reference Score Calculation'!B330</f>
        <v>HKMU</v>
      </c>
      <c r="C338" s="13" t="str">
        <f>'Reference Score Calculation'!D330</f>
        <v>中文榮譽文學士</v>
      </c>
      <c r="D338" s="13" t="str">
        <f>'Reference Score Calculation'!R330</f>
        <v>BA(Hons) Chinese</v>
      </c>
      <c r="E338" s="13" t="str">
        <f>'Reference Score Calculation'!E330</f>
        <v>Best 5</v>
      </c>
      <c r="F338" s="20" t="str">
        <f>'Reference Score Calculation'!G330</f>
        <v>/</v>
      </c>
      <c r="G338" s="20">
        <f>'Reference Score Calculation'!H330</f>
        <v>22</v>
      </c>
      <c r="H338" s="20">
        <f>'Reference Score Calculation'!I330</f>
        <v>20</v>
      </c>
      <c r="I338" s="20">
        <f>計分版!J353</f>
        <v>4.1499999999999999E-9</v>
      </c>
      <c r="J338" s="13">
        <f>'Reference Score Calculation'!T330</f>
        <v>30</v>
      </c>
      <c r="K338" s="28">
        <f>'Reference Score Calculation'!U330</f>
        <v>103</v>
      </c>
      <c r="L338" s="112">
        <f>'Reference Score Calculation'!X330</f>
        <v>3.7111111111111112</v>
      </c>
      <c r="M338" s="13">
        <f>入學要求!Z339</f>
        <v>0</v>
      </c>
    </row>
    <row r="339" spans="1:13">
      <c r="A339" s="13" t="str">
        <f>'Reference Score Calculation'!A331</f>
        <v>JS9013</v>
      </c>
      <c r="B339" s="13" t="str">
        <f>'Reference Score Calculation'!B331</f>
        <v>HKMU</v>
      </c>
      <c r="C339" s="13" t="str">
        <f>'Reference Score Calculation'!D331</f>
        <v>語言研究與翻譯榮譽文學士</v>
      </c>
      <c r="D339" s="13" t="str">
        <f>'Reference Score Calculation'!R331</f>
        <v>BA(Hons) LangStud &amp; Tran</v>
      </c>
      <c r="E339" s="13" t="str">
        <f>'Reference Score Calculation'!E331</f>
        <v>Best 5</v>
      </c>
      <c r="F339" s="20" t="str">
        <f>'Reference Score Calculation'!G331</f>
        <v>/</v>
      </c>
      <c r="G339" s="20">
        <f>'Reference Score Calculation'!H331</f>
        <v>20</v>
      </c>
      <c r="H339" s="20">
        <f>'Reference Score Calculation'!I331</f>
        <v>19</v>
      </c>
      <c r="I339" s="20">
        <f>計分版!J354</f>
        <v>3.3500000000000002E-9</v>
      </c>
      <c r="J339" s="13">
        <f>'Reference Score Calculation'!T331</f>
        <v>45</v>
      </c>
      <c r="K339" s="28">
        <f>'Reference Score Calculation'!U331</f>
        <v>92</v>
      </c>
      <c r="L339" s="112">
        <f>'Reference Score Calculation'!X331</f>
        <v>2.8536585365853657</v>
      </c>
      <c r="M339" s="13">
        <f>入學要求!Z340</f>
        <v>0</v>
      </c>
    </row>
    <row r="340" spans="1:13">
      <c r="A340" s="13" t="str">
        <f>'Reference Score Calculation'!A332</f>
        <v>JS9016</v>
      </c>
      <c r="B340" s="13" t="str">
        <f>'Reference Score Calculation'!B332</f>
        <v>HKMU</v>
      </c>
      <c r="C340" s="13" t="str">
        <f>'Reference Score Calculation'!D332</f>
        <v>創意廣告及媒體設計榮譽文學士</v>
      </c>
      <c r="D340" s="13" t="str">
        <f>'Reference Score Calculation'!R332</f>
        <v>BA(Hons)CreAd&amp;MediaDesig</v>
      </c>
      <c r="E340" s="13" t="str">
        <f>'Reference Score Calculation'!E332</f>
        <v>Best 5</v>
      </c>
      <c r="F340" s="20" t="str">
        <f>'Reference Score Calculation'!G332</f>
        <v>/</v>
      </c>
      <c r="G340" s="20">
        <f>'Reference Score Calculation'!H332</f>
        <v>21</v>
      </c>
      <c r="H340" s="20">
        <f>'Reference Score Calculation'!I332</f>
        <v>19</v>
      </c>
      <c r="I340" s="20">
        <f>計分版!J355</f>
        <v>3.3500000000000002E-9</v>
      </c>
      <c r="J340" s="13">
        <f>'Reference Score Calculation'!T332</f>
        <v>70</v>
      </c>
      <c r="K340" s="28">
        <f>'Reference Score Calculation'!U332</f>
        <v>222</v>
      </c>
      <c r="L340" s="112">
        <f>'Reference Score Calculation'!X332</f>
        <v>4.4952380952380953</v>
      </c>
      <c r="M340" s="13">
        <f>入學要求!Z341</f>
        <v>0</v>
      </c>
    </row>
    <row r="341" spans="1:13">
      <c r="A341" s="13" t="str">
        <f>'Reference Score Calculation'!A333</f>
        <v>JS9019</v>
      </c>
      <c r="B341" s="13" t="str">
        <f>'Reference Score Calculation'!B333</f>
        <v>HKMU</v>
      </c>
      <c r="C341" s="13" t="str">
        <f>'Reference Score Calculation'!D333</f>
        <v>英語及文化榮譽文學士</v>
      </c>
      <c r="D341" s="13" t="str">
        <f>'Reference Score Calculation'!R333</f>
        <v>BA(Hons) EngLang&amp;Cult</v>
      </c>
      <c r="E341" s="13" t="str">
        <f>'Reference Score Calculation'!E333</f>
        <v>Best 5</v>
      </c>
      <c r="F341" s="20" t="str">
        <f>'Reference Score Calculation'!G333</f>
        <v>/</v>
      </c>
      <c r="G341" s="20">
        <f>'Reference Score Calculation'!H333</f>
        <v>15</v>
      </c>
      <c r="H341" s="20">
        <f>'Reference Score Calculation'!I333</f>
        <v>14</v>
      </c>
      <c r="I341" s="20">
        <f>計分版!J356</f>
        <v>3.9500000000000006E-9</v>
      </c>
      <c r="J341" s="13">
        <f>'Reference Score Calculation'!T333</f>
        <v>20</v>
      </c>
      <c r="K341" s="28">
        <f>'Reference Score Calculation'!U333</f>
        <v>53</v>
      </c>
      <c r="L341" s="112">
        <f>'Reference Score Calculation'!X333</f>
        <v>7.7037037037037033</v>
      </c>
      <c r="M341" s="13">
        <f>入學要求!Z342</f>
        <v>0</v>
      </c>
    </row>
    <row r="342" spans="1:13">
      <c r="A342" s="13" t="str">
        <f>'Reference Score Calculation'!A334</f>
        <v>JS9220</v>
      </c>
      <c r="B342" s="13" t="str">
        <f>'Reference Score Calculation'!B334</f>
        <v>HKMU</v>
      </c>
      <c r="C342" s="13" t="str">
        <f>'Reference Score Calculation'!D334</f>
        <v>專業會計榮譽工商管理學士</v>
      </c>
      <c r="D342" s="13" t="str">
        <f>'Reference Score Calculation'!R334</f>
        <v>BBA(Hons) Pro Acct</v>
      </c>
      <c r="E342" s="13" t="str">
        <f>'Reference Score Calculation'!E334</f>
        <v>Best 5</v>
      </c>
      <c r="F342" s="20" t="str">
        <f>'Reference Score Calculation'!G334</f>
        <v>/</v>
      </c>
      <c r="G342" s="20">
        <f>'Reference Score Calculation'!H334</f>
        <v>17</v>
      </c>
      <c r="H342" s="20">
        <f>'Reference Score Calculation'!I334</f>
        <v>17</v>
      </c>
      <c r="I342" s="20">
        <f>計分版!J357</f>
        <v>3.9500000000000006E-9</v>
      </c>
      <c r="J342" s="13">
        <f>'Reference Score Calculation'!T334</f>
        <v>40</v>
      </c>
      <c r="K342" s="28">
        <f>'Reference Score Calculation'!U334</f>
        <v>96</v>
      </c>
      <c r="L342" s="112">
        <f>'Reference Score Calculation'!X334</f>
        <v>5.1454545454545455</v>
      </c>
      <c r="M342" s="13">
        <f>入學要求!Z343</f>
        <v>0</v>
      </c>
    </row>
    <row r="343" spans="1:13">
      <c r="A343" s="13" t="str">
        <f>'Reference Score Calculation'!A335</f>
        <v>JS9223</v>
      </c>
      <c r="B343" s="13" t="str">
        <f>'Reference Score Calculation'!B335</f>
        <v>HKMU</v>
      </c>
      <c r="C343" s="13" t="str">
        <f>'Reference Score Calculation'!D335</f>
        <v>航空服務管理榮譽工商管理學士</v>
      </c>
      <c r="D343" s="13" t="str">
        <f>'Reference Score Calculation'!R335</f>
        <v>BBA(Hons)AviServMgt</v>
      </c>
      <c r="E343" s="13" t="str">
        <f>'Reference Score Calculation'!E335</f>
        <v>Best 5</v>
      </c>
      <c r="F343" s="20" t="str">
        <f>'Reference Score Calculation'!G335</f>
        <v>/</v>
      </c>
      <c r="G343" s="20">
        <f>'Reference Score Calculation'!H335</f>
        <v>16</v>
      </c>
      <c r="H343" s="20">
        <f>'Reference Score Calculation'!I335</f>
        <v>16</v>
      </c>
      <c r="I343" s="20">
        <f>計分版!J358</f>
        <v>3.9500000000000006E-9</v>
      </c>
      <c r="J343" s="13">
        <f>'Reference Score Calculation'!T335</f>
        <v>20</v>
      </c>
      <c r="K343" s="28">
        <f>'Reference Score Calculation'!U335</f>
        <v>34</v>
      </c>
      <c r="L343" s="112">
        <f>'Reference Score Calculation'!X335</f>
        <v>8.25</v>
      </c>
      <c r="M343" s="13">
        <f>入學要求!Z344</f>
        <v>0</v>
      </c>
    </row>
    <row r="344" spans="1:13">
      <c r="A344" s="13" t="str">
        <f>'Reference Score Calculation'!A336</f>
        <v>JS9230</v>
      </c>
      <c r="B344" s="13" t="str">
        <f>'Reference Score Calculation'!B336</f>
        <v>HKMU</v>
      </c>
      <c r="C344" s="13" t="str">
        <f>'Reference Score Calculation'!D336</f>
        <v>商業管理學榮譽工商管理學士</v>
      </c>
      <c r="D344" s="13" t="str">
        <f>'Reference Score Calculation'!R336</f>
        <v>BBA(Hons) Business Mgt</v>
      </c>
      <c r="E344" s="13" t="str">
        <f>'Reference Score Calculation'!E336</f>
        <v>Best 5</v>
      </c>
      <c r="F344" s="20" t="str">
        <f>'Reference Score Calculation'!G336</f>
        <v>/</v>
      </c>
      <c r="G344" s="20">
        <f>'Reference Score Calculation'!H336</f>
        <v>16</v>
      </c>
      <c r="H344" s="20">
        <f>'Reference Score Calculation'!I336</f>
        <v>15</v>
      </c>
      <c r="I344" s="20">
        <f>計分版!J359</f>
        <v>3.9500000000000006E-9</v>
      </c>
      <c r="J344" s="13">
        <f>'Reference Score Calculation'!T336</f>
        <v>40</v>
      </c>
      <c r="K344" s="28">
        <f>'Reference Score Calculation'!U336</f>
        <v>111</v>
      </c>
      <c r="L344" s="112">
        <f>'Reference Score Calculation'!X336</f>
        <v>7.193548387096774</v>
      </c>
      <c r="M344" s="13">
        <f>入學要求!Z345</f>
        <v>0</v>
      </c>
    </row>
    <row r="345" spans="1:13">
      <c r="A345" s="13" t="str">
        <f>'Reference Score Calculation'!A337</f>
        <v>JS9240</v>
      </c>
      <c r="B345" s="13" t="str">
        <f>'Reference Score Calculation'!B337</f>
        <v>HKMU</v>
      </c>
      <c r="C345" s="13" t="str">
        <f>'Reference Score Calculation'!D337</f>
        <v>環球商業及市場學榮譽工商管理學士</v>
      </c>
      <c r="D345" s="13" t="str">
        <f>'Reference Score Calculation'!R337</f>
        <v>BBA(Hons)GB &amp; Mktg</v>
      </c>
      <c r="E345" s="13" t="str">
        <f>'Reference Score Calculation'!E337</f>
        <v>Best 5</v>
      </c>
      <c r="F345" s="20" t="str">
        <f>'Reference Score Calculation'!G337</f>
        <v>/</v>
      </c>
      <c r="G345" s="20">
        <f>'Reference Score Calculation'!H337</f>
        <v>17</v>
      </c>
      <c r="H345" s="20">
        <f>'Reference Score Calculation'!I337</f>
        <v>17</v>
      </c>
      <c r="I345" s="20">
        <f>計分版!J360</f>
        <v>3.9500000000000006E-9</v>
      </c>
      <c r="J345" s="13">
        <f>'Reference Score Calculation'!T337</f>
        <v>10</v>
      </c>
      <c r="K345" s="28">
        <f>'Reference Score Calculation'!U337</f>
        <v>92</v>
      </c>
      <c r="L345" s="112">
        <f>'Reference Score Calculation'!X337</f>
        <v>4.2380952380952381</v>
      </c>
      <c r="M345" s="13">
        <f>入學要求!Z346</f>
        <v>0</v>
      </c>
    </row>
    <row r="346" spans="1:13">
      <c r="A346" s="13" t="str">
        <f>'Reference Score Calculation'!A338</f>
        <v>JS9262</v>
      </c>
      <c r="B346" s="13" t="str">
        <f>'Reference Score Calculation'!B338</f>
        <v>HKMU</v>
      </c>
      <c r="C346" s="13" t="str">
        <f>'Reference Score Calculation'!D338</f>
        <v>人力資源管理學榮譽工商管理學士</v>
      </c>
      <c r="D346" s="13" t="str">
        <f>'Reference Score Calculation'!R338</f>
        <v>BBA(Hons)HRM</v>
      </c>
      <c r="E346" s="13" t="str">
        <f>'Reference Score Calculation'!E338</f>
        <v>Best 5</v>
      </c>
      <c r="F346" s="20" t="str">
        <f>'Reference Score Calculation'!G338</f>
        <v>/</v>
      </c>
      <c r="G346" s="20">
        <f>'Reference Score Calculation'!H338</f>
        <v>16</v>
      </c>
      <c r="H346" s="20">
        <f>'Reference Score Calculation'!I338</f>
        <v>15</v>
      </c>
      <c r="I346" s="20">
        <f>計分版!J361</f>
        <v>3.9500000000000006E-9</v>
      </c>
      <c r="J346" s="13">
        <f>'Reference Score Calculation'!T338</f>
        <v>20</v>
      </c>
      <c r="K346" s="28">
        <f>'Reference Score Calculation'!U338</f>
        <v>29</v>
      </c>
      <c r="L346" s="112">
        <f>'Reference Score Calculation'!X338</f>
        <v>11.8</v>
      </c>
      <c r="M346" s="13">
        <f>入學要求!Z347</f>
        <v>0</v>
      </c>
    </row>
    <row r="347" spans="1:13">
      <c r="A347" s="13" t="str">
        <f>'Reference Score Calculation'!A339</f>
        <v>JS9266</v>
      </c>
      <c r="B347" s="13" t="str">
        <f>'Reference Score Calculation'!B339</f>
        <v>HKMU</v>
      </c>
      <c r="C347" s="13" t="str">
        <f>'Reference Score Calculation'!D339</f>
        <v>市場學榮譽工商管理學士</v>
      </c>
      <c r="D347" s="13" t="str">
        <f>'Reference Score Calculation'!R339</f>
        <v>BBA(Hons)Mkt</v>
      </c>
      <c r="E347" s="13" t="str">
        <f>'Reference Score Calculation'!E339</f>
        <v>Best 5</v>
      </c>
      <c r="F347" s="20" t="str">
        <f>'Reference Score Calculation'!G339</f>
        <v>/</v>
      </c>
      <c r="G347" s="20">
        <f>'Reference Score Calculation'!H339</f>
        <v>16</v>
      </c>
      <c r="H347" s="20">
        <f>'Reference Score Calculation'!I339</f>
        <v>16</v>
      </c>
      <c r="I347" s="20">
        <f>計分版!J362</f>
        <v>3.9500000000000006E-9</v>
      </c>
      <c r="J347" s="13">
        <f>'Reference Score Calculation'!T339</f>
        <v>20</v>
      </c>
      <c r="K347" s="28">
        <f>'Reference Score Calculation'!U339</f>
        <v>63</v>
      </c>
      <c r="L347" s="112">
        <f>'Reference Score Calculation'!X339</f>
        <v>5.21875</v>
      </c>
      <c r="M347" s="13">
        <f>入學要求!Z348</f>
        <v>0</v>
      </c>
    </row>
    <row r="348" spans="1:13">
      <c r="A348" s="13" t="str">
        <f>'Reference Score Calculation'!A340</f>
        <v>JS9280</v>
      </c>
      <c r="B348" s="13" t="str">
        <f>'Reference Score Calculation'!B340</f>
        <v>HKMU</v>
      </c>
      <c r="C348" s="13" t="str">
        <f>'Reference Score Calculation'!D340</f>
        <v>應用心理學榮譽學士，商業管理榮譽學士</v>
      </c>
      <c r="D348" s="13" t="str">
        <f>'Reference Score Calculation'!R340</f>
        <v>BAPH &amp; BBMH</v>
      </c>
      <c r="E348" s="13" t="str">
        <f>'Reference Score Calculation'!E340</f>
        <v>Best 5</v>
      </c>
      <c r="F348" s="20" t="str">
        <f>'Reference Score Calculation'!G340</f>
        <v>/</v>
      </c>
      <c r="G348" s="20">
        <f>'Reference Score Calculation'!H340</f>
        <v>16</v>
      </c>
      <c r="H348" s="20">
        <f>'Reference Score Calculation'!I340</f>
        <v>15</v>
      </c>
      <c r="I348" s="20">
        <f>計分版!J363</f>
        <v>3.9500000000000006E-9</v>
      </c>
      <c r="J348" s="13">
        <f>'Reference Score Calculation'!T340</f>
        <v>25</v>
      </c>
      <c r="K348" s="28">
        <f>'Reference Score Calculation'!U340</f>
        <v>82</v>
      </c>
      <c r="L348" s="112">
        <f>'Reference Score Calculation'!X340</f>
        <v>7.666666666666667</v>
      </c>
      <c r="M348" s="13">
        <f>入學要求!Z349</f>
        <v>0</v>
      </c>
    </row>
    <row r="349" spans="1:13">
      <c r="A349" s="13" t="str">
        <f>'Reference Score Calculation'!A341</f>
        <v>JS9291</v>
      </c>
      <c r="B349" s="13" t="str">
        <f>'Reference Score Calculation'!B341</f>
        <v>HKMU</v>
      </c>
      <c r="C349" s="13" t="str">
        <f>'Reference Score Calculation'!D341</f>
        <v>酒店及可持續旅遊管理榮譽工商管理學士</v>
      </c>
      <c r="D349" s="13" t="str">
        <f>'Reference Score Calculation'!R341</f>
        <v>BBA(Hons)Hotel &amp;SustTour</v>
      </c>
      <c r="E349" s="13" t="str">
        <f>'Reference Score Calculation'!E341</f>
        <v>Best 5</v>
      </c>
      <c r="F349" s="20" t="str">
        <f>'Reference Score Calculation'!G341</f>
        <v>/</v>
      </c>
      <c r="G349" s="20">
        <f>'Reference Score Calculation'!H341</f>
        <v>15</v>
      </c>
      <c r="H349" s="20">
        <f>'Reference Score Calculation'!I341</f>
        <v>14</v>
      </c>
      <c r="I349" s="20">
        <f>計分版!J364</f>
        <v>3.9500000000000006E-9</v>
      </c>
      <c r="J349" s="13">
        <f>'Reference Score Calculation'!T341</f>
        <v>25</v>
      </c>
      <c r="K349" s="28">
        <f>'Reference Score Calculation'!U341</f>
        <v>81</v>
      </c>
      <c r="L349" s="112">
        <f>'Reference Score Calculation'!X341</f>
        <v>7.6226415094339623</v>
      </c>
      <c r="M349" s="13">
        <f>入學要求!Z350</f>
        <v>0</v>
      </c>
    </row>
    <row r="350" spans="1:13">
      <c r="A350" s="13" t="str">
        <f>'Reference Score Calculation'!A342</f>
        <v>JS9294</v>
      </c>
      <c r="B350" s="13" t="str">
        <f>'Reference Score Calculation'!B342</f>
        <v>HKMU</v>
      </c>
      <c r="C350" s="13" t="str">
        <f>'Reference Score Calculation'!D342</f>
        <v>運動及電競運動管理榮譽工商管理學士</v>
      </c>
      <c r="D350" s="13" t="str">
        <f>'Reference Score Calculation'!R342</f>
        <v>BBA(Hons) eSports Mgt</v>
      </c>
      <c r="E350" s="13" t="str">
        <f>'Reference Score Calculation'!E342</f>
        <v>Best 5</v>
      </c>
      <c r="F350" s="20" t="str">
        <f>'Reference Score Calculation'!G342</f>
        <v>/</v>
      </c>
      <c r="G350" s="20">
        <f>'Reference Score Calculation'!H342</f>
        <v>17</v>
      </c>
      <c r="H350" s="20">
        <f>'Reference Score Calculation'!I342</f>
        <v>16</v>
      </c>
      <c r="I350" s="20">
        <f>計分版!J365</f>
        <v>3.9500000000000006E-9</v>
      </c>
      <c r="J350" s="13">
        <f>'Reference Score Calculation'!T342</f>
        <v>25</v>
      </c>
      <c r="K350" s="28">
        <f>'Reference Score Calculation'!U342</f>
        <v>43</v>
      </c>
      <c r="L350" s="112">
        <f>'Reference Score Calculation'!X342</f>
        <v>14.619047619047619</v>
      </c>
      <c r="M350" s="13">
        <f>入學要求!Z351</f>
        <v>0</v>
      </c>
    </row>
    <row r="351" spans="1:13">
      <c r="A351" s="13" t="str">
        <f>'Reference Score Calculation'!A343</f>
        <v>JS9520</v>
      </c>
      <c r="B351" s="13" t="str">
        <f>'Reference Score Calculation'!B343</f>
        <v>HKMU</v>
      </c>
      <c r="C351" s="13" t="str">
        <f>'Reference Score Calculation'!D343</f>
        <v>教育榮譽學士（普通話及中文教育）及語言研究榮譽學士（漢語語言學研究）</v>
      </c>
      <c r="D351" s="13" t="str">
        <f>'Reference Score Calculation'!R343</f>
        <v>BEd&amp;BLang(Hons)Putonghua</v>
      </c>
      <c r="E351" s="13" t="str">
        <f>'Reference Score Calculation'!E343</f>
        <v>24年新科目</v>
      </c>
      <c r="F351" s="20" t="str">
        <f>'Reference Score Calculation'!G343</f>
        <v>/</v>
      </c>
      <c r="G351" s="20" t="str">
        <f>'Reference Score Calculation'!H343</f>
        <v>/</v>
      </c>
      <c r="H351" s="20" t="str">
        <f>'Reference Score Calculation'!I343</f>
        <v>/</v>
      </c>
      <c r="I351" s="20">
        <f>計分版!J366</f>
        <v>3.9500000000000006E-9</v>
      </c>
      <c r="J351" s="13">
        <f>'Reference Score Calculation'!T343</f>
        <v>35</v>
      </c>
      <c r="K351" s="28" t="str">
        <f>'Reference Score Calculation'!U343</f>
        <v>/</v>
      </c>
      <c r="L351" s="112" t="str">
        <f>'Reference Score Calculation'!X343</f>
        <v>新科目</v>
      </c>
      <c r="M351" s="13">
        <f>入學要求!Z352</f>
        <v>0</v>
      </c>
    </row>
    <row r="352" spans="1:13">
      <c r="A352" s="13" t="str">
        <f>'Reference Score Calculation'!A344</f>
        <v>JS9530</v>
      </c>
      <c r="B352" s="13" t="str">
        <f>'Reference Score Calculation'!B344</f>
        <v>HKMU</v>
      </c>
      <c r="C352" s="13" t="str">
        <f>'Reference Score Calculation'!D344</f>
        <v>英語教學榮譽教育學士及英語研究榮譽學士</v>
      </c>
      <c r="D352" s="13" t="str">
        <f>'Reference Score Calculation'!R344</f>
        <v>BEd(Hons)&amp;BEngLang(Hons)</v>
      </c>
      <c r="E352" s="13" t="str">
        <f>'Reference Score Calculation'!E344</f>
        <v>Best 5</v>
      </c>
      <c r="F352" s="20" t="str">
        <f>'Reference Score Calculation'!G344</f>
        <v>/</v>
      </c>
      <c r="G352" s="20">
        <f>'Reference Score Calculation'!H344</f>
        <v>21</v>
      </c>
      <c r="H352" s="20">
        <f>'Reference Score Calculation'!I344</f>
        <v>20</v>
      </c>
      <c r="I352" s="20">
        <f>計分版!J367</f>
        <v>3.9500000000000006E-9</v>
      </c>
      <c r="J352" s="13">
        <f>'Reference Score Calculation'!T344</f>
        <v>30</v>
      </c>
      <c r="K352" s="28">
        <f>'Reference Score Calculation'!U344</f>
        <v>47</v>
      </c>
      <c r="L352" s="112">
        <f>'Reference Score Calculation'!X344</f>
        <v>3.2820512820512819</v>
      </c>
      <c r="M352" s="13">
        <f>入學要求!Z353</f>
        <v>0</v>
      </c>
    </row>
    <row r="353" spans="1:13">
      <c r="A353" s="13" t="str">
        <f>'Reference Score Calculation'!A345</f>
        <v>JS9540</v>
      </c>
      <c r="B353" s="13" t="str">
        <f>'Reference Score Calculation'!B345</f>
        <v>HKMU</v>
      </c>
      <c r="C353" s="13" t="str">
        <f>'Reference Score Calculation'!D345</f>
        <v>英語研究榮譽學士</v>
      </c>
      <c r="D353" s="13" t="str">
        <f>'Reference Score Calculation'!R345</f>
        <v>BEng Lang (Hons)</v>
      </c>
      <c r="E353" s="13" t="str">
        <f>'Reference Score Calculation'!E345</f>
        <v>Best 5</v>
      </c>
      <c r="F353" s="20" t="str">
        <f>'Reference Score Calculation'!G345</f>
        <v>/</v>
      </c>
      <c r="G353" s="20">
        <f>'Reference Score Calculation'!H345</f>
        <v>21</v>
      </c>
      <c r="H353" s="20">
        <f>'Reference Score Calculation'!I345</f>
        <v>20</v>
      </c>
      <c r="I353" s="20">
        <f>計分版!J368</f>
        <v>3.9500000000000006E-9</v>
      </c>
      <c r="J353" s="13">
        <f>'Reference Score Calculation'!T345</f>
        <v>20</v>
      </c>
      <c r="K353" s="28">
        <f>'Reference Score Calculation'!U345</f>
        <v>39</v>
      </c>
      <c r="L353" s="112">
        <f>'Reference Score Calculation'!X345</f>
        <v>5.0714285714285712</v>
      </c>
      <c r="M353" s="13">
        <f>入學要求!Z354</f>
        <v>0</v>
      </c>
    </row>
    <row r="354" spans="1:13">
      <c r="A354" s="13" t="str">
        <f>'Reference Score Calculation'!A346</f>
        <v>JS9550</v>
      </c>
      <c r="B354" s="13" t="str">
        <f>'Reference Score Calculation'!B346</f>
        <v>HKMU</v>
      </c>
      <c r="C354" s="13" t="str">
        <f>'Reference Score Calculation'!D346</f>
        <v>語言研究榮譽學士（應用中國語言）</v>
      </c>
      <c r="D354" s="13" t="str">
        <f>'Reference Score Calculation'!R346</f>
        <v>BLang(Hons) Applied Chin</v>
      </c>
      <c r="E354" s="13" t="str">
        <f>'Reference Score Calculation'!E346</f>
        <v>Best 5</v>
      </c>
      <c r="F354" s="20" t="str">
        <f>'Reference Score Calculation'!G346</f>
        <v>/</v>
      </c>
      <c r="G354" s="20">
        <f>'Reference Score Calculation'!H346</f>
        <v>23</v>
      </c>
      <c r="H354" s="20">
        <f>'Reference Score Calculation'!I346</f>
        <v>23</v>
      </c>
      <c r="I354" s="20">
        <f>計分版!J369</f>
        <v>4.1499999999999999E-9</v>
      </c>
      <c r="J354" s="13">
        <f>'Reference Score Calculation'!T346</f>
        <v>20</v>
      </c>
      <c r="K354" s="28">
        <f>'Reference Score Calculation'!U346</f>
        <v>16</v>
      </c>
      <c r="L354" s="112">
        <f>'Reference Score Calculation'!X346</f>
        <v>12.4</v>
      </c>
      <c r="M354" s="13">
        <f>入學要求!Z355</f>
        <v>0</v>
      </c>
    </row>
    <row r="355" spans="1:13">
      <c r="A355" s="13" t="str">
        <f>'Reference Score Calculation'!A347</f>
        <v>JS9560</v>
      </c>
      <c r="B355" s="13" t="str">
        <f>'Reference Score Calculation'!B347</f>
        <v>HKMU</v>
      </c>
      <c r="C355" s="13" t="str">
        <f>'Reference Score Calculation'!D347</f>
        <v>教育榮譽學士（中國語文教學）及語言研究榮譽學士（應用中國語言）</v>
      </c>
      <c r="D355" s="13" t="str">
        <f>'Reference Score Calculation'!R347</f>
        <v>BEd(Hons)&amp;BLang(Hons)Chi</v>
      </c>
      <c r="E355" s="13" t="str">
        <f>'Reference Score Calculation'!E347</f>
        <v>Best 5</v>
      </c>
      <c r="F355" s="20" t="str">
        <f>'Reference Score Calculation'!G347</f>
        <v>/</v>
      </c>
      <c r="G355" s="20">
        <f>'Reference Score Calculation'!H347</f>
        <v>22</v>
      </c>
      <c r="H355" s="20">
        <f>'Reference Score Calculation'!I347</f>
        <v>21</v>
      </c>
      <c r="I355" s="20">
        <f>計分版!J370</f>
        <v>4.1499999999999999E-9</v>
      </c>
      <c r="J355" s="13">
        <f>'Reference Score Calculation'!T347</f>
        <v>35</v>
      </c>
      <c r="K355" s="28">
        <f>'Reference Score Calculation'!U347</f>
        <v>44</v>
      </c>
      <c r="L355" s="112">
        <f>'Reference Score Calculation'!X347</f>
        <v>4</v>
      </c>
      <c r="M355" s="13">
        <f>入學要求!Z356</f>
        <v>0</v>
      </c>
    </row>
    <row r="356" spans="1:13">
      <c r="A356" s="13" t="str">
        <f>'Reference Score Calculation'!A348</f>
        <v>JS9580</v>
      </c>
      <c r="B356" s="13" t="str">
        <f>'Reference Score Calculation'!B348</f>
        <v>HKMU</v>
      </c>
      <c r="C356" s="13" t="str">
        <f>'Reference Score Calculation'!D348</f>
        <v>教育榮譽學士（幼兒教育：領導及特殊教育需要）</v>
      </c>
      <c r="D356" s="13" t="str">
        <f>'Reference Score Calculation'!R348</f>
        <v>BEd(Hons)ECE-Leader&amp;SEN</v>
      </c>
      <c r="E356" s="13" t="str">
        <f>'Reference Score Calculation'!E348</f>
        <v>Best 5</v>
      </c>
      <c r="F356" s="20" t="str">
        <f>'Reference Score Calculation'!G348</f>
        <v>/</v>
      </c>
      <c r="G356" s="20">
        <f>'Reference Score Calculation'!H348</f>
        <v>16</v>
      </c>
      <c r="H356" s="20">
        <f>'Reference Score Calculation'!I348</f>
        <v>15</v>
      </c>
      <c r="I356" s="20">
        <f>計分版!J371</f>
        <v>3.9500000000000006E-9</v>
      </c>
      <c r="J356" s="13">
        <f>'Reference Score Calculation'!T348</f>
        <v>40</v>
      </c>
      <c r="K356" s="28">
        <f>'Reference Score Calculation'!U348</f>
        <v>43</v>
      </c>
      <c r="L356" s="112">
        <f>'Reference Score Calculation'!X348</f>
        <v>13.472222222222221</v>
      </c>
      <c r="M356" s="13">
        <f>入學要求!Z357</f>
        <v>0</v>
      </c>
    </row>
    <row r="357" spans="1:13">
      <c r="A357" s="13" t="str">
        <f>'Reference Score Calculation'!A349</f>
        <v>JS9719</v>
      </c>
      <c r="B357" s="13" t="str">
        <f>'Reference Score Calculation'!B349</f>
        <v>HKMU</v>
      </c>
      <c r="C357" s="13" t="str">
        <f>'Reference Score Calculation'!D349</f>
        <v>網路及電腦安全榮譽理學士</v>
      </c>
      <c r="D357" s="13" t="str">
        <f>'Reference Score Calculation'!R349</f>
        <v>BSc(Hons) Cyber&amp;ComSecy</v>
      </c>
      <c r="E357" s="13" t="str">
        <f>'Reference Score Calculation'!E349</f>
        <v>Best 5</v>
      </c>
      <c r="F357" s="20" t="str">
        <f>'Reference Score Calculation'!G349</f>
        <v>/</v>
      </c>
      <c r="G357" s="20">
        <f>'Reference Score Calculation'!H349</f>
        <v>15</v>
      </c>
      <c r="H357" s="20">
        <f>'Reference Score Calculation'!I349</f>
        <v>14</v>
      </c>
      <c r="I357" s="20">
        <f>計分版!J372</f>
        <v>3.9500000000000006E-9</v>
      </c>
      <c r="J357" s="13">
        <f>'Reference Score Calculation'!T349</f>
        <v>30</v>
      </c>
      <c r="K357" s="28">
        <f>'Reference Score Calculation'!U349</f>
        <v>51</v>
      </c>
      <c r="L357" s="112">
        <f>'Reference Score Calculation'!X349</f>
        <v>14.25925925925926</v>
      </c>
      <c r="M357" s="13">
        <f>入學要求!Z358</f>
        <v>0</v>
      </c>
    </row>
    <row r="358" spans="1:13">
      <c r="A358" s="13" t="str">
        <f>'Reference Score Calculation'!A350</f>
        <v>JS9720</v>
      </c>
      <c r="B358" s="13" t="str">
        <f>'Reference Score Calculation'!B350</f>
        <v>HKMU</v>
      </c>
      <c r="C358" s="13" t="str">
        <f>'Reference Score Calculation'!D350</f>
        <v>電子及電腦工程學榮譽工學士</v>
      </c>
      <c r="D358" s="13" t="str">
        <f>'Reference Score Calculation'!R350</f>
        <v>BEng(Hons)Elec &amp; CompEng</v>
      </c>
      <c r="E358" s="13" t="str">
        <f>'Reference Score Calculation'!E350</f>
        <v>Best 5</v>
      </c>
      <c r="F358" s="20" t="str">
        <f>'Reference Score Calculation'!G350</f>
        <v>/</v>
      </c>
      <c r="G358" s="20">
        <f>'Reference Score Calculation'!H350</f>
        <v>16</v>
      </c>
      <c r="H358" s="20">
        <f>'Reference Score Calculation'!I350</f>
        <v>16</v>
      </c>
      <c r="I358" s="20">
        <f>計分版!J373</f>
        <v>3.9500000000000006E-9</v>
      </c>
      <c r="J358" s="13">
        <f>'Reference Score Calculation'!T350</f>
        <v>30</v>
      </c>
      <c r="K358" s="28">
        <f>'Reference Score Calculation'!U350</f>
        <v>65</v>
      </c>
      <c r="L358" s="112">
        <f>'Reference Score Calculation'!X350</f>
        <v>6.8484848484848486</v>
      </c>
      <c r="M358" s="13">
        <f>入學要求!Z359</f>
        <v>0</v>
      </c>
    </row>
    <row r="359" spans="1:13">
      <c r="A359" s="13" t="str">
        <f>'Reference Score Calculation'!A351</f>
        <v>JS9731</v>
      </c>
      <c r="B359" s="13" t="str">
        <f>'Reference Score Calculation'!B351</f>
        <v>HKMU</v>
      </c>
      <c r="C359" s="13" t="str">
        <f>'Reference Score Calculation'!D351</f>
        <v>環境科學與綠色管理榮譽理學士</v>
      </c>
      <c r="D359" s="13" t="str">
        <f>'Reference Score Calculation'!R351</f>
        <v>BSc(Hons)EnvSci&amp;GreenMgt</v>
      </c>
      <c r="E359" s="13" t="str">
        <f>'Reference Score Calculation'!E351</f>
        <v>Best 5</v>
      </c>
      <c r="F359" s="20" t="str">
        <f>'Reference Score Calculation'!G351</f>
        <v>/</v>
      </c>
      <c r="G359" s="20">
        <f>'Reference Score Calculation'!H351</f>
        <v>17</v>
      </c>
      <c r="H359" s="20">
        <f>'Reference Score Calculation'!I351</f>
        <v>15</v>
      </c>
      <c r="I359" s="20">
        <f>計分版!J374</f>
        <v>3.9500000000000006E-9</v>
      </c>
      <c r="J359" s="13">
        <f>'Reference Score Calculation'!T351</f>
        <v>35</v>
      </c>
      <c r="K359" s="28">
        <f>'Reference Score Calculation'!U351</f>
        <v>39</v>
      </c>
      <c r="L359" s="112">
        <f>'Reference Score Calculation'!X351</f>
        <v>5.612903225806452</v>
      </c>
      <c r="M359" s="13">
        <f>入學要求!Z360</f>
        <v>0</v>
      </c>
    </row>
    <row r="360" spans="1:13">
      <c r="A360" s="13" t="str">
        <f>'Reference Score Calculation'!A352</f>
        <v>JS9732</v>
      </c>
      <c r="B360" s="13" t="str">
        <f>'Reference Score Calculation'!B352</f>
        <v>HKMU</v>
      </c>
      <c r="C360" s="13" t="str">
        <f>'Reference Score Calculation'!D352</f>
        <v>生命科學榮譽理學士</v>
      </c>
      <c r="D360" s="13" t="str">
        <f>'Reference Score Calculation'!R352</f>
        <v>BSc(Hons) LifeSci</v>
      </c>
      <c r="E360" s="13" t="str">
        <f>'Reference Score Calculation'!E352</f>
        <v>Best 5</v>
      </c>
      <c r="F360" s="20" t="str">
        <f>'Reference Score Calculation'!G352</f>
        <v>/</v>
      </c>
      <c r="G360" s="20">
        <f>'Reference Score Calculation'!H352</f>
        <v>17</v>
      </c>
      <c r="H360" s="20">
        <f>'Reference Score Calculation'!I352</f>
        <v>16</v>
      </c>
      <c r="I360" s="20">
        <f>計分版!J375</f>
        <v>3.9500000000000006E-9</v>
      </c>
      <c r="J360" s="13">
        <f>'Reference Score Calculation'!T352</f>
        <v>30</v>
      </c>
      <c r="K360" s="28">
        <f>'Reference Score Calculation'!U352</f>
        <v>83</v>
      </c>
      <c r="L360" s="112">
        <f>'Reference Score Calculation'!X352</f>
        <v>5.1818181818181817</v>
      </c>
      <c r="M360" s="13">
        <f>入學要求!Z361</f>
        <v>0</v>
      </c>
    </row>
    <row r="361" spans="1:13">
      <c r="A361" s="13" t="str">
        <f>'Reference Score Calculation'!A353</f>
        <v>JS9733</v>
      </c>
      <c r="B361" s="13" t="str">
        <f>'Reference Score Calculation'!B353</f>
        <v>HKMU</v>
      </c>
      <c r="C361" s="13" t="str">
        <f>'Reference Score Calculation'!D353</f>
        <v>科學（ＳＴＥＭ）榮譽理學士</v>
      </c>
      <c r="D361" s="13" t="str">
        <f>'Reference Score Calculation'!R353</f>
        <v>BSc(Hons)Science(STEM)</v>
      </c>
      <c r="E361" s="13" t="str">
        <f>'Reference Score Calculation'!E353</f>
        <v>Best 5</v>
      </c>
      <c r="F361" s="20" t="str">
        <f>'Reference Score Calculation'!G353</f>
        <v>/</v>
      </c>
      <c r="G361" s="20">
        <f>'Reference Score Calculation'!H353</f>
        <v>16</v>
      </c>
      <c r="H361" s="20">
        <f>'Reference Score Calculation'!I353</f>
        <v>16</v>
      </c>
      <c r="I361" s="20">
        <f>計分版!J376</f>
        <v>3.9500000000000006E-9</v>
      </c>
      <c r="J361" s="13">
        <f>'Reference Score Calculation'!T353</f>
        <v>30</v>
      </c>
      <c r="K361" s="28">
        <f>'Reference Score Calculation'!U353</f>
        <v>11</v>
      </c>
      <c r="L361" s="112">
        <f>'Reference Score Calculation'!X353</f>
        <v>11.8</v>
      </c>
      <c r="M361" s="13">
        <f>入學要求!Z362</f>
        <v>0</v>
      </c>
    </row>
    <row r="362" spans="1:13">
      <c r="D362" s="13"/>
      <c r="K362" s="28"/>
    </row>
    <row r="363" spans="1:13">
      <c r="D363" s="13"/>
      <c r="K363" s="28"/>
    </row>
    <row r="364" spans="1:13">
      <c r="A364" s="13" t="str">
        <f>'Reference Score Calculation'!A356</f>
        <v>JSSA01</v>
      </c>
      <c r="B364" s="13" t="str">
        <f>'Reference Score Calculation'!B356</f>
        <v>SSSDP</v>
      </c>
      <c r="C364" s="13" t="str">
        <f>'Reference Score Calculation'!D356</f>
        <v>護理學（榮譽）學士</v>
      </c>
      <c r="D364" s="13" t="str">
        <f>'Reference Score Calculation'!R356</f>
        <v>BN (Hons)</v>
      </c>
      <c r="E364" s="13" t="str">
        <f>'Reference Score Calculation'!E356</f>
        <v>Best 5</v>
      </c>
      <c r="F364" s="20" t="str">
        <f>'Reference Score Calculation'!G356</f>
        <v>/</v>
      </c>
      <c r="G364" s="20">
        <f>'Reference Score Calculation'!H356</f>
        <v>16</v>
      </c>
      <c r="H364" s="20" t="str">
        <f>'Reference Score Calculation'!I356</f>
        <v>/</v>
      </c>
      <c r="I364" s="20">
        <f>計分版!J379</f>
        <v>3.3999999999999998E-9</v>
      </c>
      <c r="J364" s="13">
        <f>'Reference Score Calculation'!T356</f>
        <v>640</v>
      </c>
      <c r="K364" s="28">
        <f>'Reference Score Calculation'!U356</f>
        <v>669</v>
      </c>
      <c r="L364" s="112">
        <f>'Reference Score Calculation'!X356</f>
        <v>4.8528864059590315</v>
      </c>
      <c r="M364" s="13">
        <f>入學要求!Z365</f>
        <v>0</v>
      </c>
    </row>
    <row r="365" spans="1:13">
      <c r="A365" s="13" t="str">
        <f>'Reference Score Calculation'!A357</f>
        <v>JSSA02</v>
      </c>
      <c r="B365" s="13" t="str">
        <f>'Reference Score Calculation'!B357</f>
        <v>SSSDP</v>
      </c>
      <c r="C365" s="13" t="str">
        <f>'Reference Score Calculation'!D357</f>
        <v>數碼娛樂科技（榮譽）理學士</v>
      </c>
      <c r="D365" s="13" t="str">
        <f>'Reference Score Calculation'!R357</f>
        <v>BSDET (Hons)</v>
      </c>
      <c r="E365" s="13" t="str">
        <f>'Reference Score Calculation'!E357</f>
        <v>Best 5</v>
      </c>
      <c r="F365" s="20" t="str">
        <f>'Reference Score Calculation'!G357</f>
        <v>/</v>
      </c>
      <c r="G365" s="20">
        <f>'Reference Score Calculation'!H357</f>
        <v>14</v>
      </c>
      <c r="H365" s="20" t="str">
        <f>'Reference Score Calculation'!I357</f>
        <v>/</v>
      </c>
      <c r="I365" s="20">
        <f>計分版!J380</f>
        <v>3.4999999999999999E-9</v>
      </c>
      <c r="J365" s="13">
        <f>'Reference Score Calculation'!T357</f>
        <v>20</v>
      </c>
      <c r="K365" s="28">
        <f>'Reference Score Calculation'!U357</f>
        <v>22</v>
      </c>
      <c r="L365" s="112">
        <f>'Reference Score Calculation'!X357</f>
        <v>12.333333333333334</v>
      </c>
      <c r="M365" s="13">
        <f>入學要求!Z366</f>
        <v>0</v>
      </c>
    </row>
    <row r="366" spans="1:13">
      <c r="A366" s="13" t="str">
        <f>'Reference Score Calculation'!A358</f>
        <v>JSSA03</v>
      </c>
      <c r="B366" s="13" t="str">
        <f>'Reference Score Calculation'!B358</f>
        <v>SSSDP</v>
      </c>
      <c r="C366" s="13" t="str">
        <f>'Reference Score Calculation'!D358</f>
        <v>物理治療學（榮譽）理學士</v>
      </c>
      <c r="D366" s="13" t="str">
        <f>'Reference Score Calculation'!R358</f>
        <v>BSPT (Hons)</v>
      </c>
      <c r="E366" s="13" t="str">
        <f>'Reference Score Calculation'!E358</f>
        <v>Best 5</v>
      </c>
      <c r="F366" s="20" t="str">
        <f>'Reference Score Calculation'!G358</f>
        <v>/</v>
      </c>
      <c r="G366" s="20">
        <f>'Reference Score Calculation'!H358</f>
        <v>21</v>
      </c>
      <c r="H366" s="20" t="str">
        <f>'Reference Score Calculation'!I358</f>
        <v>/</v>
      </c>
      <c r="I366" s="20">
        <f>計分版!J381</f>
        <v>3.3999999999999998E-9</v>
      </c>
      <c r="J366" s="13">
        <f>'Reference Score Calculation'!T358</f>
        <v>60</v>
      </c>
      <c r="K366" s="28">
        <f>'Reference Score Calculation'!U358</f>
        <v>60</v>
      </c>
      <c r="L366" s="112">
        <f>'Reference Score Calculation'!X358</f>
        <v>11.05</v>
      </c>
      <c r="M366" s="13">
        <f>入學要求!Z367</f>
        <v>0</v>
      </c>
    </row>
    <row r="367" spans="1:13">
      <c r="A367" s="13" t="str">
        <f>'Reference Score Calculation'!A359</f>
        <v>JSSA04</v>
      </c>
      <c r="B367" s="13" t="str">
        <f>'Reference Score Calculation'!B359</f>
        <v>SSSDP</v>
      </c>
      <c r="C367" s="13" t="str">
        <f>'Reference Score Calculation'!D359</f>
        <v>人工智能（榮譽）理學士</v>
      </c>
      <c r="D367" s="13" t="str">
        <f>'Reference Score Calculation'!R359</f>
        <v>BSAI (Hons)</v>
      </c>
      <c r="E367" s="13" t="str">
        <f>'Reference Score Calculation'!E359</f>
        <v>Best 5</v>
      </c>
      <c r="F367" s="20" t="str">
        <f>'Reference Score Calculation'!G359</f>
        <v>/</v>
      </c>
      <c r="G367" s="20">
        <f>'Reference Score Calculation'!H359</f>
        <v>16</v>
      </c>
      <c r="H367" s="20" t="str">
        <f>'Reference Score Calculation'!I359</f>
        <v>/</v>
      </c>
      <c r="I367" s="20">
        <f>計分版!J382</f>
        <v>3.4999999999999999E-9</v>
      </c>
      <c r="J367" s="13">
        <f>'Reference Score Calculation'!T359</f>
        <v>20</v>
      </c>
      <c r="K367" s="28">
        <f>'Reference Score Calculation'!U359</f>
        <v>21</v>
      </c>
      <c r="L367" s="112">
        <f>'Reference Score Calculation'!X359</f>
        <v>16.416666666666668</v>
      </c>
      <c r="M367" s="13">
        <f>入學要求!Z368</f>
        <v>0</v>
      </c>
    </row>
    <row r="368" spans="1:13">
      <c r="A368" s="13" t="str">
        <f>'Reference Score Calculation'!A360</f>
        <v>JSSA05</v>
      </c>
      <c r="B368" s="13" t="str">
        <f>'Reference Score Calculation'!B360</f>
        <v>SSSDP</v>
      </c>
      <c r="C368" s="13" t="str">
        <f>'Reference Score Calculation'!D360</f>
        <v>翻譯科技（榮譽）文學士</v>
      </c>
      <c r="D368" s="13" t="str">
        <f>'Reference Score Calculation'!R360</f>
        <v>BATT (Hons)</v>
      </c>
      <c r="E368" s="13" t="str">
        <f>'Reference Score Calculation'!E360</f>
        <v>Best 5</v>
      </c>
      <c r="F368" s="20" t="str">
        <f>'Reference Score Calculation'!G360</f>
        <v>/</v>
      </c>
      <c r="G368" s="20">
        <f>'Reference Score Calculation'!H360</f>
        <v>17</v>
      </c>
      <c r="H368" s="20" t="str">
        <f>'Reference Score Calculation'!I360</f>
        <v>/</v>
      </c>
      <c r="I368" s="20">
        <f>計分版!J383</f>
        <v>3.4999999999999999E-9</v>
      </c>
      <c r="J368" s="13">
        <f>'Reference Score Calculation'!T360</f>
        <v>10</v>
      </c>
      <c r="K368" s="28">
        <f>'Reference Score Calculation'!U360</f>
        <v>18</v>
      </c>
      <c r="L368" s="112">
        <f>'Reference Score Calculation'!X360</f>
        <v>5.4285714285714288</v>
      </c>
      <c r="M368" s="13">
        <f>入學要求!Z369</f>
        <v>0</v>
      </c>
    </row>
    <row r="369" spans="1:13">
      <c r="A369" s="13" t="str">
        <f>'Reference Score Calculation'!A361</f>
        <v>JSSA06</v>
      </c>
      <c r="B369" s="13" t="str">
        <f>'Reference Score Calculation'!B361</f>
        <v>SSSDP</v>
      </c>
      <c r="C369" s="13" t="str">
        <f>'Reference Score Calculation'!D361</f>
        <v>工商管理（榮譽）酒店及旅遊管理應用學士</v>
      </c>
      <c r="D369" s="13" t="str">
        <f>'Reference Score Calculation'!R361</f>
        <v>BBA-AHTM</v>
      </c>
      <c r="E369" s="13" t="str">
        <f>'Reference Score Calculation'!E361</f>
        <v>24年新科目</v>
      </c>
      <c r="F369" s="20" t="str">
        <f>'Reference Score Calculation'!G361</f>
        <v>/</v>
      </c>
      <c r="G369" s="20" t="str">
        <f>'Reference Score Calculation'!H361</f>
        <v>/</v>
      </c>
      <c r="H369" s="20" t="str">
        <f>'Reference Score Calculation'!I361</f>
        <v>/</v>
      </c>
      <c r="I369" s="20">
        <f>計分版!J384</f>
        <v>0</v>
      </c>
      <c r="J369" s="13">
        <f>'Reference Score Calculation'!T361</f>
        <v>15</v>
      </c>
      <c r="K369" s="28" t="str">
        <f>'Reference Score Calculation'!U361</f>
        <v>/</v>
      </c>
      <c r="L369" s="112" t="str">
        <f>'Reference Score Calculation'!X361</f>
        <v>新科目</v>
      </c>
      <c r="M369" s="13">
        <f>入學要求!Z370</f>
        <v>0</v>
      </c>
    </row>
    <row r="370" spans="1:13">
      <c r="A370" s="13" t="str">
        <f>'Reference Score Calculation'!A362</f>
        <v>JSSC02</v>
      </c>
      <c r="B370" s="13" t="str">
        <f>'Reference Score Calculation'!B362</f>
        <v>SSSDP</v>
      </c>
      <c r="C370" s="13" t="str">
        <f>'Reference Score Calculation'!D362</f>
        <v>建築學（榮譽）理學士</v>
      </c>
      <c r="D370" s="13" t="str">
        <f>'Reference Score Calculation'!R362</f>
        <v>B.Sc (Hons) in Arch</v>
      </c>
      <c r="E370" s="13" t="str">
        <f>'Reference Score Calculation'!E362</f>
        <v>4C1X</v>
      </c>
      <c r="F370" s="20">
        <f>'Reference Score Calculation'!G362</f>
        <v>19</v>
      </c>
      <c r="G370" s="20" t="str">
        <f>'Reference Score Calculation'!H362</f>
        <v>/</v>
      </c>
      <c r="H370" s="20">
        <f>'Reference Score Calculation'!I362</f>
        <v>17</v>
      </c>
      <c r="I370" s="20">
        <f>計分版!J385</f>
        <v>1.85E-9</v>
      </c>
      <c r="J370" s="13">
        <f>'Reference Score Calculation'!T362</f>
        <v>20</v>
      </c>
      <c r="K370" s="28">
        <f>'Reference Score Calculation'!U362</f>
        <v>15</v>
      </c>
      <c r="L370" s="112">
        <f>'Reference Score Calculation'!X362</f>
        <v>8.6666666666666661</v>
      </c>
      <c r="M370" s="13">
        <f>入學要求!Z371</f>
        <v>0</v>
      </c>
    </row>
    <row r="371" spans="1:13">
      <c r="A371" s="13" t="str">
        <f>'Reference Score Calculation'!A363</f>
        <v>JSSH01</v>
      </c>
      <c r="B371" s="13" t="str">
        <f>'Reference Score Calculation'!B363</f>
        <v>SSSDP</v>
      </c>
      <c r="C371" s="13" t="str">
        <f>'Reference Score Calculation'!D363</f>
        <v>供應鏈管理工商管理（榮譽）學士</v>
      </c>
      <c r="D371" s="13" t="str">
        <f>'Reference Score Calculation'!R363</f>
        <v>BBA-SCM</v>
      </c>
      <c r="E371" s="13" t="str">
        <f>'Reference Score Calculation'!E363</f>
        <v>4C1X</v>
      </c>
      <c r="F371" s="20" t="str">
        <f>'Reference Score Calculation'!G363</f>
        <v>/</v>
      </c>
      <c r="G371" s="20">
        <f>'Reference Score Calculation'!H363</f>
        <v>16.12</v>
      </c>
      <c r="H371" s="20" t="str">
        <f>'Reference Score Calculation'!I363</f>
        <v>/</v>
      </c>
      <c r="I371" s="20">
        <f>計分版!J386</f>
        <v>1.8E-9</v>
      </c>
      <c r="J371" s="13">
        <f>'Reference Score Calculation'!T363</f>
        <v>105</v>
      </c>
      <c r="K371" s="28">
        <f>'Reference Score Calculation'!U363</f>
        <v>198</v>
      </c>
      <c r="L371" s="112">
        <f>'Reference Score Calculation'!X363</f>
        <v>3.7241379310344827</v>
      </c>
      <c r="M371" s="13">
        <f>入學要求!Z372</f>
        <v>0</v>
      </c>
    </row>
    <row r="372" spans="1:13">
      <c r="A372" s="13" t="str">
        <f>'Reference Score Calculation'!A364</f>
        <v>JSSH02</v>
      </c>
      <c r="B372" s="13" t="str">
        <f>'Reference Score Calculation'!B364</f>
        <v>SSSDP</v>
      </c>
      <c r="C372" s="13" t="str">
        <f>'Reference Score Calculation'!D364</f>
        <v>精算及保險 （榮譽）理學士</v>
      </c>
      <c r="D372" s="13" t="str">
        <f>'Reference Score Calculation'!R364</f>
        <v>BSc-AIN</v>
      </c>
      <c r="E372" s="13" t="str">
        <f>'Reference Score Calculation'!E364</f>
        <v>4C1X</v>
      </c>
      <c r="F372" s="20" t="str">
        <f>'Reference Score Calculation'!G364</f>
        <v>/</v>
      </c>
      <c r="G372" s="20">
        <f>'Reference Score Calculation'!H364</f>
        <v>16.93</v>
      </c>
      <c r="H372" s="20" t="str">
        <f>'Reference Score Calculation'!I364</f>
        <v>/</v>
      </c>
      <c r="I372" s="20">
        <f>計分版!J387</f>
        <v>1.8E-9</v>
      </c>
      <c r="J372" s="13">
        <f>'Reference Score Calculation'!T364</f>
        <v>35</v>
      </c>
      <c r="K372" s="28">
        <f>'Reference Score Calculation'!U364</f>
        <v>36</v>
      </c>
      <c r="L372" s="112">
        <f>'Reference Score Calculation'!X364</f>
        <v>5.1538461538461542</v>
      </c>
      <c r="M372" s="13">
        <f>入學要求!Z373</f>
        <v>0</v>
      </c>
    </row>
    <row r="373" spans="1:13">
      <c r="A373" s="13" t="str">
        <f>'Reference Score Calculation'!A365</f>
        <v>JSSH03</v>
      </c>
      <c r="B373" s="13" t="str">
        <f>'Reference Score Calculation'!B365</f>
        <v>SSSDP</v>
      </c>
      <c r="C373" s="13" t="str">
        <f>'Reference Score Calculation'!D365</f>
        <v>計算機應用（榮譽）理學士</v>
      </c>
      <c r="D373" s="13" t="str">
        <f>'Reference Score Calculation'!R365</f>
        <v>BSc-AC</v>
      </c>
      <c r="E373" s="13" t="str">
        <f>'Reference Score Calculation'!E365</f>
        <v>4C1X</v>
      </c>
      <c r="F373" s="20" t="str">
        <f>'Reference Score Calculation'!G365</f>
        <v>/</v>
      </c>
      <c r="G373" s="20">
        <f>'Reference Score Calculation'!H365</f>
        <v>15.72</v>
      </c>
      <c r="H373" s="20" t="str">
        <f>'Reference Score Calculation'!I365</f>
        <v>/</v>
      </c>
      <c r="I373" s="20">
        <f>計分版!J388</f>
        <v>1.8E-9</v>
      </c>
      <c r="J373" s="13">
        <f>'Reference Score Calculation'!T365</f>
        <v>60</v>
      </c>
      <c r="K373" s="28">
        <f>'Reference Score Calculation'!U365</f>
        <v>44</v>
      </c>
      <c r="L373" s="112">
        <f>'Reference Score Calculation'!X365</f>
        <v>6.1951219512195124</v>
      </c>
      <c r="M373" s="13">
        <f>入學要求!Z374</f>
        <v>0</v>
      </c>
    </row>
    <row r="374" spans="1:13">
      <c r="A374" s="13" t="str">
        <f>'Reference Score Calculation'!A366</f>
        <v>JSSH04</v>
      </c>
      <c r="B374" s="13" t="str">
        <f>'Reference Score Calculation'!B366</f>
        <v>SSSDP</v>
      </c>
      <c r="C374" s="13" t="str">
        <f>'Reference Score Calculation'!D366</f>
        <v>數據科學及商業智能學（榮譽）理學士</v>
      </c>
      <c r="D374" s="13" t="str">
        <f>'Reference Score Calculation'!R366</f>
        <v>BSc-DSBI</v>
      </c>
      <c r="E374" s="13" t="str">
        <f>'Reference Score Calculation'!E366</f>
        <v>4C1X</v>
      </c>
      <c r="F374" s="20" t="str">
        <f>'Reference Score Calculation'!G366</f>
        <v>/</v>
      </c>
      <c r="G374" s="20">
        <f>'Reference Score Calculation'!H366</f>
        <v>15.92</v>
      </c>
      <c r="H374" s="20" t="str">
        <f>'Reference Score Calculation'!I366</f>
        <v>/</v>
      </c>
      <c r="I374" s="20">
        <f>計分版!J389</f>
        <v>1.8E-9</v>
      </c>
      <c r="J374" s="13">
        <f>'Reference Score Calculation'!T366</f>
        <v>70</v>
      </c>
      <c r="K374" s="28">
        <f>'Reference Score Calculation'!U366</f>
        <v>63</v>
      </c>
      <c r="L374" s="112">
        <f>'Reference Score Calculation'!X366</f>
        <v>4.34</v>
      </c>
      <c r="M374" s="13">
        <f>入學要求!Z375</f>
        <v>0</v>
      </c>
    </row>
    <row r="375" spans="1:13">
      <c r="A375" s="13" t="str">
        <f>'Reference Score Calculation'!A367</f>
        <v>JSSH05</v>
      </c>
      <c r="B375" s="13" t="str">
        <f>'Reference Score Calculation'!B367</f>
        <v>SSSDP</v>
      </c>
      <c r="C375" s="13" t="str">
        <f>'Reference Score Calculation'!D367</f>
        <v>管理科學與資訊管理（榮譽）學士</v>
      </c>
      <c r="D375" s="13" t="str">
        <f>'Reference Score Calculation'!R367</f>
        <v>BMSIM</v>
      </c>
      <c r="E375" s="13" t="str">
        <f>'Reference Score Calculation'!E367</f>
        <v>4C1X</v>
      </c>
      <c r="F375" s="20" t="str">
        <f>'Reference Score Calculation'!G367</f>
        <v>/</v>
      </c>
      <c r="G375" s="20">
        <f>'Reference Score Calculation'!H367</f>
        <v>16.55</v>
      </c>
      <c r="H375" s="20" t="str">
        <f>'Reference Score Calculation'!I367</f>
        <v>/</v>
      </c>
      <c r="I375" s="20">
        <f>計分版!J390</f>
        <v>1.8E-9</v>
      </c>
      <c r="J375" s="13">
        <f>'Reference Score Calculation'!T367</f>
        <v>65</v>
      </c>
      <c r="K375" s="28">
        <f>'Reference Score Calculation'!U367</f>
        <v>50</v>
      </c>
      <c r="L375" s="112">
        <f>'Reference Score Calculation'!X367</f>
        <v>6.161290322580645</v>
      </c>
      <c r="M375" s="13">
        <f>入學要求!Z376</f>
        <v>0</v>
      </c>
    </row>
    <row r="376" spans="1:13">
      <c r="A376" s="13" t="str">
        <f>'Reference Score Calculation'!A368</f>
        <v>JSSH06</v>
      </c>
      <c r="B376" s="13" t="str">
        <f>'Reference Score Calculation'!B368</f>
        <v>SSSDP</v>
      </c>
      <c r="C376" s="13" t="str">
        <f>'Reference Score Calculation'!D368</f>
        <v>藝術設計（榮譽）文學士</v>
      </c>
      <c r="D376" s="13" t="str">
        <f>'Reference Score Calculation'!R368</f>
        <v>BA-AD</v>
      </c>
      <c r="E376" s="13" t="str">
        <f>'Reference Score Calculation'!E368</f>
        <v>4C1X</v>
      </c>
      <c r="F376" s="20" t="str">
        <f>'Reference Score Calculation'!G368</f>
        <v>/</v>
      </c>
      <c r="G376" s="20">
        <f>'Reference Score Calculation'!H368</f>
        <v>15.48</v>
      </c>
      <c r="H376" s="20" t="str">
        <f>'Reference Score Calculation'!I368</f>
        <v>/</v>
      </c>
      <c r="I376" s="20">
        <f>計分版!J391</f>
        <v>1.8E-9</v>
      </c>
      <c r="J376" s="13">
        <f>'Reference Score Calculation'!T368</f>
        <v>40</v>
      </c>
      <c r="K376" s="28">
        <f>'Reference Score Calculation'!U368</f>
        <v>58</v>
      </c>
      <c r="L376" s="112">
        <f>'Reference Score Calculation'!X368</f>
        <v>9</v>
      </c>
      <c r="M376" s="13">
        <f>入學要求!Z377</f>
        <v>0</v>
      </c>
    </row>
    <row r="377" spans="1:13">
      <c r="A377" s="13" t="str">
        <f>'Reference Score Calculation'!A369</f>
        <v>JSST01</v>
      </c>
      <c r="B377" s="13" t="str">
        <f>'Reference Score Calculation'!B369</f>
        <v>SSSDP</v>
      </c>
      <c r="C377" s="13" t="str">
        <f>'Reference Score Calculation'!D369</f>
        <v>護理學（榮譽）健康科學學士</v>
      </c>
      <c r="D377" s="13" t="str">
        <f>'Reference Score Calculation'!R369</f>
        <v>BHSc(N)</v>
      </c>
      <c r="E377" s="13" t="str">
        <f>'Reference Score Calculation'!E369</f>
        <v>Best 5</v>
      </c>
      <c r="F377" s="20" t="str">
        <f>'Reference Score Calculation'!G369</f>
        <v>/</v>
      </c>
      <c r="G377" s="20">
        <f>'Reference Score Calculation'!H369</f>
        <v>17.3</v>
      </c>
      <c r="H377" s="20" t="str">
        <f>'Reference Score Calculation'!I369</f>
        <v>/</v>
      </c>
      <c r="I377" s="20">
        <f>計分版!J392</f>
        <v>3.3999999999999998E-9</v>
      </c>
      <c r="J377" s="13">
        <f>'Reference Score Calculation'!T369</f>
        <v>400</v>
      </c>
      <c r="K377" s="28">
        <f>'Reference Score Calculation'!U369</f>
        <v>555</v>
      </c>
      <c r="L377" s="112">
        <f>'Reference Score Calculation'!X369</f>
        <v>4.437641723356009</v>
      </c>
      <c r="M377" s="13">
        <f>入學要求!Z378</f>
        <v>0</v>
      </c>
    </row>
    <row r="378" spans="1:13">
      <c r="A378" s="13" t="str">
        <f>'Reference Score Calculation'!A370</f>
        <v>JSST02</v>
      </c>
      <c r="B378" s="13" t="str">
        <f>'Reference Score Calculation'!B370</f>
        <v>SSSDP</v>
      </c>
      <c r="C378" s="13" t="str">
        <f>'Reference Score Calculation'!D370</f>
        <v>醫療化驗科學（榮譽）理學士</v>
      </c>
      <c r="D378" s="13" t="str">
        <f>'Reference Score Calculation'!R370</f>
        <v>BSc(MLSc)</v>
      </c>
      <c r="E378" s="13" t="str">
        <f>'Reference Score Calculation'!E370</f>
        <v>Best 5</v>
      </c>
      <c r="F378" s="20" t="str">
        <f>'Reference Score Calculation'!G370</f>
        <v>/</v>
      </c>
      <c r="G378" s="20">
        <f>'Reference Score Calculation'!H370</f>
        <v>20.8</v>
      </c>
      <c r="H378" s="20" t="str">
        <f>'Reference Score Calculation'!I370</f>
        <v>/</v>
      </c>
      <c r="I378" s="20">
        <f>計分版!J393</f>
        <v>3.3999999999999998E-9</v>
      </c>
      <c r="J378" s="13">
        <f>'Reference Score Calculation'!T370</f>
        <v>45</v>
      </c>
      <c r="K378" s="28">
        <f>'Reference Score Calculation'!U370</f>
        <v>42</v>
      </c>
      <c r="L378" s="112">
        <f>'Reference Score Calculation'!X370</f>
        <v>7.9444444444444446</v>
      </c>
      <c r="M378" s="13">
        <f>入學要求!Z379</f>
        <v>0</v>
      </c>
    </row>
    <row r="379" spans="1:13">
      <c r="A379" s="13" t="str">
        <f>'Reference Score Calculation'!A371</f>
        <v>JSST03</v>
      </c>
      <c r="B379" s="13" t="str">
        <f>'Reference Score Calculation'!B371</f>
        <v>SSSDP</v>
      </c>
      <c r="C379" s="13" t="str">
        <f>'Reference Score Calculation'!D371</f>
        <v>放射治療學（榮譽）理學士</v>
      </c>
      <c r="D379" s="13" t="str">
        <f>'Reference Score Calculation'!R371</f>
        <v>BSc(RT)</v>
      </c>
      <c r="E379" s="13" t="str">
        <f>'Reference Score Calculation'!E371</f>
        <v>Best 5</v>
      </c>
      <c r="F379" s="20" t="str">
        <f>'Reference Score Calculation'!G371</f>
        <v>/</v>
      </c>
      <c r="G379" s="20">
        <f>'Reference Score Calculation'!H371</f>
        <v>24.4</v>
      </c>
      <c r="H379" s="20" t="str">
        <f>'Reference Score Calculation'!I371</f>
        <v>/</v>
      </c>
      <c r="I379" s="20">
        <f>計分版!J394</f>
        <v>3.3999999999999998E-9</v>
      </c>
      <c r="J379" s="13">
        <f>'Reference Score Calculation'!T371</f>
        <v>20</v>
      </c>
      <c r="K379" s="28">
        <f>'Reference Score Calculation'!U371</f>
        <v>21</v>
      </c>
      <c r="L379" s="112">
        <f>'Reference Score Calculation'!X371</f>
        <v>8</v>
      </c>
      <c r="M379" s="13">
        <f>入學要求!Z380</f>
        <v>0</v>
      </c>
    </row>
    <row r="380" spans="1:13">
      <c r="A380" s="13" t="str">
        <f>'Reference Score Calculation'!A372</f>
        <v>JSST04</v>
      </c>
      <c r="B380" s="13" t="str">
        <f>'Reference Score Calculation'!B372</f>
        <v>SSSDP</v>
      </c>
      <c r="C380" s="13" t="str">
        <f>'Reference Score Calculation'!D372</f>
        <v>職業治療學（榮譽）理學士</v>
      </c>
      <c r="D380" s="13" t="str">
        <f>'Reference Score Calculation'!R372</f>
        <v>BSc(OT)</v>
      </c>
      <c r="E380" s="13" t="str">
        <f>'Reference Score Calculation'!E372</f>
        <v>Best 5</v>
      </c>
      <c r="F380" s="20" t="str">
        <f>'Reference Score Calculation'!G372</f>
        <v>/</v>
      </c>
      <c r="G380" s="20">
        <f>'Reference Score Calculation'!H372</f>
        <v>21.7</v>
      </c>
      <c r="H380" s="20" t="str">
        <f>'Reference Score Calculation'!I372</f>
        <v>/</v>
      </c>
      <c r="I380" s="20">
        <f>計分版!J395</f>
        <v>3.3999999999999998E-9</v>
      </c>
      <c r="J380" s="13">
        <f>'Reference Score Calculation'!T372</f>
        <v>60</v>
      </c>
      <c r="K380" s="28">
        <f>'Reference Score Calculation'!U372</f>
        <v>59</v>
      </c>
      <c r="L380" s="112">
        <f>'Reference Score Calculation'!X372</f>
        <v>7.1525423728813555</v>
      </c>
      <c r="M380" s="13">
        <f>入學要求!Z381</f>
        <v>0</v>
      </c>
    </row>
    <row r="381" spans="1:13">
      <c r="A381" s="13" t="str">
        <f>'Reference Score Calculation'!A373</f>
        <v>JSST05</v>
      </c>
      <c r="B381" s="13" t="str">
        <f>'Reference Score Calculation'!B373</f>
        <v>SSSDP</v>
      </c>
      <c r="C381" s="13" t="str">
        <f>'Reference Score Calculation'!D373</f>
        <v>物理治療學（榮譽）理學士</v>
      </c>
      <c r="D381" s="13" t="str">
        <f>'Reference Score Calculation'!R373</f>
        <v>BSc(PT)</v>
      </c>
      <c r="E381" s="13" t="str">
        <f>'Reference Score Calculation'!E373</f>
        <v>Best 5</v>
      </c>
      <c r="F381" s="20" t="str">
        <f>'Reference Score Calculation'!G373</f>
        <v>/</v>
      </c>
      <c r="G381" s="20">
        <f>'Reference Score Calculation'!H373</f>
        <v>24.2</v>
      </c>
      <c r="H381" s="20" t="str">
        <f>'Reference Score Calculation'!I373</f>
        <v>/</v>
      </c>
      <c r="I381" s="20">
        <f>計分版!J396</f>
        <v>3.3999999999999998E-9</v>
      </c>
      <c r="J381" s="13">
        <f>'Reference Score Calculation'!T373</f>
        <v>60</v>
      </c>
      <c r="K381" s="28">
        <f>'Reference Score Calculation'!U373</f>
        <v>54</v>
      </c>
      <c r="L381" s="112">
        <f>'Reference Score Calculation'!X373</f>
        <v>9.42</v>
      </c>
      <c r="M381" s="13">
        <f>入學要求!Z382</f>
        <v>0</v>
      </c>
    </row>
    <row r="382" spans="1:13">
      <c r="A382" s="13" t="str">
        <f>'Reference Score Calculation'!A374</f>
        <v>JSST06</v>
      </c>
      <c r="B382" s="13" t="str">
        <f>'Reference Score Calculation'!B374</f>
        <v>SSSDP</v>
      </c>
      <c r="C382" s="13" t="str">
        <f>'Reference Score Calculation'!D374</f>
        <v>應用老年學（榮譽）理學士</v>
      </c>
      <c r="D382" s="13" t="str">
        <f>'Reference Score Calculation'!R374</f>
        <v>BSc(AG)</v>
      </c>
      <c r="E382" s="13" t="str">
        <f>'Reference Score Calculation'!E374</f>
        <v>Best 5</v>
      </c>
      <c r="F382" s="20" t="str">
        <f>'Reference Score Calculation'!G374</f>
        <v>/</v>
      </c>
      <c r="G382" s="20">
        <f>'Reference Score Calculation'!H374</f>
        <v>17.899999999999999</v>
      </c>
      <c r="H382" s="20" t="str">
        <f>'Reference Score Calculation'!I374</f>
        <v>/</v>
      </c>
      <c r="I382" s="20">
        <f>計分版!J397</f>
        <v>3.3999999999999998E-9</v>
      </c>
      <c r="J382" s="13">
        <f>'Reference Score Calculation'!T374</f>
        <v>40</v>
      </c>
      <c r="K382" s="28">
        <f>'Reference Score Calculation'!U374</f>
        <v>20</v>
      </c>
      <c r="L382" s="112">
        <f>'Reference Score Calculation'!X374</f>
        <v>7.333333333333333</v>
      </c>
      <c r="M382" s="13">
        <f>入學要求!Z383</f>
        <v>0</v>
      </c>
    </row>
    <row r="383" spans="1:13">
      <c r="A383" s="13" t="str">
        <f>'Reference Score Calculation'!A375</f>
        <v>JSST07</v>
      </c>
      <c r="B383" s="13" t="str">
        <f>'Reference Score Calculation'!B375</f>
        <v>SSSDP</v>
      </c>
      <c r="C383" s="13" t="str">
        <f>'Reference Score Calculation'!D375</f>
        <v>醫療資訊及服務管理（榮譽）學士</v>
      </c>
      <c r="D383" s="13" t="str">
        <f>'Reference Score Calculation'!R375</f>
        <v>BHISM</v>
      </c>
      <c r="E383" s="13" t="str">
        <f>'Reference Score Calculation'!E375</f>
        <v>24年新科目</v>
      </c>
      <c r="F383" s="20" t="str">
        <f>'Reference Score Calculation'!G375</f>
        <v>/</v>
      </c>
      <c r="G383" s="20" t="str">
        <f>'Reference Score Calculation'!H375</f>
        <v>/</v>
      </c>
      <c r="H383" s="20" t="str">
        <f>'Reference Score Calculation'!I375</f>
        <v>/</v>
      </c>
      <c r="I383" s="20">
        <f>計分版!J398</f>
        <v>0</v>
      </c>
      <c r="J383" s="13">
        <f>'Reference Score Calculation'!T375</f>
        <v>25</v>
      </c>
      <c r="K383" s="28" t="str">
        <f>'Reference Score Calculation'!U375</f>
        <v>/</v>
      </c>
      <c r="L383" s="112" t="str">
        <f>'Reference Score Calculation'!X375</f>
        <v>新科目</v>
      </c>
      <c r="M383" s="13">
        <f>入學要求!Z384</f>
        <v>0</v>
      </c>
    </row>
    <row r="384" spans="1:13">
      <c r="A384" s="13" t="str">
        <f>'Reference Score Calculation'!A376</f>
        <v>JSSU12</v>
      </c>
      <c r="B384" s="13" t="str">
        <f>'Reference Score Calculation'!B376</f>
        <v>SSSDP</v>
      </c>
      <c r="C384" s="13" t="str">
        <f>'Reference Score Calculation'!D376</f>
        <v>創意寫作與電影藝術榮譽文學士</v>
      </c>
      <c r="D384" s="13" t="str">
        <f>'Reference Score Calculation'!R376</f>
        <v>BA(Hons)CreaWri&amp;FilmArts</v>
      </c>
      <c r="E384" s="13" t="str">
        <f>'Reference Score Calculation'!E376</f>
        <v>Best 5</v>
      </c>
      <c r="F384" s="20" t="str">
        <f>'Reference Score Calculation'!G376</f>
        <v>/</v>
      </c>
      <c r="G384" s="20">
        <f>'Reference Score Calculation'!H376</f>
        <v>20</v>
      </c>
      <c r="H384" s="20">
        <f>'Reference Score Calculation'!I376</f>
        <v>18</v>
      </c>
      <c r="I384" s="20">
        <f>計分版!J399</f>
        <v>3.3500000000000002E-9</v>
      </c>
      <c r="J384" s="13">
        <f>'Reference Score Calculation'!T376</f>
        <v>50</v>
      </c>
      <c r="K384" s="28">
        <f>'Reference Score Calculation'!U376</f>
        <v>110</v>
      </c>
      <c r="L384" s="112">
        <f>'Reference Score Calculation'!X376</f>
        <v>4.904109589041096</v>
      </c>
      <c r="M384" s="13">
        <f>入學要求!Z385</f>
        <v>0</v>
      </c>
    </row>
    <row r="385" spans="1:13">
      <c r="A385" s="13" t="str">
        <f>'Reference Score Calculation'!A377</f>
        <v>JSSU14</v>
      </c>
      <c r="B385" s="13" t="str">
        <f>'Reference Score Calculation'!B377</f>
        <v>SSSDP</v>
      </c>
      <c r="C385" s="13" t="str">
        <f>'Reference Score Calculation'!D377</f>
        <v>動畫及視覺特效榮譽藝術學士</v>
      </c>
      <c r="D385" s="13" t="str">
        <f>'Reference Score Calculation'!R377</f>
        <v>BFA(Hons)AnimatVisEff</v>
      </c>
      <c r="E385" s="13" t="str">
        <f>'Reference Score Calculation'!E377</f>
        <v>Best 5</v>
      </c>
      <c r="F385" s="20" t="str">
        <f>'Reference Score Calculation'!G377</f>
        <v>/</v>
      </c>
      <c r="G385" s="20">
        <f>'Reference Score Calculation'!H377</f>
        <v>16</v>
      </c>
      <c r="H385" s="20">
        <f>'Reference Score Calculation'!I377</f>
        <v>15</v>
      </c>
      <c r="I385" s="20">
        <f>計分版!J400</f>
        <v>3.9500000000000006E-9</v>
      </c>
      <c r="J385" s="13">
        <f>'Reference Score Calculation'!T377</f>
        <v>80</v>
      </c>
      <c r="K385" s="28">
        <f>'Reference Score Calculation'!U377</f>
        <v>99</v>
      </c>
      <c r="L385" s="112">
        <f>'Reference Score Calculation'!X377</f>
        <v>7.955223880597015</v>
      </c>
      <c r="M385" s="13">
        <f>入學要求!Z386</f>
        <v>0</v>
      </c>
    </row>
    <row r="386" spans="1:13">
      <c r="A386" s="13" t="str">
        <f>'Reference Score Calculation'!A378</f>
        <v>JSSU15</v>
      </c>
      <c r="B386" s="13" t="str">
        <f>'Reference Score Calculation'!B378</f>
        <v>SSSDP</v>
      </c>
      <c r="C386" s="13" t="str">
        <f>'Reference Score Calculation'!D378</f>
        <v>影像設計及數碼藝術榮譽藝術學士</v>
      </c>
      <c r="D386" s="13" t="str">
        <f>'Reference Score Calculation'!R378</f>
        <v>BFA(Hons)IDDA</v>
      </c>
      <c r="E386" s="13" t="str">
        <f>'Reference Score Calculation'!E378</f>
        <v>Best 5</v>
      </c>
      <c r="F386" s="20" t="str">
        <f>'Reference Score Calculation'!G378</f>
        <v>/</v>
      </c>
      <c r="G386" s="20">
        <f>'Reference Score Calculation'!H378</f>
        <v>16</v>
      </c>
      <c r="H386" s="20">
        <f>'Reference Score Calculation'!I378</f>
        <v>15</v>
      </c>
      <c r="I386" s="20">
        <f>計分版!J401</f>
        <v>3.9500000000000006E-9</v>
      </c>
      <c r="J386" s="13">
        <f>'Reference Score Calculation'!T378</f>
        <v>35</v>
      </c>
      <c r="K386" s="28">
        <f>'Reference Score Calculation'!U378</f>
        <v>42</v>
      </c>
      <c r="L386" s="112">
        <f>'Reference Score Calculation'!X378</f>
        <v>13.166666666666666</v>
      </c>
      <c r="M386" s="13">
        <f>入學要求!Z387</f>
        <v>0</v>
      </c>
    </row>
    <row r="387" spans="1:13">
      <c r="A387" s="13" t="str">
        <f>'Reference Score Calculation'!A379</f>
        <v>JSSU18</v>
      </c>
      <c r="B387" s="13" t="str">
        <f>'Reference Score Calculation'!B379</f>
        <v>SSSDP</v>
      </c>
      <c r="C387" s="13" t="str">
        <f>'Reference Score Calculation'!D379</f>
        <v>新音樂及互動娛樂榮譽文學士</v>
      </c>
      <c r="D387" s="13" t="str">
        <f>'Reference Score Calculation'!R379</f>
        <v>BA(Hons)NewMusic&amp;Enter</v>
      </c>
      <c r="E387" s="13" t="str">
        <f>'Reference Score Calculation'!E379</f>
        <v>24年新科目</v>
      </c>
      <c r="F387" s="20" t="str">
        <f>'Reference Score Calculation'!G379</f>
        <v>/</v>
      </c>
      <c r="G387" s="20" t="str">
        <f>'Reference Score Calculation'!H379</f>
        <v>/</v>
      </c>
      <c r="H387" s="20" t="str">
        <f>'Reference Score Calculation'!I379</f>
        <v>/</v>
      </c>
      <c r="I387" s="20">
        <f>計分版!J402</f>
        <v>0</v>
      </c>
      <c r="J387" s="13">
        <f>'Reference Score Calculation'!T379</f>
        <v>45</v>
      </c>
      <c r="K387" s="28" t="str">
        <f>'Reference Score Calculation'!U379</f>
        <v>/</v>
      </c>
      <c r="L387" s="112" t="str">
        <f>'Reference Score Calculation'!X379</f>
        <v>新科目</v>
      </c>
      <c r="M387" s="13">
        <f>入學要求!Z388</f>
        <v>0</v>
      </c>
    </row>
    <row r="388" spans="1:13">
      <c r="A388" s="13" t="str">
        <f>'Reference Score Calculation'!A380</f>
        <v>JSSU40</v>
      </c>
      <c r="B388" s="13" t="str">
        <f>'Reference Score Calculation'!B380</f>
        <v>SSSDP</v>
      </c>
      <c r="C388" s="13" t="str">
        <f>'Reference Score Calculation'!D380</f>
        <v>護理學榮譽學士（普通科）</v>
      </c>
      <c r="D388" s="13" t="str">
        <f>'Reference Score Calculation'!R380</f>
        <v>BNursing(Hons)General</v>
      </c>
      <c r="E388" s="13" t="str">
        <f>'Reference Score Calculation'!E380</f>
        <v>Best 5</v>
      </c>
      <c r="F388" s="20" t="str">
        <f>'Reference Score Calculation'!G380</f>
        <v>/</v>
      </c>
      <c r="G388" s="20">
        <f>'Reference Score Calculation'!H380</f>
        <v>21</v>
      </c>
      <c r="H388" s="20">
        <f>'Reference Score Calculation'!I380</f>
        <v>19</v>
      </c>
      <c r="I388" s="20">
        <f>計分版!J403</f>
        <v>3.4999999999999999E-9</v>
      </c>
      <c r="J388" s="13">
        <f>'Reference Score Calculation'!T380</f>
        <v>400</v>
      </c>
      <c r="K388" s="28">
        <f>'Reference Score Calculation'!U380</f>
        <v>340</v>
      </c>
      <c r="L388" s="112">
        <f>'Reference Score Calculation'!X380</f>
        <v>6.7264705882352942</v>
      </c>
      <c r="M388" s="13">
        <f>入學要求!Z389</f>
        <v>0</v>
      </c>
    </row>
    <row r="389" spans="1:13">
      <c r="A389" s="13" t="str">
        <f>'Reference Score Calculation'!A381</f>
        <v>JSSU50</v>
      </c>
      <c r="B389" s="13" t="str">
        <f>'Reference Score Calculation'!B381</f>
        <v>SSSDP</v>
      </c>
      <c r="C389" s="13" t="str">
        <f>'Reference Score Calculation'!D381</f>
        <v>護理學榮譽學士（精神科）</v>
      </c>
      <c r="D389" s="13" t="str">
        <f>'Reference Score Calculation'!R381</f>
        <v>BNursing(Hons)Mental</v>
      </c>
      <c r="E389" s="13" t="str">
        <f>'Reference Score Calculation'!E381</f>
        <v>Best 5</v>
      </c>
      <c r="F389" s="20" t="str">
        <f>'Reference Score Calculation'!G381</f>
        <v>/</v>
      </c>
      <c r="G389" s="20">
        <f>'Reference Score Calculation'!H381</f>
        <v>17</v>
      </c>
      <c r="H389" s="20">
        <f>'Reference Score Calculation'!I381</f>
        <v>16</v>
      </c>
      <c r="I389" s="20">
        <f>計分版!J404</f>
        <v>3.4999999999999999E-9</v>
      </c>
      <c r="J389" s="13">
        <f>'Reference Score Calculation'!T381</f>
        <v>125</v>
      </c>
      <c r="K389" s="28">
        <f>'Reference Score Calculation'!U381</f>
        <v>136</v>
      </c>
      <c r="L389" s="112">
        <f>'Reference Score Calculation'!X381</f>
        <v>6.632352941176471</v>
      </c>
      <c r="M389" s="13">
        <f>入學要求!Z390</f>
        <v>0</v>
      </c>
    </row>
    <row r="390" spans="1:13">
      <c r="A390" s="13" t="str">
        <f>'Reference Score Calculation'!A382</f>
        <v>JSSU55</v>
      </c>
      <c r="B390" s="13" t="str">
        <f>'Reference Score Calculation'!B382</f>
        <v>SSSDP</v>
      </c>
      <c r="C390" s="13" t="str">
        <f>'Reference Score Calculation'!D382</f>
        <v>物理治療學榮譽理學士</v>
      </c>
      <c r="D390" s="13" t="str">
        <f>'Reference Score Calculation'!R382</f>
        <v>BSc(Hons)Physiotherapy</v>
      </c>
      <c r="E390" s="13" t="str">
        <f>'Reference Score Calculation'!E382</f>
        <v>Best 5</v>
      </c>
      <c r="F390" s="20" t="str">
        <f>'Reference Score Calculation'!G382</f>
        <v>/</v>
      </c>
      <c r="G390" s="20">
        <f>'Reference Score Calculation'!H382</f>
        <v>24</v>
      </c>
      <c r="H390" s="20">
        <f>'Reference Score Calculation'!I382</f>
        <v>23</v>
      </c>
      <c r="I390" s="20">
        <f>計分版!J405</f>
        <v>3.9500000000000006E-9</v>
      </c>
      <c r="J390" s="13">
        <f>'Reference Score Calculation'!T382</f>
        <v>50</v>
      </c>
      <c r="K390" s="28">
        <f>'Reference Score Calculation'!U382</f>
        <v>50</v>
      </c>
      <c r="L390" s="112">
        <f>'Reference Score Calculation'!X382</f>
        <v>7.14</v>
      </c>
      <c r="M390" s="13">
        <f>入學要求!Z391</f>
        <v>0</v>
      </c>
    </row>
    <row r="391" spans="1:13">
      <c r="A391" s="13" t="str">
        <f>'Reference Score Calculation'!A383</f>
        <v>JSSU61</v>
      </c>
      <c r="B391" s="13" t="str">
        <f>'Reference Score Calculation'!B383</f>
        <v>SSSDP</v>
      </c>
      <c r="C391" s="13" t="str">
        <f>'Reference Score Calculation'!D383</f>
        <v>綜合檢測和認證榮譽應用理學士</v>
      </c>
      <c r="D391" s="13" t="str">
        <f>'Reference Score Calculation'!R383</f>
        <v>BASc(Hons)IntTestInsCert</v>
      </c>
      <c r="E391" s="13" t="str">
        <f>'Reference Score Calculation'!E383</f>
        <v>Best 5</v>
      </c>
      <c r="F391" s="20" t="str">
        <f>'Reference Score Calculation'!G383</f>
        <v>/</v>
      </c>
      <c r="G391" s="20">
        <f>'Reference Score Calculation'!H383</f>
        <v>16</v>
      </c>
      <c r="H391" s="20">
        <f>'Reference Score Calculation'!I383</f>
        <v>13</v>
      </c>
      <c r="I391" s="20">
        <f>計分版!J406</f>
        <v>3.9500000000000006E-9</v>
      </c>
      <c r="J391" s="13">
        <f>'Reference Score Calculation'!T383</f>
        <v>55</v>
      </c>
      <c r="K391" s="28">
        <f>'Reference Score Calculation'!U383</f>
        <v>78</v>
      </c>
      <c r="L391" s="112">
        <f>'Reference Score Calculation'!X383</f>
        <v>4.2898550724637685</v>
      </c>
      <c r="M391" s="13">
        <f>入學要求!Z392</f>
        <v>0</v>
      </c>
    </row>
    <row r="392" spans="1:13">
      <c r="A392" s="13" t="str">
        <f>'Reference Score Calculation'!A384</f>
        <v>JSSU67</v>
      </c>
      <c r="B392" s="13" t="str">
        <f>'Reference Score Calculation'!B384</f>
        <v>SSSDP</v>
      </c>
      <c r="C392" s="13" t="str">
        <f>'Reference Score Calculation'!D384</f>
        <v>醫療化驗科學榮譽理學士</v>
      </c>
      <c r="D392" s="13" t="str">
        <f>'Reference Score Calculation'!R384</f>
        <v>BSc(Hons)MedLabSci</v>
      </c>
      <c r="E392" s="13" t="str">
        <f>'Reference Score Calculation'!E384</f>
        <v>Best 5</v>
      </c>
      <c r="F392" s="20" t="str">
        <f>'Reference Score Calculation'!G384</f>
        <v>/</v>
      </c>
      <c r="G392" s="20">
        <f>'Reference Score Calculation'!H384</f>
        <v>18</v>
      </c>
      <c r="H392" s="20">
        <f>'Reference Score Calculation'!I384</f>
        <v>16</v>
      </c>
      <c r="I392" s="20">
        <f>計分版!J407</f>
        <v>3.9500000000000006E-9</v>
      </c>
      <c r="J392" s="13">
        <f>'Reference Score Calculation'!T384</f>
        <v>60</v>
      </c>
      <c r="K392" s="28">
        <f>'Reference Score Calculation'!U384</f>
        <v>114</v>
      </c>
      <c r="L392" s="112">
        <f>'Reference Score Calculation'!X384</f>
        <v>3.0865384615384617</v>
      </c>
      <c r="M392" s="13">
        <f>入學要求!Z393</f>
        <v>0</v>
      </c>
    </row>
    <row r="393" spans="1:13">
      <c r="A393" s="13" t="str">
        <f>'Reference Score Calculation'!A385</f>
        <v>JSSU68</v>
      </c>
      <c r="B393" s="13" t="str">
        <f>'Reference Score Calculation'!B385</f>
        <v>SSSDP</v>
      </c>
      <c r="C393" s="13" t="str">
        <f>'Reference Score Calculation'!D385</f>
        <v>分析檢測科學榮譽理學士</v>
      </c>
      <c r="D393" s="13" t="str">
        <f>'Reference Score Calculation'!R385</f>
        <v>BSc(Hons)AnalyTestSci</v>
      </c>
      <c r="E393" s="13" t="str">
        <f>'Reference Score Calculation'!E385</f>
        <v>Best 5</v>
      </c>
      <c r="F393" s="20" t="str">
        <f>'Reference Score Calculation'!G385</f>
        <v>/</v>
      </c>
      <c r="G393" s="20">
        <f>'Reference Score Calculation'!H385</f>
        <v>16</v>
      </c>
      <c r="H393" s="20">
        <f>'Reference Score Calculation'!I385</f>
        <v>16</v>
      </c>
      <c r="I393" s="20">
        <f>計分版!J408</f>
        <v>3.9500000000000006E-9</v>
      </c>
      <c r="J393" s="13">
        <f>'Reference Score Calculation'!T385</f>
        <v>30</v>
      </c>
      <c r="K393" s="28">
        <f>'Reference Score Calculation'!U385</f>
        <v>26</v>
      </c>
      <c r="L393" s="112">
        <f>'Reference Score Calculation'!X385</f>
        <v>9.375</v>
      </c>
      <c r="M393" s="13">
        <f>入學要求!Z394</f>
        <v>0</v>
      </c>
    </row>
    <row r="394" spans="1:13">
      <c r="A394" s="13" t="str">
        <f>'Reference Score Calculation'!A386</f>
        <v>JSSU69</v>
      </c>
      <c r="B394" s="13" t="str">
        <f>'Reference Score Calculation'!B386</f>
        <v>SSSDP</v>
      </c>
      <c r="C394" s="13" t="str">
        <f>'Reference Score Calculation'!D386</f>
        <v>食品測試科學榮譽理學士</v>
      </c>
      <c r="D394" s="13" t="str">
        <f>'Reference Score Calculation'!R386</f>
        <v>BSc(Hons)FoodTestSci</v>
      </c>
      <c r="E394" s="13" t="str">
        <f>'Reference Score Calculation'!E386</f>
        <v>Best 5</v>
      </c>
      <c r="F394" s="20" t="str">
        <f>'Reference Score Calculation'!G386</f>
        <v>/</v>
      </c>
      <c r="G394" s="20">
        <f>'Reference Score Calculation'!H386</f>
        <v>16</v>
      </c>
      <c r="H394" s="20">
        <f>'Reference Score Calculation'!I386</f>
        <v>14</v>
      </c>
      <c r="I394" s="20">
        <f>計分版!J409</f>
        <v>3.9500000000000006E-9</v>
      </c>
      <c r="J394" s="13">
        <f>'Reference Score Calculation'!T386</f>
        <v>30</v>
      </c>
      <c r="K394" s="28">
        <f>'Reference Score Calculation'!U386</f>
        <v>55</v>
      </c>
      <c r="L394" s="112">
        <f>'Reference Score Calculation'!X386</f>
        <v>9.6363636363636367</v>
      </c>
      <c r="M394" s="13">
        <f>入學要求!Z395</f>
        <v>0</v>
      </c>
    </row>
    <row r="395" spans="1:13">
      <c r="A395" s="13" t="str">
        <f>'Reference Score Calculation'!A387</f>
        <v>JSSU70</v>
      </c>
      <c r="B395" s="13" t="str">
        <f>'Reference Score Calculation'!B387</f>
        <v>SSSDP</v>
      </c>
      <c r="C395" s="13" t="str">
        <f>'Reference Score Calculation'!D387</f>
        <v>數據科學及人工智能榮譽理學士</v>
      </c>
      <c r="D395" s="13" t="str">
        <f>'Reference Score Calculation'!R387</f>
        <v>BSc (Hons) Data Sci &amp; AI</v>
      </c>
      <c r="E395" s="13" t="str">
        <f>'Reference Score Calculation'!E387</f>
        <v>Best 5</v>
      </c>
      <c r="F395" s="20" t="str">
        <f>'Reference Score Calculation'!G387</f>
        <v>/</v>
      </c>
      <c r="G395" s="20">
        <f>'Reference Score Calculation'!H387</f>
        <v>16</v>
      </c>
      <c r="H395" s="20">
        <f>'Reference Score Calculation'!I387</f>
        <v>15</v>
      </c>
      <c r="I395" s="20">
        <f>計分版!J410</f>
        <v>3.9500000000000006E-9</v>
      </c>
      <c r="J395" s="13">
        <f>'Reference Score Calculation'!T387</f>
        <v>35</v>
      </c>
      <c r="K395" s="28">
        <f>'Reference Score Calculation'!U387</f>
        <v>54</v>
      </c>
      <c r="L395" s="112">
        <f>'Reference Score Calculation'!X387</f>
        <v>6.6896551724137927</v>
      </c>
      <c r="M395" s="13">
        <f>入學要求!Z396</f>
        <v>0</v>
      </c>
    </row>
    <row r="396" spans="1:13">
      <c r="A396" s="13" t="str">
        <f>'Reference Score Calculation'!A388</f>
        <v>JSSU72</v>
      </c>
      <c r="B396" s="13" t="str">
        <f>'Reference Score Calculation'!B388</f>
        <v>SSSDP</v>
      </c>
      <c r="C396" s="13" t="str">
        <f>'Reference Score Calculation'!D388</f>
        <v>電腦科學榮譽理學士</v>
      </c>
      <c r="D396" s="13" t="str">
        <f>'Reference Score Calculation'!R388</f>
        <v>BSc (Hons)CompSci</v>
      </c>
      <c r="E396" s="13" t="str">
        <f>'Reference Score Calculation'!E388</f>
        <v>Best 5</v>
      </c>
      <c r="F396" s="20" t="str">
        <f>'Reference Score Calculation'!G388</f>
        <v>/</v>
      </c>
      <c r="G396" s="20">
        <f>'Reference Score Calculation'!H388</f>
        <v>16</v>
      </c>
      <c r="H396" s="20">
        <f>'Reference Score Calculation'!I388</f>
        <v>16</v>
      </c>
      <c r="I396" s="20">
        <f>計分版!J411</f>
        <v>3.9500000000000006E-9</v>
      </c>
      <c r="J396" s="13">
        <f>'Reference Score Calculation'!T388</f>
        <v>45</v>
      </c>
      <c r="K396" s="28">
        <f>'Reference Score Calculation'!U388</f>
        <v>68</v>
      </c>
      <c r="L396" s="112">
        <f>'Reference Score Calculation'!X388</f>
        <v>5.6304347826086953</v>
      </c>
      <c r="M396" s="13">
        <f>入學要求!Z397</f>
        <v>0</v>
      </c>
    </row>
    <row r="397" spans="1:13">
      <c r="A397" s="13" t="str">
        <f>'Reference Score Calculation'!A389</f>
        <v>JSSU77</v>
      </c>
      <c r="B397" s="13" t="str">
        <f>'Reference Score Calculation'!B389</f>
        <v>SSSDP</v>
      </c>
      <c r="C397" s="13" t="str">
        <f>'Reference Score Calculation'!D389</f>
        <v>建築管理及工料測量學榮譽理學士</v>
      </c>
      <c r="D397" s="13" t="str">
        <f>'Reference Score Calculation'!R389</f>
        <v>BSc(Hons)CMQSurveying</v>
      </c>
      <c r="E397" s="13" t="str">
        <f>'Reference Score Calculation'!E389</f>
        <v>24年新科目</v>
      </c>
      <c r="F397" s="20" t="str">
        <f>'Reference Score Calculation'!G389</f>
        <v>/</v>
      </c>
      <c r="G397" s="20" t="str">
        <f>'Reference Score Calculation'!H389</f>
        <v>/</v>
      </c>
      <c r="H397" s="20" t="str">
        <f>'Reference Score Calculation'!I389</f>
        <v>/</v>
      </c>
      <c r="I397" s="20">
        <f>計分版!J412</f>
        <v>0</v>
      </c>
      <c r="J397" s="13">
        <f>'Reference Score Calculation'!T389</f>
        <v>25</v>
      </c>
      <c r="K397" s="28" t="str">
        <f>'Reference Score Calculation'!U389</f>
        <v>/</v>
      </c>
      <c r="L397" s="112" t="str">
        <f>'Reference Score Calculation'!X389</f>
        <v>新科目</v>
      </c>
      <c r="M397" s="13">
        <f>入學要求!Z398</f>
        <v>0</v>
      </c>
    </row>
    <row r="398" spans="1:13">
      <c r="A398" s="13" t="str">
        <f>'Reference Score Calculation'!A390</f>
        <v>JSSU78</v>
      </c>
      <c r="B398" s="13" t="str">
        <f>'Reference Score Calculation'!B390</f>
        <v>SSSDP</v>
      </c>
      <c r="C398" s="13" t="str">
        <f>'Reference Score Calculation'!D390</f>
        <v>屋宇設備工程及可持續發展榮譽工學士</v>
      </c>
      <c r="D398" s="13" t="str">
        <f>'Reference Score Calculation'!R390</f>
        <v>BEng(Hons)BSE&amp;SustainDev</v>
      </c>
      <c r="E398" s="13" t="str">
        <f>'Reference Score Calculation'!E390</f>
        <v>Best 5</v>
      </c>
      <c r="F398" s="20" t="str">
        <f>'Reference Score Calculation'!G390</f>
        <v>/</v>
      </c>
      <c r="G398" s="20">
        <f>'Reference Score Calculation'!H390</f>
        <v>16</v>
      </c>
      <c r="H398" s="20">
        <f>'Reference Score Calculation'!I390</f>
        <v>16</v>
      </c>
      <c r="I398" s="20">
        <f>計分版!J413</f>
        <v>3.9500000000000006E-9</v>
      </c>
      <c r="J398" s="13">
        <f>'Reference Score Calculation'!T390</f>
        <v>25</v>
      </c>
      <c r="K398" s="28">
        <f>'Reference Score Calculation'!U390</f>
        <v>15</v>
      </c>
      <c r="L398" s="112">
        <f>'Reference Score Calculation'!X390</f>
        <v>7.5</v>
      </c>
      <c r="M398" s="13">
        <f>入學要求!Z399</f>
        <v>0</v>
      </c>
    </row>
    <row r="399" spans="1:13">
      <c r="A399" s="13" t="str">
        <f>'Reference Score Calculation'!A391</f>
        <v>JSSU79</v>
      </c>
      <c r="B399" s="13" t="str">
        <f>'Reference Score Calculation'!B391</f>
        <v>SSSDP</v>
      </c>
      <c r="C399" s="13" t="str">
        <f>'Reference Score Calculation'!D391</f>
        <v>土木工程榮譽工學士</v>
      </c>
      <c r="D399" s="13" t="str">
        <f>'Reference Score Calculation'!R391</f>
        <v>BEng(Hons)Civil Eng</v>
      </c>
      <c r="E399" s="13" t="str">
        <f>'Reference Score Calculation'!E391</f>
        <v>Best 5</v>
      </c>
      <c r="F399" s="20" t="str">
        <f>'Reference Score Calculation'!G391</f>
        <v>/</v>
      </c>
      <c r="G399" s="20">
        <f>'Reference Score Calculation'!H391</f>
        <v>17</v>
      </c>
      <c r="H399" s="20">
        <f>'Reference Score Calculation'!I391</f>
        <v>16</v>
      </c>
      <c r="I399" s="20">
        <f>計分版!J414</f>
        <v>3.9500000000000006E-9</v>
      </c>
      <c r="J399" s="13">
        <f>'Reference Score Calculation'!T391</f>
        <v>40</v>
      </c>
      <c r="K399" s="28">
        <f>'Reference Score Calculation'!U391</f>
        <v>55</v>
      </c>
      <c r="L399" s="112">
        <f>'Reference Score Calculation'!X391</f>
        <v>4.9487179487179489</v>
      </c>
      <c r="M399" s="13">
        <f>入學要求!Z400</f>
        <v>0</v>
      </c>
    </row>
    <row r="400" spans="1:13">
      <c r="A400" s="13" t="str">
        <f>'Reference Score Calculation'!A392</f>
        <v>JSSU90</v>
      </c>
      <c r="B400" s="13" t="str">
        <f>'Reference Score Calculation'!B392</f>
        <v>SSSDP</v>
      </c>
      <c r="C400" s="13" t="str">
        <f>'Reference Score Calculation'!D392</f>
        <v>國際款待及景區管理榮譽工商管理學士</v>
      </c>
      <c r="D400" s="13" t="str">
        <f>'Reference Score Calculation'!R392</f>
        <v>BBA(Hons)Hos&amp;AttractMgt</v>
      </c>
      <c r="E400" s="13" t="str">
        <f>'Reference Score Calculation'!E392</f>
        <v>Best 5</v>
      </c>
      <c r="F400" s="20" t="str">
        <f>'Reference Score Calculation'!G392</f>
        <v>/</v>
      </c>
      <c r="G400" s="20">
        <f>'Reference Score Calculation'!H392</f>
        <v>17</v>
      </c>
      <c r="H400" s="20">
        <f>'Reference Score Calculation'!I392</f>
        <v>16</v>
      </c>
      <c r="I400" s="20">
        <f>計分版!J415</f>
        <v>3.9500000000000006E-9</v>
      </c>
      <c r="J400" s="13">
        <f>'Reference Score Calculation'!T392</f>
        <v>50</v>
      </c>
      <c r="K400" s="28">
        <f>'Reference Score Calculation'!U392</f>
        <v>66</v>
      </c>
      <c r="L400" s="112">
        <f>'Reference Score Calculation'!X392</f>
        <v>7.3265306122448983</v>
      </c>
      <c r="M400" s="13">
        <f>入學要求!Z401</f>
        <v>0</v>
      </c>
    </row>
    <row r="401" spans="1:13">
      <c r="A401" s="13" t="str">
        <f>'Reference Score Calculation'!A393</f>
        <v>JSSU95</v>
      </c>
      <c r="B401" s="13" t="str">
        <f>'Reference Score Calculation'!B393</f>
        <v>SSSDP</v>
      </c>
      <c r="C401" s="13" t="str">
        <f>'Reference Score Calculation'!D393</f>
        <v>運動及康樂管理榮譽工商管理學士</v>
      </c>
      <c r="D401" s="13" t="str">
        <f>'Reference Score Calculation'!R393</f>
        <v>BBA(Hons)Sports&amp;RecMgt</v>
      </c>
      <c r="E401" s="13" t="str">
        <f>'Reference Score Calculation'!E393</f>
        <v>Best 5</v>
      </c>
      <c r="F401" s="20" t="str">
        <f>'Reference Score Calculation'!G393</f>
        <v>/</v>
      </c>
      <c r="G401" s="20">
        <f>'Reference Score Calculation'!H393</f>
        <v>16</v>
      </c>
      <c r="H401" s="20">
        <f>'Reference Score Calculation'!I393</f>
        <v>15</v>
      </c>
      <c r="I401" s="20">
        <f>計分版!J416</f>
        <v>3.9500000000000006E-9</v>
      </c>
      <c r="J401" s="13">
        <f>'Reference Score Calculation'!T393</f>
        <v>40</v>
      </c>
      <c r="K401" s="28">
        <f>'Reference Score Calculation'!U393</f>
        <v>84</v>
      </c>
      <c r="L401" s="112">
        <f>'Reference Score Calculation'!X393</f>
        <v>6.634615384615385</v>
      </c>
      <c r="M401" s="13">
        <f>入學要求!Z402</f>
        <v>0</v>
      </c>
    </row>
    <row r="402" spans="1:13">
      <c r="A402" s="13" t="str">
        <f>'Reference Score Calculation'!A394</f>
        <v>JSSU96</v>
      </c>
      <c r="B402" s="13" t="str">
        <f>'Reference Score Calculation'!B394</f>
        <v>SSSDP</v>
      </c>
      <c r="C402" s="13" t="str">
        <f>'Reference Score Calculation'!D394</f>
        <v>財務及金融科技榮譽工商管理學士</v>
      </c>
      <c r="D402" s="13" t="str">
        <f>'Reference Score Calculation'!R394</f>
        <v>BBA(Hons)Fin&amp;FinTech</v>
      </c>
      <c r="E402" s="13" t="str">
        <f>'Reference Score Calculation'!E394</f>
        <v>Best 5</v>
      </c>
      <c r="F402" s="20" t="str">
        <f>'Reference Score Calculation'!G394</f>
        <v>/</v>
      </c>
      <c r="G402" s="20">
        <f>'Reference Score Calculation'!H394</f>
        <v>17</v>
      </c>
      <c r="H402" s="20">
        <f>'Reference Score Calculation'!I394</f>
        <v>16</v>
      </c>
      <c r="I402" s="20">
        <f>計分版!J417</f>
        <v>3.9500000000000006E-9</v>
      </c>
      <c r="J402" s="13">
        <f>'Reference Score Calculation'!T394</f>
        <v>30</v>
      </c>
      <c r="K402" s="28">
        <f>'Reference Score Calculation'!U394</f>
        <v>43</v>
      </c>
      <c r="L402" s="112">
        <f>'Reference Score Calculation'!X394</f>
        <v>6.6428571428571432</v>
      </c>
      <c r="M402" s="13">
        <f>入學要求!Z403</f>
        <v>0</v>
      </c>
    </row>
    <row r="403" spans="1:13">
      <c r="A403" s="13" t="str">
        <f>'Reference Score Calculation'!A395</f>
        <v>JSSU97</v>
      </c>
      <c r="B403" s="13" t="str">
        <f>'Reference Score Calculation'!B395</f>
        <v>SSSDP</v>
      </c>
      <c r="C403" s="13" t="str">
        <f>'Reference Score Calculation'!D395</f>
        <v>環球市場及供應鏈管理榮譽工商管理學士</v>
      </c>
      <c r="D403" s="13" t="str">
        <f>'Reference Score Calculation'!R395</f>
        <v>BBA(Hons)GM &amp; SCM</v>
      </c>
      <c r="E403" s="13" t="str">
        <f>'Reference Score Calculation'!E395</f>
        <v>Best 5</v>
      </c>
      <c r="F403" s="20" t="str">
        <f>'Reference Score Calculation'!G395</f>
        <v>/</v>
      </c>
      <c r="G403" s="20">
        <f>'Reference Score Calculation'!H395</f>
        <v>17</v>
      </c>
      <c r="H403" s="20">
        <f>'Reference Score Calculation'!I395</f>
        <v>17</v>
      </c>
      <c r="I403" s="20">
        <f>計分版!J418</f>
        <v>3.9500000000000006E-9</v>
      </c>
      <c r="J403" s="13">
        <f>'Reference Score Calculation'!T395</f>
        <v>30</v>
      </c>
      <c r="K403" s="28">
        <f>'Reference Score Calculation'!U395</f>
        <v>37</v>
      </c>
      <c r="L403" s="112">
        <f>'Reference Score Calculation'!X395</f>
        <v>9.6666666666666661</v>
      </c>
      <c r="M403" s="13">
        <f>入學要求!Z404</f>
        <v>0</v>
      </c>
    </row>
    <row r="404" spans="1:13">
      <c r="A404" s="13" t="str">
        <f>'Reference Score Calculation'!A396</f>
        <v>JSSV01</v>
      </c>
      <c r="B404" s="13" t="str">
        <f>'Reference Score Calculation'!B396</f>
        <v>SSSDP</v>
      </c>
      <c r="C404" s="13" t="str">
        <f>'Reference Score Calculation'!D396</f>
        <v>時裝設計（榮譽）文學士</v>
      </c>
      <c r="D404" s="13" t="str">
        <f>'Reference Score Calculation'!R396</f>
        <v>BA(FD)</v>
      </c>
      <c r="E404" s="13" t="str">
        <f>'Reference Score Calculation'!E396</f>
        <v>Best 5</v>
      </c>
      <c r="F404" s="20" t="str">
        <f>'Reference Score Calculation'!G396</f>
        <v>/</v>
      </c>
      <c r="G404" s="20">
        <f>'Reference Score Calculation'!H396</f>
        <v>15</v>
      </c>
      <c r="H404" s="20" t="str">
        <f>'Reference Score Calculation'!I396</f>
        <v>/</v>
      </c>
      <c r="I404" s="20">
        <f>計分版!J419</f>
        <v>3.3999999999999998E-9</v>
      </c>
      <c r="J404" s="13">
        <f>'Reference Score Calculation'!T396</f>
        <v>25</v>
      </c>
      <c r="K404" s="28">
        <f>'Reference Score Calculation'!U396</f>
        <v>43</v>
      </c>
      <c r="L404" s="112">
        <f>'Reference Score Calculation'!X396</f>
        <v>9.7692307692307701</v>
      </c>
      <c r="M404" s="13">
        <f>入學要求!Z405</f>
        <v>0</v>
      </c>
    </row>
    <row r="405" spans="1:13">
      <c r="A405" s="13" t="str">
        <f>'Reference Score Calculation'!A397</f>
        <v>JSSV02</v>
      </c>
      <c r="B405" s="13" t="str">
        <f>'Reference Score Calculation'!B397</f>
        <v>SSSDP</v>
      </c>
      <c r="C405" s="13" t="str">
        <f>'Reference Score Calculation'!D397</f>
        <v>產品設計（榮譽）文學士</v>
      </c>
      <c r="D405" s="13" t="str">
        <f>'Reference Score Calculation'!R397</f>
        <v>BA(PD)</v>
      </c>
      <c r="E405" s="13" t="str">
        <f>'Reference Score Calculation'!E397</f>
        <v>Best 5</v>
      </c>
      <c r="F405" s="20" t="str">
        <f>'Reference Score Calculation'!G397</f>
        <v>/</v>
      </c>
      <c r="G405" s="20">
        <f>'Reference Score Calculation'!H397</f>
        <v>17</v>
      </c>
      <c r="H405" s="20" t="str">
        <f>'Reference Score Calculation'!I397</f>
        <v>/</v>
      </c>
      <c r="I405" s="20">
        <f>計分版!J420</f>
        <v>3.3999999999999998E-9</v>
      </c>
      <c r="J405" s="13">
        <f>'Reference Score Calculation'!T397</f>
        <v>15</v>
      </c>
      <c r="K405" s="28">
        <f>'Reference Score Calculation'!U397</f>
        <v>12</v>
      </c>
      <c r="L405" s="112">
        <f>'Reference Score Calculation'!X397</f>
        <v>21.125</v>
      </c>
      <c r="M405" s="13">
        <f>入學要求!Z406</f>
        <v>0</v>
      </c>
    </row>
    <row r="406" spans="1:13">
      <c r="A406" s="13" t="str">
        <f>'Reference Score Calculation'!A398</f>
        <v>JSSV03</v>
      </c>
      <c r="B406" s="13" t="str">
        <f>'Reference Score Calculation'!B398</f>
        <v>SSSDP</v>
      </c>
      <c r="C406" s="13" t="str">
        <f>'Reference Score Calculation'!D398</f>
        <v>園境建築（榮譽）文學士</v>
      </c>
      <c r="D406" s="13" t="str">
        <f>'Reference Score Calculation'!R398</f>
        <v>BA(LA)</v>
      </c>
      <c r="E406" s="13" t="str">
        <f>'Reference Score Calculation'!E398</f>
        <v>Best 5</v>
      </c>
      <c r="F406" s="20" t="str">
        <f>'Reference Score Calculation'!G398</f>
        <v>/</v>
      </c>
      <c r="G406" s="20">
        <f>'Reference Score Calculation'!H398</f>
        <v>16</v>
      </c>
      <c r="H406" s="20" t="str">
        <f>'Reference Score Calculation'!I398</f>
        <v>/</v>
      </c>
      <c r="I406" s="20">
        <f>計分版!J421</f>
        <v>3.3999999999999998E-9</v>
      </c>
      <c r="J406" s="13">
        <f>'Reference Score Calculation'!T398</f>
        <v>15</v>
      </c>
      <c r="K406" s="28">
        <f>'Reference Score Calculation'!U398</f>
        <v>8</v>
      </c>
      <c r="L406" s="112">
        <f>'Reference Score Calculation'!X398</f>
        <v>8</v>
      </c>
      <c r="M406" s="13">
        <f>入學要求!Z407</f>
        <v>0</v>
      </c>
    </row>
    <row r="407" spans="1:13">
      <c r="A407" s="13" t="str">
        <f>'Reference Score Calculation'!A399</f>
        <v>JSSV04</v>
      </c>
      <c r="B407" s="13" t="str">
        <f>'Reference Score Calculation'!B399</f>
        <v>SSSDP</v>
      </c>
      <c r="C407" s="13" t="str">
        <f>'Reference Score Calculation'!D399</f>
        <v>廚藝及管理（榮譽）文學士</v>
      </c>
      <c r="D407" s="13" t="str">
        <f>'Reference Score Calculation'!R399</f>
        <v>BA(CAM)</v>
      </c>
      <c r="E407" s="13" t="str">
        <f>'Reference Score Calculation'!E399</f>
        <v>Best 5</v>
      </c>
      <c r="F407" s="20" t="str">
        <f>'Reference Score Calculation'!G399</f>
        <v>/</v>
      </c>
      <c r="G407" s="20">
        <f>'Reference Score Calculation'!H399</f>
        <v>17</v>
      </c>
      <c r="H407" s="20" t="str">
        <f>'Reference Score Calculation'!I399</f>
        <v>/</v>
      </c>
      <c r="I407" s="20">
        <f>計分版!J422</f>
        <v>3.3999999999999998E-9</v>
      </c>
      <c r="J407" s="13">
        <f>'Reference Score Calculation'!T399</f>
        <v>15</v>
      </c>
      <c r="K407" s="28">
        <f>'Reference Score Calculation'!U399</f>
        <v>30</v>
      </c>
      <c r="L407" s="112">
        <f>'Reference Score Calculation'!X399</f>
        <v>14.4</v>
      </c>
      <c r="M407" s="13">
        <f>入學要求!Z408</f>
        <v>0</v>
      </c>
    </row>
    <row r="408" spans="1:13">
      <c r="A408" s="13" t="str">
        <f>'Reference Score Calculation'!A400</f>
        <v>JSSV05</v>
      </c>
      <c r="B408" s="13" t="str">
        <f>'Reference Score Calculation'!B400</f>
        <v>SSSDP</v>
      </c>
      <c r="C408" s="13" t="str">
        <f>'Reference Score Calculation'!D400</f>
        <v>土木工程（榮譽）工學士</v>
      </c>
      <c r="D408" s="13" t="str">
        <f>'Reference Score Calculation'!R400</f>
        <v>BEng(CE)</v>
      </c>
      <c r="E408" s="13" t="str">
        <f>'Reference Score Calculation'!E400</f>
        <v>Best 5</v>
      </c>
      <c r="F408" s="20" t="str">
        <f>'Reference Score Calculation'!G400</f>
        <v>/</v>
      </c>
      <c r="G408" s="20">
        <f>'Reference Score Calculation'!H400</f>
        <v>17</v>
      </c>
      <c r="H408" s="20" t="str">
        <f>'Reference Score Calculation'!I400</f>
        <v>/</v>
      </c>
      <c r="I408" s="20">
        <f>計分版!J423</f>
        <v>3.4999999999999999E-9</v>
      </c>
      <c r="J408" s="13">
        <f>'Reference Score Calculation'!T400</f>
        <v>25</v>
      </c>
      <c r="K408" s="28">
        <f>'Reference Score Calculation'!U400</f>
        <v>7</v>
      </c>
      <c r="L408" s="112">
        <f>'Reference Score Calculation'!X400</f>
        <v>18.285714285714285</v>
      </c>
      <c r="M408" s="13">
        <f>入學要求!Z409</f>
        <v>0</v>
      </c>
    </row>
    <row r="409" spans="1:13">
      <c r="A409" s="13" t="str">
        <f>'Reference Score Calculation'!A401</f>
        <v>JSSV07</v>
      </c>
      <c r="B409" s="13" t="str">
        <f>'Reference Score Calculation'!B401</f>
        <v>SSSDP</v>
      </c>
      <c r="C409" s="13" t="str">
        <f>'Reference Score Calculation'!D401</f>
        <v>園藝樹藝及園境管理（榮譽）理學士</v>
      </c>
      <c r="D409" s="13" t="str">
        <f>'Reference Score Calculation'!R401</f>
        <v>BSc(HALM)</v>
      </c>
      <c r="E409" s="13" t="str">
        <f>'Reference Score Calculation'!E401</f>
        <v>Best 5</v>
      </c>
      <c r="F409" s="20" t="str">
        <f>'Reference Score Calculation'!G401</f>
        <v>/</v>
      </c>
      <c r="G409" s="20">
        <f>'Reference Score Calculation'!H401</f>
        <v>17</v>
      </c>
      <c r="H409" s="20" t="str">
        <f>'Reference Score Calculation'!I401</f>
        <v>/</v>
      </c>
      <c r="I409" s="20">
        <f>計分版!J424</f>
        <v>3.3999999999999998E-9</v>
      </c>
      <c r="J409" s="13">
        <f>'Reference Score Calculation'!T401</f>
        <v>15</v>
      </c>
      <c r="K409" s="28">
        <f>'Reference Score Calculation'!U401</f>
        <v>6</v>
      </c>
      <c r="L409" s="112">
        <f>'Reference Score Calculation'!X401</f>
        <v>23.666666666666668</v>
      </c>
      <c r="M409" s="13">
        <f>入學要求!Z410</f>
        <v>0</v>
      </c>
    </row>
    <row r="410" spans="1:13">
      <c r="A410" s="13" t="str">
        <f>'Reference Score Calculation'!A402</f>
        <v>JSSV08</v>
      </c>
      <c r="B410" s="13" t="str">
        <f>'Reference Score Calculation'!B402</f>
        <v>SSSDP</v>
      </c>
      <c r="C410" s="13" t="str">
        <f>'Reference Score Calculation'!D402</f>
        <v>測量學（榮譽）理學士</v>
      </c>
      <c r="D410" s="13" t="str">
        <f>'Reference Score Calculation'!R402</f>
        <v>BSc(SUR)</v>
      </c>
      <c r="E410" s="13" t="str">
        <f>'Reference Score Calculation'!E402</f>
        <v>Best 5</v>
      </c>
      <c r="F410" s="20" t="str">
        <f>'Reference Score Calculation'!G402</f>
        <v>/</v>
      </c>
      <c r="G410" s="20">
        <f>'Reference Score Calculation'!H402</f>
        <v>17</v>
      </c>
      <c r="H410" s="20" t="str">
        <f>'Reference Score Calculation'!I402</f>
        <v>/</v>
      </c>
      <c r="I410" s="20">
        <f>計分版!J425</f>
        <v>3.3999999999999998E-9</v>
      </c>
      <c r="J410" s="13">
        <f>'Reference Score Calculation'!T402</f>
        <v>15</v>
      </c>
      <c r="K410" s="28">
        <f>'Reference Score Calculation'!U402</f>
        <v>13</v>
      </c>
      <c r="L410" s="112">
        <f>'Reference Score Calculation'!X402</f>
        <v>10.888888888888889</v>
      </c>
      <c r="M410" s="13">
        <f>入學要求!Z411</f>
        <v>0</v>
      </c>
    </row>
    <row r="411" spans="1:13">
      <c r="A411" s="13" t="str">
        <f>'Reference Score Calculation'!A403</f>
        <v>JSSV09</v>
      </c>
      <c r="B411" s="13" t="str">
        <f>'Reference Score Calculation'!B403</f>
        <v>SSSDP</v>
      </c>
      <c r="C411" s="13" t="str">
        <f>'Reference Score Calculation'!D403</f>
        <v>運動及康樂管理（榮譽）社會科學學士</v>
      </c>
      <c r="D411" s="13" t="str">
        <f>'Reference Score Calculation'!R403</f>
        <v>BSocSc(SRM)</v>
      </c>
      <c r="E411" s="13" t="str">
        <f>'Reference Score Calculation'!E403</f>
        <v>Best 5</v>
      </c>
      <c r="F411" s="20" t="str">
        <f>'Reference Score Calculation'!G403</f>
        <v>/</v>
      </c>
      <c r="G411" s="20">
        <f>'Reference Score Calculation'!H403</f>
        <v>17</v>
      </c>
      <c r="H411" s="20" t="str">
        <f>'Reference Score Calculation'!I403</f>
        <v>/</v>
      </c>
      <c r="I411" s="20">
        <f>計分版!J426</f>
        <v>3.3999999999999998E-9</v>
      </c>
      <c r="J411" s="13">
        <f>'Reference Score Calculation'!T403</f>
        <v>25</v>
      </c>
      <c r="K411" s="28">
        <f>'Reference Score Calculation'!U403</f>
        <v>33</v>
      </c>
      <c r="L411" s="112">
        <f>'Reference Score Calculation'!X403</f>
        <v>16.1875</v>
      </c>
      <c r="M411" s="13">
        <f>入學要求!Z412</f>
        <v>0</v>
      </c>
    </row>
    <row r="412" spans="1:13">
      <c r="A412" s="13" t="str">
        <f>'Reference Score Calculation'!A404</f>
        <v>JSSV10</v>
      </c>
      <c r="B412" s="13" t="str">
        <f>'Reference Score Calculation'!B404</f>
        <v>SSSDP</v>
      </c>
      <c r="C412" s="13" t="str">
        <f>'Reference Score Calculation'!D404</f>
        <v>屋宇設備工程（榮譽）工學士</v>
      </c>
      <c r="D412" s="13" t="str">
        <f>'Reference Score Calculation'!R404</f>
        <v>BEng(BSE)</v>
      </c>
      <c r="E412" s="13" t="str">
        <f>'Reference Score Calculation'!E404</f>
        <v>Best 5</v>
      </c>
      <c r="F412" s="20" t="str">
        <f>'Reference Score Calculation'!G404</f>
        <v>/</v>
      </c>
      <c r="G412" s="20" t="str">
        <f>'Reference Score Calculation'!H404</f>
        <v>/</v>
      </c>
      <c r="H412" s="20" t="str">
        <f>'Reference Score Calculation'!I404</f>
        <v>/</v>
      </c>
      <c r="I412" s="20">
        <f>計分版!J427</f>
        <v>3.4999999999999999E-9</v>
      </c>
      <c r="J412" s="13">
        <f>'Reference Score Calculation'!T404</f>
        <v>10</v>
      </c>
      <c r="K412" s="28">
        <f>'Reference Score Calculation'!U404</f>
        <v>3</v>
      </c>
      <c r="L412" s="112">
        <f>'Reference Score Calculation'!X404</f>
        <v>16.333333333333332</v>
      </c>
      <c r="M412" s="13">
        <f>入學要求!Z413</f>
        <v>0</v>
      </c>
    </row>
    <row r="413" spans="1:13">
      <c r="A413" s="13" t="str">
        <f>'Reference Score Calculation'!A405</f>
        <v>JSSW01</v>
      </c>
      <c r="B413" s="13" t="str">
        <f>'Reference Score Calculation'!B405</f>
        <v>SSSDP</v>
      </c>
      <c r="C413" s="13" t="str">
        <f>'Reference Score Calculation'!D405</f>
        <v>營運及管理（榮譽）航空學士</v>
      </c>
      <c r="D413" s="13" t="str">
        <f>'Reference Score Calculation'!R405</f>
        <v>BAvOM</v>
      </c>
      <c r="E413" s="13" t="str">
        <f>'Reference Score Calculation'!E405</f>
        <v>Best 5</v>
      </c>
      <c r="F413" s="20" t="str">
        <f>'Reference Score Calculation'!G405</f>
        <v>/</v>
      </c>
      <c r="G413" s="20">
        <f>'Reference Score Calculation'!H405</f>
        <v>16.5</v>
      </c>
      <c r="H413" s="20" t="str">
        <f>'Reference Score Calculation'!I405</f>
        <v>/</v>
      </c>
      <c r="I413" s="20">
        <f>計分版!J428</f>
        <v>3.3999999999999998E-9</v>
      </c>
      <c r="J413" s="13">
        <f>'Reference Score Calculation'!T405</f>
        <v>15</v>
      </c>
      <c r="K413" s="28">
        <f>'Reference Score Calculation'!U405</f>
        <v>17</v>
      </c>
      <c r="L413" s="112">
        <f>'Reference Score Calculation'!X405</f>
        <v>8</v>
      </c>
      <c r="M413" s="13">
        <f>入學要求!Z414</f>
        <v>0</v>
      </c>
    </row>
    <row r="414" spans="1:13">
      <c r="A414" s="13" t="str">
        <f>'Reference Score Calculation'!A406</f>
        <v>JSSW02</v>
      </c>
      <c r="B414" s="13" t="str">
        <f>'Reference Score Calculation'!B406</f>
        <v>SSSDP</v>
      </c>
      <c r="C414" s="13" t="str">
        <f>'Reference Score Calculation'!D406</f>
        <v>航運服務及營運管理學士（榮譽）</v>
      </c>
      <c r="D414" s="13" t="str">
        <f>'Reference Score Calculation'!R406</f>
        <v>BMSOM</v>
      </c>
      <c r="E414" s="13" t="str">
        <f>'Reference Score Calculation'!E406</f>
        <v>24年新科目</v>
      </c>
      <c r="F414" s="20" t="str">
        <f>'Reference Score Calculation'!G406</f>
        <v>/</v>
      </c>
      <c r="G414" s="20" t="str">
        <f>'Reference Score Calculation'!H406</f>
        <v>/</v>
      </c>
      <c r="H414" s="20" t="str">
        <f>'Reference Score Calculation'!I406</f>
        <v>/</v>
      </c>
      <c r="I414" s="20">
        <f>計分版!J429</f>
        <v>0</v>
      </c>
      <c r="J414" s="13">
        <f>'Reference Score Calculation'!T406</f>
        <v>10</v>
      </c>
      <c r="K414" s="28" t="str">
        <f>'Reference Score Calculation'!U406</f>
        <v>/</v>
      </c>
      <c r="L414" s="112" t="str">
        <f>'Reference Score Calculation'!X406</f>
        <v>新科目</v>
      </c>
      <c r="M414" s="13">
        <f>入學要求!Z415</f>
        <v>0</v>
      </c>
    </row>
    <row r="415" spans="1:13">
      <c r="A415" s="13" t="str">
        <f>'Reference Score Calculation'!A407</f>
        <v>JSSY01</v>
      </c>
      <c r="B415" s="13" t="str">
        <f>'Reference Score Calculation'!B407</f>
        <v>SSSDP</v>
      </c>
      <c r="C415" s="13" t="str">
        <f>'Reference Score Calculation'!D407</f>
        <v>金融科技（榮譽）商學士</v>
      </c>
      <c r="D415" s="13" t="str">
        <f>'Reference Score Calculation'!R407</f>
        <v>BCom (Hons) FinTech</v>
      </c>
      <c r="E415" s="13" t="str">
        <f>'Reference Score Calculation'!E407</f>
        <v>Best 5</v>
      </c>
      <c r="F415" s="20" t="str">
        <f>'Reference Score Calculation'!G407</f>
        <v>/</v>
      </c>
      <c r="G415" s="20">
        <f>'Reference Score Calculation'!H407</f>
        <v>16.7</v>
      </c>
      <c r="H415" s="20" t="str">
        <f>'Reference Score Calculation'!I407</f>
        <v>/</v>
      </c>
      <c r="I415" s="20">
        <f>計分版!J430</f>
        <v>3.9500000000000006E-9</v>
      </c>
      <c r="J415" s="13">
        <f>'Reference Score Calculation'!T407</f>
        <v>30</v>
      </c>
      <c r="K415" s="28">
        <f>'Reference Score Calculation'!U407</f>
        <v>43</v>
      </c>
      <c r="L415" s="112">
        <f>'Reference Score Calculation'!X407</f>
        <v>6.3076923076923075</v>
      </c>
      <c r="M415" s="13">
        <f>入學要求!Z416</f>
        <v>0</v>
      </c>
    </row>
    <row r="416" spans="1:13">
      <c r="D416" s="13"/>
      <c r="K416" s="28"/>
    </row>
    <row r="417" spans="4:11">
      <c r="D417" s="13"/>
      <c r="K417" s="28"/>
    </row>
    <row r="418" spans="4:11">
      <c r="D418" s="13"/>
      <c r="K418" s="28"/>
    </row>
    <row r="419" spans="4:11">
      <c r="D419" s="13"/>
      <c r="K419" s="28"/>
    </row>
    <row r="420" spans="4:11">
      <c r="D420" s="13"/>
      <c r="K420" s="28"/>
    </row>
    <row r="421" spans="4:11">
      <c r="D421" s="13"/>
      <c r="K421" s="28"/>
    </row>
    <row r="422" spans="4:11">
      <c r="D422" s="13"/>
      <c r="K422" s="28"/>
    </row>
    <row r="423" spans="4:11">
      <c r="D423" s="13"/>
      <c r="K423" s="28"/>
    </row>
    <row r="424" spans="4:11">
      <c r="D424" s="13"/>
      <c r="K424" s="28"/>
    </row>
    <row r="425" spans="4:11">
      <c r="D425" s="13"/>
      <c r="K425" s="28"/>
    </row>
    <row r="426" spans="4:11">
      <c r="D426" s="13"/>
      <c r="K426" s="28"/>
    </row>
    <row r="427" spans="4:11">
      <c r="D427" s="13"/>
      <c r="K427" s="28"/>
    </row>
    <row r="428" spans="4:11">
      <c r="D428" s="13"/>
      <c r="K428" s="28"/>
    </row>
    <row r="429" spans="4:11">
      <c r="D429" s="13"/>
      <c r="K429" s="28"/>
    </row>
    <row r="430" spans="4:11">
      <c r="D430" s="13"/>
      <c r="K430" s="28"/>
    </row>
    <row r="431" spans="4:11">
      <c r="D431" s="13"/>
      <c r="K431" s="28"/>
    </row>
    <row r="432" spans="4:11">
      <c r="D432" s="13"/>
      <c r="K432" s="28"/>
    </row>
    <row r="433" spans="4:11">
      <c r="D433" s="13"/>
      <c r="K433" s="28"/>
    </row>
    <row r="434" spans="4:11">
      <c r="D434" s="13"/>
      <c r="K434" s="28"/>
    </row>
    <row r="435" spans="4:11">
      <c r="D435" s="13"/>
      <c r="K435" s="28"/>
    </row>
    <row r="436" spans="4:11">
      <c r="D436" s="13"/>
      <c r="K436" s="28"/>
    </row>
    <row r="437" spans="4:11">
      <c r="D437" s="13"/>
      <c r="K437" s="28"/>
    </row>
    <row r="438" spans="4:11">
      <c r="D438" s="13"/>
      <c r="K438" s="28"/>
    </row>
    <row r="439" spans="4:11">
      <c r="D439" s="13"/>
      <c r="K439" s="28"/>
    </row>
    <row r="440" spans="4:11">
      <c r="D440" s="13"/>
      <c r="K440" s="28"/>
    </row>
    <row r="441" spans="4:11">
      <c r="D441" s="13"/>
      <c r="K441" s="28"/>
    </row>
    <row r="442" spans="4:11">
      <c r="D442" s="13"/>
      <c r="K442" s="28"/>
    </row>
    <row r="443" spans="4:11">
      <c r="D443" s="13"/>
      <c r="K443" s="28"/>
    </row>
    <row r="444" spans="4:11">
      <c r="D444" s="13"/>
      <c r="K444" s="28"/>
    </row>
    <row r="445" spans="4:11">
      <c r="D445" s="13"/>
      <c r="K445" s="28"/>
    </row>
    <row r="446" spans="4:11">
      <c r="D446" s="13"/>
      <c r="K446" s="28"/>
    </row>
    <row r="447" spans="4:11">
      <c r="D447" s="13"/>
      <c r="K447" s="28"/>
    </row>
    <row r="448" spans="4:11">
      <c r="D448" s="13"/>
      <c r="K448" s="28"/>
    </row>
    <row r="449" spans="4:11">
      <c r="D449" s="13"/>
      <c r="K449" s="28"/>
    </row>
    <row r="450" spans="4:11">
      <c r="D450" s="13"/>
      <c r="K450" s="28"/>
    </row>
    <row r="451" spans="4:11">
      <c r="D451" s="13"/>
      <c r="K451" s="28"/>
    </row>
    <row r="452" spans="4:11">
      <c r="D452" s="13"/>
      <c r="K452" s="28"/>
    </row>
    <row r="453" spans="4:11">
      <c r="D453" s="13"/>
      <c r="K453" s="28"/>
    </row>
    <row r="454" spans="4:11">
      <c r="D454" s="13"/>
      <c r="K454" s="28"/>
    </row>
    <row r="455" spans="4:11">
      <c r="D455" s="13"/>
      <c r="K455" s="28"/>
    </row>
    <row r="456" spans="4:11">
      <c r="D456" s="13"/>
      <c r="K456" s="28"/>
    </row>
    <row r="457" spans="4:11">
      <c r="D457" s="13"/>
      <c r="K457" s="28"/>
    </row>
    <row r="458" spans="4:11">
      <c r="D458" s="13"/>
      <c r="K458" s="28"/>
    </row>
    <row r="459" spans="4:11">
      <c r="D459" s="13"/>
      <c r="K459" s="28"/>
    </row>
    <row r="460" spans="4:11">
      <c r="D460" s="13"/>
      <c r="K460" s="28"/>
    </row>
    <row r="461" spans="4:11">
      <c r="D461" s="13"/>
      <c r="K461" s="28"/>
    </row>
    <row r="462" spans="4:11">
      <c r="D462" s="13"/>
      <c r="K462" s="28"/>
    </row>
    <row r="463" spans="4:11">
      <c r="D463" s="13"/>
      <c r="K463" s="28"/>
    </row>
    <row r="464" spans="4:11">
      <c r="D464" s="13"/>
      <c r="K464" s="28"/>
    </row>
    <row r="465" spans="4:11">
      <c r="D465" s="13"/>
      <c r="K465" s="28"/>
    </row>
    <row r="466" spans="4:11">
      <c r="D466" s="13"/>
      <c r="K466" s="28"/>
    </row>
    <row r="467" spans="4:11">
      <c r="D467" s="13"/>
      <c r="K467" s="28"/>
    </row>
    <row r="468" spans="4:11">
      <c r="D468" s="13"/>
      <c r="K468" s="28"/>
    </row>
    <row r="469" spans="4:11">
      <c r="D469" s="13"/>
      <c r="K469" s="28"/>
    </row>
    <row r="470" spans="4:11">
      <c r="D470" s="13"/>
      <c r="K470" s="28"/>
    </row>
    <row r="471" spans="4:11">
      <c r="D471" s="13"/>
      <c r="K471" s="28"/>
    </row>
    <row r="472" spans="4:11">
      <c r="D472" s="13"/>
      <c r="K472" s="28"/>
    </row>
    <row r="473" spans="4:11">
      <c r="D473" s="13"/>
      <c r="K473" s="28"/>
    </row>
    <row r="474" spans="4:11">
      <c r="D474" s="13"/>
      <c r="K474" s="28"/>
    </row>
    <row r="475" spans="4:11">
      <c r="D475" s="13"/>
      <c r="K475" s="28"/>
    </row>
    <row r="476" spans="4:11">
      <c r="D476" s="13"/>
      <c r="K476" s="28"/>
    </row>
    <row r="477" spans="4:11">
      <c r="D477" s="13"/>
      <c r="K477" s="28"/>
    </row>
    <row r="478" spans="4:11">
      <c r="D478" s="13"/>
      <c r="K478" s="28"/>
    </row>
    <row r="479" spans="4:11">
      <c r="D479" s="13"/>
      <c r="K479" s="28"/>
    </row>
    <row r="480" spans="4:11">
      <c r="D480" s="13"/>
      <c r="K480" s="28"/>
    </row>
    <row r="481" spans="4:11">
      <c r="D481" s="13"/>
      <c r="K481" s="28"/>
    </row>
    <row r="482" spans="4:11">
      <c r="D482" s="13"/>
      <c r="K482" s="28"/>
    </row>
    <row r="483" spans="4:11">
      <c r="D483" s="13"/>
      <c r="K483" s="28"/>
    </row>
    <row r="484" spans="4:11">
      <c r="D484" s="13"/>
      <c r="K484" s="28"/>
    </row>
    <row r="485" spans="4:11">
      <c r="D485" s="13"/>
      <c r="K485" s="28"/>
    </row>
    <row r="486" spans="4:11">
      <c r="D486" s="13"/>
      <c r="K486" s="28"/>
    </row>
    <row r="487" spans="4:11">
      <c r="D487" s="13"/>
      <c r="K487" s="28"/>
    </row>
    <row r="488" spans="4:11">
      <c r="D488" s="13"/>
      <c r="K488" s="28"/>
    </row>
    <row r="489" spans="4:11">
      <c r="D489" s="13"/>
      <c r="K489" s="28"/>
    </row>
    <row r="490" spans="4:11">
      <c r="D490" s="13"/>
      <c r="K490" s="28"/>
    </row>
    <row r="491" spans="4:11">
      <c r="D491" s="13"/>
      <c r="K491" s="28"/>
    </row>
    <row r="492" spans="4:11">
      <c r="D492" s="13"/>
      <c r="K492" s="28"/>
    </row>
    <row r="493" spans="4:11">
      <c r="D493" s="13"/>
      <c r="K493" s="28"/>
    </row>
    <row r="494" spans="4:11">
      <c r="D494" s="13"/>
      <c r="K494" s="28"/>
    </row>
    <row r="495" spans="4:11">
      <c r="D495" s="13"/>
      <c r="K495" s="28"/>
    </row>
    <row r="496" spans="4:11">
      <c r="D496" s="13"/>
      <c r="K496" s="28"/>
    </row>
    <row r="497" spans="4:11">
      <c r="D497" s="13"/>
      <c r="K497" s="28"/>
    </row>
    <row r="498" spans="4:11">
      <c r="D498" s="13"/>
      <c r="K498" s="28"/>
    </row>
    <row r="499" spans="4:11">
      <c r="D499" s="13"/>
      <c r="K499" s="28"/>
    </row>
    <row r="500" spans="4:11">
      <c r="D500" s="13"/>
      <c r="K500" s="28"/>
    </row>
    <row r="501" spans="4:11">
      <c r="D501" s="13"/>
      <c r="K501" s="28"/>
    </row>
    <row r="502" spans="4:11">
      <c r="D502" s="13"/>
      <c r="K502" s="28"/>
    </row>
    <row r="503" spans="4:11">
      <c r="D503" s="13"/>
      <c r="K503" s="28"/>
    </row>
    <row r="504" spans="4:11">
      <c r="D504" s="13"/>
      <c r="K504" s="28"/>
    </row>
    <row r="505" spans="4:11">
      <c r="D505" s="13"/>
      <c r="K505" s="28"/>
    </row>
    <row r="506" spans="4:11">
      <c r="D506" s="13"/>
      <c r="K506" s="28"/>
    </row>
    <row r="507" spans="4:11">
      <c r="D507" s="13"/>
      <c r="K507" s="28"/>
    </row>
    <row r="508" spans="4:11">
      <c r="D508" s="13"/>
      <c r="K508" s="28"/>
    </row>
    <row r="509" spans="4:11">
      <c r="D509" s="13"/>
      <c r="K509" s="28"/>
    </row>
    <row r="510" spans="4:11">
      <c r="D510" s="13"/>
      <c r="K510" s="28"/>
    </row>
    <row r="511" spans="4:11">
      <c r="D511" s="13"/>
      <c r="K511" s="28"/>
    </row>
    <row r="512" spans="4:11">
      <c r="D512" s="13"/>
      <c r="K512" s="28"/>
    </row>
    <row r="513" spans="4:11">
      <c r="D513" s="13"/>
      <c r="K513" s="28"/>
    </row>
    <row r="514" spans="4:11">
      <c r="D514" s="13"/>
      <c r="K514" s="28"/>
    </row>
    <row r="515" spans="4:11">
      <c r="D515" s="13"/>
      <c r="K515" s="28"/>
    </row>
    <row r="516" spans="4:11">
      <c r="D516" s="13"/>
      <c r="K516" s="28"/>
    </row>
    <row r="517" spans="4:11">
      <c r="D517" s="13"/>
      <c r="K517" s="28"/>
    </row>
    <row r="518" spans="4:11">
      <c r="D518" s="13"/>
      <c r="K518" s="28"/>
    </row>
    <row r="519" spans="4:11">
      <c r="D519" s="13"/>
      <c r="K519" s="28"/>
    </row>
    <row r="520" spans="4:11">
      <c r="D520" s="13"/>
      <c r="K520" s="28"/>
    </row>
    <row r="521" spans="4:11">
      <c r="D521" s="13"/>
      <c r="K521" s="28"/>
    </row>
    <row r="522" spans="4:11">
      <c r="D522" s="13"/>
      <c r="K522" s="28"/>
    </row>
    <row r="523" spans="4:11">
      <c r="D523" s="13"/>
      <c r="K523" s="28"/>
    </row>
    <row r="524" spans="4:11">
      <c r="D524" s="13"/>
      <c r="K524" s="28"/>
    </row>
    <row r="525" spans="4:11">
      <c r="D525" s="13"/>
      <c r="K525" s="28"/>
    </row>
    <row r="526" spans="4:11">
      <c r="D526" s="13"/>
      <c r="K526" s="28"/>
    </row>
    <row r="527" spans="4:11">
      <c r="D527" s="13"/>
      <c r="K527" s="28"/>
    </row>
    <row r="528" spans="4:11">
      <c r="D528" s="13"/>
      <c r="K528" s="28"/>
    </row>
    <row r="529" spans="4:11">
      <c r="D529" s="13"/>
      <c r="K529" s="28"/>
    </row>
    <row r="530" spans="4:11">
      <c r="D530" s="13"/>
      <c r="K530" s="28"/>
    </row>
    <row r="531" spans="4:11">
      <c r="D531" s="13"/>
      <c r="K531" s="28"/>
    </row>
    <row r="532" spans="4:11">
      <c r="D532" s="13"/>
      <c r="K532" s="28"/>
    </row>
    <row r="533" spans="4:11">
      <c r="D533" s="13"/>
      <c r="K533" s="28"/>
    </row>
    <row r="637" spans="9:9">
      <c r="I637" s="20" t="s">
        <v>75</v>
      </c>
    </row>
    <row r="720" spans="9:9">
      <c r="I720" s="76"/>
    </row>
    <row r="757" spans="9:9">
      <c r="I757" s="76"/>
    </row>
    <row r="763" spans="9:9">
      <c r="I763" s="16"/>
    </row>
  </sheetData>
  <phoneticPr fontId="3" type="noConversion"/>
  <conditionalFormatting sqref="M19:M533">
    <cfRule type="cellIs" dxfId="266" priority="3" operator="equal">
      <formula>2</formula>
    </cfRule>
    <cfRule type="cellIs" dxfId="265" priority="4" operator="equal">
      <formula>1</formula>
    </cfRule>
    <cfRule type="cellIs" dxfId="264" priority="5" operator="equal">
      <formula>0</formula>
    </cfRule>
  </conditionalFormatting>
  <pageMargins left="0.7" right="0.7" top="0.75" bottom="0.75" header="0.3" footer="0.3"/>
  <pageSetup paperSize="9" orientation="portrait" horizontalDpi="1200" verticalDpi="12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D3387-2E56-4C47-97C1-79ABA018D5E2}">
  <sheetPr codeName="Sheet1">
    <tabColor theme="7" tint="-0.499984740745262"/>
  </sheetPr>
  <dimension ref="A1:AA77"/>
  <sheetViews>
    <sheetView topLeftCell="A18" workbookViewId="0">
      <selection activeCell="C8" sqref="C8"/>
    </sheetView>
    <sheetView topLeftCell="A9" workbookViewId="1">
      <selection activeCell="J22" sqref="J22"/>
    </sheetView>
  </sheetViews>
  <sheetFormatPr defaultColWidth="0" defaultRowHeight="13.8" zeroHeight="1"/>
  <cols>
    <col min="1" max="1" width="8.69921875" style="286" customWidth="1"/>
    <col min="2" max="2" width="1.5" style="286" customWidth="1"/>
    <col min="3" max="4" width="8.69921875" style="286" customWidth="1"/>
    <col min="5" max="5" width="10" style="286" customWidth="1"/>
    <col min="6" max="11" width="8.69921875" style="286" customWidth="1"/>
    <col min="12" max="13" width="8.19921875" style="286" customWidth="1"/>
    <col min="14" max="14" width="8.69921875" style="286" customWidth="1"/>
    <col min="15" max="15" width="9.59765625" style="286" customWidth="1"/>
    <col min="16" max="16" width="1.5" style="286" customWidth="1"/>
    <col min="17" max="17" width="3.19921875" style="286" customWidth="1"/>
    <col min="18" max="27" width="8.69921875" style="286" customWidth="1"/>
    <col min="28" max="16384" width="8.69921875" style="286" hidden="1"/>
  </cols>
  <sheetData>
    <row r="1" spans="1:18">
      <c r="F1" s="287"/>
      <c r="G1" s="287"/>
      <c r="H1" s="287"/>
      <c r="I1" s="287"/>
      <c r="J1" s="287"/>
      <c r="K1" s="287"/>
      <c r="L1" s="287"/>
      <c r="M1" s="287"/>
      <c r="N1" s="287"/>
      <c r="O1" s="287"/>
    </row>
    <row r="2" spans="1:18" ht="21.6">
      <c r="A2" s="287" t="s">
        <v>68</v>
      </c>
      <c r="C2" s="288" t="s">
        <v>69</v>
      </c>
    </row>
    <row r="3" spans="1:18" ht="18" customHeight="1">
      <c r="C3" s="288"/>
    </row>
    <row r="4" spans="1:18" ht="18" customHeight="1">
      <c r="C4" s="288"/>
      <c r="D4" s="311" t="s">
        <v>70</v>
      </c>
    </row>
    <row r="5" spans="1:18" ht="18" customHeight="1">
      <c r="C5" s="288"/>
      <c r="D5" s="311" t="s">
        <v>71</v>
      </c>
    </row>
    <row r="6" spans="1:18"/>
    <row r="7" spans="1:18" ht="14.4" thickBot="1">
      <c r="C7" s="289" t="s">
        <v>72</v>
      </c>
      <c r="D7" s="289"/>
      <c r="E7" s="289" t="s">
        <v>73</v>
      </c>
      <c r="F7" s="289" t="s">
        <v>74</v>
      </c>
      <c r="L7" s="289" t="s">
        <v>75</v>
      </c>
      <c r="N7" s="289"/>
      <c r="O7" s="289" t="s">
        <v>2894</v>
      </c>
    </row>
    <row r="8" spans="1:18" ht="14.4" thickBot="1">
      <c r="C8" s="310" t="s">
        <v>1432</v>
      </c>
      <c r="E8" s="286" t="str">
        <f>'Reference Score Calculation'!B4</f>
        <v>CUHK</v>
      </c>
      <c r="F8" s="508" t="str">
        <f>'Reference Score Calculation'!D4</f>
        <v>系統工程與工程管理</v>
      </c>
      <c r="G8" s="508"/>
      <c r="H8" s="508"/>
      <c r="I8" s="508"/>
      <c r="J8" s="508"/>
      <c r="L8" s="286">
        <f>'Reference Score Calculation'!T4</f>
        <v>53</v>
      </c>
      <c r="O8" s="286">
        <f>'Reference Score Calculation'!U4</f>
        <v>42</v>
      </c>
    </row>
    <row r="9" spans="1:18"/>
    <row r="10" spans="1:18">
      <c r="E10" s="287" t="s">
        <v>77</v>
      </c>
      <c r="F10" s="287" t="s">
        <v>78</v>
      </c>
      <c r="G10" s="287" t="s">
        <v>79</v>
      </c>
      <c r="H10" s="287" t="s">
        <v>2514</v>
      </c>
      <c r="I10" s="287" t="s">
        <v>81</v>
      </c>
      <c r="J10" s="287" t="s">
        <v>82</v>
      </c>
      <c r="L10" s="289" t="s">
        <v>83</v>
      </c>
      <c r="O10" s="289" t="s">
        <v>84</v>
      </c>
    </row>
    <row r="11" spans="1:18" ht="15.6">
      <c r="C11" s="289" t="s">
        <v>85</v>
      </c>
      <c r="E11" s="291">
        <f>入學要求!L18</f>
        <v>3</v>
      </c>
      <c r="F11" s="292">
        <f>入學要求!M18</f>
        <v>3</v>
      </c>
      <c r="G11" s="292">
        <f>入學要求!N18</f>
        <v>3</v>
      </c>
      <c r="H11" s="292">
        <f>入學要求!O18</f>
        <v>1</v>
      </c>
      <c r="I11" s="292">
        <f>入學要求!P18</f>
        <v>3</v>
      </c>
      <c r="J11" s="293">
        <f>入學要求!Q18</f>
        <v>3</v>
      </c>
      <c r="L11" s="506" t="str">
        <f>IF(入學要求!Z18=0, "否",IF(入學要求!Z18=2,"或有額外要求",IF(入學要求!Z18=1,"是")))</f>
        <v>否</v>
      </c>
      <c r="M11" s="506"/>
      <c r="O11" s="286">
        <f>'Reference Score Calculation'!X4</f>
        <v>4.33</v>
      </c>
    </row>
    <row r="12" spans="1:18">
      <c r="E12" s="290" t="str">
        <f>'Reference Score Calculation'!Z4</f>
        <v/>
      </c>
      <c r="F12" s="287"/>
      <c r="G12" s="287"/>
      <c r="H12" s="287"/>
      <c r="I12" s="287"/>
      <c r="J12" s="287"/>
      <c r="K12" s="287"/>
      <c r="O12" s="286" t="s">
        <v>86</v>
      </c>
    </row>
    <row r="13" spans="1:18">
      <c r="E13" s="290" t="str">
        <f>'Reference Score Calculation'!AA4</f>
        <v/>
      </c>
      <c r="F13" s="287"/>
      <c r="G13" s="287"/>
      <c r="H13" s="287"/>
      <c r="I13" s="287"/>
      <c r="J13" s="287"/>
      <c r="K13" s="287"/>
    </row>
    <row r="14" spans="1:18"/>
    <row r="15" spans="1:18" ht="7.95" customHeight="1"/>
    <row r="16" spans="1:18">
      <c r="C16" s="289" t="s">
        <v>87</v>
      </c>
      <c r="E16" s="286" t="str">
        <f>'Reference Score Calculation'!E4</f>
        <v>Best 5</v>
      </c>
      <c r="G16" s="508" t="str">
        <f>'Reference Score Calculation'!M4</f>
        <v>優先考慮修讀以下科目者︰</v>
      </c>
      <c r="H16" s="508"/>
      <c r="I16" s="508"/>
      <c r="J16" s="508"/>
      <c r="K16" s="508"/>
      <c r="L16" s="508"/>
      <c r="M16" s="508"/>
      <c r="N16" s="508"/>
      <c r="O16" s="508"/>
      <c r="R16" s="286" t="s">
        <v>88</v>
      </c>
    </row>
    <row r="17" spans="3:18">
      <c r="C17" s="289" t="s">
        <v>2851</v>
      </c>
      <c r="G17" s="508" t="str">
        <f>'Reference Score Calculation'!N4</f>
        <v>M1/2、生物、BAFS、化學、組合科學、經濟、ICT、物理</v>
      </c>
      <c r="H17" s="508"/>
      <c r="I17" s="508"/>
      <c r="J17" s="508"/>
      <c r="K17" s="508"/>
      <c r="L17" s="508"/>
      <c r="M17" s="508"/>
      <c r="N17" s="508"/>
      <c r="O17" s="508"/>
      <c r="R17" s="286" t="s">
        <v>89</v>
      </c>
    </row>
    <row r="18" spans="3:18">
      <c r="R18" s="286" t="s">
        <v>90</v>
      </c>
    </row>
    <row r="19" spans="3:18">
      <c r="C19" s="289" t="s">
        <v>91</v>
      </c>
      <c r="E19" s="289" t="s">
        <v>92</v>
      </c>
      <c r="G19" s="508" t="str">
        <f>'Reference Score Calculation'!O4</f>
        <v>x1.5: 數學、M1/2、生物、BAFS、化學、組合科學、經濟、ICT、物理</v>
      </c>
      <c r="H19" s="508"/>
      <c r="I19" s="508"/>
      <c r="J19" s="508"/>
      <c r="K19" s="508"/>
      <c r="L19" s="508"/>
      <c r="M19" s="508"/>
      <c r="N19" s="508"/>
      <c r="O19" s="508"/>
    </row>
    <row r="20" spans="3:18">
      <c r="E20" s="286" t="str">
        <f>'Reference Score Calculation'!S4</f>
        <v>有</v>
      </c>
      <c r="G20" s="508" t="str">
        <f>'Reference Score Calculation'!P4</f>
        <v>x0.5: 通識</v>
      </c>
      <c r="H20" s="508"/>
      <c r="I20" s="508"/>
      <c r="J20" s="508"/>
      <c r="K20" s="508"/>
      <c r="L20" s="508"/>
      <c r="M20" s="508"/>
      <c r="N20" s="508"/>
      <c r="O20" s="508"/>
    </row>
    <row r="21" spans="3:18">
      <c r="G21" s="508" t="str">
        <f>'Reference Score Calculation'!Q4</f>
        <v/>
      </c>
      <c r="H21" s="508"/>
      <c r="I21" s="508"/>
      <c r="J21" s="508"/>
      <c r="K21" s="508"/>
      <c r="L21" s="508"/>
      <c r="M21" s="508"/>
      <c r="N21" s="508"/>
      <c r="O21" s="508"/>
    </row>
    <row r="22" spans="3:18" ht="7.95" customHeight="1"/>
    <row r="23" spans="3:18"/>
    <row r="24" spans="3:18" ht="7.95" customHeight="1"/>
    <row r="25" spans="3:18">
      <c r="C25" s="289" t="s">
        <v>93</v>
      </c>
      <c r="E25" s="286" t="str">
        <f>'Reference Score Calculation'!AB4</f>
        <v>Best 5</v>
      </c>
      <c r="G25" s="508" t="str">
        <f>'Reference Score Calculation'!AE4</f>
        <v>優先考慮修讀以下科目者︰</v>
      </c>
      <c r="H25" s="508"/>
      <c r="I25" s="508"/>
      <c r="J25" s="508"/>
      <c r="K25" s="508"/>
      <c r="L25" s="508"/>
      <c r="M25" s="508"/>
      <c r="N25" s="508"/>
      <c r="O25" s="508"/>
      <c r="R25" s="286" t="s">
        <v>94</v>
      </c>
    </row>
    <row r="26" spans="3:18">
      <c r="C26" s="294" t="s">
        <v>2852</v>
      </c>
      <c r="G26" s="508" t="str">
        <f>'Reference Score Calculation'!AF4</f>
        <v>M1/2、生物、BAFS、化學、經濟、ICT、物理</v>
      </c>
      <c r="H26" s="508"/>
      <c r="I26" s="508"/>
      <c r="J26" s="508"/>
      <c r="K26" s="508"/>
      <c r="L26" s="508"/>
      <c r="M26" s="508"/>
      <c r="N26" s="508"/>
      <c r="O26" s="508"/>
      <c r="R26" s="286" t="s">
        <v>95</v>
      </c>
    </row>
    <row r="27" spans="3:18"/>
    <row r="28" spans="3:18">
      <c r="C28" s="289" t="s">
        <v>91</v>
      </c>
      <c r="E28" s="289" t="s">
        <v>92</v>
      </c>
      <c r="G28" s="508" t="str">
        <f>'Reference Score Calculation'!AG4</f>
        <v>x1.5: 數學、M1/2</v>
      </c>
      <c r="H28" s="508"/>
      <c r="I28" s="508"/>
      <c r="J28" s="508"/>
      <c r="K28" s="508"/>
      <c r="L28" s="508"/>
      <c r="M28" s="508"/>
      <c r="N28" s="508"/>
      <c r="O28" s="508"/>
    </row>
    <row r="29" spans="3:18">
      <c r="E29" s="286" t="str">
        <f>'Reference Score Calculation'!Y4</f>
        <v>有</v>
      </c>
      <c r="G29" s="508" t="str">
        <f>'Reference Score Calculation'!AH4</f>
        <v>x1.5: 生物、化學、物理、BAFS、經濟、ICT</v>
      </c>
      <c r="H29" s="508"/>
      <c r="I29" s="508"/>
      <c r="J29" s="508"/>
      <c r="K29" s="508"/>
      <c r="L29" s="508"/>
      <c r="M29" s="508"/>
      <c r="N29" s="508"/>
      <c r="O29" s="508"/>
    </row>
    <row r="30" spans="3:18">
      <c r="G30" s="508" t="str">
        <f>'Reference Score Calculation'!AI4</f>
        <v/>
      </c>
      <c r="H30" s="508"/>
      <c r="I30" s="508"/>
      <c r="J30" s="508"/>
      <c r="K30" s="508"/>
      <c r="L30" s="508"/>
      <c r="M30" s="508"/>
      <c r="N30" s="508"/>
      <c r="O30" s="508"/>
    </row>
    <row r="31" spans="3:18"/>
    <row r="32" spans="3:18">
      <c r="E32" s="289" t="s">
        <v>2853</v>
      </c>
      <c r="G32" s="507" t="str">
        <f>'Reference Score Calculation'!AC4</f>
        <v>由於本年CUHK不再為 組合科學 及 綜合科學計算比重，此處的估算分數亦不會為其計算比重。</v>
      </c>
      <c r="H32" s="507"/>
      <c r="I32" s="507"/>
      <c r="J32" s="507"/>
      <c r="K32" s="507"/>
      <c r="L32" s="507"/>
      <c r="M32" s="507"/>
      <c r="N32" s="507"/>
      <c r="O32" s="507"/>
    </row>
    <row r="33" spans="3:15">
      <c r="E33" s="289"/>
      <c r="G33" s="381" t="str">
        <f>'Reference Score Calculation'!AD4</f>
        <v/>
      </c>
      <c r="H33" s="381"/>
      <c r="I33" s="381"/>
      <c r="J33" s="381"/>
      <c r="K33" s="381"/>
      <c r="L33" s="381"/>
      <c r="M33" s="381"/>
      <c r="N33" s="381"/>
      <c r="O33" s="381"/>
    </row>
    <row r="34" spans="3:15" ht="7.95" customHeight="1"/>
    <row r="35" spans="3:15"/>
    <row r="36" spans="3:15">
      <c r="C36" s="289" t="s">
        <v>96</v>
      </c>
      <c r="E36" s="508" t="str">
        <f>'Reference Score Calculation'!AJ4</f>
        <v/>
      </c>
      <c r="F36" s="508"/>
      <c r="G36" s="508"/>
      <c r="I36" s="295" t="s">
        <v>97</v>
      </c>
      <c r="J36" s="286" t="str">
        <f>'Reference Score Calculation'!AU4</f>
        <v>無</v>
      </c>
      <c r="L36" s="295" t="s">
        <v>98</v>
      </c>
      <c r="M36" s="508" t="str">
        <f>'Reference Score Calculation'!AV4</f>
        <v/>
      </c>
      <c r="N36" s="508"/>
      <c r="O36" s="508"/>
    </row>
    <row r="37" spans="3:15">
      <c r="E37" s="290" t="str">
        <f>'Reference Score Calculation'!AK4</f>
        <v/>
      </c>
      <c r="F37" s="290"/>
      <c r="G37" s="290"/>
      <c r="M37" s="508" t="str">
        <f>'Reference Score Calculation'!AW4</f>
        <v/>
      </c>
      <c r="N37" s="508"/>
      <c r="O37" s="508"/>
    </row>
    <row r="38" spans="3:15">
      <c r="E38" s="508" t="str">
        <f>'Reference Score Calculation'!AL4</f>
        <v/>
      </c>
      <c r="F38" s="508"/>
      <c r="G38" s="508"/>
      <c r="M38" s="508"/>
      <c r="N38" s="508"/>
      <c r="O38" s="508"/>
    </row>
    <row r="39" spans="3:15"/>
    <row r="40" spans="3:15">
      <c r="C40" s="289" t="s">
        <v>99</v>
      </c>
      <c r="E40" s="508" t="str">
        <f>'Reference Score Calculation'!AM4</f>
        <v/>
      </c>
      <c r="F40" s="508"/>
      <c r="G40" s="508"/>
      <c r="H40" s="508"/>
      <c r="I40" s="508"/>
      <c r="J40" s="508"/>
      <c r="K40" s="508"/>
      <c r="L40" s="508"/>
      <c r="M40" s="508"/>
      <c r="N40" s="508"/>
      <c r="O40" s="508"/>
    </row>
    <row r="41" spans="3:15">
      <c r="E41" s="508" t="str">
        <f>'Reference Score Calculation'!AN4</f>
        <v/>
      </c>
      <c r="F41" s="508"/>
      <c r="G41" s="508"/>
      <c r="H41" s="508"/>
      <c r="I41" s="508"/>
      <c r="J41" s="508"/>
      <c r="K41" s="508"/>
      <c r="L41" s="508"/>
      <c r="M41" s="508"/>
      <c r="N41" s="508"/>
      <c r="O41" s="508"/>
    </row>
    <row r="42" spans="3:15">
      <c r="E42" s="508" t="str">
        <f>'Reference Score Calculation'!AO4</f>
        <v/>
      </c>
      <c r="F42" s="508"/>
      <c r="G42" s="508"/>
      <c r="H42" s="508"/>
      <c r="I42" s="508"/>
      <c r="J42" s="508"/>
      <c r="K42" s="508"/>
      <c r="L42" s="508"/>
      <c r="M42" s="508"/>
      <c r="N42" s="508"/>
      <c r="O42" s="508"/>
    </row>
    <row r="43" spans="3:15">
      <c r="E43" s="508" t="str">
        <f>'Reference Score Calculation'!AP4</f>
        <v/>
      </c>
      <c r="F43" s="508"/>
      <c r="G43" s="508"/>
      <c r="H43" s="508"/>
      <c r="I43" s="508"/>
      <c r="J43" s="508"/>
      <c r="K43" s="508"/>
      <c r="L43" s="508"/>
      <c r="M43" s="508"/>
      <c r="N43" s="508"/>
      <c r="O43" s="508"/>
    </row>
    <row r="44" spans="3:15">
      <c r="E44" s="508" t="str">
        <f>'Reference Score Calculation'!AQ4</f>
        <v/>
      </c>
      <c r="F44" s="508"/>
      <c r="G44" s="508"/>
      <c r="H44" s="508"/>
      <c r="I44" s="508"/>
      <c r="J44" s="508"/>
      <c r="K44" s="508"/>
      <c r="L44" s="508"/>
      <c r="M44" s="508"/>
      <c r="N44" s="508"/>
      <c r="O44" s="508"/>
    </row>
    <row r="45" spans="3:15">
      <c r="E45" s="508" t="str">
        <f>'Reference Score Calculation'!AR4</f>
        <v/>
      </c>
      <c r="F45" s="508"/>
      <c r="G45" s="508"/>
      <c r="H45" s="508"/>
      <c r="I45" s="508"/>
      <c r="J45" s="508"/>
      <c r="K45" s="508"/>
      <c r="L45" s="508"/>
      <c r="M45" s="508"/>
      <c r="N45" s="508"/>
      <c r="O45" s="508"/>
    </row>
    <row r="46" spans="3:15">
      <c r="G46" s="290"/>
      <c r="H46" s="290"/>
      <c r="I46" s="290"/>
      <c r="J46" s="290"/>
      <c r="K46" s="290"/>
      <c r="L46" s="290"/>
      <c r="M46" s="290"/>
      <c r="N46" s="290"/>
      <c r="O46" s="290"/>
    </row>
    <row r="47" spans="3:15">
      <c r="E47" s="469"/>
      <c r="F47" s="470" t="s">
        <v>3250</v>
      </c>
      <c r="G47" s="287"/>
      <c r="H47" s="287"/>
      <c r="I47" s="287"/>
      <c r="J47" s="287"/>
      <c r="K47" s="287"/>
      <c r="L47" s="287"/>
    </row>
    <row r="48" spans="3:15">
      <c r="E48" s="469"/>
      <c r="F48" s="471" t="s">
        <v>3251</v>
      </c>
      <c r="G48" s="287"/>
      <c r="H48" s="287"/>
      <c r="I48" s="287"/>
      <c r="J48" s="287"/>
      <c r="K48" s="287"/>
      <c r="L48" s="287"/>
    </row>
    <row r="49" spans="2:16">
      <c r="C49" s="289"/>
      <c r="D49" s="294"/>
      <c r="F49" s="303">
        <f>計分版!AF24</f>
        <v>0</v>
      </c>
      <c r="G49" s="303">
        <f>計分版!AG24</f>
        <v>0</v>
      </c>
      <c r="H49" s="303">
        <f>計分版!AH24</f>
        <v>0</v>
      </c>
      <c r="I49" s="303">
        <f>計分版!AI24</f>
        <v>0</v>
      </c>
      <c r="J49" s="303">
        <f>計分版!AJ24</f>
        <v>1</v>
      </c>
      <c r="K49" s="303">
        <f>計分版!AK24</f>
        <v>0</v>
      </c>
      <c r="L49" s="303">
        <f>計分版!AL24</f>
        <v>1</v>
      </c>
      <c r="M49" s="303">
        <f>計分版!AM24</f>
        <v>1</v>
      </c>
      <c r="N49" s="303">
        <f>計分版!AN24</f>
        <v>1</v>
      </c>
      <c r="O49" s="303">
        <f>計分版!AO24</f>
        <v>1</v>
      </c>
    </row>
    <row r="50" spans="2:16" ht="6" customHeight="1">
      <c r="B50" s="304"/>
      <c r="C50" s="305"/>
      <c r="D50" s="306"/>
      <c r="E50" s="304"/>
      <c r="F50" s="307"/>
      <c r="G50" s="307"/>
      <c r="H50" s="307"/>
      <c r="I50" s="307"/>
      <c r="J50" s="307"/>
      <c r="K50" s="307"/>
      <c r="L50" s="307"/>
      <c r="M50" s="304"/>
      <c r="N50" s="304"/>
      <c r="O50" s="304"/>
      <c r="P50" s="304"/>
    </row>
    <row r="51" spans="2:16">
      <c r="B51" s="304"/>
      <c r="C51" s="304"/>
      <c r="D51" s="307"/>
      <c r="E51" s="304"/>
      <c r="F51" s="307" t="s">
        <v>100</v>
      </c>
      <c r="G51" s="307" t="s">
        <v>78</v>
      </c>
      <c r="H51" s="307" t="s">
        <v>79</v>
      </c>
      <c r="I51" s="307" t="s">
        <v>80</v>
      </c>
      <c r="J51" s="307" t="s">
        <v>101</v>
      </c>
      <c r="K51" s="307" t="str">
        <f>IF(計分版!P$1="請選擇第一選修科","無",計分版!P$1)</f>
        <v>無</v>
      </c>
      <c r="L51" s="307" t="str">
        <f>IF(計分版!Q$1="請選擇第二選修科","無",計分版!Q$1)</f>
        <v>無</v>
      </c>
      <c r="M51" s="307" t="str">
        <f>IF(計分版!R$1="請選擇第三選修科","無",計分版!R$1)</f>
        <v>無</v>
      </c>
      <c r="N51" s="307" t="str">
        <f>IF(計分版!S$1="請選擇第四選修科","無",計分版!S$1)</f>
        <v>無</v>
      </c>
      <c r="O51" s="307" t="str">
        <f>IF(計分版!T$1="請選擇語言科目","無",計分版!T$1)</f>
        <v>無</v>
      </c>
      <c r="P51" s="304"/>
    </row>
    <row r="52" spans="2:16">
      <c r="B52" s="304"/>
      <c r="C52" s="304" t="s">
        <v>37</v>
      </c>
      <c r="D52" s="302">
        <f>計分版!J24</f>
        <v>0</v>
      </c>
      <c r="E52" s="304"/>
      <c r="F52" s="302">
        <f>IFERROR(計分版!K31,"")</f>
        <v>0</v>
      </c>
      <c r="G52" s="302">
        <f>IFERROR(計分版!L31,"")</f>
        <v>0</v>
      </c>
      <c r="H52" s="302">
        <f>IFERROR(計分版!M31,"")</f>
        <v>0</v>
      </c>
      <c r="I52" s="302">
        <f>IFERROR(計分版!N31,"")</f>
        <v>0</v>
      </c>
      <c r="J52" s="302">
        <f>IFERROR(計分版!O31,"")</f>
        <v>0</v>
      </c>
      <c r="K52" s="302">
        <f>IFERROR(計分版!P31,"")</f>
        <v>0</v>
      </c>
      <c r="L52" s="302">
        <f>IFERROR(計分版!Q31,"")</f>
        <v>0</v>
      </c>
      <c r="M52" s="302">
        <f>IFERROR(計分版!R31,"")</f>
        <v>0</v>
      </c>
      <c r="N52" s="302">
        <f>IFERROR(計分版!S31,"")</f>
        <v>0</v>
      </c>
      <c r="O52" s="302">
        <f>IFERROR(計分版!T31,"")</f>
        <v>0</v>
      </c>
      <c r="P52" s="304"/>
    </row>
    <row r="53" spans="2:16">
      <c r="B53" s="304"/>
      <c r="C53" s="304"/>
      <c r="D53" s="307"/>
      <c r="E53" s="308" t="s">
        <v>102</v>
      </c>
      <c r="F53" s="309">
        <f>計分版!K24</f>
        <v>1</v>
      </c>
      <c r="G53" s="309">
        <f>計分版!L24</f>
        <v>1</v>
      </c>
      <c r="H53" s="309">
        <f>計分版!M24</f>
        <v>1.5</v>
      </c>
      <c r="I53" s="309">
        <f>計分版!N24</f>
        <v>0</v>
      </c>
      <c r="J53" s="309">
        <f>計分版!O24</f>
        <v>1.5</v>
      </c>
      <c r="K53" s="309">
        <f>計分版!P24</f>
        <v>1</v>
      </c>
      <c r="L53" s="309">
        <f>計分版!Q24</f>
        <v>1</v>
      </c>
      <c r="M53" s="309">
        <f>計分版!R24</f>
        <v>1</v>
      </c>
      <c r="N53" s="309">
        <f>計分版!S24</f>
        <v>1</v>
      </c>
      <c r="O53" s="309">
        <f>計分版!T24</f>
        <v>1</v>
      </c>
      <c r="P53" s="304"/>
    </row>
    <row r="54" spans="2:16">
      <c r="B54" s="304"/>
      <c r="C54" s="304"/>
      <c r="D54" s="304"/>
      <c r="E54" s="304"/>
      <c r="F54" s="302">
        <f>IF(計分版!V24&lt;1,0,計分版!V24)</f>
        <v>0</v>
      </c>
      <c r="G54" s="302">
        <f>IF(計分版!W24&lt;1,0,計分版!W24)</f>
        <v>0</v>
      </c>
      <c r="H54" s="302">
        <f>IF(計分版!X24&lt;1,0,計分版!X24)</f>
        <v>0</v>
      </c>
      <c r="I54" s="302">
        <f>IF(計分版!Y24&lt;1,0,計分版!Y24)</f>
        <v>0</v>
      </c>
      <c r="J54" s="302">
        <f>IF(計分版!Z24&lt;1,0,計分版!Z24)</f>
        <v>0</v>
      </c>
      <c r="K54" s="302">
        <f>IF(計分版!AA24&lt;1,0,計分版!AA24)</f>
        <v>0</v>
      </c>
      <c r="L54" s="302">
        <f>IF(計分版!AB24&lt;1,0,計分版!AB24)</f>
        <v>0</v>
      </c>
      <c r="M54" s="302">
        <f>IF(計分版!AC24&lt;1,0,計分版!AC24)</f>
        <v>0</v>
      </c>
      <c r="N54" s="302">
        <f>IF(計分版!AD24&lt;1,0,計分版!AD24)</f>
        <v>0</v>
      </c>
      <c r="O54" s="302">
        <f>IF(計分版!AE24&lt;1,0,計分版!AE24)</f>
        <v>0</v>
      </c>
      <c r="P54" s="304"/>
    </row>
    <row r="55" spans="2:16" ht="9" customHeight="1">
      <c r="B55" s="304"/>
      <c r="C55" s="304"/>
      <c r="D55" s="304"/>
      <c r="E55" s="304"/>
      <c r="F55" s="307"/>
      <c r="G55" s="307"/>
      <c r="H55" s="307"/>
      <c r="I55" s="307"/>
      <c r="J55" s="307"/>
      <c r="K55" s="307"/>
      <c r="L55" s="307"/>
      <c r="M55" s="307"/>
      <c r="N55" s="307"/>
      <c r="O55" s="307"/>
      <c r="P55" s="304"/>
    </row>
    <row r="56" spans="2:16">
      <c r="D56" s="287"/>
      <c r="F56" s="287"/>
      <c r="G56" s="287"/>
      <c r="H56" s="287"/>
      <c r="I56" s="287"/>
      <c r="J56" s="287"/>
      <c r="K56" s="287"/>
      <c r="L56" s="287"/>
      <c r="M56" s="287"/>
      <c r="N56" s="287"/>
      <c r="O56" s="287"/>
    </row>
    <row r="57" spans="2:16">
      <c r="H57" s="287"/>
      <c r="I57" s="287"/>
      <c r="J57" s="287"/>
      <c r="K57" s="287"/>
      <c r="L57" s="287"/>
      <c r="M57" s="287"/>
      <c r="N57" s="287"/>
      <c r="O57" s="287"/>
    </row>
    <row r="58" spans="2:16">
      <c r="F58" s="287" t="s">
        <v>100</v>
      </c>
      <c r="G58" s="287" t="s">
        <v>78</v>
      </c>
      <c r="H58" s="287" t="s">
        <v>79</v>
      </c>
      <c r="I58" s="287" t="s">
        <v>80</v>
      </c>
      <c r="J58" s="287" t="s">
        <v>101</v>
      </c>
      <c r="K58" s="287" t="s">
        <v>103</v>
      </c>
      <c r="L58" s="287" t="s">
        <v>104</v>
      </c>
      <c r="M58" s="287" t="s">
        <v>105</v>
      </c>
      <c r="N58" s="287"/>
    </row>
    <row r="59" spans="2:16">
      <c r="C59" s="286" t="s">
        <v>106</v>
      </c>
      <c r="D59" s="302">
        <f>'Reference Score Calculation'!I4</f>
        <v>26.75</v>
      </c>
      <c r="F59" s="302">
        <f>'Reference Score Calculation'!BH4</f>
        <v>4</v>
      </c>
      <c r="G59" s="302">
        <f>'Reference Score Calculation'!BI4</f>
        <v>4</v>
      </c>
      <c r="H59" s="302">
        <f>'Reference Score Calculation'!BJ4</f>
        <v>3</v>
      </c>
      <c r="I59" s="302">
        <f>'Reference Score Calculation'!BK4</f>
        <v>4</v>
      </c>
      <c r="J59" s="302" t="str">
        <f>'Reference Score Calculation'!BL4</f>
        <v/>
      </c>
      <c r="K59" s="302">
        <f>'Reference Score Calculation'!BM4</f>
        <v>5.5</v>
      </c>
      <c r="L59" s="302">
        <f>'Reference Score Calculation'!BN4</f>
        <v>4</v>
      </c>
      <c r="M59" s="302">
        <f>'Reference Score Calculation'!BO4</f>
        <v>2</v>
      </c>
      <c r="N59" s="287"/>
      <c r="O59" s="289" t="str">
        <f>'Reference Score Calculation'!AS4</f>
        <v>此參考分數為院校公佈的 已計比重分數，沒有估算成份。</v>
      </c>
    </row>
    <row r="60" spans="2:16">
      <c r="C60" s="298"/>
      <c r="D60" s="299"/>
      <c r="E60" s="296" t="s">
        <v>102</v>
      </c>
      <c r="F60" s="297">
        <f>'Reference Score Calculation'!AY4</f>
        <v>1</v>
      </c>
      <c r="G60" s="297">
        <f>'Reference Score Calculation'!AZ4</f>
        <v>1</v>
      </c>
      <c r="H60" s="297">
        <f>'Reference Score Calculation'!BA4</f>
        <v>1.5</v>
      </c>
      <c r="I60" s="297">
        <f>'Reference Score Calculation'!BB4</f>
        <v>0.5</v>
      </c>
      <c r="J60" s="297">
        <f>'Reference Score Calculation'!BC4</f>
        <v>1.5</v>
      </c>
      <c r="K60" s="297">
        <f>'Reference Score Calculation'!BD4</f>
        <v>1.5</v>
      </c>
      <c r="L60" s="297">
        <f>'Reference Score Calculation'!BE4</f>
        <v>1.5</v>
      </c>
      <c r="M60" s="297">
        <f>'Reference Score Calculation'!BF4</f>
        <v>1.5</v>
      </c>
      <c r="N60" s="287"/>
      <c r="O60" s="289" t="str">
        <f>'Reference Score Calculation'!AT4</f>
        <v/>
      </c>
    </row>
    <row r="61" spans="2:16">
      <c r="C61" s="286" t="s">
        <v>107</v>
      </c>
      <c r="D61" s="300">
        <f>IFERROR(($D$52-D59)/D59,0)</f>
        <v>-1</v>
      </c>
      <c r="F61" s="302">
        <f>'Reference Score Calculation'!BX4</f>
        <v>4</v>
      </c>
      <c r="G61" s="302">
        <f>'Reference Score Calculation'!BY4</f>
        <v>4</v>
      </c>
      <c r="H61" s="302">
        <f>'Reference Score Calculation'!BZ4</f>
        <v>4.5</v>
      </c>
      <c r="I61" s="302">
        <f>'Reference Score Calculation'!CA4</f>
        <v>2</v>
      </c>
      <c r="J61" s="302" t="str">
        <f>'Reference Score Calculation'!CB4</f>
        <v/>
      </c>
      <c r="K61" s="302">
        <f>'Reference Score Calculation'!CC4</f>
        <v>8.25</v>
      </c>
      <c r="L61" s="302">
        <f>'Reference Score Calculation'!CD4</f>
        <v>6</v>
      </c>
      <c r="M61" s="302">
        <f>'Reference Score Calculation'!CE4</f>
        <v>3</v>
      </c>
      <c r="N61" s="287"/>
      <c r="O61" s="289"/>
    </row>
    <row r="62" spans="2:16">
      <c r="D62" s="287"/>
      <c r="F62" s="303" t="b">
        <f>'Reference Score Calculation'!CF4</f>
        <v>1</v>
      </c>
      <c r="G62" s="303" t="b">
        <f>'Reference Score Calculation'!CG4</f>
        <v>1</v>
      </c>
      <c r="H62" s="303" t="b">
        <f>'Reference Score Calculation'!CH4</f>
        <v>1</v>
      </c>
      <c r="I62" s="303" t="b">
        <f>'Reference Score Calculation'!CI4</f>
        <v>0</v>
      </c>
      <c r="J62" s="303" t="b">
        <f>'Reference Score Calculation'!CJ4</f>
        <v>0</v>
      </c>
      <c r="K62" s="303" t="b">
        <f>'Reference Score Calculation'!CK4</f>
        <v>1</v>
      </c>
      <c r="L62" s="303" t="b">
        <f>'Reference Score Calculation'!CL4</f>
        <v>1</v>
      </c>
      <c r="M62" s="303" t="b">
        <f>'Reference Score Calculation'!CM4</f>
        <v>0</v>
      </c>
      <c r="N62" s="287"/>
    </row>
    <row r="63" spans="2:16">
      <c r="D63" s="287"/>
      <c r="F63" s="301"/>
      <c r="G63" s="301"/>
      <c r="H63" s="301"/>
      <c r="I63" s="301"/>
      <c r="J63" s="301"/>
      <c r="K63" s="301"/>
      <c r="L63" s="301"/>
      <c r="M63" s="301"/>
      <c r="N63" s="287"/>
    </row>
    <row r="64" spans="2:16">
      <c r="D64" s="287"/>
      <c r="F64" s="287" t="s">
        <v>100</v>
      </c>
      <c r="G64" s="287" t="s">
        <v>78</v>
      </c>
      <c r="H64" s="287" t="s">
        <v>79</v>
      </c>
      <c r="I64" s="287" t="s">
        <v>80</v>
      </c>
      <c r="J64" s="287" t="s">
        <v>101</v>
      </c>
      <c r="K64" s="287" t="s">
        <v>103</v>
      </c>
      <c r="L64" s="287" t="s">
        <v>104</v>
      </c>
      <c r="M64" s="287" t="s">
        <v>105</v>
      </c>
      <c r="N64" s="287"/>
      <c r="O64" s="287"/>
    </row>
    <row r="65" spans="3:15">
      <c r="C65" s="286" t="s">
        <v>108</v>
      </c>
      <c r="D65" s="302">
        <f>'Reference Score Calculation'!H4</f>
        <v>28</v>
      </c>
      <c r="F65" s="302">
        <f>'Reference Score Calculation'!CW4</f>
        <v>4</v>
      </c>
      <c r="G65" s="302">
        <f>'Reference Score Calculation'!CX4</f>
        <v>3</v>
      </c>
      <c r="H65" s="302">
        <f>'Reference Score Calculation'!CY4</f>
        <v>4</v>
      </c>
      <c r="I65" s="302">
        <f>'Reference Score Calculation'!CZ4</f>
        <v>4</v>
      </c>
      <c r="J65" s="302" t="str">
        <f>'Reference Score Calculation'!DA4</f>
        <v/>
      </c>
      <c r="K65" s="302">
        <f>'Reference Score Calculation'!DB4</f>
        <v>4</v>
      </c>
      <c r="L65" s="302">
        <f>'Reference Score Calculation'!DC4</f>
        <v>4</v>
      </c>
      <c r="M65" s="302">
        <f>'Reference Score Calculation'!DD4</f>
        <v>4</v>
      </c>
      <c r="N65" s="287"/>
      <c r="O65" s="289"/>
    </row>
    <row r="66" spans="3:15">
      <c r="E66" s="296" t="s">
        <v>102</v>
      </c>
      <c r="F66" s="297">
        <f>'Reference Score Calculation'!CN4</f>
        <v>1</v>
      </c>
      <c r="G66" s="297">
        <f>'Reference Score Calculation'!CO4</f>
        <v>1</v>
      </c>
      <c r="H66" s="297">
        <f>'Reference Score Calculation'!CP4</f>
        <v>1.5</v>
      </c>
      <c r="I66" s="297">
        <f>'Reference Score Calculation'!CQ4</f>
        <v>0.5</v>
      </c>
      <c r="J66" s="297">
        <f>'Reference Score Calculation'!CR4</f>
        <v>1.5</v>
      </c>
      <c r="K66" s="297">
        <f>'Reference Score Calculation'!CS4</f>
        <v>1.5</v>
      </c>
      <c r="L66" s="297">
        <f>'Reference Score Calculation'!CT4</f>
        <v>1.5</v>
      </c>
      <c r="M66" s="297">
        <f>'Reference Score Calculation'!CU4</f>
        <v>1.5</v>
      </c>
    </row>
    <row r="67" spans="3:15">
      <c r="C67" s="286" t="s">
        <v>107</v>
      </c>
      <c r="D67" s="300">
        <f>IFERROR(($D$52-D65)/D65,0)</f>
        <v>-1</v>
      </c>
      <c r="F67" s="302">
        <f>'Reference Score Calculation'!DM4</f>
        <v>4</v>
      </c>
      <c r="G67" s="302">
        <f>'Reference Score Calculation'!DN4</f>
        <v>3</v>
      </c>
      <c r="H67" s="302">
        <f>'Reference Score Calculation'!DO4</f>
        <v>6</v>
      </c>
      <c r="I67" s="302">
        <f>'Reference Score Calculation'!DP4</f>
        <v>2</v>
      </c>
      <c r="J67" s="302" t="str">
        <f>'Reference Score Calculation'!DQ4</f>
        <v/>
      </c>
      <c r="K67" s="302">
        <f>'Reference Score Calculation'!DR4</f>
        <v>6</v>
      </c>
      <c r="L67" s="302">
        <f>'Reference Score Calculation'!DS4</f>
        <v>6</v>
      </c>
      <c r="M67" s="302">
        <f>'Reference Score Calculation'!DT4</f>
        <v>6</v>
      </c>
    </row>
    <row r="68" spans="3:15">
      <c r="D68" s="287"/>
      <c r="F68" s="303" t="b">
        <f>'Reference Score Calculation'!DU4</f>
        <v>1</v>
      </c>
      <c r="G68" s="303" t="b">
        <f>'Reference Score Calculation'!DV4</f>
        <v>0</v>
      </c>
      <c r="H68" s="303" t="b">
        <f>'Reference Score Calculation'!DW4</f>
        <v>1</v>
      </c>
      <c r="I68" s="303" t="b">
        <f>'Reference Score Calculation'!DX4</f>
        <v>0</v>
      </c>
      <c r="J68" s="303" t="b">
        <f>'Reference Score Calculation'!DY4</f>
        <v>0</v>
      </c>
      <c r="K68" s="303" t="b">
        <f>'Reference Score Calculation'!DZ4</f>
        <v>1</v>
      </c>
      <c r="L68" s="303" t="b">
        <f>'Reference Score Calculation'!EA4</f>
        <v>1</v>
      </c>
      <c r="M68" s="303" t="b">
        <f>'Reference Score Calculation'!EB4</f>
        <v>1</v>
      </c>
      <c r="O68" s="287"/>
    </row>
    <row r="69" spans="3:15">
      <c r="C69" s="289"/>
      <c r="D69" s="289"/>
      <c r="E69" s="287"/>
      <c r="F69" s="287"/>
      <c r="G69" s="287"/>
      <c r="H69" s="287"/>
      <c r="I69" s="287"/>
      <c r="J69" s="287"/>
      <c r="K69" s="287"/>
      <c r="L69" s="287"/>
    </row>
    <row r="70" spans="3:15">
      <c r="C70" s="289"/>
      <c r="D70" s="289"/>
      <c r="E70" s="287"/>
      <c r="F70" s="287" t="s">
        <v>100</v>
      </c>
      <c r="G70" s="287" t="s">
        <v>78</v>
      </c>
      <c r="H70" s="287" t="s">
        <v>79</v>
      </c>
      <c r="I70" s="287" t="s">
        <v>80</v>
      </c>
      <c r="J70" s="287" t="s">
        <v>101</v>
      </c>
      <c r="K70" s="287" t="str">
        <f>IF(計分版!P$1="請選擇第一選修科","無",計分版!P$1)</f>
        <v>無</v>
      </c>
      <c r="L70" s="287" t="str">
        <f>IF(計分版!Q$1="請選擇第二選修科","無",計分版!Q$1)</f>
        <v>無</v>
      </c>
      <c r="M70" s="287" t="str">
        <f>IF(計分版!R$1="請選擇第三選修科","無",計分版!R$1)</f>
        <v>無</v>
      </c>
      <c r="N70" s="287"/>
      <c r="O70" s="287"/>
    </row>
    <row r="71" spans="3:15">
      <c r="C71" s="286" t="s">
        <v>109</v>
      </c>
      <c r="D71" s="302">
        <f>'Reference Score Calculation'!G4</f>
        <v>30.25</v>
      </c>
      <c r="E71" s="287"/>
      <c r="F71" s="302">
        <f>IF($E$8="PolyU",計分版!K31,'Reference Score Calculation'!EK4)</f>
        <v>3</v>
      </c>
      <c r="G71" s="302">
        <f>IF($E$8="PolyU",計分版!L31,'Reference Score Calculation'!EL4)</f>
        <v>4</v>
      </c>
      <c r="H71" s="302">
        <f>IF($E$8="PolyU",計分版!M31,'Reference Score Calculation'!EM4)</f>
        <v>4</v>
      </c>
      <c r="I71" s="302">
        <f>IF($E$8="PolyU",計分版!N31,'Reference Score Calculation'!EN4)</f>
        <v>4</v>
      </c>
      <c r="J71" s="302">
        <f>IF($E$8="PolyU",計分版!O31,'Reference Score Calculation'!EO4)</f>
        <v>2</v>
      </c>
      <c r="K71" s="302">
        <f>IF($E$8="PolyU",計分版!P31,'Reference Score Calculation'!EP4)</f>
        <v>5.5</v>
      </c>
      <c r="L71" s="302">
        <f>IF($E$8="PolyU",計分版!Q31,'Reference Score Calculation'!EQ4)</f>
        <v>4</v>
      </c>
      <c r="M71" s="302">
        <f>IF($E$8="PolyU",計分版!R31,'Reference Score Calculation'!ER4)</f>
        <v>4</v>
      </c>
      <c r="N71" s="287"/>
      <c r="O71" s="287"/>
    </row>
    <row r="72" spans="3:15">
      <c r="E72" s="296" t="s">
        <v>102</v>
      </c>
      <c r="F72" s="297">
        <f>IF($E$8="PolyU",計分版!K26,'Reference Score Calculation'!EC4)</f>
        <v>1</v>
      </c>
      <c r="G72" s="297">
        <f>IF($E$8="PolyU",計分版!L26,'Reference Score Calculation'!ED4)</f>
        <v>1</v>
      </c>
      <c r="H72" s="297">
        <f>IF($E$8="PolyU",計分版!M26,'Reference Score Calculation'!EE4)</f>
        <v>1.5</v>
      </c>
      <c r="I72" s="297">
        <f>IF($E$8="PolyU",計分版!N26,'Reference Score Calculation'!EF4)</f>
        <v>0.5</v>
      </c>
      <c r="J72" s="297">
        <f>IF($E$8="PolyU",計分版!O26,'Reference Score Calculation'!EG4)</f>
        <v>1.5</v>
      </c>
      <c r="K72" s="297">
        <f>IF($E$8="PolyU",計分版!P26,'Reference Score Calculation'!EH4)</f>
        <v>1.5</v>
      </c>
      <c r="L72" s="297">
        <f>IF($E$8="PolyU",計分版!Q26,'Reference Score Calculation'!EI4)</f>
        <v>1.5</v>
      </c>
      <c r="M72" s="297">
        <f>IF($E$8="PolyU",計分版!R26,'Reference Score Calculation'!EJ4)</f>
        <v>1.5</v>
      </c>
      <c r="N72" s="297"/>
      <c r="O72" s="297"/>
    </row>
    <row r="73" spans="3:15">
      <c r="C73" s="286" t="str">
        <f>IF($E$8="PolyU","","相差")</f>
        <v>相差</v>
      </c>
      <c r="D73" s="300">
        <f>IFERROR(IF(E$8="PolyU","",($D$52-D71)/D71),0)</f>
        <v>-1</v>
      </c>
      <c r="E73" s="287"/>
      <c r="F73" s="302">
        <f>IF($E$8="PolyU",IF(計分版!V26&lt;0.1,0,計分版!V26),'Reference Score Calculation'!FA4)</f>
        <v>3</v>
      </c>
      <c r="G73" s="302">
        <f>IF($E$8="PolyU",IF(計分版!W26&lt;0.1,0,計分版!W26),'Reference Score Calculation'!FB4)</f>
        <v>4</v>
      </c>
      <c r="H73" s="302">
        <f>IF($E$8="PolyU",IF(計分版!X26&lt;0.1,0,計分版!X26),'Reference Score Calculation'!FC4)</f>
        <v>6</v>
      </c>
      <c r="I73" s="302">
        <f>IF($E$8="PolyU",IF(計分版!Y26&lt;0.1,0,計分版!Y26),'Reference Score Calculation'!FD4)</f>
        <v>2</v>
      </c>
      <c r="J73" s="302">
        <f>IF($E$8="PolyU",IF(計分版!Z26&lt;0.1,0,計分版!Z26),'Reference Score Calculation'!FE4)</f>
        <v>3</v>
      </c>
      <c r="K73" s="302">
        <f>IF($E$8="PolyU",IF(計分版!AA26&lt;0.1,0,計分版!AA26),'Reference Score Calculation'!FF4)</f>
        <v>8.25</v>
      </c>
      <c r="L73" s="302">
        <f>IF($E$8="PolyU",IF(計分版!AB26&lt;0.1,0,計分版!AB26),'Reference Score Calculation'!FG4)</f>
        <v>6</v>
      </c>
      <c r="M73" s="302">
        <f>IF($E$8="PolyU",IF(計分版!AC26&lt;0.1,0,計分版!AC26),'Reference Score Calculation'!FH4)</f>
        <v>6</v>
      </c>
      <c r="N73" s="287"/>
      <c r="O73" s="287"/>
    </row>
    <row r="74" spans="3:15">
      <c r="E74" s="287"/>
      <c r="F74" s="303" t="b">
        <f>'Reference Score Calculation'!FI4</f>
        <v>0</v>
      </c>
      <c r="G74" s="303" t="b">
        <f>'Reference Score Calculation'!FJ4</f>
        <v>1</v>
      </c>
      <c r="H74" s="303" t="b">
        <f>'Reference Score Calculation'!FK4</f>
        <v>1</v>
      </c>
      <c r="I74" s="303" t="b">
        <f>'Reference Score Calculation'!FL4</f>
        <v>0</v>
      </c>
      <c r="J74" s="303" t="b">
        <f>'Reference Score Calculation'!FM4</f>
        <v>0</v>
      </c>
      <c r="K74" s="303" t="b">
        <f>'Reference Score Calculation'!FN4</f>
        <v>1</v>
      </c>
      <c r="L74" s="303" t="b">
        <f>'Reference Score Calculation'!FO4</f>
        <v>1</v>
      </c>
      <c r="M74" s="303" t="b">
        <f>'Reference Score Calculation'!FP4</f>
        <v>1</v>
      </c>
      <c r="N74" s="301"/>
      <c r="O74" s="301"/>
    </row>
    <row r="75" spans="3:15">
      <c r="D75" s="287"/>
      <c r="E75" s="301"/>
      <c r="F75" s="301"/>
      <c r="G75" s="301"/>
      <c r="H75" s="301"/>
      <c r="I75" s="301"/>
      <c r="J75" s="301"/>
      <c r="K75" s="301"/>
      <c r="L75" s="301"/>
    </row>
    <row r="76" spans="3:15"/>
    <row r="77" spans="3:15"/>
  </sheetData>
  <sheetProtection selectLockedCells="1"/>
  <protectedRanges>
    <protectedRange sqref="H6" name="JUPAS"/>
  </protectedRanges>
  <mergeCells count="24">
    <mergeCell ref="E43:O43"/>
    <mergeCell ref="E44:O44"/>
    <mergeCell ref="E45:O45"/>
    <mergeCell ref="F8:J8"/>
    <mergeCell ref="M38:O38"/>
    <mergeCell ref="E36:G36"/>
    <mergeCell ref="E38:G38"/>
    <mergeCell ref="E40:O40"/>
    <mergeCell ref="E41:O41"/>
    <mergeCell ref="E42:O42"/>
    <mergeCell ref="G26:O26"/>
    <mergeCell ref="G28:O28"/>
    <mergeCell ref="G29:O29"/>
    <mergeCell ref="G30:O30"/>
    <mergeCell ref="M36:O36"/>
    <mergeCell ref="M37:O37"/>
    <mergeCell ref="L11:M11"/>
    <mergeCell ref="G32:O32"/>
    <mergeCell ref="G25:O25"/>
    <mergeCell ref="G16:O16"/>
    <mergeCell ref="G17:O17"/>
    <mergeCell ref="G19:O19"/>
    <mergeCell ref="G20:O20"/>
    <mergeCell ref="G21:O21"/>
  </mergeCells>
  <phoneticPr fontId="3" type="noConversion"/>
  <conditionalFormatting sqref="B16:G17 B19:G21 B25:G26 B28:G30 B32:G33 B15:P15 P16:P17 B18:P18 P19:P21 B22:P22 B24:P24 P25:P26 B27:P27 P28:P33 B31:O31 B34:P34">
    <cfRule type="expression" dxfId="263" priority="4">
      <formula>TRUE</formula>
    </cfRule>
  </conditionalFormatting>
  <conditionalFormatting sqref="C8 E8:F8 L8 O8 O11 E16 G16:G17 G19:G21 E20 E25 G25:G26 G28:G30 E29 G32:G33 E36 J36:K36 M36:M38 E37:G37 E38 E40:E45">
    <cfRule type="expression" dxfId="262" priority="3">
      <formula>TRUE</formula>
    </cfRule>
  </conditionalFormatting>
  <conditionalFormatting sqref="C57:O63">
    <cfRule type="expression" dxfId="261" priority="21" stopIfTrue="1">
      <formula>$D$59=""</formula>
    </cfRule>
  </conditionalFormatting>
  <conditionalFormatting sqref="C64:O68">
    <cfRule type="expression" dxfId="260" priority="22" stopIfTrue="1">
      <formula>$D$65=""</formula>
    </cfRule>
  </conditionalFormatting>
  <conditionalFormatting sqref="C69:O74 Q69:W74">
    <cfRule type="expression" dxfId="259" priority="23" stopIfTrue="1">
      <formula>$D$71=""</formula>
    </cfRule>
  </conditionalFormatting>
  <conditionalFormatting sqref="D73 D67 D61">
    <cfRule type="cellIs" dxfId="258" priority="27" operator="lessThan">
      <formula>0</formula>
    </cfRule>
    <cfRule type="cellIs" dxfId="257" priority="29" operator="greaterThanOrEqual">
      <formula>0</formula>
    </cfRule>
  </conditionalFormatting>
  <conditionalFormatting sqref="F67:M67 F61:M61">
    <cfRule type="expression" dxfId="250" priority="63">
      <formula>F62</formula>
    </cfRule>
  </conditionalFormatting>
  <conditionalFormatting sqref="F54:O55">
    <cfRule type="expression" dxfId="249" priority="41">
      <formula>F49</formula>
    </cfRule>
  </conditionalFormatting>
  <conditionalFormatting sqref="F73:O73">
    <cfRule type="expression" dxfId="248" priority="62">
      <formula>F74</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82" id="{86653BAB-20F3-449A-B9F8-D656B9FFF80D}">
            <xm:f>入學要求!$S$18=0</xm:f>
            <x14:dxf>
              <font>
                <color rgb="FF9C0006"/>
              </font>
              <fill>
                <patternFill>
                  <bgColor rgb="FFFFC7CE"/>
                </patternFill>
              </fill>
            </x14:dxf>
          </x14:cfRule>
          <x14:cfRule type="expression" priority="83" id="{070C1F05-6657-4B85-B24D-62CAA389D1E1}">
            <xm:f>入學要求!$S$18=2</xm:f>
            <x14:dxf>
              <font>
                <color rgb="FF9C5700"/>
              </font>
              <fill>
                <patternFill>
                  <bgColor rgb="FFFFEB9C"/>
                </patternFill>
              </fill>
            </x14:dxf>
          </x14:cfRule>
          <x14:cfRule type="expression" priority="84" id="{C68A847E-030E-483F-ABF6-6BFDAA020694}">
            <xm:f>入學要求!$S$18=1</xm:f>
            <x14:dxf>
              <font>
                <color rgb="FF006100"/>
              </font>
              <fill>
                <patternFill>
                  <bgColor rgb="FFC6EFCE"/>
                </patternFill>
              </fill>
            </x14:dxf>
          </x14:cfRule>
          <xm:sqref>E11</xm:sqref>
        </x14:conditionalFormatting>
        <x14:conditionalFormatting xmlns:xm="http://schemas.microsoft.com/office/excel/2006/main">
          <x14:cfRule type="expression" priority="79" id="{1CB9E39F-6654-4BB8-AB6A-E563B06AC0EF}">
            <xm:f>入學要求!$T$18=0</xm:f>
            <x14:dxf>
              <font>
                <color rgb="FF9C0006"/>
              </font>
              <fill>
                <patternFill>
                  <bgColor rgb="FFFFC7CE"/>
                </patternFill>
              </fill>
            </x14:dxf>
          </x14:cfRule>
          <x14:cfRule type="expression" priority="80" id="{A1CE3C34-A4C0-44A6-B734-8E9B59F0C6FB}">
            <xm:f>入學要求!$T$18=2</xm:f>
            <x14:dxf>
              <font>
                <color rgb="FF9C5700"/>
              </font>
              <fill>
                <patternFill>
                  <bgColor rgb="FFFFEB9C"/>
                </patternFill>
              </fill>
            </x14:dxf>
          </x14:cfRule>
          <x14:cfRule type="expression" priority="81" id="{88F54AB1-D35A-4C58-A97D-5CAF90AFF272}">
            <xm:f>入學要求!$T$18=1</xm:f>
            <x14:dxf>
              <font>
                <color rgb="FF006100"/>
              </font>
              <fill>
                <patternFill>
                  <bgColor rgb="FFC6EFCE"/>
                </patternFill>
              </fill>
            </x14:dxf>
          </x14:cfRule>
          <xm:sqref>F11</xm:sqref>
        </x14:conditionalFormatting>
        <x14:conditionalFormatting xmlns:xm="http://schemas.microsoft.com/office/excel/2006/main">
          <x14:cfRule type="expression" priority="76" id="{F3AFCBFC-D0DA-4E46-82E6-AD703BB34D57}">
            <xm:f>入學要求!$U$18=0</xm:f>
            <x14:dxf>
              <font>
                <color rgb="FF9C0006"/>
              </font>
              <fill>
                <patternFill>
                  <bgColor rgb="FFFFC7CE"/>
                </patternFill>
              </fill>
            </x14:dxf>
          </x14:cfRule>
          <x14:cfRule type="expression" priority="77" id="{240152D7-58E9-4F4B-B49B-1C1F9206AB84}">
            <xm:f>入學要求!$U$18=2</xm:f>
            <x14:dxf>
              <font>
                <color rgb="FF9C5700"/>
              </font>
              <fill>
                <patternFill>
                  <bgColor rgb="FFFFEB9C"/>
                </patternFill>
              </fill>
            </x14:dxf>
          </x14:cfRule>
          <x14:cfRule type="expression" priority="78" id="{4ED92262-35CE-4F47-B326-364A37E08BA4}">
            <xm:f>入學要求!$U$18=1</xm:f>
            <x14:dxf>
              <font>
                <color rgb="FF006100"/>
              </font>
              <fill>
                <patternFill>
                  <bgColor rgb="FFC6EFCE"/>
                </patternFill>
              </fill>
            </x14:dxf>
          </x14:cfRule>
          <xm:sqref>G11</xm:sqref>
        </x14:conditionalFormatting>
        <x14:conditionalFormatting xmlns:xm="http://schemas.microsoft.com/office/excel/2006/main">
          <x14:cfRule type="expression" priority="73" id="{A1F438EA-84FC-47DB-B3A6-77D1380E62CD}">
            <xm:f>入學要求!$V$18=0</xm:f>
            <x14:dxf>
              <font>
                <color rgb="FF9C0006"/>
              </font>
              <fill>
                <patternFill>
                  <bgColor rgb="FFFFC7CE"/>
                </patternFill>
              </fill>
            </x14:dxf>
          </x14:cfRule>
          <x14:cfRule type="expression" priority="74" id="{45342687-B2C4-4A68-8F2A-550F2DB52519}">
            <xm:f>入學要求!$V$18=2</xm:f>
            <x14:dxf>
              <font>
                <color rgb="FF9C5700"/>
              </font>
              <fill>
                <patternFill>
                  <bgColor rgb="FFFFEB9C"/>
                </patternFill>
              </fill>
            </x14:dxf>
          </x14:cfRule>
          <x14:cfRule type="expression" priority="75" id="{12FE55E0-CA82-4E53-B2BD-7D27197FF798}">
            <xm:f>入學要求!$V$18=1</xm:f>
            <x14:dxf>
              <font>
                <color rgb="FF006100"/>
              </font>
              <fill>
                <patternFill>
                  <bgColor rgb="FFC6EFCE"/>
                </patternFill>
              </fill>
            </x14:dxf>
          </x14:cfRule>
          <xm:sqref>H11</xm:sqref>
        </x14:conditionalFormatting>
        <x14:conditionalFormatting xmlns:xm="http://schemas.microsoft.com/office/excel/2006/main">
          <x14:cfRule type="expression" priority="70" id="{2918149A-2E63-4760-A01D-ADAEC33D2B5C}">
            <xm:f>入學要求!$W$18=0</xm:f>
            <x14:dxf>
              <font>
                <color rgb="FF9C0006"/>
              </font>
              <fill>
                <patternFill>
                  <bgColor rgb="FFFFC7CE"/>
                </patternFill>
              </fill>
            </x14:dxf>
          </x14:cfRule>
          <x14:cfRule type="expression" priority="71" id="{0581C344-1641-4289-A227-E592B329DFDA}">
            <xm:f>入學要求!$W$18=2</xm:f>
            <x14:dxf>
              <font>
                <color rgb="FF9C5700"/>
              </font>
              <fill>
                <patternFill>
                  <bgColor rgb="FFFFEB9C"/>
                </patternFill>
              </fill>
            </x14:dxf>
          </x14:cfRule>
          <x14:cfRule type="expression" priority="72" id="{CD76A91B-7F74-4841-AD69-57B72EF5F707}">
            <xm:f>入學要求!$W$18=1</xm:f>
            <x14:dxf>
              <font>
                <color rgb="FF006100"/>
              </font>
              <fill>
                <patternFill>
                  <bgColor rgb="FFC6EFCE"/>
                </patternFill>
              </fill>
            </x14:dxf>
          </x14:cfRule>
          <xm:sqref>I11</xm:sqref>
        </x14:conditionalFormatting>
        <x14:conditionalFormatting xmlns:xm="http://schemas.microsoft.com/office/excel/2006/main">
          <x14:cfRule type="expression" priority="67" id="{8CCACE6A-5044-416D-99C0-509B6A15ACD2}">
            <xm:f>入學要求!$X$18=0</xm:f>
            <x14:dxf>
              <font>
                <color rgb="FF9C0006"/>
              </font>
              <fill>
                <patternFill>
                  <bgColor rgb="FFFFC7CE"/>
                </patternFill>
              </fill>
            </x14:dxf>
          </x14:cfRule>
          <x14:cfRule type="expression" priority="68" id="{73D082A2-16E8-4E6C-9607-BC2C3AB33AA2}">
            <xm:f>入學要求!$X$18=2</xm:f>
            <x14:dxf>
              <font>
                <color rgb="FF9C5700"/>
              </font>
              <fill>
                <patternFill>
                  <bgColor rgb="FFFFEB9C"/>
                </patternFill>
              </fill>
            </x14:dxf>
          </x14:cfRule>
          <x14:cfRule type="expression" priority="69" id="{1CA3F4FC-B678-4408-8000-6EC5443D1785}">
            <xm:f>入學要求!$X$18=1</xm:f>
            <x14:dxf>
              <font>
                <color rgb="FF006100"/>
              </font>
              <fill>
                <patternFill>
                  <bgColor rgb="FFC6EFCE"/>
                </patternFill>
              </fill>
            </x14:dxf>
          </x14:cfRule>
          <xm:sqref>J11</xm:sqref>
        </x14:conditionalFormatting>
        <x14:conditionalFormatting xmlns:xm="http://schemas.microsoft.com/office/excel/2006/main">
          <x14:cfRule type="expression" priority="64" id="{628D3F64-5439-4CB4-81B2-592832FF1112}">
            <xm:f>入學要求!$Z$18=0</xm:f>
            <x14:dxf>
              <font>
                <b/>
                <i val="0"/>
                <color theme="0"/>
              </font>
              <fill>
                <patternFill>
                  <bgColor rgb="FFC00000"/>
                </patternFill>
              </fill>
            </x14:dxf>
          </x14:cfRule>
          <x14:cfRule type="expression" priority="65" id="{EFCD62EC-F6FE-417F-B07A-B4D209699822}">
            <xm:f>入學要求!$Z$18=2</xm:f>
            <x14:dxf>
              <font>
                <b/>
                <i val="0"/>
                <color theme="0"/>
              </font>
              <fill>
                <patternFill>
                  <bgColor rgb="FFE2A714"/>
                </patternFill>
              </fill>
            </x14:dxf>
          </x14:cfRule>
          <x14:cfRule type="expression" priority="66" id="{CB97B0C5-6249-438C-B029-1464260FB391}">
            <xm:f>入學要求!$Z$18=1</xm:f>
            <x14:dxf>
              <font>
                <b/>
                <i val="0"/>
                <color theme="0"/>
              </font>
              <fill>
                <patternFill>
                  <bgColor theme="9" tint="-0.24994659260841701"/>
                </patternFill>
              </fill>
            </x14:dxf>
          </x14:cfRule>
          <xm:sqref>L11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工作表5">
    <tabColor rgb="FFCC0066"/>
  </sheetPr>
  <dimension ref="A1:BF85"/>
  <sheetViews>
    <sheetView workbookViewId="0">
      <selection activeCell="B63" sqref="B63"/>
    </sheetView>
    <sheetView topLeftCell="A30" workbookViewId="1">
      <selection activeCell="I28" sqref="I28"/>
    </sheetView>
  </sheetViews>
  <sheetFormatPr defaultColWidth="0" defaultRowHeight="0" customHeight="1" zeroHeight="1"/>
  <cols>
    <col min="1" max="1" width="8.69921875" style="15" customWidth="1"/>
    <col min="2" max="2" width="9.19921875" style="4" customWidth="1"/>
    <col min="3" max="3" width="25.69921875" style="23" customWidth="1"/>
    <col min="4" max="4" width="10.5" style="4" customWidth="1"/>
    <col min="5" max="5" width="12.8984375" style="15" customWidth="1"/>
    <col min="6" max="6" width="12.3984375" style="15" customWidth="1"/>
    <col min="7" max="8" width="7.69921875" style="4" customWidth="1"/>
    <col min="9" max="9" width="7.69921875" style="15" customWidth="1"/>
    <col min="10" max="11" width="7.69921875" style="4" customWidth="1"/>
    <col min="12" max="12" width="4.69921875" style="36" customWidth="1"/>
    <col min="13" max="13" width="4.69921875" style="15" customWidth="1"/>
    <col min="14" max="14" width="15.19921875" style="4" customWidth="1"/>
    <col min="15" max="20" width="2.19921875" style="4" customWidth="1"/>
    <col min="21" max="26" width="2.19921875" style="4" hidden="1" customWidth="1"/>
    <col min="27" max="27" width="11" style="4" customWidth="1"/>
    <col min="28" max="28" width="8.69921875" style="4" customWidth="1"/>
    <col min="29" max="34" width="6.19921875" style="4" customWidth="1"/>
    <col min="35" max="35" width="8" style="4" customWidth="1"/>
    <col min="36" max="41" width="6.19921875" style="4" customWidth="1"/>
    <col min="42" max="42" width="3.19921875" style="4" customWidth="1"/>
    <col min="43" max="43" width="8.19921875" style="4" customWidth="1"/>
    <col min="44" max="58" width="8.69921875" style="4" hidden="1" customWidth="1"/>
    <col min="59" max="16384" width="8.69921875" style="4" hidden="1"/>
  </cols>
  <sheetData>
    <row r="1" spans="1:58" s="188" customFormat="1" ht="18" customHeight="1">
      <c r="A1" s="187" t="s">
        <v>110</v>
      </c>
      <c r="B1" s="188" t="s">
        <v>111</v>
      </c>
      <c r="C1" s="189" t="s">
        <v>112</v>
      </c>
      <c r="E1" s="187" t="s">
        <v>2843</v>
      </c>
      <c r="F1" s="187" t="s">
        <v>2839</v>
      </c>
      <c r="G1" s="187" t="s">
        <v>108</v>
      </c>
      <c r="H1" s="187" t="s">
        <v>106</v>
      </c>
      <c r="I1" s="187" t="s">
        <v>114</v>
      </c>
      <c r="J1" s="509" t="s">
        <v>115</v>
      </c>
      <c r="K1" s="509"/>
      <c r="L1" s="187" t="s">
        <v>38</v>
      </c>
      <c r="M1" s="187" t="s">
        <v>116</v>
      </c>
      <c r="N1" s="187"/>
      <c r="O1" s="187" t="s">
        <v>117</v>
      </c>
      <c r="P1" s="187" t="s">
        <v>118</v>
      </c>
      <c r="Q1" s="187" t="s">
        <v>119</v>
      </c>
      <c r="R1" s="187" t="s">
        <v>2807</v>
      </c>
      <c r="S1" s="187" t="s">
        <v>121</v>
      </c>
      <c r="T1" s="187" t="s">
        <v>122</v>
      </c>
      <c r="U1" s="187"/>
      <c r="V1" s="187"/>
      <c r="W1" s="187"/>
      <c r="X1" s="187"/>
      <c r="Y1" s="187"/>
      <c r="Z1" s="187"/>
      <c r="AA1" s="187" t="s">
        <v>123</v>
      </c>
      <c r="AB1" s="187" t="s">
        <v>124</v>
      </c>
      <c r="AC1" s="187" t="s">
        <v>125</v>
      </c>
      <c r="AD1" s="189" t="s">
        <v>126</v>
      </c>
      <c r="AE1" s="189" t="s">
        <v>127</v>
      </c>
      <c r="AF1" s="189" t="s">
        <v>128</v>
      </c>
      <c r="AG1" s="189" t="s">
        <v>129</v>
      </c>
      <c r="AH1" s="189" t="s">
        <v>130</v>
      </c>
      <c r="AI1" s="187" t="s">
        <v>131</v>
      </c>
      <c r="AJ1" s="187" t="s">
        <v>125</v>
      </c>
      <c r="AK1" s="189" t="s">
        <v>126</v>
      </c>
      <c r="AL1" s="189" t="s">
        <v>127</v>
      </c>
      <c r="AM1" s="189" t="s">
        <v>128</v>
      </c>
      <c r="AN1" s="189" t="s">
        <v>129</v>
      </c>
      <c r="AO1" s="189" t="s">
        <v>130</v>
      </c>
      <c r="AP1" s="187"/>
      <c r="AQ1" s="187"/>
    </row>
    <row r="2" spans="1:58" s="2" customFormat="1" ht="18" customHeight="1">
      <c r="A2" s="15" t="str">
        <f>'Reference Score Calculation'!A13</f>
        <v>JS1000</v>
      </c>
      <c r="B2" s="4" t="str">
        <f>'Reference Score Calculation'!C13</f>
        <v>商學院</v>
      </c>
      <c r="C2" s="23" t="str">
        <f>'Reference Score Calculation'!D13</f>
        <v>理學士(計算金融及金融科技)</v>
      </c>
      <c r="D2" s="4" t="str">
        <f>'Reference Score Calculation'!R13</f>
        <v>BScCFFT</v>
      </c>
      <c r="E2" s="392" t="str">
        <f>'Reference Score Calculation'!AB13</f>
        <v>3C2X</v>
      </c>
      <c r="F2" s="365" t="str">
        <f>'Reference Score Calculation'!E13</f>
        <v>4C2X</v>
      </c>
      <c r="G2" s="6">
        <f>'Reference Score Calculation'!H13</f>
        <v>27</v>
      </c>
      <c r="H2" s="6" t="str">
        <f>'Reference Score Calculation'!I13</f>
        <v>/</v>
      </c>
      <c r="I2" s="45">
        <f>計分版!J36</f>
        <v>2.7499999999999998E-9</v>
      </c>
      <c r="J2" s="185">
        <f>IFERROR(IF(J$1="差距(Median)",I2-G2,IF(J$1="差距(LQ)",I2-H2)),"/")</f>
        <v>-26.999999997250001</v>
      </c>
      <c r="K2" s="190">
        <f>IFERROR(IF(J$1="差距(Median)",(I2-G2)/I2,IF(J$1="差距(LQ)",(I2-H2)/I2)),"/")</f>
        <v>-9818181817.1818199</v>
      </c>
      <c r="L2" s="36">
        <f>'Reference Score Calculation'!T13</f>
        <v>10</v>
      </c>
      <c r="M2" s="86">
        <f>入學要求!Z22</f>
        <v>0</v>
      </c>
      <c r="N2" s="512" t="s">
        <v>2521</v>
      </c>
      <c r="O2" s="165">
        <f>入學要求!L22</f>
        <v>3</v>
      </c>
      <c r="P2" s="165">
        <f>入學要求!M22</f>
        <v>3</v>
      </c>
      <c r="Q2" s="165">
        <f>入學要求!N22</f>
        <v>4</v>
      </c>
      <c r="R2" s="165">
        <f>入學要求!O22</f>
        <v>1</v>
      </c>
      <c r="S2" s="165">
        <f>入學要求!P22</f>
        <v>3</v>
      </c>
      <c r="T2" s="165">
        <f>入學要求!Q22</f>
        <v>3</v>
      </c>
      <c r="U2" s="256">
        <f>入學要求!S22</f>
        <v>0</v>
      </c>
      <c r="V2" s="256">
        <f>入學要求!T22</f>
        <v>0</v>
      </c>
      <c r="W2" s="256">
        <f>入學要求!U22</f>
        <v>0</v>
      </c>
      <c r="X2" s="256">
        <f>入學要求!V22</f>
        <v>0</v>
      </c>
      <c r="Y2" s="256">
        <f>入學要求!W22</f>
        <v>0</v>
      </c>
      <c r="Z2" s="256">
        <f>入學要求!X22</f>
        <v>0</v>
      </c>
      <c r="AA2" s="44">
        <f>IFERROR(ROUND(AK2/AD2,2),"/")</f>
        <v>33</v>
      </c>
      <c r="AB2" s="510" t="s">
        <v>2513</v>
      </c>
      <c r="AC2" s="36" cm="1">
        <f t="array" ref="AC2">IFERROR(INDEX('Offer Statistics'!$Q$2:$Q$400,MATCH(1,(CityU!$A2='Offer Statistics'!$B$2:$B$400)*(CityU!$AB$2='Offer Statistics'!$K$2:$K$400),0)),"/")</f>
        <v>3</v>
      </c>
      <c r="AD2" s="64" cm="1">
        <f t="array" ref="AD2">IFERROR(INDEX('Offer Statistics'!L$2:L$400,MATCH(1,(CityU!$A2='Offer Statistics'!$B$2:$B$400)*(CityU!$AB$2='Offer Statistics'!$K$2:$K$400),0)),"/")</f>
        <v>3</v>
      </c>
      <c r="AE2" s="64" cm="1">
        <f t="array" ref="AE2">IFERROR(INDEX('Offer Statistics'!M$2:M$400,MATCH(1,(CityU!$A2='Offer Statistics'!$B$2:$B$400)*(CityU!$AB$2='Offer Statistics'!$K$2:$K$400),0)),"/")</f>
        <v>0</v>
      </c>
      <c r="AF2" s="64" cm="1">
        <f t="array" ref="AF2">IFERROR(INDEX('Offer Statistics'!N$2:N$400,MATCH(1,(CityU!$A2='Offer Statistics'!$B$2:$B$400)*(CityU!$AB$2='Offer Statistics'!$K$2:$K$400),0)),"/")</f>
        <v>0</v>
      </c>
      <c r="AG2" s="64" cm="1">
        <f t="array" ref="AG2">IFERROR(INDEX('Offer Statistics'!O$2:O$400,MATCH(1,(CityU!$A2='Offer Statistics'!$B$2:$B$400)*(CityU!$AB$2='Offer Statistics'!$K$2:$K$400),0)),"/")</f>
        <v>0</v>
      </c>
      <c r="AH2" s="64" cm="1">
        <f t="array" ref="AH2">IFERROR(INDEX('Offer Statistics'!P$2:P$400,MATCH(1,(CityU!$A2='Offer Statistics'!$B$2:$B$400)*(CityU!$AB$2='Offer Statistics'!$K$2:$K$400),0)),"/")</f>
        <v>0</v>
      </c>
      <c r="AI2" s="511" t="str">
        <f>AB2</f>
        <v>2023年</v>
      </c>
      <c r="AJ2" s="36" cm="1">
        <f t="array" ref="AJ2">IFERROR(INDEX('Offer Statistics'!$I$2:$I$400,MATCH(1,(CityU!$A2='Offer Statistics'!$B$2:$B$400)*(CityU!$AB$2='Offer Statistics'!$C$2:$C$400),0)),"/")</f>
        <v>1189</v>
      </c>
      <c r="AK2" s="64" cm="1">
        <f t="array" ref="AK2">IFERROR(INDEX('Offer Statistics'!D$2:D$400,MATCH(1,(CityU!$A2='Offer Statistics'!$B$2:$B$400)*(CityU!$AB$2='Offer Statistics'!$C$2:$C$400),0)),"/")</f>
        <v>99</v>
      </c>
      <c r="AL2" s="64" cm="1">
        <f t="array" ref="AL2">IFERROR(INDEX('Offer Statistics'!E$2:E$400,MATCH(1,(CityU!$A2='Offer Statistics'!$B$2:$B$400)*(CityU!$AB$2='Offer Statistics'!$C$2:$C$400),0)),"/")</f>
        <v>141</v>
      </c>
      <c r="AM2" s="64" cm="1">
        <f t="array" ref="AM2">IFERROR(INDEX('Offer Statistics'!F$2:F$400,MATCH(1,(CityU!$A2='Offer Statistics'!$B$2:$B$400)*(CityU!$AB$2='Offer Statistics'!$C$2:$C$400),0)),"/")</f>
        <v>284</v>
      </c>
      <c r="AN2" s="64" cm="1">
        <f t="array" ref="AN2">IFERROR(INDEX('Offer Statistics'!G$2:G$400,MATCH(1,(CityU!$A2='Offer Statistics'!$B$2:$B$400)*(CityU!$AB$2='Offer Statistics'!$C$2:$C$400),0)),"/")</f>
        <v>336</v>
      </c>
      <c r="AO2" s="64" cm="1">
        <f t="array" ref="AO2">IFERROR(INDEX('Offer Statistics'!H$2:H$400,MATCH(1,(CityU!$A2='Offer Statistics'!$B$2:$B$400)*(CityU!$AB$2='Offer Statistics'!$C$2:$C$400),0)),"/")</f>
        <v>329</v>
      </c>
      <c r="AP2" s="15"/>
      <c r="AQ2" s="15" t="str">
        <f t="shared" ref="AQ2:AQ34" si="0">A2</f>
        <v>JS1000</v>
      </c>
      <c r="AR2" s="4"/>
      <c r="AS2" s="4"/>
      <c r="AT2" s="4"/>
      <c r="AU2" s="4"/>
      <c r="AV2" s="4"/>
      <c r="AW2" s="4"/>
      <c r="AX2" s="4"/>
      <c r="AY2" s="4"/>
      <c r="AZ2" s="4"/>
      <c r="BA2" s="4"/>
      <c r="BB2" s="4"/>
      <c r="BC2" s="4"/>
      <c r="BD2" s="4"/>
      <c r="BE2" s="4"/>
      <c r="BF2" s="4"/>
    </row>
    <row r="3" spans="1:58" s="2" customFormat="1" ht="18" customHeight="1">
      <c r="A3" s="15" t="str">
        <f>'Reference Score Calculation'!A14</f>
        <v>JS1001</v>
      </c>
      <c r="B3" s="4" t="str">
        <f>'Reference Score Calculation'!C14</f>
        <v>商學院</v>
      </c>
      <c r="C3" s="23" t="str">
        <f>'Reference Score Calculation'!D14</f>
        <v>工商管理學士(環球商業)</v>
      </c>
      <c r="D3" s="4" t="str">
        <f>'Reference Score Calculation'!R14</f>
        <v>BBAGBU</v>
      </c>
      <c r="E3" s="392" t="str">
        <f>'Reference Score Calculation'!AB14</f>
        <v>3C2X</v>
      </c>
      <c r="F3" s="365" t="str">
        <f>'Reference Score Calculation'!E14</f>
        <v>4C2X</v>
      </c>
      <c r="G3" s="6">
        <f>'Reference Score Calculation'!H14</f>
        <v>29</v>
      </c>
      <c r="H3" s="6" t="str">
        <f>'Reference Score Calculation'!I14</f>
        <v>/</v>
      </c>
      <c r="I3" s="45">
        <f>計分版!J37</f>
        <v>2.7499999999999998E-9</v>
      </c>
      <c r="J3" s="185">
        <f t="shared" ref="J3:J56" si="1">IFERROR(IF(J$1="差距(Median)",I3-G3,IF(J$1="差距(LQ)",I3-H3)),"/")</f>
        <v>-28.999999997250001</v>
      </c>
      <c r="K3" s="190">
        <f t="shared" ref="K3:K56" si="2">IFERROR(IF(J$1="差距(Median)",(I3-G3)/I3,IF(J$1="差距(LQ)",(I3-H3)/I3)),"/")</f>
        <v>-10545454544.454546</v>
      </c>
      <c r="L3" s="36">
        <f>'Reference Score Calculation'!T14</f>
        <v>15</v>
      </c>
      <c r="M3" s="86">
        <f>入學要求!Z23</f>
        <v>0</v>
      </c>
      <c r="N3" s="512"/>
      <c r="O3" s="166">
        <f>入學要求!L23</f>
        <v>3</v>
      </c>
      <c r="P3" s="166">
        <f>入學要求!M23</f>
        <v>3</v>
      </c>
      <c r="Q3" s="166">
        <f>入學要求!N23</f>
        <v>3</v>
      </c>
      <c r="R3" s="166">
        <f>入學要求!O23</f>
        <v>1</v>
      </c>
      <c r="S3" s="166">
        <f>入學要求!P23</f>
        <v>3</v>
      </c>
      <c r="T3" s="166">
        <f>入學要求!Q23</f>
        <v>3</v>
      </c>
      <c r="U3" s="256">
        <f>入學要求!S23</f>
        <v>0</v>
      </c>
      <c r="V3" s="256">
        <f>入學要求!T23</f>
        <v>0</v>
      </c>
      <c r="W3" s="256">
        <f>入學要求!U23</f>
        <v>0</v>
      </c>
      <c r="X3" s="256">
        <f>入學要求!V23</f>
        <v>0</v>
      </c>
      <c r="Y3" s="256">
        <f>入學要求!W23</f>
        <v>0</v>
      </c>
      <c r="Z3" s="256">
        <f>入學要求!X23</f>
        <v>0</v>
      </c>
      <c r="AA3" s="44">
        <f t="shared" ref="AA3:AA56" si="3">IFERROR(ROUND(AK3/AD3,2),"/")</f>
        <v>58</v>
      </c>
      <c r="AB3" s="510"/>
      <c r="AC3" s="36" cm="1">
        <f t="array" ref="AC3">IFERROR(INDEX('Offer Statistics'!$Q$2:$Q$400,MATCH(1,(CityU!$A3='Offer Statistics'!$B$2:$B$400)*(CityU!$AB$2='Offer Statistics'!$K$2:$K$400),0)),"/")</f>
        <v>4</v>
      </c>
      <c r="AD3" s="64" cm="1">
        <f t="array" ref="AD3">IFERROR(INDEX('Offer Statistics'!L$2:L$400,MATCH(1,(CityU!$A3='Offer Statistics'!$B$2:$B$400)*(CityU!$AB$2='Offer Statistics'!$K$2:$K$400),0)),"/")</f>
        <v>2</v>
      </c>
      <c r="AE3" s="64" cm="1">
        <f t="array" ref="AE3">IFERROR(INDEX('Offer Statistics'!M$2:M$400,MATCH(1,(CityU!$A3='Offer Statistics'!$B$2:$B$400)*(CityU!$AB$2='Offer Statistics'!$K$2:$K$400),0)),"/")</f>
        <v>1</v>
      </c>
      <c r="AF3" s="64" cm="1">
        <f t="array" ref="AF3">IFERROR(INDEX('Offer Statistics'!N$2:N$400,MATCH(1,(CityU!$A3='Offer Statistics'!$B$2:$B$400)*(CityU!$AB$2='Offer Statistics'!$K$2:$K$400),0)),"/")</f>
        <v>0</v>
      </c>
      <c r="AG3" s="64" cm="1">
        <f t="array" ref="AG3">IFERROR(INDEX('Offer Statistics'!O$2:O$400,MATCH(1,(CityU!$A3='Offer Statistics'!$B$2:$B$400)*(CityU!$AB$2='Offer Statistics'!$K$2:$K$400),0)),"/")</f>
        <v>0</v>
      </c>
      <c r="AH3" s="64" cm="1">
        <f t="array" ref="AH3">IFERROR(INDEX('Offer Statistics'!P$2:P$400,MATCH(1,(CityU!$A3='Offer Statistics'!$B$2:$B$400)*(CityU!$AB$2='Offer Statistics'!$K$2:$K$400),0)),"/")</f>
        <v>1</v>
      </c>
      <c r="AI3" s="511"/>
      <c r="AJ3" s="36" cm="1">
        <f t="array" ref="AJ3">IFERROR(INDEX('Offer Statistics'!$I$2:$I$400,MATCH(1,(CityU!$A3='Offer Statistics'!$B$2:$B$400)*(CityU!$AB$2='Offer Statistics'!$C$2:$C$400),0)),"/")</f>
        <v>2020</v>
      </c>
      <c r="AK3" s="64" cm="1">
        <f t="array" ref="AK3">IFERROR(INDEX('Offer Statistics'!D$2:D$400,MATCH(1,(CityU!$A3='Offer Statistics'!$B$2:$B$400)*(CityU!$AB$2='Offer Statistics'!$C$2:$C$400),0)),"/")</f>
        <v>116</v>
      </c>
      <c r="AL3" s="64" cm="1">
        <f t="array" ref="AL3">IFERROR(INDEX('Offer Statistics'!E$2:E$400,MATCH(1,(CityU!$A3='Offer Statistics'!$B$2:$B$400)*(CityU!$AB$2='Offer Statistics'!$C$2:$C$400),0)),"/")</f>
        <v>375</v>
      </c>
      <c r="AM3" s="64" cm="1">
        <f t="array" ref="AM3">IFERROR(INDEX('Offer Statistics'!F$2:F$400,MATCH(1,(CityU!$A3='Offer Statistics'!$B$2:$B$400)*(CityU!$AB$2='Offer Statistics'!$C$2:$C$400),0)),"/")</f>
        <v>487</v>
      </c>
      <c r="AN3" s="64" cm="1">
        <f t="array" ref="AN3">IFERROR(INDEX('Offer Statistics'!G$2:G$400,MATCH(1,(CityU!$A3='Offer Statistics'!$B$2:$B$400)*(CityU!$AB$2='Offer Statistics'!$C$2:$C$400),0)),"/")</f>
        <v>589</v>
      </c>
      <c r="AO3" s="64" cm="1">
        <f t="array" ref="AO3">IFERROR(INDEX('Offer Statistics'!H$2:H$400,MATCH(1,(CityU!$A3='Offer Statistics'!$B$2:$B$400)*(CityU!$AB$2='Offer Statistics'!$C$2:$C$400),0)),"/")</f>
        <v>453</v>
      </c>
      <c r="AP3" s="15"/>
      <c r="AQ3" s="15" t="str">
        <f t="shared" si="0"/>
        <v>JS1001</v>
      </c>
      <c r="AR3" s="4"/>
      <c r="AS3" s="4"/>
      <c r="AT3" s="4"/>
      <c r="AU3" s="4"/>
      <c r="AV3" s="4"/>
      <c r="AW3" s="4"/>
      <c r="AX3" s="4"/>
      <c r="AY3" s="4"/>
      <c r="AZ3" s="4"/>
      <c r="BA3" s="4"/>
      <c r="BB3" s="4"/>
      <c r="BC3" s="4"/>
      <c r="BD3" s="4"/>
      <c r="BE3" s="4"/>
      <c r="BF3" s="4"/>
    </row>
    <row r="4" spans="1:58" s="2" customFormat="1" ht="18" customHeight="1">
      <c r="A4" s="15" t="str">
        <f>'Reference Score Calculation'!A15</f>
        <v>JS1002</v>
      </c>
      <c r="B4" s="4" t="str">
        <f>'Reference Score Calculation'!C15</f>
        <v>商學院</v>
      </c>
      <c r="C4" s="23" t="str">
        <f>'Reference Score Calculation'!D15</f>
        <v>工商管理學士(會計)</v>
      </c>
      <c r="D4" s="4" t="str">
        <f>'Reference Score Calculation'!R15</f>
        <v>BBAAC</v>
      </c>
      <c r="E4" s="392" t="str">
        <f>'Reference Score Calculation'!AB15</f>
        <v>Best 5</v>
      </c>
      <c r="F4" s="390" t="str">
        <f>'Reference Score Calculation'!E15</f>
        <v>Best 6</v>
      </c>
      <c r="G4" s="6">
        <f>'Reference Score Calculation'!H15</f>
        <v>24</v>
      </c>
      <c r="H4" s="6">
        <f>'Reference Score Calculation'!I15</f>
        <v>23</v>
      </c>
      <c r="I4" s="45">
        <f>計分版!J38</f>
        <v>3.8500000000000006E-9</v>
      </c>
      <c r="J4" s="185">
        <f t="shared" si="1"/>
        <v>-23.999999996149999</v>
      </c>
      <c r="K4" s="190">
        <f t="shared" si="2"/>
        <v>-6233766232.7662325</v>
      </c>
      <c r="L4" s="36">
        <f>'Reference Score Calculation'!T15</f>
        <v>150</v>
      </c>
      <c r="M4" s="86">
        <f>入學要求!Z24</f>
        <v>0</v>
      </c>
      <c r="N4" s="512"/>
      <c r="O4" s="166">
        <f>入學要求!L24</f>
        <v>3</v>
      </c>
      <c r="P4" s="166">
        <f>入學要求!M24</f>
        <v>3</v>
      </c>
      <c r="Q4" s="166">
        <f>入學要求!N24</f>
        <v>3</v>
      </c>
      <c r="R4" s="166">
        <f>入學要求!O24</f>
        <v>1</v>
      </c>
      <c r="S4" s="166">
        <f>入學要求!P24</f>
        <v>3</v>
      </c>
      <c r="T4" s="166">
        <f>入學要求!Q24</f>
        <v>3</v>
      </c>
      <c r="U4" s="256">
        <f>入學要求!S24</f>
        <v>0</v>
      </c>
      <c r="V4" s="256">
        <f>入學要求!T24</f>
        <v>0</v>
      </c>
      <c r="W4" s="256">
        <f>入學要求!U24</f>
        <v>0</v>
      </c>
      <c r="X4" s="256">
        <f>入學要求!V24</f>
        <v>0</v>
      </c>
      <c r="Y4" s="256">
        <f>入學要求!W24</f>
        <v>0</v>
      </c>
      <c r="Z4" s="256">
        <f>入學要求!X24</f>
        <v>0</v>
      </c>
      <c r="AA4" s="44">
        <f t="shared" si="3"/>
        <v>6.68</v>
      </c>
      <c r="AB4" s="510"/>
      <c r="AC4" s="36" cm="1">
        <f t="array" ref="AC4">IFERROR(INDEX('Offer Statistics'!$Q$2:$Q$400,MATCH(1,(CityU!$A4='Offer Statistics'!$B$2:$B$400)*(CityU!$AB$2='Offer Statistics'!$K$2:$K$400),0)),"/")</f>
        <v>144</v>
      </c>
      <c r="AD4" s="64" cm="1">
        <f t="array" ref="AD4">IFERROR(INDEX('Offer Statistics'!L$2:L$400,MATCH(1,(CityU!$A4='Offer Statistics'!$B$2:$B$400)*(CityU!$AB$2='Offer Statistics'!$K$2:$K$400),0)),"/")</f>
        <v>137</v>
      </c>
      <c r="AE4" s="64" cm="1">
        <f t="array" ref="AE4">IFERROR(INDEX('Offer Statistics'!M$2:M$400,MATCH(1,(CityU!$A4='Offer Statistics'!$B$2:$B$400)*(CityU!$AB$2='Offer Statistics'!$K$2:$K$400),0)),"/")</f>
        <v>6</v>
      </c>
      <c r="AF4" s="64" cm="1">
        <f t="array" ref="AF4">IFERROR(INDEX('Offer Statistics'!N$2:N$400,MATCH(1,(CityU!$A4='Offer Statistics'!$B$2:$B$400)*(CityU!$AB$2='Offer Statistics'!$K$2:$K$400),0)),"/")</f>
        <v>0</v>
      </c>
      <c r="AG4" s="64" cm="1">
        <f t="array" ref="AG4">IFERROR(INDEX('Offer Statistics'!O$2:O$400,MATCH(1,(CityU!$A4='Offer Statistics'!$B$2:$B$400)*(CityU!$AB$2='Offer Statistics'!$K$2:$K$400),0)),"/")</f>
        <v>0</v>
      </c>
      <c r="AH4" s="64" cm="1">
        <f t="array" ref="AH4">IFERROR(INDEX('Offer Statistics'!P$2:P$400,MATCH(1,(CityU!$A4='Offer Statistics'!$B$2:$B$400)*(CityU!$AB$2='Offer Statistics'!$K$2:$K$400),0)),"/")</f>
        <v>1</v>
      </c>
      <c r="AI4" s="511"/>
      <c r="AJ4" s="36" cm="1">
        <f t="array" ref="AJ4">IFERROR(INDEX('Offer Statistics'!$I$2:$I$400,MATCH(1,(CityU!$A4='Offer Statistics'!$B$2:$B$400)*(CityU!$AB$2='Offer Statistics'!$C$2:$C$400),0)),"/")</f>
        <v>4153</v>
      </c>
      <c r="AK4" s="64" cm="1">
        <f t="array" ref="AK4">IFERROR(INDEX('Offer Statistics'!D$2:D$400,MATCH(1,(CityU!$A4='Offer Statistics'!$B$2:$B$400)*(CityU!$AB$2='Offer Statistics'!$C$2:$C$400),0)),"/")</f>
        <v>915</v>
      </c>
      <c r="AL4" s="64" cm="1">
        <f t="array" ref="AL4">IFERROR(INDEX('Offer Statistics'!E$2:E$400,MATCH(1,(CityU!$A4='Offer Statistics'!$B$2:$B$400)*(CityU!$AB$2='Offer Statistics'!$C$2:$C$400),0)),"/")</f>
        <v>838</v>
      </c>
      <c r="AM4" s="64" cm="1">
        <f t="array" ref="AM4">IFERROR(INDEX('Offer Statistics'!F$2:F$400,MATCH(1,(CityU!$A4='Offer Statistics'!$B$2:$B$400)*(CityU!$AB$2='Offer Statistics'!$C$2:$C$400),0)),"/")</f>
        <v>874</v>
      </c>
      <c r="AN4" s="64" cm="1">
        <f t="array" ref="AN4">IFERROR(INDEX('Offer Statistics'!G$2:G$400,MATCH(1,(CityU!$A4='Offer Statistics'!$B$2:$B$400)*(CityU!$AB$2='Offer Statistics'!$C$2:$C$400),0)),"/")</f>
        <v>911</v>
      </c>
      <c r="AO4" s="64" cm="1">
        <f t="array" ref="AO4">IFERROR(INDEX('Offer Statistics'!H$2:H$400,MATCH(1,(CityU!$A4='Offer Statistics'!$B$2:$B$400)*(CityU!$AB$2='Offer Statistics'!$C$2:$C$400),0)),"/")</f>
        <v>615</v>
      </c>
      <c r="AP4" s="15"/>
      <c r="AQ4" s="15" t="str">
        <f t="shared" si="0"/>
        <v>JS1002</v>
      </c>
      <c r="AR4" s="4"/>
      <c r="AS4" s="4"/>
      <c r="AT4" s="4"/>
      <c r="AU4" s="4"/>
      <c r="AV4" s="4"/>
      <c r="AW4" s="4"/>
      <c r="AX4" s="4"/>
      <c r="AY4" s="4"/>
      <c r="AZ4" s="4"/>
      <c r="BA4" s="4"/>
      <c r="BB4" s="4"/>
      <c r="BC4" s="4"/>
      <c r="BD4" s="4"/>
      <c r="BE4" s="4"/>
      <c r="BF4" s="4"/>
    </row>
    <row r="5" spans="1:58" s="2" customFormat="1" ht="18" customHeight="1">
      <c r="A5" s="15" t="str">
        <f>'Reference Score Calculation'!A16</f>
        <v>JS1005</v>
      </c>
      <c r="B5" s="4" t="str">
        <f>'Reference Score Calculation'!C16</f>
        <v>商學院</v>
      </c>
      <c r="C5" s="23" t="str">
        <f>'Reference Score Calculation'!D16</f>
        <v>工商管理學士(管理學)</v>
      </c>
      <c r="D5" s="4" t="str">
        <f>'Reference Score Calculation'!R16</f>
        <v>BBAMGMT</v>
      </c>
      <c r="E5" s="392" t="str">
        <f>'Reference Score Calculation'!AB16</f>
        <v>Best 5</v>
      </c>
      <c r="F5" s="390" t="str">
        <f>'Reference Score Calculation'!E16</f>
        <v>4C2X</v>
      </c>
      <c r="G5" s="6">
        <f>'Reference Score Calculation'!H16</f>
        <v>24</v>
      </c>
      <c r="H5" s="6">
        <f>'Reference Score Calculation'!I16</f>
        <v>23</v>
      </c>
      <c r="I5" s="45">
        <f>計分版!J39</f>
        <v>2.7499999999999998E-9</v>
      </c>
      <c r="J5" s="185">
        <f t="shared" si="1"/>
        <v>-23.999999997250001</v>
      </c>
      <c r="K5" s="190">
        <f t="shared" si="2"/>
        <v>-8727272726.272728</v>
      </c>
      <c r="L5" s="36">
        <f>'Reference Score Calculation'!T16</f>
        <v>60</v>
      </c>
      <c r="M5" s="86">
        <f>入學要求!Z25</f>
        <v>0</v>
      </c>
      <c r="N5" s="512"/>
      <c r="O5" s="166">
        <f>入學要求!L25</f>
        <v>3</v>
      </c>
      <c r="P5" s="166">
        <f>入學要求!M25</f>
        <v>3</v>
      </c>
      <c r="Q5" s="166">
        <f>入學要求!N25</f>
        <v>3</v>
      </c>
      <c r="R5" s="166">
        <f>入學要求!O25</f>
        <v>1</v>
      </c>
      <c r="S5" s="166">
        <f>入學要求!P25</f>
        <v>3</v>
      </c>
      <c r="T5" s="166">
        <f>入學要求!Q25</f>
        <v>3</v>
      </c>
      <c r="U5" s="256">
        <f>入學要求!S25</f>
        <v>0</v>
      </c>
      <c r="V5" s="256">
        <f>入學要求!T25</f>
        <v>0</v>
      </c>
      <c r="W5" s="256">
        <f>入學要求!U25</f>
        <v>0</v>
      </c>
      <c r="X5" s="256">
        <f>入學要求!V25</f>
        <v>0</v>
      </c>
      <c r="Y5" s="256">
        <f>入學要求!W25</f>
        <v>0</v>
      </c>
      <c r="Z5" s="256">
        <f>入學要求!X25</f>
        <v>0</v>
      </c>
      <c r="AA5" s="44">
        <f t="shared" si="3"/>
        <v>12.52</v>
      </c>
      <c r="AB5" s="510"/>
      <c r="AC5" s="36" cm="1">
        <f t="array" ref="AC5">IFERROR(INDEX('Offer Statistics'!$Q$2:$Q$400,MATCH(1,(CityU!$A5='Offer Statistics'!$B$2:$B$400)*(CityU!$AB$2='Offer Statistics'!$K$2:$K$400),0)),"/")</f>
        <v>51</v>
      </c>
      <c r="AD5" s="64" cm="1">
        <f t="array" ref="AD5">IFERROR(INDEX('Offer Statistics'!L$2:L$400,MATCH(1,(CityU!$A5='Offer Statistics'!$B$2:$B$400)*(CityU!$AB$2='Offer Statistics'!$K$2:$K$400),0)),"/")</f>
        <v>46</v>
      </c>
      <c r="AE5" s="64" cm="1">
        <f t="array" ref="AE5">IFERROR(INDEX('Offer Statistics'!M$2:M$400,MATCH(1,(CityU!$A5='Offer Statistics'!$B$2:$B$400)*(CityU!$AB$2='Offer Statistics'!$K$2:$K$400),0)),"/")</f>
        <v>4</v>
      </c>
      <c r="AF5" s="64" cm="1">
        <f t="array" ref="AF5">IFERROR(INDEX('Offer Statistics'!N$2:N$400,MATCH(1,(CityU!$A5='Offer Statistics'!$B$2:$B$400)*(CityU!$AB$2='Offer Statistics'!$K$2:$K$400),0)),"/")</f>
        <v>1</v>
      </c>
      <c r="AG5" s="64" cm="1">
        <f t="array" ref="AG5">IFERROR(INDEX('Offer Statistics'!O$2:O$400,MATCH(1,(CityU!$A5='Offer Statistics'!$B$2:$B$400)*(CityU!$AB$2='Offer Statistics'!$K$2:$K$400),0)),"/")</f>
        <v>0</v>
      </c>
      <c r="AH5" s="64" cm="1">
        <f t="array" ref="AH5">IFERROR(INDEX('Offer Statistics'!P$2:P$400,MATCH(1,(CityU!$A5='Offer Statistics'!$B$2:$B$400)*(CityU!$AB$2='Offer Statistics'!$K$2:$K$400),0)),"/")</f>
        <v>0</v>
      </c>
      <c r="AI5" s="511"/>
      <c r="AJ5" s="36" cm="1">
        <f t="array" ref="AJ5">IFERROR(INDEX('Offer Statistics'!$I$2:$I$400,MATCH(1,(CityU!$A5='Offer Statistics'!$B$2:$B$400)*(CityU!$AB$2='Offer Statistics'!$C$2:$C$400),0)),"/")</f>
        <v>5014</v>
      </c>
      <c r="AK5" s="64" cm="1">
        <f t="array" ref="AK5">IFERROR(INDEX('Offer Statistics'!D$2:D$400,MATCH(1,(CityU!$A5='Offer Statistics'!$B$2:$B$400)*(CityU!$AB$2='Offer Statistics'!$C$2:$C$400),0)),"/")</f>
        <v>576</v>
      </c>
      <c r="AL5" s="64" cm="1">
        <f t="array" ref="AL5">IFERROR(INDEX('Offer Statistics'!E$2:E$400,MATCH(1,(CityU!$A5='Offer Statistics'!$B$2:$B$400)*(CityU!$AB$2='Offer Statistics'!$C$2:$C$400),0)),"/")</f>
        <v>936</v>
      </c>
      <c r="AM5" s="64" cm="1">
        <f t="array" ref="AM5">IFERROR(INDEX('Offer Statistics'!F$2:F$400,MATCH(1,(CityU!$A5='Offer Statistics'!$B$2:$B$400)*(CityU!$AB$2='Offer Statistics'!$C$2:$C$400),0)),"/")</f>
        <v>1334</v>
      </c>
      <c r="AN5" s="64" cm="1">
        <f t="array" ref="AN5">IFERROR(INDEX('Offer Statistics'!G$2:G$400,MATCH(1,(CityU!$A5='Offer Statistics'!$B$2:$B$400)*(CityU!$AB$2='Offer Statistics'!$C$2:$C$400),0)),"/")</f>
        <v>1370</v>
      </c>
      <c r="AO5" s="64" cm="1">
        <f t="array" ref="AO5">IFERROR(INDEX('Offer Statistics'!H$2:H$400,MATCH(1,(CityU!$A5='Offer Statistics'!$B$2:$B$400)*(CityU!$AB$2='Offer Statistics'!$C$2:$C$400),0)),"/")</f>
        <v>798</v>
      </c>
      <c r="AP5" s="15"/>
      <c r="AQ5" s="15" t="str">
        <f t="shared" si="0"/>
        <v>JS1005</v>
      </c>
      <c r="AR5" s="4"/>
      <c r="AS5" s="4"/>
      <c r="AT5" s="4"/>
      <c r="AU5" s="4"/>
      <c r="AV5" s="4"/>
      <c r="AW5" s="4"/>
      <c r="AX5" s="4"/>
      <c r="AY5" s="4"/>
      <c r="AZ5" s="4"/>
      <c r="BA5" s="4"/>
      <c r="BB5" s="4"/>
      <c r="BC5" s="4"/>
      <c r="BD5" s="4"/>
      <c r="BE5" s="4"/>
      <c r="BF5" s="4"/>
    </row>
    <row r="6" spans="1:58" s="2" customFormat="1" ht="18" customHeight="1">
      <c r="A6" s="15" t="str">
        <f>'Reference Score Calculation'!A17</f>
        <v>JS1007</v>
      </c>
      <c r="B6" s="4" t="str">
        <f>'Reference Score Calculation'!C17</f>
        <v>商學院</v>
      </c>
      <c r="C6" s="23" t="str">
        <f>'Reference Score Calculation'!D17</f>
        <v>工商管理學士(市場營銷)</v>
      </c>
      <c r="D6" s="4" t="str">
        <f>'Reference Score Calculation'!R17</f>
        <v>BBAMKT</v>
      </c>
      <c r="E6" s="392" t="str">
        <f>'Reference Score Calculation'!AB17</f>
        <v>3C2X</v>
      </c>
      <c r="F6" s="386" t="str">
        <f>'Reference Score Calculation'!E17</f>
        <v>4C2X</v>
      </c>
      <c r="G6" s="6">
        <f>'Reference Score Calculation'!H17</f>
        <v>26</v>
      </c>
      <c r="H6" s="6">
        <f>'Reference Score Calculation'!I17</f>
        <v>25.5</v>
      </c>
      <c r="I6" s="45">
        <f>計分版!J40</f>
        <v>2.8499999999999999E-9</v>
      </c>
      <c r="J6" s="185">
        <f t="shared" si="1"/>
        <v>-25.999999997149999</v>
      </c>
      <c r="K6" s="190">
        <f t="shared" si="2"/>
        <v>-9122807016.5438595</v>
      </c>
      <c r="L6" s="36">
        <f>'Reference Score Calculation'!T17</f>
        <v>85</v>
      </c>
      <c r="M6" s="86">
        <f>入學要求!Z26</f>
        <v>0</v>
      </c>
      <c r="N6" s="512"/>
      <c r="O6" s="166">
        <f>入學要求!L26</f>
        <v>3</v>
      </c>
      <c r="P6" s="166">
        <f>入學要求!M26</f>
        <v>3</v>
      </c>
      <c r="Q6" s="166">
        <f>入學要求!N26</f>
        <v>3</v>
      </c>
      <c r="R6" s="166">
        <f>入學要求!O26</f>
        <v>1</v>
      </c>
      <c r="S6" s="166">
        <f>入學要求!P26</f>
        <v>3</v>
      </c>
      <c r="T6" s="166">
        <f>入學要求!Q26</f>
        <v>3</v>
      </c>
      <c r="U6" s="256">
        <f>入學要求!S26</f>
        <v>0</v>
      </c>
      <c r="V6" s="256">
        <f>入學要求!T26</f>
        <v>0</v>
      </c>
      <c r="W6" s="256">
        <f>入學要求!U26</f>
        <v>0</v>
      </c>
      <c r="X6" s="256">
        <f>入學要求!V26</f>
        <v>0</v>
      </c>
      <c r="Y6" s="256">
        <f>入學要求!W26</f>
        <v>0</v>
      </c>
      <c r="Z6" s="256">
        <f>入學要求!X26</f>
        <v>0</v>
      </c>
      <c r="AA6" s="44">
        <f t="shared" si="3"/>
        <v>8.9</v>
      </c>
      <c r="AB6" s="510"/>
      <c r="AC6" s="36" cm="1">
        <f t="array" ref="AC6">IFERROR(INDEX('Offer Statistics'!$Q$2:$Q$400,MATCH(1,(CityU!$A6='Offer Statistics'!$B$2:$B$400)*(CityU!$AB$2='Offer Statistics'!$K$2:$K$400),0)),"/")</f>
        <v>89</v>
      </c>
      <c r="AD6" s="64" cm="1">
        <f t="array" ref="AD6">IFERROR(INDEX('Offer Statistics'!L$2:L$400,MATCH(1,(CityU!$A6='Offer Statistics'!$B$2:$B$400)*(CityU!$AB$2='Offer Statistics'!$K$2:$K$400),0)),"/")</f>
        <v>83</v>
      </c>
      <c r="AE6" s="64" cm="1">
        <f t="array" ref="AE6">IFERROR(INDEX('Offer Statistics'!M$2:M$400,MATCH(1,(CityU!$A6='Offer Statistics'!$B$2:$B$400)*(CityU!$AB$2='Offer Statistics'!$K$2:$K$400),0)),"/")</f>
        <v>6</v>
      </c>
      <c r="AF6" s="64" cm="1">
        <f t="array" ref="AF6">IFERROR(INDEX('Offer Statistics'!N$2:N$400,MATCH(1,(CityU!$A6='Offer Statistics'!$B$2:$B$400)*(CityU!$AB$2='Offer Statistics'!$K$2:$K$400),0)),"/")</f>
        <v>0</v>
      </c>
      <c r="AG6" s="64" cm="1">
        <f t="array" ref="AG6">IFERROR(INDEX('Offer Statistics'!O$2:O$400,MATCH(1,(CityU!$A6='Offer Statistics'!$B$2:$B$400)*(CityU!$AB$2='Offer Statistics'!$K$2:$K$400),0)),"/")</f>
        <v>0</v>
      </c>
      <c r="AH6" s="64" cm="1">
        <f t="array" ref="AH6">IFERROR(INDEX('Offer Statistics'!P$2:P$400,MATCH(1,(CityU!$A6='Offer Statistics'!$B$2:$B$400)*(CityU!$AB$2='Offer Statistics'!$K$2:$K$400),0)),"/")</f>
        <v>0</v>
      </c>
      <c r="AI6" s="511"/>
      <c r="AJ6" s="36" cm="1">
        <f t="array" ref="AJ6">IFERROR(INDEX('Offer Statistics'!$I$2:$I$400,MATCH(1,(CityU!$A6='Offer Statistics'!$B$2:$B$400)*(CityU!$AB$2='Offer Statistics'!$C$2:$C$400),0)),"/")</f>
        <v>4631</v>
      </c>
      <c r="AK6" s="64" cm="1">
        <f t="array" ref="AK6">IFERROR(INDEX('Offer Statistics'!D$2:D$400,MATCH(1,(CityU!$A6='Offer Statistics'!$B$2:$B$400)*(CityU!$AB$2='Offer Statistics'!$C$2:$C$400),0)),"/")</f>
        <v>739</v>
      </c>
      <c r="AL6" s="64" cm="1">
        <f t="array" ref="AL6">IFERROR(INDEX('Offer Statistics'!E$2:E$400,MATCH(1,(CityU!$A6='Offer Statistics'!$B$2:$B$400)*(CityU!$AB$2='Offer Statistics'!$C$2:$C$400),0)),"/")</f>
        <v>850</v>
      </c>
      <c r="AM6" s="64" cm="1">
        <f t="array" ref="AM6">IFERROR(INDEX('Offer Statistics'!F$2:F$400,MATCH(1,(CityU!$A6='Offer Statistics'!$B$2:$B$400)*(CityU!$AB$2='Offer Statistics'!$C$2:$C$400),0)),"/")</f>
        <v>1113</v>
      </c>
      <c r="AN6" s="64" cm="1">
        <f t="array" ref="AN6">IFERROR(INDEX('Offer Statistics'!G$2:G$400,MATCH(1,(CityU!$A6='Offer Statistics'!$B$2:$B$400)*(CityU!$AB$2='Offer Statistics'!$C$2:$C$400),0)),"/")</f>
        <v>1205</v>
      </c>
      <c r="AO6" s="64" cm="1">
        <f t="array" ref="AO6">IFERROR(INDEX('Offer Statistics'!H$2:H$400,MATCH(1,(CityU!$A6='Offer Statistics'!$B$2:$B$400)*(CityU!$AB$2='Offer Statistics'!$C$2:$C$400),0)),"/")</f>
        <v>724</v>
      </c>
      <c r="AP6" s="15"/>
      <c r="AQ6" s="15" t="str">
        <f t="shared" si="0"/>
        <v>JS1007</v>
      </c>
      <c r="AR6" s="4"/>
      <c r="AS6" s="4"/>
      <c r="AT6" s="4"/>
      <c r="AU6" s="4"/>
      <c r="AV6" s="4"/>
      <c r="AW6" s="4"/>
      <c r="AX6" s="4"/>
      <c r="AY6" s="4"/>
      <c r="AZ6" s="4"/>
      <c r="BA6" s="4"/>
      <c r="BB6" s="4"/>
      <c r="BC6" s="4"/>
      <c r="BD6" s="4"/>
      <c r="BE6" s="4"/>
      <c r="BF6" s="4"/>
    </row>
    <row r="7" spans="1:58" s="2" customFormat="1" ht="18" customHeight="1">
      <c r="A7" s="15" t="str">
        <f>'Reference Score Calculation'!A18</f>
        <v>JS1012</v>
      </c>
      <c r="B7" s="4" t="str">
        <f>'Reference Score Calculation'!C18</f>
        <v>商學院</v>
      </c>
      <c r="C7" s="23" t="str">
        <f>'Reference Score Calculation'!D18</f>
        <v>經濟及金融系 [選項: 工商管理學士(商業經濟)、工商管理學士(金融)]</v>
      </c>
      <c r="D7" s="4" t="str">
        <f>'Reference Score Calculation'!R18</f>
        <v>EF</v>
      </c>
      <c r="E7" s="392" t="str">
        <f>'Reference Score Calculation'!AB18</f>
        <v>Best 5</v>
      </c>
      <c r="F7" s="390" t="str">
        <f>'Reference Score Calculation'!E18</f>
        <v>4C2X</v>
      </c>
      <c r="G7" s="6">
        <f>'Reference Score Calculation'!H18</f>
        <v>24</v>
      </c>
      <c r="H7" s="6">
        <f>'Reference Score Calculation'!I18</f>
        <v>24</v>
      </c>
      <c r="I7" s="45">
        <f>計分版!J41</f>
        <v>2.7499999999999998E-9</v>
      </c>
      <c r="J7" s="185">
        <f t="shared" si="1"/>
        <v>-23.999999997250001</v>
      </c>
      <c r="K7" s="190">
        <f t="shared" si="2"/>
        <v>-8727272726.272728</v>
      </c>
      <c r="L7" s="36">
        <f>'Reference Score Calculation'!T18</f>
        <v>20</v>
      </c>
      <c r="M7" s="86">
        <f>入學要求!Z27</f>
        <v>0</v>
      </c>
      <c r="N7" s="512"/>
      <c r="O7" s="166">
        <f>入學要求!L27</f>
        <v>3</v>
      </c>
      <c r="P7" s="166">
        <f>入學要求!M27</f>
        <v>3</v>
      </c>
      <c r="Q7" s="166">
        <f>入學要求!N27</f>
        <v>3</v>
      </c>
      <c r="R7" s="166">
        <f>入學要求!O27</f>
        <v>1</v>
      </c>
      <c r="S7" s="166">
        <f>入學要求!P27</f>
        <v>3</v>
      </c>
      <c r="T7" s="166">
        <f>入學要求!Q27</f>
        <v>3</v>
      </c>
      <c r="U7" s="256">
        <f>入學要求!S27</f>
        <v>0</v>
      </c>
      <c r="V7" s="256">
        <f>入學要求!T27</f>
        <v>0</v>
      </c>
      <c r="W7" s="256">
        <f>入學要求!U27</f>
        <v>0</v>
      </c>
      <c r="X7" s="256">
        <f>入學要求!V27</f>
        <v>0</v>
      </c>
      <c r="Y7" s="256">
        <f>入學要求!W27</f>
        <v>0</v>
      </c>
      <c r="Z7" s="256">
        <f>入學要求!X27</f>
        <v>0</v>
      </c>
      <c r="AA7" s="44">
        <f t="shared" si="3"/>
        <v>12.32</v>
      </c>
      <c r="AB7" s="510"/>
      <c r="AC7" s="36" cm="1">
        <f t="array" ref="AC7">IFERROR(INDEX('Offer Statistics'!$Q$2:$Q$400,MATCH(1,(CityU!$A7='Offer Statistics'!$B$2:$B$400)*(CityU!$AB$2='Offer Statistics'!$K$2:$K$400),0)),"/")</f>
        <v>22</v>
      </c>
      <c r="AD7" s="64" cm="1">
        <f t="array" ref="AD7">IFERROR(INDEX('Offer Statistics'!L$2:L$400,MATCH(1,(CityU!$A7='Offer Statistics'!$B$2:$B$400)*(CityU!$AB$2='Offer Statistics'!$K$2:$K$400),0)),"/")</f>
        <v>19</v>
      </c>
      <c r="AE7" s="64" cm="1">
        <f t="array" ref="AE7">IFERROR(INDEX('Offer Statistics'!M$2:M$400,MATCH(1,(CityU!$A7='Offer Statistics'!$B$2:$B$400)*(CityU!$AB$2='Offer Statistics'!$K$2:$K$400),0)),"/")</f>
        <v>2</v>
      </c>
      <c r="AF7" s="64" cm="1">
        <f t="array" ref="AF7">IFERROR(INDEX('Offer Statistics'!N$2:N$400,MATCH(1,(CityU!$A7='Offer Statistics'!$B$2:$B$400)*(CityU!$AB$2='Offer Statistics'!$K$2:$K$400),0)),"/")</f>
        <v>0</v>
      </c>
      <c r="AG7" s="64" cm="1">
        <f t="array" ref="AG7">IFERROR(INDEX('Offer Statistics'!O$2:O$400,MATCH(1,(CityU!$A7='Offer Statistics'!$B$2:$B$400)*(CityU!$AB$2='Offer Statistics'!$K$2:$K$400),0)),"/")</f>
        <v>1</v>
      </c>
      <c r="AH7" s="64" cm="1">
        <f t="array" ref="AH7">IFERROR(INDEX('Offer Statistics'!P$2:P$400,MATCH(1,(CityU!$A7='Offer Statistics'!$B$2:$B$400)*(CityU!$AB$2='Offer Statistics'!$K$2:$K$400),0)),"/")</f>
        <v>0</v>
      </c>
      <c r="AI7" s="511"/>
      <c r="AJ7" s="36" cm="1">
        <f t="array" ref="AJ7">IFERROR(INDEX('Offer Statistics'!$I$2:$I$400,MATCH(1,(CityU!$A7='Offer Statistics'!$B$2:$B$400)*(CityU!$AB$2='Offer Statistics'!$C$2:$C$400),0)),"/")</f>
        <v>2910</v>
      </c>
      <c r="AK7" s="64" cm="1">
        <f t="array" ref="AK7">IFERROR(INDEX('Offer Statistics'!D$2:D$400,MATCH(1,(CityU!$A7='Offer Statistics'!$B$2:$B$400)*(CityU!$AB$2='Offer Statistics'!$C$2:$C$400),0)),"/")</f>
        <v>234</v>
      </c>
      <c r="AL7" s="64" cm="1">
        <f t="array" ref="AL7">IFERROR(INDEX('Offer Statistics'!E$2:E$400,MATCH(1,(CityU!$A7='Offer Statistics'!$B$2:$B$400)*(CityU!$AB$2='Offer Statistics'!$C$2:$C$400),0)),"/")</f>
        <v>481</v>
      </c>
      <c r="AM7" s="64" cm="1">
        <f t="array" ref="AM7">IFERROR(INDEX('Offer Statistics'!F$2:F$400,MATCH(1,(CityU!$A7='Offer Statistics'!$B$2:$B$400)*(CityU!$AB$2='Offer Statistics'!$C$2:$C$400),0)),"/")</f>
        <v>719</v>
      </c>
      <c r="AN7" s="64" cm="1">
        <f t="array" ref="AN7">IFERROR(INDEX('Offer Statistics'!G$2:G$400,MATCH(1,(CityU!$A7='Offer Statistics'!$B$2:$B$400)*(CityU!$AB$2='Offer Statistics'!$C$2:$C$400),0)),"/")</f>
        <v>901</v>
      </c>
      <c r="AO7" s="64" cm="1">
        <f t="array" ref="AO7">IFERROR(INDEX('Offer Statistics'!H$2:H$400,MATCH(1,(CityU!$A7='Offer Statistics'!$B$2:$B$400)*(CityU!$AB$2='Offer Statistics'!$C$2:$C$400),0)),"/")</f>
        <v>575</v>
      </c>
      <c r="AP7" s="15"/>
      <c r="AQ7" s="15" t="str">
        <f t="shared" si="0"/>
        <v>JS1012</v>
      </c>
      <c r="AR7" s="4"/>
      <c r="AS7" s="4"/>
      <c r="AT7" s="4"/>
      <c r="AU7" s="4"/>
      <c r="AV7" s="4"/>
      <c r="AW7" s="4"/>
      <c r="AX7" s="4"/>
      <c r="AY7" s="4"/>
      <c r="AZ7" s="4"/>
      <c r="BA7" s="4"/>
      <c r="BB7" s="4"/>
      <c r="BC7" s="4"/>
      <c r="BD7" s="4"/>
      <c r="BE7" s="4"/>
      <c r="BF7" s="4"/>
    </row>
    <row r="8" spans="1:58" s="2" customFormat="1" ht="18" customHeight="1">
      <c r="A8" s="15" t="str">
        <f>'Reference Score Calculation'!A19</f>
        <v>JS1013</v>
      </c>
      <c r="B8" s="4" t="str">
        <f>'Reference Score Calculation'!C19</f>
        <v>商學院</v>
      </c>
      <c r="C8" s="23" t="str">
        <f>'Reference Score Calculation'!D19</f>
        <v>工商管理學士(商業經濟)</v>
      </c>
      <c r="D8" s="4" t="str">
        <f>'Reference Score Calculation'!R19</f>
        <v>BBABE</v>
      </c>
      <c r="E8" s="392" t="str">
        <f>'Reference Score Calculation'!AB19</f>
        <v>Best 5</v>
      </c>
      <c r="F8" s="390" t="str">
        <f>'Reference Score Calculation'!E19</f>
        <v>4C2X</v>
      </c>
      <c r="G8" s="6">
        <f>'Reference Score Calculation'!H19</f>
        <v>23</v>
      </c>
      <c r="H8" s="6">
        <f>'Reference Score Calculation'!I19</f>
        <v>23</v>
      </c>
      <c r="I8" s="45">
        <f>計分版!J42</f>
        <v>2.7499999999999998E-9</v>
      </c>
      <c r="J8" s="185">
        <f t="shared" si="1"/>
        <v>-22.999999997250001</v>
      </c>
      <c r="K8" s="190">
        <f t="shared" si="2"/>
        <v>-8363636362.636364</v>
      </c>
      <c r="L8" s="36">
        <f>'Reference Score Calculation'!T19</f>
        <v>36</v>
      </c>
      <c r="M8" s="86">
        <f>入學要求!Z28</f>
        <v>0</v>
      </c>
      <c r="N8" s="512"/>
      <c r="O8" s="166">
        <f>入學要求!L28</f>
        <v>3</v>
      </c>
      <c r="P8" s="166">
        <f>入學要求!M28</f>
        <v>3</v>
      </c>
      <c r="Q8" s="166">
        <f>入學要求!N28</f>
        <v>3</v>
      </c>
      <c r="R8" s="166">
        <f>入學要求!O28</f>
        <v>1</v>
      </c>
      <c r="S8" s="166">
        <f>入學要求!P28</f>
        <v>3</v>
      </c>
      <c r="T8" s="166">
        <f>入學要求!Q28</f>
        <v>3</v>
      </c>
      <c r="U8" s="256">
        <f>入學要求!S28</f>
        <v>0</v>
      </c>
      <c r="V8" s="256">
        <f>入學要求!T28</f>
        <v>0</v>
      </c>
      <c r="W8" s="256">
        <f>入學要求!U28</f>
        <v>0</v>
      </c>
      <c r="X8" s="256">
        <f>入學要求!V28</f>
        <v>0</v>
      </c>
      <c r="Y8" s="256">
        <f>入學要求!W28</f>
        <v>0</v>
      </c>
      <c r="Z8" s="256">
        <f>入學要求!X28</f>
        <v>0</v>
      </c>
      <c r="AA8" s="44">
        <f t="shared" si="3"/>
        <v>9.17</v>
      </c>
      <c r="AB8" s="510"/>
      <c r="AC8" s="36" cm="1">
        <f t="array" ref="AC8">IFERROR(INDEX('Offer Statistics'!$Q$2:$Q$400,MATCH(1,(CityU!$A8='Offer Statistics'!$B$2:$B$400)*(CityU!$AB$2='Offer Statistics'!$K$2:$K$400),0)),"/")</f>
        <v>35</v>
      </c>
      <c r="AD8" s="64" cm="1">
        <f t="array" ref="AD8">IFERROR(INDEX('Offer Statistics'!L$2:L$400,MATCH(1,(CityU!$A8='Offer Statistics'!$B$2:$B$400)*(CityU!$AB$2='Offer Statistics'!$K$2:$K$400),0)),"/")</f>
        <v>30</v>
      </c>
      <c r="AE8" s="64" cm="1">
        <f t="array" ref="AE8">IFERROR(INDEX('Offer Statistics'!M$2:M$400,MATCH(1,(CityU!$A8='Offer Statistics'!$B$2:$B$400)*(CityU!$AB$2='Offer Statistics'!$K$2:$K$400),0)),"/")</f>
        <v>1</v>
      </c>
      <c r="AF8" s="64" cm="1">
        <f t="array" ref="AF8">IFERROR(INDEX('Offer Statistics'!N$2:N$400,MATCH(1,(CityU!$A8='Offer Statistics'!$B$2:$B$400)*(CityU!$AB$2='Offer Statistics'!$K$2:$K$400),0)),"/")</f>
        <v>3</v>
      </c>
      <c r="AG8" s="64" cm="1">
        <f t="array" ref="AG8">IFERROR(INDEX('Offer Statistics'!O$2:O$400,MATCH(1,(CityU!$A8='Offer Statistics'!$B$2:$B$400)*(CityU!$AB$2='Offer Statistics'!$K$2:$K$400),0)),"/")</f>
        <v>1</v>
      </c>
      <c r="AH8" s="64" cm="1">
        <f t="array" ref="AH8">IFERROR(INDEX('Offer Statistics'!P$2:P$400,MATCH(1,(CityU!$A8='Offer Statistics'!$B$2:$B$400)*(CityU!$AB$2='Offer Statistics'!$K$2:$K$400),0)),"/")</f>
        <v>0</v>
      </c>
      <c r="AI8" s="511"/>
      <c r="AJ8" s="36" cm="1">
        <f t="array" ref="AJ8">IFERROR(INDEX('Offer Statistics'!$I$2:$I$400,MATCH(1,(CityU!$A8='Offer Statistics'!$B$2:$B$400)*(CityU!$AB$2='Offer Statistics'!$C$2:$C$400),0)),"/")</f>
        <v>3602</v>
      </c>
      <c r="AK8" s="64" cm="1">
        <f t="array" ref="AK8">IFERROR(INDEX('Offer Statistics'!D$2:D$400,MATCH(1,(CityU!$A8='Offer Statistics'!$B$2:$B$400)*(CityU!$AB$2='Offer Statistics'!$C$2:$C$400),0)),"/")</f>
        <v>275</v>
      </c>
      <c r="AL8" s="64" cm="1">
        <f t="array" ref="AL8">IFERROR(INDEX('Offer Statistics'!E$2:E$400,MATCH(1,(CityU!$A8='Offer Statistics'!$B$2:$B$400)*(CityU!$AB$2='Offer Statistics'!$C$2:$C$400),0)),"/")</f>
        <v>588</v>
      </c>
      <c r="AM8" s="64" cm="1">
        <f t="array" ref="AM8">IFERROR(INDEX('Offer Statistics'!F$2:F$400,MATCH(1,(CityU!$A8='Offer Statistics'!$B$2:$B$400)*(CityU!$AB$2='Offer Statistics'!$C$2:$C$400),0)),"/")</f>
        <v>1002</v>
      </c>
      <c r="AN8" s="64" cm="1">
        <f t="array" ref="AN8">IFERROR(INDEX('Offer Statistics'!G$2:G$400,MATCH(1,(CityU!$A8='Offer Statistics'!$B$2:$B$400)*(CityU!$AB$2='Offer Statistics'!$C$2:$C$400),0)),"/")</f>
        <v>1100</v>
      </c>
      <c r="AO8" s="64" cm="1">
        <f t="array" ref="AO8">IFERROR(INDEX('Offer Statistics'!H$2:H$400,MATCH(1,(CityU!$A8='Offer Statistics'!$B$2:$B$400)*(CityU!$AB$2='Offer Statistics'!$C$2:$C$400),0)),"/")</f>
        <v>637</v>
      </c>
      <c r="AP8" s="15"/>
      <c r="AQ8" s="15" t="str">
        <f t="shared" si="0"/>
        <v>JS1013</v>
      </c>
      <c r="AR8" s="4"/>
      <c r="AS8" s="4"/>
      <c r="AT8" s="4"/>
      <c r="AU8" s="4"/>
      <c r="AV8" s="4"/>
      <c r="AW8" s="4"/>
      <c r="AX8" s="4"/>
      <c r="AY8" s="4"/>
      <c r="AZ8" s="4"/>
      <c r="BA8" s="4"/>
      <c r="BB8" s="4"/>
      <c r="BC8" s="4"/>
      <c r="BD8" s="4"/>
      <c r="BE8" s="4"/>
      <c r="BF8" s="4"/>
    </row>
    <row r="9" spans="1:58" s="2" customFormat="1" ht="18" customHeight="1">
      <c r="A9" s="15" t="str">
        <f>'Reference Score Calculation'!A20</f>
        <v>JS1014</v>
      </c>
      <c r="B9" s="4" t="str">
        <f>'Reference Score Calculation'!C20</f>
        <v>商學院</v>
      </c>
      <c r="C9" s="23" t="str">
        <f>'Reference Score Calculation'!D20</f>
        <v>工商管理學士(金融)</v>
      </c>
      <c r="D9" s="4" t="str">
        <f>'Reference Score Calculation'!R20</f>
        <v>BBAFIN</v>
      </c>
      <c r="E9" s="392" t="str">
        <f>'Reference Score Calculation'!AB20</f>
        <v>Best 5</v>
      </c>
      <c r="F9" s="390" t="str">
        <f>'Reference Score Calculation'!E20</f>
        <v>4C2X</v>
      </c>
      <c r="G9" s="6">
        <f>'Reference Score Calculation'!H20</f>
        <v>24</v>
      </c>
      <c r="H9" s="6">
        <f>'Reference Score Calculation'!I20</f>
        <v>23</v>
      </c>
      <c r="I9" s="45">
        <f>計分版!J43</f>
        <v>2.7499999999999998E-9</v>
      </c>
      <c r="J9" s="185">
        <f t="shared" si="1"/>
        <v>-23.999999997250001</v>
      </c>
      <c r="K9" s="190">
        <f t="shared" si="2"/>
        <v>-8727272726.272728</v>
      </c>
      <c r="L9" s="36">
        <f>'Reference Score Calculation'!T20</f>
        <v>104</v>
      </c>
      <c r="M9" s="86">
        <f>入學要求!Z29</f>
        <v>0</v>
      </c>
      <c r="N9" s="512"/>
      <c r="O9" s="166">
        <f>入學要求!L29</f>
        <v>3</v>
      </c>
      <c r="P9" s="166">
        <f>入學要求!M29</f>
        <v>3</v>
      </c>
      <c r="Q9" s="166">
        <f>入學要求!N29</f>
        <v>3</v>
      </c>
      <c r="R9" s="166">
        <f>入學要求!O29</f>
        <v>1</v>
      </c>
      <c r="S9" s="166">
        <f>入學要求!P29</f>
        <v>3</v>
      </c>
      <c r="T9" s="166">
        <f>入學要求!Q29</f>
        <v>3</v>
      </c>
      <c r="U9" s="256">
        <f>入學要求!S29</f>
        <v>0</v>
      </c>
      <c r="V9" s="256">
        <f>入學要求!T29</f>
        <v>0</v>
      </c>
      <c r="W9" s="256">
        <f>入學要求!U29</f>
        <v>0</v>
      </c>
      <c r="X9" s="256">
        <f>入學要求!V29</f>
        <v>0</v>
      </c>
      <c r="Y9" s="256">
        <f>入學要求!W29</f>
        <v>0</v>
      </c>
      <c r="Z9" s="256">
        <f>入學要求!X29</f>
        <v>0</v>
      </c>
      <c r="AA9" s="44">
        <f t="shared" si="3"/>
        <v>6.15</v>
      </c>
      <c r="AB9" s="510"/>
      <c r="AC9" s="36" cm="1">
        <f t="array" ref="AC9">IFERROR(INDEX('Offer Statistics'!$Q$2:$Q$400,MATCH(1,(CityU!$A9='Offer Statistics'!$B$2:$B$400)*(CityU!$AB$2='Offer Statistics'!$K$2:$K$400),0)),"/")</f>
        <v>115</v>
      </c>
      <c r="AD9" s="64" cm="1">
        <f t="array" ref="AD9">IFERROR(INDEX('Offer Statistics'!L$2:L$400,MATCH(1,(CityU!$A9='Offer Statistics'!$B$2:$B$400)*(CityU!$AB$2='Offer Statistics'!$K$2:$K$400),0)),"/")</f>
        <v>111</v>
      </c>
      <c r="AE9" s="64" cm="1">
        <f t="array" ref="AE9">IFERROR(INDEX('Offer Statistics'!M$2:M$400,MATCH(1,(CityU!$A9='Offer Statistics'!$B$2:$B$400)*(CityU!$AB$2='Offer Statistics'!$K$2:$K$400),0)),"/")</f>
        <v>3</v>
      </c>
      <c r="AF9" s="64" cm="1">
        <f t="array" ref="AF9">IFERROR(INDEX('Offer Statistics'!N$2:N$400,MATCH(1,(CityU!$A9='Offer Statistics'!$B$2:$B$400)*(CityU!$AB$2='Offer Statistics'!$K$2:$K$400),0)),"/")</f>
        <v>0</v>
      </c>
      <c r="AG9" s="64" cm="1">
        <f t="array" ref="AG9">IFERROR(INDEX('Offer Statistics'!O$2:O$400,MATCH(1,(CityU!$A9='Offer Statistics'!$B$2:$B$400)*(CityU!$AB$2='Offer Statistics'!$K$2:$K$400),0)),"/")</f>
        <v>1</v>
      </c>
      <c r="AH9" s="64" cm="1">
        <f t="array" ref="AH9">IFERROR(INDEX('Offer Statistics'!P$2:P$400,MATCH(1,(CityU!$A9='Offer Statistics'!$B$2:$B$400)*(CityU!$AB$2='Offer Statistics'!$K$2:$K$400),0)),"/")</f>
        <v>0</v>
      </c>
      <c r="AI9" s="511"/>
      <c r="AJ9" s="36" cm="1">
        <f t="array" ref="AJ9">IFERROR(INDEX('Offer Statistics'!$I$2:$I$400,MATCH(1,(CityU!$A9='Offer Statistics'!$B$2:$B$400)*(CityU!$AB$2='Offer Statistics'!$C$2:$C$400),0)),"/")</f>
        <v>4211</v>
      </c>
      <c r="AK9" s="64" cm="1">
        <f t="array" ref="AK9">IFERROR(INDEX('Offer Statistics'!D$2:D$400,MATCH(1,(CityU!$A9='Offer Statistics'!$B$2:$B$400)*(CityU!$AB$2='Offer Statistics'!$C$2:$C$400),0)),"/")</f>
        <v>683</v>
      </c>
      <c r="AL9" s="64" cm="1">
        <f t="array" ref="AL9">IFERROR(INDEX('Offer Statistics'!E$2:E$400,MATCH(1,(CityU!$A9='Offer Statistics'!$B$2:$B$400)*(CityU!$AB$2='Offer Statistics'!$C$2:$C$400),0)),"/")</f>
        <v>790</v>
      </c>
      <c r="AM9" s="64" cm="1">
        <f t="array" ref="AM9">IFERROR(INDEX('Offer Statistics'!F$2:F$400,MATCH(1,(CityU!$A9='Offer Statistics'!$B$2:$B$400)*(CityU!$AB$2='Offer Statistics'!$C$2:$C$400),0)),"/")</f>
        <v>1010</v>
      </c>
      <c r="AN9" s="64" cm="1">
        <f t="array" ref="AN9">IFERROR(INDEX('Offer Statistics'!G$2:G$400,MATCH(1,(CityU!$A9='Offer Statistics'!$B$2:$B$400)*(CityU!$AB$2='Offer Statistics'!$C$2:$C$400),0)),"/")</f>
        <v>1077</v>
      </c>
      <c r="AO9" s="64" cm="1">
        <f t="array" ref="AO9">IFERROR(INDEX('Offer Statistics'!H$2:H$400,MATCH(1,(CityU!$A9='Offer Statistics'!$B$2:$B$400)*(CityU!$AB$2='Offer Statistics'!$C$2:$C$400),0)),"/")</f>
        <v>651</v>
      </c>
      <c r="AP9" s="15"/>
      <c r="AQ9" s="15" t="str">
        <f t="shared" si="0"/>
        <v>JS1014</v>
      </c>
      <c r="AR9" s="4"/>
      <c r="AS9" s="4"/>
      <c r="AT9" s="4"/>
      <c r="AU9" s="4"/>
      <c r="AV9" s="4"/>
      <c r="AW9" s="4"/>
      <c r="AX9" s="4"/>
      <c r="AY9" s="4"/>
      <c r="AZ9" s="4"/>
      <c r="BA9" s="4"/>
      <c r="BB9" s="4"/>
      <c r="BC9" s="4"/>
      <c r="BD9" s="4"/>
      <c r="BE9" s="4"/>
      <c r="BF9" s="4"/>
    </row>
    <row r="10" spans="1:58" s="2" customFormat="1" ht="18" customHeight="1">
      <c r="A10" s="15" t="str">
        <f>'Reference Score Calculation'!A21</f>
        <v>JS1017</v>
      </c>
      <c r="B10" s="4" t="str">
        <f>'Reference Score Calculation'!C21</f>
        <v>商學院</v>
      </c>
      <c r="C10" s="23" t="str">
        <f>'Reference Score Calculation'!D21</f>
        <v>資訊系統學系 [選項: 工商管理學士(環球商業系統管理)、工商管理學士(資訊管理)]</v>
      </c>
      <c r="D10" s="4" t="str">
        <f>'Reference Score Calculation'!R21</f>
        <v>IS</v>
      </c>
      <c r="E10" s="392" t="str">
        <f>'Reference Score Calculation'!AB21</f>
        <v>3C2X</v>
      </c>
      <c r="F10" s="365" t="str">
        <f>'Reference Score Calculation'!E21</f>
        <v>4C2X</v>
      </c>
      <c r="G10" s="6">
        <f>'Reference Score Calculation'!H21</f>
        <v>24</v>
      </c>
      <c r="H10" s="6">
        <f>'Reference Score Calculation'!I21</f>
        <v>23</v>
      </c>
      <c r="I10" s="45">
        <f>計分版!J44</f>
        <v>2.7499999999999998E-9</v>
      </c>
      <c r="J10" s="185">
        <f t="shared" si="1"/>
        <v>-23.999999997250001</v>
      </c>
      <c r="K10" s="190">
        <f t="shared" si="2"/>
        <v>-8727272726.272728</v>
      </c>
      <c r="L10" s="36">
        <f>'Reference Score Calculation'!T21</f>
        <v>65</v>
      </c>
      <c r="M10" s="86">
        <f>入學要求!Z30</f>
        <v>0</v>
      </c>
      <c r="N10" s="512"/>
      <c r="O10" s="166">
        <f>入學要求!L30</f>
        <v>3</v>
      </c>
      <c r="P10" s="166">
        <f>入學要求!M30</f>
        <v>3</v>
      </c>
      <c r="Q10" s="166">
        <f>入學要求!N30</f>
        <v>3</v>
      </c>
      <c r="R10" s="166">
        <f>入學要求!O30</f>
        <v>1</v>
      </c>
      <c r="S10" s="166">
        <f>入學要求!P30</f>
        <v>3</v>
      </c>
      <c r="T10" s="166">
        <f>入學要求!Q30</f>
        <v>3</v>
      </c>
      <c r="U10" s="256">
        <f>入學要求!S30</f>
        <v>0</v>
      </c>
      <c r="V10" s="256">
        <f>入學要求!T30</f>
        <v>0</v>
      </c>
      <c r="W10" s="256">
        <f>入學要求!U30</f>
        <v>0</v>
      </c>
      <c r="X10" s="256">
        <f>入學要求!V30</f>
        <v>0</v>
      </c>
      <c r="Y10" s="256">
        <f>入學要求!W30</f>
        <v>0</v>
      </c>
      <c r="Z10" s="256">
        <f>入學要求!X30</f>
        <v>0</v>
      </c>
      <c r="AA10" s="44">
        <f t="shared" si="3"/>
        <v>4.82</v>
      </c>
      <c r="AB10" s="510"/>
      <c r="AC10" s="36" cm="1">
        <f t="array" ref="AC10">IFERROR(INDEX('Offer Statistics'!$Q$2:$Q$400,MATCH(1,(CityU!$A10='Offer Statistics'!$B$2:$B$400)*(CityU!$AB$2='Offer Statistics'!$K$2:$K$400),0)),"/")</f>
        <v>58</v>
      </c>
      <c r="AD10" s="64" cm="1">
        <f t="array" ref="AD10">IFERROR(INDEX('Offer Statistics'!L$2:L$400,MATCH(1,(CityU!$A10='Offer Statistics'!$B$2:$B$400)*(CityU!$AB$2='Offer Statistics'!$K$2:$K$400),0)),"/")</f>
        <v>51</v>
      </c>
      <c r="AE10" s="64" cm="1">
        <f t="array" ref="AE10">IFERROR(INDEX('Offer Statistics'!M$2:M$400,MATCH(1,(CityU!$A10='Offer Statistics'!$B$2:$B$400)*(CityU!$AB$2='Offer Statistics'!$K$2:$K$400),0)),"/")</f>
        <v>7</v>
      </c>
      <c r="AF10" s="64" cm="1">
        <f t="array" ref="AF10">IFERROR(INDEX('Offer Statistics'!N$2:N$400,MATCH(1,(CityU!$A10='Offer Statistics'!$B$2:$B$400)*(CityU!$AB$2='Offer Statistics'!$K$2:$K$400),0)),"/")</f>
        <v>0</v>
      </c>
      <c r="AG10" s="64" cm="1">
        <f t="array" ref="AG10">IFERROR(INDEX('Offer Statistics'!O$2:O$400,MATCH(1,(CityU!$A10='Offer Statistics'!$B$2:$B$400)*(CityU!$AB$2='Offer Statistics'!$K$2:$K$400),0)),"/")</f>
        <v>0</v>
      </c>
      <c r="AH10" s="64" cm="1">
        <f t="array" ref="AH10">IFERROR(INDEX('Offer Statistics'!P$2:P$400,MATCH(1,(CityU!$A10='Offer Statistics'!$B$2:$B$400)*(CityU!$AB$2='Offer Statistics'!$K$2:$K$400),0)),"/")</f>
        <v>0</v>
      </c>
      <c r="AI10" s="511"/>
      <c r="AJ10" s="36" cm="1">
        <f t="array" ref="AJ10">IFERROR(INDEX('Offer Statistics'!$I$2:$I$400,MATCH(1,(CityU!$A10='Offer Statistics'!$B$2:$B$400)*(CityU!$AB$2='Offer Statistics'!$C$2:$C$400),0)),"/")</f>
        <v>1780</v>
      </c>
      <c r="AK10" s="64" cm="1">
        <f t="array" ref="AK10">IFERROR(INDEX('Offer Statistics'!D$2:D$400,MATCH(1,(CityU!$A10='Offer Statistics'!$B$2:$B$400)*(CityU!$AB$2='Offer Statistics'!$C$2:$C$400),0)),"/")</f>
        <v>246</v>
      </c>
      <c r="AL10" s="64" cm="1">
        <f t="array" ref="AL10">IFERROR(INDEX('Offer Statistics'!E$2:E$400,MATCH(1,(CityU!$A10='Offer Statistics'!$B$2:$B$400)*(CityU!$AB$2='Offer Statistics'!$C$2:$C$400),0)),"/")</f>
        <v>263</v>
      </c>
      <c r="AM10" s="64" cm="1">
        <f t="array" ref="AM10">IFERROR(INDEX('Offer Statistics'!F$2:F$400,MATCH(1,(CityU!$A10='Offer Statistics'!$B$2:$B$400)*(CityU!$AB$2='Offer Statistics'!$C$2:$C$400),0)),"/")</f>
        <v>413</v>
      </c>
      <c r="AN10" s="64" cm="1">
        <f t="array" ref="AN10">IFERROR(INDEX('Offer Statistics'!G$2:G$400,MATCH(1,(CityU!$A10='Offer Statistics'!$B$2:$B$400)*(CityU!$AB$2='Offer Statistics'!$C$2:$C$400),0)),"/")</f>
        <v>499</v>
      </c>
      <c r="AO10" s="64" cm="1">
        <f t="array" ref="AO10">IFERROR(INDEX('Offer Statistics'!H$2:H$400,MATCH(1,(CityU!$A10='Offer Statistics'!$B$2:$B$400)*(CityU!$AB$2='Offer Statistics'!$C$2:$C$400),0)),"/")</f>
        <v>359</v>
      </c>
      <c r="AP10" s="15"/>
      <c r="AQ10" s="15" t="str">
        <f t="shared" si="0"/>
        <v>JS1017</v>
      </c>
      <c r="AR10" s="4"/>
      <c r="AS10" s="4"/>
      <c r="AT10" s="4"/>
      <c r="AU10" s="4"/>
      <c r="AV10" s="4"/>
      <c r="AW10" s="4"/>
      <c r="AX10" s="4"/>
      <c r="AY10" s="4"/>
      <c r="AZ10" s="4"/>
      <c r="BA10" s="4"/>
      <c r="BB10" s="4"/>
      <c r="BC10" s="4"/>
      <c r="BD10" s="4"/>
      <c r="BE10" s="4"/>
      <c r="BF10" s="4"/>
    </row>
    <row r="11" spans="1:58" s="2" customFormat="1" ht="18" customHeight="1">
      <c r="A11" s="15" t="str">
        <f>'Reference Score Calculation'!A22</f>
        <v>JS1018</v>
      </c>
      <c r="B11" s="4" t="str">
        <f>'Reference Score Calculation'!C22</f>
        <v>商學院</v>
      </c>
      <c r="C11" s="23" t="str">
        <f>'Reference Score Calculation'!D22</f>
        <v>工商管理學士(環球商業系統管理)</v>
      </c>
      <c r="D11" s="4" t="str">
        <f>'Reference Score Calculation'!R22</f>
        <v>BBAGBSM</v>
      </c>
      <c r="E11" s="392" t="str">
        <f>'Reference Score Calculation'!AB22</f>
        <v>3C2X</v>
      </c>
      <c r="F11" s="365" t="str">
        <f>'Reference Score Calculation'!E22</f>
        <v>4C2X</v>
      </c>
      <c r="G11" s="6">
        <f>'Reference Score Calculation'!H22</f>
        <v>25</v>
      </c>
      <c r="H11" s="6">
        <f>'Reference Score Calculation'!I22</f>
        <v>24</v>
      </c>
      <c r="I11" s="45">
        <f>計分版!J45</f>
        <v>2.7499999999999998E-9</v>
      </c>
      <c r="J11" s="185">
        <f t="shared" si="1"/>
        <v>-24.999999997250001</v>
      </c>
      <c r="K11" s="190">
        <f t="shared" si="2"/>
        <v>-9090909089.9090919</v>
      </c>
      <c r="L11" s="36">
        <f>'Reference Score Calculation'!T22</f>
        <v>10</v>
      </c>
      <c r="M11" s="86">
        <f>入學要求!Z31</f>
        <v>0</v>
      </c>
      <c r="N11" s="512"/>
      <c r="O11" s="166">
        <f>入學要求!L31</f>
        <v>3</v>
      </c>
      <c r="P11" s="166">
        <f>入學要求!M31</f>
        <v>3</v>
      </c>
      <c r="Q11" s="166">
        <f>入學要求!N31</f>
        <v>3</v>
      </c>
      <c r="R11" s="166">
        <f>入學要求!O31</f>
        <v>1</v>
      </c>
      <c r="S11" s="166">
        <f>入學要求!P31</f>
        <v>3</v>
      </c>
      <c r="T11" s="166">
        <f>入學要求!Q31</f>
        <v>3</v>
      </c>
      <c r="U11" s="256">
        <f>入學要求!S31</f>
        <v>0</v>
      </c>
      <c r="V11" s="256">
        <f>入學要求!T31</f>
        <v>0</v>
      </c>
      <c r="W11" s="256">
        <f>入學要求!U31</f>
        <v>0</v>
      </c>
      <c r="X11" s="256">
        <f>入學要求!V31</f>
        <v>0</v>
      </c>
      <c r="Y11" s="256">
        <f>入學要求!W31</f>
        <v>0</v>
      </c>
      <c r="Z11" s="256">
        <f>入學要求!X31</f>
        <v>0</v>
      </c>
      <c r="AA11" s="44">
        <f t="shared" si="3"/>
        <v>11.38</v>
      </c>
      <c r="AB11" s="510"/>
      <c r="AC11" s="36" cm="1">
        <f t="array" ref="AC11">IFERROR(INDEX('Offer Statistics'!$Q$2:$Q$400,MATCH(1,(CityU!$A11='Offer Statistics'!$B$2:$B$400)*(CityU!$AB$2='Offer Statistics'!$K$2:$K$400),0)),"/")</f>
        <v>9</v>
      </c>
      <c r="AD11" s="64" cm="1">
        <f t="array" ref="AD11">IFERROR(INDEX('Offer Statistics'!L$2:L$400,MATCH(1,(CityU!$A11='Offer Statistics'!$B$2:$B$400)*(CityU!$AB$2='Offer Statistics'!$K$2:$K$400),0)),"/")</f>
        <v>8</v>
      </c>
      <c r="AE11" s="64" cm="1">
        <f t="array" ref="AE11">IFERROR(INDEX('Offer Statistics'!M$2:M$400,MATCH(1,(CityU!$A11='Offer Statistics'!$B$2:$B$400)*(CityU!$AB$2='Offer Statistics'!$K$2:$K$400),0)),"/")</f>
        <v>1</v>
      </c>
      <c r="AF11" s="64" cm="1">
        <f t="array" ref="AF11">IFERROR(INDEX('Offer Statistics'!N$2:N$400,MATCH(1,(CityU!$A11='Offer Statistics'!$B$2:$B$400)*(CityU!$AB$2='Offer Statistics'!$K$2:$K$400),0)),"/")</f>
        <v>0</v>
      </c>
      <c r="AG11" s="64" cm="1">
        <f t="array" ref="AG11">IFERROR(INDEX('Offer Statistics'!O$2:O$400,MATCH(1,(CityU!$A11='Offer Statistics'!$B$2:$B$400)*(CityU!$AB$2='Offer Statistics'!$K$2:$K$400),0)),"/")</f>
        <v>0</v>
      </c>
      <c r="AH11" s="64" cm="1">
        <f t="array" ref="AH11">IFERROR(INDEX('Offer Statistics'!P$2:P$400,MATCH(1,(CityU!$A11='Offer Statistics'!$B$2:$B$400)*(CityU!$AB$2='Offer Statistics'!$K$2:$K$400),0)),"/")</f>
        <v>0</v>
      </c>
      <c r="AI11" s="511"/>
      <c r="AJ11" s="36" cm="1">
        <f t="array" ref="AJ11">IFERROR(INDEX('Offer Statistics'!$I$2:$I$400,MATCH(1,(CityU!$A11='Offer Statistics'!$B$2:$B$400)*(CityU!$AB$2='Offer Statistics'!$C$2:$C$400),0)),"/")</f>
        <v>1389</v>
      </c>
      <c r="AK11" s="64" cm="1">
        <f t="array" ref="AK11">IFERROR(INDEX('Offer Statistics'!D$2:D$400,MATCH(1,(CityU!$A11='Offer Statistics'!$B$2:$B$400)*(CityU!$AB$2='Offer Statistics'!$C$2:$C$400),0)),"/")</f>
        <v>91</v>
      </c>
      <c r="AL11" s="64" cm="1">
        <f t="array" ref="AL11">IFERROR(INDEX('Offer Statistics'!E$2:E$400,MATCH(1,(CityU!$A11='Offer Statistics'!$B$2:$B$400)*(CityU!$AB$2='Offer Statistics'!$C$2:$C$400),0)),"/")</f>
        <v>145</v>
      </c>
      <c r="AM11" s="64" cm="1">
        <f t="array" ref="AM11">IFERROR(INDEX('Offer Statistics'!F$2:F$400,MATCH(1,(CityU!$A11='Offer Statistics'!$B$2:$B$400)*(CityU!$AB$2='Offer Statistics'!$C$2:$C$400),0)),"/")</f>
        <v>320</v>
      </c>
      <c r="AN11" s="64" cm="1">
        <f t="array" ref="AN11">IFERROR(INDEX('Offer Statistics'!G$2:G$400,MATCH(1,(CityU!$A11='Offer Statistics'!$B$2:$B$400)*(CityU!$AB$2='Offer Statistics'!$C$2:$C$400),0)),"/")</f>
        <v>469</v>
      </c>
      <c r="AO11" s="64" cm="1">
        <f t="array" ref="AO11">IFERROR(INDEX('Offer Statistics'!H$2:H$400,MATCH(1,(CityU!$A11='Offer Statistics'!$B$2:$B$400)*(CityU!$AB$2='Offer Statistics'!$C$2:$C$400),0)),"/")</f>
        <v>364</v>
      </c>
      <c r="AP11" s="15"/>
      <c r="AQ11" s="15" t="str">
        <f t="shared" si="0"/>
        <v>JS1018</v>
      </c>
      <c r="AR11" s="4"/>
      <c r="AS11" s="4"/>
      <c r="AT11" s="4"/>
      <c r="AU11" s="4"/>
      <c r="AV11" s="4"/>
      <c r="AW11" s="4"/>
      <c r="AX11" s="4"/>
      <c r="AY11" s="4"/>
      <c r="AZ11" s="4"/>
      <c r="BA11" s="4"/>
      <c r="BB11" s="4"/>
      <c r="BC11" s="4"/>
      <c r="BD11" s="4"/>
      <c r="BE11" s="4"/>
      <c r="BF11" s="4"/>
    </row>
    <row r="12" spans="1:58" s="2" customFormat="1" ht="18" customHeight="1">
      <c r="A12" s="15" t="str">
        <f>'Reference Score Calculation'!A23</f>
        <v>JS1019</v>
      </c>
      <c r="B12" s="4" t="str">
        <f>'Reference Score Calculation'!C23</f>
        <v>商學院</v>
      </c>
      <c r="C12" s="23" t="str">
        <f>'Reference Score Calculation'!D23</f>
        <v>工商管理學士(資訊管理)</v>
      </c>
      <c r="D12" s="4" t="str">
        <f>'Reference Score Calculation'!R23</f>
        <v>BBAIFMG</v>
      </c>
      <c r="E12" s="392" t="str">
        <f>'Reference Score Calculation'!AB23</f>
        <v>3C2X</v>
      </c>
      <c r="F12" s="365" t="str">
        <f>'Reference Score Calculation'!E23</f>
        <v>4C2X</v>
      </c>
      <c r="G12" s="6">
        <f>'Reference Score Calculation'!H23</f>
        <v>23</v>
      </c>
      <c r="H12" s="6">
        <f>'Reference Score Calculation'!I23</f>
        <v>23</v>
      </c>
      <c r="I12" s="45">
        <f>計分版!J46</f>
        <v>2.7499999999999998E-9</v>
      </c>
      <c r="J12" s="185">
        <f t="shared" si="1"/>
        <v>-22.999999997250001</v>
      </c>
      <c r="K12" s="190">
        <f t="shared" si="2"/>
        <v>-8363636362.636364</v>
      </c>
      <c r="L12" s="36">
        <f>'Reference Score Calculation'!T23</f>
        <v>10</v>
      </c>
      <c r="M12" s="86">
        <f>入學要求!Z32</f>
        <v>0</v>
      </c>
      <c r="N12" s="512"/>
      <c r="O12" s="166">
        <f>入學要求!L32</f>
        <v>3</v>
      </c>
      <c r="P12" s="166">
        <f>入學要求!M32</f>
        <v>3</v>
      </c>
      <c r="Q12" s="166">
        <f>入學要求!N32</f>
        <v>3</v>
      </c>
      <c r="R12" s="166">
        <f>入學要求!O32</f>
        <v>1</v>
      </c>
      <c r="S12" s="166">
        <f>入學要求!P32</f>
        <v>3</v>
      </c>
      <c r="T12" s="166">
        <f>入學要求!Q32</f>
        <v>3</v>
      </c>
      <c r="U12" s="256">
        <f>入學要求!S32</f>
        <v>0</v>
      </c>
      <c r="V12" s="256">
        <f>入學要求!T32</f>
        <v>0</v>
      </c>
      <c r="W12" s="256">
        <f>入學要求!U32</f>
        <v>0</v>
      </c>
      <c r="X12" s="256">
        <f>入學要求!V32</f>
        <v>0</v>
      </c>
      <c r="Y12" s="256">
        <f>入學要求!W32</f>
        <v>0</v>
      </c>
      <c r="Z12" s="256">
        <f>入學要求!X32</f>
        <v>0</v>
      </c>
      <c r="AA12" s="44">
        <f t="shared" si="3"/>
        <v>9.3800000000000008</v>
      </c>
      <c r="AB12" s="510"/>
      <c r="AC12" s="36" cm="1">
        <f t="array" ref="AC12">IFERROR(INDEX('Offer Statistics'!$Q$2:$Q$400,MATCH(1,(CityU!$A12='Offer Statistics'!$B$2:$B$400)*(CityU!$AB$2='Offer Statistics'!$K$2:$K$400),0)),"/")</f>
        <v>8</v>
      </c>
      <c r="AD12" s="64" cm="1">
        <f t="array" ref="AD12">IFERROR(INDEX('Offer Statistics'!L$2:L$400,MATCH(1,(CityU!$A12='Offer Statistics'!$B$2:$B$400)*(CityU!$AB$2='Offer Statistics'!$K$2:$K$400),0)),"/")</f>
        <v>8</v>
      </c>
      <c r="AE12" s="64" cm="1">
        <f t="array" ref="AE12">IFERROR(INDEX('Offer Statistics'!M$2:M$400,MATCH(1,(CityU!$A12='Offer Statistics'!$B$2:$B$400)*(CityU!$AB$2='Offer Statistics'!$K$2:$K$400),0)),"/")</f>
        <v>0</v>
      </c>
      <c r="AF12" s="64" cm="1">
        <f t="array" ref="AF12">IFERROR(INDEX('Offer Statistics'!N$2:N$400,MATCH(1,(CityU!$A12='Offer Statistics'!$B$2:$B$400)*(CityU!$AB$2='Offer Statistics'!$K$2:$K$400),0)),"/")</f>
        <v>0</v>
      </c>
      <c r="AG12" s="64" cm="1">
        <f t="array" ref="AG12">IFERROR(INDEX('Offer Statistics'!O$2:O$400,MATCH(1,(CityU!$A12='Offer Statistics'!$B$2:$B$400)*(CityU!$AB$2='Offer Statistics'!$K$2:$K$400),0)),"/")</f>
        <v>0</v>
      </c>
      <c r="AH12" s="64" cm="1">
        <f t="array" ref="AH12">IFERROR(INDEX('Offer Statistics'!P$2:P$400,MATCH(1,(CityU!$A12='Offer Statistics'!$B$2:$B$400)*(CityU!$AB$2='Offer Statistics'!$K$2:$K$400),0)),"/")</f>
        <v>0</v>
      </c>
      <c r="AI12" s="511"/>
      <c r="AJ12" s="36" cm="1">
        <f t="array" ref="AJ12">IFERROR(INDEX('Offer Statistics'!$I$2:$I$400,MATCH(1,(CityU!$A12='Offer Statistics'!$B$2:$B$400)*(CityU!$AB$2='Offer Statistics'!$C$2:$C$400),0)),"/")</f>
        <v>1403</v>
      </c>
      <c r="AK12" s="64" cm="1">
        <f t="array" ref="AK12">IFERROR(INDEX('Offer Statistics'!D$2:D$400,MATCH(1,(CityU!$A12='Offer Statistics'!$B$2:$B$400)*(CityU!$AB$2='Offer Statistics'!$C$2:$C$400),0)),"/")</f>
        <v>75</v>
      </c>
      <c r="AL12" s="64" cm="1">
        <f t="array" ref="AL12">IFERROR(INDEX('Offer Statistics'!E$2:E$400,MATCH(1,(CityU!$A12='Offer Statistics'!$B$2:$B$400)*(CityU!$AB$2='Offer Statistics'!$C$2:$C$400),0)),"/")</f>
        <v>168</v>
      </c>
      <c r="AM12" s="64" cm="1">
        <f t="array" ref="AM12">IFERROR(INDEX('Offer Statistics'!F$2:F$400,MATCH(1,(CityU!$A12='Offer Statistics'!$B$2:$B$400)*(CityU!$AB$2='Offer Statistics'!$C$2:$C$400),0)),"/")</f>
        <v>287</v>
      </c>
      <c r="AN12" s="64" cm="1">
        <f t="array" ref="AN12">IFERROR(INDEX('Offer Statistics'!G$2:G$400,MATCH(1,(CityU!$A12='Offer Statistics'!$B$2:$B$400)*(CityU!$AB$2='Offer Statistics'!$C$2:$C$400),0)),"/")</f>
        <v>470</v>
      </c>
      <c r="AO12" s="64" cm="1">
        <f t="array" ref="AO12">IFERROR(INDEX('Offer Statistics'!H$2:H$400,MATCH(1,(CityU!$A12='Offer Statistics'!$B$2:$B$400)*(CityU!$AB$2='Offer Statistics'!$C$2:$C$400),0)),"/")</f>
        <v>403</v>
      </c>
      <c r="AP12" s="15"/>
      <c r="AQ12" s="15" t="str">
        <f t="shared" si="0"/>
        <v>JS1019</v>
      </c>
      <c r="AR12" s="4"/>
      <c r="AS12" s="4"/>
      <c r="AT12" s="4"/>
      <c r="AU12" s="4"/>
      <c r="AV12" s="4"/>
      <c r="AW12" s="4"/>
      <c r="AX12" s="4"/>
      <c r="AY12" s="4"/>
      <c r="AZ12" s="4"/>
      <c r="BA12" s="4"/>
      <c r="BB12" s="4"/>
      <c r="BC12" s="4"/>
      <c r="BD12" s="4"/>
      <c r="BE12" s="4"/>
      <c r="BF12" s="4"/>
    </row>
    <row r="13" spans="1:58" s="2" customFormat="1" ht="18" customHeight="1">
      <c r="A13" s="15" t="str">
        <f>'Reference Score Calculation'!A24</f>
        <v>JS1025</v>
      </c>
      <c r="B13" s="4" t="str">
        <f>'Reference Score Calculation'!C24</f>
        <v>商學院</v>
      </c>
      <c r="C13" s="23" t="str">
        <f>'Reference Score Calculation'!D24</f>
        <v>管理科學系 [選項: 工商管理學士(商業決策分析)、工商管理學士(環球營運管理)]</v>
      </c>
      <c r="D13" s="4" t="str">
        <f>'Reference Score Calculation'!R24</f>
        <v>MS</v>
      </c>
      <c r="E13" s="392" t="str">
        <f>'Reference Score Calculation'!AB24</f>
        <v>3C2X</v>
      </c>
      <c r="F13" s="365" t="str">
        <f>'Reference Score Calculation'!E24</f>
        <v>4C2X</v>
      </c>
      <c r="G13" s="6">
        <f>'Reference Score Calculation'!H24</f>
        <v>23</v>
      </c>
      <c r="H13" s="6">
        <f>'Reference Score Calculation'!I24</f>
        <v>22</v>
      </c>
      <c r="I13" s="45">
        <f>計分版!J47</f>
        <v>2.7499999999999998E-9</v>
      </c>
      <c r="J13" s="185">
        <f t="shared" si="1"/>
        <v>-22.999999997250001</v>
      </c>
      <c r="K13" s="190">
        <f t="shared" si="2"/>
        <v>-8363636362.636364</v>
      </c>
      <c r="L13" s="36">
        <f>'Reference Score Calculation'!T24</f>
        <v>24</v>
      </c>
      <c r="M13" s="86">
        <f>入學要求!Z33</f>
        <v>0</v>
      </c>
      <c r="N13" s="512"/>
      <c r="O13" s="166">
        <f>入學要求!L33</f>
        <v>3</v>
      </c>
      <c r="P13" s="166">
        <f>入學要求!M33</f>
        <v>3</v>
      </c>
      <c r="Q13" s="166">
        <f>入學要求!N33</f>
        <v>3</v>
      </c>
      <c r="R13" s="166">
        <f>入學要求!O33</f>
        <v>1</v>
      </c>
      <c r="S13" s="166">
        <f>入學要求!P33</f>
        <v>3</v>
      </c>
      <c r="T13" s="166">
        <f>入學要求!Q33</f>
        <v>3</v>
      </c>
      <c r="U13" s="256">
        <f>入學要求!S33</f>
        <v>0</v>
      </c>
      <c r="V13" s="256">
        <f>入學要求!T33</f>
        <v>0</v>
      </c>
      <c r="W13" s="256">
        <f>入學要求!U33</f>
        <v>0</v>
      </c>
      <c r="X13" s="256">
        <f>入學要求!V33</f>
        <v>0</v>
      </c>
      <c r="Y13" s="256">
        <f>入學要求!W33</f>
        <v>0</v>
      </c>
      <c r="Z13" s="256">
        <f>入學要求!X33</f>
        <v>0</v>
      </c>
      <c r="AA13" s="44">
        <f t="shared" si="3"/>
        <v>5.63</v>
      </c>
      <c r="AB13" s="510"/>
      <c r="AC13" s="36" cm="1">
        <f t="array" ref="AC13">IFERROR(INDEX('Offer Statistics'!$Q$2:$Q$400,MATCH(1,(CityU!$A13='Offer Statistics'!$B$2:$B$400)*(CityU!$AB$2='Offer Statistics'!$K$2:$K$400),0)),"/")</f>
        <v>25</v>
      </c>
      <c r="AD13" s="64" cm="1">
        <f t="array" ref="AD13">IFERROR(INDEX('Offer Statistics'!L$2:L$400,MATCH(1,(CityU!$A13='Offer Statistics'!$B$2:$B$400)*(CityU!$AB$2='Offer Statistics'!$K$2:$K$400),0)),"/")</f>
        <v>19</v>
      </c>
      <c r="AE13" s="64" cm="1">
        <f t="array" ref="AE13">IFERROR(INDEX('Offer Statistics'!M$2:M$400,MATCH(1,(CityU!$A13='Offer Statistics'!$B$2:$B$400)*(CityU!$AB$2='Offer Statistics'!$K$2:$K$400),0)),"/")</f>
        <v>2</v>
      </c>
      <c r="AF13" s="64" cm="1">
        <f t="array" ref="AF13">IFERROR(INDEX('Offer Statistics'!N$2:N$400,MATCH(1,(CityU!$A13='Offer Statistics'!$B$2:$B$400)*(CityU!$AB$2='Offer Statistics'!$K$2:$K$400),0)),"/")</f>
        <v>4</v>
      </c>
      <c r="AG13" s="64" cm="1">
        <f t="array" ref="AG13">IFERROR(INDEX('Offer Statistics'!O$2:O$400,MATCH(1,(CityU!$A13='Offer Statistics'!$B$2:$B$400)*(CityU!$AB$2='Offer Statistics'!$K$2:$K$400),0)),"/")</f>
        <v>0</v>
      </c>
      <c r="AH13" s="64" cm="1">
        <f t="array" ref="AH13">IFERROR(INDEX('Offer Statistics'!P$2:P$400,MATCH(1,(CityU!$A13='Offer Statistics'!$B$2:$B$400)*(CityU!$AB$2='Offer Statistics'!$K$2:$K$400),0)),"/")</f>
        <v>0</v>
      </c>
      <c r="AI13" s="511"/>
      <c r="AJ13" s="36" cm="1">
        <f t="array" ref="AJ13">IFERROR(INDEX('Offer Statistics'!$I$2:$I$400,MATCH(1,(CityU!$A13='Offer Statistics'!$B$2:$B$400)*(CityU!$AB$2='Offer Statistics'!$C$2:$C$400),0)),"/")</f>
        <v>1628</v>
      </c>
      <c r="AK13" s="64" cm="1">
        <f t="array" ref="AK13">IFERROR(INDEX('Offer Statistics'!D$2:D$400,MATCH(1,(CityU!$A13='Offer Statistics'!$B$2:$B$400)*(CityU!$AB$2='Offer Statistics'!$C$2:$C$400),0)),"/")</f>
        <v>107</v>
      </c>
      <c r="AL13" s="64" cm="1">
        <f t="array" ref="AL13">IFERROR(INDEX('Offer Statistics'!E$2:E$400,MATCH(1,(CityU!$A13='Offer Statistics'!$B$2:$B$400)*(CityU!$AB$2='Offer Statistics'!$C$2:$C$400),0)),"/")</f>
        <v>229</v>
      </c>
      <c r="AM13" s="64" cm="1">
        <f t="array" ref="AM13">IFERROR(INDEX('Offer Statistics'!F$2:F$400,MATCH(1,(CityU!$A13='Offer Statistics'!$B$2:$B$400)*(CityU!$AB$2='Offer Statistics'!$C$2:$C$400),0)),"/")</f>
        <v>384</v>
      </c>
      <c r="AN13" s="64" cm="1">
        <f t="array" ref="AN13">IFERROR(INDEX('Offer Statistics'!G$2:G$400,MATCH(1,(CityU!$A13='Offer Statistics'!$B$2:$B$400)*(CityU!$AB$2='Offer Statistics'!$C$2:$C$400),0)),"/")</f>
        <v>534</v>
      </c>
      <c r="AO13" s="64" cm="1">
        <f t="array" ref="AO13">IFERROR(INDEX('Offer Statistics'!H$2:H$400,MATCH(1,(CityU!$A13='Offer Statistics'!$B$2:$B$400)*(CityU!$AB$2='Offer Statistics'!$C$2:$C$400),0)),"/")</f>
        <v>374</v>
      </c>
      <c r="AP13" s="15"/>
      <c r="AQ13" s="15" t="str">
        <f t="shared" si="0"/>
        <v>JS1025</v>
      </c>
      <c r="AR13" s="4"/>
      <c r="AS13" s="4"/>
      <c r="AT13" s="4"/>
      <c r="AU13" s="4"/>
      <c r="AV13" s="4"/>
      <c r="AW13" s="4"/>
      <c r="AX13" s="4"/>
      <c r="AY13" s="4"/>
      <c r="AZ13" s="4"/>
      <c r="BA13" s="4"/>
      <c r="BB13" s="4"/>
      <c r="BC13" s="4"/>
      <c r="BD13" s="4"/>
      <c r="BE13" s="4"/>
      <c r="BF13" s="4"/>
    </row>
    <row r="14" spans="1:58" s="2" customFormat="1" ht="18" customHeight="1">
      <c r="A14" s="15" t="str">
        <f>'Reference Score Calculation'!A25</f>
        <v>JS1026</v>
      </c>
      <c r="B14" s="4" t="str">
        <f>'Reference Score Calculation'!C25</f>
        <v>商學院</v>
      </c>
      <c r="C14" s="23" t="str">
        <f>'Reference Score Calculation'!D25</f>
        <v>工商管理學士(商業決策分析)</v>
      </c>
      <c r="D14" s="4" t="str">
        <f>'Reference Score Calculation'!R25</f>
        <v>BBABANL</v>
      </c>
      <c r="E14" s="392" t="str">
        <f>'Reference Score Calculation'!AB25</f>
        <v>3C2X</v>
      </c>
      <c r="F14" s="365" t="str">
        <f>'Reference Score Calculation'!E25</f>
        <v>4C2X</v>
      </c>
      <c r="G14" s="6">
        <f>'Reference Score Calculation'!H25</f>
        <v>23</v>
      </c>
      <c r="H14" s="6">
        <f>'Reference Score Calculation'!I25</f>
        <v>23</v>
      </c>
      <c r="I14" s="45">
        <f>計分版!J48</f>
        <v>2.7499999999999998E-9</v>
      </c>
      <c r="J14" s="185">
        <f t="shared" si="1"/>
        <v>-22.999999997250001</v>
      </c>
      <c r="K14" s="190">
        <f t="shared" si="2"/>
        <v>-8363636362.636364</v>
      </c>
      <c r="L14" s="36">
        <f>'Reference Score Calculation'!T25</f>
        <v>24</v>
      </c>
      <c r="M14" s="86">
        <f>入學要求!Z34</f>
        <v>0</v>
      </c>
      <c r="N14" s="512"/>
      <c r="O14" s="166">
        <f>入學要求!L34</f>
        <v>3</v>
      </c>
      <c r="P14" s="166">
        <f>入學要求!M34</f>
        <v>3</v>
      </c>
      <c r="Q14" s="166">
        <f>入學要求!N34</f>
        <v>3</v>
      </c>
      <c r="R14" s="166">
        <f>入學要求!O34</f>
        <v>1</v>
      </c>
      <c r="S14" s="166">
        <f>入學要求!P34</f>
        <v>3</v>
      </c>
      <c r="T14" s="166">
        <f>入學要求!Q34</f>
        <v>3</v>
      </c>
      <c r="U14" s="256">
        <f>入學要求!S34</f>
        <v>0</v>
      </c>
      <c r="V14" s="256">
        <f>入學要求!T34</f>
        <v>0</v>
      </c>
      <c r="W14" s="256">
        <f>入學要求!U34</f>
        <v>0</v>
      </c>
      <c r="X14" s="256">
        <f>入學要求!V34</f>
        <v>0</v>
      </c>
      <c r="Y14" s="256">
        <f>入學要求!W34</f>
        <v>0</v>
      </c>
      <c r="Z14" s="256">
        <f>入學要求!X34</f>
        <v>0</v>
      </c>
      <c r="AA14" s="44">
        <f t="shared" si="3"/>
        <v>8.14</v>
      </c>
      <c r="AB14" s="510"/>
      <c r="AC14" s="36" cm="1">
        <f t="array" ref="AC14">IFERROR(INDEX('Offer Statistics'!$Q$2:$Q$400,MATCH(1,(CityU!$A14='Offer Statistics'!$B$2:$B$400)*(CityU!$AB$2='Offer Statistics'!$K$2:$K$400),0)),"/")</f>
        <v>14</v>
      </c>
      <c r="AD14" s="64" cm="1">
        <f t="array" ref="AD14">IFERROR(INDEX('Offer Statistics'!L$2:L$400,MATCH(1,(CityU!$A14='Offer Statistics'!$B$2:$B$400)*(CityU!$AB$2='Offer Statistics'!$K$2:$K$400),0)),"/")</f>
        <v>14</v>
      </c>
      <c r="AE14" s="64" cm="1">
        <f t="array" ref="AE14">IFERROR(INDEX('Offer Statistics'!M$2:M$400,MATCH(1,(CityU!$A14='Offer Statistics'!$B$2:$B$400)*(CityU!$AB$2='Offer Statistics'!$K$2:$K$400),0)),"/")</f>
        <v>0</v>
      </c>
      <c r="AF14" s="64" cm="1">
        <f t="array" ref="AF14">IFERROR(INDEX('Offer Statistics'!N$2:N$400,MATCH(1,(CityU!$A14='Offer Statistics'!$B$2:$B$400)*(CityU!$AB$2='Offer Statistics'!$K$2:$K$400),0)),"/")</f>
        <v>0</v>
      </c>
      <c r="AG14" s="64" cm="1">
        <f t="array" ref="AG14">IFERROR(INDEX('Offer Statistics'!O$2:O$400,MATCH(1,(CityU!$A14='Offer Statistics'!$B$2:$B$400)*(CityU!$AB$2='Offer Statistics'!$K$2:$K$400),0)),"/")</f>
        <v>0</v>
      </c>
      <c r="AH14" s="64" cm="1">
        <f t="array" ref="AH14">IFERROR(INDEX('Offer Statistics'!P$2:P$400,MATCH(1,(CityU!$A14='Offer Statistics'!$B$2:$B$400)*(CityU!$AB$2='Offer Statistics'!$K$2:$K$400),0)),"/")</f>
        <v>0</v>
      </c>
      <c r="AI14" s="511"/>
      <c r="AJ14" s="36" cm="1">
        <f t="array" ref="AJ14">IFERROR(INDEX('Offer Statistics'!$I$2:$I$400,MATCH(1,(CityU!$A14='Offer Statistics'!$B$2:$B$400)*(CityU!$AB$2='Offer Statistics'!$C$2:$C$400),0)),"/")</f>
        <v>2055</v>
      </c>
      <c r="AK14" s="64" cm="1">
        <f t="array" ref="AK14">IFERROR(INDEX('Offer Statistics'!D$2:D$400,MATCH(1,(CityU!$A14='Offer Statistics'!$B$2:$B$400)*(CityU!$AB$2='Offer Statistics'!$C$2:$C$400),0)),"/")</f>
        <v>114</v>
      </c>
      <c r="AL14" s="64" cm="1">
        <f t="array" ref="AL14">IFERROR(INDEX('Offer Statistics'!E$2:E$400,MATCH(1,(CityU!$A14='Offer Statistics'!$B$2:$B$400)*(CityU!$AB$2='Offer Statistics'!$C$2:$C$400),0)),"/")</f>
        <v>272</v>
      </c>
      <c r="AM14" s="64" cm="1">
        <f t="array" ref="AM14">IFERROR(INDEX('Offer Statistics'!F$2:F$400,MATCH(1,(CityU!$A14='Offer Statistics'!$B$2:$B$400)*(CityU!$AB$2='Offer Statistics'!$C$2:$C$400),0)),"/")</f>
        <v>518</v>
      </c>
      <c r="AN14" s="64" cm="1">
        <f t="array" ref="AN14">IFERROR(INDEX('Offer Statistics'!G$2:G$400,MATCH(1,(CityU!$A14='Offer Statistics'!$B$2:$B$400)*(CityU!$AB$2='Offer Statistics'!$C$2:$C$400),0)),"/")</f>
        <v>673</v>
      </c>
      <c r="AO14" s="64" cm="1">
        <f t="array" ref="AO14">IFERROR(INDEX('Offer Statistics'!H$2:H$400,MATCH(1,(CityU!$A14='Offer Statistics'!$B$2:$B$400)*(CityU!$AB$2='Offer Statistics'!$C$2:$C$400),0)),"/")</f>
        <v>478</v>
      </c>
      <c r="AP14" s="15"/>
      <c r="AQ14" s="15" t="str">
        <f t="shared" si="0"/>
        <v>JS1026</v>
      </c>
      <c r="AR14" s="4"/>
      <c r="AS14" s="4"/>
      <c r="AT14" s="4"/>
      <c r="AU14" s="4"/>
      <c r="AV14" s="4"/>
      <c r="AW14" s="4"/>
      <c r="AX14" s="4"/>
      <c r="AY14" s="4"/>
      <c r="AZ14" s="4"/>
      <c r="BA14" s="4"/>
      <c r="BB14" s="4"/>
      <c r="BC14" s="4"/>
      <c r="BD14" s="4"/>
      <c r="BE14" s="4"/>
      <c r="BF14" s="4"/>
    </row>
    <row r="15" spans="1:58" s="2" customFormat="1" ht="18" customHeight="1">
      <c r="A15" s="15" t="str">
        <f>'Reference Score Calculation'!A26</f>
        <v>JS1027</v>
      </c>
      <c r="B15" s="4" t="str">
        <f>'Reference Score Calculation'!C26</f>
        <v>商學院</v>
      </c>
      <c r="C15" s="23" t="str">
        <f>'Reference Score Calculation'!D26</f>
        <v>工商管理學士(環球營運管理)</v>
      </c>
      <c r="D15" s="4" t="str">
        <f>'Reference Score Calculation'!R26</f>
        <v>BBABOM</v>
      </c>
      <c r="E15" s="392" t="str">
        <f>'Reference Score Calculation'!AB26</f>
        <v>3C2X</v>
      </c>
      <c r="F15" s="365" t="str">
        <f>'Reference Score Calculation'!E26</f>
        <v>4C2X</v>
      </c>
      <c r="G15" s="6">
        <f>'Reference Score Calculation'!H26</f>
        <v>23</v>
      </c>
      <c r="H15" s="6">
        <f>'Reference Score Calculation'!I26</f>
        <v>22</v>
      </c>
      <c r="I15" s="45">
        <f>計分版!J49</f>
        <v>2.7499999999999998E-9</v>
      </c>
      <c r="J15" s="185">
        <f t="shared" si="1"/>
        <v>-22.999999997250001</v>
      </c>
      <c r="K15" s="190">
        <f t="shared" si="2"/>
        <v>-8363636362.636364</v>
      </c>
      <c r="L15" s="36">
        <f>'Reference Score Calculation'!T26</f>
        <v>24</v>
      </c>
      <c r="M15" s="86">
        <f>入學要求!Z35</f>
        <v>0</v>
      </c>
      <c r="N15" s="512"/>
      <c r="O15" s="166">
        <f>入學要求!L35</f>
        <v>3</v>
      </c>
      <c r="P15" s="166">
        <f>入學要求!M35</f>
        <v>3</v>
      </c>
      <c r="Q15" s="166">
        <f>入學要求!N35</f>
        <v>3</v>
      </c>
      <c r="R15" s="166">
        <f>入學要求!O35</f>
        <v>1</v>
      </c>
      <c r="S15" s="166">
        <f>入學要求!P35</f>
        <v>3</v>
      </c>
      <c r="T15" s="166">
        <f>入學要求!Q35</f>
        <v>3</v>
      </c>
      <c r="U15" s="256">
        <f>入學要求!S35</f>
        <v>0</v>
      </c>
      <c r="V15" s="256">
        <f>入學要求!T35</f>
        <v>0</v>
      </c>
      <c r="W15" s="256">
        <f>入學要求!U35</f>
        <v>0</v>
      </c>
      <c r="X15" s="256">
        <f>入學要求!V35</f>
        <v>0</v>
      </c>
      <c r="Y15" s="256">
        <f>入學要求!W35</f>
        <v>0</v>
      </c>
      <c r="Z15" s="256">
        <f>入學要求!X35</f>
        <v>0</v>
      </c>
      <c r="AA15" s="44">
        <f t="shared" si="3"/>
        <v>5.75</v>
      </c>
      <c r="AB15" s="510"/>
      <c r="AC15" s="36" cm="1">
        <f t="array" ref="AC15">IFERROR(INDEX('Offer Statistics'!$Q$2:$Q$400,MATCH(1,(CityU!$A15='Offer Statistics'!$B$2:$B$400)*(CityU!$AB$2='Offer Statistics'!$K$2:$K$400),0)),"/")</f>
        <v>19</v>
      </c>
      <c r="AD15" s="64" cm="1">
        <f t="array" ref="AD15">IFERROR(INDEX('Offer Statistics'!L$2:L$400,MATCH(1,(CityU!$A15='Offer Statistics'!$B$2:$B$400)*(CityU!$AB$2='Offer Statistics'!$K$2:$K$400),0)),"/")</f>
        <v>16</v>
      </c>
      <c r="AE15" s="64" cm="1">
        <f t="array" ref="AE15">IFERROR(INDEX('Offer Statistics'!M$2:M$400,MATCH(1,(CityU!$A15='Offer Statistics'!$B$2:$B$400)*(CityU!$AB$2='Offer Statistics'!$K$2:$K$400),0)),"/")</f>
        <v>1</v>
      </c>
      <c r="AF15" s="64" cm="1">
        <f t="array" ref="AF15">IFERROR(INDEX('Offer Statistics'!N$2:N$400,MATCH(1,(CityU!$A15='Offer Statistics'!$B$2:$B$400)*(CityU!$AB$2='Offer Statistics'!$K$2:$K$400),0)),"/")</f>
        <v>1</v>
      </c>
      <c r="AG15" s="64" cm="1">
        <f t="array" ref="AG15">IFERROR(INDEX('Offer Statistics'!O$2:O$400,MATCH(1,(CityU!$A15='Offer Statistics'!$B$2:$B$400)*(CityU!$AB$2='Offer Statistics'!$K$2:$K$400),0)),"/")</f>
        <v>1</v>
      </c>
      <c r="AH15" s="64" cm="1">
        <f t="array" ref="AH15">IFERROR(INDEX('Offer Statistics'!P$2:P$400,MATCH(1,(CityU!$A15='Offer Statistics'!$B$2:$B$400)*(CityU!$AB$2='Offer Statistics'!$K$2:$K$400),0)),"/")</f>
        <v>0</v>
      </c>
      <c r="AI15" s="511"/>
      <c r="AJ15" s="36" cm="1">
        <f t="array" ref="AJ15">IFERROR(INDEX('Offer Statistics'!$I$2:$I$400,MATCH(1,(CityU!$A15='Offer Statistics'!$B$2:$B$400)*(CityU!$AB$2='Offer Statistics'!$C$2:$C$400),0)),"/")</f>
        <v>1938</v>
      </c>
      <c r="AK15" s="64" cm="1">
        <f t="array" ref="AK15">IFERROR(INDEX('Offer Statistics'!D$2:D$400,MATCH(1,(CityU!$A15='Offer Statistics'!$B$2:$B$400)*(CityU!$AB$2='Offer Statistics'!$C$2:$C$400),0)),"/")</f>
        <v>92</v>
      </c>
      <c r="AL15" s="64" cm="1">
        <f t="array" ref="AL15">IFERROR(INDEX('Offer Statistics'!E$2:E$400,MATCH(1,(CityU!$A15='Offer Statistics'!$B$2:$B$400)*(CityU!$AB$2='Offer Statistics'!$C$2:$C$400),0)),"/")</f>
        <v>249</v>
      </c>
      <c r="AM15" s="64" cm="1">
        <f t="array" ref="AM15">IFERROR(INDEX('Offer Statistics'!F$2:F$400,MATCH(1,(CityU!$A15='Offer Statistics'!$B$2:$B$400)*(CityU!$AB$2='Offer Statistics'!$C$2:$C$400),0)),"/")</f>
        <v>474</v>
      </c>
      <c r="AN15" s="64" cm="1">
        <f t="array" ref="AN15">IFERROR(INDEX('Offer Statistics'!G$2:G$400,MATCH(1,(CityU!$A15='Offer Statistics'!$B$2:$B$400)*(CityU!$AB$2='Offer Statistics'!$C$2:$C$400),0)),"/")</f>
        <v>639</v>
      </c>
      <c r="AO15" s="64" cm="1">
        <f t="array" ref="AO15">IFERROR(INDEX('Offer Statistics'!H$2:H$400,MATCH(1,(CityU!$A15='Offer Statistics'!$B$2:$B$400)*(CityU!$AB$2='Offer Statistics'!$C$2:$C$400),0)),"/")</f>
        <v>484</v>
      </c>
      <c r="AP15" s="15"/>
      <c r="AQ15" s="15" t="str">
        <f t="shared" si="0"/>
        <v>JS1027</v>
      </c>
      <c r="AR15" s="4"/>
      <c r="AS15" s="4"/>
      <c r="AT15" s="4"/>
      <c r="AU15" s="4"/>
      <c r="AV15" s="4"/>
      <c r="AW15" s="4"/>
      <c r="AX15" s="4"/>
      <c r="AY15" s="4"/>
      <c r="AZ15" s="4"/>
      <c r="BA15" s="4"/>
      <c r="BB15" s="4"/>
      <c r="BC15" s="4"/>
      <c r="BD15" s="4"/>
      <c r="BE15" s="4"/>
      <c r="BF15" s="4"/>
    </row>
    <row r="16" spans="1:58" s="2" customFormat="1" ht="18" customHeight="1">
      <c r="A16" s="15" t="str">
        <f>'Reference Score Calculation'!A27</f>
        <v>JS1041</v>
      </c>
      <c r="B16" s="4" t="str">
        <f>'Reference Score Calculation'!C27</f>
        <v>創意媒體學院</v>
      </c>
      <c r="C16" s="23" t="str">
        <f>'Reference Score Calculation'!D27</f>
        <v>創意媒體學院 [選項: 文學士(創意媒體)、理學士(創意媒體)、文理學士(新媒體)]</v>
      </c>
      <c r="D16" s="4" t="str">
        <f>'Reference Score Calculation'!R27</f>
        <v>SCM</v>
      </c>
      <c r="E16" s="392" t="str">
        <f>'Reference Score Calculation'!AB27</f>
        <v>Best 5</v>
      </c>
      <c r="F16" s="391" t="str">
        <f>'Reference Score Calculation'!E27</f>
        <v>4C2X</v>
      </c>
      <c r="G16" s="6">
        <f>'Reference Score Calculation'!H27</f>
        <v>29</v>
      </c>
      <c r="H16" s="6">
        <f>'Reference Score Calculation'!I27</f>
        <v>28</v>
      </c>
      <c r="I16" s="45">
        <f>計分版!J50</f>
        <v>2.9499999999999999E-9</v>
      </c>
      <c r="J16" s="185">
        <f t="shared" si="1"/>
        <v>-28.999999997050001</v>
      </c>
      <c r="K16" s="190">
        <f t="shared" si="2"/>
        <v>-9830508473.5762711</v>
      </c>
      <c r="L16" s="36">
        <f>'Reference Score Calculation'!T27</f>
        <v>24</v>
      </c>
      <c r="M16" s="86">
        <f>入學要求!Z36</f>
        <v>0</v>
      </c>
      <c r="N16" s="512"/>
      <c r="O16" s="166">
        <f>入學要求!L36</f>
        <v>3</v>
      </c>
      <c r="P16" s="166">
        <f>入學要求!M36</f>
        <v>3</v>
      </c>
      <c r="Q16" s="166">
        <f>入學要求!N36</f>
        <v>2</v>
      </c>
      <c r="R16" s="166">
        <f>入學要求!O36</f>
        <v>1</v>
      </c>
      <c r="S16" s="166">
        <f>入學要求!P36</f>
        <v>3</v>
      </c>
      <c r="T16" s="166">
        <f>入學要求!Q36</f>
        <v>3</v>
      </c>
      <c r="U16" s="256">
        <f>入學要求!S36</f>
        <v>0</v>
      </c>
      <c r="V16" s="256">
        <f>入學要求!T36</f>
        <v>0</v>
      </c>
      <c r="W16" s="256">
        <f>入學要求!U36</f>
        <v>0</v>
      </c>
      <c r="X16" s="256">
        <f>入學要求!V36</f>
        <v>0</v>
      </c>
      <c r="Y16" s="256">
        <f>入學要求!W36</f>
        <v>0</v>
      </c>
      <c r="Z16" s="256">
        <f>入學要求!X36</f>
        <v>0</v>
      </c>
      <c r="AA16" s="44">
        <f t="shared" si="3"/>
        <v>15.18</v>
      </c>
      <c r="AB16" s="510"/>
      <c r="AC16" s="36" cm="1">
        <f t="array" ref="AC16">IFERROR(INDEX('Offer Statistics'!$Q$2:$Q$400,MATCH(1,(CityU!$A16='Offer Statistics'!$B$2:$B$400)*(CityU!$AB$2='Offer Statistics'!$K$2:$K$400),0)),"/")</f>
        <v>28</v>
      </c>
      <c r="AD16" s="64" cm="1">
        <f t="array" ref="AD16">IFERROR(INDEX('Offer Statistics'!L$2:L$400,MATCH(1,(CityU!$A16='Offer Statistics'!$B$2:$B$400)*(CityU!$AB$2='Offer Statistics'!$K$2:$K$400),0)),"/")</f>
        <v>28</v>
      </c>
      <c r="AE16" s="64" cm="1">
        <f t="array" ref="AE16">IFERROR(INDEX('Offer Statistics'!M$2:M$400,MATCH(1,(CityU!$A16='Offer Statistics'!$B$2:$B$400)*(CityU!$AB$2='Offer Statistics'!$K$2:$K$400),0)),"/")</f>
        <v>0</v>
      </c>
      <c r="AF16" s="64" cm="1">
        <f t="array" ref="AF16">IFERROR(INDEX('Offer Statistics'!N$2:N$400,MATCH(1,(CityU!$A16='Offer Statistics'!$B$2:$B$400)*(CityU!$AB$2='Offer Statistics'!$K$2:$K$400),0)),"/")</f>
        <v>0</v>
      </c>
      <c r="AG16" s="64" cm="1">
        <f t="array" ref="AG16">IFERROR(INDEX('Offer Statistics'!O$2:O$400,MATCH(1,(CityU!$A16='Offer Statistics'!$B$2:$B$400)*(CityU!$AB$2='Offer Statistics'!$K$2:$K$400),0)),"/")</f>
        <v>0</v>
      </c>
      <c r="AH16" s="64" cm="1">
        <f t="array" ref="AH16">IFERROR(INDEX('Offer Statistics'!P$2:P$400,MATCH(1,(CityU!$A16='Offer Statistics'!$B$2:$B$400)*(CityU!$AB$2='Offer Statistics'!$K$2:$K$400),0)),"/")</f>
        <v>0</v>
      </c>
      <c r="AI16" s="511"/>
      <c r="AJ16" s="36" cm="1">
        <f t="array" ref="AJ16">IFERROR(INDEX('Offer Statistics'!$I$2:$I$400,MATCH(1,(CityU!$A16='Offer Statistics'!$B$2:$B$400)*(CityU!$AB$2='Offer Statistics'!$C$2:$C$400),0)),"/")</f>
        <v>2818</v>
      </c>
      <c r="AK16" s="64" cm="1">
        <f t="array" ref="AK16">IFERROR(INDEX('Offer Statistics'!D$2:D$400,MATCH(1,(CityU!$A16='Offer Statistics'!$B$2:$B$400)*(CityU!$AB$2='Offer Statistics'!$C$2:$C$400),0)),"/")</f>
        <v>425</v>
      </c>
      <c r="AL16" s="64" cm="1">
        <f t="array" ref="AL16">IFERROR(INDEX('Offer Statistics'!E$2:E$400,MATCH(1,(CityU!$A16='Offer Statistics'!$B$2:$B$400)*(CityU!$AB$2='Offer Statistics'!$C$2:$C$400),0)),"/")</f>
        <v>440</v>
      </c>
      <c r="AM16" s="64" cm="1">
        <f t="array" ref="AM16">IFERROR(INDEX('Offer Statistics'!F$2:F$400,MATCH(1,(CityU!$A16='Offer Statistics'!$B$2:$B$400)*(CityU!$AB$2='Offer Statistics'!$C$2:$C$400),0)),"/")</f>
        <v>689</v>
      </c>
      <c r="AN16" s="64" cm="1">
        <f t="array" ref="AN16">IFERROR(INDEX('Offer Statistics'!G$2:G$400,MATCH(1,(CityU!$A16='Offer Statistics'!$B$2:$B$400)*(CityU!$AB$2='Offer Statistics'!$C$2:$C$400),0)),"/")</f>
        <v>743</v>
      </c>
      <c r="AO16" s="64" cm="1">
        <f t="array" ref="AO16">IFERROR(INDEX('Offer Statistics'!H$2:H$400,MATCH(1,(CityU!$A16='Offer Statistics'!$B$2:$B$400)*(CityU!$AB$2='Offer Statistics'!$C$2:$C$400),0)),"/")</f>
        <v>521</v>
      </c>
      <c r="AP16" s="15"/>
      <c r="AQ16" s="15" t="str">
        <f t="shared" si="0"/>
        <v>JS1041</v>
      </c>
      <c r="AR16" s="4"/>
      <c r="AS16" s="4"/>
      <c r="AT16" s="4"/>
      <c r="AU16" s="4"/>
      <c r="AV16" s="4"/>
      <c r="AW16" s="4"/>
      <c r="AX16" s="4"/>
      <c r="AY16" s="4"/>
      <c r="AZ16" s="4"/>
      <c r="BA16" s="4"/>
      <c r="BB16" s="4"/>
      <c r="BC16" s="4"/>
      <c r="BD16" s="4"/>
      <c r="BE16" s="4"/>
      <c r="BF16" s="4"/>
    </row>
    <row r="17" spans="1:58" s="2" customFormat="1" ht="18" customHeight="1">
      <c r="A17" s="15" t="str">
        <f>'Reference Score Calculation'!A28</f>
        <v>JS1042</v>
      </c>
      <c r="B17" s="4" t="str">
        <f>'Reference Score Calculation'!C28</f>
        <v>創意媒體學院</v>
      </c>
      <c r="C17" s="23" t="str">
        <f>'Reference Score Calculation'!D28</f>
        <v>文學士(創意媒體)</v>
      </c>
      <c r="D17" s="4" t="str">
        <f>'Reference Score Calculation'!R28</f>
        <v>BACM</v>
      </c>
      <c r="E17" s="392" t="str">
        <f>'Reference Score Calculation'!AB28</f>
        <v>Best 5</v>
      </c>
      <c r="F17" s="391" t="str">
        <f>'Reference Score Calculation'!E28</f>
        <v>4C2X</v>
      </c>
      <c r="G17" s="6">
        <f>'Reference Score Calculation'!H28</f>
        <v>29</v>
      </c>
      <c r="H17" s="6">
        <f>'Reference Score Calculation'!I28</f>
        <v>28</v>
      </c>
      <c r="I17" s="45">
        <f>計分版!J51</f>
        <v>2.9499999999999999E-9</v>
      </c>
      <c r="J17" s="185">
        <f t="shared" si="1"/>
        <v>-28.999999997050001</v>
      </c>
      <c r="K17" s="190">
        <f t="shared" si="2"/>
        <v>-9830508473.5762711</v>
      </c>
      <c r="L17" s="36">
        <f>'Reference Score Calculation'!T28</f>
        <v>20</v>
      </c>
      <c r="M17" s="86">
        <f>入學要求!Z37</f>
        <v>0</v>
      </c>
      <c r="N17" s="512"/>
      <c r="O17" s="166">
        <f>入學要求!L37</f>
        <v>3</v>
      </c>
      <c r="P17" s="166">
        <f>入學要求!M37</f>
        <v>3</v>
      </c>
      <c r="Q17" s="166">
        <f>入學要求!N37</f>
        <v>2</v>
      </c>
      <c r="R17" s="166">
        <f>入學要求!O37</f>
        <v>1</v>
      </c>
      <c r="S17" s="166">
        <f>入學要求!P37</f>
        <v>3</v>
      </c>
      <c r="T17" s="166">
        <f>入學要求!Q37</f>
        <v>3</v>
      </c>
      <c r="U17" s="256">
        <f>入學要求!S37</f>
        <v>0</v>
      </c>
      <c r="V17" s="256">
        <f>入學要求!T37</f>
        <v>0</v>
      </c>
      <c r="W17" s="256">
        <f>入學要求!U37</f>
        <v>0</v>
      </c>
      <c r="X17" s="256">
        <f>入學要求!V37</f>
        <v>0</v>
      </c>
      <c r="Y17" s="256">
        <f>入學要求!W37</f>
        <v>0</v>
      </c>
      <c r="Z17" s="256">
        <f>入學要求!X37</f>
        <v>0</v>
      </c>
      <c r="AA17" s="44">
        <f t="shared" si="3"/>
        <v>14.68</v>
      </c>
      <c r="AB17" s="510"/>
      <c r="AC17" s="36" cm="1">
        <f t="array" ref="AC17">IFERROR(INDEX('Offer Statistics'!$Q$2:$Q$400,MATCH(1,(CityU!$A17='Offer Statistics'!$B$2:$B$400)*(CityU!$AB$2='Offer Statistics'!$K$2:$K$400),0)),"/")</f>
        <v>19</v>
      </c>
      <c r="AD17" s="64" cm="1">
        <f t="array" ref="AD17">IFERROR(INDEX('Offer Statistics'!L$2:L$400,MATCH(1,(CityU!$A17='Offer Statistics'!$B$2:$B$400)*(CityU!$AB$2='Offer Statistics'!$K$2:$K$400),0)),"/")</f>
        <v>19</v>
      </c>
      <c r="AE17" s="64" cm="1">
        <f t="array" ref="AE17">IFERROR(INDEX('Offer Statistics'!M$2:M$400,MATCH(1,(CityU!$A17='Offer Statistics'!$B$2:$B$400)*(CityU!$AB$2='Offer Statistics'!$K$2:$K$400),0)),"/")</f>
        <v>0</v>
      </c>
      <c r="AF17" s="64" cm="1">
        <f t="array" ref="AF17">IFERROR(INDEX('Offer Statistics'!N$2:N$400,MATCH(1,(CityU!$A17='Offer Statistics'!$B$2:$B$400)*(CityU!$AB$2='Offer Statistics'!$K$2:$K$400),0)),"/")</f>
        <v>0</v>
      </c>
      <c r="AG17" s="64" cm="1">
        <f t="array" ref="AG17">IFERROR(INDEX('Offer Statistics'!O$2:O$400,MATCH(1,(CityU!$A17='Offer Statistics'!$B$2:$B$400)*(CityU!$AB$2='Offer Statistics'!$K$2:$K$400),0)),"/")</f>
        <v>0</v>
      </c>
      <c r="AH17" s="64" cm="1">
        <f t="array" ref="AH17">IFERROR(INDEX('Offer Statistics'!P$2:P$400,MATCH(1,(CityU!$A17='Offer Statistics'!$B$2:$B$400)*(CityU!$AB$2='Offer Statistics'!$K$2:$K$400),0)),"/")</f>
        <v>0</v>
      </c>
      <c r="AI17" s="511"/>
      <c r="AJ17" s="36" cm="1">
        <f t="array" ref="AJ17">IFERROR(INDEX('Offer Statistics'!$I$2:$I$400,MATCH(1,(CityU!$A17='Offer Statistics'!$B$2:$B$400)*(CityU!$AB$2='Offer Statistics'!$C$2:$C$400),0)),"/")</f>
        <v>2456</v>
      </c>
      <c r="AK17" s="64" cm="1">
        <f t="array" ref="AK17">IFERROR(INDEX('Offer Statistics'!D$2:D$400,MATCH(1,(CityU!$A17='Offer Statistics'!$B$2:$B$400)*(CityU!$AB$2='Offer Statistics'!$C$2:$C$400),0)),"/")</f>
        <v>279</v>
      </c>
      <c r="AL17" s="64" cm="1">
        <f t="array" ref="AL17">IFERROR(INDEX('Offer Statistics'!E$2:E$400,MATCH(1,(CityU!$A17='Offer Statistics'!$B$2:$B$400)*(CityU!$AB$2='Offer Statistics'!$C$2:$C$400),0)),"/")</f>
        <v>415</v>
      </c>
      <c r="AM17" s="64" cm="1">
        <f t="array" ref="AM17">IFERROR(INDEX('Offer Statistics'!F$2:F$400,MATCH(1,(CityU!$A17='Offer Statistics'!$B$2:$B$400)*(CityU!$AB$2='Offer Statistics'!$C$2:$C$400),0)),"/")</f>
        <v>597</v>
      </c>
      <c r="AN17" s="64" cm="1">
        <f t="array" ref="AN17">IFERROR(INDEX('Offer Statistics'!G$2:G$400,MATCH(1,(CityU!$A17='Offer Statistics'!$B$2:$B$400)*(CityU!$AB$2='Offer Statistics'!$C$2:$C$400),0)),"/")</f>
        <v>661</v>
      </c>
      <c r="AO17" s="64" cm="1">
        <f t="array" ref="AO17">IFERROR(INDEX('Offer Statistics'!H$2:H$400,MATCH(1,(CityU!$A17='Offer Statistics'!$B$2:$B$400)*(CityU!$AB$2='Offer Statistics'!$C$2:$C$400),0)),"/")</f>
        <v>504</v>
      </c>
      <c r="AP17" s="15"/>
      <c r="AQ17" s="15" t="str">
        <f t="shared" si="0"/>
        <v>JS1042</v>
      </c>
      <c r="AR17" s="4"/>
      <c r="AS17" s="4"/>
      <c r="AT17" s="4"/>
      <c r="AU17" s="4"/>
      <c r="AV17" s="4"/>
      <c r="AW17" s="4"/>
      <c r="AX17" s="4"/>
      <c r="AY17" s="4"/>
      <c r="AZ17" s="4"/>
      <c r="BA17" s="4"/>
      <c r="BB17" s="4"/>
      <c r="BC17" s="4"/>
      <c r="BD17" s="4"/>
      <c r="BE17" s="4"/>
      <c r="BF17" s="4"/>
    </row>
    <row r="18" spans="1:58" s="2" customFormat="1" ht="18" customHeight="1">
      <c r="A18" s="15" t="str">
        <f>'Reference Score Calculation'!A29</f>
        <v>JS1043</v>
      </c>
      <c r="B18" s="4" t="str">
        <f>'Reference Score Calculation'!C29</f>
        <v>創意媒體學院</v>
      </c>
      <c r="C18" s="23" t="str">
        <f>'Reference Score Calculation'!D29</f>
        <v>理學士(創意媒體)</v>
      </c>
      <c r="D18" s="4" t="str">
        <f>'Reference Score Calculation'!R29</f>
        <v>BScCM</v>
      </c>
      <c r="E18" s="392" t="str">
        <f>'Reference Score Calculation'!AB29</f>
        <v>Best 5</v>
      </c>
      <c r="F18" s="391" t="str">
        <f>'Reference Score Calculation'!E29</f>
        <v>4C2X</v>
      </c>
      <c r="G18" s="6">
        <f>'Reference Score Calculation'!H29</f>
        <v>28</v>
      </c>
      <c r="H18" s="6">
        <f>'Reference Score Calculation'!I29</f>
        <v>28</v>
      </c>
      <c r="I18" s="45">
        <f>計分版!J52</f>
        <v>3.1000000000000005E-9</v>
      </c>
      <c r="J18" s="185">
        <f t="shared" si="1"/>
        <v>-27.999999996900002</v>
      </c>
      <c r="K18" s="190">
        <f t="shared" si="2"/>
        <v>-9032258063.5161285</v>
      </c>
      <c r="L18" s="36">
        <f>'Reference Score Calculation'!T29</f>
        <v>27</v>
      </c>
      <c r="M18" s="86">
        <f>入學要求!Z38</f>
        <v>0</v>
      </c>
      <c r="N18" s="512"/>
      <c r="O18" s="166">
        <f>入學要求!L38</f>
        <v>3</v>
      </c>
      <c r="P18" s="166">
        <f>入學要求!M38</f>
        <v>3</v>
      </c>
      <c r="Q18" s="166">
        <f>入學要求!N38</f>
        <v>2</v>
      </c>
      <c r="R18" s="166">
        <f>入學要求!O38</f>
        <v>1</v>
      </c>
      <c r="S18" s="166">
        <f>入學要求!P38</f>
        <v>3</v>
      </c>
      <c r="T18" s="166">
        <f>入學要求!Q38</f>
        <v>3</v>
      </c>
      <c r="U18" s="256">
        <f>入學要求!S38</f>
        <v>0</v>
      </c>
      <c r="V18" s="256">
        <f>入學要求!T38</f>
        <v>0</v>
      </c>
      <c r="W18" s="256">
        <f>入學要求!U38</f>
        <v>0</v>
      </c>
      <c r="X18" s="256">
        <f>入學要求!V38</f>
        <v>0</v>
      </c>
      <c r="Y18" s="256">
        <f>入學要求!W38</f>
        <v>0</v>
      </c>
      <c r="Z18" s="256">
        <f>入學要求!X38</f>
        <v>0</v>
      </c>
      <c r="AA18" s="44">
        <f t="shared" si="3"/>
        <v>10.7</v>
      </c>
      <c r="AB18" s="510"/>
      <c r="AC18" s="36" cm="1">
        <f t="array" ref="AC18">IFERROR(INDEX('Offer Statistics'!$Q$2:$Q$400,MATCH(1,(CityU!$A18='Offer Statistics'!$B$2:$B$400)*(CityU!$AB$2='Offer Statistics'!$K$2:$K$400),0)),"/")</f>
        <v>20</v>
      </c>
      <c r="AD18" s="64" cm="1">
        <f t="array" ref="AD18">IFERROR(INDEX('Offer Statistics'!L$2:L$400,MATCH(1,(CityU!$A18='Offer Statistics'!$B$2:$B$400)*(CityU!$AB$2='Offer Statistics'!$K$2:$K$400),0)),"/")</f>
        <v>20</v>
      </c>
      <c r="AE18" s="64" cm="1">
        <f t="array" ref="AE18">IFERROR(INDEX('Offer Statistics'!M$2:M$400,MATCH(1,(CityU!$A18='Offer Statistics'!$B$2:$B$400)*(CityU!$AB$2='Offer Statistics'!$K$2:$K$400),0)),"/")</f>
        <v>0</v>
      </c>
      <c r="AF18" s="64" cm="1">
        <f t="array" ref="AF18">IFERROR(INDEX('Offer Statistics'!N$2:N$400,MATCH(1,(CityU!$A18='Offer Statistics'!$B$2:$B$400)*(CityU!$AB$2='Offer Statistics'!$K$2:$K$400),0)),"/")</f>
        <v>0</v>
      </c>
      <c r="AG18" s="64" cm="1">
        <f t="array" ref="AG18">IFERROR(INDEX('Offer Statistics'!O$2:O$400,MATCH(1,(CityU!$A18='Offer Statistics'!$B$2:$B$400)*(CityU!$AB$2='Offer Statistics'!$K$2:$K$400),0)),"/")</f>
        <v>0</v>
      </c>
      <c r="AH18" s="64" cm="1">
        <f t="array" ref="AH18">IFERROR(INDEX('Offer Statistics'!P$2:P$400,MATCH(1,(CityU!$A18='Offer Statistics'!$B$2:$B$400)*(CityU!$AB$2='Offer Statistics'!$K$2:$K$400),0)),"/")</f>
        <v>0</v>
      </c>
      <c r="AI18" s="511"/>
      <c r="AJ18" s="36" cm="1">
        <f t="array" ref="AJ18">IFERROR(INDEX('Offer Statistics'!$I$2:$I$400,MATCH(1,(CityU!$A18='Offer Statistics'!$B$2:$B$400)*(CityU!$AB$2='Offer Statistics'!$C$2:$C$400),0)),"/")</f>
        <v>1844</v>
      </c>
      <c r="AK18" s="64" cm="1">
        <f t="array" ref="AK18">IFERROR(INDEX('Offer Statistics'!D$2:D$400,MATCH(1,(CityU!$A18='Offer Statistics'!$B$2:$B$400)*(CityU!$AB$2='Offer Statistics'!$C$2:$C$400),0)),"/")</f>
        <v>214</v>
      </c>
      <c r="AL18" s="64" cm="1">
        <f t="array" ref="AL18">IFERROR(INDEX('Offer Statistics'!E$2:E$400,MATCH(1,(CityU!$A18='Offer Statistics'!$B$2:$B$400)*(CityU!$AB$2='Offer Statistics'!$C$2:$C$400),0)),"/")</f>
        <v>287</v>
      </c>
      <c r="AM18" s="64" cm="1">
        <f t="array" ref="AM18">IFERROR(INDEX('Offer Statistics'!F$2:F$400,MATCH(1,(CityU!$A18='Offer Statistics'!$B$2:$B$400)*(CityU!$AB$2='Offer Statistics'!$C$2:$C$400),0)),"/")</f>
        <v>426</v>
      </c>
      <c r="AN18" s="64" cm="1">
        <f t="array" ref="AN18">IFERROR(INDEX('Offer Statistics'!G$2:G$400,MATCH(1,(CityU!$A18='Offer Statistics'!$B$2:$B$400)*(CityU!$AB$2='Offer Statistics'!$C$2:$C$400),0)),"/")</f>
        <v>529</v>
      </c>
      <c r="AO18" s="64" cm="1">
        <f t="array" ref="AO18">IFERROR(INDEX('Offer Statistics'!H$2:H$400,MATCH(1,(CityU!$A18='Offer Statistics'!$B$2:$B$400)*(CityU!$AB$2='Offer Statistics'!$C$2:$C$400),0)),"/")</f>
        <v>388</v>
      </c>
      <c r="AP18" s="15"/>
      <c r="AQ18" s="15" t="str">
        <f t="shared" si="0"/>
        <v>JS1043</v>
      </c>
      <c r="AR18" s="4"/>
      <c r="AS18" s="4"/>
      <c r="AT18" s="4"/>
      <c r="AU18" s="4"/>
      <c r="AV18" s="4"/>
      <c r="AW18" s="4"/>
      <c r="AX18" s="4"/>
      <c r="AY18" s="4"/>
      <c r="AZ18" s="4"/>
      <c r="BA18" s="4"/>
      <c r="BB18" s="4"/>
      <c r="BC18" s="4"/>
      <c r="BD18" s="4"/>
      <c r="BE18" s="4"/>
      <c r="BF18" s="4"/>
    </row>
    <row r="19" spans="1:58" s="2" customFormat="1" ht="18" customHeight="1">
      <c r="A19" s="15" t="str">
        <f>'Reference Score Calculation'!A30</f>
        <v>JS1044</v>
      </c>
      <c r="B19" s="4" t="str">
        <f>'Reference Score Calculation'!C30</f>
        <v>創意媒體學院</v>
      </c>
      <c r="C19" s="23" t="str">
        <f>'Reference Score Calculation'!D30</f>
        <v>文理學士(新媒體)</v>
      </c>
      <c r="D19" s="4" t="str">
        <f>'Reference Score Calculation'!R30</f>
        <v>BAS</v>
      </c>
      <c r="E19" s="392" t="str">
        <f>'Reference Score Calculation'!AB30</f>
        <v>Best 5</v>
      </c>
      <c r="F19" s="391" t="str">
        <f>'Reference Score Calculation'!E30</f>
        <v>Best 5</v>
      </c>
      <c r="G19" s="6">
        <f>'Reference Score Calculation'!H30</f>
        <v>23</v>
      </c>
      <c r="H19" s="6">
        <f>'Reference Score Calculation'!I30</f>
        <v>23</v>
      </c>
      <c r="I19" s="45">
        <f>計分版!J53</f>
        <v>3.7500000000000005E-9</v>
      </c>
      <c r="J19" s="185">
        <f t="shared" si="1"/>
        <v>-22.999999996250001</v>
      </c>
      <c r="K19" s="190">
        <f t="shared" si="2"/>
        <v>-6133333332.333333</v>
      </c>
      <c r="L19" s="36">
        <f>'Reference Score Calculation'!T30</f>
        <v>19</v>
      </c>
      <c r="M19" s="86">
        <f>入學要求!Z39</f>
        <v>0</v>
      </c>
      <c r="N19" s="512"/>
      <c r="O19" s="166">
        <f>入學要求!L39</f>
        <v>3</v>
      </c>
      <c r="P19" s="166">
        <f>入學要求!M39</f>
        <v>3</v>
      </c>
      <c r="Q19" s="166">
        <f>入學要求!N39</f>
        <v>2</v>
      </c>
      <c r="R19" s="166">
        <f>入學要求!O39</f>
        <v>1</v>
      </c>
      <c r="S19" s="166">
        <f>入學要求!P39</f>
        <v>3</v>
      </c>
      <c r="T19" s="166">
        <f>入學要求!Q39</f>
        <v>3</v>
      </c>
      <c r="U19" s="256">
        <f>入學要求!S39</f>
        <v>0</v>
      </c>
      <c r="V19" s="256">
        <f>入學要求!T39</f>
        <v>0</v>
      </c>
      <c r="W19" s="256">
        <f>入學要求!U39</f>
        <v>0</v>
      </c>
      <c r="X19" s="256">
        <f>入學要求!V39</f>
        <v>0</v>
      </c>
      <c r="Y19" s="256">
        <f>入學要求!W39</f>
        <v>0</v>
      </c>
      <c r="Z19" s="256">
        <f>入學要求!X39</f>
        <v>0</v>
      </c>
      <c r="AA19" s="44">
        <f t="shared" si="3"/>
        <v>13.62</v>
      </c>
      <c r="AB19" s="510"/>
      <c r="AC19" s="36" cm="1">
        <f t="array" ref="AC19">IFERROR(INDEX('Offer Statistics'!$Q$2:$Q$400,MATCH(1,(CityU!$A19='Offer Statistics'!$B$2:$B$400)*(CityU!$AB$2='Offer Statistics'!$K$2:$K$400),0)),"/")</f>
        <v>21</v>
      </c>
      <c r="AD19" s="64" cm="1">
        <f t="array" ref="AD19">IFERROR(INDEX('Offer Statistics'!L$2:L$400,MATCH(1,(CityU!$A19='Offer Statistics'!$B$2:$B$400)*(CityU!$AB$2='Offer Statistics'!$K$2:$K$400),0)),"/")</f>
        <v>21</v>
      </c>
      <c r="AE19" s="64" cm="1">
        <f t="array" ref="AE19">IFERROR(INDEX('Offer Statistics'!M$2:M$400,MATCH(1,(CityU!$A19='Offer Statistics'!$B$2:$B$400)*(CityU!$AB$2='Offer Statistics'!$K$2:$K$400),0)),"/")</f>
        <v>0</v>
      </c>
      <c r="AF19" s="64" cm="1">
        <f t="array" ref="AF19">IFERROR(INDEX('Offer Statistics'!N$2:N$400,MATCH(1,(CityU!$A19='Offer Statistics'!$B$2:$B$400)*(CityU!$AB$2='Offer Statistics'!$K$2:$K$400),0)),"/")</f>
        <v>0</v>
      </c>
      <c r="AG19" s="64" cm="1">
        <f t="array" ref="AG19">IFERROR(INDEX('Offer Statistics'!O$2:O$400,MATCH(1,(CityU!$A19='Offer Statistics'!$B$2:$B$400)*(CityU!$AB$2='Offer Statistics'!$K$2:$K$400),0)),"/")</f>
        <v>0</v>
      </c>
      <c r="AH19" s="64" cm="1">
        <f t="array" ref="AH19">IFERROR(INDEX('Offer Statistics'!P$2:P$400,MATCH(1,(CityU!$A19='Offer Statistics'!$B$2:$B$400)*(CityU!$AB$2='Offer Statistics'!$K$2:$K$400),0)),"/")</f>
        <v>0</v>
      </c>
      <c r="AI19" s="511"/>
      <c r="AJ19" s="36" cm="1">
        <f t="array" ref="AJ19">IFERROR(INDEX('Offer Statistics'!$I$2:$I$400,MATCH(1,(CityU!$A19='Offer Statistics'!$B$2:$B$400)*(CityU!$AB$2='Offer Statistics'!$C$2:$C$400),0)),"/")</f>
        <v>2139</v>
      </c>
      <c r="AK19" s="64" cm="1">
        <f t="array" ref="AK19">IFERROR(INDEX('Offer Statistics'!D$2:D$400,MATCH(1,(CityU!$A19='Offer Statistics'!$B$2:$B$400)*(CityU!$AB$2='Offer Statistics'!$C$2:$C$400),0)),"/")</f>
        <v>286</v>
      </c>
      <c r="AL19" s="64" cm="1">
        <f t="array" ref="AL19">IFERROR(INDEX('Offer Statistics'!E$2:E$400,MATCH(1,(CityU!$A19='Offer Statistics'!$B$2:$B$400)*(CityU!$AB$2='Offer Statistics'!$C$2:$C$400),0)),"/")</f>
        <v>321</v>
      </c>
      <c r="AM19" s="64" cm="1">
        <f t="array" ref="AM19">IFERROR(INDEX('Offer Statistics'!F$2:F$400,MATCH(1,(CityU!$A19='Offer Statistics'!$B$2:$B$400)*(CityU!$AB$2='Offer Statistics'!$C$2:$C$400),0)),"/")</f>
        <v>477</v>
      </c>
      <c r="AN19" s="64" cm="1">
        <f t="array" ref="AN19">IFERROR(INDEX('Offer Statistics'!G$2:G$400,MATCH(1,(CityU!$A19='Offer Statistics'!$B$2:$B$400)*(CityU!$AB$2='Offer Statistics'!$C$2:$C$400),0)),"/")</f>
        <v>567</v>
      </c>
      <c r="AO19" s="64" cm="1">
        <f t="array" ref="AO19">IFERROR(INDEX('Offer Statistics'!H$2:H$400,MATCH(1,(CityU!$A19='Offer Statistics'!$B$2:$B$400)*(CityU!$AB$2='Offer Statistics'!$C$2:$C$400),0)),"/")</f>
        <v>488</v>
      </c>
      <c r="AP19" s="15"/>
      <c r="AQ19" s="15" t="str">
        <f t="shared" si="0"/>
        <v>JS1044</v>
      </c>
      <c r="AR19" s="4"/>
      <c r="AS19" s="4"/>
      <c r="AT19" s="4"/>
      <c r="AU19" s="4"/>
      <c r="AV19" s="4"/>
      <c r="AW19" s="4"/>
      <c r="AX19" s="4"/>
      <c r="AY19" s="4"/>
      <c r="AZ19" s="4"/>
      <c r="BA19" s="4"/>
      <c r="BB19" s="4"/>
      <c r="BC19" s="4"/>
      <c r="BD19" s="4"/>
      <c r="BE19" s="4"/>
      <c r="BF19" s="4"/>
    </row>
    <row r="20" spans="1:58" s="2" customFormat="1" ht="18" customHeight="1">
      <c r="A20" s="15" t="str">
        <f>'Reference Score Calculation'!A31</f>
        <v>JS1051</v>
      </c>
      <c r="B20" s="4" t="str">
        <f>'Reference Score Calculation'!C31</f>
        <v>能源及環境學院</v>
      </c>
      <c r="C20" s="23" t="str">
        <f>'Reference Score Calculation'!D31</f>
        <v>能源及環境學院 [選項: 工學士(能源科學及工程學)、工學士(環境科學及工程學)]</v>
      </c>
      <c r="D20" s="4" t="str">
        <f>'Reference Score Calculation'!R31</f>
        <v>SEE</v>
      </c>
      <c r="E20" s="392" t="str">
        <f>'Reference Score Calculation'!AB31</f>
        <v>Best 5</v>
      </c>
      <c r="F20" s="391" t="str">
        <f>'Reference Score Calculation'!E31</f>
        <v>Best 5</v>
      </c>
      <c r="G20" s="6">
        <f>'Reference Score Calculation'!H31</f>
        <v>34.5</v>
      </c>
      <c r="H20" s="6">
        <f>'Reference Score Calculation'!I31</f>
        <v>33.5</v>
      </c>
      <c r="I20" s="45">
        <f>計分版!J54</f>
        <v>3.0000000000000004E-9</v>
      </c>
      <c r="J20" s="185">
        <f t="shared" si="1"/>
        <v>-34.499999997000003</v>
      </c>
      <c r="K20" s="190">
        <f t="shared" si="2"/>
        <v>-11499999999</v>
      </c>
      <c r="L20" s="36">
        <f>'Reference Score Calculation'!T31</f>
        <v>55</v>
      </c>
      <c r="M20" s="86">
        <f>入學要求!Z40</f>
        <v>0</v>
      </c>
      <c r="N20" s="512"/>
      <c r="O20" s="166">
        <f>入學要求!L40</f>
        <v>3</v>
      </c>
      <c r="P20" s="166">
        <f>入學要求!M40</f>
        <v>3</v>
      </c>
      <c r="Q20" s="166">
        <f>入學要求!N40</f>
        <v>2</v>
      </c>
      <c r="R20" s="166">
        <f>入學要求!O40</f>
        <v>1</v>
      </c>
      <c r="S20" s="166">
        <f>入學要求!P40</f>
        <v>3</v>
      </c>
      <c r="T20" s="166">
        <f>入學要求!Q40</f>
        <v>3</v>
      </c>
      <c r="U20" s="256">
        <f>入學要求!S40</f>
        <v>0</v>
      </c>
      <c r="V20" s="256">
        <f>入學要求!T40</f>
        <v>0</v>
      </c>
      <c r="W20" s="256">
        <f>入學要求!U40</f>
        <v>0</v>
      </c>
      <c r="X20" s="256">
        <f>入學要求!V40</f>
        <v>0</v>
      </c>
      <c r="Y20" s="256">
        <f>入學要求!W40</f>
        <v>0</v>
      </c>
      <c r="Z20" s="256">
        <f>入學要求!X40</f>
        <v>0</v>
      </c>
      <c r="AA20" s="44">
        <f t="shared" si="3"/>
        <v>5.0999999999999996</v>
      </c>
      <c r="AB20" s="510"/>
      <c r="AC20" s="36" cm="1">
        <f t="array" ref="AC20">IFERROR(INDEX('Offer Statistics'!$Q$2:$Q$400,MATCH(1,(CityU!$A20='Offer Statistics'!$B$2:$B$400)*(CityU!$AB$2='Offer Statistics'!$K$2:$K$400),0)),"/")</f>
        <v>62</v>
      </c>
      <c r="AD20" s="64" cm="1">
        <f t="array" ref="AD20">IFERROR(INDEX('Offer Statistics'!L$2:L$400,MATCH(1,(CityU!$A20='Offer Statistics'!$B$2:$B$400)*(CityU!$AB$2='Offer Statistics'!$K$2:$K$400),0)),"/")</f>
        <v>50</v>
      </c>
      <c r="AE20" s="64" cm="1">
        <f t="array" ref="AE20">IFERROR(INDEX('Offer Statistics'!M$2:M$400,MATCH(1,(CityU!$A20='Offer Statistics'!$B$2:$B$400)*(CityU!$AB$2='Offer Statistics'!$K$2:$K$400),0)),"/")</f>
        <v>7</v>
      </c>
      <c r="AF20" s="64" cm="1">
        <f t="array" ref="AF20">IFERROR(INDEX('Offer Statistics'!N$2:N$400,MATCH(1,(CityU!$A20='Offer Statistics'!$B$2:$B$400)*(CityU!$AB$2='Offer Statistics'!$K$2:$K$400),0)),"/")</f>
        <v>2</v>
      </c>
      <c r="AG20" s="64" cm="1">
        <f t="array" ref="AG20">IFERROR(INDEX('Offer Statistics'!O$2:O$400,MATCH(1,(CityU!$A20='Offer Statistics'!$B$2:$B$400)*(CityU!$AB$2='Offer Statistics'!$K$2:$K$400),0)),"/")</f>
        <v>2</v>
      </c>
      <c r="AH20" s="64" cm="1">
        <f t="array" ref="AH20">IFERROR(INDEX('Offer Statistics'!P$2:P$400,MATCH(1,(CityU!$A20='Offer Statistics'!$B$2:$B$400)*(CityU!$AB$2='Offer Statistics'!$K$2:$K$400),0)),"/")</f>
        <v>1</v>
      </c>
      <c r="AI20" s="511"/>
      <c r="AJ20" s="36" cm="1">
        <f t="array" ref="AJ20">IFERROR(INDEX('Offer Statistics'!$I$2:$I$400,MATCH(1,(CityU!$A20='Offer Statistics'!$B$2:$B$400)*(CityU!$AB$2='Offer Statistics'!$C$2:$C$400),0)),"/")</f>
        <v>1657</v>
      </c>
      <c r="AK20" s="64" cm="1">
        <f t="array" ref="AK20">IFERROR(INDEX('Offer Statistics'!D$2:D$400,MATCH(1,(CityU!$A20='Offer Statistics'!$B$2:$B$400)*(CityU!$AB$2='Offer Statistics'!$C$2:$C$400),0)),"/")</f>
        <v>255</v>
      </c>
      <c r="AL20" s="64" cm="1">
        <f t="array" ref="AL20">IFERROR(INDEX('Offer Statistics'!E$2:E$400,MATCH(1,(CityU!$A20='Offer Statistics'!$B$2:$B$400)*(CityU!$AB$2='Offer Statistics'!$C$2:$C$400),0)),"/")</f>
        <v>310</v>
      </c>
      <c r="AM20" s="64" cm="1">
        <f t="array" ref="AM20">IFERROR(INDEX('Offer Statistics'!F$2:F$400,MATCH(1,(CityU!$A20='Offer Statistics'!$B$2:$B$400)*(CityU!$AB$2='Offer Statistics'!$C$2:$C$400),0)),"/")</f>
        <v>367</v>
      </c>
      <c r="AN20" s="64" cm="1">
        <f t="array" ref="AN20">IFERROR(INDEX('Offer Statistics'!G$2:G$400,MATCH(1,(CityU!$A20='Offer Statistics'!$B$2:$B$400)*(CityU!$AB$2='Offer Statistics'!$C$2:$C$400),0)),"/")</f>
        <v>401</v>
      </c>
      <c r="AO20" s="64" cm="1">
        <f t="array" ref="AO20">IFERROR(INDEX('Offer Statistics'!H$2:H$400,MATCH(1,(CityU!$A20='Offer Statistics'!$B$2:$B$400)*(CityU!$AB$2='Offer Statistics'!$C$2:$C$400),0)),"/")</f>
        <v>324</v>
      </c>
      <c r="AP20" s="15"/>
      <c r="AQ20" s="15" t="str">
        <f t="shared" si="0"/>
        <v>JS1051</v>
      </c>
      <c r="AR20" s="4"/>
      <c r="AS20" s="4"/>
      <c r="AT20" s="4"/>
      <c r="AU20" s="4"/>
      <c r="AV20" s="4"/>
      <c r="AW20" s="4"/>
      <c r="AX20" s="4"/>
      <c r="AY20" s="4"/>
      <c r="AZ20" s="4"/>
      <c r="BA20" s="4"/>
      <c r="BB20" s="4"/>
      <c r="BC20" s="4"/>
      <c r="BD20" s="4"/>
      <c r="BE20" s="4"/>
      <c r="BF20" s="4"/>
    </row>
    <row r="21" spans="1:58" s="2" customFormat="1" ht="18" customHeight="1">
      <c r="A21" s="15" t="str">
        <f>'Reference Score Calculation'!A32</f>
        <v>JS1052</v>
      </c>
      <c r="B21" s="4" t="str">
        <f>'Reference Score Calculation'!C32</f>
        <v>能源及環境學院</v>
      </c>
      <c r="C21" s="23" t="str">
        <f>'Reference Score Calculation'!D32</f>
        <v>工學士(環境科學及工程學)與工商管理學士(金融)</v>
      </c>
      <c r="D21" s="4" t="str">
        <f>'Reference Score Calculation'!R32</f>
        <v>BEngESE&amp;BBAFIN</v>
      </c>
      <c r="E21" s="392" t="str">
        <f>'Reference Score Calculation'!AB32</f>
        <v>Best 5</v>
      </c>
      <c r="F21" s="391" t="str">
        <f>'Reference Score Calculation'!E32</f>
        <v>24年新科目</v>
      </c>
      <c r="G21" s="6" t="str">
        <f>'Reference Score Calculation'!H32</f>
        <v>/</v>
      </c>
      <c r="H21" s="6" t="str">
        <f>'Reference Score Calculation'!I32</f>
        <v>/</v>
      </c>
      <c r="I21" s="45"/>
      <c r="J21" s="258" t="str">
        <f t="shared" si="1"/>
        <v>/</v>
      </c>
      <c r="K21" s="259" t="str">
        <f t="shared" si="2"/>
        <v>/</v>
      </c>
      <c r="L21" s="36">
        <f>'Reference Score Calculation'!T32</f>
        <v>10</v>
      </c>
      <c r="M21" s="86">
        <f>入學要求!Z41</f>
        <v>0</v>
      </c>
      <c r="N21" s="512"/>
      <c r="O21" s="166">
        <f>入學要求!L41</f>
        <v>3</v>
      </c>
      <c r="P21" s="166">
        <f>入學要求!M41</f>
        <v>3</v>
      </c>
      <c r="Q21" s="166">
        <f>入學要求!N41</f>
        <v>2</v>
      </c>
      <c r="R21" s="166">
        <f>入學要求!O41</f>
        <v>1</v>
      </c>
      <c r="S21" s="166">
        <f>入學要求!P41</f>
        <v>3</v>
      </c>
      <c r="T21" s="166">
        <f>入學要求!Q41</f>
        <v>3</v>
      </c>
      <c r="U21" s="256">
        <f>入學要求!S41</f>
        <v>0</v>
      </c>
      <c r="V21" s="256">
        <f>入學要求!T41</f>
        <v>0</v>
      </c>
      <c r="W21" s="256">
        <f>入學要求!U41</f>
        <v>0</v>
      </c>
      <c r="X21" s="256">
        <f>入學要求!V41</f>
        <v>0</v>
      </c>
      <c r="Y21" s="256">
        <f>入學要求!W41</f>
        <v>0</v>
      </c>
      <c r="Z21" s="256">
        <f>入學要求!X41</f>
        <v>0</v>
      </c>
      <c r="AA21" s="44" t="str">
        <f t="shared" si="3"/>
        <v>/</v>
      </c>
      <c r="AB21" s="510"/>
      <c r="AC21" s="36" t="str" cm="1">
        <f t="array" ref="AC21">IFERROR(INDEX('Offer Statistics'!$Q$2:$Q$400,MATCH(1,(CityU!$A21='Offer Statistics'!$B$2:$B$400)*(CityU!$AB$2='Offer Statistics'!$K$2:$K$400),0)),"/")</f>
        <v>/</v>
      </c>
      <c r="AD21" s="64" t="str" cm="1">
        <f t="array" ref="AD21">IFERROR(INDEX('Offer Statistics'!L$2:L$400,MATCH(1,(CityU!$A21='Offer Statistics'!$B$2:$B$400)*(CityU!$AB$2='Offer Statistics'!$K$2:$K$400),0)),"/")</f>
        <v>/</v>
      </c>
      <c r="AE21" s="64" t="str" cm="1">
        <f t="array" ref="AE21">IFERROR(INDEX('Offer Statistics'!M$2:M$400,MATCH(1,(CityU!$A21='Offer Statistics'!$B$2:$B$400)*(CityU!$AB$2='Offer Statistics'!$K$2:$K$400),0)),"/")</f>
        <v>/</v>
      </c>
      <c r="AF21" s="64" t="str" cm="1">
        <f t="array" ref="AF21">IFERROR(INDEX('Offer Statistics'!N$2:N$400,MATCH(1,(CityU!$A21='Offer Statistics'!$B$2:$B$400)*(CityU!$AB$2='Offer Statistics'!$K$2:$K$400),0)),"/")</f>
        <v>/</v>
      </c>
      <c r="AG21" s="64" t="str" cm="1">
        <f t="array" ref="AG21">IFERROR(INDEX('Offer Statistics'!O$2:O$400,MATCH(1,(CityU!$A21='Offer Statistics'!$B$2:$B$400)*(CityU!$AB$2='Offer Statistics'!$K$2:$K$400),0)),"/")</f>
        <v>/</v>
      </c>
      <c r="AH21" s="64" t="str" cm="1">
        <f t="array" ref="AH21">IFERROR(INDEX('Offer Statistics'!P$2:P$400,MATCH(1,(CityU!$A21='Offer Statistics'!$B$2:$B$400)*(CityU!$AB$2='Offer Statistics'!$K$2:$K$400),0)),"/")</f>
        <v>/</v>
      </c>
      <c r="AI21" s="511"/>
      <c r="AJ21" s="36" t="str" cm="1">
        <f t="array" ref="AJ21">IFERROR(INDEX('Offer Statistics'!$I$2:$I$400,MATCH(1,(CityU!$A21='Offer Statistics'!$B$2:$B$400)*(CityU!$AB$2='Offer Statistics'!$C$2:$C$400),0)),"/")</f>
        <v>/</v>
      </c>
      <c r="AK21" s="64" t="str" cm="1">
        <f t="array" ref="AK21">IFERROR(INDEX('Offer Statistics'!D$2:D$400,MATCH(1,(CityU!$A21='Offer Statistics'!$B$2:$B$400)*(CityU!$AB$2='Offer Statistics'!$C$2:$C$400),0)),"/")</f>
        <v>/</v>
      </c>
      <c r="AL21" s="64" t="str" cm="1">
        <f t="array" ref="AL21">IFERROR(INDEX('Offer Statistics'!E$2:E$400,MATCH(1,(CityU!$A21='Offer Statistics'!$B$2:$B$400)*(CityU!$AB$2='Offer Statistics'!$C$2:$C$400),0)),"/")</f>
        <v>/</v>
      </c>
      <c r="AM21" s="64" t="str" cm="1">
        <f t="array" ref="AM21">IFERROR(INDEX('Offer Statistics'!F$2:F$400,MATCH(1,(CityU!$A21='Offer Statistics'!$B$2:$B$400)*(CityU!$AB$2='Offer Statistics'!$C$2:$C$400),0)),"/")</f>
        <v>/</v>
      </c>
      <c r="AN21" s="64" t="str" cm="1">
        <f t="array" ref="AN21">IFERROR(INDEX('Offer Statistics'!G$2:G$400,MATCH(1,(CityU!$A21='Offer Statistics'!$B$2:$B$400)*(CityU!$AB$2='Offer Statistics'!$C$2:$C$400),0)),"/")</f>
        <v>/</v>
      </c>
      <c r="AO21" s="64" t="str" cm="1">
        <f t="array" ref="AO21">IFERROR(INDEX('Offer Statistics'!H$2:H$400,MATCH(1,(CityU!$A21='Offer Statistics'!$B$2:$B$400)*(CityU!$AB$2='Offer Statistics'!$C$2:$C$400),0)),"/")</f>
        <v>/</v>
      </c>
      <c r="AP21" s="15"/>
      <c r="AQ21" s="15" t="str">
        <f t="shared" si="0"/>
        <v>JS1052</v>
      </c>
      <c r="AR21" s="4"/>
      <c r="AS21" s="4"/>
      <c r="AT21" s="4"/>
      <c r="AU21" s="4"/>
      <c r="AV21" s="4"/>
      <c r="AW21" s="4"/>
      <c r="AX21" s="4"/>
      <c r="AY21" s="4"/>
      <c r="AZ21" s="4"/>
      <c r="BA21" s="4"/>
      <c r="BB21" s="4"/>
      <c r="BC21" s="4"/>
      <c r="BD21" s="4"/>
      <c r="BE21" s="4"/>
      <c r="BF21" s="4"/>
    </row>
    <row r="22" spans="1:58" s="2" customFormat="1" ht="18" customHeight="1">
      <c r="A22" s="15" t="str">
        <f>'Reference Score Calculation'!A33</f>
        <v>JS1061</v>
      </c>
      <c r="B22" s="4" t="str">
        <f>'Reference Score Calculation'!C33</f>
        <v>法律學院</v>
      </c>
      <c r="C22" s="23" t="str">
        <f>'Reference Score Calculation'!D33</f>
        <v>法律學學士</v>
      </c>
      <c r="D22" s="4" t="str">
        <f>'Reference Score Calculation'!R33</f>
        <v>LLB</v>
      </c>
      <c r="E22" s="392" t="str">
        <f>'Reference Score Calculation'!AB33</f>
        <v>Best 5</v>
      </c>
      <c r="F22" s="365" t="str">
        <f>'Reference Score Calculation'!E33</f>
        <v>Best 6</v>
      </c>
      <c r="G22" s="6">
        <f>'Reference Score Calculation'!H33</f>
        <v>27</v>
      </c>
      <c r="H22" s="6">
        <f>'Reference Score Calculation'!I33</f>
        <v>26</v>
      </c>
      <c r="I22" s="45">
        <f>計分版!J56</f>
        <v>4.1499999999999999E-9</v>
      </c>
      <c r="J22" s="185">
        <f t="shared" si="1"/>
        <v>-26.999999995850001</v>
      </c>
      <c r="K22" s="190">
        <f t="shared" si="2"/>
        <v>-6506024095.3855429</v>
      </c>
      <c r="L22" s="36">
        <f>'Reference Score Calculation'!T33</f>
        <v>39</v>
      </c>
      <c r="M22" s="86">
        <f>入學要求!Z42</f>
        <v>0</v>
      </c>
      <c r="N22" s="512"/>
      <c r="O22" s="166">
        <f>入學要求!L42</f>
        <v>3</v>
      </c>
      <c r="P22" s="166">
        <f>入學要求!M42</f>
        <v>5</v>
      </c>
      <c r="Q22" s="166">
        <f>入學要求!N42</f>
        <v>2</v>
      </c>
      <c r="R22" s="166">
        <f>入學要求!O42</f>
        <v>1</v>
      </c>
      <c r="S22" s="166">
        <f>入學要求!P42</f>
        <v>3</v>
      </c>
      <c r="T22" s="166">
        <f>入學要求!Q42</f>
        <v>3</v>
      </c>
      <c r="U22" s="256">
        <f>入學要求!S42</f>
        <v>0</v>
      </c>
      <c r="V22" s="256">
        <f>入學要求!T42</f>
        <v>0</v>
      </c>
      <c r="W22" s="256">
        <f>入學要求!U42</f>
        <v>0</v>
      </c>
      <c r="X22" s="256">
        <f>入學要求!V42</f>
        <v>0</v>
      </c>
      <c r="Y22" s="256">
        <f>入學要求!W42</f>
        <v>0</v>
      </c>
      <c r="Z22" s="256">
        <f>入學要求!X42</f>
        <v>0</v>
      </c>
      <c r="AA22" s="44">
        <f t="shared" si="3"/>
        <v>5.28</v>
      </c>
      <c r="AB22" s="510"/>
      <c r="AC22" s="36" cm="1">
        <f t="array" ref="AC22">IFERROR(INDEX('Offer Statistics'!$Q$2:$Q$400,MATCH(1,(CityU!$A22='Offer Statistics'!$B$2:$B$400)*(CityU!$AB$2='Offer Statistics'!$K$2:$K$400),0)),"/")</f>
        <v>32</v>
      </c>
      <c r="AD22" s="64" cm="1">
        <f t="array" ref="AD22">IFERROR(INDEX('Offer Statistics'!L$2:L$400,MATCH(1,(CityU!$A22='Offer Statistics'!$B$2:$B$400)*(CityU!$AB$2='Offer Statistics'!$K$2:$K$400),0)),"/")</f>
        <v>32</v>
      </c>
      <c r="AE22" s="64" cm="1">
        <f t="array" ref="AE22">IFERROR(INDEX('Offer Statistics'!M$2:M$400,MATCH(1,(CityU!$A22='Offer Statistics'!$B$2:$B$400)*(CityU!$AB$2='Offer Statistics'!$K$2:$K$400),0)),"/")</f>
        <v>0</v>
      </c>
      <c r="AF22" s="64" cm="1">
        <f t="array" ref="AF22">IFERROR(INDEX('Offer Statistics'!N$2:N$400,MATCH(1,(CityU!$A22='Offer Statistics'!$B$2:$B$400)*(CityU!$AB$2='Offer Statistics'!$K$2:$K$400),0)),"/")</f>
        <v>0</v>
      </c>
      <c r="AG22" s="64" cm="1">
        <f t="array" ref="AG22">IFERROR(INDEX('Offer Statistics'!O$2:O$400,MATCH(1,(CityU!$A22='Offer Statistics'!$B$2:$B$400)*(CityU!$AB$2='Offer Statistics'!$K$2:$K$400),0)),"/")</f>
        <v>0</v>
      </c>
      <c r="AH22" s="64" cm="1">
        <f t="array" ref="AH22">IFERROR(INDEX('Offer Statistics'!P$2:P$400,MATCH(1,(CityU!$A22='Offer Statistics'!$B$2:$B$400)*(CityU!$AB$2='Offer Statistics'!$K$2:$K$400),0)),"/")</f>
        <v>0</v>
      </c>
      <c r="AI22" s="511"/>
      <c r="AJ22" s="36" cm="1">
        <f t="array" ref="AJ22">IFERROR(INDEX('Offer Statistics'!$I$2:$I$400,MATCH(1,(CityU!$A22='Offer Statistics'!$B$2:$B$400)*(CityU!$AB$2='Offer Statistics'!$C$2:$C$400),0)),"/")</f>
        <v>1161</v>
      </c>
      <c r="AK22" s="64" cm="1">
        <f t="array" ref="AK22">IFERROR(INDEX('Offer Statistics'!D$2:D$400,MATCH(1,(CityU!$A22='Offer Statistics'!$B$2:$B$400)*(CityU!$AB$2='Offer Statistics'!$C$2:$C$400),0)),"/")</f>
        <v>169</v>
      </c>
      <c r="AL22" s="64" cm="1">
        <f t="array" ref="AL22">IFERROR(INDEX('Offer Statistics'!E$2:E$400,MATCH(1,(CityU!$A22='Offer Statistics'!$B$2:$B$400)*(CityU!$AB$2='Offer Statistics'!$C$2:$C$400),0)),"/")</f>
        <v>197</v>
      </c>
      <c r="AM22" s="64" cm="1">
        <f t="array" ref="AM22">IFERROR(INDEX('Offer Statistics'!F$2:F$400,MATCH(1,(CityU!$A22='Offer Statistics'!$B$2:$B$400)*(CityU!$AB$2='Offer Statistics'!$C$2:$C$400),0)),"/")</f>
        <v>209</v>
      </c>
      <c r="AN22" s="64" cm="1">
        <f t="array" ref="AN22">IFERROR(INDEX('Offer Statistics'!G$2:G$400,MATCH(1,(CityU!$A22='Offer Statistics'!$B$2:$B$400)*(CityU!$AB$2='Offer Statistics'!$C$2:$C$400),0)),"/")</f>
        <v>282</v>
      </c>
      <c r="AO22" s="64" cm="1">
        <f t="array" ref="AO22">IFERROR(INDEX('Offer Statistics'!H$2:H$400,MATCH(1,(CityU!$A22='Offer Statistics'!$B$2:$B$400)*(CityU!$AB$2='Offer Statistics'!$C$2:$C$400),0)),"/")</f>
        <v>304</v>
      </c>
      <c r="AP22" s="15"/>
      <c r="AQ22" s="15" t="str">
        <f t="shared" si="0"/>
        <v>JS1061</v>
      </c>
      <c r="AR22" s="4"/>
      <c r="AS22" s="4"/>
      <c r="AT22" s="4"/>
      <c r="AU22" s="4"/>
      <c r="AV22" s="4"/>
      <c r="AW22" s="4"/>
      <c r="AX22" s="4"/>
      <c r="AY22" s="4"/>
      <c r="AZ22" s="4"/>
      <c r="BA22" s="4"/>
      <c r="BB22" s="4"/>
      <c r="BC22" s="4"/>
      <c r="BD22" s="4"/>
      <c r="BE22" s="4"/>
      <c r="BF22" s="4"/>
    </row>
    <row r="23" spans="1:58" s="2" customFormat="1" ht="18" customHeight="1">
      <c r="A23" s="15" t="str">
        <f>'Reference Score Calculation'!A34</f>
        <v>JS1062</v>
      </c>
      <c r="B23" s="4" t="str">
        <f>'Reference Score Calculation'!C34</f>
        <v>法律學院/商學院</v>
      </c>
      <c r="C23" s="23" t="str">
        <f>'Reference Score Calculation'!D34</f>
        <v>法律學學士與工商管理學士(會計)</v>
      </c>
      <c r="D23" s="4" t="str">
        <f>'Reference Score Calculation'!R34</f>
        <v>LLB&amp;BBAAC</v>
      </c>
      <c r="E23" s="392" t="str">
        <f>'Reference Score Calculation'!AB34</f>
        <v>Best 5</v>
      </c>
      <c r="F23" s="386" t="str">
        <f>'Reference Score Calculation'!E34</f>
        <v>Best 6</v>
      </c>
      <c r="G23" s="6" t="str">
        <f>'Reference Score Calculation'!H34</f>
        <v>/</v>
      </c>
      <c r="H23" s="6" t="str">
        <f>'Reference Score Calculation'!I34</f>
        <v>/</v>
      </c>
      <c r="I23" s="45">
        <f>計分版!J57</f>
        <v>4.25E-9</v>
      </c>
      <c r="J23" s="258" t="str">
        <f t="shared" si="1"/>
        <v>/</v>
      </c>
      <c r="K23" s="259" t="str">
        <f t="shared" si="2"/>
        <v>/</v>
      </c>
      <c r="L23" s="36">
        <f>'Reference Score Calculation'!T34</f>
        <v>8</v>
      </c>
      <c r="M23" s="86">
        <f>入學要求!Z43</f>
        <v>0</v>
      </c>
      <c r="N23" s="512"/>
      <c r="O23" s="166">
        <f>入學要求!L43</f>
        <v>3</v>
      </c>
      <c r="P23" s="166">
        <f>入學要求!M43</f>
        <v>5</v>
      </c>
      <c r="Q23" s="166">
        <f>入學要求!N43</f>
        <v>3</v>
      </c>
      <c r="R23" s="166">
        <f>入學要求!O43</f>
        <v>1</v>
      </c>
      <c r="S23" s="166">
        <f>入學要求!P43</f>
        <v>3</v>
      </c>
      <c r="T23" s="166">
        <f>入學要求!Q43</f>
        <v>3</v>
      </c>
      <c r="U23" s="256">
        <f>入學要求!S43</f>
        <v>0</v>
      </c>
      <c r="V23" s="256">
        <f>入學要求!T43</f>
        <v>0</v>
      </c>
      <c r="W23" s="256">
        <f>入學要求!U43</f>
        <v>0</v>
      </c>
      <c r="X23" s="256">
        <f>入學要求!V43</f>
        <v>0</v>
      </c>
      <c r="Y23" s="256">
        <f>入學要求!W43</f>
        <v>0</v>
      </c>
      <c r="Z23" s="256">
        <f>入學要求!X43</f>
        <v>0</v>
      </c>
      <c r="AA23" s="44">
        <f t="shared" si="3"/>
        <v>7</v>
      </c>
      <c r="AB23" s="510"/>
      <c r="AC23" s="36" cm="1">
        <f t="array" ref="AC23">IFERROR(INDEX('Offer Statistics'!$Q$2:$Q$400,MATCH(1,(CityU!$A23='Offer Statistics'!$B$2:$B$400)*(CityU!$AB$2='Offer Statistics'!$K$2:$K$400),0)),"/")</f>
        <v>2</v>
      </c>
      <c r="AD23" s="64" cm="1">
        <f t="array" ref="AD23">IFERROR(INDEX('Offer Statistics'!L$2:L$400,MATCH(1,(CityU!$A23='Offer Statistics'!$B$2:$B$400)*(CityU!$AB$2='Offer Statistics'!$K$2:$K$400),0)),"/")</f>
        <v>2</v>
      </c>
      <c r="AE23" s="64" cm="1">
        <f t="array" ref="AE23">IFERROR(INDEX('Offer Statistics'!M$2:M$400,MATCH(1,(CityU!$A23='Offer Statistics'!$B$2:$B$400)*(CityU!$AB$2='Offer Statistics'!$K$2:$K$400),0)),"/")</f>
        <v>0</v>
      </c>
      <c r="AF23" s="64" cm="1">
        <f t="array" ref="AF23">IFERROR(INDEX('Offer Statistics'!N$2:N$400,MATCH(1,(CityU!$A23='Offer Statistics'!$B$2:$B$400)*(CityU!$AB$2='Offer Statistics'!$K$2:$K$400),0)),"/")</f>
        <v>0</v>
      </c>
      <c r="AG23" s="64" cm="1">
        <f t="array" ref="AG23">IFERROR(INDEX('Offer Statistics'!O$2:O$400,MATCH(1,(CityU!$A23='Offer Statistics'!$B$2:$B$400)*(CityU!$AB$2='Offer Statistics'!$K$2:$K$400),0)),"/")</f>
        <v>0</v>
      </c>
      <c r="AH23" s="64" cm="1">
        <f t="array" ref="AH23">IFERROR(INDEX('Offer Statistics'!P$2:P$400,MATCH(1,(CityU!$A23='Offer Statistics'!$B$2:$B$400)*(CityU!$AB$2='Offer Statistics'!$K$2:$K$400),0)),"/")</f>
        <v>0</v>
      </c>
      <c r="AI23" s="511"/>
      <c r="AJ23" s="36" cm="1">
        <f t="array" ref="AJ23">IFERROR(INDEX('Offer Statistics'!$I$2:$I$400,MATCH(1,(CityU!$A23='Offer Statistics'!$B$2:$B$400)*(CityU!$AB$2='Offer Statistics'!$C$2:$C$400),0)),"/")</f>
        <v>392</v>
      </c>
      <c r="AK23" s="64" cm="1">
        <f t="array" ref="AK23">IFERROR(INDEX('Offer Statistics'!D$2:D$400,MATCH(1,(CityU!$A23='Offer Statistics'!$B$2:$B$400)*(CityU!$AB$2='Offer Statistics'!$C$2:$C$400),0)),"/")</f>
        <v>14</v>
      </c>
      <c r="AL23" s="64" cm="1">
        <f t="array" ref="AL23">IFERROR(INDEX('Offer Statistics'!E$2:E$400,MATCH(1,(CityU!$A23='Offer Statistics'!$B$2:$B$400)*(CityU!$AB$2='Offer Statistics'!$C$2:$C$400),0)),"/")</f>
        <v>56</v>
      </c>
      <c r="AM23" s="64" cm="1">
        <f t="array" ref="AM23">IFERROR(INDEX('Offer Statistics'!F$2:F$400,MATCH(1,(CityU!$A23='Offer Statistics'!$B$2:$B$400)*(CityU!$AB$2='Offer Statistics'!$C$2:$C$400),0)),"/")</f>
        <v>77</v>
      </c>
      <c r="AN23" s="64" cm="1">
        <f t="array" ref="AN23">IFERROR(INDEX('Offer Statistics'!G$2:G$400,MATCH(1,(CityU!$A23='Offer Statistics'!$B$2:$B$400)*(CityU!$AB$2='Offer Statistics'!$C$2:$C$400),0)),"/")</f>
        <v>117</v>
      </c>
      <c r="AO23" s="64" cm="1">
        <f t="array" ref="AO23">IFERROR(INDEX('Offer Statistics'!H$2:H$400,MATCH(1,(CityU!$A23='Offer Statistics'!$B$2:$B$400)*(CityU!$AB$2='Offer Statistics'!$C$2:$C$400),0)),"/")</f>
        <v>128</v>
      </c>
      <c r="AP23" s="15"/>
      <c r="AQ23" s="15" t="str">
        <f t="shared" si="0"/>
        <v>JS1062</v>
      </c>
      <c r="AR23" s="4"/>
      <c r="AS23" s="4"/>
      <c r="AT23" s="4"/>
      <c r="AU23" s="4"/>
      <c r="AV23" s="4"/>
      <c r="AW23" s="4"/>
      <c r="AX23" s="4"/>
      <c r="AY23" s="4"/>
      <c r="AZ23" s="4"/>
      <c r="BA23" s="4"/>
      <c r="BB23" s="4"/>
      <c r="BC23" s="4"/>
      <c r="BD23" s="4"/>
      <c r="BE23" s="4"/>
      <c r="BF23" s="4"/>
    </row>
    <row r="24" spans="1:58" s="2" customFormat="1" ht="18" customHeight="1">
      <c r="A24" s="15" t="str">
        <f>'Reference Score Calculation'!A35</f>
        <v>JS1071</v>
      </c>
      <c r="B24" s="4" t="str">
        <f>'Reference Score Calculation'!C35</f>
        <v>數據科學學院</v>
      </c>
      <c r="C24" s="23" t="str">
        <f>'Reference Score Calculation'!D35</f>
        <v>數據科學學院 [選項：理學士 (數據科學)、理學士 (數據與系統工程)]</v>
      </c>
      <c r="D24" s="4" t="str">
        <f>'Reference Score Calculation'!R35</f>
        <v>SDSC</v>
      </c>
      <c r="E24" s="392" t="str">
        <f>'Reference Score Calculation'!AB35</f>
        <v>3C2X</v>
      </c>
      <c r="F24" s="386" t="str">
        <f>'Reference Score Calculation'!E35</f>
        <v>4C2X</v>
      </c>
      <c r="G24" s="6">
        <f>'Reference Score Calculation'!H35</f>
        <v>30</v>
      </c>
      <c r="H24" s="6">
        <f>'Reference Score Calculation'!I35</f>
        <v>29</v>
      </c>
      <c r="I24" s="45">
        <f>計分版!J58</f>
        <v>3.2500000000000002E-9</v>
      </c>
      <c r="J24" s="185">
        <f t="shared" si="1"/>
        <v>-29.999999996749999</v>
      </c>
      <c r="K24" s="190">
        <f t="shared" si="2"/>
        <v>-9230769229.7692299</v>
      </c>
      <c r="L24" s="36">
        <f>'Reference Score Calculation'!T35</f>
        <v>20</v>
      </c>
      <c r="M24" s="86">
        <f>入學要求!Z44</f>
        <v>0</v>
      </c>
      <c r="N24" s="512"/>
      <c r="O24" s="166">
        <f>入學要求!L44</f>
        <v>3</v>
      </c>
      <c r="P24" s="166">
        <f>入學要求!M44</f>
        <v>3</v>
      </c>
      <c r="Q24" s="166">
        <f>入學要求!N44</f>
        <v>3</v>
      </c>
      <c r="R24" s="166">
        <f>入學要求!O44</f>
        <v>1</v>
      </c>
      <c r="S24" s="166">
        <f>入學要求!P44</f>
        <v>3</v>
      </c>
      <c r="T24" s="166">
        <f>入學要求!Q44</f>
        <v>3</v>
      </c>
      <c r="U24" s="256">
        <f>入學要求!S44</f>
        <v>0</v>
      </c>
      <c r="V24" s="256">
        <f>入學要求!T44</f>
        <v>0</v>
      </c>
      <c r="W24" s="256">
        <f>入學要求!U44</f>
        <v>0</v>
      </c>
      <c r="X24" s="256">
        <f>入學要求!V44</f>
        <v>0</v>
      </c>
      <c r="Y24" s="256">
        <f>入學要求!W44</f>
        <v>0</v>
      </c>
      <c r="Z24" s="256">
        <f>入學要求!X44</f>
        <v>0</v>
      </c>
      <c r="AA24" s="44">
        <f t="shared" si="3"/>
        <v>4.1900000000000004</v>
      </c>
      <c r="AB24" s="510"/>
      <c r="AC24" s="36" cm="1">
        <f t="array" ref="AC24">IFERROR(INDEX('Offer Statistics'!$Q$2:$Q$400,MATCH(1,(CityU!$A24='Offer Statistics'!$B$2:$B$400)*(CityU!$AB$2='Offer Statistics'!$K$2:$K$400),0)),"/")</f>
        <v>19</v>
      </c>
      <c r="AD24" s="64" cm="1">
        <f t="array" ref="AD24">IFERROR(INDEX('Offer Statistics'!L$2:L$400,MATCH(1,(CityU!$A24='Offer Statistics'!$B$2:$B$400)*(CityU!$AB$2='Offer Statistics'!$K$2:$K$400),0)),"/")</f>
        <v>16</v>
      </c>
      <c r="AE24" s="64" cm="1">
        <f t="array" ref="AE24">IFERROR(INDEX('Offer Statistics'!M$2:M$400,MATCH(1,(CityU!$A24='Offer Statistics'!$B$2:$B$400)*(CityU!$AB$2='Offer Statistics'!$K$2:$K$400),0)),"/")</f>
        <v>1</v>
      </c>
      <c r="AF24" s="64" cm="1">
        <f t="array" ref="AF24">IFERROR(INDEX('Offer Statistics'!N$2:N$400,MATCH(1,(CityU!$A24='Offer Statistics'!$B$2:$B$400)*(CityU!$AB$2='Offer Statistics'!$K$2:$K$400),0)),"/")</f>
        <v>0</v>
      </c>
      <c r="AG24" s="64" cm="1">
        <f t="array" ref="AG24">IFERROR(INDEX('Offer Statistics'!O$2:O$400,MATCH(1,(CityU!$A24='Offer Statistics'!$B$2:$B$400)*(CityU!$AB$2='Offer Statistics'!$K$2:$K$400),0)),"/")</f>
        <v>1</v>
      </c>
      <c r="AH24" s="64" cm="1">
        <f t="array" ref="AH24">IFERROR(INDEX('Offer Statistics'!P$2:P$400,MATCH(1,(CityU!$A24='Offer Statistics'!$B$2:$B$400)*(CityU!$AB$2='Offer Statistics'!$K$2:$K$400),0)),"/")</f>
        <v>1</v>
      </c>
      <c r="AI24" s="511"/>
      <c r="AJ24" s="36" cm="1">
        <f t="array" ref="AJ24">IFERROR(INDEX('Offer Statistics'!$I$2:$I$400,MATCH(1,(CityU!$A24='Offer Statistics'!$B$2:$B$400)*(CityU!$AB$2='Offer Statistics'!$C$2:$C$400),0)),"/")</f>
        <v>1174</v>
      </c>
      <c r="AK24" s="64" cm="1">
        <f t="array" ref="AK24">IFERROR(INDEX('Offer Statistics'!D$2:D$400,MATCH(1,(CityU!$A24='Offer Statistics'!$B$2:$B$400)*(CityU!$AB$2='Offer Statistics'!$C$2:$C$400),0)),"/")</f>
        <v>67</v>
      </c>
      <c r="AL24" s="64" cm="1">
        <f t="array" ref="AL24">IFERROR(INDEX('Offer Statistics'!E$2:E$400,MATCH(1,(CityU!$A24='Offer Statistics'!$B$2:$B$400)*(CityU!$AB$2='Offer Statistics'!$C$2:$C$400),0)),"/")</f>
        <v>144</v>
      </c>
      <c r="AM24" s="64" cm="1">
        <f t="array" ref="AM24">IFERROR(INDEX('Offer Statistics'!F$2:F$400,MATCH(1,(CityU!$A24='Offer Statistics'!$B$2:$B$400)*(CityU!$AB$2='Offer Statistics'!$C$2:$C$400),0)),"/")</f>
        <v>297</v>
      </c>
      <c r="AN24" s="64" cm="1">
        <f t="array" ref="AN24">IFERROR(INDEX('Offer Statistics'!G$2:G$400,MATCH(1,(CityU!$A24='Offer Statistics'!$B$2:$B$400)*(CityU!$AB$2='Offer Statistics'!$C$2:$C$400),0)),"/")</f>
        <v>409</v>
      </c>
      <c r="AO24" s="64" cm="1">
        <f t="array" ref="AO24">IFERROR(INDEX('Offer Statistics'!H$2:H$400,MATCH(1,(CityU!$A24='Offer Statistics'!$B$2:$B$400)*(CityU!$AB$2='Offer Statistics'!$C$2:$C$400),0)),"/")</f>
        <v>257</v>
      </c>
      <c r="AP24" s="15"/>
      <c r="AQ24" s="15" t="str">
        <f t="shared" si="0"/>
        <v>JS1071</v>
      </c>
      <c r="AR24" s="4"/>
      <c r="AS24" s="4"/>
      <c r="AT24" s="4"/>
      <c r="AU24" s="4"/>
      <c r="AV24" s="4"/>
      <c r="AW24" s="4"/>
      <c r="AX24" s="4"/>
      <c r="AY24" s="4"/>
      <c r="AZ24" s="4"/>
      <c r="BA24" s="4"/>
      <c r="BB24" s="4"/>
      <c r="BC24" s="4"/>
      <c r="BD24" s="4"/>
      <c r="BE24" s="4"/>
      <c r="BF24" s="4"/>
    </row>
    <row r="25" spans="1:58" s="2" customFormat="1" ht="18" customHeight="1">
      <c r="A25" s="15" t="str">
        <f>'Reference Score Calculation'!A36</f>
        <v>JS1072</v>
      </c>
      <c r="B25" s="4" t="str">
        <f>'Reference Score Calculation'!C36</f>
        <v>數據科學學院</v>
      </c>
      <c r="C25" s="23" t="str">
        <f>'Reference Score Calculation'!D36</f>
        <v>理學士(數據科學)</v>
      </c>
      <c r="D25" s="4" t="str">
        <f>'Reference Score Calculation'!R36</f>
        <v>BScDSC</v>
      </c>
      <c r="E25" s="392" t="str">
        <f>'Reference Score Calculation'!AB36</f>
        <v>3C2X</v>
      </c>
      <c r="F25" s="386" t="str">
        <f>'Reference Score Calculation'!E36</f>
        <v>4C2X</v>
      </c>
      <c r="G25" s="6">
        <f>'Reference Score Calculation'!H36</f>
        <v>30</v>
      </c>
      <c r="H25" s="6">
        <f>'Reference Score Calculation'!I36</f>
        <v>29</v>
      </c>
      <c r="I25" s="45">
        <f>計分版!J59</f>
        <v>3.2500000000000002E-9</v>
      </c>
      <c r="J25" s="185">
        <f t="shared" si="1"/>
        <v>-29.999999996749999</v>
      </c>
      <c r="K25" s="190">
        <f t="shared" si="2"/>
        <v>-9230769229.7692299</v>
      </c>
      <c r="L25" s="36">
        <f>'Reference Score Calculation'!T36</f>
        <v>30</v>
      </c>
      <c r="M25" s="86">
        <f>入學要求!Z45</f>
        <v>0</v>
      </c>
      <c r="N25" s="512"/>
      <c r="O25" s="166">
        <f>入學要求!L45</f>
        <v>3</v>
      </c>
      <c r="P25" s="166">
        <f>入學要求!M45</f>
        <v>3</v>
      </c>
      <c r="Q25" s="166">
        <f>入學要求!N45</f>
        <v>3</v>
      </c>
      <c r="R25" s="166">
        <f>入學要求!O45</f>
        <v>1</v>
      </c>
      <c r="S25" s="166">
        <f>入學要求!P45</f>
        <v>3</v>
      </c>
      <c r="T25" s="166">
        <f>入學要求!Q45</f>
        <v>3</v>
      </c>
      <c r="U25" s="256">
        <f>入學要求!S45</f>
        <v>0</v>
      </c>
      <c r="V25" s="256">
        <f>入學要求!T45</f>
        <v>0</v>
      </c>
      <c r="W25" s="256">
        <f>入學要求!U45</f>
        <v>0</v>
      </c>
      <c r="X25" s="256">
        <f>入學要求!V45</f>
        <v>0</v>
      </c>
      <c r="Y25" s="256">
        <f>入學要求!W45</f>
        <v>0</v>
      </c>
      <c r="Z25" s="256">
        <f>入學要求!X45</f>
        <v>0</v>
      </c>
      <c r="AA25" s="44">
        <f t="shared" si="3"/>
        <v>5.67</v>
      </c>
      <c r="AB25" s="510"/>
      <c r="AC25" s="36" cm="1">
        <f t="array" ref="AC25">IFERROR(INDEX('Offer Statistics'!$Q$2:$Q$400,MATCH(1,(CityU!$A25='Offer Statistics'!$B$2:$B$400)*(CityU!$AB$2='Offer Statistics'!$K$2:$K$400),0)),"/")</f>
        <v>28</v>
      </c>
      <c r="AD25" s="64" cm="1">
        <f t="array" ref="AD25">IFERROR(INDEX('Offer Statistics'!L$2:L$400,MATCH(1,(CityU!$A25='Offer Statistics'!$B$2:$B$400)*(CityU!$AB$2='Offer Statistics'!$K$2:$K$400),0)),"/")</f>
        <v>18</v>
      </c>
      <c r="AE25" s="64" cm="1">
        <f t="array" ref="AE25">IFERROR(INDEX('Offer Statistics'!M$2:M$400,MATCH(1,(CityU!$A25='Offer Statistics'!$B$2:$B$400)*(CityU!$AB$2='Offer Statistics'!$K$2:$K$400),0)),"/")</f>
        <v>5</v>
      </c>
      <c r="AF25" s="64" cm="1">
        <f t="array" ref="AF25">IFERROR(INDEX('Offer Statistics'!N$2:N$400,MATCH(1,(CityU!$A25='Offer Statistics'!$B$2:$B$400)*(CityU!$AB$2='Offer Statistics'!$K$2:$K$400),0)),"/")</f>
        <v>2</v>
      </c>
      <c r="AG25" s="64" cm="1">
        <f t="array" ref="AG25">IFERROR(INDEX('Offer Statistics'!O$2:O$400,MATCH(1,(CityU!$A25='Offer Statistics'!$B$2:$B$400)*(CityU!$AB$2='Offer Statistics'!$K$2:$K$400),0)),"/")</f>
        <v>1</v>
      </c>
      <c r="AH25" s="64" cm="1">
        <f t="array" ref="AH25">IFERROR(INDEX('Offer Statistics'!P$2:P$400,MATCH(1,(CityU!$A25='Offer Statistics'!$B$2:$B$400)*(CityU!$AB$2='Offer Statistics'!$K$2:$K$400),0)),"/")</f>
        <v>2</v>
      </c>
      <c r="AI25" s="511"/>
      <c r="AJ25" s="36" cm="1">
        <f t="array" ref="AJ25">IFERROR(INDEX('Offer Statistics'!$I$2:$I$400,MATCH(1,(CityU!$A25='Offer Statistics'!$B$2:$B$400)*(CityU!$AB$2='Offer Statistics'!$C$2:$C$400),0)),"/")</f>
        <v>1582</v>
      </c>
      <c r="AK25" s="64" cm="1">
        <f t="array" ref="AK25">IFERROR(INDEX('Offer Statistics'!D$2:D$400,MATCH(1,(CityU!$A25='Offer Statistics'!$B$2:$B$400)*(CityU!$AB$2='Offer Statistics'!$C$2:$C$400),0)),"/")</f>
        <v>102</v>
      </c>
      <c r="AL25" s="64" cm="1">
        <f t="array" ref="AL25">IFERROR(INDEX('Offer Statistics'!E$2:E$400,MATCH(1,(CityU!$A25='Offer Statistics'!$B$2:$B$400)*(CityU!$AB$2='Offer Statistics'!$C$2:$C$400),0)),"/")</f>
        <v>235</v>
      </c>
      <c r="AM25" s="64" cm="1">
        <f t="array" ref="AM25">IFERROR(INDEX('Offer Statistics'!F$2:F$400,MATCH(1,(CityU!$A25='Offer Statistics'!$B$2:$B$400)*(CityU!$AB$2='Offer Statistics'!$C$2:$C$400),0)),"/")</f>
        <v>383</v>
      </c>
      <c r="AN25" s="64" cm="1">
        <f t="array" ref="AN25">IFERROR(INDEX('Offer Statistics'!G$2:G$400,MATCH(1,(CityU!$A25='Offer Statistics'!$B$2:$B$400)*(CityU!$AB$2='Offer Statistics'!$C$2:$C$400),0)),"/")</f>
        <v>494</v>
      </c>
      <c r="AO25" s="64" cm="1">
        <f t="array" ref="AO25">IFERROR(INDEX('Offer Statistics'!H$2:H$400,MATCH(1,(CityU!$A25='Offer Statistics'!$B$2:$B$400)*(CityU!$AB$2='Offer Statistics'!$C$2:$C$400),0)),"/")</f>
        <v>368</v>
      </c>
      <c r="AP25" s="15"/>
      <c r="AQ25" s="15" t="str">
        <f t="shared" si="0"/>
        <v>JS1072</v>
      </c>
      <c r="AR25" s="4"/>
      <c r="AS25" s="4"/>
      <c r="AT25" s="4"/>
      <c r="AU25" s="4"/>
      <c r="AV25" s="4"/>
      <c r="AW25" s="4"/>
      <c r="AX25" s="4"/>
      <c r="AY25" s="4"/>
      <c r="AZ25" s="4"/>
      <c r="BA25" s="4"/>
      <c r="BB25" s="4"/>
      <c r="BC25" s="4"/>
      <c r="BD25" s="4"/>
      <c r="BE25" s="4"/>
      <c r="BF25" s="4"/>
    </row>
    <row r="26" spans="1:58" s="2" customFormat="1" ht="18" customHeight="1">
      <c r="A26" s="15" t="str">
        <f>'Reference Score Calculation'!A37</f>
        <v>JS1074</v>
      </c>
      <c r="B26" s="4" t="str">
        <f>'Reference Score Calculation'!C37</f>
        <v>數據科學學院</v>
      </c>
      <c r="C26" s="23" t="str">
        <f>'Reference Score Calculation'!D37</f>
        <v>理學士(數據與系統工程)</v>
      </c>
      <c r="D26" s="4" t="str">
        <f>'Reference Score Calculation'!R37</f>
        <v>BEngDSE</v>
      </c>
      <c r="E26" s="392" t="str">
        <f>'Reference Score Calculation'!AB37</f>
        <v>3C2X</v>
      </c>
      <c r="F26" s="386" t="str">
        <f>'Reference Score Calculation'!E37</f>
        <v>4C2X</v>
      </c>
      <c r="G26" s="6">
        <f>'Reference Score Calculation'!H37</f>
        <v>30</v>
      </c>
      <c r="H26" s="6">
        <f>'Reference Score Calculation'!I37</f>
        <v>29</v>
      </c>
      <c r="I26" s="45">
        <f>計分版!J60</f>
        <v>3.2500000000000002E-9</v>
      </c>
      <c r="J26" s="185">
        <f t="shared" si="1"/>
        <v>-29.999999996749999</v>
      </c>
      <c r="K26" s="190">
        <f t="shared" si="2"/>
        <v>-9230769229.7692299</v>
      </c>
      <c r="L26" s="36">
        <f>'Reference Score Calculation'!T37</f>
        <v>20</v>
      </c>
      <c r="M26" s="86">
        <f>入學要求!Z46</f>
        <v>0</v>
      </c>
      <c r="N26" s="512"/>
      <c r="O26" s="166">
        <f>入學要求!L46</f>
        <v>3</v>
      </c>
      <c r="P26" s="166">
        <f>入學要求!M46</f>
        <v>3</v>
      </c>
      <c r="Q26" s="166">
        <f>入學要求!N46</f>
        <v>3</v>
      </c>
      <c r="R26" s="166">
        <f>入學要求!O46</f>
        <v>1</v>
      </c>
      <c r="S26" s="166">
        <f>入學要求!P46</f>
        <v>3</v>
      </c>
      <c r="T26" s="166">
        <f>入學要求!Q46</f>
        <v>3</v>
      </c>
      <c r="U26" s="256">
        <f>入學要求!S46</f>
        <v>0</v>
      </c>
      <c r="V26" s="256">
        <f>入學要求!T46</f>
        <v>0</v>
      </c>
      <c r="W26" s="256">
        <f>入學要求!U46</f>
        <v>0</v>
      </c>
      <c r="X26" s="256">
        <f>入學要求!V46</f>
        <v>0</v>
      </c>
      <c r="Y26" s="256">
        <f>入學要求!W46</f>
        <v>0</v>
      </c>
      <c r="Z26" s="256">
        <f>入學要求!X46</f>
        <v>0</v>
      </c>
      <c r="AA26" s="44">
        <f t="shared" si="3"/>
        <v>7.1</v>
      </c>
      <c r="AB26" s="510"/>
      <c r="AC26" s="36" cm="1">
        <f t="array" ref="AC26">IFERROR(INDEX('Offer Statistics'!$Q$2:$Q$400,MATCH(1,(CityU!$A26='Offer Statistics'!$B$2:$B$400)*(CityU!$AB$2='Offer Statistics'!$K$2:$K$400),0)),"/")</f>
        <v>20</v>
      </c>
      <c r="AD26" s="64" cm="1">
        <f t="array" ref="AD26">IFERROR(INDEX('Offer Statistics'!L$2:L$400,MATCH(1,(CityU!$A26='Offer Statistics'!$B$2:$B$400)*(CityU!$AB$2='Offer Statistics'!$K$2:$K$400),0)),"/")</f>
        <v>10</v>
      </c>
      <c r="AE26" s="64" cm="1">
        <f t="array" ref="AE26">IFERROR(INDEX('Offer Statistics'!M$2:M$400,MATCH(1,(CityU!$A26='Offer Statistics'!$B$2:$B$400)*(CityU!$AB$2='Offer Statistics'!$K$2:$K$400),0)),"/")</f>
        <v>4</v>
      </c>
      <c r="AF26" s="64" cm="1">
        <f t="array" ref="AF26">IFERROR(INDEX('Offer Statistics'!N$2:N$400,MATCH(1,(CityU!$A26='Offer Statistics'!$B$2:$B$400)*(CityU!$AB$2='Offer Statistics'!$K$2:$K$400),0)),"/")</f>
        <v>5</v>
      </c>
      <c r="AG26" s="64" cm="1">
        <f t="array" ref="AG26">IFERROR(INDEX('Offer Statistics'!O$2:O$400,MATCH(1,(CityU!$A26='Offer Statistics'!$B$2:$B$400)*(CityU!$AB$2='Offer Statistics'!$K$2:$K$400),0)),"/")</f>
        <v>0</v>
      </c>
      <c r="AH26" s="64" cm="1">
        <f t="array" ref="AH26">IFERROR(INDEX('Offer Statistics'!P$2:P$400,MATCH(1,(CityU!$A26='Offer Statistics'!$B$2:$B$400)*(CityU!$AB$2='Offer Statistics'!$K$2:$K$400),0)),"/")</f>
        <v>1</v>
      </c>
      <c r="AI26" s="511"/>
      <c r="AJ26" s="36" cm="1">
        <f t="array" ref="AJ26">IFERROR(INDEX('Offer Statistics'!$I$2:$I$400,MATCH(1,(CityU!$A26='Offer Statistics'!$B$2:$B$400)*(CityU!$AB$2='Offer Statistics'!$C$2:$C$400),0)),"/")</f>
        <v>1414</v>
      </c>
      <c r="AK26" s="64" cm="1">
        <f t="array" ref="AK26">IFERROR(INDEX('Offer Statistics'!D$2:D$400,MATCH(1,(CityU!$A26='Offer Statistics'!$B$2:$B$400)*(CityU!$AB$2='Offer Statistics'!$C$2:$C$400),0)),"/")</f>
        <v>71</v>
      </c>
      <c r="AL26" s="64" cm="1">
        <f t="array" ref="AL26">IFERROR(INDEX('Offer Statistics'!E$2:E$400,MATCH(1,(CityU!$A26='Offer Statistics'!$B$2:$B$400)*(CityU!$AB$2='Offer Statistics'!$C$2:$C$400),0)),"/")</f>
        <v>161</v>
      </c>
      <c r="AM26" s="64" cm="1">
        <f t="array" ref="AM26">IFERROR(INDEX('Offer Statistics'!F$2:F$400,MATCH(1,(CityU!$A26='Offer Statistics'!$B$2:$B$400)*(CityU!$AB$2='Offer Statistics'!$C$2:$C$400),0)),"/")</f>
        <v>343</v>
      </c>
      <c r="AN26" s="64" cm="1">
        <f t="array" ref="AN26">IFERROR(INDEX('Offer Statistics'!G$2:G$400,MATCH(1,(CityU!$A26='Offer Statistics'!$B$2:$B$400)*(CityU!$AB$2='Offer Statistics'!$C$2:$C$400),0)),"/")</f>
        <v>467</v>
      </c>
      <c r="AO26" s="64" cm="1">
        <f t="array" ref="AO26">IFERROR(INDEX('Offer Statistics'!H$2:H$400,MATCH(1,(CityU!$A26='Offer Statistics'!$B$2:$B$400)*(CityU!$AB$2='Offer Statistics'!$C$2:$C$400),0)),"/")</f>
        <v>372</v>
      </c>
      <c r="AP26" s="15"/>
      <c r="AQ26" s="15" t="str">
        <f t="shared" si="0"/>
        <v>JS1074</v>
      </c>
      <c r="AR26" s="4"/>
      <c r="AS26" s="4"/>
      <c r="AT26" s="4"/>
      <c r="AU26" s="4"/>
      <c r="AV26" s="4"/>
      <c r="AW26" s="4"/>
      <c r="AX26" s="4"/>
      <c r="AY26" s="4"/>
      <c r="AZ26" s="4"/>
      <c r="BA26" s="4"/>
      <c r="BB26" s="4"/>
      <c r="BC26" s="4"/>
      <c r="BD26" s="4"/>
      <c r="BE26" s="4"/>
      <c r="BF26" s="4"/>
    </row>
    <row r="27" spans="1:58" s="2" customFormat="1" ht="18" customHeight="1">
      <c r="A27" s="15" t="str">
        <f>'Reference Score Calculation'!A38</f>
        <v>JS1102</v>
      </c>
      <c r="B27" s="4" t="str">
        <f>'Reference Score Calculation'!C38</f>
        <v>人文社會科學院</v>
      </c>
      <c r="C27" s="23" t="str">
        <f>'Reference Score Calculation'!D38</f>
        <v>社會科學學士(國際關係及全球事務)</v>
      </c>
      <c r="D27" s="4" t="str">
        <f>'Reference Score Calculation'!R38</f>
        <v>BSocScASIS</v>
      </c>
      <c r="E27" s="392" t="str">
        <f>'Reference Score Calculation'!AB38</f>
        <v>Best 5</v>
      </c>
      <c r="F27" s="390" t="str">
        <f>'Reference Score Calculation'!E38</f>
        <v>Best 5</v>
      </c>
      <c r="G27" s="6">
        <f>'Reference Score Calculation'!H38</f>
        <v>20</v>
      </c>
      <c r="H27" s="6">
        <f>'Reference Score Calculation'!I38</f>
        <v>20</v>
      </c>
      <c r="I27" s="45">
        <f>計分版!J61</f>
        <v>3.5500000000000004E-9</v>
      </c>
      <c r="J27" s="185">
        <f t="shared" si="1"/>
        <v>-19.999999996450001</v>
      </c>
      <c r="K27" s="190">
        <f t="shared" si="2"/>
        <v>-5633802815.9014082</v>
      </c>
      <c r="L27" s="36">
        <f>'Reference Score Calculation'!T38</f>
        <v>20</v>
      </c>
      <c r="M27" s="86">
        <f>入學要求!Z47</f>
        <v>0</v>
      </c>
      <c r="N27" s="512"/>
      <c r="O27" s="166">
        <f>入學要求!L47</f>
        <v>3</v>
      </c>
      <c r="P27" s="166">
        <f>入學要求!M47</f>
        <v>3</v>
      </c>
      <c r="Q27" s="166">
        <f>入學要求!N47</f>
        <v>2</v>
      </c>
      <c r="R27" s="166">
        <f>入學要求!O47</f>
        <v>1</v>
      </c>
      <c r="S27" s="166">
        <f>入學要求!P47</f>
        <v>3</v>
      </c>
      <c r="T27" s="166">
        <f>入學要求!Q47</f>
        <v>3</v>
      </c>
      <c r="U27" s="256">
        <f>入學要求!S47</f>
        <v>0</v>
      </c>
      <c r="V27" s="256">
        <f>入學要求!T47</f>
        <v>0</v>
      </c>
      <c r="W27" s="256">
        <f>入學要求!U47</f>
        <v>0</v>
      </c>
      <c r="X27" s="256">
        <f>入學要求!V47</f>
        <v>0</v>
      </c>
      <c r="Y27" s="256">
        <f>入學要求!W47</f>
        <v>0</v>
      </c>
      <c r="Z27" s="256">
        <f>入學要求!X47</f>
        <v>0</v>
      </c>
      <c r="AA27" s="44">
        <f t="shared" si="3"/>
        <v>10.210000000000001</v>
      </c>
      <c r="AB27" s="510"/>
      <c r="AC27" s="36" cm="1">
        <f t="array" ref="AC27">IFERROR(INDEX('Offer Statistics'!$Q$2:$Q$400,MATCH(1,(CityU!$A27='Offer Statistics'!$B$2:$B$400)*(CityU!$AB$2='Offer Statistics'!$K$2:$K$400),0)),"/")</f>
        <v>25</v>
      </c>
      <c r="AD27" s="64" cm="1">
        <f t="array" ref="AD27">IFERROR(INDEX('Offer Statistics'!L$2:L$400,MATCH(1,(CityU!$A27='Offer Statistics'!$B$2:$B$400)*(CityU!$AB$2='Offer Statistics'!$K$2:$K$400),0)),"/")</f>
        <v>24</v>
      </c>
      <c r="AE27" s="64" cm="1">
        <f t="array" ref="AE27">IFERROR(INDEX('Offer Statistics'!M$2:M$400,MATCH(1,(CityU!$A27='Offer Statistics'!$B$2:$B$400)*(CityU!$AB$2='Offer Statistics'!$K$2:$K$400),0)),"/")</f>
        <v>0</v>
      </c>
      <c r="AF27" s="64" cm="1">
        <f t="array" ref="AF27">IFERROR(INDEX('Offer Statistics'!N$2:N$400,MATCH(1,(CityU!$A27='Offer Statistics'!$B$2:$B$400)*(CityU!$AB$2='Offer Statistics'!$K$2:$K$400),0)),"/")</f>
        <v>0</v>
      </c>
      <c r="AG27" s="64" cm="1">
        <f t="array" ref="AG27">IFERROR(INDEX('Offer Statistics'!O$2:O$400,MATCH(1,(CityU!$A27='Offer Statistics'!$B$2:$B$400)*(CityU!$AB$2='Offer Statistics'!$K$2:$K$400),0)),"/")</f>
        <v>0</v>
      </c>
      <c r="AH27" s="64" cm="1">
        <f t="array" ref="AH27">IFERROR(INDEX('Offer Statistics'!P$2:P$400,MATCH(1,(CityU!$A27='Offer Statistics'!$B$2:$B$400)*(CityU!$AB$2='Offer Statistics'!$K$2:$K$400),0)),"/")</f>
        <v>1</v>
      </c>
      <c r="AI27" s="511"/>
      <c r="AJ27" s="36" cm="1">
        <f t="array" ref="AJ27">IFERROR(INDEX('Offer Statistics'!$I$2:$I$400,MATCH(1,(CityU!$A27='Offer Statistics'!$B$2:$B$400)*(CityU!$AB$2='Offer Statistics'!$C$2:$C$400),0)),"/")</f>
        <v>2309</v>
      </c>
      <c r="AK27" s="64" cm="1">
        <f t="array" ref="AK27">IFERROR(INDEX('Offer Statistics'!D$2:D$400,MATCH(1,(CityU!$A27='Offer Statistics'!$B$2:$B$400)*(CityU!$AB$2='Offer Statistics'!$C$2:$C$400),0)),"/")</f>
        <v>245</v>
      </c>
      <c r="AL27" s="64" cm="1">
        <f t="array" ref="AL27">IFERROR(INDEX('Offer Statistics'!E$2:E$400,MATCH(1,(CityU!$A27='Offer Statistics'!$B$2:$B$400)*(CityU!$AB$2='Offer Statistics'!$C$2:$C$400),0)),"/")</f>
        <v>340</v>
      </c>
      <c r="AM27" s="64" cm="1">
        <f t="array" ref="AM27">IFERROR(INDEX('Offer Statistics'!F$2:F$400,MATCH(1,(CityU!$A27='Offer Statistics'!$B$2:$B$400)*(CityU!$AB$2='Offer Statistics'!$C$2:$C$400),0)),"/")</f>
        <v>524</v>
      </c>
      <c r="AN27" s="64" cm="1">
        <f t="array" ref="AN27">IFERROR(INDEX('Offer Statistics'!G$2:G$400,MATCH(1,(CityU!$A27='Offer Statistics'!$B$2:$B$400)*(CityU!$AB$2='Offer Statistics'!$C$2:$C$400),0)),"/")</f>
        <v>686</v>
      </c>
      <c r="AO27" s="64" cm="1">
        <f t="array" ref="AO27">IFERROR(INDEX('Offer Statistics'!H$2:H$400,MATCH(1,(CityU!$A27='Offer Statistics'!$B$2:$B$400)*(CityU!$AB$2='Offer Statistics'!$C$2:$C$400),0)),"/")</f>
        <v>514</v>
      </c>
      <c r="AP27" s="15"/>
      <c r="AQ27" s="15" t="str">
        <f t="shared" si="0"/>
        <v>JS1102</v>
      </c>
      <c r="AR27" s="4"/>
      <c r="AS27" s="4"/>
      <c r="AT27" s="4"/>
      <c r="AU27" s="4"/>
      <c r="AV27" s="4"/>
      <c r="AW27" s="4"/>
      <c r="AX27" s="4"/>
      <c r="AY27" s="4"/>
      <c r="AZ27" s="4"/>
      <c r="BA27" s="4"/>
      <c r="BB27" s="4"/>
      <c r="BC27" s="4"/>
      <c r="BD27" s="4"/>
      <c r="BE27" s="4"/>
      <c r="BF27" s="4"/>
    </row>
    <row r="28" spans="1:58" s="2" customFormat="1" ht="18" customHeight="1">
      <c r="A28" s="15" t="str">
        <f>'Reference Score Calculation'!A39</f>
        <v>JS1103</v>
      </c>
      <c r="B28" s="4" t="str">
        <f>'Reference Score Calculation'!C39</f>
        <v>人文社會科學院</v>
      </c>
      <c r="C28" s="23" t="str">
        <f>'Reference Score Calculation'!D39</f>
        <v>文學士(中文及歷史)</v>
      </c>
      <c r="D28" s="4" t="str">
        <f>'Reference Score Calculation'!R39</f>
        <v>BACHIS</v>
      </c>
      <c r="E28" s="392" t="str">
        <f>'Reference Score Calculation'!AB39</f>
        <v>3C2X</v>
      </c>
      <c r="F28" s="391" t="str">
        <f>'Reference Score Calculation'!E39</f>
        <v>4C2X</v>
      </c>
      <c r="G28" s="6">
        <f>'Reference Score Calculation'!H39</f>
        <v>37.5</v>
      </c>
      <c r="H28" s="6">
        <f>'Reference Score Calculation'!I39</f>
        <v>37</v>
      </c>
      <c r="I28" s="45">
        <f>計分版!J62</f>
        <v>3.3500000000000002E-9</v>
      </c>
      <c r="J28" s="185">
        <f t="shared" si="1"/>
        <v>-37.499999996649997</v>
      </c>
      <c r="K28" s="190">
        <f t="shared" si="2"/>
        <v>-11194029849.746267</v>
      </c>
      <c r="L28" s="36">
        <f>'Reference Score Calculation'!T39</f>
        <v>45</v>
      </c>
      <c r="M28" s="86">
        <f>入學要求!Z48</f>
        <v>0</v>
      </c>
      <c r="N28" s="512"/>
      <c r="O28" s="166">
        <f>入學要求!L48</f>
        <v>3</v>
      </c>
      <c r="P28" s="166">
        <f>入學要求!M48</f>
        <v>3</v>
      </c>
      <c r="Q28" s="166">
        <f>入學要求!N48</f>
        <v>2</v>
      </c>
      <c r="R28" s="166">
        <f>入學要求!O48</f>
        <v>1</v>
      </c>
      <c r="S28" s="166">
        <f>入學要求!P48</f>
        <v>3</v>
      </c>
      <c r="T28" s="166">
        <f>入學要求!Q48</f>
        <v>3</v>
      </c>
      <c r="U28" s="256">
        <f>入學要求!S48</f>
        <v>0</v>
      </c>
      <c r="V28" s="256">
        <f>入學要求!T48</f>
        <v>0</v>
      </c>
      <c r="W28" s="256">
        <f>入學要求!U48</f>
        <v>0</v>
      </c>
      <c r="X28" s="256">
        <f>入學要求!V48</f>
        <v>0</v>
      </c>
      <c r="Y28" s="256">
        <f>入學要求!W48</f>
        <v>0</v>
      </c>
      <c r="Z28" s="256">
        <f>入學要求!X48</f>
        <v>0</v>
      </c>
      <c r="AA28" s="44">
        <f t="shared" si="3"/>
        <v>12.53</v>
      </c>
      <c r="AB28" s="510"/>
      <c r="AC28" s="36" cm="1">
        <f t="array" ref="AC28">IFERROR(INDEX('Offer Statistics'!$Q$2:$Q$400,MATCH(1,(CityU!$A28='Offer Statistics'!$B$2:$B$400)*(CityU!$AB$2='Offer Statistics'!$K$2:$K$400),0)),"/")</f>
        <v>38</v>
      </c>
      <c r="AD28" s="64" cm="1">
        <f t="array" ref="AD28">IFERROR(INDEX('Offer Statistics'!L$2:L$400,MATCH(1,(CityU!$A28='Offer Statistics'!$B$2:$B$400)*(CityU!$AB$2='Offer Statistics'!$K$2:$K$400),0)),"/")</f>
        <v>34</v>
      </c>
      <c r="AE28" s="64" cm="1">
        <f t="array" ref="AE28">IFERROR(INDEX('Offer Statistics'!M$2:M$400,MATCH(1,(CityU!$A28='Offer Statistics'!$B$2:$B$400)*(CityU!$AB$2='Offer Statistics'!$K$2:$K$400),0)),"/")</f>
        <v>2</v>
      </c>
      <c r="AF28" s="64" cm="1">
        <f t="array" ref="AF28">IFERROR(INDEX('Offer Statistics'!N$2:N$400,MATCH(1,(CityU!$A28='Offer Statistics'!$B$2:$B$400)*(CityU!$AB$2='Offer Statistics'!$K$2:$K$400),0)),"/")</f>
        <v>2</v>
      </c>
      <c r="AG28" s="64" cm="1">
        <f t="array" ref="AG28">IFERROR(INDEX('Offer Statistics'!O$2:O$400,MATCH(1,(CityU!$A28='Offer Statistics'!$B$2:$B$400)*(CityU!$AB$2='Offer Statistics'!$K$2:$K$400),0)),"/")</f>
        <v>0</v>
      </c>
      <c r="AH28" s="64" cm="1">
        <f t="array" ref="AH28">IFERROR(INDEX('Offer Statistics'!P$2:P$400,MATCH(1,(CityU!$A28='Offer Statistics'!$B$2:$B$400)*(CityU!$AB$2='Offer Statistics'!$K$2:$K$400),0)),"/")</f>
        <v>0</v>
      </c>
      <c r="AI28" s="511"/>
      <c r="AJ28" s="36" cm="1">
        <f t="array" ref="AJ28">IFERROR(INDEX('Offer Statistics'!$I$2:$I$400,MATCH(1,(CityU!$A28='Offer Statistics'!$B$2:$B$400)*(CityU!$AB$2='Offer Statistics'!$C$2:$C$400),0)),"/")</f>
        <v>2372</v>
      </c>
      <c r="AK28" s="64" cm="1">
        <f t="array" ref="AK28">IFERROR(INDEX('Offer Statistics'!D$2:D$400,MATCH(1,(CityU!$A28='Offer Statistics'!$B$2:$B$400)*(CityU!$AB$2='Offer Statistics'!$C$2:$C$400),0)),"/")</f>
        <v>426</v>
      </c>
      <c r="AL28" s="64" cm="1">
        <f t="array" ref="AL28">IFERROR(INDEX('Offer Statistics'!E$2:E$400,MATCH(1,(CityU!$A28='Offer Statistics'!$B$2:$B$400)*(CityU!$AB$2='Offer Statistics'!$C$2:$C$400),0)),"/")</f>
        <v>500</v>
      </c>
      <c r="AM28" s="64" cm="1">
        <f t="array" ref="AM28">IFERROR(INDEX('Offer Statistics'!F$2:F$400,MATCH(1,(CityU!$A28='Offer Statistics'!$B$2:$B$400)*(CityU!$AB$2='Offer Statistics'!$C$2:$C$400),0)),"/")</f>
        <v>513</v>
      </c>
      <c r="AN28" s="64" cm="1">
        <f t="array" ref="AN28">IFERROR(INDEX('Offer Statistics'!G$2:G$400,MATCH(1,(CityU!$A28='Offer Statistics'!$B$2:$B$400)*(CityU!$AB$2='Offer Statistics'!$C$2:$C$400),0)),"/")</f>
        <v>560</v>
      </c>
      <c r="AO28" s="64" cm="1">
        <f t="array" ref="AO28">IFERROR(INDEX('Offer Statistics'!H$2:H$400,MATCH(1,(CityU!$A28='Offer Statistics'!$B$2:$B$400)*(CityU!$AB$2='Offer Statistics'!$C$2:$C$400),0)),"/")</f>
        <v>373</v>
      </c>
      <c r="AP28" s="15"/>
      <c r="AQ28" s="15" t="str">
        <f t="shared" si="0"/>
        <v>JS1103</v>
      </c>
      <c r="AR28" s="4"/>
      <c r="AS28" s="4"/>
      <c r="AT28" s="4"/>
      <c r="AU28" s="4"/>
      <c r="AV28" s="4"/>
      <c r="AW28" s="4"/>
      <c r="AX28" s="4"/>
      <c r="AY28" s="4"/>
      <c r="AZ28" s="4"/>
      <c r="BA28" s="4"/>
      <c r="BB28" s="4"/>
      <c r="BC28" s="4"/>
      <c r="BD28" s="4"/>
      <c r="BE28" s="4"/>
      <c r="BF28" s="4"/>
    </row>
    <row r="29" spans="1:58" s="2" customFormat="1" ht="18" customHeight="1">
      <c r="A29" s="15" t="str">
        <f>'Reference Score Calculation'!A40</f>
        <v>JS1104</v>
      </c>
      <c r="B29" s="4" t="str">
        <f>'Reference Score Calculation'!C40</f>
        <v>人文社會科學院</v>
      </c>
      <c r="C29" s="23" t="str">
        <f>'Reference Score Calculation'!D40</f>
        <v>文學士(英語語言)</v>
      </c>
      <c r="D29" s="4" t="str">
        <f>'Reference Score Calculation'!R40</f>
        <v>BAEN</v>
      </c>
      <c r="E29" s="392" t="str">
        <f>'Reference Score Calculation'!AB40</f>
        <v>Best 5</v>
      </c>
      <c r="F29" s="391" t="str">
        <f>'Reference Score Calculation'!E40</f>
        <v>Best 6</v>
      </c>
      <c r="G29" s="6">
        <f>'Reference Score Calculation'!H40</f>
        <v>32.5</v>
      </c>
      <c r="H29" s="6">
        <f>'Reference Score Calculation'!I40</f>
        <v>31.5</v>
      </c>
      <c r="I29" s="45">
        <f>計分版!J63</f>
        <v>4.4500000000000001E-9</v>
      </c>
      <c r="J29" s="185">
        <f t="shared" si="1"/>
        <v>-32.499999995549999</v>
      </c>
      <c r="K29" s="190">
        <f t="shared" si="2"/>
        <v>-7303370785.5168533</v>
      </c>
      <c r="L29" s="36">
        <f>'Reference Score Calculation'!T40</f>
        <v>25</v>
      </c>
      <c r="M29" s="86">
        <f>入學要求!Z49</f>
        <v>0</v>
      </c>
      <c r="N29" s="512"/>
      <c r="O29" s="166">
        <f>入學要求!L49</f>
        <v>3</v>
      </c>
      <c r="P29" s="166">
        <f>入學要求!M49</f>
        <v>3</v>
      </c>
      <c r="Q29" s="166">
        <f>入學要求!N49</f>
        <v>2</v>
      </c>
      <c r="R29" s="166">
        <f>入學要求!O49</f>
        <v>1</v>
      </c>
      <c r="S29" s="166">
        <f>入學要求!P49</f>
        <v>3</v>
      </c>
      <c r="T29" s="166">
        <f>入學要求!Q49</f>
        <v>3</v>
      </c>
      <c r="U29" s="256">
        <f>入學要求!S49</f>
        <v>0</v>
      </c>
      <c r="V29" s="256">
        <f>入學要求!T49</f>
        <v>0</v>
      </c>
      <c r="W29" s="256">
        <f>入學要求!U49</f>
        <v>0</v>
      </c>
      <c r="X29" s="256">
        <f>入學要求!V49</f>
        <v>0</v>
      </c>
      <c r="Y29" s="256">
        <f>入學要求!W49</f>
        <v>0</v>
      </c>
      <c r="Z29" s="256">
        <f>入學要求!X49</f>
        <v>0</v>
      </c>
      <c r="AA29" s="44">
        <f t="shared" si="3"/>
        <v>8.1</v>
      </c>
      <c r="AB29" s="510"/>
      <c r="AC29" s="36" cm="1">
        <f t="array" ref="AC29">IFERROR(INDEX('Offer Statistics'!$Q$2:$Q$400,MATCH(1,(CityU!$A29='Offer Statistics'!$B$2:$B$400)*(CityU!$AB$2='Offer Statistics'!$K$2:$K$400),0)),"/")</f>
        <v>31</v>
      </c>
      <c r="AD29" s="64" cm="1">
        <f t="array" ref="AD29">IFERROR(INDEX('Offer Statistics'!L$2:L$400,MATCH(1,(CityU!$A29='Offer Statistics'!$B$2:$B$400)*(CityU!$AB$2='Offer Statistics'!$K$2:$K$400),0)),"/")</f>
        <v>20</v>
      </c>
      <c r="AE29" s="64" cm="1">
        <f t="array" ref="AE29">IFERROR(INDEX('Offer Statistics'!M$2:M$400,MATCH(1,(CityU!$A29='Offer Statistics'!$B$2:$B$400)*(CityU!$AB$2='Offer Statistics'!$K$2:$K$400),0)),"/")</f>
        <v>6</v>
      </c>
      <c r="AF29" s="64" cm="1">
        <f t="array" ref="AF29">IFERROR(INDEX('Offer Statistics'!N$2:N$400,MATCH(1,(CityU!$A29='Offer Statistics'!$B$2:$B$400)*(CityU!$AB$2='Offer Statistics'!$K$2:$K$400),0)),"/")</f>
        <v>2</v>
      </c>
      <c r="AG29" s="64" cm="1">
        <f t="array" ref="AG29">IFERROR(INDEX('Offer Statistics'!O$2:O$400,MATCH(1,(CityU!$A29='Offer Statistics'!$B$2:$B$400)*(CityU!$AB$2='Offer Statistics'!$K$2:$K$400),0)),"/")</f>
        <v>2</v>
      </c>
      <c r="AH29" s="64" cm="1">
        <f t="array" ref="AH29">IFERROR(INDEX('Offer Statistics'!P$2:P$400,MATCH(1,(CityU!$A29='Offer Statistics'!$B$2:$B$400)*(CityU!$AB$2='Offer Statistics'!$K$2:$K$400),0)),"/")</f>
        <v>1</v>
      </c>
      <c r="AI29" s="511"/>
      <c r="AJ29" s="36" cm="1">
        <f t="array" ref="AJ29">IFERROR(INDEX('Offer Statistics'!$I$2:$I$400,MATCH(1,(CityU!$A29='Offer Statistics'!$B$2:$B$400)*(CityU!$AB$2='Offer Statistics'!$C$2:$C$400),0)),"/")</f>
        <v>1191</v>
      </c>
      <c r="AK29" s="64" cm="1">
        <f t="array" ref="AK29">IFERROR(INDEX('Offer Statistics'!D$2:D$400,MATCH(1,(CityU!$A29='Offer Statistics'!$B$2:$B$400)*(CityU!$AB$2='Offer Statistics'!$C$2:$C$400),0)),"/")</f>
        <v>162</v>
      </c>
      <c r="AL29" s="64" cm="1">
        <f t="array" ref="AL29">IFERROR(INDEX('Offer Statistics'!E$2:E$400,MATCH(1,(CityU!$A29='Offer Statistics'!$B$2:$B$400)*(CityU!$AB$2='Offer Statistics'!$C$2:$C$400),0)),"/")</f>
        <v>230</v>
      </c>
      <c r="AM29" s="64" cm="1">
        <f t="array" ref="AM29">IFERROR(INDEX('Offer Statistics'!F$2:F$400,MATCH(1,(CityU!$A29='Offer Statistics'!$B$2:$B$400)*(CityU!$AB$2='Offer Statistics'!$C$2:$C$400),0)),"/")</f>
        <v>251</v>
      </c>
      <c r="AN29" s="64" cm="1">
        <f t="array" ref="AN29">IFERROR(INDEX('Offer Statistics'!G$2:G$400,MATCH(1,(CityU!$A29='Offer Statistics'!$B$2:$B$400)*(CityU!$AB$2='Offer Statistics'!$C$2:$C$400),0)),"/")</f>
        <v>312</v>
      </c>
      <c r="AO29" s="64" cm="1">
        <f t="array" ref="AO29">IFERROR(INDEX('Offer Statistics'!H$2:H$400,MATCH(1,(CityU!$A29='Offer Statistics'!$B$2:$B$400)*(CityU!$AB$2='Offer Statistics'!$C$2:$C$400),0)),"/")</f>
        <v>236</v>
      </c>
      <c r="AP29" s="15"/>
      <c r="AQ29" s="15" t="str">
        <f t="shared" si="0"/>
        <v>JS1104</v>
      </c>
      <c r="AR29" s="4"/>
      <c r="AS29" s="4"/>
      <c r="AT29" s="4"/>
      <c r="AU29" s="4"/>
      <c r="AV29" s="4"/>
      <c r="AW29" s="4"/>
      <c r="AX29" s="4"/>
      <c r="AY29" s="4"/>
      <c r="AZ29" s="4"/>
      <c r="BA29" s="4"/>
      <c r="BB29" s="4"/>
      <c r="BC29" s="4"/>
      <c r="BD29" s="4"/>
      <c r="BE29" s="4"/>
      <c r="BF29" s="4"/>
    </row>
    <row r="30" spans="1:58" s="2" customFormat="1" ht="18" customHeight="1">
      <c r="A30" s="15" t="str">
        <f>'Reference Score Calculation'!A41</f>
        <v>JS1106</v>
      </c>
      <c r="B30" s="4" t="str">
        <f>'Reference Score Calculation'!C41</f>
        <v>人文社會科學院</v>
      </c>
      <c r="C30" s="23" t="str">
        <f>'Reference Score Calculation'!D41</f>
        <v>媒體與傳播系 [選項: 文學士(數碼電視與廣播)、文學士(媒體與傳播)]</v>
      </c>
      <c r="D30" s="4" t="str">
        <f>'Reference Score Calculation'!R41</f>
        <v>COM</v>
      </c>
      <c r="E30" s="392" t="str">
        <f>'Reference Score Calculation'!AB41</f>
        <v>Best 4</v>
      </c>
      <c r="F30" s="386" t="str">
        <f>'Reference Score Calculation'!E41</f>
        <v>Best 5</v>
      </c>
      <c r="G30" s="6">
        <f>'Reference Score Calculation'!H41</f>
        <v>22</v>
      </c>
      <c r="H30" s="6">
        <f>'Reference Score Calculation'!I41</f>
        <v>22</v>
      </c>
      <c r="I30" s="45">
        <f>計分版!J64</f>
        <v>3.6E-9</v>
      </c>
      <c r="J30" s="185">
        <f t="shared" si="1"/>
        <v>-21.9999999964</v>
      </c>
      <c r="K30" s="190">
        <f t="shared" si="2"/>
        <v>-6111111110.1111107</v>
      </c>
      <c r="L30" s="36">
        <f>'Reference Score Calculation'!T41</f>
        <v>45</v>
      </c>
      <c r="M30" s="86">
        <f>入學要求!Z50</f>
        <v>0</v>
      </c>
      <c r="N30" s="512"/>
      <c r="O30" s="166">
        <f>入學要求!L50</f>
        <v>3</v>
      </c>
      <c r="P30" s="166">
        <f>入學要求!M50</f>
        <v>3</v>
      </c>
      <c r="Q30" s="166">
        <f>入學要求!N50</f>
        <v>2</v>
      </c>
      <c r="R30" s="166">
        <f>入學要求!O50</f>
        <v>1</v>
      </c>
      <c r="S30" s="166">
        <f>入學要求!P50</f>
        <v>3</v>
      </c>
      <c r="T30" s="166">
        <f>入學要求!Q50</f>
        <v>3</v>
      </c>
      <c r="U30" s="256">
        <f>入學要求!S50</f>
        <v>0</v>
      </c>
      <c r="V30" s="256">
        <f>入學要求!T50</f>
        <v>0</v>
      </c>
      <c r="W30" s="256">
        <f>入學要求!U50</f>
        <v>0</v>
      </c>
      <c r="X30" s="256">
        <f>入學要求!V50</f>
        <v>0</v>
      </c>
      <c r="Y30" s="256">
        <f>入學要求!W50</f>
        <v>0</v>
      </c>
      <c r="Z30" s="256">
        <f>入學要求!X50</f>
        <v>0</v>
      </c>
      <c r="AA30" s="44">
        <f t="shared" si="3"/>
        <v>13.4</v>
      </c>
      <c r="AB30" s="510"/>
      <c r="AC30" s="36" cm="1">
        <f t="array" ref="AC30">IFERROR(INDEX('Offer Statistics'!$Q$2:$Q$400,MATCH(1,(CityU!$A30='Offer Statistics'!$B$2:$B$400)*(CityU!$AB$2='Offer Statistics'!$K$2:$K$400),0)),"/")</f>
        <v>44</v>
      </c>
      <c r="AD30" s="64" cm="1">
        <f t="array" ref="AD30">IFERROR(INDEX('Offer Statistics'!L$2:L$400,MATCH(1,(CityU!$A30='Offer Statistics'!$B$2:$B$400)*(CityU!$AB$2='Offer Statistics'!$K$2:$K$400),0)),"/")</f>
        <v>35</v>
      </c>
      <c r="AE30" s="64" cm="1">
        <f t="array" ref="AE30">IFERROR(INDEX('Offer Statistics'!M$2:M$400,MATCH(1,(CityU!$A30='Offer Statistics'!$B$2:$B$400)*(CityU!$AB$2='Offer Statistics'!$K$2:$K$400),0)),"/")</f>
        <v>6</v>
      </c>
      <c r="AF30" s="64" cm="1">
        <f t="array" ref="AF30">IFERROR(INDEX('Offer Statistics'!N$2:N$400,MATCH(1,(CityU!$A30='Offer Statistics'!$B$2:$B$400)*(CityU!$AB$2='Offer Statistics'!$K$2:$K$400),0)),"/")</f>
        <v>0</v>
      </c>
      <c r="AG30" s="64" cm="1">
        <f t="array" ref="AG30">IFERROR(INDEX('Offer Statistics'!O$2:O$400,MATCH(1,(CityU!$A30='Offer Statistics'!$B$2:$B$400)*(CityU!$AB$2='Offer Statistics'!$K$2:$K$400),0)),"/")</f>
        <v>2</v>
      </c>
      <c r="AH30" s="64" cm="1">
        <f t="array" ref="AH30">IFERROR(INDEX('Offer Statistics'!P$2:P$400,MATCH(1,(CityU!$A30='Offer Statistics'!$B$2:$B$400)*(CityU!$AB$2='Offer Statistics'!$K$2:$K$400),0)),"/")</f>
        <v>1</v>
      </c>
      <c r="AI30" s="511"/>
      <c r="AJ30" s="36" cm="1">
        <f t="array" ref="AJ30">IFERROR(INDEX('Offer Statistics'!$I$2:$I$400,MATCH(1,(CityU!$A30='Offer Statistics'!$B$2:$B$400)*(CityU!$AB$2='Offer Statistics'!$C$2:$C$400),0)),"/")</f>
        <v>3535</v>
      </c>
      <c r="AK30" s="64" cm="1">
        <f t="array" ref="AK30">IFERROR(INDEX('Offer Statistics'!D$2:D$400,MATCH(1,(CityU!$A30='Offer Statistics'!$B$2:$B$400)*(CityU!$AB$2='Offer Statistics'!$C$2:$C$400),0)),"/")</f>
        <v>469</v>
      </c>
      <c r="AL30" s="64" cm="1">
        <f t="array" ref="AL30">IFERROR(INDEX('Offer Statistics'!E$2:E$400,MATCH(1,(CityU!$A30='Offer Statistics'!$B$2:$B$400)*(CityU!$AB$2='Offer Statistics'!$C$2:$C$400),0)),"/")</f>
        <v>562</v>
      </c>
      <c r="AM30" s="64" cm="1">
        <f t="array" ref="AM30">IFERROR(INDEX('Offer Statistics'!F$2:F$400,MATCH(1,(CityU!$A30='Offer Statistics'!$B$2:$B$400)*(CityU!$AB$2='Offer Statistics'!$C$2:$C$400),0)),"/")</f>
        <v>823</v>
      </c>
      <c r="AN30" s="64" cm="1">
        <f t="array" ref="AN30">IFERROR(INDEX('Offer Statistics'!G$2:G$400,MATCH(1,(CityU!$A30='Offer Statistics'!$B$2:$B$400)*(CityU!$AB$2='Offer Statistics'!$C$2:$C$400),0)),"/")</f>
        <v>941</v>
      </c>
      <c r="AO30" s="64" cm="1">
        <f t="array" ref="AO30">IFERROR(INDEX('Offer Statistics'!H$2:H$400,MATCH(1,(CityU!$A30='Offer Statistics'!$B$2:$B$400)*(CityU!$AB$2='Offer Statistics'!$C$2:$C$400),0)),"/")</f>
        <v>740</v>
      </c>
      <c r="AP30" s="15"/>
      <c r="AQ30" s="15" t="str">
        <f t="shared" si="0"/>
        <v>JS1106</v>
      </c>
      <c r="AR30" s="4"/>
      <c r="AS30" s="4"/>
      <c r="AT30" s="4"/>
      <c r="AU30" s="4"/>
      <c r="AV30" s="4"/>
      <c r="AW30" s="4"/>
      <c r="AX30" s="4"/>
      <c r="AY30" s="4"/>
      <c r="AZ30" s="4"/>
      <c r="BA30" s="4"/>
      <c r="BB30" s="4"/>
      <c r="BC30" s="4"/>
      <c r="BD30" s="4"/>
      <c r="BE30" s="4"/>
      <c r="BF30" s="4"/>
    </row>
    <row r="31" spans="1:58" s="2" customFormat="1" ht="18" customHeight="1">
      <c r="A31" s="15" t="str">
        <f>'Reference Score Calculation'!A42</f>
        <v>JS1108</v>
      </c>
      <c r="B31" s="4" t="str">
        <f>'Reference Score Calculation'!C42</f>
        <v>人文社會科學院</v>
      </c>
      <c r="C31" s="23" t="str">
        <f>'Reference Score Calculation'!D42</f>
        <v>社會科學學士(公共政策與政治)</v>
      </c>
      <c r="D31" s="4" t="str">
        <f>'Reference Score Calculation'!R42</f>
        <v>BSocScPPP</v>
      </c>
      <c r="E31" s="392" t="str">
        <f>'Reference Score Calculation'!AB42</f>
        <v>3C2X</v>
      </c>
      <c r="F31" s="386" t="str">
        <f>'Reference Score Calculation'!E42</f>
        <v>4C2X</v>
      </c>
      <c r="G31" s="6">
        <f>'Reference Score Calculation'!H42</f>
        <v>25</v>
      </c>
      <c r="H31" s="6">
        <f>'Reference Score Calculation'!I42</f>
        <v>24.5</v>
      </c>
      <c r="I31" s="45">
        <f>計分版!J65</f>
        <v>2.8499999999999999E-9</v>
      </c>
      <c r="J31" s="185">
        <f t="shared" si="1"/>
        <v>-24.999999997149999</v>
      </c>
      <c r="K31" s="190">
        <f t="shared" si="2"/>
        <v>-8771929823.5614033</v>
      </c>
      <c r="L31" s="36">
        <f>'Reference Score Calculation'!T42</f>
        <v>63</v>
      </c>
      <c r="M31" s="86">
        <f>入學要求!Z51</f>
        <v>0</v>
      </c>
      <c r="N31" s="512"/>
      <c r="O31" s="166">
        <f>入學要求!L51</f>
        <v>3</v>
      </c>
      <c r="P31" s="166">
        <f>入學要求!M51</f>
        <v>3</v>
      </c>
      <c r="Q31" s="166">
        <f>入學要求!N51</f>
        <v>2</v>
      </c>
      <c r="R31" s="166">
        <f>入學要求!O51</f>
        <v>1</v>
      </c>
      <c r="S31" s="166">
        <f>入學要求!P51</f>
        <v>3</v>
      </c>
      <c r="T31" s="166">
        <f>入學要求!Q51</f>
        <v>3</v>
      </c>
      <c r="U31" s="256">
        <f>入學要求!S51</f>
        <v>0</v>
      </c>
      <c r="V31" s="256">
        <f>入學要求!T51</f>
        <v>0</v>
      </c>
      <c r="W31" s="256">
        <f>入學要求!U51</f>
        <v>0</v>
      </c>
      <c r="X31" s="256">
        <f>入學要求!V51</f>
        <v>0</v>
      </c>
      <c r="Y31" s="256">
        <f>入學要求!W51</f>
        <v>0</v>
      </c>
      <c r="Z31" s="256">
        <f>入學要求!X51</f>
        <v>0</v>
      </c>
      <c r="AA31" s="44">
        <f t="shared" si="3"/>
        <v>6.29</v>
      </c>
      <c r="AB31" s="510"/>
      <c r="AC31" s="36" cm="1">
        <f t="array" ref="AC31">IFERROR(INDEX('Offer Statistics'!$Q$2:$Q$400,MATCH(1,(CityU!$A31='Offer Statistics'!$B$2:$B$400)*(CityU!$AB$2='Offer Statistics'!$K$2:$K$400),0)),"/")</f>
        <v>58</v>
      </c>
      <c r="AD31" s="64" cm="1">
        <f t="array" ref="AD31">IFERROR(INDEX('Offer Statistics'!L$2:L$400,MATCH(1,(CityU!$A31='Offer Statistics'!$B$2:$B$400)*(CityU!$AB$2='Offer Statistics'!$K$2:$K$400),0)),"/")</f>
        <v>48</v>
      </c>
      <c r="AE31" s="64" cm="1">
        <f t="array" ref="AE31">IFERROR(INDEX('Offer Statistics'!M$2:M$400,MATCH(1,(CityU!$A31='Offer Statistics'!$B$2:$B$400)*(CityU!$AB$2='Offer Statistics'!$K$2:$K$400),0)),"/")</f>
        <v>8</v>
      </c>
      <c r="AF31" s="64" cm="1">
        <f t="array" ref="AF31">IFERROR(INDEX('Offer Statistics'!N$2:N$400,MATCH(1,(CityU!$A31='Offer Statistics'!$B$2:$B$400)*(CityU!$AB$2='Offer Statistics'!$K$2:$K$400),0)),"/")</f>
        <v>2</v>
      </c>
      <c r="AG31" s="64" cm="1">
        <f t="array" ref="AG31">IFERROR(INDEX('Offer Statistics'!O$2:O$400,MATCH(1,(CityU!$A31='Offer Statistics'!$B$2:$B$400)*(CityU!$AB$2='Offer Statistics'!$K$2:$K$400),0)),"/")</f>
        <v>0</v>
      </c>
      <c r="AH31" s="64" cm="1">
        <f t="array" ref="AH31">IFERROR(INDEX('Offer Statistics'!P$2:P$400,MATCH(1,(CityU!$A31='Offer Statistics'!$B$2:$B$400)*(CityU!$AB$2='Offer Statistics'!$K$2:$K$400),0)),"/")</f>
        <v>0</v>
      </c>
      <c r="AI31" s="511"/>
      <c r="AJ31" s="36" cm="1">
        <f t="array" ref="AJ31">IFERROR(INDEX('Offer Statistics'!$I$2:$I$400,MATCH(1,(CityU!$A31='Offer Statistics'!$B$2:$B$400)*(CityU!$AB$2='Offer Statistics'!$C$2:$C$400),0)),"/")</f>
        <v>1758</v>
      </c>
      <c r="AK31" s="64" cm="1">
        <f t="array" ref="AK31">IFERROR(INDEX('Offer Statistics'!D$2:D$400,MATCH(1,(CityU!$A31='Offer Statistics'!$B$2:$B$400)*(CityU!$AB$2='Offer Statistics'!$C$2:$C$400),0)),"/")</f>
        <v>302</v>
      </c>
      <c r="AL31" s="64" cm="1">
        <f t="array" ref="AL31">IFERROR(INDEX('Offer Statistics'!E$2:E$400,MATCH(1,(CityU!$A31='Offer Statistics'!$B$2:$B$400)*(CityU!$AB$2='Offer Statistics'!$C$2:$C$400),0)),"/")</f>
        <v>271</v>
      </c>
      <c r="AM31" s="64" cm="1">
        <f t="array" ref="AM31">IFERROR(INDEX('Offer Statistics'!F$2:F$400,MATCH(1,(CityU!$A31='Offer Statistics'!$B$2:$B$400)*(CityU!$AB$2='Offer Statistics'!$C$2:$C$400),0)),"/")</f>
        <v>378</v>
      </c>
      <c r="AN31" s="64" cm="1">
        <f t="array" ref="AN31">IFERROR(INDEX('Offer Statistics'!G$2:G$400,MATCH(1,(CityU!$A31='Offer Statistics'!$B$2:$B$400)*(CityU!$AB$2='Offer Statistics'!$C$2:$C$400),0)),"/")</f>
        <v>447</v>
      </c>
      <c r="AO31" s="64" cm="1">
        <f t="array" ref="AO31">IFERROR(INDEX('Offer Statistics'!H$2:H$400,MATCH(1,(CityU!$A31='Offer Statistics'!$B$2:$B$400)*(CityU!$AB$2='Offer Statistics'!$C$2:$C$400),0)),"/")</f>
        <v>360</v>
      </c>
      <c r="AP31" s="15"/>
      <c r="AQ31" s="15" t="str">
        <f t="shared" si="0"/>
        <v>JS1108</v>
      </c>
      <c r="AR31" s="4"/>
      <c r="AS31" s="4"/>
      <c r="AT31" s="4"/>
      <c r="AU31" s="4"/>
      <c r="AV31" s="4"/>
      <c r="AW31" s="4"/>
      <c r="AX31" s="4"/>
      <c r="AY31" s="4"/>
      <c r="AZ31" s="4"/>
      <c r="BA31" s="4"/>
      <c r="BB31" s="4"/>
      <c r="BC31" s="4"/>
      <c r="BD31" s="4"/>
      <c r="BE31" s="4"/>
      <c r="BF31" s="4"/>
    </row>
    <row r="32" spans="1:58" s="2" customFormat="1" ht="18" customHeight="1">
      <c r="A32" s="15" t="str">
        <f>'Reference Score Calculation'!A43</f>
        <v>JS1109</v>
      </c>
      <c r="B32" s="4" t="str">
        <f>'Reference Score Calculation'!C43</f>
        <v>人文社會科學院</v>
      </c>
      <c r="C32" s="23" t="str">
        <f>'Reference Score Calculation'!D43</f>
        <v>文學士(語言學及語言應用)</v>
      </c>
      <c r="D32" s="4" t="str">
        <f>'Reference Score Calculation'!R43</f>
        <v>BALLA</v>
      </c>
      <c r="E32" s="392" t="str">
        <f>'Reference Score Calculation'!AB43</f>
        <v>3C2X</v>
      </c>
      <c r="F32" s="386" t="str">
        <f>'Reference Score Calculation'!E43</f>
        <v>4C2X</v>
      </c>
      <c r="G32" s="6">
        <f>'Reference Score Calculation'!H43</f>
        <v>32</v>
      </c>
      <c r="H32" s="6">
        <f>'Reference Score Calculation'!I43</f>
        <v>31.5</v>
      </c>
      <c r="I32" s="45">
        <f>計分版!J66</f>
        <v>3.3000000000000006E-9</v>
      </c>
      <c r="J32" s="185">
        <f t="shared" si="1"/>
        <v>-31.999999996700002</v>
      </c>
      <c r="K32" s="190">
        <f t="shared" si="2"/>
        <v>-9696969695.969696</v>
      </c>
      <c r="L32" s="36">
        <f>'Reference Score Calculation'!T43</f>
        <v>25</v>
      </c>
      <c r="M32" s="86">
        <f>入學要求!Z52</f>
        <v>0</v>
      </c>
      <c r="N32" s="512"/>
      <c r="O32" s="166">
        <f>入學要求!L52</f>
        <v>3</v>
      </c>
      <c r="P32" s="166">
        <f>入學要求!M52</f>
        <v>3</v>
      </c>
      <c r="Q32" s="166">
        <f>入學要求!N52</f>
        <v>2</v>
      </c>
      <c r="R32" s="166">
        <f>入學要求!O52</f>
        <v>1</v>
      </c>
      <c r="S32" s="166">
        <f>入學要求!P52</f>
        <v>3</v>
      </c>
      <c r="T32" s="166">
        <f>入學要求!Q52</f>
        <v>3</v>
      </c>
      <c r="U32" s="256">
        <f>入學要求!S52</f>
        <v>0</v>
      </c>
      <c r="V32" s="256">
        <f>入學要求!T52</f>
        <v>0</v>
      </c>
      <c r="W32" s="256">
        <f>入學要求!U52</f>
        <v>0</v>
      </c>
      <c r="X32" s="256">
        <f>入學要求!V52</f>
        <v>0</v>
      </c>
      <c r="Y32" s="256">
        <f>入學要求!W52</f>
        <v>0</v>
      </c>
      <c r="Z32" s="256">
        <f>入學要求!X52</f>
        <v>0</v>
      </c>
      <c r="AA32" s="44">
        <f t="shared" si="3"/>
        <v>5.79</v>
      </c>
      <c r="AB32" s="510"/>
      <c r="AC32" s="36" cm="1">
        <f t="array" ref="AC32">IFERROR(INDEX('Offer Statistics'!$Q$2:$Q$400,MATCH(1,(CityU!$A32='Offer Statistics'!$B$2:$B$400)*(CityU!$AB$2='Offer Statistics'!$K$2:$K$400),0)),"/")</f>
        <v>30</v>
      </c>
      <c r="AD32" s="64" cm="1">
        <f t="array" ref="AD32">IFERROR(INDEX('Offer Statistics'!L$2:L$400,MATCH(1,(CityU!$A32='Offer Statistics'!$B$2:$B$400)*(CityU!$AB$2='Offer Statistics'!$K$2:$K$400),0)),"/")</f>
        <v>24</v>
      </c>
      <c r="AE32" s="64" cm="1">
        <f t="array" ref="AE32">IFERROR(INDEX('Offer Statistics'!M$2:M$400,MATCH(1,(CityU!$A32='Offer Statistics'!$B$2:$B$400)*(CityU!$AB$2='Offer Statistics'!$K$2:$K$400),0)),"/")</f>
        <v>5</v>
      </c>
      <c r="AF32" s="64" cm="1">
        <f t="array" ref="AF32">IFERROR(INDEX('Offer Statistics'!N$2:N$400,MATCH(1,(CityU!$A32='Offer Statistics'!$B$2:$B$400)*(CityU!$AB$2='Offer Statistics'!$K$2:$K$400),0)),"/")</f>
        <v>1</v>
      </c>
      <c r="AG32" s="64" cm="1">
        <f t="array" ref="AG32">IFERROR(INDEX('Offer Statistics'!O$2:O$400,MATCH(1,(CityU!$A32='Offer Statistics'!$B$2:$B$400)*(CityU!$AB$2='Offer Statistics'!$K$2:$K$400),0)),"/")</f>
        <v>0</v>
      </c>
      <c r="AH32" s="64" cm="1">
        <f t="array" ref="AH32">IFERROR(INDEX('Offer Statistics'!P$2:P$400,MATCH(1,(CityU!$A32='Offer Statistics'!$B$2:$B$400)*(CityU!$AB$2='Offer Statistics'!$K$2:$K$400),0)),"/")</f>
        <v>0</v>
      </c>
      <c r="AI32" s="511"/>
      <c r="AJ32" s="36" cm="1">
        <f t="array" ref="AJ32">IFERROR(INDEX('Offer Statistics'!$I$2:$I$400,MATCH(1,(CityU!$A32='Offer Statistics'!$B$2:$B$400)*(CityU!$AB$2='Offer Statistics'!$C$2:$C$400),0)),"/")</f>
        <v>1448</v>
      </c>
      <c r="AK32" s="64" cm="1">
        <f t="array" ref="AK32">IFERROR(INDEX('Offer Statistics'!D$2:D$400,MATCH(1,(CityU!$A32='Offer Statistics'!$B$2:$B$400)*(CityU!$AB$2='Offer Statistics'!$C$2:$C$400),0)),"/")</f>
        <v>139</v>
      </c>
      <c r="AL32" s="64" cm="1">
        <f t="array" ref="AL32">IFERROR(INDEX('Offer Statistics'!E$2:E$400,MATCH(1,(CityU!$A32='Offer Statistics'!$B$2:$B$400)*(CityU!$AB$2='Offer Statistics'!$C$2:$C$400),0)),"/")</f>
        <v>196</v>
      </c>
      <c r="AM32" s="64" cm="1">
        <f t="array" ref="AM32">IFERROR(INDEX('Offer Statistics'!F$2:F$400,MATCH(1,(CityU!$A32='Offer Statistics'!$B$2:$B$400)*(CityU!$AB$2='Offer Statistics'!$C$2:$C$400),0)),"/")</f>
        <v>340</v>
      </c>
      <c r="AN32" s="64" cm="1">
        <f t="array" ref="AN32">IFERROR(INDEX('Offer Statistics'!G$2:G$400,MATCH(1,(CityU!$A32='Offer Statistics'!$B$2:$B$400)*(CityU!$AB$2='Offer Statistics'!$C$2:$C$400),0)),"/")</f>
        <v>414</v>
      </c>
      <c r="AO32" s="64" cm="1">
        <f t="array" ref="AO32">IFERROR(INDEX('Offer Statistics'!H$2:H$400,MATCH(1,(CityU!$A32='Offer Statistics'!$B$2:$B$400)*(CityU!$AB$2='Offer Statistics'!$C$2:$C$400),0)),"/")</f>
        <v>359</v>
      </c>
      <c r="AP32" s="15"/>
      <c r="AQ32" s="15" t="str">
        <f t="shared" si="0"/>
        <v>JS1109</v>
      </c>
      <c r="AR32" s="4"/>
      <c r="AS32" s="4"/>
      <c r="AT32" s="4"/>
      <c r="AU32" s="4"/>
      <c r="AV32" s="4"/>
      <c r="AW32" s="4"/>
      <c r="AX32" s="4"/>
      <c r="AY32" s="4"/>
      <c r="AZ32" s="4"/>
      <c r="BA32" s="4"/>
      <c r="BB32" s="4"/>
      <c r="BC32" s="4"/>
      <c r="BD32" s="4"/>
      <c r="BE32" s="4"/>
      <c r="BF32" s="4"/>
    </row>
    <row r="33" spans="1:58" s="2" customFormat="1" ht="18" customHeight="1">
      <c r="A33" s="15" t="str">
        <f>'Reference Score Calculation'!A44</f>
        <v>JS1110</v>
      </c>
      <c r="B33" s="4" t="str">
        <f>'Reference Score Calculation'!C44</f>
        <v>人文社會科學院</v>
      </c>
      <c r="C33" s="23" t="str">
        <f>'Reference Score Calculation'!D44</f>
        <v>社會及行為科學系 [選項: 社會科學學士(犯罪學及社會學)、社會科學學士(心理學)、社會科學學士(社會工作)]</v>
      </c>
      <c r="D33" s="4" t="str">
        <f>'Reference Score Calculation'!R44</f>
        <v>SS</v>
      </c>
      <c r="E33" s="392" t="str">
        <f>'Reference Score Calculation'!AB44</f>
        <v>Best 4</v>
      </c>
      <c r="F33" s="386" t="str">
        <f>'Reference Score Calculation'!E44</f>
        <v>Best 5</v>
      </c>
      <c r="G33" s="6">
        <f>'Reference Score Calculation'!H44</f>
        <v>26</v>
      </c>
      <c r="H33" s="6">
        <f>'Reference Score Calculation'!I44</f>
        <v>26</v>
      </c>
      <c r="I33" s="45">
        <f>計分版!J67</f>
        <v>3.7500000000000005E-9</v>
      </c>
      <c r="J33" s="185">
        <f t="shared" si="1"/>
        <v>-25.999999996250001</v>
      </c>
      <c r="K33" s="190">
        <f t="shared" si="2"/>
        <v>-6933333332.333333</v>
      </c>
      <c r="L33" s="36">
        <f>'Reference Score Calculation'!T44</f>
        <v>10</v>
      </c>
      <c r="M33" s="86">
        <f>入學要求!Z53</f>
        <v>0</v>
      </c>
      <c r="N33" s="512"/>
      <c r="O33" s="166">
        <f>入學要求!L53</f>
        <v>3</v>
      </c>
      <c r="P33" s="166">
        <f>入學要求!M53</f>
        <v>3</v>
      </c>
      <c r="Q33" s="166">
        <f>入學要求!N53</f>
        <v>2</v>
      </c>
      <c r="R33" s="166">
        <f>入學要求!O53</f>
        <v>1</v>
      </c>
      <c r="S33" s="166">
        <f>入學要求!P53</f>
        <v>3</v>
      </c>
      <c r="T33" s="166">
        <f>入學要求!Q53</f>
        <v>3</v>
      </c>
      <c r="U33" s="256">
        <f>入學要求!S53</f>
        <v>0</v>
      </c>
      <c r="V33" s="256">
        <f>入學要求!T53</f>
        <v>0</v>
      </c>
      <c r="W33" s="256">
        <f>入學要求!U53</f>
        <v>0</v>
      </c>
      <c r="X33" s="256">
        <f>入學要求!V53</f>
        <v>0</v>
      </c>
      <c r="Y33" s="256">
        <f>入學要求!W53</f>
        <v>0</v>
      </c>
      <c r="Z33" s="256">
        <f>入學要求!X53</f>
        <v>0</v>
      </c>
      <c r="AA33" s="44">
        <f t="shared" si="3"/>
        <v>30.27</v>
      </c>
      <c r="AB33" s="510"/>
      <c r="AC33" s="36" cm="1">
        <f t="array" ref="AC33">IFERROR(INDEX('Offer Statistics'!$Q$2:$Q$400,MATCH(1,(CityU!$A33='Offer Statistics'!$B$2:$B$400)*(CityU!$AB$2='Offer Statistics'!$K$2:$K$400),0)),"/")</f>
        <v>11</v>
      </c>
      <c r="AD33" s="64" cm="1">
        <f t="array" ref="AD33">IFERROR(INDEX('Offer Statistics'!L$2:L$400,MATCH(1,(CityU!$A33='Offer Statistics'!$B$2:$B$400)*(CityU!$AB$2='Offer Statistics'!$K$2:$K$400),0)),"/")</f>
        <v>11</v>
      </c>
      <c r="AE33" s="64" cm="1">
        <f t="array" ref="AE33">IFERROR(INDEX('Offer Statistics'!M$2:M$400,MATCH(1,(CityU!$A33='Offer Statistics'!$B$2:$B$400)*(CityU!$AB$2='Offer Statistics'!$K$2:$K$400),0)),"/")</f>
        <v>0</v>
      </c>
      <c r="AF33" s="64" cm="1">
        <f t="array" ref="AF33">IFERROR(INDEX('Offer Statistics'!N$2:N$400,MATCH(1,(CityU!$A33='Offer Statistics'!$B$2:$B$400)*(CityU!$AB$2='Offer Statistics'!$K$2:$K$400),0)),"/")</f>
        <v>0</v>
      </c>
      <c r="AG33" s="64" cm="1">
        <f t="array" ref="AG33">IFERROR(INDEX('Offer Statistics'!O$2:O$400,MATCH(1,(CityU!$A33='Offer Statistics'!$B$2:$B$400)*(CityU!$AB$2='Offer Statistics'!$K$2:$K$400),0)),"/")</f>
        <v>0</v>
      </c>
      <c r="AH33" s="64" cm="1">
        <f t="array" ref="AH33">IFERROR(INDEX('Offer Statistics'!P$2:P$400,MATCH(1,(CityU!$A33='Offer Statistics'!$B$2:$B$400)*(CityU!$AB$2='Offer Statistics'!$K$2:$K$400),0)),"/")</f>
        <v>0</v>
      </c>
      <c r="AI33" s="511"/>
      <c r="AJ33" s="36" cm="1">
        <f t="array" ref="AJ33">IFERROR(INDEX('Offer Statistics'!$I$2:$I$400,MATCH(1,(CityU!$A33='Offer Statistics'!$B$2:$B$400)*(CityU!$AB$2='Offer Statistics'!$C$2:$C$400),0)),"/")</f>
        <v>3821</v>
      </c>
      <c r="AK33" s="64" cm="1">
        <f t="array" ref="AK33">IFERROR(INDEX('Offer Statistics'!D$2:D$400,MATCH(1,(CityU!$A33='Offer Statistics'!$B$2:$B$400)*(CityU!$AB$2='Offer Statistics'!$C$2:$C$400),0)),"/")</f>
        <v>333</v>
      </c>
      <c r="AL33" s="64" cm="1">
        <f t="array" ref="AL33">IFERROR(INDEX('Offer Statistics'!E$2:E$400,MATCH(1,(CityU!$A33='Offer Statistics'!$B$2:$B$400)*(CityU!$AB$2='Offer Statistics'!$C$2:$C$400),0)),"/")</f>
        <v>532</v>
      </c>
      <c r="AM33" s="64" cm="1">
        <f t="array" ref="AM33">IFERROR(INDEX('Offer Statistics'!F$2:F$400,MATCH(1,(CityU!$A33='Offer Statistics'!$B$2:$B$400)*(CityU!$AB$2='Offer Statistics'!$C$2:$C$400),0)),"/")</f>
        <v>925</v>
      </c>
      <c r="AN33" s="64" cm="1">
        <f t="array" ref="AN33">IFERROR(INDEX('Offer Statistics'!G$2:G$400,MATCH(1,(CityU!$A33='Offer Statistics'!$B$2:$B$400)*(CityU!$AB$2='Offer Statistics'!$C$2:$C$400),0)),"/")</f>
        <v>1160</v>
      </c>
      <c r="AO33" s="64" cm="1">
        <f t="array" ref="AO33">IFERROR(INDEX('Offer Statistics'!H$2:H$400,MATCH(1,(CityU!$A33='Offer Statistics'!$B$2:$B$400)*(CityU!$AB$2='Offer Statistics'!$C$2:$C$400),0)),"/")</f>
        <v>871</v>
      </c>
      <c r="AP33" s="15"/>
      <c r="AQ33" s="15" t="str">
        <f t="shared" si="0"/>
        <v>JS1110</v>
      </c>
      <c r="AR33" s="4"/>
      <c r="AS33" s="4"/>
      <c r="AT33" s="4"/>
      <c r="AU33" s="4"/>
      <c r="AV33" s="4"/>
      <c r="AW33" s="4"/>
      <c r="AX33" s="4"/>
      <c r="AY33" s="4"/>
      <c r="AZ33" s="4"/>
      <c r="BA33" s="4"/>
      <c r="BB33" s="4"/>
      <c r="BC33" s="4"/>
      <c r="BD33" s="4"/>
      <c r="BE33" s="4"/>
      <c r="BF33" s="4"/>
    </row>
    <row r="34" spans="1:58" s="2" customFormat="1" ht="18" customHeight="1">
      <c r="A34" s="15" t="str">
        <f>'Reference Score Calculation'!A45</f>
        <v>JS1111</v>
      </c>
      <c r="B34" s="4" t="str">
        <f>'Reference Score Calculation'!C45</f>
        <v>人文社會科學院</v>
      </c>
      <c r="C34" s="23" t="str">
        <f>'Reference Score Calculation'!D45</f>
        <v>社會科學學士(犯罪學及社會學)</v>
      </c>
      <c r="D34" s="4" t="str">
        <f>'Reference Score Calculation'!R45</f>
        <v>BSocScCRSO</v>
      </c>
      <c r="E34" s="392" t="str">
        <f>'Reference Score Calculation'!AB45</f>
        <v>Best 4</v>
      </c>
      <c r="F34" s="386" t="str">
        <f>'Reference Score Calculation'!E45</f>
        <v>Best 5</v>
      </c>
      <c r="G34" s="6">
        <f>'Reference Score Calculation'!H45</f>
        <v>25</v>
      </c>
      <c r="H34" s="6">
        <f>'Reference Score Calculation'!I45</f>
        <v>25</v>
      </c>
      <c r="I34" s="45">
        <f>計分版!J68</f>
        <v>3.7500000000000005E-9</v>
      </c>
      <c r="J34" s="185">
        <f t="shared" si="1"/>
        <v>-24.999999996250001</v>
      </c>
      <c r="K34" s="190">
        <f t="shared" si="2"/>
        <v>-6666666665.666666</v>
      </c>
      <c r="L34" s="36">
        <f>'Reference Score Calculation'!T45</f>
        <v>20</v>
      </c>
      <c r="M34" s="86">
        <f>入學要求!Z54</f>
        <v>0</v>
      </c>
      <c r="N34" s="512"/>
      <c r="O34" s="166">
        <f>入學要求!L54</f>
        <v>3</v>
      </c>
      <c r="P34" s="166">
        <f>入學要求!M54</f>
        <v>3</v>
      </c>
      <c r="Q34" s="166">
        <f>入學要求!N54</f>
        <v>2</v>
      </c>
      <c r="R34" s="166">
        <f>入學要求!O54</f>
        <v>1</v>
      </c>
      <c r="S34" s="166">
        <f>入學要求!P54</f>
        <v>3</v>
      </c>
      <c r="T34" s="166">
        <f>入學要求!Q54</f>
        <v>3</v>
      </c>
      <c r="U34" s="256">
        <f>入學要求!S54</f>
        <v>0</v>
      </c>
      <c r="V34" s="256">
        <f>入學要求!T54</f>
        <v>0</v>
      </c>
      <c r="W34" s="256">
        <f>入學要求!U54</f>
        <v>0</v>
      </c>
      <c r="X34" s="256">
        <f>入學要求!V54</f>
        <v>0</v>
      </c>
      <c r="Y34" s="256">
        <f>入學要求!W54</f>
        <v>0</v>
      </c>
      <c r="Z34" s="256">
        <f>入學要求!X54</f>
        <v>0</v>
      </c>
      <c r="AA34" s="44">
        <f t="shared" si="3"/>
        <v>12.47</v>
      </c>
      <c r="AB34" s="510"/>
      <c r="AC34" s="36" cm="1">
        <f t="array" ref="AC34">IFERROR(INDEX('Offer Statistics'!$Q$2:$Q$400,MATCH(1,(CityU!$A34='Offer Statistics'!$B$2:$B$400)*(CityU!$AB$2='Offer Statistics'!$K$2:$K$400),0)),"/")</f>
        <v>26</v>
      </c>
      <c r="AD34" s="64" cm="1">
        <f t="array" ref="AD34">IFERROR(INDEX('Offer Statistics'!L$2:L$400,MATCH(1,(CityU!$A34='Offer Statistics'!$B$2:$B$400)*(CityU!$AB$2='Offer Statistics'!$K$2:$K$400),0)),"/")</f>
        <v>19</v>
      </c>
      <c r="AE34" s="64" cm="1">
        <f t="array" ref="AE34">IFERROR(INDEX('Offer Statistics'!M$2:M$400,MATCH(1,(CityU!$A34='Offer Statistics'!$B$2:$B$400)*(CityU!$AB$2='Offer Statistics'!$K$2:$K$400),0)),"/")</f>
        <v>5</v>
      </c>
      <c r="AF34" s="64" cm="1">
        <f t="array" ref="AF34">IFERROR(INDEX('Offer Statistics'!N$2:N$400,MATCH(1,(CityU!$A34='Offer Statistics'!$B$2:$B$400)*(CityU!$AB$2='Offer Statistics'!$K$2:$K$400),0)),"/")</f>
        <v>0</v>
      </c>
      <c r="AG34" s="64" cm="1">
        <f t="array" ref="AG34">IFERROR(INDEX('Offer Statistics'!O$2:O$400,MATCH(1,(CityU!$A34='Offer Statistics'!$B$2:$B$400)*(CityU!$AB$2='Offer Statistics'!$K$2:$K$400),0)),"/")</f>
        <v>1</v>
      </c>
      <c r="AH34" s="64" cm="1">
        <f t="array" ref="AH34">IFERROR(INDEX('Offer Statistics'!P$2:P$400,MATCH(1,(CityU!$A34='Offer Statistics'!$B$2:$B$400)*(CityU!$AB$2='Offer Statistics'!$K$2:$K$400),0)),"/")</f>
        <v>1</v>
      </c>
      <c r="AI34" s="511"/>
      <c r="AJ34" s="36" cm="1">
        <f t="array" ref="AJ34">IFERROR(INDEX('Offer Statistics'!$I$2:$I$400,MATCH(1,(CityU!$A34='Offer Statistics'!$B$2:$B$400)*(CityU!$AB$2='Offer Statistics'!$C$2:$C$400),0)),"/")</f>
        <v>3428</v>
      </c>
      <c r="AK34" s="64" cm="1">
        <f t="array" ref="AK34">IFERROR(INDEX('Offer Statistics'!D$2:D$400,MATCH(1,(CityU!$A34='Offer Statistics'!$B$2:$B$400)*(CityU!$AB$2='Offer Statistics'!$C$2:$C$400),0)),"/")</f>
        <v>237</v>
      </c>
      <c r="AL34" s="64" cm="1">
        <f t="array" ref="AL34">IFERROR(INDEX('Offer Statistics'!E$2:E$400,MATCH(1,(CityU!$A34='Offer Statistics'!$B$2:$B$400)*(CityU!$AB$2='Offer Statistics'!$C$2:$C$400),0)),"/")</f>
        <v>404</v>
      </c>
      <c r="AM34" s="64" cm="1">
        <f t="array" ref="AM34">IFERROR(INDEX('Offer Statistics'!F$2:F$400,MATCH(1,(CityU!$A34='Offer Statistics'!$B$2:$B$400)*(CityU!$AB$2='Offer Statistics'!$C$2:$C$400),0)),"/")</f>
        <v>806</v>
      </c>
      <c r="AN34" s="64" cm="1">
        <f t="array" ref="AN34">IFERROR(INDEX('Offer Statistics'!G$2:G$400,MATCH(1,(CityU!$A34='Offer Statistics'!$B$2:$B$400)*(CityU!$AB$2='Offer Statistics'!$C$2:$C$400),0)),"/")</f>
        <v>1091</v>
      </c>
      <c r="AO34" s="64" cm="1">
        <f t="array" ref="AO34">IFERROR(INDEX('Offer Statistics'!H$2:H$400,MATCH(1,(CityU!$A34='Offer Statistics'!$B$2:$B$400)*(CityU!$AB$2='Offer Statistics'!$C$2:$C$400),0)),"/")</f>
        <v>890</v>
      </c>
      <c r="AP34" s="15"/>
      <c r="AQ34" s="15" t="str">
        <f t="shared" si="0"/>
        <v>JS1111</v>
      </c>
      <c r="AR34" s="4"/>
      <c r="AS34" s="4"/>
      <c r="AT34" s="4"/>
      <c r="AU34" s="4"/>
      <c r="AV34" s="4"/>
      <c r="AW34" s="4"/>
      <c r="AX34" s="4"/>
      <c r="AY34" s="4"/>
      <c r="AZ34" s="4"/>
      <c r="BA34" s="4"/>
      <c r="BB34" s="4"/>
      <c r="BC34" s="4"/>
      <c r="BD34" s="4"/>
      <c r="BE34" s="4"/>
      <c r="BF34" s="4"/>
    </row>
    <row r="35" spans="1:58" s="2" customFormat="1" ht="18" customHeight="1">
      <c r="A35" s="15" t="str">
        <f>'Reference Score Calculation'!A46</f>
        <v>JS1112</v>
      </c>
      <c r="B35" s="4" t="str">
        <f>'Reference Score Calculation'!C46</f>
        <v>人文社會科學院</v>
      </c>
      <c r="C35" s="23" t="str">
        <f>'Reference Score Calculation'!D46</f>
        <v>社會科學學士(心理學)</v>
      </c>
      <c r="D35" s="4" t="str">
        <f>'Reference Score Calculation'!R46</f>
        <v>BSocScPSY</v>
      </c>
      <c r="E35" s="392" t="str">
        <f>'Reference Score Calculation'!AB46</f>
        <v>Best 4</v>
      </c>
      <c r="F35" s="386" t="str">
        <f>'Reference Score Calculation'!E46</f>
        <v>Best 5</v>
      </c>
      <c r="G35" s="6">
        <f>'Reference Score Calculation'!H46</f>
        <v>26</v>
      </c>
      <c r="H35" s="6">
        <f>'Reference Score Calculation'!I46</f>
        <v>26</v>
      </c>
      <c r="I35" s="45">
        <f>計分版!J69</f>
        <v>3.7500000000000005E-9</v>
      </c>
      <c r="J35" s="185">
        <f t="shared" si="1"/>
        <v>-25.999999996250001</v>
      </c>
      <c r="K35" s="190">
        <f t="shared" si="2"/>
        <v>-6933333332.333333</v>
      </c>
      <c r="L35" s="36">
        <f>'Reference Score Calculation'!T46</f>
        <v>26</v>
      </c>
      <c r="M35" s="86">
        <f>入學要求!Z55</f>
        <v>0</v>
      </c>
      <c r="N35" s="512"/>
      <c r="O35" s="166">
        <f>入學要求!L55</f>
        <v>3</v>
      </c>
      <c r="P35" s="166">
        <f>入學要求!M55</f>
        <v>3</v>
      </c>
      <c r="Q35" s="166">
        <f>入學要求!N55</f>
        <v>2</v>
      </c>
      <c r="R35" s="166">
        <f>入學要求!O55</f>
        <v>1</v>
      </c>
      <c r="S35" s="166">
        <f>入學要求!P55</f>
        <v>3</v>
      </c>
      <c r="T35" s="166">
        <f>入學要求!Q55</f>
        <v>3</v>
      </c>
      <c r="U35" s="256">
        <f>入學要求!S55</f>
        <v>0</v>
      </c>
      <c r="V35" s="256">
        <f>入學要求!T55</f>
        <v>0</v>
      </c>
      <c r="W35" s="256">
        <f>入學要求!U55</f>
        <v>0</v>
      </c>
      <c r="X35" s="256">
        <f>入學要求!V55</f>
        <v>0</v>
      </c>
      <c r="Y35" s="256">
        <f>入學要求!W55</f>
        <v>0</v>
      </c>
      <c r="Z35" s="256">
        <f>入學要求!X55</f>
        <v>0</v>
      </c>
      <c r="AA35" s="44">
        <f t="shared" si="3"/>
        <v>13.75</v>
      </c>
      <c r="AB35" s="510"/>
      <c r="AC35" s="36" cm="1">
        <f t="array" ref="AC35">IFERROR(INDEX('Offer Statistics'!$Q$2:$Q$400,MATCH(1,(CityU!$A35='Offer Statistics'!$B$2:$B$400)*(CityU!$AB$2='Offer Statistics'!$K$2:$K$400),0)),"/")</f>
        <v>27</v>
      </c>
      <c r="AD35" s="64" cm="1">
        <f t="array" ref="AD35">IFERROR(INDEX('Offer Statistics'!L$2:L$400,MATCH(1,(CityU!$A35='Offer Statistics'!$B$2:$B$400)*(CityU!$AB$2='Offer Statistics'!$K$2:$K$400),0)),"/")</f>
        <v>20</v>
      </c>
      <c r="AE35" s="64" cm="1">
        <f t="array" ref="AE35">IFERROR(INDEX('Offer Statistics'!M$2:M$400,MATCH(1,(CityU!$A35='Offer Statistics'!$B$2:$B$400)*(CityU!$AB$2='Offer Statistics'!$K$2:$K$400),0)),"/")</f>
        <v>4</v>
      </c>
      <c r="AF35" s="64" cm="1">
        <f t="array" ref="AF35">IFERROR(INDEX('Offer Statistics'!N$2:N$400,MATCH(1,(CityU!$A35='Offer Statistics'!$B$2:$B$400)*(CityU!$AB$2='Offer Statistics'!$K$2:$K$400),0)),"/")</f>
        <v>1</v>
      </c>
      <c r="AG35" s="64" cm="1">
        <f t="array" ref="AG35">IFERROR(INDEX('Offer Statistics'!O$2:O$400,MATCH(1,(CityU!$A35='Offer Statistics'!$B$2:$B$400)*(CityU!$AB$2='Offer Statistics'!$K$2:$K$400),0)),"/")</f>
        <v>2</v>
      </c>
      <c r="AH35" s="64" cm="1">
        <f t="array" ref="AH35">IFERROR(INDEX('Offer Statistics'!P$2:P$400,MATCH(1,(CityU!$A35='Offer Statistics'!$B$2:$B$400)*(CityU!$AB$2='Offer Statistics'!$K$2:$K$400),0)),"/")</f>
        <v>0</v>
      </c>
      <c r="AI35" s="511"/>
      <c r="AJ35" s="36" cm="1">
        <f t="array" ref="AJ35">IFERROR(INDEX('Offer Statistics'!$I$2:$I$400,MATCH(1,(CityU!$A35='Offer Statistics'!$B$2:$B$400)*(CityU!$AB$2='Offer Statistics'!$C$2:$C$400),0)),"/")</f>
        <v>3975</v>
      </c>
      <c r="AK35" s="64" cm="1">
        <f t="array" ref="AK35">IFERROR(INDEX('Offer Statistics'!D$2:D$400,MATCH(1,(CityU!$A35='Offer Statistics'!$B$2:$B$400)*(CityU!$AB$2='Offer Statistics'!$C$2:$C$400),0)),"/")</f>
        <v>275</v>
      </c>
      <c r="AL35" s="64" cm="1">
        <f t="array" ref="AL35">IFERROR(INDEX('Offer Statistics'!E$2:E$400,MATCH(1,(CityU!$A35='Offer Statistics'!$B$2:$B$400)*(CityU!$AB$2='Offer Statistics'!$C$2:$C$400),0)),"/")</f>
        <v>492</v>
      </c>
      <c r="AM35" s="64" cm="1">
        <f t="array" ref="AM35">IFERROR(INDEX('Offer Statistics'!F$2:F$400,MATCH(1,(CityU!$A35='Offer Statistics'!$B$2:$B$400)*(CityU!$AB$2='Offer Statistics'!$C$2:$C$400),0)),"/")</f>
        <v>931</v>
      </c>
      <c r="AN35" s="64" cm="1">
        <f t="array" ref="AN35">IFERROR(INDEX('Offer Statistics'!G$2:G$400,MATCH(1,(CityU!$A35='Offer Statistics'!$B$2:$B$400)*(CityU!$AB$2='Offer Statistics'!$C$2:$C$400),0)),"/")</f>
        <v>1210</v>
      </c>
      <c r="AO35" s="64" cm="1">
        <f t="array" ref="AO35">IFERROR(INDEX('Offer Statistics'!H$2:H$400,MATCH(1,(CityU!$A35='Offer Statistics'!$B$2:$B$400)*(CityU!$AB$2='Offer Statistics'!$C$2:$C$400),0)),"/")</f>
        <v>1067</v>
      </c>
      <c r="AP35" s="15"/>
      <c r="AQ35" s="15" t="str">
        <f t="shared" ref="AQ35:AQ56" si="4">A35</f>
        <v>JS1112</v>
      </c>
      <c r="AR35" s="4"/>
      <c r="AS35" s="4"/>
      <c r="AT35" s="4"/>
      <c r="AU35" s="4"/>
      <c r="AV35" s="4"/>
      <c r="AW35" s="4"/>
      <c r="AX35" s="4"/>
      <c r="AY35" s="4"/>
      <c r="AZ35" s="4"/>
      <c r="BA35" s="4"/>
      <c r="BB35" s="4"/>
      <c r="BC35" s="4"/>
      <c r="BD35" s="4"/>
      <c r="BE35" s="4"/>
      <c r="BF35" s="4"/>
    </row>
    <row r="36" spans="1:58" s="2" customFormat="1" ht="18" customHeight="1">
      <c r="A36" s="15" t="str">
        <f>'Reference Score Calculation'!A47</f>
        <v>JS1113</v>
      </c>
      <c r="B36" s="4" t="str">
        <f>'Reference Score Calculation'!C47</f>
        <v>人文社會科學院</v>
      </c>
      <c r="C36" s="23" t="str">
        <f>'Reference Score Calculation'!D47</f>
        <v>社會科學學士(社會工作)</v>
      </c>
      <c r="D36" s="4" t="str">
        <f>'Reference Score Calculation'!R47</f>
        <v>BSocScSW</v>
      </c>
      <c r="E36" s="392" t="str">
        <f>'Reference Score Calculation'!AB47</f>
        <v>Best 4</v>
      </c>
      <c r="F36" s="386" t="str">
        <f>'Reference Score Calculation'!E47</f>
        <v>Best 5</v>
      </c>
      <c r="G36" s="6">
        <f>'Reference Score Calculation'!H47</f>
        <v>26</v>
      </c>
      <c r="H36" s="6">
        <f>'Reference Score Calculation'!I47</f>
        <v>25</v>
      </c>
      <c r="I36" s="45">
        <f>計分版!J70</f>
        <v>3.7500000000000005E-9</v>
      </c>
      <c r="J36" s="185">
        <f t="shared" si="1"/>
        <v>-25.999999996250001</v>
      </c>
      <c r="K36" s="190">
        <f t="shared" si="2"/>
        <v>-6933333332.333333</v>
      </c>
      <c r="L36" s="36">
        <f>'Reference Score Calculation'!T47</f>
        <v>27</v>
      </c>
      <c r="M36" s="86">
        <f>入學要求!Z56</f>
        <v>0</v>
      </c>
      <c r="N36" s="512"/>
      <c r="O36" s="166">
        <f>入學要求!L56</f>
        <v>3</v>
      </c>
      <c r="P36" s="166">
        <f>入學要求!M56</f>
        <v>3</v>
      </c>
      <c r="Q36" s="166">
        <f>入學要求!N56</f>
        <v>2</v>
      </c>
      <c r="R36" s="166">
        <f>入學要求!O56</f>
        <v>1</v>
      </c>
      <c r="S36" s="166">
        <f>入學要求!P56</f>
        <v>3</v>
      </c>
      <c r="T36" s="166">
        <f>入學要求!Q56</f>
        <v>3</v>
      </c>
      <c r="U36" s="256">
        <f>入學要求!S56</f>
        <v>0</v>
      </c>
      <c r="V36" s="256">
        <f>入學要求!T56</f>
        <v>0</v>
      </c>
      <c r="W36" s="256">
        <f>入學要求!U56</f>
        <v>0</v>
      </c>
      <c r="X36" s="256">
        <f>入學要求!V56</f>
        <v>0</v>
      </c>
      <c r="Y36" s="256">
        <f>入學要求!W56</f>
        <v>0</v>
      </c>
      <c r="Z36" s="256">
        <f>入學要求!X56</f>
        <v>0</v>
      </c>
      <c r="AA36" s="44">
        <f t="shared" si="3"/>
        <v>25.04</v>
      </c>
      <c r="AB36" s="510"/>
      <c r="AC36" s="36" cm="1">
        <f t="array" ref="AC36">IFERROR(INDEX('Offer Statistics'!$Q$2:$Q$400,MATCH(1,(CityU!$A36='Offer Statistics'!$B$2:$B$400)*(CityU!$AB$2='Offer Statistics'!$K$2:$K$400),0)),"/")</f>
        <v>24</v>
      </c>
      <c r="AD36" s="64" cm="1">
        <f t="array" ref="AD36">IFERROR(INDEX('Offer Statistics'!L$2:L$400,MATCH(1,(CityU!$A36='Offer Statistics'!$B$2:$B$400)*(CityU!$AB$2='Offer Statistics'!$K$2:$K$400),0)),"/")</f>
        <v>24</v>
      </c>
      <c r="AE36" s="64" cm="1">
        <f t="array" ref="AE36">IFERROR(INDEX('Offer Statistics'!M$2:M$400,MATCH(1,(CityU!$A36='Offer Statistics'!$B$2:$B$400)*(CityU!$AB$2='Offer Statistics'!$K$2:$K$400),0)),"/")</f>
        <v>0</v>
      </c>
      <c r="AF36" s="64" cm="1">
        <f t="array" ref="AF36">IFERROR(INDEX('Offer Statistics'!N$2:N$400,MATCH(1,(CityU!$A36='Offer Statistics'!$B$2:$B$400)*(CityU!$AB$2='Offer Statistics'!$K$2:$K$400),0)),"/")</f>
        <v>0</v>
      </c>
      <c r="AG36" s="64" cm="1">
        <f t="array" ref="AG36">IFERROR(INDEX('Offer Statistics'!O$2:O$400,MATCH(1,(CityU!$A36='Offer Statistics'!$B$2:$B$400)*(CityU!$AB$2='Offer Statistics'!$K$2:$K$400),0)),"/")</f>
        <v>0</v>
      </c>
      <c r="AH36" s="64" cm="1">
        <f t="array" ref="AH36">IFERROR(INDEX('Offer Statistics'!P$2:P$400,MATCH(1,(CityU!$A36='Offer Statistics'!$B$2:$B$400)*(CityU!$AB$2='Offer Statistics'!$K$2:$K$400),0)),"/")</f>
        <v>0</v>
      </c>
      <c r="AI36" s="511"/>
      <c r="AJ36" s="36" cm="1">
        <f t="array" ref="AJ36">IFERROR(INDEX('Offer Statistics'!$I$2:$I$400,MATCH(1,(CityU!$A36='Offer Statistics'!$B$2:$B$400)*(CityU!$AB$2='Offer Statistics'!$C$2:$C$400),0)),"/")</f>
        <v>3831</v>
      </c>
      <c r="AK36" s="64" cm="1">
        <f t="array" ref="AK36">IFERROR(INDEX('Offer Statistics'!D$2:D$400,MATCH(1,(CityU!$A36='Offer Statistics'!$B$2:$B$400)*(CityU!$AB$2='Offer Statistics'!$C$2:$C$400),0)),"/")</f>
        <v>601</v>
      </c>
      <c r="AL36" s="64" cm="1">
        <f t="array" ref="AL36">IFERROR(INDEX('Offer Statistics'!E$2:E$400,MATCH(1,(CityU!$A36='Offer Statistics'!$B$2:$B$400)*(CityU!$AB$2='Offer Statistics'!$C$2:$C$400),0)),"/")</f>
        <v>445</v>
      </c>
      <c r="AM36" s="64" cm="1">
        <f t="array" ref="AM36">IFERROR(INDEX('Offer Statistics'!F$2:F$400,MATCH(1,(CityU!$A36='Offer Statistics'!$B$2:$B$400)*(CityU!$AB$2='Offer Statistics'!$C$2:$C$400),0)),"/")</f>
        <v>795</v>
      </c>
      <c r="AN36" s="64" cm="1">
        <f t="array" ref="AN36">IFERROR(INDEX('Offer Statistics'!G$2:G$400,MATCH(1,(CityU!$A36='Offer Statistics'!$B$2:$B$400)*(CityU!$AB$2='Offer Statistics'!$C$2:$C$400),0)),"/")</f>
        <v>1085</v>
      </c>
      <c r="AO36" s="64" cm="1">
        <f t="array" ref="AO36">IFERROR(INDEX('Offer Statistics'!H$2:H$400,MATCH(1,(CityU!$A36='Offer Statistics'!$B$2:$B$400)*(CityU!$AB$2='Offer Statistics'!$C$2:$C$400),0)),"/")</f>
        <v>905</v>
      </c>
      <c r="AP36" s="15"/>
      <c r="AQ36" s="15" t="str">
        <f t="shared" si="4"/>
        <v>JS1113</v>
      </c>
      <c r="AR36" s="4"/>
      <c r="AS36" s="4"/>
      <c r="AT36" s="4"/>
      <c r="AU36" s="4"/>
      <c r="AV36" s="4"/>
      <c r="AW36" s="4"/>
      <c r="AX36" s="4"/>
      <c r="AY36" s="4"/>
      <c r="AZ36" s="4"/>
      <c r="BA36" s="4"/>
      <c r="BB36" s="4"/>
      <c r="BC36" s="4"/>
      <c r="BD36" s="4"/>
      <c r="BE36" s="4"/>
      <c r="BF36" s="4"/>
    </row>
    <row r="37" spans="1:58" s="2" customFormat="1" ht="18" customHeight="1">
      <c r="A37" s="15" t="str">
        <f>'Reference Score Calculation'!A48</f>
        <v>JS1122</v>
      </c>
      <c r="B37" s="4" t="str">
        <f>'Reference Score Calculation'!C48</f>
        <v>人文社會科學院</v>
      </c>
      <c r="C37" s="23" t="str">
        <f>'Reference Score Calculation'!D48</f>
        <v>社會科學學士(公共政策)與法律學學士</v>
      </c>
      <c r="D37" s="4" t="str">
        <f>'Reference Score Calculation'!R48</f>
        <v>BSocScPP&amp;LLB</v>
      </c>
      <c r="E37" s="392" t="str">
        <f>'Reference Score Calculation'!AB48</f>
        <v>3C2X</v>
      </c>
      <c r="F37" s="365" t="str">
        <f>'Reference Score Calculation'!E48</f>
        <v>4C2X</v>
      </c>
      <c r="G37" s="6" t="str">
        <f>'Reference Score Calculation'!H48</f>
        <v>/</v>
      </c>
      <c r="H37" s="6" t="str">
        <f>'Reference Score Calculation'!I48</f>
        <v>/</v>
      </c>
      <c r="I37" s="45">
        <f>計分版!J71</f>
        <v>2.7499999999999998E-9</v>
      </c>
      <c r="J37" s="258" t="str">
        <f t="shared" si="1"/>
        <v>/</v>
      </c>
      <c r="K37" s="259" t="str">
        <f t="shared" si="2"/>
        <v>/</v>
      </c>
      <c r="L37" s="36">
        <f>'Reference Score Calculation'!T48</f>
        <v>10</v>
      </c>
      <c r="M37" s="86">
        <f>入學要求!Z57</f>
        <v>0</v>
      </c>
      <c r="N37" s="512"/>
      <c r="O37" s="166">
        <f>入學要求!L57</f>
        <v>3</v>
      </c>
      <c r="P37" s="166">
        <f>入學要求!M57</f>
        <v>5</v>
      </c>
      <c r="Q37" s="166">
        <f>入學要求!N57</f>
        <v>2</v>
      </c>
      <c r="R37" s="166">
        <f>入學要求!O57</f>
        <v>1</v>
      </c>
      <c r="S37" s="166">
        <f>入學要求!P57</f>
        <v>3</v>
      </c>
      <c r="T37" s="166">
        <f>入學要求!Q57</f>
        <v>3</v>
      </c>
      <c r="U37" s="256">
        <f>入學要求!S57</f>
        <v>0</v>
      </c>
      <c r="V37" s="256">
        <f>入學要求!T57</f>
        <v>0</v>
      </c>
      <c r="W37" s="256">
        <f>入學要求!U57</f>
        <v>0</v>
      </c>
      <c r="X37" s="256">
        <f>入學要求!V57</f>
        <v>0</v>
      </c>
      <c r="Y37" s="256">
        <f>入學要求!W57</f>
        <v>0</v>
      </c>
      <c r="Z37" s="256">
        <f>入學要求!X57</f>
        <v>0</v>
      </c>
      <c r="AA37" s="44">
        <f t="shared" si="3"/>
        <v>6.5</v>
      </c>
      <c r="AB37" s="510"/>
      <c r="AC37" s="36" cm="1">
        <f t="array" ref="AC37">IFERROR(INDEX('Offer Statistics'!$Q$2:$Q$400,MATCH(1,(CityU!$A37='Offer Statistics'!$B$2:$B$400)*(CityU!$AB$2='Offer Statistics'!$K$2:$K$400),0)),"/")</f>
        <v>2</v>
      </c>
      <c r="AD37" s="64" cm="1">
        <f t="array" ref="AD37">IFERROR(INDEX('Offer Statistics'!L$2:L$400,MATCH(1,(CityU!$A37='Offer Statistics'!$B$2:$B$400)*(CityU!$AB$2='Offer Statistics'!$K$2:$K$400),0)),"/")</f>
        <v>2</v>
      </c>
      <c r="AE37" s="64" cm="1">
        <f t="array" ref="AE37">IFERROR(INDEX('Offer Statistics'!M$2:M$400,MATCH(1,(CityU!$A37='Offer Statistics'!$B$2:$B$400)*(CityU!$AB$2='Offer Statistics'!$K$2:$K$400),0)),"/")</f>
        <v>0</v>
      </c>
      <c r="AF37" s="64" cm="1">
        <f t="array" ref="AF37">IFERROR(INDEX('Offer Statistics'!N$2:N$400,MATCH(1,(CityU!$A37='Offer Statistics'!$B$2:$B$400)*(CityU!$AB$2='Offer Statistics'!$K$2:$K$400),0)),"/")</f>
        <v>0</v>
      </c>
      <c r="AG37" s="64" cm="1">
        <f t="array" ref="AG37">IFERROR(INDEX('Offer Statistics'!O$2:O$400,MATCH(1,(CityU!$A37='Offer Statistics'!$B$2:$B$400)*(CityU!$AB$2='Offer Statistics'!$K$2:$K$400),0)),"/")</f>
        <v>0</v>
      </c>
      <c r="AH37" s="64" cm="1">
        <f t="array" ref="AH37">IFERROR(INDEX('Offer Statistics'!P$2:P$400,MATCH(1,(CityU!$A37='Offer Statistics'!$B$2:$B$400)*(CityU!$AB$2='Offer Statistics'!$K$2:$K$400),0)),"/")</f>
        <v>0</v>
      </c>
      <c r="AI37" s="511"/>
      <c r="AJ37" s="36" cm="1">
        <f t="array" ref="AJ37">IFERROR(INDEX('Offer Statistics'!$I$2:$I$400,MATCH(1,(CityU!$A37='Offer Statistics'!$B$2:$B$400)*(CityU!$AB$2='Offer Statistics'!$C$2:$C$400),0)),"/")</f>
        <v>402</v>
      </c>
      <c r="AK37" s="64" cm="1">
        <f t="array" ref="AK37">IFERROR(INDEX('Offer Statistics'!D$2:D$400,MATCH(1,(CityU!$A37='Offer Statistics'!$B$2:$B$400)*(CityU!$AB$2='Offer Statistics'!$C$2:$C$400),0)),"/")</f>
        <v>13</v>
      </c>
      <c r="AL37" s="64" cm="1">
        <f t="array" ref="AL37">IFERROR(INDEX('Offer Statistics'!E$2:E$400,MATCH(1,(CityU!$A37='Offer Statistics'!$B$2:$B$400)*(CityU!$AB$2='Offer Statistics'!$C$2:$C$400),0)),"/")</f>
        <v>35</v>
      </c>
      <c r="AM37" s="64" cm="1">
        <f t="array" ref="AM37">IFERROR(INDEX('Offer Statistics'!F$2:F$400,MATCH(1,(CityU!$A37='Offer Statistics'!$B$2:$B$400)*(CityU!$AB$2='Offer Statistics'!$C$2:$C$400),0)),"/")</f>
        <v>75</v>
      </c>
      <c r="AN37" s="64" cm="1">
        <f t="array" ref="AN37">IFERROR(INDEX('Offer Statistics'!G$2:G$400,MATCH(1,(CityU!$A37='Offer Statistics'!$B$2:$B$400)*(CityU!$AB$2='Offer Statistics'!$C$2:$C$400),0)),"/")</f>
        <v>136</v>
      </c>
      <c r="AO37" s="64" cm="1">
        <f t="array" ref="AO37">IFERROR(INDEX('Offer Statistics'!H$2:H$400,MATCH(1,(CityU!$A37='Offer Statistics'!$B$2:$B$400)*(CityU!$AB$2='Offer Statistics'!$C$2:$C$400),0)),"/")</f>
        <v>143</v>
      </c>
      <c r="AP37" s="15"/>
      <c r="AQ37" s="15" t="str">
        <f t="shared" si="4"/>
        <v>JS1122</v>
      </c>
      <c r="AR37" s="4"/>
      <c r="AS37" s="4"/>
      <c r="AT37" s="4"/>
      <c r="AU37" s="4"/>
      <c r="AV37" s="4"/>
      <c r="AW37" s="4"/>
      <c r="AX37" s="4"/>
      <c r="AY37" s="4"/>
      <c r="AZ37" s="4"/>
      <c r="BA37" s="4"/>
      <c r="BB37" s="4"/>
      <c r="BC37" s="4"/>
      <c r="BD37" s="4"/>
      <c r="BE37" s="4"/>
      <c r="BF37" s="4"/>
    </row>
    <row r="38" spans="1:58" s="2" customFormat="1" ht="18" customHeight="1">
      <c r="A38" s="15" t="str">
        <f>'Reference Score Calculation'!A49</f>
        <v>JS1123</v>
      </c>
      <c r="B38" s="4" t="str">
        <f>'Reference Score Calculation'!C49</f>
        <v>人文社會科學院</v>
      </c>
      <c r="C38" s="23" t="str">
        <f>'Reference Score Calculation'!D49</f>
        <v>社會科學學士(犯罪學)與法律學學士</v>
      </c>
      <c r="D38" s="4" t="str">
        <f>'Reference Score Calculation'!R49</f>
        <v>BSocScCR&amp;LLB</v>
      </c>
      <c r="E38" s="392" t="str">
        <f>'Reference Score Calculation'!AB49</f>
        <v>Best 5</v>
      </c>
      <c r="F38" s="365" t="str">
        <f>'Reference Score Calculation'!E49</f>
        <v>Best 6</v>
      </c>
      <c r="G38" s="6">
        <f>'Reference Score Calculation'!H49</f>
        <v>25</v>
      </c>
      <c r="H38" s="6">
        <f>'Reference Score Calculation'!I49</f>
        <v>25</v>
      </c>
      <c r="I38" s="45">
        <f>計分版!J72</f>
        <v>4.1499999999999999E-9</v>
      </c>
      <c r="J38" s="185">
        <f t="shared" si="1"/>
        <v>-24.999999995850001</v>
      </c>
      <c r="K38" s="190">
        <f t="shared" si="2"/>
        <v>-6024096384.5421686</v>
      </c>
      <c r="L38" s="36">
        <f>'Reference Score Calculation'!T49</f>
        <v>10</v>
      </c>
      <c r="M38" s="86">
        <f>入學要求!Z58</f>
        <v>0</v>
      </c>
      <c r="N38" s="512"/>
      <c r="O38" s="166">
        <f>入學要求!L58</f>
        <v>3</v>
      </c>
      <c r="P38" s="166">
        <f>入學要求!M58</f>
        <v>5</v>
      </c>
      <c r="Q38" s="166">
        <f>入學要求!N58</f>
        <v>2</v>
      </c>
      <c r="R38" s="166">
        <f>入學要求!O58</f>
        <v>1</v>
      </c>
      <c r="S38" s="166">
        <f>入學要求!P58</f>
        <v>3</v>
      </c>
      <c r="T38" s="166">
        <f>入學要求!Q58</f>
        <v>3</v>
      </c>
      <c r="U38" s="256">
        <f>入學要求!S58</f>
        <v>0</v>
      </c>
      <c r="V38" s="256">
        <f>入學要求!T58</f>
        <v>0</v>
      </c>
      <c r="W38" s="256">
        <f>入學要求!U58</f>
        <v>0</v>
      </c>
      <c r="X38" s="256">
        <f>入學要求!V58</f>
        <v>0</v>
      </c>
      <c r="Y38" s="256">
        <f>入學要求!W58</f>
        <v>0</v>
      </c>
      <c r="Z38" s="256">
        <f>入學要求!X58</f>
        <v>0</v>
      </c>
      <c r="AA38" s="44">
        <f t="shared" si="3"/>
        <v>6.63</v>
      </c>
      <c r="AB38" s="510"/>
      <c r="AC38" s="36" cm="1">
        <f t="array" ref="AC38">IFERROR(INDEX('Offer Statistics'!$Q$2:$Q$400,MATCH(1,(CityU!$A38='Offer Statistics'!$B$2:$B$400)*(CityU!$AB$2='Offer Statistics'!$K$2:$K$400),0)),"/")</f>
        <v>10</v>
      </c>
      <c r="AD38" s="64" cm="1">
        <f t="array" ref="AD38">IFERROR(INDEX('Offer Statistics'!L$2:L$400,MATCH(1,(CityU!$A38='Offer Statistics'!$B$2:$B$400)*(CityU!$AB$2='Offer Statistics'!$K$2:$K$400),0)),"/")</f>
        <v>8</v>
      </c>
      <c r="AE38" s="64" cm="1">
        <f t="array" ref="AE38">IFERROR(INDEX('Offer Statistics'!M$2:M$400,MATCH(1,(CityU!$A38='Offer Statistics'!$B$2:$B$400)*(CityU!$AB$2='Offer Statistics'!$K$2:$K$400),0)),"/")</f>
        <v>1</v>
      </c>
      <c r="AF38" s="64" cm="1">
        <f t="array" ref="AF38">IFERROR(INDEX('Offer Statistics'!N$2:N$400,MATCH(1,(CityU!$A38='Offer Statistics'!$B$2:$B$400)*(CityU!$AB$2='Offer Statistics'!$K$2:$K$400),0)),"/")</f>
        <v>0</v>
      </c>
      <c r="AG38" s="64" cm="1">
        <f t="array" ref="AG38">IFERROR(INDEX('Offer Statistics'!O$2:O$400,MATCH(1,(CityU!$A38='Offer Statistics'!$B$2:$B$400)*(CityU!$AB$2='Offer Statistics'!$K$2:$K$400),0)),"/")</f>
        <v>1</v>
      </c>
      <c r="AH38" s="64" cm="1">
        <f t="array" ref="AH38">IFERROR(INDEX('Offer Statistics'!P$2:P$400,MATCH(1,(CityU!$A38='Offer Statistics'!$B$2:$B$400)*(CityU!$AB$2='Offer Statistics'!$K$2:$K$400),0)),"/")</f>
        <v>0</v>
      </c>
      <c r="AI38" s="511"/>
      <c r="AJ38" s="36" cm="1">
        <f t="array" ref="AJ38">IFERROR(INDEX('Offer Statistics'!$I$2:$I$400,MATCH(1,(CityU!$A38='Offer Statistics'!$B$2:$B$400)*(CityU!$AB$2='Offer Statistics'!$C$2:$C$400),0)),"/")</f>
        <v>994</v>
      </c>
      <c r="AK38" s="64" cm="1">
        <f t="array" ref="AK38">IFERROR(INDEX('Offer Statistics'!D$2:D$400,MATCH(1,(CityU!$A38='Offer Statistics'!$B$2:$B$400)*(CityU!$AB$2='Offer Statistics'!$C$2:$C$400),0)),"/")</f>
        <v>53</v>
      </c>
      <c r="AL38" s="64" cm="1">
        <f t="array" ref="AL38">IFERROR(INDEX('Offer Statistics'!E$2:E$400,MATCH(1,(CityU!$A38='Offer Statistics'!$B$2:$B$400)*(CityU!$AB$2='Offer Statistics'!$C$2:$C$400),0)),"/")</f>
        <v>126</v>
      </c>
      <c r="AM38" s="64" cm="1">
        <f t="array" ref="AM38">IFERROR(INDEX('Offer Statistics'!F$2:F$400,MATCH(1,(CityU!$A38='Offer Statistics'!$B$2:$B$400)*(CityU!$AB$2='Offer Statistics'!$C$2:$C$400),0)),"/")</f>
        <v>203</v>
      </c>
      <c r="AN38" s="64" cm="1">
        <f t="array" ref="AN38">IFERROR(INDEX('Offer Statistics'!G$2:G$400,MATCH(1,(CityU!$A38='Offer Statistics'!$B$2:$B$400)*(CityU!$AB$2='Offer Statistics'!$C$2:$C$400),0)),"/")</f>
        <v>346</v>
      </c>
      <c r="AO38" s="64" cm="1">
        <f t="array" ref="AO38">IFERROR(INDEX('Offer Statistics'!H$2:H$400,MATCH(1,(CityU!$A38='Offer Statistics'!$B$2:$B$400)*(CityU!$AB$2='Offer Statistics'!$C$2:$C$400),0)),"/")</f>
        <v>266</v>
      </c>
      <c r="AP38" s="15"/>
      <c r="AQ38" s="15" t="str">
        <f t="shared" si="4"/>
        <v>JS1123</v>
      </c>
      <c r="AR38" s="4"/>
      <c r="AS38" s="4"/>
      <c r="AT38" s="4"/>
      <c r="AU38" s="4"/>
      <c r="AV38" s="4"/>
      <c r="AW38" s="4"/>
      <c r="AX38" s="4"/>
      <c r="AY38" s="4"/>
      <c r="AZ38" s="4"/>
      <c r="BA38" s="4"/>
      <c r="BB38" s="4"/>
      <c r="BC38" s="4"/>
      <c r="BD38" s="4"/>
      <c r="BE38" s="4"/>
      <c r="BF38" s="4"/>
    </row>
    <row r="39" spans="1:58" s="2" customFormat="1" ht="18" customHeight="1">
      <c r="A39" s="15" t="str">
        <f>'Reference Score Calculation'!A50</f>
        <v>JS1200</v>
      </c>
      <c r="B39" s="4" t="str">
        <f>'Reference Score Calculation'!C50</f>
        <v>理學院</v>
      </c>
      <c r="C39" s="23" t="str">
        <f>'Reference Score Calculation'!D50</f>
        <v>環球精研與科創課程</v>
      </c>
      <c r="D39" s="4" t="str">
        <f>'Reference Score Calculation'!R50</f>
        <v>GREAT</v>
      </c>
      <c r="E39" s="392" t="str">
        <f>'Reference Score Calculation'!AB50</f>
        <v>Best 4</v>
      </c>
      <c r="F39" s="386" t="str">
        <f>'Reference Score Calculation'!E50</f>
        <v>Best 5</v>
      </c>
      <c r="G39" s="6" t="str">
        <f>'Reference Score Calculation'!H50</f>
        <v>/</v>
      </c>
      <c r="H39" s="6" t="str">
        <f>'Reference Score Calculation'!I50</f>
        <v>/</v>
      </c>
      <c r="I39" s="45">
        <f>計分版!J73</f>
        <v>4.6500000000000003E-9</v>
      </c>
      <c r="J39" s="258" t="str">
        <f t="shared" si="1"/>
        <v>/</v>
      </c>
      <c r="K39" s="259" t="str">
        <f t="shared" si="2"/>
        <v>/</v>
      </c>
      <c r="L39" s="36">
        <f>'Reference Score Calculation'!T50</f>
        <v>9</v>
      </c>
      <c r="M39" s="86">
        <f>入學要求!Z59</f>
        <v>0</v>
      </c>
      <c r="N39" s="512"/>
      <c r="O39" s="166">
        <f>入學要求!L59</f>
        <v>3</v>
      </c>
      <c r="P39" s="166">
        <f>入學要求!M59</f>
        <v>3</v>
      </c>
      <c r="Q39" s="166">
        <f>入學要求!N59</f>
        <v>2</v>
      </c>
      <c r="R39" s="166">
        <f>入學要求!O59</f>
        <v>1</v>
      </c>
      <c r="S39" s="166">
        <f>入學要求!P59</f>
        <v>3</v>
      </c>
      <c r="T39" s="166">
        <f>入學要求!Q59</f>
        <v>3</v>
      </c>
      <c r="U39" s="256">
        <f>入學要求!S59</f>
        <v>0</v>
      </c>
      <c r="V39" s="256">
        <f>入學要求!T59</f>
        <v>0</v>
      </c>
      <c r="W39" s="256">
        <f>入學要求!U59</f>
        <v>0</v>
      </c>
      <c r="X39" s="256">
        <f>入學要求!V59</f>
        <v>0</v>
      </c>
      <c r="Y39" s="256">
        <f>入學要求!W59</f>
        <v>0</v>
      </c>
      <c r="Z39" s="256">
        <f>入學要求!X59</f>
        <v>0</v>
      </c>
      <c r="AA39" s="44">
        <f t="shared" si="3"/>
        <v>3</v>
      </c>
      <c r="AB39" s="510"/>
      <c r="AC39" s="36" cm="1">
        <f t="array" ref="AC39">IFERROR(INDEX('Offer Statistics'!$Q$2:$Q$400,MATCH(1,(CityU!$A39='Offer Statistics'!$B$2:$B$400)*(CityU!$AB$2='Offer Statistics'!$K$2:$K$400),0)),"/")</f>
        <v>2</v>
      </c>
      <c r="AD39" s="64" cm="1">
        <f t="array" ref="AD39">IFERROR(INDEX('Offer Statistics'!L$2:L$400,MATCH(1,(CityU!$A39='Offer Statistics'!$B$2:$B$400)*(CityU!$AB$2='Offer Statistics'!$K$2:$K$400),0)),"/")</f>
        <v>2</v>
      </c>
      <c r="AE39" s="64" cm="1">
        <f t="array" ref="AE39">IFERROR(INDEX('Offer Statistics'!M$2:M$400,MATCH(1,(CityU!$A39='Offer Statistics'!$B$2:$B$400)*(CityU!$AB$2='Offer Statistics'!$K$2:$K$400),0)),"/")</f>
        <v>0</v>
      </c>
      <c r="AF39" s="64" cm="1">
        <f t="array" ref="AF39">IFERROR(INDEX('Offer Statistics'!N$2:N$400,MATCH(1,(CityU!$A39='Offer Statistics'!$B$2:$B$400)*(CityU!$AB$2='Offer Statistics'!$K$2:$K$400),0)),"/")</f>
        <v>0</v>
      </c>
      <c r="AG39" s="64" cm="1">
        <f t="array" ref="AG39">IFERROR(INDEX('Offer Statistics'!O$2:O$400,MATCH(1,(CityU!$A39='Offer Statistics'!$B$2:$B$400)*(CityU!$AB$2='Offer Statistics'!$K$2:$K$400),0)),"/")</f>
        <v>0</v>
      </c>
      <c r="AH39" s="64" cm="1">
        <f t="array" ref="AH39">IFERROR(INDEX('Offer Statistics'!P$2:P$400,MATCH(1,(CityU!$A39='Offer Statistics'!$B$2:$B$400)*(CityU!$AB$2='Offer Statistics'!$K$2:$K$400),0)),"/")</f>
        <v>0</v>
      </c>
      <c r="AI39" s="511"/>
      <c r="AJ39" s="36" cm="1">
        <f t="array" ref="AJ39">IFERROR(INDEX('Offer Statistics'!$I$2:$I$400,MATCH(1,(CityU!$A39='Offer Statistics'!$B$2:$B$400)*(CityU!$AB$2='Offer Statistics'!$C$2:$C$400),0)),"/")</f>
        <v>161</v>
      </c>
      <c r="AK39" s="64" cm="1">
        <f t="array" ref="AK39">IFERROR(INDEX('Offer Statistics'!D$2:D$400,MATCH(1,(CityU!$A39='Offer Statistics'!$B$2:$B$400)*(CityU!$AB$2='Offer Statistics'!$C$2:$C$400),0)),"/")</f>
        <v>6</v>
      </c>
      <c r="AL39" s="64" cm="1">
        <f t="array" ref="AL39">IFERROR(INDEX('Offer Statistics'!E$2:E$400,MATCH(1,(CityU!$A39='Offer Statistics'!$B$2:$B$400)*(CityU!$AB$2='Offer Statistics'!$C$2:$C$400),0)),"/")</f>
        <v>23</v>
      </c>
      <c r="AM39" s="64" cm="1">
        <f t="array" ref="AM39">IFERROR(INDEX('Offer Statistics'!F$2:F$400,MATCH(1,(CityU!$A39='Offer Statistics'!$B$2:$B$400)*(CityU!$AB$2='Offer Statistics'!$C$2:$C$400),0)),"/")</f>
        <v>31</v>
      </c>
      <c r="AN39" s="64" cm="1">
        <f t="array" ref="AN39">IFERROR(INDEX('Offer Statistics'!G$2:G$400,MATCH(1,(CityU!$A39='Offer Statistics'!$B$2:$B$400)*(CityU!$AB$2='Offer Statistics'!$C$2:$C$400),0)),"/")</f>
        <v>49</v>
      </c>
      <c r="AO39" s="64" cm="1">
        <f t="array" ref="AO39">IFERROR(INDEX('Offer Statistics'!H$2:H$400,MATCH(1,(CityU!$A39='Offer Statistics'!$B$2:$B$400)*(CityU!$AB$2='Offer Statistics'!$C$2:$C$400),0)),"/")</f>
        <v>52</v>
      </c>
      <c r="AP39" s="15"/>
      <c r="AQ39" s="15" t="str">
        <f t="shared" si="4"/>
        <v>JS1200</v>
      </c>
      <c r="AR39" s="4"/>
      <c r="AS39" s="4"/>
      <c r="AT39" s="4"/>
      <c r="AU39" s="4"/>
      <c r="AV39" s="4"/>
      <c r="AW39" s="4"/>
      <c r="AX39" s="4"/>
      <c r="AY39" s="4"/>
      <c r="AZ39" s="4"/>
      <c r="BA39" s="4"/>
      <c r="BB39" s="4"/>
      <c r="BC39" s="4"/>
      <c r="BD39" s="4"/>
      <c r="BE39" s="4"/>
      <c r="BF39" s="4"/>
    </row>
    <row r="40" spans="1:58" s="2" customFormat="1" ht="18" customHeight="1">
      <c r="A40" s="15" t="str">
        <f>'Reference Score Calculation'!A51</f>
        <v>JS1201</v>
      </c>
      <c r="B40" s="4" t="str">
        <f>'Reference Score Calculation'!C51</f>
        <v>工學院</v>
      </c>
      <c r="C40" s="23" t="str">
        <f>'Reference Score Calculation'!D51</f>
        <v>建築學及土木工程學系 [選項: 工學士(建築工程)、工學士(土木工程)、理學士(建築學及測量學)]</v>
      </c>
      <c r="D40" s="4" t="str">
        <f>'Reference Score Calculation'!R51</f>
        <v>ACE</v>
      </c>
      <c r="E40" s="392" t="str">
        <f>'Reference Score Calculation'!AB51</f>
        <v>Best 5</v>
      </c>
      <c r="F40" s="391" t="str">
        <f>'Reference Score Calculation'!E51</f>
        <v>Best 6</v>
      </c>
      <c r="G40" s="6">
        <f>'Reference Score Calculation'!H51</f>
        <v>42</v>
      </c>
      <c r="H40" s="6">
        <f>'Reference Score Calculation'!I51</f>
        <v>40.5</v>
      </c>
      <c r="I40" s="45">
        <f>計分版!J74</f>
        <v>4.9E-9</v>
      </c>
      <c r="J40" s="185">
        <f t="shared" si="1"/>
        <v>-41.999999995099998</v>
      </c>
      <c r="K40" s="190">
        <f t="shared" si="2"/>
        <v>-8571428570.4285707</v>
      </c>
      <c r="L40" s="36">
        <f>'Reference Score Calculation'!T51</f>
        <v>98</v>
      </c>
      <c r="M40" s="86">
        <f>入學要求!Z60</f>
        <v>0</v>
      </c>
      <c r="N40" s="512"/>
      <c r="O40" s="166">
        <f>入學要求!L60</f>
        <v>3</v>
      </c>
      <c r="P40" s="166">
        <f>入學要求!M60</f>
        <v>3</v>
      </c>
      <c r="Q40" s="166">
        <f>入學要求!N60</f>
        <v>3</v>
      </c>
      <c r="R40" s="166">
        <f>入學要求!O60</f>
        <v>1</v>
      </c>
      <c r="S40" s="166">
        <f>入學要求!P60</f>
        <v>3</v>
      </c>
      <c r="T40" s="166">
        <f>入學要求!Q60</f>
        <v>3</v>
      </c>
      <c r="U40" s="256">
        <f>入學要求!S60</f>
        <v>0</v>
      </c>
      <c r="V40" s="256">
        <f>入學要求!T60</f>
        <v>0</v>
      </c>
      <c r="W40" s="256">
        <f>入學要求!U60</f>
        <v>0</v>
      </c>
      <c r="X40" s="256">
        <f>入學要求!V60</f>
        <v>0</v>
      </c>
      <c r="Y40" s="256">
        <f>入學要求!W60</f>
        <v>0</v>
      </c>
      <c r="Z40" s="256">
        <f>入學要求!X60</f>
        <v>0</v>
      </c>
      <c r="AA40" s="44">
        <f t="shared" si="3"/>
        <v>5.25</v>
      </c>
      <c r="AB40" s="510"/>
      <c r="AC40" s="36" cm="1">
        <f t="array" ref="AC40">IFERROR(INDEX('Offer Statistics'!$Q$2:$Q$400,MATCH(1,(CityU!$A40='Offer Statistics'!$B$2:$B$400)*(CityU!$AB$2='Offer Statistics'!$K$2:$K$400),0)),"/")</f>
        <v>91</v>
      </c>
      <c r="AD40" s="64" cm="1">
        <f t="array" ref="AD40">IFERROR(INDEX('Offer Statistics'!L$2:L$400,MATCH(1,(CityU!$A40='Offer Statistics'!$B$2:$B$400)*(CityU!$AB$2='Offer Statistics'!$K$2:$K$400),0)),"/")</f>
        <v>91</v>
      </c>
      <c r="AE40" s="64" cm="1">
        <f t="array" ref="AE40">IFERROR(INDEX('Offer Statistics'!M$2:M$400,MATCH(1,(CityU!$A40='Offer Statistics'!$B$2:$B$400)*(CityU!$AB$2='Offer Statistics'!$K$2:$K$400),0)),"/")</f>
        <v>0</v>
      </c>
      <c r="AF40" s="64" cm="1">
        <f t="array" ref="AF40">IFERROR(INDEX('Offer Statistics'!N$2:N$400,MATCH(1,(CityU!$A40='Offer Statistics'!$B$2:$B$400)*(CityU!$AB$2='Offer Statistics'!$K$2:$K$400),0)),"/")</f>
        <v>0</v>
      </c>
      <c r="AG40" s="64" cm="1">
        <f t="array" ref="AG40">IFERROR(INDEX('Offer Statistics'!O$2:O$400,MATCH(1,(CityU!$A40='Offer Statistics'!$B$2:$B$400)*(CityU!$AB$2='Offer Statistics'!$K$2:$K$400),0)),"/")</f>
        <v>0</v>
      </c>
      <c r="AH40" s="64" cm="1">
        <f t="array" ref="AH40">IFERROR(INDEX('Offer Statistics'!P$2:P$400,MATCH(1,(CityU!$A40='Offer Statistics'!$B$2:$B$400)*(CityU!$AB$2='Offer Statistics'!$K$2:$K$400),0)),"/")</f>
        <v>0</v>
      </c>
      <c r="AI40" s="511"/>
      <c r="AJ40" s="36" cm="1">
        <f t="array" ref="AJ40">IFERROR(INDEX('Offer Statistics'!$I$2:$I$400,MATCH(1,(CityU!$A40='Offer Statistics'!$B$2:$B$400)*(CityU!$AB$2='Offer Statistics'!$C$2:$C$400),0)),"/")</f>
        <v>2408</v>
      </c>
      <c r="AK40" s="64" cm="1">
        <f t="array" ref="AK40">IFERROR(INDEX('Offer Statistics'!D$2:D$400,MATCH(1,(CityU!$A40='Offer Statistics'!$B$2:$B$400)*(CityU!$AB$2='Offer Statistics'!$C$2:$C$400),0)),"/")</f>
        <v>478</v>
      </c>
      <c r="AL40" s="64" cm="1">
        <f t="array" ref="AL40">IFERROR(INDEX('Offer Statistics'!E$2:E$400,MATCH(1,(CityU!$A40='Offer Statistics'!$B$2:$B$400)*(CityU!$AB$2='Offer Statistics'!$C$2:$C$400),0)),"/")</f>
        <v>462</v>
      </c>
      <c r="AM40" s="64" cm="1">
        <f t="array" ref="AM40">IFERROR(INDEX('Offer Statistics'!F$2:F$400,MATCH(1,(CityU!$A40='Offer Statistics'!$B$2:$B$400)*(CityU!$AB$2='Offer Statistics'!$C$2:$C$400),0)),"/")</f>
        <v>526</v>
      </c>
      <c r="AN40" s="64" cm="1">
        <f t="array" ref="AN40">IFERROR(INDEX('Offer Statistics'!G$2:G$400,MATCH(1,(CityU!$A40='Offer Statistics'!$B$2:$B$400)*(CityU!$AB$2='Offer Statistics'!$C$2:$C$400),0)),"/")</f>
        <v>565</v>
      </c>
      <c r="AO40" s="64" cm="1">
        <f t="array" ref="AO40">IFERROR(INDEX('Offer Statistics'!H$2:H$400,MATCH(1,(CityU!$A40='Offer Statistics'!$B$2:$B$400)*(CityU!$AB$2='Offer Statistics'!$C$2:$C$400),0)),"/")</f>
        <v>377</v>
      </c>
      <c r="AP40" s="15"/>
      <c r="AQ40" s="15" t="str">
        <f t="shared" si="4"/>
        <v>JS1201</v>
      </c>
      <c r="AR40" s="4"/>
      <c r="AS40" s="4"/>
      <c r="AT40" s="4"/>
      <c r="AU40" s="4"/>
      <c r="AV40" s="4"/>
      <c r="AW40" s="4"/>
      <c r="AX40" s="4"/>
      <c r="AY40" s="4"/>
      <c r="AZ40" s="4"/>
      <c r="BA40" s="4"/>
      <c r="BB40" s="4"/>
      <c r="BC40" s="4"/>
      <c r="BD40" s="4"/>
      <c r="BE40" s="4"/>
      <c r="BF40" s="4"/>
    </row>
    <row r="41" spans="1:58" s="2" customFormat="1" ht="18" customHeight="1">
      <c r="A41" s="15" t="str">
        <f>'Reference Score Calculation'!A52</f>
        <v>JS1202</v>
      </c>
      <c r="B41" s="4" t="str">
        <f>'Reference Score Calculation'!C52</f>
        <v>理學院</v>
      </c>
      <c r="C41" s="23" t="str">
        <f>'Reference Score Calculation'!D52</f>
        <v>理學士(化學)</v>
      </c>
      <c r="D41" s="4" t="str">
        <f>'Reference Score Calculation'!R52</f>
        <v>BScCHEM</v>
      </c>
      <c r="E41" s="392" t="str">
        <f>'Reference Score Calculation'!AB52</f>
        <v>Best 4</v>
      </c>
      <c r="F41" s="391" t="str">
        <f>'Reference Score Calculation'!E52</f>
        <v>Best 5</v>
      </c>
      <c r="G41" s="6">
        <f>'Reference Score Calculation'!H52</f>
        <v>28</v>
      </c>
      <c r="H41" s="6">
        <f>'Reference Score Calculation'!I52</f>
        <v>27.5</v>
      </c>
      <c r="I41" s="45">
        <f>計分版!J75</f>
        <v>3.4999999999999999E-9</v>
      </c>
      <c r="J41" s="185">
        <f t="shared" si="1"/>
        <v>-27.999999996500001</v>
      </c>
      <c r="K41" s="190">
        <f t="shared" si="2"/>
        <v>-7999999999.000001</v>
      </c>
      <c r="L41" s="36">
        <f>'Reference Score Calculation'!T52</f>
        <v>46</v>
      </c>
      <c r="M41" s="86">
        <f>入學要求!Z61</f>
        <v>0</v>
      </c>
      <c r="N41" s="512"/>
      <c r="O41" s="166">
        <f>入學要求!L61</f>
        <v>3</v>
      </c>
      <c r="P41" s="166">
        <f>入學要求!M61</f>
        <v>3</v>
      </c>
      <c r="Q41" s="166">
        <f>入學要求!N61</f>
        <v>2</v>
      </c>
      <c r="R41" s="166">
        <f>入學要求!O61</f>
        <v>1</v>
      </c>
      <c r="S41" s="166">
        <f>入學要求!P61</f>
        <v>3</v>
      </c>
      <c r="T41" s="166">
        <f>入學要求!Q61</f>
        <v>3</v>
      </c>
      <c r="U41" s="256">
        <f>入學要求!S61</f>
        <v>0</v>
      </c>
      <c r="V41" s="256">
        <f>入學要求!T61</f>
        <v>0</v>
      </c>
      <c r="W41" s="256">
        <f>入學要求!U61</f>
        <v>0</v>
      </c>
      <c r="X41" s="256">
        <f>入學要求!V61</f>
        <v>0</v>
      </c>
      <c r="Y41" s="256">
        <f>入學要求!W61</f>
        <v>0</v>
      </c>
      <c r="Z41" s="256">
        <f>入學要求!X61</f>
        <v>0</v>
      </c>
      <c r="AA41" s="44">
        <f t="shared" si="3"/>
        <v>6.42</v>
      </c>
      <c r="AB41" s="510"/>
      <c r="AC41" s="36" cm="1">
        <f t="array" ref="AC41">IFERROR(INDEX('Offer Statistics'!$Q$2:$Q$400,MATCH(1,(CityU!$A41='Offer Statistics'!$B$2:$B$400)*(CityU!$AB$2='Offer Statistics'!$K$2:$K$400),0)),"/")</f>
        <v>56</v>
      </c>
      <c r="AD41" s="64" cm="1">
        <f t="array" ref="AD41">IFERROR(INDEX('Offer Statistics'!L$2:L$400,MATCH(1,(CityU!$A41='Offer Statistics'!$B$2:$B$400)*(CityU!$AB$2='Offer Statistics'!$K$2:$K$400),0)),"/")</f>
        <v>50</v>
      </c>
      <c r="AE41" s="64" cm="1">
        <f t="array" ref="AE41">IFERROR(INDEX('Offer Statistics'!M$2:M$400,MATCH(1,(CityU!$A41='Offer Statistics'!$B$2:$B$400)*(CityU!$AB$2='Offer Statistics'!$K$2:$K$400),0)),"/")</f>
        <v>4</v>
      </c>
      <c r="AF41" s="64" cm="1">
        <f t="array" ref="AF41">IFERROR(INDEX('Offer Statistics'!N$2:N$400,MATCH(1,(CityU!$A41='Offer Statistics'!$B$2:$B$400)*(CityU!$AB$2='Offer Statistics'!$K$2:$K$400),0)),"/")</f>
        <v>2</v>
      </c>
      <c r="AG41" s="64" cm="1">
        <f t="array" ref="AG41">IFERROR(INDEX('Offer Statistics'!O$2:O$400,MATCH(1,(CityU!$A41='Offer Statistics'!$B$2:$B$400)*(CityU!$AB$2='Offer Statistics'!$K$2:$K$400),0)),"/")</f>
        <v>0</v>
      </c>
      <c r="AH41" s="64" cm="1">
        <f t="array" ref="AH41">IFERROR(INDEX('Offer Statistics'!P$2:P$400,MATCH(1,(CityU!$A41='Offer Statistics'!$B$2:$B$400)*(CityU!$AB$2='Offer Statistics'!$K$2:$K$400),0)),"/")</f>
        <v>0</v>
      </c>
      <c r="AI41" s="511"/>
      <c r="AJ41" s="36" cm="1">
        <f t="array" ref="AJ41">IFERROR(INDEX('Offer Statistics'!$I$2:$I$400,MATCH(1,(CityU!$A41='Offer Statistics'!$B$2:$B$400)*(CityU!$AB$2='Offer Statistics'!$C$2:$C$400),0)),"/")</f>
        <v>1891</v>
      </c>
      <c r="AK41" s="64" cm="1">
        <f t="array" ref="AK41">IFERROR(INDEX('Offer Statistics'!D$2:D$400,MATCH(1,(CityU!$A41='Offer Statistics'!$B$2:$B$400)*(CityU!$AB$2='Offer Statistics'!$C$2:$C$400),0)),"/")</f>
        <v>321</v>
      </c>
      <c r="AL41" s="64" cm="1">
        <f t="array" ref="AL41">IFERROR(INDEX('Offer Statistics'!E$2:E$400,MATCH(1,(CityU!$A41='Offer Statistics'!$B$2:$B$400)*(CityU!$AB$2='Offer Statistics'!$C$2:$C$400),0)),"/")</f>
        <v>437</v>
      </c>
      <c r="AM41" s="64" cm="1">
        <f t="array" ref="AM41">IFERROR(INDEX('Offer Statistics'!F$2:F$400,MATCH(1,(CityU!$A41='Offer Statistics'!$B$2:$B$400)*(CityU!$AB$2='Offer Statistics'!$C$2:$C$400),0)),"/")</f>
        <v>410</v>
      </c>
      <c r="AN41" s="64" cm="1">
        <f t="array" ref="AN41">IFERROR(INDEX('Offer Statistics'!G$2:G$400,MATCH(1,(CityU!$A41='Offer Statistics'!$B$2:$B$400)*(CityU!$AB$2='Offer Statistics'!$C$2:$C$400),0)),"/")</f>
        <v>423</v>
      </c>
      <c r="AO41" s="64" cm="1">
        <f t="array" ref="AO41">IFERROR(INDEX('Offer Statistics'!H$2:H$400,MATCH(1,(CityU!$A41='Offer Statistics'!$B$2:$B$400)*(CityU!$AB$2='Offer Statistics'!$C$2:$C$400),0)),"/")</f>
        <v>300</v>
      </c>
      <c r="AP41" s="15"/>
      <c r="AQ41" s="15" t="str">
        <f t="shared" si="4"/>
        <v>JS1202</v>
      </c>
      <c r="AR41" s="4"/>
      <c r="AS41" s="4"/>
      <c r="AT41" s="4"/>
      <c r="AU41" s="4"/>
      <c r="AV41" s="4"/>
      <c r="AW41" s="4"/>
      <c r="AX41" s="4"/>
      <c r="AY41" s="4"/>
      <c r="AZ41" s="4"/>
      <c r="BA41" s="4"/>
      <c r="BB41" s="4"/>
      <c r="BC41" s="4"/>
      <c r="BD41" s="4"/>
      <c r="BE41" s="4"/>
      <c r="BF41" s="4"/>
    </row>
    <row r="42" spans="1:58" s="2" customFormat="1" ht="18" customHeight="1">
      <c r="A42" s="15" t="str">
        <f>'Reference Score Calculation'!A53</f>
        <v>JS1204</v>
      </c>
      <c r="B42" s="4" t="str">
        <f>'Reference Score Calculation'!C53</f>
        <v>工學院</v>
      </c>
      <c r="C42" s="23" t="str">
        <f>'Reference Score Calculation'!D53</f>
        <v>理學士(電腦科學)</v>
      </c>
      <c r="D42" s="4" t="str">
        <f>'Reference Score Calculation'!R53</f>
        <v>BScCSC</v>
      </c>
      <c r="E42" s="392" t="str">
        <f>'Reference Score Calculation'!AB53</f>
        <v>Best 5</v>
      </c>
      <c r="F42" s="390" t="str">
        <f>'Reference Score Calculation'!E53</f>
        <v>Best 5</v>
      </c>
      <c r="G42" s="6">
        <f>'Reference Score Calculation'!H53</f>
        <v>20</v>
      </c>
      <c r="H42" s="6">
        <f>'Reference Score Calculation'!I53</f>
        <v>19</v>
      </c>
      <c r="I42" s="45">
        <f>計分版!J76</f>
        <v>2.8499999999999999E-9</v>
      </c>
      <c r="J42" s="185">
        <f t="shared" si="1"/>
        <v>-19.999999997149999</v>
      </c>
      <c r="K42" s="190">
        <f t="shared" si="2"/>
        <v>-7017543858.6491222</v>
      </c>
      <c r="L42" s="36">
        <f>'Reference Score Calculation'!T53</f>
        <v>99</v>
      </c>
      <c r="M42" s="86">
        <f>入學要求!Z62</f>
        <v>0</v>
      </c>
      <c r="N42" s="512"/>
      <c r="O42" s="166">
        <f>入學要求!L62</f>
        <v>3</v>
      </c>
      <c r="P42" s="166">
        <f>入學要求!M62</f>
        <v>3</v>
      </c>
      <c r="Q42" s="166">
        <f>入學要求!N62</f>
        <v>3</v>
      </c>
      <c r="R42" s="166">
        <f>入學要求!O62</f>
        <v>1</v>
      </c>
      <c r="S42" s="166">
        <f>入學要求!P62</f>
        <v>3</v>
      </c>
      <c r="T42" s="166">
        <f>入學要求!Q62</f>
        <v>3</v>
      </c>
      <c r="U42" s="256">
        <f>入學要求!S62</f>
        <v>0</v>
      </c>
      <c r="V42" s="256">
        <f>入學要求!T62</f>
        <v>0</v>
      </c>
      <c r="W42" s="256">
        <f>入學要求!U62</f>
        <v>0</v>
      </c>
      <c r="X42" s="256">
        <f>入學要求!V62</f>
        <v>0</v>
      </c>
      <c r="Y42" s="256">
        <f>入學要求!W62</f>
        <v>0</v>
      </c>
      <c r="Z42" s="256">
        <f>入學要求!X62</f>
        <v>0</v>
      </c>
      <c r="AA42" s="44">
        <f t="shared" si="3"/>
        <v>11.05</v>
      </c>
      <c r="AB42" s="510"/>
      <c r="AC42" s="36" cm="1">
        <f t="array" ref="AC42">IFERROR(INDEX('Offer Statistics'!$Q$2:$Q$400,MATCH(1,(CityU!$A42='Offer Statistics'!$B$2:$B$400)*(CityU!$AB$2='Offer Statistics'!$K$2:$K$400),0)),"/")</f>
        <v>91</v>
      </c>
      <c r="AD42" s="64" cm="1">
        <f t="array" ref="AD42">IFERROR(INDEX('Offer Statistics'!L$2:L$400,MATCH(1,(CityU!$A42='Offer Statistics'!$B$2:$B$400)*(CityU!$AB$2='Offer Statistics'!$K$2:$K$400),0)),"/")</f>
        <v>78</v>
      </c>
      <c r="AE42" s="64" cm="1">
        <f t="array" ref="AE42">IFERROR(INDEX('Offer Statistics'!M$2:M$400,MATCH(1,(CityU!$A42='Offer Statistics'!$B$2:$B$400)*(CityU!$AB$2='Offer Statistics'!$K$2:$K$400),0)),"/")</f>
        <v>12</v>
      </c>
      <c r="AF42" s="64" cm="1">
        <f t="array" ref="AF42">IFERROR(INDEX('Offer Statistics'!N$2:N$400,MATCH(1,(CityU!$A42='Offer Statistics'!$B$2:$B$400)*(CityU!$AB$2='Offer Statistics'!$K$2:$K$400),0)),"/")</f>
        <v>1</v>
      </c>
      <c r="AG42" s="64" cm="1">
        <f t="array" ref="AG42">IFERROR(INDEX('Offer Statistics'!O$2:O$400,MATCH(1,(CityU!$A42='Offer Statistics'!$B$2:$B$400)*(CityU!$AB$2='Offer Statistics'!$K$2:$K$400),0)),"/")</f>
        <v>0</v>
      </c>
      <c r="AH42" s="64" cm="1">
        <f t="array" ref="AH42">IFERROR(INDEX('Offer Statistics'!P$2:P$400,MATCH(1,(CityU!$A42='Offer Statistics'!$B$2:$B$400)*(CityU!$AB$2='Offer Statistics'!$K$2:$K$400),0)),"/")</f>
        <v>0</v>
      </c>
      <c r="AI42" s="511"/>
      <c r="AJ42" s="36" cm="1">
        <f t="array" ref="AJ42">IFERROR(INDEX('Offer Statistics'!$I$2:$I$400,MATCH(1,(CityU!$A42='Offer Statistics'!$B$2:$B$400)*(CityU!$AB$2='Offer Statistics'!$C$2:$C$400),0)),"/")</f>
        <v>3711</v>
      </c>
      <c r="AK42" s="64" cm="1">
        <f t="array" ref="AK42">IFERROR(INDEX('Offer Statistics'!D$2:D$400,MATCH(1,(CityU!$A42='Offer Statistics'!$B$2:$B$400)*(CityU!$AB$2='Offer Statistics'!$C$2:$C$400),0)),"/")</f>
        <v>862</v>
      </c>
      <c r="AL42" s="64" cm="1">
        <f t="array" ref="AL42">IFERROR(INDEX('Offer Statistics'!E$2:E$400,MATCH(1,(CityU!$A42='Offer Statistics'!$B$2:$B$400)*(CityU!$AB$2='Offer Statistics'!$C$2:$C$400),0)),"/")</f>
        <v>798</v>
      </c>
      <c r="AM42" s="64" cm="1">
        <f t="array" ref="AM42">IFERROR(INDEX('Offer Statistics'!F$2:F$400,MATCH(1,(CityU!$A42='Offer Statistics'!$B$2:$B$400)*(CityU!$AB$2='Offer Statistics'!$C$2:$C$400),0)),"/")</f>
        <v>785</v>
      </c>
      <c r="AN42" s="64" cm="1">
        <f t="array" ref="AN42">IFERROR(INDEX('Offer Statistics'!G$2:G$400,MATCH(1,(CityU!$A42='Offer Statistics'!$B$2:$B$400)*(CityU!$AB$2='Offer Statistics'!$C$2:$C$400),0)),"/")</f>
        <v>757</v>
      </c>
      <c r="AO42" s="64" cm="1">
        <f t="array" ref="AO42">IFERROR(INDEX('Offer Statistics'!H$2:H$400,MATCH(1,(CityU!$A42='Offer Statistics'!$B$2:$B$400)*(CityU!$AB$2='Offer Statistics'!$C$2:$C$400),0)),"/")</f>
        <v>509</v>
      </c>
      <c r="AP42" s="15"/>
      <c r="AQ42" s="15" t="str">
        <f t="shared" si="4"/>
        <v>JS1204</v>
      </c>
      <c r="AR42" s="4"/>
      <c r="AS42" s="4"/>
      <c r="AT42" s="4"/>
      <c r="AU42" s="4"/>
      <c r="AV42" s="4"/>
      <c r="AW42" s="4"/>
      <c r="AX42" s="4"/>
      <c r="AY42" s="4"/>
      <c r="AZ42" s="4"/>
      <c r="BA42" s="4"/>
      <c r="BB42" s="4"/>
      <c r="BC42" s="4"/>
      <c r="BD42" s="4"/>
      <c r="BE42" s="4"/>
      <c r="BF42" s="4"/>
    </row>
    <row r="43" spans="1:58" s="2" customFormat="1" ht="18" customHeight="1">
      <c r="A43" s="15" t="str">
        <f>'Reference Score Calculation'!A54</f>
        <v>JS1205</v>
      </c>
      <c r="B43" s="4" t="str">
        <f>'Reference Score Calculation'!C54</f>
        <v>工學院</v>
      </c>
      <c r="C43" s="23" t="str">
        <f>'Reference Score Calculation'!D54</f>
        <v>電機工程學系 [選項: 工學士(電子計算機及數據工程學)、工學士(電子及電機工程學)、工學士(資訊工程學)、工學士(微電子工程學)]</v>
      </c>
      <c r="D43" s="4" t="str">
        <f>'Reference Score Calculation'!R54</f>
        <v>EE</v>
      </c>
      <c r="E43" s="392" t="str">
        <f>'Reference Score Calculation'!AB54</f>
        <v>Best 5</v>
      </c>
      <c r="F43" s="391" t="str">
        <f>'Reference Score Calculation'!E54</f>
        <v>Best 5</v>
      </c>
      <c r="G43" s="6">
        <f>'Reference Score Calculation'!H54</f>
        <v>32</v>
      </c>
      <c r="H43" s="6">
        <f>'Reference Score Calculation'!I54</f>
        <v>30.5</v>
      </c>
      <c r="I43" s="45">
        <f>計分版!J77</f>
        <v>3.8500000000000006E-9</v>
      </c>
      <c r="J43" s="185">
        <f t="shared" si="1"/>
        <v>-31.999999996149999</v>
      </c>
      <c r="K43" s="190">
        <f t="shared" si="2"/>
        <v>-8311688310.6883106</v>
      </c>
      <c r="L43" s="36">
        <f>'Reference Score Calculation'!T54</f>
        <v>178</v>
      </c>
      <c r="M43" s="86">
        <f>入學要求!Z63</f>
        <v>0</v>
      </c>
      <c r="N43" s="512"/>
      <c r="O43" s="166">
        <f>入學要求!L63</f>
        <v>3</v>
      </c>
      <c r="P43" s="166">
        <f>入學要求!M63</f>
        <v>3</v>
      </c>
      <c r="Q43" s="166">
        <f>入學要求!N63</f>
        <v>3</v>
      </c>
      <c r="R43" s="166">
        <f>入學要求!O63</f>
        <v>1</v>
      </c>
      <c r="S43" s="166">
        <f>入學要求!P63</f>
        <v>3</v>
      </c>
      <c r="T43" s="166">
        <f>入學要求!Q63</f>
        <v>3</v>
      </c>
      <c r="U43" s="256">
        <f>入學要求!S63</f>
        <v>0</v>
      </c>
      <c r="V43" s="256">
        <f>入學要求!T63</f>
        <v>0</v>
      </c>
      <c r="W43" s="256">
        <f>入學要求!U63</f>
        <v>0</v>
      </c>
      <c r="X43" s="256">
        <f>入學要求!V63</f>
        <v>0</v>
      </c>
      <c r="Y43" s="256">
        <f>入學要求!W63</f>
        <v>0</v>
      </c>
      <c r="Z43" s="256">
        <f>入學要求!X63</f>
        <v>0</v>
      </c>
      <c r="AA43" s="44">
        <f t="shared" si="3"/>
        <v>6.06</v>
      </c>
      <c r="AB43" s="510"/>
      <c r="AC43" s="36" cm="1">
        <f t="array" ref="AC43">IFERROR(INDEX('Offer Statistics'!$Q$2:$Q$400,MATCH(1,(CityU!$A43='Offer Statistics'!$B$2:$B$400)*(CityU!$AB$2='Offer Statistics'!$K$2:$K$400),0)),"/")</f>
        <v>127</v>
      </c>
      <c r="AD43" s="64" cm="1">
        <f t="array" ref="AD43">IFERROR(INDEX('Offer Statistics'!L$2:L$400,MATCH(1,(CityU!$A43='Offer Statistics'!$B$2:$B$400)*(CityU!$AB$2='Offer Statistics'!$K$2:$K$400),0)),"/")</f>
        <v>106</v>
      </c>
      <c r="AE43" s="64" cm="1">
        <f t="array" ref="AE43">IFERROR(INDEX('Offer Statistics'!M$2:M$400,MATCH(1,(CityU!$A43='Offer Statistics'!$B$2:$B$400)*(CityU!$AB$2='Offer Statistics'!$K$2:$K$400),0)),"/")</f>
        <v>14</v>
      </c>
      <c r="AF43" s="64" cm="1">
        <f t="array" ref="AF43">IFERROR(INDEX('Offer Statistics'!N$2:N$400,MATCH(1,(CityU!$A43='Offer Statistics'!$B$2:$B$400)*(CityU!$AB$2='Offer Statistics'!$K$2:$K$400),0)),"/")</f>
        <v>5</v>
      </c>
      <c r="AG43" s="64" cm="1">
        <f t="array" ref="AG43">IFERROR(INDEX('Offer Statistics'!O$2:O$400,MATCH(1,(CityU!$A43='Offer Statistics'!$B$2:$B$400)*(CityU!$AB$2='Offer Statistics'!$K$2:$K$400),0)),"/")</f>
        <v>2</v>
      </c>
      <c r="AH43" s="64" cm="1">
        <f t="array" ref="AH43">IFERROR(INDEX('Offer Statistics'!P$2:P$400,MATCH(1,(CityU!$A43='Offer Statistics'!$B$2:$B$400)*(CityU!$AB$2='Offer Statistics'!$K$2:$K$400),0)),"/")</f>
        <v>0</v>
      </c>
      <c r="AI43" s="511"/>
      <c r="AJ43" s="36" cm="1">
        <f t="array" ref="AJ43">IFERROR(INDEX('Offer Statistics'!$I$2:$I$400,MATCH(1,(CityU!$A43='Offer Statistics'!$B$2:$B$400)*(CityU!$AB$2='Offer Statistics'!$C$2:$C$400),0)),"/")</f>
        <v>2920</v>
      </c>
      <c r="AK43" s="64" cm="1">
        <f t="array" ref="AK43">IFERROR(INDEX('Offer Statistics'!D$2:D$400,MATCH(1,(CityU!$A43='Offer Statistics'!$B$2:$B$400)*(CityU!$AB$2='Offer Statistics'!$C$2:$C$400),0)),"/")</f>
        <v>642</v>
      </c>
      <c r="AL43" s="64" cm="1">
        <f t="array" ref="AL43">IFERROR(INDEX('Offer Statistics'!E$2:E$400,MATCH(1,(CityU!$A43='Offer Statistics'!$B$2:$B$400)*(CityU!$AB$2='Offer Statistics'!$C$2:$C$400),0)),"/")</f>
        <v>552</v>
      </c>
      <c r="AM43" s="64" cm="1">
        <f t="array" ref="AM43">IFERROR(INDEX('Offer Statistics'!F$2:F$400,MATCH(1,(CityU!$A43='Offer Statistics'!$B$2:$B$400)*(CityU!$AB$2='Offer Statistics'!$C$2:$C$400),0)),"/")</f>
        <v>613</v>
      </c>
      <c r="AN43" s="64" cm="1">
        <f t="array" ref="AN43">IFERROR(INDEX('Offer Statistics'!G$2:G$400,MATCH(1,(CityU!$A43='Offer Statistics'!$B$2:$B$400)*(CityU!$AB$2='Offer Statistics'!$C$2:$C$400),0)),"/")</f>
        <v>664</v>
      </c>
      <c r="AO43" s="64" cm="1">
        <f t="array" ref="AO43">IFERROR(INDEX('Offer Statistics'!H$2:H$400,MATCH(1,(CityU!$A43='Offer Statistics'!$B$2:$B$400)*(CityU!$AB$2='Offer Statistics'!$C$2:$C$400),0)),"/")</f>
        <v>449</v>
      </c>
      <c r="AP43" s="15"/>
      <c r="AQ43" s="15" t="str">
        <f t="shared" si="4"/>
        <v>JS1205</v>
      </c>
      <c r="AR43" s="4"/>
      <c r="AS43" s="4"/>
      <c r="AT43" s="4"/>
      <c r="AU43" s="4"/>
      <c r="AV43" s="4"/>
      <c r="AW43" s="4"/>
      <c r="AX43" s="4"/>
      <c r="AY43" s="4"/>
      <c r="AZ43" s="4"/>
      <c r="BA43" s="4"/>
      <c r="BB43" s="4"/>
      <c r="BC43" s="4"/>
      <c r="BD43" s="4"/>
      <c r="BE43" s="4"/>
      <c r="BF43" s="4"/>
    </row>
    <row r="44" spans="1:58" s="2" customFormat="1" ht="18" customHeight="1">
      <c r="A44" s="15" t="str">
        <f>'Reference Score Calculation'!A55</f>
        <v>JS1206</v>
      </c>
      <c r="B44" s="4" t="str">
        <f>'Reference Score Calculation'!C55</f>
        <v>理學院</v>
      </c>
      <c r="C44" s="23" t="str">
        <f>'Reference Score Calculation'!D55</f>
        <v>理學士(計算數學)</v>
      </c>
      <c r="D44" s="4" t="str">
        <f>'Reference Score Calculation'!R55</f>
        <v>BScCM</v>
      </c>
      <c r="E44" s="392" t="str">
        <f>'Reference Score Calculation'!AB55</f>
        <v>Best 4</v>
      </c>
      <c r="F44" s="391" t="str">
        <f>'Reference Score Calculation'!E55</f>
        <v>Best 5</v>
      </c>
      <c r="G44" s="6">
        <f>'Reference Score Calculation'!H55</f>
        <v>31.5</v>
      </c>
      <c r="H44" s="6">
        <f>'Reference Score Calculation'!I55</f>
        <v>30</v>
      </c>
      <c r="I44" s="45">
        <f>計分版!J78</f>
        <v>4.4000000000000005E-9</v>
      </c>
      <c r="J44" s="185">
        <f t="shared" si="1"/>
        <v>-31.4999999956</v>
      </c>
      <c r="K44" s="190">
        <f t="shared" si="2"/>
        <v>-7159090908.0909081</v>
      </c>
      <c r="L44" s="36">
        <f>'Reference Score Calculation'!T55</f>
        <v>31</v>
      </c>
      <c r="M44" s="86">
        <f>入學要求!Z64</f>
        <v>0</v>
      </c>
      <c r="N44" s="512"/>
      <c r="O44" s="166">
        <f>入學要求!L64</f>
        <v>3</v>
      </c>
      <c r="P44" s="166">
        <f>入學要求!M64</f>
        <v>3</v>
      </c>
      <c r="Q44" s="166">
        <f>入學要求!N64</f>
        <v>3</v>
      </c>
      <c r="R44" s="166">
        <f>入學要求!O64</f>
        <v>1</v>
      </c>
      <c r="S44" s="166">
        <f>入學要求!P64</f>
        <v>3</v>
      </c>
      <c r="T44" s="166">
        <f>入學要求!Q64</f>
        <v>3</v>
      </c>
      <c r="U44" s="256">
        <f>入學要求!S64</f>
        <v>0</v>
      </c>
      <c r="V44" s="256">
        <f>入學要求!T64</f>
        <v>0</v>
      </c>
      <c r="W44" s="256">
        <f>入學要求!U64</f>
        <v>0</v>
      </c>
      <c r="X44" s="256">
        <f>入學要求!V64</f>
        <v>0</v>
      </c>
      <c r="Y44" s="256">
        <f>入學要求!W64</f>
        <v>0</v>
      </c>
      <c r="Z44" s="256">
        <f>入學要求!X64</f>
        <v>0</v>
      </c>
      <c r="AA44" s="44">
        <f t="shared" si="3"/>
        <v>7.8</v>
      </c>
      <c r="AB44" s="510"/>
      <c r="AC44" s="36" cm="1">
        <f t="array" ref="AC44">IFERROR(INDEX('Offer Statistics'!$Q$2:$Q$400,MATCH(1,(CityU!$A44='Offer Statistics'!$B$2:$B$400)*(CityU!$AB$2='Offer Statistics'!$K$2:$K$400),0)),"/")</f>
        <v>30</v>
      </c>
      <c r="AD44" s="64" cm="1">
        <f t="array" ref="AD44">IFERROR(INDEX('Offer Statistics'!L$2:L$400,MATCH(1,(CityU!$A44='Offer Statistics'!$B$2:$B$400)*(CityU!$AB$2='Offer Statistics'!$K$2:$K$400),0)),"/")</f>
        <v>20</v>
      </c>
      <c r="AE44" s="64" cm="1">
        <f t="array" ref="AE44">IFERROR(INDEX('Offer Statistics'!M$2:M$400,MATCH(1,(CityU!$A44='Offer Statistics'!$B$2:$B$400)*(CityU!$AB$2='Offer Statistics'!$K$2:$K$400),0)),"/")</f>
        <v>5</v>
      </c>
      <c r="AF44" s="64" cm="1">
        <f t="array" ref="AF44">IFERROR(INDEX('Offer Statistics'!N$2:N$400,MATCH(1,(CityU!$A44='Offer Statistics'!$B$2:$B$400)*(CityU!$AB$2='Offer Statistics'!$K$2:$K$400),0)),"/")</f>
        <v>3</v>
      </c>
      <c r="AG44" s="64" cm="1">
        <f t="array" ref="AG44">IFERROR(INDEX('Offer Statistics'!O$2:O$400,MATCH(1,(CityU!$A44='Offer Statistics'!$B$2:$B$400)*(CityU!$AB$2='Offer Statistics'!$K$2:$K$400),0)),"/")</f>
        <v>1</v>
      </c>
      <c r="AH44" s="64" cm="1">
        <f t="array" ref="AH44">IFERROR(INDEX('Offer Statistics'!P$2:P$400,MATCH(1,(CityU!$A44='Offer Statistics'!$B$2:$B$400)*(CityU!$AB$2='Offer Statistics'!$K$2:$K$400),0)),"/")</f>
        <v>1</v>
      </c>
      <c r="AI44" s="511"/>
      <c r="AJ44" s="36" cm="1">
        <f t="array" ref="AJ44">IFERROR(INDEX('Offer Statistics'!$I$2:$I$400,MATCH(1,(CityU!$A44='Offer Statistics'!$B$2:$B$400)*(CityU!$AB$2='Offer Statistics'!$C$2:$C$400),0)),"/")</f>
        <v>1350</v>
      </c>
      <c r="AK44" s="64" cm="1">
        <f t="array" ref="AK44">IFERROR(INDEX('Offer Statistics'!D$2:D$400,MATCH(1,(CityU!$A44='Offer Statistics'!$B$2:$B$400)*(CityU!$AB$2='Offer Statistics'!$C$2:$C$400),0)),"/")</f>
        <v>156</v>
      </c>
      <c r="AL44" s="64" cm="1">
        <f t="array" ref="AL44">IFERROR(INDEX('Offer Statistics'!E$2:E$400,MATCH(1,(CityU!$A44='Offer Statistics'!$B$2:$B$400)*(CityU!$AB$2='Offer Statistics'!$C$2:$C$400),0)),"/")</f>
        <v>244</v>
      </c>
      <c r="AM44" s="64" cm="1">
        <f t="array" ref="AM44">IFERROR(INDEX('Offer Statistics'!F$2:F$400,MATCH(1,(CityU!$A44='Offer Statistics'!$B$2:$B$400)*(CityU!$AB$2='Offer Statistics'!$C$2:$C$400),0)),"/")</f>
        <v>320</v>
      </c>
      <c r="AN44" s="64" cm="1">
        <f t="array" ref="AN44">IFERROR(INDEX('Offer Statistics'!G$2:G$400,MATCH(1,(CityU!$A44='Offer Statistics'!$B$2:$B$400)*(CityU!$AB$2='Offer Statistics'!$C$2:$C$400),0)),"/")</f>
        <v>343</v>
      </c>
      <c r="AO44" s="64" cm="1">
        <f t="array" ref="AO44">IFERROR(INDEX('Offer Statistics'!H$2:H$400,MATCH(1,(CityU!$A44='Offer Statistics'!$B$2:$B$400)*(CityU!$AB$2='Offer Statistics'!$C$2:$C$400),0)),"/")</f>
        <v>287</v>
      </c>
      <c r="AP44" s="15"/>
      <c r="AQ44" s="15" t="str">
        <f t="shared" si="4"/>
        <v>JS1206</v>
      </c>
      <c r="AR44" s="4"/>
      <c r="AS44" s="4"/>
      <c r="AT44" s="4"/>
      <c r="AU44" s="4"/>
      <c r="AV44" s="4"/>
      <c r="AW44" s="4"/>
      <c r="AX44" s="4"/>
      <c r="AY44" s="4"/>
      <c r="AZ44" s="4"/>
      <c r="BA44" s="4"/>
      <c r="BB44" s="4"/>
      <c r="BC44" s="4"/>
      <c r="BD44" s="4"/>
      <c r="BE44" s="4"/>
      <c r="BF44" s="4"/>
    </row>
    <row r="45" spans="1:58" s="2" customFormat="1" ht="18" customHeight="1">
      <c r="A45" s="15" t="str">
        <f>'Reference Score Calculation'!A56</f>
        <v>JS1207</v>
      </c>
      <c r="B45" s="4" t="str">
        <f>'Reference Score Calculation'!C56</f>
        <v>工學院</v>
      </c>
      <c r="C45" s="23" t="str">
        <f>'Reference Score Calculation'!D56</f>
        <v>機械工程學系 [選項: 工學士(航空航天工程)、工學士(機械工程)、工學士(核子及風險工程)]</v>
      </c>
      <c r="D45" s="4" t="str">
        <f>'Reference Score Calculation'!R56</f>
        <v>MNE</v>
      </c>
      <c r="E45" s="392" t="str">
        <f>'Reference Score Calculation'!AB56</f>
        <v>Best 5</v>
      </c>
      <c r="F45" s="391" t="str">
        <f>'Reference Score Calculation'!E56</f>
        <v>Best 6</v>
      </c>
      <c r="G45" s="6">
        <f>'Reference Score Calculation'!H56</f>
        <v>31</v>
      </c>
      <c r="H45" s="6">
        <f>'Reference Score Calculation'!I56</f>
        <v>30</v>
      </c>
      <c r="I45" s="45">
        <f>計分版!J79</f>
        <v>4.7000000000000007E-9</v>
      </c>
      <c r="J45" s="185">
        <f t="shared" si="1"/>
        <v>-30.999999995300001</v>
      </c>
      <c r="K45" s="190">
        <f t="shared" si="2"/>
        <v>-6595744679.8510628</v>
      </c>
      <c r="L45" s="36">
        <f>'Reference Score Calculation'!T56</f>
        <v>108</v>
      </c>
      <c r="M45" s="86">
        <f>入學要求!Z65</f>
        <v>0</v>
      </c>
      <c r="N45" s="512"/>
      <c r="O45" s="166">
        <f>入學要求!L65</f>
        <v>3</v>
      </c>
      <c r="P45" s="166">
        <f>入學要求!M65</f>
        <v>3</v>
      </c>
      <c r="Q45" s="166">
        <f>入學要求!N65</f>
        <v>2</v>
      </c>
      <c r="R45" s="166">
        <f>入學要求!O65</f>
        <v>1</v>
      </c>
      <c r="S45" s="166">
        <f>入學要求!P65</f>
        <v>3</v>
      </c>
      <c r="T45" s="166">
        <f>入學要求!Q65</f>
        <v>3</v>
      </c>
      <c r="U45" s="256">
        <f>入學要求!S65</f>
        <v>0</v>
      </c>
      <c r="V45" s="256">
        <f>入學要求!T65</f>
        <v>0</v>
      </c>
      <c r="W45" s="256">
        <f>入學要求!U65</f>
        <v>0</v>
      </c>
      <c r="X45" s="256">
        <f>入學要求!V65</f>
        <v>0</v>
      </c>
      <c r="Y45" s="256">
        <f>入學要求!W65</f>
        <v>0</v>
      </c>
      <c r="Z45" s="256">
        <f>入學要求!X65</f>
        <v>0</v>
      </c>
      <c r="AA45" s="44">
        <f t="shared" si="3"/>
        <v>4.75</v>
      </c>
      <c r="AB45" s="510"/>
      <c r="AC45" s="36" cm="1">
        <f t="array" ref="AC45">IFERROR(INDEX('Offer Statistics'!$Q$2:$Q$400,MATCH(1,(CityU!$A45='Offer Statistics'!$B$2:$B$400)*(CityU!$AB$2='Offer Statistics'!$K$2:$K$400),0)),"/")</f>
        <v>102</v>
      </c>
      <c r="AD45" s="64" cm="1">
        <f t="array" ref="AD45">IFERROR(INDEX('Offer Statistics'!L$2:L$400,MATCH(1,(CityU!$A45='Offer Statistics'!$B$2:$B$400)*(CityU!$AB$2='Offer Statistics'!$K$2:$K$400),0)),"/")</f>
        <v>84</v>
      </c>
      <c r="AE45" s="64" cm="1">
        <f t="array" ref="AE45">IFERROR(INDEX('Offer Statistics'!M$2:M$400,MATCH(1,(CityU!$A45='Offer Statistics'!$B$2:$B$400)*(CityU!$AB$2='Offer Statistics'!$K$2:$K$400),0)),"/")</f>
        <v>15</v>
      </c>
      <c r="AF45" s="64" cm="1">
        <f t="array" ref="AF45">IFERROR(INDEX('Offer Statistics'!N$2:N$400,MATCH(1,(CityU!$A45='Offer Statistics'!$B$2:$B$400)*(CityU!$AB$2='Offer Statistics'!$K$2:$K$400),0)),"/")</f>
        <v>2</v>
      </c>
      <c r="AG45" s="64" cm="1">
        <f t="array" ref="AG45">IFERROR(INDEX('Offer Statistics'!O$2:O$400,MATCH(1,(CityU!$A45='Offer Statistics'!$B$2:$B$400)*(CityU!$AB$2='Offer Statistics'!$K$2:$K$400),0)),"/")</f>
        <v>1</v>
      </c>
      <c r="AH45" s="64" cm="1">
        <f t="array" ref="AH45">IFERROR(INDEX('Offer Statistics'!P$2:P$400,MATCH(1,(CityU!$A45='Offer Statistics'!$B$2:$B$400)*(CityU!$AB$2='Offer Statistics'!$K$2:$K$400),0)),"/")</f>
        <v>0</v>
      </c>
      <c r="AI45" s="511"/>
      <c r="AJ45" s="36" cm="1">
        <f t="array" ref="AJ45">IFERROR(INDEX('Offer Statistics'!$I$2:$I$400,MATCH(1,(CityU!$A45='Offer Statistics'!$B$2:$B$400)*(CityU!$AB$2='Offer Statistics'!$C$2:$C$400),0)),"/")</f>
        <v>2169</v>
      </c>
      <c r="AK45" s="64" cm="1">
        <f t="array" ref="AK45">IFERROR(INDEX('Offer Statistics'!D$2:D$400,MATCH(1,(CityU!$A45='Offer Statistics'!$B$2:$B$400)*(CityU!$AB$2='Offer Statistics'!$C$2:$C$400),0)),"/")</f>
        <v>399</v>
      </c>
      <c r="AL45" s="64" cm="1">
        <f t="array" ref="AL45">IFERROR(INDEX('Offer Statistics'!E$2:E$400,MATCH(1,(CityU!$A45='Offer Statistics'!$B$2:$B$400)*(CityU!$AB$2='Offer Statistics'!$C$2:$C$400),0)),"/")</f>
        <v>432</v>
      </c>
      <c r="AM45" s="64" cm="1">
        <f t="array" ref="AM45">IFERROR(INDEX('Offer Statistics'!F$2:F$400,MATCH(1,(CityU!$A45='Offer Statistics'!$B$2:$B$400)*(CityU!$AB$2='Offer Statistics'!$C$2:$C$400),0)),"/")</f>
        <v>467</v>
      </c>
      <c r="AN45" s="64" cm="1">
        <f t="array" ref="AN45">IFERROR(INDEX('Offer Statistics'!G$2:G$400,MATCH(1,(CityU!$A45='Offer Statistics'!$B$2:$B$400)*(CityU!$AB$2='Offer Statistics'!$C$2:$C$400),0)),"/")</f>
        <v>513</v>
      </c>
      <c r="AO45" s="64" cm="1">
        <f t="array" ref="AO45">IFERROR(INDEX('Offer Statistics'!H$2:H$400,MATCH(1,(CityU!$A45='Offer Statistics'!$B$2:$B$400)*(CityU!$AB$2='Offer Statistics'!$C$2:$C$400),0)),"/")</f>
        <v>358</v>
      </c>
      <c r="AP45" s="15"/>
      <c r="AQ45" s="15" t="str">
        <f t="shared" si="4"/>
        <v>JS1207</v>
      </c>
      <c r="AR45" s="4"/>
      <c r="AS45" s="4"/>
      <c r="AT45" s="4"/>
      <c r="AU45" s="4"/>
      <c r="AV45" s="4"/>
      <c r="AW45" s="4"/>
      <c r="AX45" s="4"/>
      <c r="AY45" s="4"/>
      <c r="AZ45" s="4"/>
      <c r="BA45" s="4"/>
      <c r="BB45" s="4"/>
      <c r="BC45" s="4"/>
      <c r="BD45" s="4"/>
      <c r="BE45" s="4"/>
      <c r="BF45" s="4"/>
    </row>
    <row r="46" spans="1:58" s="2" customFormat="1" ht="18" customHeight="1">
      <c r="A46" s="15" t="str">
        <f>'Reference Score Calculation'!A57</f>
        <v>JS1208</v>
      </c>
      <c r="B46" s="4" t="str">
        <f>'Reference Score Calculation'!C57</f>
        <v>理學院</v>
      </c>
      <c r="C46" s="23" t="str">
        <f>'Reference Score Calculation'!D57</f>
        <v>理學士(物理學)</v>
      </c>
      <c r="D46" s="4" t="str">
        <f>'Reference Score Calculation'!R57</f>
        <v>BScPHY</v>
      </c>
      <c r="E46" s="392" t="str">
        <f>'Reference Score Calculation'!AB57</f>
        <v>Best 4</v>
      </c>
      <c r="F46" s="386" t="str">
        <f>'Reference Score Calculation'!E57</f>
        <v>Best 5</v>
      </c>
      <c r="G46" s="6">
        <f>'Reference Score Calculation'!H57</f>
        <v>26</v>
      </c>
      <c r="H46" s="6">
        <f>'Reference Score Calculation'!I57</f>
        <v>25</v>
      </c>
      <c r="I46" s="45">
        <f>計分版!J80</f>
        <v>3.7750000000000007E-9</v>
      </c>
      <c r="J46" s="185">
        <f t="shared" si="1"/>
        <v>-25.999999996225</v>
      </c>
      <c r="K46" s="190">
        <f t="shared" si="2"/>
        <v>-6887417217.543045</v>
      </c>
      <c r="L46" s="36">
        <f>'Reference Score Calculation'!T57</f>
        <v>22</v>
      </c>
      <c r="M46" s="86">
        <f>入學要求!Z66</f>
        <v>0</v>
      </c>
      <c r="N46" s="512"/>
      <c r="O46" s="166">
        <f>入學要求!L66</f>
        <v>3</v>
      </c>
      <c r="P46" s="166">
        <f>入學要求!M66</f>
        <v>3</v>
      </c>
      <c r="Q46" s="166">
        <f>入學要求!N66</f>
        <v>2</v>
      </c>
      <c r="R46" s="166">
        <f>入學要求!O66</f>
        <v>1</v>
      </c>
      <c r="S46" s="166">
        <f>入學要求!P66</f>
        <v>3</v>
      </c>
      <c r="T46" s="166">
        <f>入學要求!Q66</f>
        <v>3</v>
      </c>
      <c r="U46" s="256">
        <f>入學要求!S66</f>
        <v>0</v>
      </c>
      <c r="V46" s="256">
        <f>入學要求!T66</f>
        <v>0</v>
      </c>
      <c r="W46" s="256">
        <f>入學要求!U66</f>
        <v>0</v>
      </c>
      <c r="X46" s="256">
        <f>入學要求!V66</f>
        <v>0</v>
      </c>
      <c r="Y46" s="256">
        <f>入學要求!W66</f>
        <v>0</v>
      </c>
      <c r="Z46" s="256">
        <f>入學要求!X66</f>
        <v>0</v>
      </c>
      <c r="AA46" s="44">
        <f t="shared" si="3"/>
        <v>7.93</v>
      </c>
      <c r="AB46" s="510"/>
      <c r="AC46" s="36" cm="1">
        <f t="array" ref="AC46">IFERROR(INDEX('Offer Statistics'!$Q$2:$Q$400,MATCH(1,(CityU!$A46='Offer Statistics'!$B$2:$B$400)*(CityU!$AB$2='Offer Statistics'!$K$2:$K$400),0)),"/")</f>
        <v>25</v>
      </c>
      <c r="AD46" s="64" cm="1">
        <f t="array" ref="AD46">IFERROR(INDEX('Offer Statistics'!L$2:L$400,MATCH(1,(CityU!$A46='Offer Statistics'!$B$2:$B$400)*(CityU!$AB$2='Offer Statistics'!$K$2:$K$400),0)),"/")</f>
        <v>15</v>
      </c>
      <c r="AE46" s="64" cm="1">
        <f t="array" ref="AE46">IFERROR(INDEX('Offer Statistics'!M$2:M$400,MATCH(1,(CityU!$A46='Offer Statistics'!$B$2:$B$400)*(CityU!$AB$2='Offer Statistics'!$K$2:$K$400),0)),"/")</f>
        <v>3</v>
      </c>
      <c r="AF46" s="64" cm="1">
        <f t="array" ref="AF46">IFERROR(INDEX('Offer Statistics'!N$2:N$400,MATCH(1,(CityU!$A46='Offer Statistics'!$B$2:$B$400)*(CityU!$AB$2='Offer Statistics'!$K$2:$K$400),0)),"/")</f>
        <v>6</v>
      </c>
      <c r="AG46" s="64" cm="1">
        <f t="array" ref="AG46">IFERROR(INDEX('Offer Statistics'!O$2:O$400,MATCH(1,(CityU!$A46='Offer Statistics'!$B$2:$B$400)*(CityU!$AB$2='Offer Statistics'!$K$2:$K$400),0)),"/")</f>
        <v>0</v>
      </c>
      <c r="AH46" s="64" cm="1">
        <f t="array" ref="AH46">IFERROR(INDEX('Offer Statistics'!P$2:P$400,MATCH(1,(CityU!$A46='Offer Statistics'!$B$2:$B$400)*(CityU!$AB$2='Offer Statistics'!$K$2:$K$400),0)),"/")</f>
        <v>1</v>
      </c>
      <c r="AI46" s="511"/>
      <c r="AJ46" s="36" cm="1">
        <f t="array" ref="AJ46">IFERROR(INDEX('Offer Statistics'!$I$2:$I$400,MATCH(1,(CityU!$A46='Offer Statistics'!$B$2:$B$400)*(CityU!$AB$2='Offer Statistics'!$C$2:$C$400),0)),"/")</f>
        <v>1294</v>
      </c>
      <c r="AK46" s="64" cm="1">
        <f t="array" ref="AK46">IFERROR(INDEX('Offer Statistics'!D$2:D$400,MATCH(1,(CityU!$A46='Offer Statistics'!$B$2:$B$400)*(CityU!$AB$2='Offer Statistics'!$C$2:$C$400),0)),"/")</f>
        <v>119</v>
      </c>
      <c r="AL46" s="64" cm="1">
        <f t="array" ref="AL46">IFERROR(INDEX('Offer Statistics'!E$2:E$400,MATCH(1,(CityU!$A46='Offer Statistics'!$B$2:$B$400)*(CityU!$AB$2='Offer Statistics'!$C$2:$C$400),0)),"/")</f>
        <v>214</v>
      </c>
      <c r="AM46" s="64" cm="1">
        <f t="array" ref="AM46">IFERROR(INDEX('Offer Statistics'!F$2:F$400,MATCH(1,(CityU!$A46='Offer Statistics'!$B$2:$B$400)*(CityU!$AB$2='Offer Statistics'!$C$2:$C$400),0)),"/")</f>
        <v>303</v>
      </c>
      <c r="AN46" s="64" cm="1">
        <f t="array" ref="AN46">IFERROR(INDEX('Offer Statistics'!G$2:G$400,MATCH(1,(CityU!$A46='Offer Statistics'!$B$2:$B$400)*(CityU!$AB$2='Offer Statistics'!$C$2:$C$400),0)),"/")</f>
        <v>383</v>
      </c>
      <c r="AO46" s="64" cm="1">
        <f t="array" ref="AO46">IFERROR(INDEX('Offer Statistics'!H$2:H$400,MATCH(1,(CityU!$A46='Offer Statistics'!$B$2:$B$400)*(CityU!$AB$2='Offer Statistics'!$C$2:$C$400),0)),"/")</f>
        <v>275</v>
      </c>
      <c r="AP46" s="15"/>
      <c r="AQ46" s="15" t="str">
        <f t="shared" si="4"/>
        <v>JS1208</v>
      </c>
      <c r="AR46" s="4"/>
      <c r="AS46" s="4"/>
      <c r="AT46" s="4"/>
      <c r="AU46" s="4"/>
      <c r="AV46" s="4"/>
      <c r="AW46" s="4"/>
      <c r="AX46" s="4"/>
      <c r="AY46" s="4"/>
      <c r="AZ46" s="4"/>
      <c r="BA46" s="4"/>
      <c r="BB46" s="4"/>
      <c r="BC46" s="4"/>
      <c r="BD46" s="4"/>
      <c r="BE46" s="4"/>
      <c r="BF46" s="4"/>
    </row>
    <row r="47" spans="1:58" s="2" customFormat="1" ht="18" customHeight="1">
      <c r="A47" s="15" t="str">
        <f>'Reference Score Calculation'!A58</f>
        <v>JS1210</v>
      </c>
      <c r="B47" s="4" t="str">
        <f>'Reference Score Calculation'!C58</f>
        <v>工學院</v>
      </c>
      <c r="C47" s="23" t="str">
        <f>'Reference Score Calculation'!D58</f>
        <v>工學士(材料科學及工程)</v>
      </c>
      <c r="D47" s="4" t="str">
        <f>'Reference Score Calculation'!R58</f>
        <v>BEngMASE</v>
      </c>
      <c r="E47" s="392" t="str">
        <f>'Reference Score Calculation'!AB58</f>
        <v>Best 5</v>
      </c>
      <c r="F47" s="391" t="str">
        <f>'Reference Score Calculation'!E58</f>
        <v>Best 6</v>
      </c>
      <c r="G47" s="6">
        <f>'Reference Score Calculation'!H58</f>
        <v>30.5</v>
      </c>
      <c r="H47" s="6">
        <f>'Reference Score Calculation'!I58</f>
        <v>29.5</v>
      </c>
      <c r="I47" s="45">
        <f>計分版!J81</f>
        <v>4.7000000000000007E-9</v>
      </c>
      <c r="J47" s="185">
        <f t="shared" si="1"/>
        <v>-30.499999995300001</v>
      </c>
      <c r="K47" s="190">
        <f t="shared" si="2"/>
        <v>-6489361701.1276588</v>
      </c>
      <c r="L47" s="36">
        <f>'Reference Score Calculation'!T58</f>
        <v>29</v>
      </c>
      <c r="M47" s="86">
        <f>入學要求!Z67</f>
        <v>0</v>
      </c>
      <c r="N47" s="512"/>
      <c r="O47" s="166">
        <f>入學要求!L67</f>
        <v>3</v>
      </c>
      <c r="P47" s="166">
        <f>入學要求!M67</f>
        <v>3</v>
      </c>
      <c r="Q47" s="166">
        <f>入學要求!N67</f>
        <v>2</v>
      </c>
      <c r="R47" s="166">
        <f>入學要求!O67</f>
        <v>1</v>
      </c>
      <c r="S47" s="166">
        <f>入學要求!P67</f>
        <v>3</v>
      </c>
      <c r="T47" s="166">
        <f>入學要求!Q67</f>
        <v>3</v>
      </c>
      <c r="U47" s="256">
        <f>入學要求!S67</f>
        <v>0</v>
      </c>
      <c r="V47" s="256">
        <f>入學要求!T67</f>
        <v>0</v>
      </c>
      <c r="W47" s="256">
        <f>入學要求!U67</f>
        <v>0</v>
      </c>
      <c r="X47" s="256">
        <f>入學要求!V67</f>
        <v>0</v>
      </c>
      <c r="Y47" s="256">
        <f>入學要求!W67</f>
        <v>0</v>
      </c>
      <c r="Z47" s="256">
        <f>入學要求!X67</f>
        <v>0</v>
      </c>
      <c r="AA47" s="44">
        <f t="shared" si="3"/>
        <v>4.33</v>
      </c>
      <c r="AB47" s="510"/>
      <c r="AC47" s="36" cm="1">
        <f t="array" ref="AC47">IFERROR(INDEX('Offer Statistics'!$Q$2:$Q$400,MATCH(1,(CityU!$A47='Offer Statistics'!$B$2:$B$400)*(CityU!$AB$2='Offer Statistics'!$K$2:$K$400),0)),"/")</f>
        <v>32</v>
      </c>
      <c r="AD47" s="64" cm="1">
        <f t="array" ref="AD47">IFERROR(INDEX('Offer Statistics'!L$2:L$400,MATCH(1,(CityU!$A47='Offer Statistics'!$B$2:$B$400)*(CityU!$AB$2='Offer Statistics'!$K$2:$K$400),0)),"/")</f>
        <v>24</v>
      </c>
      <c r="AE47" s="64" cm="1">
        <f t="array" ref="AE47">IFERROR(INDEX('Offer Statistics'!M$2:M$400,MATCH(1,(CityU!$A47='Offer Statistics'!$B$2:$B$400)*(CityU!$AB$2='Offer Statistics'!$K$2:$K$400),0)),"/")</f>
        <v>4</v>
      </c>
      <c r="AF47" s="64" cm="1">
        <f t="array" ref="AF47">IFERROR(INDEX('Offer Statistics'!N$2:N$400,MATCH(1,(CityU!$A47='Offer Statistics'!$B$2:$B$400)*(CityU!$AB$2='Offer Statistics'!$K$2:$K$400),0)),"/")</f>
        <v>3</v>
      </c>
      <c r="AG47" s="64" cm="1">
        <f t="array" ref="AG47">IFERROR(INDEX('Offer Statistics'!O$2:O$400,MATCH(1,(CityU!$A47='Offer Statistics'!$B$2:$B$400)*(CityU!$AB$2='Offer Statistics'!$K$2:$K$400),0)),"/")</f>
        <v>0</v>
      </c>
      <c r="AH47" s="64" cm="1">
        <f t="array" ref="AH47">IFERROR(INDEX('Offer Statistics'!P$2:P$400,MATCH(1,(CityU!$A47='Offer Statistics'!$B$2:$B$400)*(CityU!$AB$2='Offer Statistics'!$K$2:$K$400),0)),"/")</f>
        <v>1</v>
      </c>
      <c r="AI47" s="511"/>
      <c r="AJ47" s="36" cm="1">
        <f t="array" ref="AJ47">IFERROR(INDEX('Offer Statistics'!$I$2:$I$400,MATCH(1,(CityU!$A47='Offer Statistics'!$B$2:$B$400)*(CityU!$AB$2='Offer Statistics'!$C$2:$C$400),0)),"/")</f>
        <v>1147</v>
      </c>
      <c r="AK47" s="64" cm="1">
        <f t="array" ref="AK47">IFERROR(INDEX('Offer Statistics'!D$2:D$400,MATCH(1,(CityU!$A47='Offer Statistics'!$B$2:$B$400)*(CityU!$AB$2='Offer Statistics'!$C$2:$C$400),0)),"/")</f>
        <v>104</v>
      </c>
      <c r="AL47" s="64" cm="1">
        <f t="array" ref="AL47">IFERROR(INDEX('Offer Statistics'!E$2:E$400,MATCH(1,(CityU!$A47='Offer Statistics'!$B$2:$B$400)*(CityU!$AB$2='Offer Statistics'!$C$2:$C$400),0)),"/")</f>
        <v>173</v>
      </c>
      <c r="AM47" s="64" cm="1">
        <f t="array" ref="AM47">IFERROR(INDEX('Offer Statistics'!F$2:F$400,MATCH(1,(CityU!$A47='Offer Statistics'!$B$2:$B$400)*(CityU!$AB$2='Offer Statistics'!$C$2:$C$400),0)),"/")</f>
        <v>269</v>
      </c>
      <c r="AN47" s="64" cm="1">
        <f t="array" ref="AN47">IFERROR(INDEX('Offer Statistics'!G$2:G$400,MATCH(1,(CityU!$A47='Offer Statistics'!$B$2:$B$400)*(CityU!$AB$2='Offer Statistics'!$C$2:$C$400),0)),"/")</f>
        <v>329</v>
      </c>
      <c r="AO47" s="64" cm="1">
        <f t="array" ref="AO47">IFERROR(INDEX('Offer Statistics'!H$2:H$400,MATCH(1,(CityU!$A47='Offer Statistics'!$B$2:$B$400)*(CityU!$AB$2='Offer Statistics'!$C$2:$C$400),0)),"/")</f>
        <v>272</v>
      </c>
      <c r="AP47" s="15"/>
      <c r="AQ47" s="15" t="str">
        <f t="shared" si="4"/>
        <v>JS1210</v>
      </c>
      <c r="AR47" s="4"/>
      <c r="AS47" s="4"/>
      <c r="AT47" s="4"/>
      <c r="AU47" s="4"/>
      <c r="AV47" s="4"/>
      <c r="AW47" s="4"/>
      <c r="AX47" s="4"/>
      <c r="AY47" s="4"/>
      <c r="AZ47" s="4"/>
      <c r="BA47" s="4"/>
      <c r="BB47" s="4"/>
      <c r="BC47" s="4"/>
      <c r="BD47" s="4"/>
      <c r="BE47" s="4"/>
      <c r="BF47" s="4"/>
    </row>
    <row r="48" spans="1:58" s="2" customFormat="1" ht="18" customHeight="1">
      <c r="A48" s="15" t="str">
        <f>'Reference Score Calculation'!A59</f>
        <v>JS1211</v>
      </c>
      <c r="B48" s="4" t="str">
        <f>'Reference Score Calculation'!C59</f>
        <v>工學院</v>
      </c>
      <c r="C48" s="23" t="str">
        <f>'Reference Score Calculation'!D59</f>
        <v>工學士(生物醫學工程)</v>
      </c>
      <c r="D48" s="4" t="str">
        <f>'Reference Score Calculation'!R59</f>
        <v>BEngBME</v>
      </c>
      <c r="E48" s="392" t="str">
        <f>'Reference Score Calculation'!AB59</f>
        <v>Best 5</v>
      </c>
      <c r="F48" s="391" t="str">
        <f>'Reference Score Calculation'!E59</f>
        <v>Best 5</v>
      </c>
      <c r="G48" s="6">
        <f>'Reference Score Calculation'!H59</f>
        <v>34</v>
      </c>
      <c r="H48" s="6">
        <f>'Reference Score Calculation'!I59</f>
        <v>32</v>
      </c>
      <c r="I48" s="45">
        <f>計分版!J82</f>
        <v>4.3500000000000001E-9</v>
      </c>
      <c r="J48" s="185">
        <f t="shared" si="1"/>
        <v>-33.999999995650001</v>
      </c>
      <c r="K48" s="190">
        <f t="shared" si="2"/>
        <v>-7816091953.0229883</v>
      </c>
      <c r="L48" s="36">
        <f>'Reference Score Calculation'!T59</f>
        <v>44</v>
      </c>
      <c r="M48" s="86">
        <f>入學要求!Z68</f>
        <v>0</v>
      </c>
      <c r="N48" s="512"/>
      <c r="O48" s="166">
        <f>入學要求!L68</f>
        <v>3</v>
      </c>
      <c r="P48" s="166">
        <f>入學要求!M68</f>
        <v>3</v>
      </c>
      <c r="Q48" s="166">
        <f>入學要求!N68</f>
        <v>2</v>
      </c>
      <c r="R48" s="166">
        <f>入學要求!O68</f>
        <v>1</v>
      </c>
      <c r="S48" s="166">
        <f>入學要求!P68</f>
        <v>3</v>
      </c>
      <c r="T48" s="166">
        <f>入學要求!Q68</f>
        <v>3</v>
      </c>
      <c r="U48" s="256">
        <f>入學要求!S68</f>
        <v>0</v>
      </c>
      <c r="V48" s="256">
        <f>入學要求!T68</f>
        <v>0</v>
      </c>
      <c r="W48" s="256">
        <f>入學要求!U68</f>
        <v>0</v>
      </c>
      <c r="X48" s="256">
        <f>入學要求!V68</f>
        <v>0</v>
      </c>
      <c r="Y48" s="256">
        <f>入學要求!W68</f>
        <v>0</v>
      </c>
      <c r="Z48" s="256">
        <f>入學要求!X68</f>
        <v>0</v>
      </c>
      <c r="AA48" s="44">
        <f t="shared" si="3"/>
        <v>4.9800000000000004</v>
      </c>
      <c r="AB48" s="510"/>
      <c r="AC48" s="36" cm="1">
        <f t="array" ref="AC48">IFERROR(INDEX('Offer Statistics'!$Q$2:$Q$400,MATCH(1,(CityU!$A48='Offer Statistics'!$B$2:$B$400)*(CityU!$AB$2='Offer Statistics'!$K$2:$K$400),0)),"/")</f>
        <v>59</v>
      </c>
      <c r="AD48" s="64" cm="1">
        <f t="array" ref="AD48">IFERROR(INDEX('Offer Statistics'!L$2:L$400,MATCH(1,(CityU!$A48='Offer Statistics'!$B$2:$B$400)*(CityU!$AB$2='Offer Statistics'!$K$2:$K$400),0)),"/")</f>
        <v>49</v>
      </c>
      <c r="AE48" s="64" cm="1">
        <f t="array" ref="AE48">IFERROR(INDEX('Offer Statistics'!M$2:M$400,MATCH(1,(CityU!$A48='Offer Statistics'!$B$2:$B$400)*(CityU!$AB$2='Offer Statistics'!$K$2:$K$400),0)),"/")</f>
        <v>7</v>
      </c>
      <c r="AF48" s="64" cm="1">
        <f t="array" ref="AF48">IFERROR(INDEX('Offer Statistics'!N$2:N$400,MATCH(1,(CityU!$A48='Offer Statistics'!$B$2:$B$400)*(CityU!$AB$2='Offer Statistics'!$K$2:$K$400),0)),"/")</f>
        <v>2</v>
      </c>
      <c r="AG48" s="64" cm="1">
        <f t="array" ref="AG48">IFERROR(INDEX('Offer Statistics'!O$2:O$400,MATCH(1,(CityU!$A48='Offer Statistics'!$B$2:$B$400)*(CityU!$AB$2='Offer Statistics'!$K$2:$K$400),0)),"/")</f>
        <v>1</v>
      </c>
      <c r="AH48" s="64" cm="1">
        <f t="array" ref="AH48">IFERROR(INDEX('Offer Statistics'!P$2:P$400,MATCH(1,(CityU!$A48='Offer Statistics'!$B$2:$B$400)*(CityU!$AB$2='Offer Statistics'!$K$2:$K$400),0)),"/")</f>
        <v>0</v>
      </c>
      <c r="AI48" s="511"/>
      <c r="AJ48" s="36" cm="1">
        <f t="array" ref="AJ48">IFERROR(INDEX('Offer Statistics'!$I$2:$I$400,MATCH(1,(CityU!$A48='Offer Statistics'!$B$2:$B$400)*(CityU!$AB$2='Offer Statistics'!$C$2:$C$400),0)),"/")</f>
        <v>1883</v>
      </c>
      <c r="AK48" s="64" cm="1">
        <f t="array" ref="AK48">IFERROR(INDEX('Offer Statistics'!D$2:D$400,MATCH(1,(CityU!$A48='Offer Statistics'!$B$2:$B$400)*(CityU!$AB$2='Offer Statistics'!$C$2:$C$400),0)),"/")</f>
        <v>244</v>
      </c>
      <c r="AL48" s="64" cm="1">
        <f t="array" ref="AL48">IFERROR(INDEX('Offer Statistics'!E$2:E$400,MATCH(1,(CityU!$A48='Offer Statistics'!$B$2:$B$400)*(CityU!$AB$2='Offer Statistics'!$C$2:$C$400),0)),"/")</f>
        <v>357</v>
      </c>
      <c r="AM48" s="64" cm="1">
        <f t="array" ref="AM48">IFERROR(INDEX('Offer Statistics'!F$2:F$400,MATCH(1,(CityU!$A48='Offer Statistics'!$B$2:$B$400)*(CityU!$AB$2='Offer Statistics'!$C$2:$C$400),0)),"/")</f>
        <v>434</v>
      </c>
      <c r="AN48" s="64" cm="1">
        <f t="array" ref="AN48">IFERROR(INDEX('Offer Statistics'!G$2:G$400,MATCH(1,(CityU!$A48='Offer Statistics'!$B$2:$B$400)*(CityU!$AB$2='Offer Statistics'!$C$2:$C$400),0)),"/")</f>
        <v>478</v>
      </c>
      <c r="AO48" s="64" cm="1">
        <f t="array" ref="AO48">IFERROR(INDEX('Offer Statistics'!H$2:H$400,MATCH(1,(CityU!$A48='Offer Statistics'!$B$2:$B$400)*(CityU!$AB$2='Offer Statistics'!$C$2:$C$400),0)),"/")</f>
        <v>370</v>
      </c>
      <c r="AP48" s="15"/>
      <c r="AQ48" s="15" t="str">
        <f t="shared" si="4"/>
        <v>JS1211</v>
      </c>
      <c r="AR48" s="4"/>
      <c r="AS48" s="4"/>
      <c r="AT48" s="4"/>
      <c r="AU48" s="4"/>
      <c r="AV48" s="4"/>
      <c r="AW48" s="4"/>
      <c r="AX48" s="4"/>
      <c r="AY48" s="4"/>
      <c r="AZ48" s="4"/>
      <c r="BA48" s="4"/>
      <c r="BB48" s="4"/>
      <c r="BC48" s="4"/>
      <c r="BD48" s="4"/>
      <c r="BE48" s="4"/>
      <c r="BF48" s="4"/>
    </row>
    <row r="49" spans="1:58" s="2" customFormat="1" ht="18" customHeight="1">
      <c r="A49" s="15" t="str">
        <f>'Reference Score Calculation'!A60</f>
        <v>JS1216</v>
      </c>
      <c r="B49" s="4" t="str">
        <f>'Reference Score Calculation'!C60</f>
        <v>工學院</v>
      </c>
      <c r="C49" s="23" t="str">
        <f>'Reference Score Calculation'!D60</f>
        <v>工學士(智能製造工程學)</v>
      </c>
      <c r="D49" s="4" t="str">
        <f>'Reference Score Calculation'!R60</f>
        <v>ITME</v>
      </c>
      <c r="E49" s="392" t="str">
        <f>'Reference Score Calculation'!AB60</f>
        <v>Best 5</v>
      </c>
      <c r="F49" s="391" t="str">
        <f>'Reference Score Calculation'!E60</f>
        <v>Best 5</v>
      </c>
      <c r="G49" s="6">
        <f>'Reference Score Calculation'!H60</f>
        <v>30</v>
      </c>
      <c r="H49" s="6">
        <f>'Reference Score Calculation'!I60</f>
        <v>30</v>
      </c>
      <c r="I49" s="45">
        <f>計分版!J83</f>
        <v>3.8500000000000006E-9</v>
      </c>
      <c r="J49" s="185">
        <f t="shared" si="1"/>
        <v>-29.999999996149999</v>
      </c>
      <c r="K49" s="190">
        <f t="shared" si="2"/>
        <v>-7792207791.2077904</v>
      </c>
      <c r="L49" s="36">
        <f>'Reference Score Calculation'!T60</f>
        <v>24</v>
      </c>
      <c r="M49" s="86">
        <f>入學要求!Z69</f>
        <v>0</v>
      </c>
      <c r="N49" s="512"/>
      <c r="O49" s="166">
        <f>入學要求!L69</f>
        <v>3</v>
      </c>
      <c r="P49" s="166">
        <f>入學要求!M69</f>
        <v>3</v>
      </c>
      <c r="Q49" s="166">
        <f>入學要求!N69</f>
        <v>2</v>
      </c>
      <c r="R49" s="166">
        <f>入學要求!O69</f>
        <v>1</v>
      </c>
      <c r="S49" s="166">
        <f>入學要求!P69</f>
        <v>3</v>
      </c>
      <c r="T49" s="166">
        <f>入學要求!Q69</f>
        <v>3</v>
      </c>
      <c r="U49" s="256">
        <f>入學要求!S69</f>
        <v>0</v>
      </c>
      <c r="V49" s="256">
        <f>入學要求!T69</f>
        <v>0</v>
      </c>
      <c r="W49" s="256">
        <f>入學要求!U69</f>
        <v>0</v>
      </c>
      <c r="X49" s="256">
        <f>入學要求!V69</f>
        <v>0</v>
      </c>
      <c r="Y49" s="256">
        <f>入學要求!W69</f>
        <v>0</v>
      </c>
      <c r="Z49" s="256">
        <f>入學要求!X69</f>
        <v>0</v>
      </c>
      <c r="AA49" s="44">
        <f t="shared" si="3"/>
        <v>16.64</v>
      </c>
      <c r="AB49" s="510"/>
      <c r="AC49" s="36" cm="1">
        <f t="array" ref="AC49">IFERROR(INDEX('Offer Statistics'!$Q$2:$Q$400,MATCH(1,(CityU!$A49='Offer Statistics'!$B$2:$B$400)*(CityU!$AB$2='Offer Statistics'!$K$2:$K$400),0)),"/")</f>
        <v>21</v>
      </c>
      <c r="AD49" s="64" cm="1">
        <f t="array" ref="AD49">IFERROR(INDEX('Offer Statistics'!L$2:L$400,MATCH(1,(CityU!$A49='Offer Statistics'!$B$2:$B$400)*(CityU!$AB$2='Offer Statistics'!$K$2:$K$400),0)),"/")</f>
        <v>14</v>
      </c>
      <c r="AE49" s="64" cm="1">
        <f t="array" ref="AE49">IFERROR(INDEX('Offer Statistics'!M$2:M$400,MATCH(1,(CityU!$A49='Offer Statistics'!$B$2:$B$400)*(CityU!$AB$2='Offer Statistics'!$K$2:$K$400),0)),"/")</f>
        <v>5</v>
      </c>
      <c r="AF49" s="64" cm="1">
        <f t="array" ref="AF49">IFERROR(INDEX('Offer Statistics'!N$2:N$400,MATCH(1,(CityU!$A49='Offer Statistics'!$B$2:$B$400)*(CityU!$AB$2='Offer Statistics'!$K$2:$K$400),0)),"/")</f>
        <v>0</v>
      </c>
      <c r="AG49" s="64" cm="1">
        <f t="array" ref="AG49">IFERROR(INDEX('Offer Statistics'!O$2:O$400,MATCH(1,(CityU!$A49='Offer Statistics'!$B$2:$B$400)*(CityU!$AB$2='Offer Statistics'!$K$2:$K$400),0)),"/")</f>
        <v>1</v>
      </c>
      <c r="AH49" s="64" cm="1">
        <f t="array" ref="AH49">IFERROR(INDEX('Offer Statistics'!P$2:P$400,MATCH(1,(CityU!$A49='Offer Statistics'!$B$2:$B$400)*(CityU!$AB$2='Offer Statistics'!$K$2:$K$400),0)),"/")</f>
        <v>1</v>
      </c>
      <c r="AI49" s="511"/>
      <c r="AJ49" s="36" cm="1">
        <f t="array" ref="AJ49">IFERROR(INDEX('Offer Statistics'!$I$2:$I$400,MATCH(1,(CityU!$A49='Offer Statistics'!$B$2:$B$400)*(CityU!$AB$2='Offer Statistics'!$C$2:$C$400),0)),"/")</f>
        <v>1450</v>
      </c>
      <c r="AK49" s="64" cm="1">
        <f t="array" ref="AK49">IFERROR(INDEX('Offer Statistics'!D$2:D$400,MATCH(1,(CityU!$A49='Offer Statistics'!$B$2:$B$400)*(CityU!$AB$2='Offer Statistics'!$C$2:$C$400),0)),"/")</f>
        <v>233</v>
      </c>
      <c r="AL49" s="64" cm="1">
        <f t="array" ref="AL49">IFERROR(INDEX('Offer Statistics'!E$2:E$400,MATCH(1,(CityU!$A49='Offer Statistics'!$B$2:$B$400)*(CityU!$AB$2='Offer Statistics'!$C$2:$C$400),0)),"/")</f>
        <v>251</v>
      </c>
      <c r="AM49" s="64" cm="1">
        <f t="array" ref="AM49">IFERROR(INDEX('Offer Statistics'!F$2:F$400,MATCH(1,(CityU!$A49='Offer Statistics'!$B$2:$B$400)*(CityU!$AB$2='Offer Statistics'!$C$2:$C$400),0)),"/")</f>
        <v>288</v>
      </c>
      <c r="AN49" s="64" cm="1">
        <f t="array" ref="AN49">IFERROR(INDEX('Offer Statistics'!G$2:G$400,MATCH(1,(CityU!$A49='Offer Statistics'!$B$2:$B$400)*(CityU!$AB$2='Offer Statistics'!$C$2:$C$400),0)),"/")</f>
        <v>362</v>
      </c>
      <c r="AO49" s="64" cm="1">
        <f t="array" ref="AO49">IFERROR(INDEX('Offer Statistics'!H$2:H$400,MATCH(1,(CityU!$A49='Offer Statistics'!$B$2:$B$400)*(CityU!$AB$2='Offer Statistics'!$C$2:$C$400),0)),"/")</f>
        <v>316</v>
      </c>
      <c r="AP49" s="15"/>
      <c r="AQ49" s="15" t="str">
        <f t="shared" si="4"/>
        <v>JS1216</v>
      </c>
      <c r="AR49" s="4"/>
      <c r="AS49" s="4"/>
      <c r="AT49" s="4"/>
      <c r="AU49" s="4"/>
      <c r="AV49" s="4"/>
      <c r="AW49" s="4"/>
      <c r="AX49" s="4"/>
      <c r="AY49" s="4"/>
      <c r="AZ49" s="4"/>
      <c r="BA49" s="4"/>
      <c r="BB49" s="4"/>
      <c r="BC49" s="4"/>
      <c r="BD49" s="4"/>
      <c r="BE49" s="4"/>
      <c r="BF49" s="4"/>
    </row>
    <row r="50" spans="1:58" s="2" customFormat="1" ht="18" customHeight="1">
      <c r="A50" s="15" t="str">
        <f>'Reference Score Calculation'!A61</f>
        <v>JS1217</v>
      </c>
      <c r="B50" s="4" t="str">
        <f>'Reference Score Calculation'!C61</f>
        <v>工學院</v>
      </c>
      <c r="C50" s="23" t="str">
        <f>'Reference Score Calculation'!D61</f>
        <v>工學院(選項: 工學院任何一個主修及工程創業副修)</v>
      </c>
      <c r="D50" s="4" t="str">
        <f>'Reference Score Calculation'!R61</f>
        <v>CENG</v>
      </c>
      <c r="E50" s="392" t="str">
        <f>'Reference Score Calculation'!AB61</f>
        <v>Best 5</v>
      </c>
      <c r="F50" s="391" t="str">
        <f>'Reference Score Calculation'!E61</f>
        <v>Best 6</v>
      </c>
      <c r="G50" s="6">
        <f>'Reference Score Calculation'!H61</f>
        <v>38</v>
      </c>
      <c r="H50" s="6">
        <f>'Reference Score Calculation'!I61</f>
        <v>37</v>
      </c>
      <c r="I50" s="45">
        <f>計分版!J84</f>
        <v>4.7500000000000003E-9</v>
      </c>
      <c r="J50" s="185">
        <f t="shared" si="1"/>
        <v>-37.99999999525</v>
      </c>
      <c r="K50" s="190">
        <f t="shared" si="2"/>
        <v>-7999999998.999999</v>
      </c>
      <c r="L50" s="36">
        <f>'Reference Score Calculation'!T61</f>
        <v>10</v>
      </c>
      <c r="M50" s="86">
        <f>入學要求!Z70</f>
        <v>0</v>
      </c>
      <c r="N50" s="512"/>
      <c r="O50" s="166">
        <f>入學要求!L70</f>
        <v>3</v>
      </c>
      <c r="P50" s="166">
        <f>入學要求!M70</f>
        <v>3</v>
      </c>
      <c r="Q50" s="166">
        <f>入學要求!N70</f>
        <v>3</v>
      </c>
      <c r="R50" s="166">
        <f>入學要求!O70</f>
        <v>1</v>
      </c>
      <c r="S50" s="166">
        <f>入學要求!P70</f>
        <v>3</v>
      </c>
      <c r="T50" s="166">
        <f>入學要求!Q70</f>
        <v>3</v>
      </c>
      <c r="U50" s="256">
        <f>入學要求!S70</f>
        <v>0</v>
      </c>
      <c r="V50" s="256">
        <f>入學要求!T70</f>
        <v>0</v>
      </c>
      <c r="W50" s="256">
        <f>入學要求!U70</f>
        <v>0</v>
      </c>
      <c r="X50" s="256">
        <f>入學要求!V70</f>
        <v>0</v>
      </c>
      <c r="Y50" s="256">
        <f>入學要求!W70</f>
        <v>0</v>
      </c>
      <c r="Z50" s="256">
        <f>入學要求!X70</f>
        <v>0</v>
      </c>
      <c r="AA50" s="44">
        <f t="shared" si="3"/>
        <v>9.8000000000000007</v>
      </c>
      <c r="AB50" s="510"/>
      <c r="AC50" s="36" cm="1">
        <f t="array" ref="AC50">IFERROR(INDEX('Offer Statistics'!$Q$2:$Q$400,MATCH(1,(CityU!$A50='Offer Statistics'!$B$2:$B$400)*(CityU!$AB$2='Offer Statistics'!$K$2:$K$400),0)),"/")</f>
        <v>7</v>
      </c>
      <c r="AD50" s="64" cm="1">
        <f t="array" ref="AD50">IFERROR(INDEX('Offer Statistics'!L$2:L$400,MATCH(1,(CityU!$A50='Offer Statistics'!$B$2:$B$400)*(CityU!$AB$2='Offer Statistics'!$K$2:$K$400),0)),"/")</f>
        <v>5</v>
      </c>
      <c r="AE50" s="64" cm="1">
        <f t="array" ref="AE50">IFERROR(INDEX('Offer Statistics'!M$2:M$400,MATCH(1,(CityU!$A50='Offer Statistics'!$B$2:$B$400)*(CityU!$AB$2='Offer Statistics'!$K$2:$K$400),0)),"/")</f>
        <v>2</v>
      </c>
      <c r="AF50" s="64" cm="1">
        <f t="array" ref="AF50">IFERROR(INDEX('Offer Statistics'!N$2:N$400,MATCH(1,(CityU!$A50='Offer Statistics'!$B$2:$B$400)*(CityU!$AB$2='Offer Statistics'!$K$2:$K$400),0)),"/")</f>
        <v>0</v>
      </c>
      <c r="AG50" s="64" cm="1">
        <f t="array" ref="AG50">IFERROR(INDEX('Offer Statistics'!O$2:O$400,MATCH(1,(CityU!$A50='Offer Statistics'!$B$2:$B$400)*(CityU!$AB$2='Offer Statistics'!$K$2:$K$400),0)),"/")</f>
        <v>0</v>
      </c>
      <c r="AH50" s="64" cm="1">
        <f t="array" ref="AH50">IFERROR(INDEX('Offer Statistics'!P$2:P$400,MATCH(1,(CityU!$A50='Offer Statistics'!$B$2:$B$400)*(CityU!$AB$2='Offer Statistics'!$K$2:$K$400),0)),"/")</f>
        <v>0</v>
      </c>
      <c r="AI50" s="511"/>
      <c r="AJ50" s="36" cm="1">
        <f t="array" ref="AJ50">IFERROR(INDEX('Offer Statistics'!$I$2:$I$400,MATCH(1,(CityU!$A50='Offer Statistics'!$B$2:$B$400)*(CityU!$AB$2='Offer Statistics'!$C$2:$C$400),0)),"/")</f>
        <v>934</v>
      </c>
      <c r="AK50" s="64" cm="1">
        <f t="array" ref="AK50">IFERROR(INDEX('Offer Statistics'!D$2:D$400,MATCH(1,(CityU!$A50='Offer Statistics'!$B$2:$B$400)*(CityU!$AB$2='Offer Statistics'!$C$2:$C$400),0)),"/")</f>
        <v>49</v>
      </c>
      <c r="AL50" s="64" cm="1">
        <f t="array" ref="AL50">IFERROR(INDEX('Offer Statistics'!E$2:E$400,MATCH(1,(CityU!$A50='Offer Statistics'!$B$2:$B$400)*(CityU!$AB$2='Offer Statistics'!$C$2:$C$400),0)),"/")</f>
        <v>139</v>
      </c>
      <c r="AM50" s="64" cm="1">
        <f t="array" ref="AM50">IFERROR(INDEX('Offer Statistics'!F$2:F$400,MATCH(1,(CityU!$A50='Offer Statistics'!$B$2:$B$400)*(CityU!$AB$2='Offer Statistics'!$C$2:$C$400),0)),"/")</f>
        <v>225</v>
      </c>
      <c r="AN50" s="64" cm="1">
        <f t="array" ref="AN50">IFERROR(INDEX('Offer Statistics'!G$2:G$400,MATCH(1,(CityU!$A50='Offer Statistics'!$B$2:$B$400)*(CityU!$AB$2='Offer Statistics'!$C$2:$C$400),0)),"/")</f>
        <v>285</v>
      </c>
      <c r="AO50" s="64" cm="1">
        <f t="array" ref="AO50">IFERROR(INDEX('Offer Statistics'!H$2:H$400,MATCH(1,(CityU!$A50='Offer Statistics'!$B$2:$B$400)*(CityU!$AB$2='Offer Statistics'!$C$2:$C$400),0)),"/")</f>
        <v>236</v>
      </c>
      <c r="AP50" s="15"/>
      <c r="AQ50" s="15" t="str">
        <f t="shared" si="4"/>
        <v>JS1217</v>
      </c>
      <c r="AR50" s="4"/>
      <c r="AS50" s="4"/>
      <c r="AT50" s="4"/>
      <c r="AU50" s="4"/>
      <c r="AV50" s="4"/>
      <c r="AW50" s="4"/>
      <c r="AX50" s="4"/>
      <c r="AY50" s="4"/>
      <c r="AZ50" s="4"/>
      <c r="BA50" s="4"/>
      <c r="BB50" s="4"/>
      <c r="BC50" s="4"/>
      <c r="BD50" s="4"/>
      <c r="BE50" s="4"/>
      <c r="BF50" s="4"/>
    </row>
    <row r="51" spans="1:58" s="2" customFormat="1" ht="18" customHeight="1">
      <c r="A51" s="15" t="str">
        <f>'Reference Score Calculation'!A62</f>
        <v>JS1220</v>
      </c>
      <c r="B51" s="4" t="str">
        <f>'Reference Score Calculation'!C62</f>
        <v>法律學院/理學院</v>
      </c>
      <c r="C51" s="23" t="str">
        <f>'Reference Score Calculation'!D62</f>
        <v>法律學學士與理學士(計算數學)</v>
      </c>
      <c r="D51" s="4" t="str">
        <f>'Reference Score Calculation'!R62</f>
        <v>LLB&amp;BScCM</v>
      </c>
      <c r="E51" s="392" t="str">
        <f>'Reference Score Calculation'!AB62</f>
        <v>Best 4</v>
      </c>
      <c r="F51" s="386" t="str">
        <f>'Reference Score Calculation'!E62</f>
        <v>Best 5</v>
      </c>
      <c r="G51" s="6" t="str">
        <f>'Reference Score Calculation'!H62</f>
        <v>/</v>
      </c>
      <c r="H51" s="6" t="str">
        <f>'Reference Score Calculation'!I62</f>
        <v>/</v>
      </c>
      <c r="I51" s="45">
        <f>計分版!J85</f>
        <v>3.05E-9</v>
      </c>
      <c r="J51" s="258" t="str">
        <f t="shared" si="1"/>
        <v>/</v>
      </c>
      <c r="K51" s="259" t="str">
        <f t="shared" si="2"/>
        <v>/</v>
      </c>
      <c r="L51" s="36">
        <f>'Reference Score Calculation'!T62</f>
        <v>9</v>
      </c>
      <c r="M51" s="86">
        <f>入學要求!Z71</f>
        <v>0</v>
      </c>
      <c r="N51" s="512"/>
      <c r="O51" s="166">
        <f>入學要求!L71</f>
        <v>3</v>
      </c>
      <c r="P51" s="166">
        <f>入學要求!M71</f>
        <v>5</v>
      </c>
      <c r="Q51" s="166">
        <f>入學要求!N71</f>
        <v>3</v>
      </c>
      <c r="R51" s="166">
        <f>入學要求!O71</f>
        <v>1</v>
      </c>
      <c r="S51" s="166">
        <f>入學要求!P71</f>
        <v>3</v>
      </c>
      <c r="T51" s="166">
        <f>入學要求!Q71</f>
        <v>3</v>
      </c>
      <c r="U51" s="256">
        <f>入學要求!S71</f>
        <v>0</v>
      </c>
      <c r="V51" s="256">
        <f>入學要求!T71</f>
        <v>0</v>
      </c>
      <c r="W51" s="256">
        <f>入學要求!U71</f>
        <v>0</v>
      </c>
      <c r="X51" s="256">
        <f>入學要求!V71</f>
        <v>0</v>
      </c>
      <c r="Y51" s="256">
        <f>入學要求!W71</f>
        <v>0</v>
      </c>
      <c r="Z51" s="256">
        <f>入學要求!X71</f>
        <v>0</v>
      </c>
      <c r="AA51" s="44" t="str">
        <f t="shared" si="3"/>
        <v>/</v>
      </c>
      <c r="AB51" s="510"/>
      <c r="AC51" s="36" cm="1">
        <f t="array" ref="AC51">IFERROR(INDEX('Offer Statistics'!$Q$2:$Q$400,MATCH(1,(CityU!$A51='Offer Statistics'!$B$2:$B$400)*(CityU!$AB$2='Offer Statistics'!$K$2:$K$400),0)),"/")</f>
        <v>0</v>
      </c>
      <c r="AD51" s="64" cm="1">
        <f t="array" ref="AD51">IFERROR(INDEX('Offer Statistics'!L$2:L$400,MATCH(1,(CityU!$A51='Offer Statistics'!$B$2:$B$400)*(CityU!$AB$2='Offer Statistics'!$K$2:$K$400),0)),"/")</f>
        <v>0</v>
      </c>
      <c r="AE51" s="64" cm="1">
        <f t="array" ref="AE51">IFERROR(INDEX('Offer Statistics'!M$2:M$400,MATCH(1,(CityU!$A51='Offer Statistics'!$B$2:$B$400)*(CityU!$AB$2='Offer Statistics'!$K$2:$K$400),0)),"/")</f>
        <v>0</v>
      </c>
      <c r="AF51" s="64" cm="1">
        <f t="array" ref="AF51">IFERROR(INDEX('Offer Statistics'!N$2:N$400,MATCH(1,(CityU!$A51='Offer Statistics'!$B$2:$B$400)*(CityU!$AB$2='Offer Statistics'!$K$2:$K$400),0)),"/")</f>
        <v>0</v>
      </c>
      <c r="AG51" s="64" cm="1">
        <f t="array" ref="AG51">IFERROR(INDEX('Offer Statistics'!O$2:O$400,MATCH(1,(CityU!$A51='Offer Statistics'!$B$2:$B$400)*(CityU!$AB$2='Offer Statistics'!$K$2:$K$400),0)),"/")</f>
        <v>0</v>
      </c>
      <c r="AH51" s="64" cm="1">
        <f t="array" ref="AH51">IFERROR(INDEX('Offer Statistics'!P$2:P$400,MATCH(1,(CityU!$A51='Offer Statistics'!$B$2:$B$400)*(CityU!$AB$2='Offer Statistics'!$K$2:$K$400),0)),"/")</f>
        <v>0</v>
      </c>
      <c r="AI51" s="511"/>
      <c r="AJ51" s="36" cm="1">
        <f t="array" ref="AJ51">IFERROR(INDEX('Offer Statistics'!$I$2:$I$400,MATCH(1,(CityU!$A51='Offer Statistics'!$B$2:$B$400)*(CityU!$AB$2='Offer Statistics'!$C$2:$C$400),0)),"/")</f>
        <v>138</v>
      </c>
      <c r="AK51" s="64" cm="1">
        <f t="array" ref="AK51">IFERROR(INDEX('Offer Statistics'!D$2:D$400,MATCH(1,(CityU!$A51='Offer Statistics'!$B$2:$B$400)*(CityU!$AB$2='Offer Statistics'!$C$2:$C$400),0)),"/")</f>
        <v>6</v>
      </c>
      <c r="AL51" s="64" cm="1">
        <f t="array" ref="AL51">IFERROR(INDEX('Offer Statistics'!E$2:E$400,MATCH(1,(CityU!$A51='Offer Statistics'!$B$2:$B$400)*(CityU!$AB$2='Offer Statistics'!$C$2:$C$400),0)),"/")</f>
        <v>12</v>
      </c>
      <c r="AM51" s="64" cm="1">
        <f t="array" ref="AM51">IFERROR(INDEX('Offer Statistics'!F$2:F$400,MATCH(1,(CityU!$A51='Offer Statistics'!$B$2:$B$400)*(CityU!$AB$2='Offer Statistics'!$C$2:$C$400),0)),"/")</f>
        <v>22</v>
      </c>
      <c r="AN51" s="64" cm="1">
        <f t="array" ref="AN51">IFERROR(INDEX('Offer Statistics'!G$2:G$400,MATCH(1,(CityU!$A51='Offer Statistics'!$B$2:$B$400)*(CityU!$AB$2='Offer Statistics'!$C$2:$C$400),0)),"/")</f>
        <v>38</v>
      </c>
      <c r="AO51" s="64" cm="1">
        <f t="array" ref="AO51">IFERROR(INDEX('Offer Statistics'!H$2:H$400,MATCH(1,(CityU!$A51='Offer Statistics'!$B$2:$B$400)*(CityU!$AB$2='Offer Statistics'!$C$2:$C$400),0)),"/")</f>
        <v>60</v>
      </c>
      <c r="AP51" s="15"/>
      <c r="AQ51" s="15" t="str">
        <f t="shared" si="4"/>
        <v>JS1220</v>
      </c>
      <c r="AR51" s="4"/>
      <c r="AS51" s="4"/>
      <c r="AT51" s="4"/>
      <c r="AU51" s="4"/>
      <c r="AV51" s="4"/>
      <c r="AW51" s="4"/>
      <c r="AX51" s="4"/>
      <c r="AY51" s="4"/>
      <c r="AZ51" s="4"/>
      <c r="BA51" s="4"/>
      <c r="BB51" s="4"/>
      <c r="BC51" s="4"/>
      <c r="BD51" s="4"/>
      <c r="BE51" s="4"/>
      <c r="BF51" s="4"/>
    </row>
    <row r="52" spans="1:58" s="2" customFormat="1" ht="18" customHeight="1">
      <c r="A52" s="15" t="str">
        <f>'Reference Score Calculation'!A63</f>
        <v>JS1221</v>
      </c>
      <c r="B52" s="4" t="str">
        <f>'Reference Score Calculation'!C63</f>
        <v>理學院</v>
      </c>
      <c r="C52" s="23" t="str">
        <f>'Reference Score Calculation'!D63</f>
        <v>理學士(電腦科學)與理學士(計算金融及金融科技)</v>
      </c>
      <c r="D52" s="4" t="str">
        <f>'Reference Score Calculation'!R63</f>
        <v>BScCS&amp;BScCFFT</v>
      </c>
      <c r="E52" s="392" t="str">
        <f>'Reference Score Calculation'!AB63</f>
        <v>Best 5</v>
      </c>
      <c r="F52" s="390" t="str">
        <f>'Reference Score Calculation'!E63</f>
        <v>4C2X</v>
      </c>
      <c r="G52" s="6">
        <f>'Reference Score Calculation'!H63</f>
        <v>24</v>
      </c>
      <c r="H52" s="6">
        <f>'Reference Score Calculation'!I63</f>
        <v>23</v>
      </c>
      <c r="I52" s="45">
        <f>計分版!J86</f>
        <v>2.7499999999999998E-9</v>
      </c>
      <c r="J52" s="185">
        <f t="shared" si="1"/>
        <v>-23.999999997250001</v>
      </c>
      <c r="K52" s="190">
        <f t="shared" si="2"/>
        <v>-8727272726.272728</v>
      </c>
      <c r="L52" s="36">
        <f>'Reference Score Calculation'!T63</f>
        <v>10</v>
      </c>
      <c r="M52" s="86">
        <f>入學要求!Z72</f>
        <v>0</v>
      </c>
      <c r="N52" s="512"/>
      <c r="O52" s="166">
        <f>入學要求!L72</f>
        <v>3</v>
      </c>
      <c r="P52" s="166">
        <f>入學要求!M72</f>
        <v>3</v>
      </c>
      <c r="Q52" s="166">
        <f>入學要求!N72</f>
        <v>4</v>
      </c>
      <c r="R52" s="166">
        <f>入學要求!O72</f>
        <v>1</v>
      </c>
      <c r="S52" s="166">
        <f>入學要求!P72</f>
        <v>3</v>
      </c>
      <c r="T52" s="166">
        <f>入學要求!Q72</f>
        <v>3</v>
      </c>
      <c r="U52" s="256">
        <f>入學要求!S72</f>
        <v>0</v>
      </c>
      <c r="V52" s="256">
        <f>入學要求!T72</f>
        <v>0</v>
      </c>
      <c r="W52" s="256">
        <f>入學要求!U72</f>
        <v>0</v>
      </c>
      <c r="X52" s="256">
        <f>入學要求!V72</f>
        <v>0</v>
      </c>
      <c r="Y52" s="256">
        <f>入學要求!W72</f>
        <v>0</v>
      </c>
      <c r="Z52" s="256">
        <f>入學要求!X72</f>
        <v>0</v>
      </c>
      <c r="AA52" s="44">
        <f t="shared" si="3"/>
        <v>9.82</v>
      </c>
      <c r="AB52" s="510"/>
      <c r="AC52" s="36" cm="1">
        <f t="array" ref="AC52">IFERROR(INDEX('Offer Statistics'!$Q$2:$Q$400,MATCH(1,(CityU!$A52='Offer Statistics'!$B$2:$B$400)*(CityU!$AB$2='Offer Statistics'!$K$2:$K$400),0)),"/")</f>
        <v>11</v>
      </c>
      <c r="AD52" s="64" cm="1">
        <f t="array" ref="AD52">IFERROR(INDEX('Offer Statistics'!L$2:L$400,MATCH(1,(CityU!$A52='Offer Statistics'!$B$2:$B$400)*(CityU!$AB$2='Offer Statistics'!$K$2:$K$400),0)),"/")</f>
        <v>11</v>
      </c>
      <c r="AE52" s="64" cm="1">
        <f t="array" ref="AE52">IFERROR(INDEX('Offer Statistics'!M$2:M$400,MATCH(1,(CityU!$A52='Offer Statistics'!$B$2:$B$400)*(CityU!$AB$2='Offer Statistics'!$K$2:$K$400),0)),"/")</f>
        <v>0</v>
      </c>
      <c r="AF52" s="64" cm="1">
        <f t="array" ref="AF52">IFERROR(INDEX('Offer Statistics'!N$2:N$400,MATCH(1,(CityU!$A52='Offer Statistics'!$B$2:$B$400)*(CityU!$AB$2='Offer Statistics'!$K$2:$K$400),0)),"/")</f>
        <v>0</v>
      </c>
      <c r="AG52" s="64" cm="1">
        <f t="array" ref="AG52">IFERROR(INDEX('Offer Statistics'!O$2:O$400,MATCH(1,(CityU!$A52='Offer Statistics'!$B$2:$B$400)*(CityU!$AB$2='Offer Statistics'!$K$2:$K$400),0)),"/")</f>
        <v>0</v>
      </c>
      <c r="AH52" s="64" cm="1">
        <f t="array" ref="AH52">IFERROR(INDEX('Offer Statistics'!P$2:P$400,MATCH(1,(CityU!$A52='Offer Statistics'!$B$2:$B$400)*(CityU!$AB$2='Offer Statistics'!$K$2:$K$400),0)),"/")</f>
        <v>0</v>
      </c>
      <c r="AI52" s="511"/>
      <c r="AJ52" s="36" cm="1">
        <f t="array" ref="AJ52">IFERROR(INDEX('Offer Statistics'!$I$2:$I$400,MATCH(1,(CityU!$A52='Offer Statistics'!$B$2:$B$400)*(CityU!$AB$2='Offer Statistics'!$C$2:$C$400),0)),"/")</f>
        <v>1132</v>
      </c>
      <c r="AK52" s="64" cm="1">
        <f t="array" ref="AK52">IFERROR(INDEX('Offer Statistics'!D$2:D$400,MATCH(1,(CityU!$A52='Offer Statistics'!$B$2:$B$400)*(CityU!$AB$2='Offer Statistics'!$C$2:$C$400),0)),"/")</f>
        <v>108</v>
      </c>
      <c r="AL52" s="64" cm="1">
        <f t="array" ref="AL52">IFERROR(INDEX('Offer Statistics'!E$2:E$400,MATCH(1,(CityU!$A52='Offer Statistics'!$B$2:$B$400)*(CityU!$AB$2='Offer Statistics'!$C$2:$C$400),0)),"/")</f>
        <v>179</v>
      </c>
      <c r="AM52" s="64" cm="1">
        <f t="array" ref="AM52">IFERROR(INDEX('Offer Statistics'!F$2:F$400,MATCH(1,(CityU!$A52='Offer Statistics'!$B$2:$B$400)*(CityU!$AB$2='Offer Statistics'!$C$2:$C$400),0)),"/")</f>
        <v>282</v>
      </c>
      <c r="AN52" s="64" cm="1">
        <f t="array" ref="AN52">IFERROR(INDEX('Offer Statistics'!G$2:G$400,MATCH(1,(CityU!$A52='Offer Statistics'!$B$2:$B$400)*(CityU!$AB$2='Offer Statistics'!$C$2:$C$400),0)),"/")</f>
        <v>307</v>
      </c>
      <c r="AO52" s="64" cm="1">
        <f t="array" ref="AO52">IFERROR(INDEX('Offer Statistics'!H$2:H$400,MATCH(1,(CityU!$A52='Offer Statistics'!$B$2:$B$400)*(CityU!$AB$2='Offer Statistics'!$C$2:$C$400),0)),"/")</f>
        <v>256</v>
      </c>
      <c r="AP52" s="15"/>
      <c r="AQ52" s="15" t="str">
        <f t="shared" si="4"/>
        <v>JS1221</v>
      </c>
      <c r="AR52" s="4"/>
      <c r="AS52" s="4"/>
      <c r="AT52" s="4"/>
      <c r="AU52" s="4"/>
      <c r="AV52" s="4"/>
      <c r="AW52" s="4"/>
      <c r="AX52" s="4"/>
      <c r="AY52" s="4"/>
      <c r="AZ52" s="4"/>
      <c r="BA52" s="4"/>
      <c r="BB52" s="4"/>
      <c r="BC52" s="4"/>
      <c r="BD52" s="4"/>
      <c r="BE52" s="4"/>
      <c r="BF52" s="4"/>
    </row>
    <row r="53" spans="1:58" s="2" customFormat="1" ht="18" customHeight="1">
      <c r="A53" s="15" t="str">
        <f>'Reference Score Calculation'!A64</f>
        <v>JS1801</v>
      </c>
      <c r="B53" s="4" t="str">
        <f>'Reference Score Calculation'!C64</f>
        <v>賽馬會動物醫學及生命科學院</v>
      </c>
      <c r="C53" s="23" t="str">
        <f>'Reference Score Calculation'!D64</f>
        <v>獸醫學學士</v>
      </c>
      <c r="D53" s="4" t="str">
        <f>'Reference Score Calculation'!R64</f>
        <v>BVM</v>
      </c>
      <c r="E53" s="392" t="str">
        <f>'Reference Score Calculation'!AB64</f>
        <v>Best 5</v>
      </c>
      <c r="F53" s="365" t="str">
        <f>'Reference Score Calculation'!E64</f>
        <v>Best 6</v>
      </c>
      <c r="G53" s="6">
        <f>'Reference Score Calculation'!H64</f>
        <v>35</v>
      </c>
      <c r="H53" s="6">
        <f>'Reference Score Calculation'!I64</f>
        <v>31</v>
      </c>
      <c r="I53" s="45">
        <f>計分版!J87</f>
        <v>2.1999999999999998E-9</v>
      </c>
      <c r="J53" s="185">
        <f t="shared" si="1"/>
        <v>-34.999999997800003</v>
      </c>
      <c r="K53" s="190">
        <f t="shared" si="2"/>
        <v>-15909090908.090912</v>
      </c>
      <c r="L53" s="36">
        <f>'Reference Score Calculation'!T64</f>
        <v>30</v>
      </c>
      <c r="M53" s="86">
        <f>入學要求!Z73</f>
        <v>0</v>
      </c>
      <c r="N53" s="512"/>
      <c r="O53" s="166">
        <f>入學要求!L73</f>
        <v>3</v>
      </c>
      <c r="P53" s="166">
        <f>入學要求!M73</f>
        <v>5</v>
      </c>
      <c r="Q53" s="166">
        <f>入學要求!N73</f>
        <v>3</v>
      </c>
      <c r="R53" s="166">
        <f>入學要求!O73</f>
        <v>1</v>
      </c>
      <c r="S53" s="166">
        <f>入學要求!P73</f>
        <v>3</v>
      </c>
      <c r="T53" s="166">
        <f>入學要求!Q73</f>
        <v>3</v>
      </c>
      <c r="U53" s="256">
        <f>入學要求!S73</f>
        <v>0</v>
      </c>
      <c r="V53" s="256">
        <f>入學要求!T73</f>
        <v>0</v>
      </c>
      <c r="W53" s="256">
        <f>入學要求!U73</f>
        <v>0</v>
      </c>
      <c r="X53" s="256">
        <f>入學要求!V73</f>
        <v>0</v>
      </c>
      <c r="Y53" s="256">
        <f>入學要求!W73</f>
        <v>0</v>
      </c>
      <c r="Z53" s="256">
        <f>入學要求!X73</f>
        <v>0</v>
      </c>
      <c r="AA53" s="44">
        <f t="shared" si="3"/>
        <v>5.33</v>
      </c>
      <c r="AB53" s="510"/>
      <c r="AC53" s="36" cm="1">
        <f t="array" ref="AC53">IFERROR(INDEX('Offer Statistics'!$Q$2:$Q$400,MATCH(1,(CityU!$A53='Offer Statistics'!$B$2:$B$400)*(CityU!$AB$2='Offer Statistics'!$K$2:$K$400),0)),"/")</f>
        <v>21</v>
      </c>
      <c r="AD53" s="64" cm="1">
        <f t="array" ref="AD53">IFERROR(INDEX('Offer Statistics'!L$2:L$400,MATCH(1,(CityU!$A53='Offer Statistics'!$B$2:$B$400)*(CityU!$AB$2='Offer Statistics'!$K$2:$K$400),0)),"/")</f>
        <v>21</v>
      </c>
      <c r="AE53" s="64" cm="1">
        <f t="array" ref="AE53">IFERROR(INDEX('Offer Statistics'!M$2:M$400,MATCH(1,(CityU!$A53='Offer Statistics'!$B$2:$B$400)*(CityU!$AB$2='Offer Statistics'!$K$2:$K$400),0)),"/")</f>
        <v>0</v>
      </c>
      <c r="AF53" s="64" cm="1">
        <f t="array" ref="AF53">IFERROR(INDEX('Offer Statistics'!N$2:N$400,MATCH(1,(CityU!$A53='Offer Statistics'!$B$2:$B$400)*(CityU!$AB$2='Offer Statistics'!$K$2:$K$400),0)),"/")</f>
        <v>0</v>
      </c>
      <c r="AG53" s="64" cm="1">
        <f t="array" ref="AG53">IFERROR(INDEX('Offer Statistics'!O$2:O$400,MATCH(1,(CityU!$A53='Offer Statistics'!$B$2:$B$400)*(CityU!$AB$2='Offer Statistics'!$K$2:$K$400),0)),"/")</f>
        <v>0</v>
      </c>
      <c r="AH53" s="64" cm="1">
        <f t="array" ref="AH53">IFERROR(INDEX('Offer Statistics'!P$2:P$400,MATCH(1,(CityU!$A53='Offer Statistics'!$B$2:$B$400)*(CityU!$AB$2='Offer Statistics'!$K$2:$K$400),0)),"/")</f>
        <v>0</v>
      </c>
      <c r="AI53" s="511"/>
      <c r="AJ53" s="36" cm="1">
        <f t="array" ref="AJ53">IFERROR(INDEX('Offer Statistics'!$I$2:$I$400,MATCH(1,(CityU!$A53='Offer Statistics'!$B$2:$B$400)*(CityU!$AB$2='Offer Statistics'!$C$2:$C$400),0)),"/")</f>
        <v>862</v>
      </c>
      <c r="AK53" s="64" cm="1">
        <f t="array" ref="AK53">IFERROR(INDEX('Offer Statistics'!D$2:D$400,MATCH(1,(CityU!$A53='Offer Statistics'!$B$2:$B$400)*(CityU!$AB$2='Offer Statistics'!$C$2:$C$400),0)),"/")</f>
        <v>112</v>
      </c>
      <c r="AL53" s="64" cm="1">
        <f t="array" ref="AL53">IFERROR(INDEX('Offer Statistics'!E$2:E$400,MATCH(1,(CityU!$A53='Offer Statistics'!$B$2:$B$400)*(CityU!$AB$2='Offer Statistics'!$C$2:$C$400),0)),"/")</f>
        <v>91</v>
      </c>
      <c r="AM53" s="64" cm="1">
        <f t="array" ref="AM53">IFERROR(INDEX('Offer Statistics'!F$2:F$400,MATCH(1,(CityU!$A53='Offer Statistics'!$B$2:$B$400)*(CityU!$AB$2='Offer Statistics'!$C$2:$C$400),0)),"/")</f>
        <v>161</v>
      </c>
      <c r="AN53" s="64" cm="1">
        <f t="array" ref="AN53">IFERROR(INDEX('Offer Statistics'!G$2:G$400,MATCH(1,(CityU!$A53='Offer Statistics'!$B$2:$B$400)*(CityU!$AB$2='Offer Statistics'!$C$2:$C$400),0)),"/")</f>
        <v>231</v>
      </c>
      <c r="AO53" s="64" cm="1">
        <f t="array" ref="AO53">IFERROR(INDEX('Offer Statistics'!H$2:H$400,MATCH(1,(CityU!$A53='Offer Statistics'!$B$2:$B$400)*(CityU!$AB$2='Offer Statistics'!$C$2:$C$400),0)),"/")</f>
        <v>267</v>
      </c>
      <c r="AP53" s="15"/>
      <c r="AQ53" s="15" t="str">
        <f t="shared" si="4"/>
        <v>JS1801</v>
      </c>
      <c r="AR53" s="4"/>
      <c r="AS53" s="4"/>
      <c r="AT53" s="4"/>
      <c r="AU53" s="4"/>
      <c r="AV53" s="4"/>
      <c r="AW53" s="4"/>
      <c r="AX53" s="4"/>
      <c r="AY53" s="4"/>
      <c r="AZ53" s="4"/>
      <c r="BA53" s="4"/>
      <c r="BB53" s="4"/>
      <c r="BC53" s="4"/>
      <c r="BD53" s="4"/>
      <c r="BE53" s="4"/>
      <c r="BF53" s="4"/>
    </row>
    <row r="54" spans="1:58" s="2" customFormat="1" ht="18" customHeight="1">
      <c r="A54" s="15" t="str">
        <f>'Reference Score Calculation'!A65</f>
        <v>JS1805</v>
      </c>
      <c r="B54" s="4" t="str">
        <f>'Reference Score Calculation'!C65</f>
        <v>賽馬會動物醫學及生命科學院</v>
      </c>
      <c r="C54" s="23" t="str">
        <f>'Reference Score Calculation'!D65</f>
        <v>生物醫學系 [選項: 理學士(生物科學)、理學士(生物醫學)]</v>
      </c>
      <c r="D54" s="4" t="str">
        <f>'Reference Score Calculation'!R65</f>
        <v>BMS</v>
      </c>
      <c r="E54" s="392" t="str">
        <f>'Reference Score Calculation'!AB65</f>
        <v>3C2X</v>
      </c>
      <c r="F54" s="391" t="str">
        <f>'Reference Score Calculation'!E65</f>
        <v>4C2X</v>
      </c>
      <c r="G54" s="6">
        <f>'Reference Score Calculation'!H65</f>
        <v>39</v>
      </c>
      <c r="H54" s="6">
        <f>'Reference Score Calculation'!I65</f>
        <v>38</v>
      </c>
      <c r="I54" s="45">
        <f>計分版!J88</f>
        <v>2.9499999999999999E-9</v>
      </c>
      <c r="J54" s="185">
        <f t="shared" si="1"/>
        <v>-38.999999997049997</v>
      </c>
      <c r="K54" s="190">
        <f t="shared" si="2"/>
        <v>-13220338982.050846</v>
      </c>
      <c r="L54" s="36">
        <f>'Reference Score Calculation'!T65</f>
        <v>24</v>
      </c>
      <c r="M54" s="86">
        <f>入學要求!Z74</f>
        <v>0</v>
      </c>
      <c r="N54" s="512"/>
      <c r="O54" s="166">
        <f>入學要求!L74</f>
        <v>3</v>
      </c>
      <c r="P54" s="166">
        <f>入學要求!M74</f>
        <v>3</v>
      </c>
      <c r="Q54" s="166">
        <f>入學要求!N74</f>
        <v>3</v>
      </c>
      <c r="R54" s="166">
        <f>入學要求!O74</f>
        <v>1</v>
      </c>
      <c r="S54" s="166">
        <f>入學要求!P74</f>
        <v>3</v>
      </c>
      <c r="T54" s="166">
        <f>入學要求!Q74</f>
        <v>3</v>
      </c>
      <c r="U54" s="256">
        <f>入學要求!S74</f>
        <v>0</v>
      </c>
      <c r="V54" s="256">
        <f>入學要求!T74</f>
        <v>0</v>
      </c>
      <c r="W54" s="256">
        <f>入學要求!U74</f>
        <v>0</v>
      </c>
      <c r="X54" s="256">
        <f>入學要求!V74</f>
        <v>0</v>
      </c>
      <c r="Y54" s="256">
        <f>入學要求!W74</f>
        <v>0</v>
      </c>
      <c r="Z54" s="256">
        <f>入學要求!X74</f>
        <v>0</v>
      </c>
      <c r="AA54" s="44">
        <f t="shared" si="3"/>
        <v>7.62</v>
      </c>
      <c r="AB54" s="510"/>
      <c r="AC54" s="36" cm="1">
        <f t="array" ref="AC54">IFERROR(INDEX('Offer Statistics'!$Q$2:$Q$400,MATCH(1,(CityU!$A54='Offer Statistics'!$B$2:$B$400)*(CityU!$AB$2='Offer Statistics'!$K$2:$K$400),0)),"/")</f>
        <v>23</v>
      </c>
      <c r="AD54" s="64" cm="1">
        <f t="array" ref="AD54">IFERROR(INDEX('Offer Statistics'!L$2:L$400,MATCH(1,(CityU!$A54='Offer Statistics'!$B$2:$B$400)*(CityU!$AB$2='Offer Statistics'!$K$2:$K$400),0)),"/")</f>
        <v>21</v>
      </c>
      <c r="AE54" s="64" cm="1">
        <f t="array" ref="AE54">IFERROR(INDEX('Offer Statistics'!M$2:M$400,MATCH(1,(CityU!$A54='Offer Statistics'!$B$2:$B$400)*(CityU!$AB$2='Offer Statistics'!$K$2:$K$400),0)),"/")</f>
        <v>2</v>
      </c>
      <c r="AF54" s="64" cm="1">
        <f t="array" ref="AF54">IFERROR(INDEX('Offer Statistics'!N$2:N$400,MATCH(1,(CityU!$A54='Offer Statistics'!$B$2:$B$400)*(CityU!$AB$2='Offer Statistics'!$K$2:$K$400),0)),"/")</f>
        <v>0</v>
      </c>
      <c r="AG54" s="64" cm="1">
        <f t="array" ref="AG54">IFERROR(INDEX('Offer Statistics'!O$2:O$400,MATCH(1,(CityU!$A54='Offer Statistics'!$B$2:$B$400)*(CityU!$AB$2='Offer Statistics'!$K$2:$K$400),0)),"/")</f>
        <v>0</v>
      </c>
      <c r="AH54" s="64" cm="1">
        <f t="array" ref="AH54">IFERROR(INDEX('Offer Statistics'!P$2:P$400,MATCH(1,(CityU!$A54='Offer Statistics'!$B$2:$B$400)*(CityU!$AB$2='Offer Statistics'!$K$2:$K$400),0)),"/")</f>
        <v>0</v>
      </c>
      <c r="AI54" s="511"/>
      <c r="AJ54" s="36" cm="1">
        <f t="array" ref="AJ54">IFERROR(INDEX('Offer Statistics'!$I$2:$I$400,MATCH(1,(CityU!$A54='Offer Statistics'!$B$2:$B$400)*(CityU!$AB$2='Offer Statistics'!$C$2:$C$400),0)),"/")</f>
        <v>1593</v>
      </c>
      <c r="AK54" s="64" cm="1">
        <f t="array" ref="AK54">IFERROR(INDEX('Offer Statistics'!D$2:D$400,MATCH(1,(CityU!$A54='Offer Statistics'!$B$2:$B$400)*(CityU!$AB$2='Offer Statistics'!$C$2:$C$400),0)),"/")</f>
        <v>160</v>
      </c>
      <c r="AL54" s="64" cm="1">
        <f t="array" ref="AL54">IFERROR(INDEX('Offer Statistics'!E$2:E$400,MATCH(1,(CityU!$A54='Offer Statistics'!$B$2:$B$400)*(CityU!$AB$2='Offer Statistics'!$C$2:$C$400),0)),"/")</f>
        <v>244</v>
      </c>
      <c r="AM54" s="64" cm="1">
        <f t="array" ref="AM54">IFERROR(INDEX('Offer Statistics'!F$2:F$400,MATCH(1,(CityU!$A54='Offer Statistics'!$B$2:$B$400)*(CityU!$AB$2='Offer Statistics'!$C$2:$C$400),0)),"/")</f>
        <v>392</v>
      </c>
      <c r="AN54" s="64" cm="1">
        <f t="array" ref="AN54">IFERROR(INDEX('Offer Statistics'!G$2:G$400,MATCH(1,(CityU!$A54='Offer Statistics'!$B$2:$B$400)*(CityU!$AB$2='Offer Statistics'!$C$2:$C$400),0)),"/")</f>
        <v>465</v>
      </c>
      <c r="AO54" s="64" cm="1">
        <f t="array" ref="AO54">IFERROR(INDEX('Offer Statistics'!H$2:H$400,MATCH(1,(CityU!$A54='Offer Statistics'!$B$2:$B$400)*(CityU!$AB$2='Offer Statistics'!$C$2:$C$400),0)),"/")</f>
        <v>332</v>
      </c>
      <c r="AP54" s="15"/>
      <c r="AQ54" s="15" t="str">
        <f t="shared" si="4"/>
        <v>JS1805</v>
      </c>
      <c r="AR54" s="4"/>
      <c r="AS54" s="4"/>
      <c r="AT54" s="4"/>
      <c r="AU54" s="4"/>
      <c r="AV54" s="4"/>
      <c r="AW54" s="4"/>
      <c r="AX54" s="4"/>
      <c r="AY54" s="4"/>
      <c r="AZ54" s="4"/>
      <c r="BA54" s="4"/>
      <c r="BB54" s="4"/>
      <c r="BC54" s="4"/>
      <c r="BD54" s="4"/>
      <c r="BE54" s="4"/>
      <c r="BF54" s="4"/>
    </row>
    <row r="55" spans="1:58" s="2" customFormat="1" ht="18" customHeight="1">
      <c r="A55" s="15" t="str">
        <f>'Reference Score Calculation'!A66</f>
        <v>JS1806</v>
      </c>
      <c r="B55" s="4" t="str">
        <f>'Reference Score Calculation'!C66</f>
        <v>賽馬會動物醫學及生命科學院</v>
      </c>
      <c r="C55" s="23" t="str">
        <f>'Reference Score Calculation'!D66</f>
        <v>理學士(生物科學)</v>
      </c>
      <c r="D55" s="4" t="str">
        <f>'Reference Score Calculation'!R66</f>
        <v>BScBISI</v>
      </c>
      <c r="E55" s="392" t="str">
        <f>'Reference Score Calculation'!AB66</f>
        <v>3C2X</v>
      </c>
      <c r="F55" s="391" t="str">
        <f>'Reference Score Calculation'!E66</f>
        <v>4C2X</v>
      </c>
      <c r="G55" s="6">
        <f>'Reference Score Calculation'!H66</f>
        <v>35.5</v>
      </c>
      <c r="H55" s="6">
        <f>'Reference Score Calculation'!I66</f>
        <v>35</v>
      </c>
      <c r="I55" s="45">
        <f>計分版!J89</f>
        <v>2.9499999999999999E-9</v>
      </c>
      <c r="J55" s="185">
        <f t="shared" si="1"/>
        <v>-35.499999997049997</v>
      </c>
      <c r="K55" s="190">
        <f t="shared" si="2"/>
        <v>-12033898304.084745</v>
      </c>
      <c r="L55" s="36">
        <f>'Reference Score Calculation'!T66</f>
        <v>28</v>
      </c>
      <c r="M55" s="86">
        <f>入學要求!Z75</f>
        <v>0</v>
      </c>
      <c r="N55" s="512"/>
      <c r="O55" s="166">
        <f>入學要求!L75</f>
        <v>3</v>
      </c>
      <c r="P55" s="166">
        <f>入學要求!M75</f>
        <v>3</v>
      </c>
      <c r="Q55" s="166">
        <f>入學要求!N75</f>
        <v>3</v>
      </c>
      <c r="R55" s="166">
        <f>入學要求!O75</f>
        <v>1</v>
      </c>
      <c r="S55" s="166">
        <f>入學要求!P75</f>
        <v>3</v>
      </c>
      <c r="T55" s="166">
        <f>入學要求!Q75</f>
        <v>3</v>
      </c>
      <c r="U55" s="256">
        <f>入學要求!S75</f>
        <v>0</v>
      </c>
      <c r="V55" s="256">
        <f>入學要求!T75</f>
        <v>0</v>
      </c>
      <c r="W55" s="256">
        <f>入學要求!U75</f>
        <v>0</v>
      </c>
      <c r="X55" s="256">
        <f>入學要求!V75</f>
        <v>0</v>
      </c>
      <c r="Y55" s="256">
        <f>入學要求!W75</f>
        <v>0</v>
      </c>
      <c r="Z55" s="256">
        <f>入學要求!X75</f>
        <v>0</v>
      </c>
      <c r="AA55" s="44">
        <f t="shared" si="3"/>
        <v>7.83</v>
      </c>
      <c r="AB55" s="510"/>
      <c r="AC55" s="36" cm="1">
        <f t="array" ref="AC55">IFERROR(INDEX('Offer Statistics'!$Q$2:$Q$400,MATCH(1,(CityU!$A55='Offer Statistics'!$B$2:$B$400)*(CityU!$AB$2='Offer Statistics'!$K$2:$K$400),0)),"/")</f>
        <v>34</v>
      </c>
      <c r="AD55" s="64" cm="1">
        <f t="array" ref="AD55">IFERROR(INDEX('Offer Statistics'!L$2:L$400,MATCH(1,(CityU!$A55='Offer Statistics'!$B$2:$B$400)*(CityU!$AB$2='Offer Statistics'!$K$2:$K$400),0)),"/")</f>
        <v>29</v>
      </c>
      <c r="AE55" s="64" cm="1">
        <f t="array" ref="AE55">IFERROR(INDEX('Offer Statistics'!M$2:M$400,MATCH(1,(CityU!$A55='Offer Statistics'!$B$2:$B$400)*(CityU!$AB$2='Offer Statistics'!$K$2:$K$400),0)),"/")</f>
        <v>4</v>
      </c>
      <c r="AF55" s="64" cm="1">
        <f t="array" ref="AF55">IFERROR(INDEX('Offer Statistics'!N$2:N$400,MATCH(1,(CityU!$A55='Offer Statistics'!$B$2:$B$400)*(CityU!$AB$2='Offer Statistics'!$K$2:$K$400),0)),"/")</f>
        <v>1</v>
      </c>
      <c r="AG55" s="64" cm="1">
        <f t="array" ref="AG55">IFERROR(INDEX('Offer Statistics'!O$2:O$400,MATCH(1,(CityU!$A55='Offer Statistics'!$B$2:$B$400)*(CityU!$AB$2='Offer Statistics'!$K$2:$K$400),0)),"/")</f>
        <v>0</v>
      </c>
      <c r="AH55" s="64" cm="1">
        <f t="array" ref="AH55">IFERROR(INDEX('Offer Statistics'!P$2:P$400,MATCH(1,(CityU!$A55='Offer Statistics'!$B$2:$B$400)*(CityU!$AB$2='Offer Statistics'!$K$2:$K$400),0)),"/")</f>
        <v>0</v>
      </c>
      <c r="AI55" s="511"/>
      <c r="AJ55" s="36" cm="1">
        <f t="array" ref="AJ55">IFERROR(INDEX('Offer Statistics'!$I$2:$I$400,MATCH(1,(CityU!$A55='Offer Statistics'!$B$2:$B$400)*(CityU!$AB$2='Offer Statistics'!$C$2:$C$400),0)),"/")</f>
        <v>1865</v>
      </c>
      <c r="AK55" s="64" cm="1">
        <f t="array" ref="AK55">IFERROR(INDEX('Offer Statistics'!D$2:D$400,MATCH(1,(CityU!$A55='Offer Statistics'!$B$2:$B$400)*(CityU!$AB$2='Offer Statistics'!$C$2:$C$400),0)),"/")</f>
        <v>227</v>
      </c>
      <c r="AL55" s="64" cm="1">
        <f t="array" ref="AL55">IFERROR(INDEX('Offer Statistics'!E$2:E$400,MATCH(1,(CityU!$A55='Offer Statistics'!$B$2:$B$400)*(CityU!$AB$2='Offer Statistics'!$C$2:$C$400),0)),"/")</f>
        <v>331</v>
      </c>
      <c r="AM55" s="64" cm="1">
        <f t="array" ref="AM55">IFERROR(INDEX('Offer Statistics'!F$2:F$400,MATCH(1,(CityU!$A55='Offer Statistics'!$B$2:$B$400)*(CityU!$AB$2='Offer Statistics'!$C$2:$C$400),0)),"/")</f>
        <v>456</v>
      </c>
      <c r="AN55" s="64" cm="1">
        <f t="array" ref="AN55">IFERROR(INDEX('Offer Statistics'!G$2:G$400,MATCH(1,(CityU!$A55='Offer Statistics'!$B$2:$B$400)*(CityU!$AB$2='Offer Statistics'!$C$2:$C$400),0)),"/")</f>
        <v>507</v>
      </c>
      <c r="AO55" s="64" cm="1">
        <f t="array" ref="AO55">IFERROR(INDEX('Offer Statistics'!H$2:H$400,MATCH(1,(CityU!$A55='Offer Statistics'!$B$2:$B$400)*(CityU!$AB$2='Offer Statistics'!$C$2:$C$400),0)),"/")</f>
        <v>344</v>
      </c>
      <c r="AP55" s="15"/>
      <c r="AQ55" s="15" t="str">
        <f t="shared" si="4"/>
        <v>JS1806</v>
      </c>
      <c r="AR55" s="4"/>
      <c r="AS55" s="4"/>
      <c r="AT55" s="4"/>
      <c r="AU55" s="4"/>
      <c r="AV55" s="4"/>
      <c r="AW55" s="4"/>
      <c r="AX55" s="4"/>
      <c r="AY55" s="4"/>
      <c r="AZ55" s="4"/>
      <c r="BA55" s="4"/>
      <c r="BB55" s="4"/>
      <c r="BC55" s="4"/>
      <c r="BD55" s="4"/>
      <c r="BE55" s="4"/>
      <c r="BF55" s="4"/>
    </row>
    <row r="56" spans="1:58" s="2" customFormat="1" ht="18" customHeight="1">
      <c r="A56" s="15" t="str">
        <f>'Reference Score Calculation'!A67</f>
        <v>JS1807</v>
      </c>
      <c r="B56" s="4" t="str">
        <f>'Reference Score Calculation'!C67</f>
        <v>賽馬會動物醫學及生命科學院</v>
      </c>
      <c r="C56" s="23" t="str">
        <f>'Reference Score Calculation'!D67</f>
        <v>理學士(生物醫學)</v>
      </c>
      <c r="D56" s="4" t="str">
        <f>'Reference Score Calculation'!R67</f>
        <v>BScBMS</v>
      </c>
      <c r="E56" s="392" t="str">
        <f>'Reference Score Calculation'!AB67</f>
        <v>3C2X</v>
      </c>
      <c r="F56" s="391" t="str">
        <f>'Reference Score Calculation'!E67</f>
        <v>4C2X</v>
      </c>
      <c r="G56" s="6">
        <f>'Reference Score Calculation'!H67</f>
        <v>41</v>
      </c>
      <c r="H56" s="6">
        <f>'Reference Score Calculation'!I67</f>
        <v>40</v>
      </c>
      <c r="I56" s="45">
        <f>計分版!J90</f>
        <v>2.9499999999999999E-9</v>
      </c>
      <c r="J56" s="185">
        <f t="shared" si="1"/>
        <v>-40.999999997049997</v>
      </c>
      <c r="K56" s="190">
        <f t="shared" si="2"/>
        <v>-13898305083.745762</v>
      </c>
      <c r="L56" s="36">
        <f>'Reference Score Calculation'!T67</f>
        <v>28</v>
      </c>
      <c r="M56" s="86">
        <f>入學要求!Z76</f>
        <v>0</v>
      </c>
      <c r="N56" s="512"/>
      <c r="O56" s="167">
        <f>入學要求!L76</f>
        <v>3</v>
      </c>
      <c r="P56" s="167">
        <f>入學要求!M76</f>
        <v>3</v>
      </c>
      <c r="Q56" s="167">
        <f>入學要求!N76</f>
        <v>3</v>
      </c>
      <c r="R56" s="167">
        <f>入學要求!O76</f>
        <v>1</v>
      </c>
      <c r="S56" s="167">
        <f>入學要求!P76</f>
        <v>3</v>
      </c>
      <c r="T56" s="167">
        <f>入學要求!Q76</f>
        <v>3</v>
      </c>
      <c r="U56" s="256">
        <f>入學要求!S76</f>
        <v>0</v>
      </c>
      <c r="V56" s="256">
        <f>入學要求!T76</f>
        <v>0</v>
      </c>
      <c r="W56" s="256">
        <f>入學要求!U76</f>
        <v>0</v>
      </c>
      <c r="X56" s="256">
        <f>入學要求!V76</f>
        <v>0</v>
      </c>
      <c r="Y56" s="256">
        <f>入學要求!W76</f>
        <v>0</v>
      </c>
      <c r="Z56" s="256">
        <f>入學要求!X76</f>
        <v>0</v>
      </c>
      <c r="AA56" s="44">
        <f t="shared" si="3"/>
        <v>3.9</v>
      </c>
      <c r="AB56" s="510"/>
      <c r="AC56" s="36" cm="1">
        <f t="array" ref="AC56">IFERROR(INDEX('Offer Statistics'!$Q$2:$Q$400,MATCH(1,(CityU!$A56='Offer Statistics'!$B$2:$B$400)*(CityU!$AB$2='Offer Statistics'!$K$2:$K$400),0)),"/")</f>
        <v>31</v>
      </c>
      <c r="AD56" s="64" cm="1">
        <f t="array" ref="AD56">IFERROR(INDEX('Offer Statistics'!L$2:L$400,MATCH(1,(CityU!$A56='Offer Statistics'!$B$2:$B$400)*(CityU!$AB$2='Offer Statistics'!$K$2:$K$400),0)),"/")</f>
        <v>31</v>
      </c>
      <c r="AE56" s="64" cm="1">
        <f t="array" ref="AE56">IFERROR(INDEX('Offer Statistics'!M$2:M$400,MATCH(1,(CityU!$A56='Offer Statistics'!$B$2:$B$400)*(CityU!$AB$2='Offer Statistics'!$K$2:$K$400),0)),"/")</f>
        <v>0</v>
      </c>
      <c r="AF56" s="64" cm="1">
        <f t="array" ref="AF56">IFERROR(INDEX('Offer Statistics'!N$2:N$400,MATCH(1,(CityU!$A56='Offer Statistics'!$B$2:$B$400)*(CityU!$AB$2='Offer Statistics'!$K$2:$K$400),0)),"/")</f>
        <v>0</v>
      </c>
      <c r="AG56" s="64" cm="1">
        <f t="array" ref="AG56">IFERROR(INDEX('Offer Statistics'!O$2:O$400,MATCH(1,(CityU!$A56='Offer Statistics'!$B$2:$B$400)*(CityU!$AB$2='Offer Statistics'!$K$2:$K$400),0)),"/")</f>
        <v>0</v>
      </c>
      <c r="AH56" s="64" cm="1">
        <f t="array" ref="AH56">IFERROR(INDEX('Offer Statistics'!P$2:P$400,MATCH(1,(CityU!$A56='Offer Statistics'!$B$2:$B$400)*(CityU!$AB$2='Offer Statistics'!$K$2:$K$400),0)),"/")</f>
        <v>0</v>
      </c>
      <c r="AI56" s="511"/>
      <c r="AJ56" s="36" cm="1">
        <f t="array" ref="AJ56">IFERROR(INDEX('Offer Statistics'!$I$2:$I$400,MATCH(1,(CityU!$A56='Offer Statistics'!$B$2:$B$400)*(CityU!$AB$2='Offer Statistics'!$C$2:$C$400),0)),"/")</f>
        <v>1490</v>
      </c>
      <c r="AK56" s="64" cm="1">
        <f t="array" ref="AK56">IFERROR(INDEX('Offer Statistics'!D$2:D$400,MATCH(1,(CityU!$A56='Offer Statistics'!$B$2:$B$400)*(CityU!$AB$2='Offer Statistics'!$C$2:$C$400),0)),"/")</f>
        <v>121</v>
      </c>
      <c r="AL56" s="64" cm="1">
        <f t="array" ref="AL56">IFERROR(INDEX('Offer Statistics'!E$2:E$400,MATCH(1,(CityU!$A56='Offer Statistics'!$B$2:$B$400)*(CityU!$AB$2='Offer Statistics'!$C$2:$C$400),0)),"/")</f>
        <v>225</v>
      </c>
      <c r="AM56" s="64" cm="1">
        <f t="array" ref="AM56">IFERROR(INDEX('Offer Statistics'!F$2:F$400,MATCH(1,(CityU!$A56='Offer Statistics'!$B$2:$B$400)*(CityU!$AB$2='Offer Statistics'!$C$2:$C$400),0)),"/")</f>
        <v>361</v>
      </c>
      <c r="AN56" s="64" cm="1">
        <f t="array" ref="AN56">IFERROR(INDEX('Offer Statistics'!G$2:G$400,MATCH(1,(CityU!$A56='Offer Statistics'!$B$2:$B$400)*(CityU!$AB$2='Offer Statistics'!$C$2:$C$400),0)),"/")</f>
        <v>433</v>
      </c>
      <c r="AO56" s="64" cm="1">
        <f t="array" ref="AO56">IFERROR(INDEX('Offer Statistics'!H$2:H$400,MATCH(1,(CityU!$A56='Offer Statistics'!$B$2:$B$400)*(CityU!$AB$2='Offer Statistics'!$C$2:$C$400),0)),"/")</f>
        <v>350</v>
      </c>
      <c r="AP56" s="15"/>
      <c r="AQ56" s="15" t="str">
        <f t="shared" si="4"/>
        <v>JS1807</v>
      </c>
      <c r="AR56" s="4"/>
      <c r="AS56" s="4"/>
      <c r="AT56" s="4"/>
      <c r="AU56" s="4"/>
      <c r="AV56" s="4"/>
      <c r="AW56" s="4"/>
      <c r="AX56" s="4"/>
      <c r="AY56" s="4"/>
      <c r="AZ56" s="4"/>
      <c r="BA56" s="4"/>
      <c r="BB56" s="4"/>
      <c r="BC56" s="4"/>
      <c r="BD56" s="4"/>
      <c r="BE56" s="4"/>
      <c r="BF56" s="4"/>
    </row>
    <row r="57" spans="1:58" s="2" customFormat="1" ht="18" customHeight="1">
      <c r="A57" s="15"/>
      <c r="B57" s="4"/>
      <c r="C57" s="23"/>
      <c r="D57" s="4"/>
      <c r="E57" s="15"/>
      <c r="F57" s="15"/>
      <c r="G57" s="4"/>
      <c r="H57" s="4"/>
      <c r="I57" s="15"/>
      <c r="J57" s="4"/>
      <c r="K57" s="4"/>
      <c r="L57" s="36"/>
      <c r="M57" s="15"/>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row>
    <row r="58" spans="1:58" ht="18" customHeight="1">
      <c r="A58" s="23" t="s">
        <v>3093</v>
      </c>
    </row>
    <row r="59" spans="1:58" ht="18" customHeight="1">
      <c r="A59" s="23" t="s">
        <v>2805</v>
      </c>
    </row>
    <row r="60" spans="1:58" ht="18" customHeight="1">
      <c r="A60" s="23"/>
    </row>
    <row r="61" spans="1:58" ht="18" customHeight="1">
      <c r="A61" s="387" t="s">
        <v>2840</v>
      </c>
      <c r="B61" s="4" t="s">
        <v>2841</v>
      </c>
    </row>
    <row r="62" spans="1:58" ht="18" customHeight="1">
      <c r="A62" s="23"/>
      <c r="B62" s="4" t="s">
        <v>2818</v>
      </c>
    </row>
    <row r="63" spans="1:58" ht="18" customHeight="1">
      <c r="A63" s="23"/>
      <c r="B63" s="474" t="s">
        <v>3132</v>
      </c>
      <c r="AD63" s="15" t="s">
        <v>18</v>
      </c>
    </row>
    <row r="64" spans="1:58" ht="18" customHeight="1">
      <c r="A64" s="23"/>
      <c r="AD64" s="15"/>
    </row>
    <row r="65" spans="1:44" ht="18" customHeight="1">
      <c r="A65" s="23" t="s">
        <v>2806</v>
      </c>
      <c r="C65" s="4"/>
      <c r="F65" s="36"/>
      <c r="G65" s="15"/>
      <c r="H65" s="15"/>
      <c r="J65" s="15"/>
      <c r="K65" s="22"/>
      <c r="L65" s="23"/>
      <c r="P65" s="15"/>
      <c r="Q65" s="15"/>
      <c r="R65" s="15"/>
      <c r="S65" s="15"/>
      <c r="T65" s="15"/>
      <c r="AB65" s="15"/>
      <c r="AC65" s="15"/>
      <c r="AE65" s="15"/>
      <c r="AF65" s="15"/>
      <c r="AG65" s="15"/>
      <c r="AH65" s="15"/>
      <c r="AI65" s="15"/>
      <c r="AJ65" s="15"/>
      <c r="AK65" s="15"/>
      <c r="AL65" s="15"/>
      <c r="AM65" s="15"/>
      <c r="AN65" s="15"/>
      <c r="AO65" s="15"/>
      <c r="AP65" s="15"/>
      <c r="AR65" s="15"/>
    </row>
    <row r="66" spans="1:44" ht="18" customHeight="1">
      <c r="A66" s="284" t="s">
        <v>3099</v>
      </c>
    </row>
    <row r="67" spans="1:44" ht="18" customHeight="1">
      <c r="A67" s="284"/>
    </row>
    <row r="68" spans="1:44" ht="18" customHeight="1">
      <c r="A68" s="84" t="s">
        <v>133</v>
      </c>
    </row>
    <row r="69" spans="1:44" ht="18" customHeight="1">
      <c r="A69" s="23" t="s">
        <v>134</v>
      </c>
    </row>
    <row r="70" spans="1:44" ht="18" customHeight="1">
      <c r="A70" s="23"/>
    </row>
    <row r="71" spans="1:44" ht="18" customHeight="1">
      <c r="A71" s="23" t="s">
        <v>3094</v>
      </c>
    </row>
    <row r="72" spans="1:44" ht="18" customHeight="1">
      <c r="A72" s="23"/>
    </row>
    <row r="73" spans="1:44" ht="18" customHeight="1">
      <c r="A73" s="84" t="s">
        <v>135</v>
      </c>
    </row>
    <row r="74" spans="1:44" ht="18" customHeight="1">
      <c r="A74" s="257" t="s">
        <v>3102</v>
      </c>
    </row>
    <row r="75" spans="1:44" ht="18" customHeight="1">
      <c r="A75" s="191" t="s">
        <v>136</v>
      </c>
    </row>
    <row r="76" spans="1:44" ht="18" customHeight="1">
      <c r="A76" s="191" t="s">
        <v>137</v>
      </c>
    </row>
    <row r="77" spans="1:44" ht="18" customHeight="1">
      <c r="A77" s="191" t="s">
        <v>138</v>
      </c>
    </row>
    <row r="78" spans="1:44" ht="18" customHeight="1">
      <c r="A78" s="191" t="s">
        <v>139</v>
      </c>
    </row>
    <row r="79" spans="1:44" ht="18" customHeight="1">
      <c r="A79" s="23"/>
    </row>
    <row r="80" spans="1:44" ht="16.5" hidden="1" customHeight="1"/>
    <row r="81" ht="16.5" hidden="1" customHeight="1"/>
    <row r="82" ht="16.5" hidden="1" customHeight="1"/>
    <row r="83" ht="16.5" hidden="1" customHeight="1"/>
    <row r="84" ht="16.5" hidden="1" customHeight="1"/>
    <row r="85" ht="16.5" hidden="1" customHeight="1"/>
  </sheetData>
  <sheetProtection sheet="1" objects="1" scenarios="1" sort="0" autoFilter="0" pivotTables="0"/>
  <mergeCells count="4">
    <mergeCell ref="J1:K1"/>
    <mergeCell ref="AB2:AB56"/>
    <mergeCell ref="AI2:AI56"/>
    <mergeCell ref="N2:N56"/>
  </mergeCells>
  <phoneticPr fontId="3" type="noConversion"/>
  <conditionalFormatting sqref="A2:F56">
    <cfRule type="expression" dxfId="232" priority="1">
      <formula>MOD(ROW(),2)=0</formula>
    </cfRule>
  </conditionalFormatting>
  <conditionalFormatting sqref="G2:G56">
    <cfRule type="expression" dxfId="231" priority="146">
      <formula>$J$1="差距(Median)"</formula>
    </cfRule>
  </conditionalFormatting>
  <conditionalFormatting sqref="G2:AQ2 G3:M56 O3:AQ56">
    <cfRule type="expression" dxfId="230" priority="18729">
      <formula>MOD(ROW(),2)=0</formula>
    </cfRule>
  </conditionalFormatting>
  <conditionalFormatting sqref="H2:H56">
    <cfRule type="expression" dxfId="229" priority="145">
      <formula>$J$1="差距(LQ)"</formula>
    </cfRule>
  </conditionalFormatting>
  <conditionalFormatting sqref="J2:K56">
    <cfRule type="cellIs" dxfId="228" priority="159" operator="equal">
      <formula>"/"</formula>
    </cfRule>
    <cfRule type="cellIs" dxfId="227" priority="160" operator="lessThan">
      <formula>0</formula>
    </cfRule>
    <cfRule type="cellIs" dxfId="226" priority="161" operator="greaterThan">
      <formula>0</formula>
    </cfRule>
  </conditionalFormatting>
  <conditionalFormatting sqref="M2:M56">
    <cfRule type="cellIs" dxfId="225" priority="29" operator="equal">
      <formula>2</formula>
    </cfRule>
    <cfRule type="cellIs" dxfId="224" priority="143" operator="equal">
      <formula>1</formula>
    </cfRule>
    <cfRule type="cellIs" dxfId="223" priority="144" operator="equal">
      <formula>0</formula>
    </cfRule>
  </conditionalFormatting>
  <conditionalFormatting sqref="O2:T56">
    <cfRule type="expression" dxfId="222" priority="9">
      <formula>U2=0</formula>
    </cfRule>
    <cfRule type="expression" dxfId="221" priority="10">
      <formula>U2=2</formula>
    </cfRule>
    <cfRule type="expression" dxfId="220" priority="11">
      <formula>U2=1</formula>
    </cfRule>
  </conditionalFormatting>
  <conditionalFormatting sqref="AB2 AP2:AP56">
    <cfRule type="expression" dxfId="219" priority="27">
      <formula>TRUE</formula>
    </cfRule>
  </conditionalFormatting>
  <conditionalFormatting sqref="AI2">
    <cfRule type="expression" dxfId="218" priority="25">
      <formula>TRUE</formula>
    </cfRule>
  </conditionalFormatting>
  <hyperlinks>
    <hyperlink ref="A74" r:id="rId1" xr:uid="{00000000-0004-0000-0500-000000000000}"/>
    <hyperlink ref="A75" r:id="rId2" xr:uid="{00000000-0004-0000-0500-000001000000}"/>
    <hyperlink ref="A76" r:id="rId3" xr:uid="{00000000-0004-0000-0500-000002000000}"/>
    <hyperlink ref="A77" r:id="rId4" xr:uid="{00000000-0004-0000-0500-000003000000}"/>
    <hyperlink ref="A78" r:id="rId5" xr:uid="{00000000-0004-0000-0500-000004000000}"/>
  </hyperlinks>
  <pageMargins left="0.7" right="0.7" top="0.75" bottom="0.75" header="0.3" footer="0.3"/>
  <pageSetup paperSize="9" orientation="portrait" horizontalDpi="300" verticalDpi="300" r:id="rId6"/>
  <drawing r:id="rId7"/>
  <legacyDrawing r:id="rId8"/>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00000000-0002-0000-0500-000000000000}">
          <x14:formula1>
            <xm:f>選單!$K$2:$K$3</xm:f>
          </x14:formula1>
          <xm:sqref>J1:K1</xm:sqref>
        </x14:dataValidation>
        <x14:dataValidation type="list" allowBlank="1" showInputMessage="1" showErrorMessage="1" xr:uid="{00000000-0002-0000-0500-000001000000}">
          <x14:formula1>
            <xm:f>選單!$J$1:$J$6</xm:f>
          </x14:formula1>
          <xm:sqref>AB2:AB56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工作表6">
    <tabColor theme="4" tint="-0.249977111117893"/>
    <pageSetUpPr autoPageBreaks="0"/>
  </sheetPr>
  <dimension ref="A1:BD80"/>
  <sheetViews>
    <sheetView workbookViewId="0"/>
    <sheetView workbookViewId="1"/>
  </sheetViews>
  <sheetFormatPr defaultColWidth="0" defaultRowHeight="0" customHeight="1" zeroHeight="1"/>
  <cols>
    <col min="1" max="1" width="7.69921875" style="4" customWidth="1"/>
    <col min="2" max="2" width="9.19921875" style="4" customWidth="1"/>
    <col min="3" max="3" width="25.69921875" style="4" customWidth="1"/>
    <col min="4" max="4" width="9.19921875" style="4" customWidth="1"/>
    <col min="5" max="5" width="11.69921875" style="4" customWidth="1"/>
    <col min="6" max="6" width="11.19921875" style="15" customWidth="1"/>
    <col min="7" max="11" width="7.69921875" style="4" customWidth="1"/>
    <col min="12" max="12" width="4.69921875" style="36" customWidth="1"/>
    <col min="13" max="13" width="4.69921875" style="15" customWidth="1"/>
    <col min="14" max="14" width="15.19921875" style="15" customWidth="1"/>
    <col min="15" max="20" width="2.19921875" style="4" customWidth="1"/>
    <col min="21" max="26" width="2.19921875" style="15" hidden="1" customWidth="1"/>
    <col min="27" max="27" width="11.19921875" style="15" customWidth="1"/>
    <col min="28" max="28" width="8.69921875" style="4" customWidth="1"/>
    <col min="29" max="34" width="6.19921875" style="4" customWidth="1"/>
    <col min="35" max="35" width="8.69921875" style="4" customWidth="1"/>
    <col min="36" max="41" width="6.19921875" style="4" customWidth="1"/>
    <col min="42" max="42" width="3.19921875" style="4" customWidth="1"/>
    <col min="43" max="43" width="8.19921875" style="4" customWidth="1"/>
    <col min="44" max="56" width="0" style="4" hidden="1" customWidth="1"/>
    <col min="57" max="16384" width="8.69921875" style="4" hidden="1"/>
  </cols>
  <sheetData>
    <row r="1" spans="1:43" s="41" customFormat="1" ht="18" customHeight="1">
      <c r="A1" s="41" t="s">
        <v>140</v>
      </c>
      <c r="B1" s="41" t="s">
        <v>111</v>
      </c>
      <c r="C1" s="41" t="s">
        <v>112</v>
      </c>
      <c r="E1" s="41" t="s">
        <v>2897</v>
      </c>
      <c r="F1" s="42" t="s">
        <v>2839</v>
      </c>
      <c r="G1" s="42" t="s">
        <v>108</v>
      </c>
      <c r="H1" s="42" t="s">
        <v>106</v>
      </c>
      <c r="I1" s="42" t="s">
        <v>114</v>
      </c>
      <c r="J1" s="513" t="s">
        <v>115</v>
      </c>
      <c r="K1" s="513"/>
      <c r="L1" s="42" t="s">
        <v>38</v>
      </c>
      <c r="M1" s="42" t="s">
        <v>116</v>
      </c>
      <c r="N1" s="42"/>
      <c r="O1" s="42" t="s">
        <v>117</v>
      </c>
      <c r="P1" s="42" t="s">
        <v>118</v>
      </c>
      <c r="Q1" s="42" t="s">
        <v>119</v>
      </c>
      <c r="R1" s="42" t="s">
        <v>2807</v>
      </c>
      <c r="S1" s="42" t="s">
        <v>121</v>
      </c>
      <c r="T1" s="42" t="s">
        <v>122</v>
      </c>
      <c r="U1" s="42"/>
      <c r="V1" s="42"/>
      <c r="W1" s="42"/>
      <c r="X1" s="42"/>
      <c r="Y1" s="42"/>
      <c r="Z1" s="42"/>
      <c r="AA1" s="42" t="s">
        <v>123</v>
      </c>
      <c r="AB1" s="42" t="s">
        <v>124</v>
      </c>
      <c r="AC1" s="42" t="s">
        <v>141</v>
      </c>
      <c r="AD1" s="42" t="s">
        <v>126</v>
      </c>
      <c r="AE1" s="42" t="s">
        <v>127</v>
      </c>
      <c r="AF1" s="42" t="s">
        <v>128</v>
      </c>
      <c r="AG1" s="42" t="s">
        <v>129</v>
      </c>
      <c r="AH1" s="42" t="s">
        <v>130</v>
      </c>
      <c r="AI1" s="42" t="s">
        <v>142</v>
      </c>
      <c r="AJ1" s="42" t="s">
        <v>141</v>
      </c>
      <c r="AK1" s="42" t="s">
        <v>126</v>
      </c>
      <c r="AL1" s="42" t="s">
        <v>127</v>
      </c>
      <c r="AM1" s="42" t="s">
        <v>128</v>
      </c>
      <c r="AN1" s="42" t="s">
        <v>129</v>
      </c>
      <c r="AO1" s="42" t="s">
        <v>130</v>
      </c>
      <c r="AQ1" s="42"/>
    </row>
    <row r="2" spans="1:43" ht="18" customHeight="1">
      <c r="A2" s="4" t="str">
        <f>'Reference Score Calculation'!A70</f>
        <v>JS2020</v>
      </c>
      <c r="B2" s="4" t="str">
        <f>'Reference Score Calculation'!C70</f>
        <v>文學院</v>
      </c>
      <c r="C2" s="4" t="str">
        <f>'Reference Score Calculation'!D70</f>
        <v>文學士(榮譽) (中國語言文學 / 創意及專業寫作 / 英國語言文學 / 人文學 / 翻譯學)</v>
      </c>
      <c r="D2" s="4" t="str">
        <f>'Reference Score Calculation'!R70</f>
        <v>BA</v>
      </c>
      <c r="E2" s="392" t="str">
        <f>'Reference Score Calculation'!AB70</f>
        <v>Best 5</v>
      </c>
      <c r="F2" s="369" t="str">
        <f>'Reference Score Calculation'!E70</f>
        <v>4C2X</v>
      </c>
      <c r="G2" s="6">
        <f>'Reference Score Calculation'!H70</f>
        <v>24.000000000229999</v>
      </c>
      <c r="H2" s="6">
        <f>'Reference Score Calculation'!I70</f>
        <v>24.000000000229999</v>
      </c>
      <c r="I2" s="45">
        <f>計分版!J93</f>
        <v>2.6000000000000001E-9</v>
      </c>
      <c r="J2" s="25">
        <f>IFERROR(IF(J$1="差距(Median)",I2-G2,IF(J$1="差距(LQ)",I2-H2)),"/")</f>
        <v>-23.999999997629999</v>
      </c>
      <c r="K2" s="26">
        <f>IFERROR(IF(J$1="差距(Median)",(I2-G2)/I2,IF(J$1="差距(LQ)",(I2-H2)/I2)),"/")</f>
        <v>-9230769229.8576908</v>
      </c>
      <c r="L2" s="36">
        <f>'Reference Score Calculation'!T70</f>
        <v>105</v>
      </c>
      <c r="M2" s="86">
        <f>入學要求!Z79</f>
        <v>0</v>
      </c>
      <c r="N2" s="514" t="s">
        <v>2521</v>
      </c>
      <c r="O2" s="265">
        <f>入學要求!L79</f>
        <v>3</v>
      </c>
      <c r="P2" s="265">
        <f>入學要求!M79</f>
        <v>3</v>
      </c>
      <c r="Q2" s="265">
        <f>入學要求!N79</f>
        <v>2</v>
      </c>
      <c r="R2" s="265">
        <f>入學要求!O79</f>
        <v>1</v>
      </c>
      <c r="S2" s="265">
        <f>入學要求!P79</f>
        <v>3</v>
      </c>
      <c r="T2" s="265">
        <f>入學要求!Q79</f>
        <v>3</v>
      </c>
      <c r="U2" s="256">
        <f>入學要求!S79</f>
        <v>0</v>
      </c>
      <c r="V2" s="256">
        <f>入學要求!T79</f>
        <v>0</v>
      </c>
      <c r="W2" s="256">
        <f>入學要求!U79</f>
        <v>0</v>
      </c>
      <c r="X2" s="256">
        <f>入學要求!V79</f>
        <v>0</v>
      </c>
      <c r="Y2" s="256">
        <f>入學要求!W79</f>
        <v>0</v>
      </c>
      <c r="Z2" s="256">
        <f>入學要求!X79</f>
        <v>0</v>
      </c>
      <c r="AA2" s="422">
        <f>IFERROR(ROUND(AK2/AD2,2),"/")</f>
        <v>5.71</v>
      </c>
      <c r="AB2" s="510" t="s">
        <v>2513</v>
      </c>
      <c r="AC2" s="36" cm="1">
        <f t="array" ref="AC2">IFERROR(INDEX('Offer Statistics'!$AI$2:$AI$400,MATCH(1,($A2='Offer Statistics'!$T$2:$T$400)*($AB$2='Offer Statistics'!$AC$2:$AC$400),0)),"/")</f>
        <v>111</v>
      </c>
      <c r="AD2" s="64" cm="1">
        <f t="array" ref="AD2">IFERROR(INDEX('Offer Statistics'!AD$2:AD$400,MATCH(1,($A2='Offer Statistics'!$T$2:$T$400)*($AB$2='Offer Statistics'!$AC$2:$AC$400),0)),"/")</f>
        <v>102</v>
      </c>
      <c r="AE2" s="64" cm="1">
        <f t="array" ref="AE2">IFERROR(INDEX('Offer Statistics'!AE$2:AE$400,MATCH(1,($A2='Offer Statistics'!$T$2:$T$400)*($AB$2='Offer Statistics'!$AC$2:$AC$400),0)),"/")</f>
        <v>7</v>
      </c>
      <c r="AF2" s="64" cm="1">
        <f t="array" ref="AF2">IFERROR(INDEX('Offer Statistics'!AF$2:AF$400,MATCH(1,($A2='Offer Statistics'!$T$2:$T$400)*($AB$2='Offer Statistics'!$AC$2:$AC$400),0)),"/")</f>
        <v>2</v>
      </c>
      <c r="AG2" s="64" cm="1">
        <f t="array" ref="AG2">IFERROR(INDEX('Offer Statistics'!AG$2:AG$400,MATCH(1,($A2='Offer Statistics'!$T$2:$T$400)*($AB$2='Offer Statistics'!$AC$2:$AC$400),0)),"/")</f>
        <v>0</v>
      </c>
      <c r="AH2" s="64" cm="1">
        <f t="array" ref="AH2">IFERROR(INDEX('Offer Statistics'!AH$2:AH$400,MATCH(1,($A2='Offer Statistics'!$T$2:$T$400)*($AB$2='Offer Statistics'!$AC$2:$AC$400),0)),"/")</f>
        <v>0</v>
      </c>
      <c r="AI2" s="511" t="str">
        <f>AB2</f>
        <v>2023年</v>
      </c>
      <c r="AJ2" s="36" cm="1">
        <f t="array" ref="AJ2">IFERROR(INDEX('Offer Statistics'!$AA$2:$AA$400,MATCH(1,($A2='Offer Statistics'!$T$2:$T$400)*($AB$2='Offer Statistics'!$U$2:$U$400),0)),"/")</f>
        <v>3556</v>
      </c>
      <c r="AK2" s="64" cm="1">
        <f t="array" ref="AK2">IFERROR(INDEX('Offer Statistics'!V$2:V$400,MATCH(1,($A2='Offer Statistics'!$T$2:$T$400)*($AB$2='Offer Statistics'!$U$2:$U$400),0)),"/")</f>
        <v>582</v>
      </c>
      <c r="AL2" s="64" cm="1">
        <f t="array" ref="AL2">IFERROR(INDEX('Offer Statistics'!W$2:W$400,MATCH(1,($A2='Offer Statistics'!$T$2:$T$400)*($AB$2='Offer Statistics'!$U$2:$U$400),0)),"/")</f>
        <v>648</v>
      </c>
      <c r="AM2" s="64" cm="1">
        <f t="array" ref="AM2">IFERROR(INDEX('Offer Statistics'!X$2:X$400,MATCH(1,($A2='Offer Statistics'!$T$2:$T$400)*($AB$2='Offer Statistics'!$U$2:$U$400),0)),"/")</f>
        <v>834</v>
      </c>
      <c r="AN2" s="64" cm="1">
        <f t="array" ref="AN2">IFERROR(INDEX('Offer Statistics'!Y$2:Y$400,MATCH(1,($A2='Offer Statistics'!$T$2:$T$400)*($AB$2='Offer Statistics'!$U$2:$U$400),0)),"/")</f>
        <v>901</v>
      </c>
      <c r="AO2" s="64" cm="1">
        <f t="array" ref="AO2">IFERROR(INDEX('Offer Statistics'!Z$2:Z$400,MATCH(1,($A2='Offer Statistics'!$T$2:$T$400)*($AB$2='Offer Statistics'!$U$2:$U$400),0)),"/")</f>
        <v>591</v>
      </c>
      <c r="AQ2" s="15" t="str">
        <f>A2</f>
        <v>JS2020</v>
      </c>
    </row>
    <row r="3" spans="1:43" s="43" customFormat="1" ht="18" customHeight="1">
      <c r="A3" s="4" t="str">
        <f>'Reference Score Calculation'!A71</f>
        <v>JS2025</v>
      </c>
      <c r="B3" s="4" t="str">
        <f>'Reference Score Calculation'!C71</f>
        <v>文學院</v>
      </c>
      <c r="C3" s="4" t="str">
        <f>'Reference Score Calculation'!D71</f>
        <v>宗教、哲學及倫理文學士(榮譽)</v>
      </c>
      <c r="D3" s="4" t="str">
        <f>'Reference Score Calculation'!R71</f>
        <v>BA(RPE)</v>
      </c>
      <c r="E3" s="392" t="str">
        <f>'Reference Score Calculation'!AB71</f>
        <v>Best 5</v>
      </c>
      <c r="F3" s="369" t="str">
        <f>'Reference Score Calculation'!E71</f>
        <v>4C2X</v>
      </c>
      <c r="G3" s="6">
        <f>'Reference Score Calculation'!H71</f>
        <v>22.000000000229999</v>
      </c>
      <c r="H3" s="6">
        <f>'Reference Score Calculation'!I71</f>
        <v>22.000000000229999</v>
      </c>
      <c r="I3" s="45">
        <f>計分版!J94</f>
        <v>2.6000000000000001E-9</v>
      </c>
      <c r="J3" s="25">
        <f t="shared" ref="J3:J22" si="0">IFERROR(IF(J$1="差距(Median)",I3-G3,IF(J$1="差距(LQ)",I3-H3)),"/")</f>
        <v>-21.999999997629999</v>
      </c>
      <c r="K3" s="26">
        <f t="shared" ref="K3:K22" si="1">IFERROR(IF(J$1="差距(Median)",(I3-G3)/I3,IF(J$1="差距(LQ)",(I3-H3)/I3)),"/")</f>
        <v>-8461538460.6269226</v>
      </c>
      <c r="L3" s="36">
        <f>'Reference Score Calculation'!T71</f>
        <v>15</v>
      </c>
      <c r="M3" s="86">
        <f>入學要求!Z80</f>
        <v>0</v>
      </c>
      <c r="N3" s="514"/>
      <c r="O3" s="266">
        <f>入學要求!L80</f>
        <v>3</v>
      </c>
      <c r="P3" s="266">
        <f>入學要求!M80</f>
        <v>3</v>
      </c>
      <c r="Q3" s="266">
        <f>入學要求!N80</f>
        <v>2</v>
      </c>
      <c r="R3" s="266">
        <f>入學要求!O80</f>
        <v>1</v>
      </c>
      <c r="S3" s="266">
        <f>入學要求!P80</f>
        <v>3</v>
      </c>
      <c r="T3" s="266">
        <f>入學要求!Q80</f>
        <v>3</v>
      </c>
      <c r="U3" s="256">
        <f>入學要求!S80</f>
        <v>0</v>
      </c>
      <c r="V3" s="256">
        <f>入學要求!T80</f>
        <v>0</v>
      </c>
      <c r="W3" s="256">
        <f>入學要求!U80</f>
        <v>0</v>
      </c>
      <c r="X3" s="256">
        <f>入學要求!V80</f>
        <v>0</v>
      </c>
      <c r="Y3" s="256">
        <f>入學要求!W80</f>
        <v>0</v>
      </c>
      <c r="Z3" s="256">
        <f>入學要求!X80</f>
        <v>0</v>
      </c>
      <c r="AA3" s="422">
        <f t="shared" ref="AA3:AA22" si="2">IFERROR(ROUND(AK3/AD3,2),"/")</f>
        <v>12.23</v>
      </c>
      <c r="AB3" s="510"/>
      <c r="AC3" s="36" cm="1">
        <f t="array" ref="AC3">IFERROR(INDEX('Offer Statistics'!$AI$2:$AI$400,MATCH(1,($A3='Offer Statistics'!$T$2:$T$400)*($AB$2='Offer Statistics'!$AC$2:$AC$400),0)),"/")</f>
        <v>15</v>
      </c>
      <c r="AD3" s="64" cm="1">
        <f t="array" ref="AD3">IFERROR(INDEX('Offer Statistics'!AD$2:AD$400,MATCH(1,($A3='Offer Statistics'!$T$2:$T$400)*($AB$2='Offer Statistics'!$AC$2:$AC$400),0)),"/")</f>
        <v>13</v>
      </c>
      <c r="AE3" s="64" cm="1">
        <f t="array" ref="AE3">IFERROR(INDEX('Offer Statistics'!AE$2:AE$400,MATCH(1,($A3='Offer Statistics'!$T$2:$T$400)*($AB$2='Offer Statistics'!$AC$2:$AC$400),0)),"/")</f>
        <v>2</v>
      </c>
      <c r="AF3" s="64" cm="1">
        <f t="array" ref="AF3">IFERROR(INDEX('Offer Statistics'!AF$2:AF$400,MATCH(1,($A3='Offer Statistics'!$T$2:$T$400)*($AB$2='Offer Statistics'!$AC$2:$AC$400),0)),"/")</f>
        <v>0</v>
      </c>
      <c r="AG3" s="64" cm="1">
        <f t="array" ref="AG3">IFERROR(INDEX('Offer Statistics'!AG$2:AG$400,MATCH(1,($A3='Offer Statistics'!$T$2:$T$400)*($AB$2='Offer Statistics'!$AC$2:$AC$400),0)),"/")</f>
        <v>0</v>
      </c>
      <c r="AH3" s="64" cm="1">
        <f t="array" ref="AH3">IFERROR(INDEX('Offer Statistics'!AH$2:AH$400,MATCH(1,($A3='Offer Statistics'!$T$2:$T$400)*($AB$2='Offer Statistics'!$AC$2:$AC$400),0)),"/")</f>
        <v>0</v>
      </c>
      <c r="AI3" s="511"/>
      <c r="AJ3" s="36" cm="1">
        <f t="array" ref="AJ3">IFERROR(INDEX('Offer Statistics'!$AA$2:$AA$400,MATCH(1,($A3='Offer Statistics'!$T$2:$T$400)*($AB$2='Offer Statistics'!$U$2:$U$400),0)),"/")</f>
        <v>1323</v>
      </c>
      <c r="AK3" s="64" cm="1">
        <f t="array" ref="AK3">IFERROR(INDEX('Offer Statistics'!V$2:V$400,MATCH(1,($A3='Offer Statistics'!$T$2:$T$400)*($AB$2='Offer Statistics'!$U$2:$U$400),0)),"/")</f>
        <v>159</v>
      </c>
      <c r="AL3" s="64" cm="1">
        <f t="array" ref="AL3">IFERROR(INDEX('Offer Statistics'!W$2:W$400,MATCH(1,($A3='Offer Statistics'!$T$2:$T$400)*($AB$2='Offer Statistics'!$U$2:$U$400),0)),"/")</f>
        <v>187</v>
      </c>
      <c r="AM3" s="64" cm="1">
        <f t="array" ref="AM3">IFERROR(INDEX('Offer Statistics'!X$2:X$400,MATCH(1,($A3='Offer Statistics'!$T$2:$T$400)*($AB$2='Offer Statistics'!$U$2:$U$400),0)),"/")</f>
        <v>302</v>
      </c>
      <c r="AN3" s="64" cm="1">
        <f t="array" ref="AN3">IFERROR(INDEX('Offer Statistics'!Y$2:Y$400,MATCH(1,($A3='Offer Statistics'!$T$2:$T$400)*($AB$2='Offer Statistics'!$U$2:$U$400),0)),"/")</f>
        <v>349</v>
      </c>
      <c r="AO3" s="64" cm="1">
        <f t="array" ref="AO3">IFERROR(INDEX('Offer Statistics'!Z$2:Z$400,MATCH(1,($A3='Offer Statistics'!$T$2:$T$400)*($AB$2='Offer Statistics'!$U$2:$U$400),0)),"/")</f>
        <v>326</v>
      </c>
      <c r="AP3" s="4"/>
      <c r="AQ3" s="15" t="str">
        <f t="shared" ref="AQ3:AQ16" si="3">A3</f>
        <v>JS2025</v>
      </c>
    </row>
    <row r="4" spans="1:43" ht="18" customHeight="1">
      <c r="A4" s="4" t="str">
        <f>'Reference Score Calculation'!A72</f>
        <v>JS2060</v>
      </c>
      <c r="B4" s="4" t="str">
        <f>'Reference Score Calculation'!C72</f>
        <v>文學院</v>
      </c>
      <c r="C4" s="4" t="str">
        <f>'Reference Score Calculation'!D72</f>
        <v>文學士(榮譽) / 音樂學士(榮譽) (音樂 / 創意產業)</v>
      </c>
      <c r="D4" s="4" t="str">
        <f>'Reference Score Calculation'!R72</f>
        <v>BA/BMUS(MUSIC/CI)</v>
      </c>
      <c r="E4" s="392" t="str">
        <f>'Reference Score Calculation'!AB72</f>
        <v>Best 5</v>
      </c>
      <c r="F4" s="369" t="str">
        <f>'Reference Score Calculation'!E72</f>
        <v>4C2X</v>
      </c>
      <c r="G4" s="6">
        <f>'Reference Score Calculation'!H72</f>
        <v>25.000000000229999</v>
      </c>
      <c r="H4" s="6">
        <f>'Reference Score Calculation'!I72</f>
        <v>24.000000000229999</v>
      </c>
      <c r="I4" s="45">
        <f>計分版!J95</f>
        <v>2.6000000000000001E-9</v>
      </c>
      <c r="J4" s="25">
        <f t="shared" si="0"/>
        <v>-24.999999997629999</v>
      </c>
      <c r="K4" s="26">
        <f t="shared" si="1"/>
        <v>-9615384614.4730759</v>
      </c>
      <c r="L4" s="36">
        <f>'Reference Score Calculation'!T72</f>
        <v>43</v>
      </c>
      <c r="M4" s="86">
        <f>入學要求!Z81</f>
        <v>0</v>
      </c>
      <c r="N4" s="514"/>
      <c r="O4" s="266">
        <f>入學要求!L81</f>
        <v>3</v>
      </c>
      <c r="P4" s="266">
        <f>入學要求!M81</f>
        <v>3</v>
      </c>
      <c r="Q4" s="266">
        <f>入學要求!N81</f>
        <v>2</v>
      </c>
      <c r="R4" s="266">
        <f>入學要求!O81</f>
        <v>1</v>
      </c>
      <c r="S4" s="266">
        <f>入學要求!P81</f>
        <v>3</v>
      </c>
      <c r="T4" s="266">
        <f>入學要求!Q81</f>
        <v>3</v>
      </c>
      <c r="U4" s="256">
        <f>入學要求!S81</f>
        <v>0</v>
      </c>
      <c r="V4" s="256">
        <f>入學要求!T81</f>
        <v>0</v>
      </c>
      <c r="W4" s="256">
        <f>入學要求!U81</f>
        <v>0</v>
      </c>
      <c r="X4" s="256">
        <f>入學要求!V81</f>
        <v>0</v>
      </c>
      <c r="Y4" s="256">
        <f>入學要求!W81</f>
        <v>0</v>
      </c>
      <c r="Z4" s="256">
        <f>入學要求!X81</f>
        <v>0</v>
      </c>
      <c r="AA4" s="422">
        <f t="shared" si="2"/>
        <v>11.08</v>
      </c>
      <c r="AB4" s="510"/>
      <c r="AC4" s="36" cm="1">
        <f t="array" ref="AC4">IFERROR(INDEX('Offer Statistics'!$AI$2:$AI$400,MATCH(1,($A4='Offer Statistics'!$T$2:$T$400)*($AB$2='Offer Statistics'!$AC$2:$AC$400),0)),"/")</f>
        <v>25</v>
      </c>
      <c r="AD4" s="64" cm="1">
        <f t="array" ref="AD4">IFERROR(INDEX('Offer Statistics'!AD$2:AD$400,MATCH(1,($A4='Offer Statistics'!$T$2:$T$400)*($AB$2='Offer Statistics'!$AC$2:$AC$400),0)),"/")</f>
        <v>25</v>
      </c>
      <c r="AE4" s="64" cm="1">
        <f t="array" ref="AE4">IFERROR(INDEX('Offer Statistics'!AE$2:AE$400,MATCH(1,($A4='Offer Statistics'!$T$2:$T$400)*($AB$2='Offer Statistics'!$AC$2:$AC$400),0)),"/")</f>
        <v>0</v>
      </c>
      <c r="AF4" s="64" cm="1">
        <f t="array" ref="AF4">IFERROR(INDEX('Offer Statistics'!AF$2:AF$400,MATCH(1,($A4='Offer Statistics'!$T$2:$T$400)*($AB$2='Offer Statistics'!$AC$2:$AC$400),0)),"/")</f>
        <v>0</v>
      </c>
      <c r="AG4" s="64" cm="1">
        <f t="array" ref="AG4">IFERROR(INDEX('Offer Statistics'!AG$2:AG$400,MATCH(1,($A4='Offer Statistics'!$T$2:$T$400)*($AB$2='Offer Statistics'!$AC$2:$AC$400),0)),"/")</f>
        <v>0</v>
      </c>
      <c r="AH4" s="64" cm="1">
        <f t="array" ref="AH4">IFERROR(INDEX('Offer Statistics'!AH$2:AH$400,MATCH(1,($A4='Offer Statistics'!$T$2:$T$400)*($AB$2='Offer Statistics'!$AC$2:$AC$400),0)),"/")</f>
        <v>0</v>
      </c>
      <c r="AI4" s="511"/>
      <c r="AJ4" s="36" cm="1">
        <f t="array" ref="AJ4">IFERROR(INDEX('Offer Statistics'!$AA$2:$AA$400,MATCH(1,($A4='Offer Statistics'!$T$2:$T$400)*($AB$2='Offer Statistics'!$U$2:$U$400),0)),"/")</f>
        <v>1018</v>
      </c>
      <c r="AK4" s="64" cm="1">
        <f t="array" ref="AK4">IFERROR(INDEX('Offer Statistics'!V$2:V$400,MATCH(1,($A4='Offer Statistics'!$T$2:$T$400)*($AB$2='Offer Statistics'!$U$2:$U$400),0)),"/")</f>
        <v>277</v>
      </c>
      <c r="AL4" s="64" cm="1">
        <f t="array" ref="AL4">IFERROR(INDEX('Offer Statistics'!W$2:W$400,MATCH(1,($A4='Offer Statistics'!$T$2:$T$400)*($AB$2='Offer Statistics'!$U$2:$U$400),0)),"/")</f>
        <v>118</v>
      </c>
      <c r="AM4" s="64" cm="1">
        <f t="array" ref="AM4">IFERROR(INDEX('Offer Statistics'!X$2:X$400,MATCH(1,($A4='Offer Statistics'!$T$2:$T$400)*($AB$2='Offer Statistics'!$U$2:$U$400),0)),"/")</f>
        <v>188</v>
      </c>
      <c r="AN4" s="64" cm="1">
        <f t="array" ref="AN4">IFERROR(INDEX('Offer Statistics'!Y$2:Y$400,MATCH(1,($A4='Offer Statistics'!$T$2:$T$400)*($AB$2='Offer Statistics'!$U$2:$U$400),0)),"/")</f>
        <v>233</v>
      </c>
      <c r="AO4" s="64" cm="1">
        <f t="array" ref="AO4">IFERROR(INDEX('Offer Statistics'!Z$2:Z$400,MATCH(1,($A4='Offer Statistics'!$T$2:$T$400)*($AB$2='Offer Statistics'!$U$2:$U$400),0)),"/")</f>
        <v>202</v>
      </c>
      <c r="AQ4" s="15" t="str">
        <f t="shared" si="3"/>
        <v>JS2060</v>
      </c>
    </row>
    <row r="5" spans="1:43" s="43" customFormat="1" ht="18" customHeight="1">
      <c r="A5" s="4" t="str">
        <f>'Reference Score Calculation'!A73</f>
        <v>JS2110</v>
      </c>
      <c r="B5" s="4" t="str">
        <f>'Reference Score Calculation'!C73</f>
        <v>商學院</v>
      </c>
      <c r="C5" s="4" t="str">
        <f>'Reference Score Calculation'!D73</f>
        <v>工商管理學士(榮譽) - 會計學專修</v>
      </c>
      <c r="D5" s="4" t="str">
        <f>'Reference Score Calculation'!R73</f>
        <v>BBA(ACCT)</v>
      </c>
      <c r="E5" s="392" t="str">
        <f>'Reference Score Calculation'!AB73</f>
        <v>Best 5</v>
      </c>
      <c r="F5" s="408" t="str">
        <f>'Reference Score Calculation'!E73</f>
        <v>Best 6</v>
      </c>
      <c r="G5" s="6">
        <f>'Reference Score Calculation'!H73</f>
        <v>22.800000000274</v>
      </c>
      <c r="H5" s="6">
        <f>'Reference Score Calculation'!I73</f>
        <v>22.600000000234001</v>
      </c>
      <c r="I5" s="45">
        <f>計分版!J96</f>
        <v>3.9000000000000002E-9</v>
      </c>
      <c r="J5" s="25">
        <f t="shared" si="0"/>
        <v>-22.799999996374002</v>
      </c>
      <c r="K5" s="26">
        <f t="shared" si="1"/>
        <v>-5846153845.224103</v>
      </c>
      <c r="L5" s="36">
        <f>'Reference Score Calculation'!T73</f>
        <v>47</v>
      </c>
      <c r="M5" s="86">
        <f>入學要求!Z82</f>
        <v>0</v>
      </c>
      <c r="N5" s="514"/>
      <c r="O5" s="266">
        <f>入學要求!L82</f>
        <v>3</v>
      </c>
      <c r="P5" s="266">
        <f>入學要求!M82</f>
        <v>3</v>
      </c>
      <c r="Q5" s="266">
        <f>入學要求!N82</f>
        <v>2</v>
      </c>
      <c r="R5" s="266">
        <f>入學要求!O82</f>
        <v>1</v>
      </c>
      <c r="S5" s="266">
        <f>入學要求!P82</f>
        <v>3</v>
      </c>
      <c r="T5" s="266">
        <f>入學要求!Q82</f>
        <v>3</v>
      </c>
      <c r="U5" s="256">
        <f>入學要求!S82</f>
        <v>0</v>
      </c>
      <c r="V5" s="256">
        <f>入學要求!T82</f>
        <v>0</v>
      </c>
      <c r="W5" s="256">
        <f>入學要求!U82</f>
        <v>0</v>
      </c>
      <c r="X5" s="256">
        <f>入學要求!V82</f>
        <v>0</v>
      </c>
      <c r="Y5" s="256">
        <f>入學要求!W82</f>
        <v>0</v>
      </c>
      <c r="Z5" s="256">
        <f>入學要求!X82</f>
        <v>0</v>
      </c>
      <c r="AA5" s="422">
        <f t="shared" si="2"/>
        <v>9.84</v>
      </c>
      <c r="AB5" s="510"/>
      <c r="AC5" s="36" cm="1">
        <f t="array" ref="AC5">IFERROR(INDEX('Offer Statistics'!$AI$2:$AI$400,MATCH(1,($A5='Offer Statistics'!$T$2:$T$400)*($AB$2='Offer Statistics'!$AC$2:$AC$400),0)),"/")</f>
        <v>54</v>
      </c>
      <c r="AD5" s="64" cm="1">
        <f t="array" ref="AD5">IFERROR(INDEX('Offer Statistics'!AD$2:AD$400,MATCH(1,($A5='Offer Statistics'!$T$2:$T$400)*($AB$2='Offer Statistics'!$AC$2:$AC$400),0)),"/")</f>
        <v>50</v>
      </c>
      <c r="AE5" s="64" cm="1">
        <f t="array" ref="AE5">IFERROR(INDEX('Offer Statistics'!AE$2:AE$400,MATCH(1,($A5='Offer Statistics'!$T$2:$T$400)*($AB$2='Offer Statistics'!$AC$2:$AC$400),0)),"/")</f>
        <v>1</v>
      </c>
      <c r="AF5" s="64" cm="1">
        <f t="array" ref="AF5">IFERROR(INDEX('Offer Statistics'!AF$2:AF$400,MATCH(1,($A5='Offer Statistics'!$T$2:$T$400)*($AB$2='Offer Statistics'!$AC$2:$AC$400),0)),"/")</f>
        <v>1</v>
      </c>
      <c r="AG5" s="64" cm="1">
        <f t="array" ref="AG5">IFERROR(INDEX('Offer Statistics'!AG$2:AG$400,MATCH(1,($A5='Offer Statistics'!$T$2:$T$400)*($AB$2='Offer Statistics'!$AC$2:$AC$400),0)),"/")</f>
        <v>1</v>
      </c>
      <c r="AH5" s="64" cm="1">
        <f t="array" ref="AH5">IFERROR(INDEX('Offer Statistics'!AH$2:AH$400,MATCH(1,($A5='Offer Statistics'!$T$2:$T$400)*($AB$2='Offer Statistics'!$AC$2:$AC$400),0)),"/")</f>
        <v>1</v>
      </c>
      <c r="AI5" s="511"/>
      <c r="AJ5" s="36" cm="1">
        <f t="array" ref="AJ5">IFERROR(INDEX('Offer Statistics'!$AA$2:$AA$400,MATCH(1,($A5='Offer Statistics'!$T$2:$T$400)*($AB$2='Offer Statistics'!$U$2:$U$400),0)),"/")</f>
        <v>3261</v>
      </c>
      <c r="AK5" s="64" cm="1">
        <f t="array" ref="AK5">IFERROR(INDEX('Offer Statistics'!V$2:V$400,MATCH(1,($A5='Offer Statistics'!$T$2:$T$400)*($AB$2='Offer Statistics'!$U$2:$U$400),0)),"/")</f>
        <v>492</v>
      </c>
      <c r="AL5" s="64" cm="1">
        <f t="array" ref="AL5">IFERROR(INDEX('Offer Statistics'!W$2:W$400,MATCH(1,($A5='Offer Statistics'!$T$2:$T$400)*($AB$2='Offer Statistics'!$U$2:$U$400),0)),"/")</f>
        <v>647</v>
      </c>
      <c r="AM5" s="64" cm="1">
        <f t="array" ref="AM5">IFERROR(INDEX('Offer Statistics'!X$2:X$400,MATCH(1,($A5='Offer Statistics'!$T$2:$T$400)*($AB$2='Offer Statistics'!$U$2:$U$400),0)),"/")</f>
        <v>734</v>
      </c>
      <c r="AN5" s="64" cm="1">
        <f t="array" ref="AN5">IFERROR(INDEX('Offer Statistics'!Y$2:Y$400,MATCH(1,($A5='Offer Statistics'!$T$2:$T$400)*($AB$2='Offer Statistics'!$U$2:$U$400),0)),"/")</f>
        <v>779</v>
      </c>
      <c r="AO5" s="64" cm="1">
        <f t="array" ref="AO5">IFERROR(INDEX('Offer Statistics'!Z$2:Z$400,MATCH(1,($A5='Offer Statistics'!$T$2:$T$400)*($AB$2='Offer Statistics'!$U$2:$U$400),0)),"/")</f>
        <v>609</v>
      </c>
      <c r="AP5" s="4"/>
      <c r="AQ5" s="15" t="str">
        <f t="shared" si="3"/>
        <v>JS2110</v>
      </c>
    </row>
    <row r="6" spans="1:43" ht="18" customHeight="1">
      <c r="A6" s="4" t="str">
        <f>'Reference Score Calculation'!A74</f>
        <v>JS2120</v>
      </c>
      <c r="B6" s="4" t="str">
        <f>'Reference Score Calculation'!C74</f>
        <v>商學院</v>
      </c>
      <c r="C6" s="4" t="str">
        <f>'Reference Score Calculation'!D74</f>
        <v>工商管理學士(榮譽)</v>
      </c>
      <c r="D6" s="4" t="str">
        <f>'Reference Score Calculation'!R74</f>
        <v>BBA</v>
      </c>
      <c r="E6" s="392" t="str">
        <f>'Reference Score Calculation'!AB74</f>
        <v>Best 5</v>
      </c>
      <c r="F6" s="408" t="str">
        <f>'Reference Score Calculation'!E74</f>
        <v>Best 6</v>
      </c>
      <c r="G6" s="6">
        <f>'Reference Score Calculation'!H74</f>
        <v>22.800000000233997</v>
      </c>
      <c r="H6" s="6">
        <f>'Reference Score Calculation'!I74</f>
        <v>22.800000000233997</v>
      </c>
      <c r="I6" s="45">
        <f>計分版!J97</f>
        <v>3.9000000000000002E-9</v>
      </c>
      <c r="J6" s="25">
        <f t="shared" si="0"/>
        <v>-22.799999996333998</v>
      </c>
      <c r="K6" s="26">
        <f t="shared" si="1"/>
        <v>-5846153845.2138453</v>
      </c>
      <c r="L6" s="36">
        <f>'Reference Score Calculation'!T74</f>
        <v>187</v>
      </c>
      <c r="M6" s="86">
        <f>入學要求!Z83</f>
        <v>0</v>
      </c>
      <c r="N6" s="514"/>
      <c r="O6" s="266">
        <f>入學要求!L83</f>
        <v>3</v>
      </c>
      <c r="P6" s="266">
        <f>入學要求!M83</f>
        <v>3</v>
      </c>
      <c r="Q6" s="266">
        <f>入學要求!N83</f>
        <v>2</v>
      </c>
      <c r="R6" s="266">
        <f>入學要求!O83</f>
        <v>1</v>
      </c>
      <c r="S6" s="266">
        <f>入學要求!P83</f>
        <v>3</v>
      </c>
      <c r="T6" s="266">
        <f>入學要求!Q83</f>
        <v>3</v>
      </c>
      <c r="U6" s="256">
        <f>入學要求!S83</f>
        <v>0</v>
      </c>
      <c r="V6" s="256">
        <f>入學要求!T83</f>
        <v>0</v>
      </c>
      <c r="W6" s="256">
        <f>入學要求!U83</f>
        <v>0</v>
      </c>
      <c r="X6" s="256">
        <f>入學要求!V83</f>
        <v>0</v>
      </c>
      <c r="Y6" s="256">
        <f>入學要求!W83</f>
        <v>0</v>
      </c>
      <c r="Z6" s="256">
        <f>入學要求!X83</f>
        <v>0</v>
      </c>
      <c r="AA6" s="422">
        <f t="shared" si="2"/>
        <v>9.91</v>
      </c>
      <c r="AB6" s="510"/>
      <c r="AC6" s="36" cm="1">
        <f t="array" ref="AC6">IFERROR(INDEX('Offer Statistics'!$AI$2:$AI$400,MATCH(1,($A6='Offer Statistics'!$T$2:$T$400)*($AB$2='Offer Statistics'!$AC$2:$AC$400),0)),"/")</f>
        <v>180</v>
      </c>
      <c r="AD6" s="64" cm="1">
        <f t="array" ref="AD6">IFERROR(INDEX('Offer Statistics'!AD$2:AD$400,MATCH(1,($A6='Offer Statistics'!$T$2:$T$400)*($AB$2='Offer Statistics'!$AC$2:$AC$400),0)),"/")</f>
        <v>148</v>
      </c>
      <c r="AE6" s="64" cm="1">
        <f t="array" ref="AE6">IFERROR(INDEX('Offer Statistics'!AE$2:AE$400,MATCH(1,($A6='Offer Statistics'!$T$2:$T$400)*($AB$2='Offer Statistics'!$AC$2:$AC$400),0)),"/")</f>
        <v>24</v>
      </c>
      <c r="AF6" s="64" cm="1">
        <f t="array" ref="AF6">IFERROR(INDEX('Offer Statistics'!AF$2:AF$400,MATCH(1,($A6='Offer Statistics'!$T$2:$T$400)*($AB$2='Offer Statistics'!$AC$2:$AC$400),0)),"/")</f>
        <v>6</v>
      </c>
      <c r="AG6" s="64" cm="1">
        <f t="array" ref="AG6">IFERROR(INDEX('Offer Statistics'!AG$2:AG$400,MATCH(1,($A6='Offer Statistics'!$T$2:$T$400)*($AB$2='Offer Statistics'!$AC$2:$AC$400),0)),"/")</f>
        <v>1</v>
      </c>
      <c r="AH6" s="64" cm="1">
        <f t="array" ref="AH6">IFERROR(INDEX('Offer Statistics'!AH$2:AH$400,MATCH(1,($A6='Offer Statistics'!$T$2:$T$400)*($AB$2='Offer Statistics'!$AC$2:$AC$400),0)),"/")</f>
        <v>1</v>
      </c>
      <c r="AI6" s="511"/>
      <c r="AJ6" s="36" cm="1">
        <f t="array" ref="AJ6">IFERROR(INDEX('Offer Statistics'!$AA$2:$AA$400,MATCH(1,($A6='Offer Statistics'!$T$2:$T$400)*($AB$2='Offer Statistics'!$U$2:$U$400),0)),"/")</f>
        <v>6328</v>
      </c>
      <c r="AK6" s="64" cm="1">
        <f t="array" ref="AK6">IFERROR(INDEX('Offer Statistics'!V$2:V$400,MATCH(1,($A6='Offer Statistics'!$T$2:$T$400)*($AB$2='Offer Statistics'!$U$2:$U$400),0)),"/")</f>
        <v>1466</v>
      </c>
      <c r="AL6" s="64" cm="1">
        <f t="array" ref="AL6">IFERROR(INDEX('Offer Statistics'!W$2:W$400,MATCH(1,($A6='Offer Statistics'!$T$2:$T$400)*($AB$2='Offer Statistics'!$U$2:$U$400),0)),"/")</f>
        <v>1214</v>
      </c>
      <c r="AM6" s="64" cm="1">
        <f t="array" ref="AM6">IFERROR(INDEX('Offer Statistics'!X$2:X$400,MATCH(1,($A6='Offer Statistics'!$T$2:$T$400)*($AB$2='Offer Statistics'!$U$2:$U$400),0)),"/")</f>
        <v>1292</v>
      </c>
      <c r="AN6" s="64" cm="1">
        <f t="array" ref="AN6">IFERROR(INDEX('Offer Statistics'!Y$2:Y$400,MATCH(1,($A6='Offer Statistics'!$T$2:$T$400)*($AB$2='Offer Statistics'!$U$2:$U$400),0)),"/")</f>
        <v>1369</v>
      </c>
      <c r="AO6" s="64" cm="1">
        <f t="array" ref="AO6">IFERROR(INDEX('Offer Statistics'!Z$2:Z$400,MATCH(1,($A6='Offer Statistics'!$T$2:$T$400)*($AB$2='Offer Statistics'!$U$2:$U$400),0)),"/")</f>
        <v>987</v>
      </c>
      <c r="AQ6" s="15" t="str">
        <f t="shared" si="3"/>
        <v>JS2120</v>
      </c>
    </row>
    <row r="7" spans="1:43" s="43" customFormat="1" ht="18" customHeight="1">
      <c r="A7" s="4" t="str">
        <f>'Reference Score Calculation'!A75</f>
        <v>JS2310</v>
      </c>
      <c r="B7" s="4" t="str">
        <f>'Reference Score Calculation'!C75</f>
        <v>傳理學院</v>
      </c>
      <c r="C7" s="4" t="str">
        <f>'Reference Score Calculation'!D75</f>
        <v>傳理學學士(榮譽) (新聞與數碼媒體 / 公關及廣告)</v>
      </c>
      <c r="D7" s="4" t="str">
        <f>'Reference Score Calculation'!R75</f>
        <v>BCOMM</v>
      </c>
      <c r="E7" s="392" t="str">
        <f>'Reference Score Calculation'!AB75</f>
        <v>Best 5</v>
      </c>
      <c r="F7" s="408" t="str">
        <f>'Reference Score Calculation'!E75</f>
        <v>Best 5</v>
      </c>
      <c r="G7" s="6">
        <f>'Reference Score Calculation'!H75</f>
        <v>22.500000000235001</v>
      </c>
      <c r="H7" s="6">
        <f>'Reference Score Calculation'!I75</f>
        <v>22.000000000215</v>
      </c>
      <c r="I7" s="45">
        <f>計分版!J98</f>
        <v>3.0000000000000004E-9</v>
      </c>
      <c r="J7" s="25">
        <f t="shared" si="0"/>
        <v>-22.499999997235001</v>
      </c>
      <c r="K7" s="26">
        <f t="shared" si="1"/>
        <v>-7499999999.0783329</v>
      </c>
      <c r="L7" s="36">
        <f>'Reference Score Calculation'!T75</f>
        <v>77</v>
      </c>
      <c r="M7" s="86">
        <f>入學要求!Z84</f>
        <v>0</v>
      </c>
      <c r="N7" s="514"/>
      <c r="O7" s="266">
        <f>入學要求!L84</f>
        <v>3</v>
      </c>
      <c r="P7" s="266">
        <f>入學要求!M84</f>
        <v>3</v>
      </c>
      <c r="Q7" s="266">
        <f>入學要求!N84</f>
        <v>2</v>
      </c>
      <c r="R7" s="266">
        <f>入學要求!O84</f>
        <v>1</v>
      </c>
      <c r="S7" s="266">
        <f>入學要求!P84</f>
        <v>3</v>
      </c>
      <c r="T7" s="266">
        <f>入學要求!Q84</f>
        <v>3</v>
      </c>
      <c r="U7" s="256">
        <f>入學要求!S84</f>
        <v>0</v>
      </c>
      <c r="V7" s="256">
        <f>入學要求!T84</f>
        <v>0</v>
      </c>
      <c r="W7" s="256">
        <f>入學要求!U84</f>
        <v>0</v>
      </c>
      <c r="X7" s="256">
        <f>入學要求!V84</f>
        <v>0</v>
      </c>
      <c r="Y7" s="256">
        <f>入學要求!W84</f>
        <v>0</v>
      </c>
      <c r="Z7" s="256">
        <f>入學要求!X84</f>
        <v>0</v>
      </c>
      <c r="AA7" s="422">
        <f t="shared" si="2"/>
        <v>8.26</v>
      </c>
      <c r="AB7" s="510"/>
      <c r="AC7" s="36" cm="1">
        <f t="array" ref="AC7">IFERROR(INDEX('Offer Statistics'!$AI$2:$AI$400,MATCH(1,($A7='Offer Statistics'!$T$2:$T$400)*($AB$2='Offer Statistics'!$AC$2:$AC$400),0)),"/")</f>
        <v>79</v>
      </c>
      <c r="AD7" s="64" cm="1">
        <f t="array" ref="AD7">IFERROR(INDEX('Offer Statistics'!AD$2:AD$400,MATCH(1,($A7='Offer Statistics'!$T$2:$T$400)*($AB$2='Offer Statistics'!$AC$2:$AC$400),0)),"/")</f>
        <v>70</v>
      </c>
      <c r="AE7" s="64" cm="1">
        <f t="array" ref="AE7">IFERROR(INDEX('Offer Statistics'!AE$2:AE$400,MATCH(1,($A7='Offer Statistics'!$T$2:$T$400)*($AB$2='Offer Statistics'!$AC$2:$AC$400),0)),"/")</f>
        <v>5</v>
      </c>
      <c r="AF7" s="64" cm="1">
        <f t="array" ref="AF7">IFERROR(INDEX('Offer Statistics'!AF$2:AF$400,MATCH(1,($A7='Offer Statistics'!$T$2:$T$400)*($AB$2='Offer Statistics'!$AC$2:$AC$400),0)),"/")</f>
        <v>2</v>
      </c>
      <c r="AG7" s="64" cm="1">
        <f t="array" ref="AG7">IFERROR(INDEX('Offer Statistics'!AG$2:AG$400,MATCH(1,($A7='Offer Statistics'!$T$2:$T$400)*($AB$2='Offer Statistics'!$AC$2:$AC$400),0)),"/")</f>
        <v>0</v>
      </c>
      <c r="AH7" s="64" cm="1">
        <f t="array" ref="AH7">IFERROR(INDEX('Offer Statistics'!AH$2:AH$400,MATCH(1,($A7='Offer Statistics'!$T$2:$T$400)*($AB$2='Offer Statistics'!$AC$2:$AC$400),0)),"/")</f>
        <v>2</v>
      </c>
      <c r="AI7" s="511"/>
      <c r="AJ7" s="36" cm="1">
        <f t="array" ref="AJ7">IFERROR(INDEX('Offer Statistics'!$AA$2:$AA$400,MATCH(1,($A7='Offer Statistics'!$T$2:$T$400)*($AB$2='Offer Statistics'!$U$2:$U$400),0)),"/")</f>
        <v>3884</v>
      </c>
      <c r="AK7" s="64" cm="1">
        <f t="array" ref="AK7">IFERROR(INDEX('Offer Statistics'!V$2:V$400,MATCH(1,($A7='Offer Statistics'!$T$2:$T$400)*($AB$2='Offer Statistics'!$U$2:$U$400),0)),"/")</f>
        <v>578</v>
      </c>
      <c r="AL7" s="64" cm="1">
        <f t="array" ref="AL7">IFERROR(INDEX('Offer Statistics'!W$2:W$400,MATCH(1,($A7='Offer Statistics'!$T$2:$T$400)*($AB$2='Offer Statistics'!$U$2:$U$400),0)),"/")</f>
        <v>606</v>
      </c>
      <c r="AM7" s="64" cm="1">
        <f t="array" ref="AM7">IFERROR(INDEX('Offer Statistics'!X$2:X$400,MATCH(1,($A7='Offer Statistics'!$T$2:$T$400)*($AB$2='Offer Statistics'!$U$2:$U$400),0)),"/")</f>
        <v>894</v>
      </c>
      <c r="AN7" s="64" cm="1">
        <f t="array" ref="AN7">IFERROR(INDEX('Offer Statistics'!Y$2:Y$400,MATCH(1,($A7='Offer Statistics'!$T$2:$T$400)*($AB$2='Offer Statistics'!$U$2:$U$400),0)),"/")</f>
        <v>1039</v>
      </c>
      <c r="AO7" s="64" cm="1">
        <f t="array" ref="AO7">IFERROR(INDEX('Offer Statistics'!Z$2:Z$400,MATCH(1,($A7='Offer Statistics'!$T$2:$T$400)*($AB$2='Offer Statistics'!$U$2:$U$400),0)),"/")</f>
        <v>767</v>
      </c>
      <c r="AP7" s="4"/>
      <c r="AQ7" s="15" t="str">
        <f t="shared" si="3"/>
        <v>JS2310</v>
      </c>
    </row>
    <row r="8" spans="1:43" s="43" customFormat="1" ht="18" customHeight="1">
      <c r="A8" s="4" t="str">
        <f>'Reference Score Calculation'!A76</f>
        <v>JS2330</v>
      </c>
      <c r="B8" s="4" t="str">
        <f>'Reference Score Calculation'!C76</f>
        <v>傳理學院</v>
      </c>
      <c r="C8" s="4" t="str">
        <f>'Reference Score Calculation'!D76</f>
        <v>電影電視文學士(榮譽)</v>
      </c>
      <c r="D8" s="4" t="str">
        <f>'Reference Score Calculation'!R76</f>
        <v>BCOMM(FTV)</v>
      </c>
      <c r="E8" s="392" t="str">
        <f>'Reference Score Calculation'!AB76</f>
        <v>Best 5</v>
      </c>
      <c r="F8" s="408" t="str">
        <f>'Reference Score Calculation'!E76</f>
        <v>Best 5</v>
      </c>
      <c r="G8" s="6">
        <f>'Reference Score Calculation'!H76</f>
        <v>23.000000000175</v>
      </c>
      <c r="H8" s="6">
        <f>'Reference Score Calculation'!I76</f>
        <v>22.000000000235001</v>
      </c>
      <c r="I8" s="45">
        <f>計分版!J99</f>
        <v>3.0000000000000004E-9</v>
      </c>
      <c r="J8" s="25">
        <f t="shared" si="0"/>
        <v>-22.999999997174999</v>
      </c>
      <c r="K8" s="26">
        <f t="shared" si="1"/>
        <v>-7666666665.7249985</v>
      </c>
      <c r="L8" s="36">
        <f>'Reference Score Calculation'!T76</f>
        <v>18</v>
      </c>
      <c r="M8" s="86">
        <f>入學要求!Z85</f>
        <v>0</v>
      </c>
      <c r="N8" s="514"/>
      <c r="O8" s="266">
        <f>入學要求!L85</f>
        <v>3</v>
      </c>
      <c r="P8" s="266">
        <f>入學要求!M85</f>
        <v>3</v>
      </c>
      <c r="Q8" s="266">
        <f>入學要求!N85</f>
        <v>2</v>
      </c>
      <c r="R8" s="266">
        <f>入學要求!O85</f>
        <v>1</v>
      </c>
      <c r="S8" s="266">
        <f>入學要求!P85</f>
        <v>3</v>
      </c>
      <c r="T8" s="266">
        <f>入學要求!Q85</f>
        <v>3</v>
      </c>
      <c r="U8" s="256">
        <f>入學要求!S85</f>
        <v>0</v>
      </c>
      <c r="V8" s="256">
        <f>入學要求!T85</f>
        <v>0</v>
      </c>
      <c r="W8" s="256">
        <f>入學要求!U85</f>
        <v>0</v>
      </c>
      <c r="X8" s="256">
        <f>入學要求!V85</f>
        <v>0</v>
      </c>
      <c r="Y8" s="256">
        <f>入學要求!W85</f>
        <v>0</v>
      </c>
      <c r="Z8" s="256">
        <f>入學要求!X85</f>
        <v>0</v>
      </c>
      <c r="AA8" s="422">
        <f t="shared" si="2"/>
        <v>23.84</v>
      </c>
      <c r="AB8" s="510"/>
      <c r="AC8" s="36" cm="1">
        <f t="array" ref="AC8">IFERROR(INDEX('Offer Statistics'!$AI$2:$AI$400,MATCH(1,($A8='Offer Statistics'!$T$2:$T$400)*($AB$2='Offer Statistics'!$AC$2:$AC$400),0)),"/")</f>
        <v>19</v>
      </c>
      <c r="AD8" s="64" cm="1">
        <f t="array" ref="AD8">IFERROR(INDEX('Offer Statistics'!AD$2:AD$400,MATCH(1,($A8='Offer Statistics'!$T$2:$T$400)*($AB$2='Offer Statistics'!$AC$2:$AC$400),0)),"/")</f>
        <v>19</v>
      </c>
      <c r="AE8" s="64" cm="1">
        <f t="array" ref="AE8">IFERROR(INDEX('Offer Statistics'!AE$2:AE$400,MATCH(1,($A8='Offer Statistics'!$T$2:$T$400)*($AB$2='Offer Statistics'!$AC$2:$AC$400),0)),"/")</f>
        <v>0</v>
      </c>
      <c r="AF8" s="64" cm="1">
        <f t="array" ref="AF8">IFERROR(INDEX('Offer Statistics'!AF$2:AF$400,MATCH(1,($A8='Offer Statistics'!$T$2:$T$400)*($AB$2='Offer Statistics'!$AC$2:$AC$400),0)),"/")</f>
        <v>0</v>
      </c>
      <c r="AG8" s="64" cm="1">
        <f t="array" ref="AG8">IFERROR(INDEX('Offer Statistics'!AG$2:AG$400,MATCH(1,($A8='Offer Statistics'!$T$2:$T$400)*($AB$2='Offer Statistics'!$AC$2:$AC$400),0)),"/")</f>
        <v>0</v>
      </c>
      <c r="AH8" s="64" cm="1">
        <f t="array" ref="AH8">IFERROR(INDEX('Offer Statistics'!AH$2:AH$400,MATCH(1,($A8='Offer Statistics'!$T$2:$T$400)*($AB$2='Offer Statistics'!$AC$2:$AC$400),0)),"/")</f>
        <v>0</v>
      </c>
      <c r="AI8" s="511"/>
      <c r="AJ8" s="36" cm="1">
        <f t="array" ref="AJ8">IFERROR(INDEX('Offer Statistics'!$AA$2:$AA$400,MATCH(1,($A8='Offer Statistics'!$T$2:$T$400)*($AB$2='Offer Statistics'!$U$2:$U$400),0)),"/")</f>
        <v>2602</v>
      </c>
      <c r="AK8" s="64" cm="1">
        <f t="array" ref="AK8">IFERROR(INDEX('Offer Statistics'!V$2:V$400,MATCH(1,($A8='Offer Statistics'!$T$2:$T$400)*($AB$2='Offer Statistics'!$U$2:$U$400),0)),"/")</f>
        <v>453</v>
      </c>
      <c r="AL8" s="64" cm="1">
        <f t="array" ref="AL8">IFERROR(INDEX('Offer Statistics'!W$2:W$400,MATCH(1,($A8='Offer Statistics'!$T$2:$T$400)*($AB$2='Offer Statistics'!$U$2:$U$400),0)),"/")</f>
        <v>375</v>
      </c>
      <c r="AM8" s="64" cm="1">
        <f t="array" ref="AM8">IFERROR(INDEX('Offer Statistics'!X$2:X$400,MATCH(1,($A8='Offer Statistics'!$T$2:$T$400)*($AB$2='Offer Statistics'!$U$2:$U$400),0)),"/")</f>
        <v>535</v>
      </c>
      <c r="AN8" s="64" cm="1">
        <f t="array" ref="AN8">IFERROR(INDEX('Offer Statistics'!Y$2:Y$400,MATCH(1,($A8='Offer Statistics'!$T$2:$T$400)*($AB$2='Offer Statistics'!$U$2:$U$400),0)),"/")</f>
        <v>677</v>
      </c>
      <c r="AO8" s="64" cm="1">
        <f t="array" ref="AO8">IFERROR(INDEX('Offer Statistics'!Z$2:Z$400,MATCH(1,($A8='Offer Statistics'!$T$2:$T$400)*($AB$2='Offer Statistics'!$U$2:$U$400),0)),"/")</f>
        <v>562</v>
      </c>
      <c r="AP8" s="4"/>
      <c r="AQ8" s="15" t="str">
        <f t="shared" si="3"/>
        <v>JS2330</v>
      </c>
    </row>
    <row r="9" spans="1:43" ht="18" customHeight="1">
      <c r="A9" s="4" t="str">
        <f>'Reference Score Calculation'!A77</f>
        <v>JS2340</v>
      </c>
      <c r="B9" s="4" t="str">
        <f>'Reference Score Calculation'!C77</f>
        <v>傳理學院</v>
      </c>
      <c r="C9" s="4" t="str">
        <f>'Reference Score Calculation'!D77</f>
        <v>環球螢幕演技藝術學士(榮譽)</v>
      </c>
      <c r="D9" s="4" t="str">
        <f>'Reference Score Calculation'!R77</f>
        <v>BFA(AGS)</v>
      </c>
      <c r="E9" s="392" t="str">
        <f>'Reference Score Calculation'!AB77</f>
        <v>Best 5</v>
      </c>
      <c r="F9" s="369" t="str">
        <f>'Reference Score Calculation'!E77</f>
        <v>Best 5</v>
      </c>
      <c r="G9" s="6">
        <f>'Reference Score Calculation'!H77</f>
        <v>20.00000000028</v>
      </c>
      <c r="H9" s="6">
        <f>'Reference Score Calculation'!I77</f>
        <v>18.0000000002</v>
      </c>
      <c r="I9" s="45">
        <f>計分版!J100</f>
        <v>3.4999999999999999E-9</v>
      </c>
      <c r="J9" s="25">
        <f t="shared" si="0"/>
        <v>-19.999999996780002</v>
      </c>
      <c r="K9" s="26">
        <f t="shared" si="1"/>
        <v>-5714285713.365715</v>
      </c>
      <c r="L9" s="36">
        <f>'Reference Score Calculation'!T77</f>
        <v>8</v>
      </c>
      <c r="M9" s="86">
        <f>入學要求!Z86</f>
        <v>0</v>
      </c>
      <c r="N9" s="514"/>
      <c r="O9" s="266">
        <f>入學要求!L86</f>
        <v>3</v>
      </c>
      <c r="P9" s="266">
        <f>入學要求!M86</f>
        <v>3</v>
      </c>
      <c r="Q9" s="266">
        <f>入學要求!N86</f>
        <v>2</v>
      </c>
      <c r="R9" s="266">
        <f>入學要求!O86</f>
        <v>1</v>
      </c>
      <c r="S9" s="266">
        <f>入學要求!P86</f>
        <v>3</v>
      </c>
      <c r="T9" s="266">
        <f>入學要求!Q86</f>
        <v>3</v>
      </c>
      <c r="U9" s="256">
        <f>入學要求!S86</f>
        <v>0</v>
      </c>
      <c r="V9" s="256">
        <f>入學要求!T86</f>
        <v>0</v>
      </c>
      <c r="W9" s="256">
        <f>入學要求!U86</f>
        <v>0</v>
      </c>
      <c r="X9" s="256">
        <f>入學要求!V86</f>
        <v>0</v>
      </c>
      <c r="Y9" s="256">
        <f>入學要求!W86</f>
        <v>0</v>
      </c>
      <c r="Z9" s="256">
        <f>入學要求!X86</f>
        <v>0</v>
      </c>
      <c r="AA9" s="422">
        <f t="shared" si="2"/>
        <v>15.4</v>
      </c>
      <c r="AB9" s="510"/>
      <c r="AC9" s="36" cm="1">
        <f t="array" ref="AC9">IFERROR(INDEX('Offer Statistics'!$AI$2:$AI$400,MATCH(1,($A9='Offer Statistics'!$T$2:$T$400)*($AB$2='Offer Statistics'!$AC$2:$AC$400),0)),"/")</f>
        <v>10</v>
      </c>
      <c r="AD9" s="64" cm="1">
        <f t="array" ref="AD9">IFERROR(INDEX('Offer Statistics'!AD$2:AD$400,MATCH(1,($A9='Offer Statistics'!$T$2:$T$400)*($AB$2='Offer Statistics'!$AC$2:$AC$400),0)),"/")</f>
        <v>10</v>
      </c>
      <c r="AE9" s="64" cm="1">
        <f t="array" ref="AE9">IFERROR(INDEX('Offer Statistics'!AE$2:AE$400,MATCH(1,($A9='Offer Statistics'!$T$2:$T$400)*($AB$2='Offer Statistics'!$AC$2:$AC$400),0)),"/")</f>
        <v>0</v>
      </c>
      <c r="AF9" s="64" cm="1">
        <f t="array" ref="AF9">IFERROR(INDEX('Offer Statistics'!AF$2:AF$400,MATCH(1,($A9='Offer Statistics'!$T$2:$T$400)*($AB$2='Offer Statistics'!$AC$2:$AC$400),0)),"/")</f>
        <v>0</v>
      </c>
      <c r="AG9" s="64" cm="1">
        <f t="array" ref="AG9">IFERROR(INDEX('Offer Statistics'!AG$2:AG$400,MATCH(1,($A9='Offer Statistics'!$T$2:$T$400)*($AB$2='Offer Statistics'!$AC$2:$AC$400),0)),"/")</f>
        <v>0</v>
      </c>
      <c r="AH9" s="64" cm="1">
        <f t="array" ref="AH9">IFERROR(INDEX('Offer Statistics'!AH$2:AH$400,MATCH(1,($A9='Offer Statistics'!$T$2:$T$400)*($AB$2='Offer Statistics'!$AC$2:$AC$400),0)),"/")</f>
        <v>0</v>
      </c>
      <c r="AI9" s="511"/>
      <c r="AJ9" s="36" cm="1">
        <f t="array" ref="AJ9">IFERROR(INDEX('Offer Statistics'!$AA$2:$AA$400,MATCH(1,($A9='Offer Statistics'!$T$2:$T$400)*($AB$2='Offer Statistics'!$U$2:$U$400),0)),"/")</f>
        <v>984</v>
      </c>
      <c r="AK9" s="64" cm="1">
        <f t="array" ref="AK9">IFERROR(INDEX('Offer Statistics'!V$2:V$400,MATCH(1,($A9='Offer Statistics'!$T$2:$T$400)*($AB$2='Offer Statistics'!$U$2:$U$400),0)),"/")</f>
        <v>154</v>
      </c>
      <c r="AL9" s="64" cm="1">
        <f t="array" ref="AL9">IFERROR(INDEX('Offer Statistics'!W$2:W$400,MATCH(1,($A9='Offer Statistics'!$T$2:$T$400)*($AB$2='Offer Statistics'!$U$2:$U$400),0)),"/")</f>
        <v>118</v>
      </c>
      <c r="AM9" s="64" cm="1">
        <f t="array" ref="AM9">IFERROR(INDEX('Offer Statistics'!X$2:X$400,MATCH(1,($A9='Offer Statistics'!$T$2:$T$400)*($AB$2='Offer Statistics'!$U$2:$U$400),0)),"/")</f>
        <v>201</v>
      </c>
      <c r="AN9" s="64" cm="1">
        <f t="array" ref="AN9">IFERROR(INDEX('Offer Statistics'!Y$2:Y$400,MATCH(1,($A9='Offer Statistics'!$T$2:$T$400)*($AB$2='Offer Statistics'!$U$2:$U$400),0)),"/")</f>
        <v>265</v>
      </c>
      <c r="AO9" s="64" cm="1">
        <f t="array" ref="AO9">IFERROR(INDEX('Offer Statistics'!Z$2:Z$400,MATCH(1,($A9='Offer Statistics'!$T$2:$T$400)*($AB$2='Offer Statistics'!$U$2:$U$400),0)),"/")</f>
        <v>246</v>
      </c>
      <c r="AQ9" s="15" t="str">
        <f t="shared" si="3"/>
        <v>JS2340</v>
      </c>
    </row>
    <row r="10" spans="1:43" s="43" customFormat="1" ht="18" customHeight="1">
      <c r="A10" s="4" t="str">
        <f>'Reference Score Calculation'!A78</f>
        <v>JS2370</v>
      </c>
      <c r="B10" s="4" t="str">
        <f>'Reference Score Calculation'!C78</f>
        <v>傳理學院</v>
      </c>
      <c r="C10" s="4" t="str">
        <f>'Reference Score Calculation'!D78</f>
        <v>傳理學學士(榮譽) - 遊戲設計與動畫主修</v>
      </c>
      <c r="D10" s="4" t="str">
        <f>'Reference Score Calculation'!R78</f>
        <v>BCOMM(GDA)</v>
      </c>
      <c r="E10" s="392" t="str">
        <f>'Reference Score Calculation'!AB78</f>
        <v>Best 5</v>
      </c>
      <c r="F10" s="408" t="str">
        <f>'Reference Score Calculation'!E78</f>
        <v>Best 5</v>
      </c>
      <c r="G10" s="6">
        <f>'Reference Score Calculation'!H78</f>
        <v>29.700000000276997</v>
      </c>
      <c r="H10" s="6">
        <f>'Reference Score Calculation'!I78</f>
        <v>22.000000000236998</v>
      </c>
      <c r="I10" s="45">
        <f>計分版!J101</f>
        <v>3.4999999999999999E-9</v>
      </c>
      <c r="J10" s="25">
        <f t="shared" si="0"/>
        <v>-29.699999996776999</v>
      </c>
      <c r="K10" s="26">
        <f t="shared" si="1"/>
        <v>-8485714284.7934284</v>
      </c>
      <c r="L10" s="36">
        <f>'Reference Score Calculation'!T78</f>
        <v>20</v>
      </c>
      <c r="M10" s="86">
        <f>入學要求!Z87</f>
        <v>0</v>
      </c>
      <c r="N10" s="514"/>
      <c r="O10" s="266">
        <f>入學要求!L87</f>
        <v>3</v>
      </c>
      <c r="P10" s="266">
        <f>入學要求!M87</f>
        <v>3</v>
      </c>
      <c r="Q10" s="266">
        <f>入學要求!N87</f>
        <v>2</v>
      </c>
      <c r="R10" s="266">
        <f>入學要求!O87</f>
        <v>1</v>
      </c>
      <c r="S10" s="266">
        <f>入學要求!P87</f>
        <v>3</v>
      </c>
      <c r="T10" s="266">
        <f>入學要求!Q87</f>
        <v>3</v>
      </c>
      <c r="U10" s="256">
        <f>入學要求!S87</f>
        <v>0</v>
      </c>
      <c r="V10" s="256">
        <f>入學要求!T87</f>
        <v>0</v>
      </c>
      <c r="W10" s="256">
        <f>入學要求!U87</f>
        <v>0</v>
      </c>
      <c r="X10" s="256">
        <f>入學要求!V87</f>
        <v>0</v>
      </c>
      <c r="Y10" s="256">
        <f>入學要求!W87</f>
        <v>0</v>
      </c>
      <c r="Z10" s="256">
        <f>入學要求!X87</f>
        <v>0</v>
      </c>
      <c r="AA10" s="422">
        <f t="shared" si="2"/>
        <v>47.21</v>
      </c>
      <c r="AB10" s="510"/>
      <c r="AC10" s="36" cm="1">
        <f t="array" ref="AC10">IFERROR(INDEX('Offer Statistics'!$AI$2:$AI$400,MATCH(1,($A10='Offer Statistics'!$T$2:$T$400)*($AB$2='Offer Statistics'!$AC$2:$AC$400),0)),"/")</f>
        <v>14</v>
      </c>
      <c r="AD10" s="64" cm="1">
        <f t="array" ref="AD10">IFERROR(INDEX('Offer Statistics'!AD$2:AD$400,MATCH(1,($A10='Offer Statistics'!$T$2:$T$400)*($AB$2='Offer Statistics'!$AC$2:$AC$400),0)),"/")</f>
        <v>14</v>
      </c>
      <c r="AE10" s="64" cm="1">
        <f t="array" ref="AE10">IFERROR(INDEX('Offer Statistics'!AE$2:AE$400,MATCH(1,($A10='Offer Statistics'!$T$2:$T$400)*($AB$2='Offer Statistics'!$AC$2:$AC$400),0)),"/")</f>
        <v>0</v>
      </c>
      <c r="AF10" s="64" cm="1">
        <f t="array" ref="AF10">IFERROR(INDEX('Offer Statistics'!AF$2:AF$400,MATCH(1,($A10='Offer Statistics'!$T$2:$T$400)*($AB$2='Offer Statistics'!$AC$2:$AC$400),0)),"/")</f>
        <v>0</v>
      </c>
      <c r="AG10" s="64" cm="1">
        <f t="array" ref="AG10">IFERROR(INDEX('Offer Statistics'!AG$2:AG$400,MATCH(1,($A10='Offer Statistics'!$T$2:$T$400)*($AB$2='Offer Statistics'!$AC$2:$AC$400),0)),"/")</f>
        <v>0</v>
      </c>
      <c r="AH10" s="64" cm="1">
        <f t="array" ref="AH10">IFERROR(INDEX('Offer Statistics'!AH$2:AH$400,MATCH(1,($A10='Offer Statistics'!$T$2:$T$400)*($AB$2='Offer Statistics'!$AC$2:$AC$400),0)),"/")</f>
        <v>0</v>
      </c>
      <c r="AI10" s="511"/>
      <c r="AJ10" s="36" cm="1">
        <f t="array" ref="AJ10">IFERROR(INDEX('Offer Statistics'!$AA$2:$AA$400,MATCH(1,($A10='Offer Statistics'!$T$2:$T$400)*($AB$2='Offer Statistics'!$U$2:$U$400),0)),"/")</f>
        <v>3220</v>
      </c>
      <c r="AK10" s="64" cm="1">
        <f t="array" ref="AK10">IFERROR(INDEX('Offer Statistics'!V$2:V$400,MATCH(1,($A10='Offer Statistics'!$T$2:$T$400)*($AB$2='Offer Statistics'!$U$2:$U$400),0)),"/")</f>
        <v>661</v>
      </c>
      <c r="AL10" s="64" cm="1">
        <f t="array" ref="AL10">IFERROR(INDEX('Offer Statistics'!W$2:W$400,MATCH(1,($A10='Offer Statistics'!$T$2:$T$400)*($AB$2='Offer Statistics'!$U$2:$U$400),0)),"/")</f>
        <v>530</v>
      </c>
      <c r="AM10" s="64" cm="1">
        <f t="array" ref="AM10">IFERROR(INDEX('Offer Statistics'!X$2:X$400,MATCH(1,($A10='Offer Statistics'!$T$2:$T$400)*($AB$2='Offer Statistics'!$U$2:$U$400),0)),"/")</f>
        <v>721</v>
      </c>
      <c r="AN10" s="64" cm="1">
        <f t="array" ref="AN10">IFERROR(INDEX('Offer Statistics'!Y$2:Y$400,MATCH(1,($A10='Offer Statistics'!$T$2:$T$400)*($AB$2='Offer Statistics'!$U$2:$U$400),0)),"/")</f>
        <v>712</v>
      </c>
      <c r="AO10" s="64" cm="1">
        <f t="array" ref="AO10">IFERROR(INDEX('Offer Statistics'!Z$2:Z$400,MATCH(1,($A10='Offer Statistics'!$T$2:$T$400)*($AB$2='Offer Statistics'!$U$2:$U$400),0)),"/")</f>
        <v>596</v>
      </c>
      <c r="AP10" s="4"/>
      <c r="AQ10" s="15" t="str">
        <f t="shared" si="3"/>
        <v>JS2370</v>
      </c>
    </row>
    <row r="11" spans="1:43" ht="18" customHeight="1">
      <c r="A11" s="4" t="str">
        <f>'Reference Score Calculation'!A79</f>
        <v>JS2410</v>
      </c>
      <c r="B11" s="4" t="str">
        <f>'Reference Score Calculation'!C79</f>
        <v>中醫藥學院</v>
      </c>
      <c r="C11" s="4" t="str">
        <f>'Reference Score Calculation'!D79</f>
        <v>中醫學學士及生物醫學理學士(榮譽)</v>
      </c>
      <c r="D11" s="4" t="str">
        <f>'Reference Score Calculation'!R79</f>
        <v>BCM&amp;BSc(BIOMED)</v>
      </c>
      <c r="E11" s="392" t="str">
        <f>'Reference Score Calculation'!AB79</f>
        <v>Best 5</v>
      </c>
      <c r="F11" s="408" t="str">
        <f>'Reference Score Calculation'!E79</f>
        <v>Best 5</v>
      </c>
      <c r="G11" s="6">
        <f>'Reference Score Calculation'!H79</f>
        <v>30.500000000277502</v>
      </c>
      <c r="H11" s="6">
        <f>'Reference Score Calculation'!I79</f>
        <v>30.000000000220002</v>
      </c>
      <c r="I11" s="45">
        <f>計分版!J102</f>
        <v>3.6E-9</v>
      </c>
      <c r="J11" s="25">
        <f t="shared" si="0"/>
        <v>-30.499999996677502</v>
      </c>
      <c r="K11" s="26">
        <f t="shared" si="1"/>
        <v>-8472222221.2993059</v>
      </c>
      <c r="L11" s="36">
        <f>'Reference Score Calculation'!T79</f>
        <v>40</v>
      </c>
      <c r="M11" s="86">
        <f>入學要求!Z88</f>
        <v>0</v>
      </c>
      <c r="N11" s="514"/>
      <c r="O11" s="266">
        <f>入學要求!L88</f>
        <v>3</v>
      </c>
      <c r="P11" s="266">
        <f>入學要求!M88</f>
        <v>3</v>
      </c>
      <c r="Q11" s="266">
        <f>入學要求!N88</f>
        <v>2</v>
      </c>
      <c r="R11" s="266">
        <f>入學要求!O88</f>
        <v>1</v>
      </c>
      <c r="S11" s="266">
        <f>入學要求!P88</f>
        <v>3</v>
      </c>
      <c r="T11" s="266">
        <f>入學要求!Q88</f>
        <v>3</v>
      </c>
      <c r="U11" s="256">
        <f>入學要求!S88</f>
        <v>0</v>
      </c>
      <c r="V11" s="256">
        <f>入學要求!T88</f>
        <v>0</v>
      </c>
      <c r="W11" s="256">
        <f>入學要求!U88</f>
        <v>0</v>
      </c>
      <c r="X11" s="256">
        <f>入學要求!V88</f>
        <v>0</v>
      </c>
      <c r="Y11" s="256">
        <f>入學要求!W88</f>
        <v>0</v>
      </c>
      <c r="Z11" s="256">
        <f>入學要求!X88</f>
        <v>0</v>
      </c>
      <c r="AA11" s="422">
        <f t="shared" si="2"/>
        <v>7.24</v>
      </c>
      <c r="AB11" s="510"/>
      <c r="AC11" s="36" cm="1">
        <f t="array" ref="AC11">IFERROR(INDEX('Offer Statistics'!$AI$2:$AI$400,MATCH(1,($A11='Offer Statistics'!$T$2:$T$400)*($AB$2='Offer Statistics'!$AC$2:$AC$400),0)),"/")</f>
        <v>33</v>
      </c>
      <c r="AD11" s="64" cm="1">
        <f t="array" ref="AD11">IFERROR(INDEX('Offer Statistics'!AD$2:AD$400,MATCH(1,($A11='Offer Statistics'!$T$2:$T$400)*($AB$2='Offer Statistics'!$AC$2:$AC$400),0)),"/")</f>
        <v>33</v>
      </c>
      <c r="AE11" s="64" cm="1">
        <f t="array" ref="AE11">IFERROR(INDEX('Offer Statistics'!AE$2:AE$400,MATCH(1,($A11='Offer Statistics'!$T$2:$T$400)*($AB$2='Offer Statistics'!$AC$2:$AC$400),0)),"/")</f>
        <v>0</v>
      </c>
      <c r="AF11" s="64" cm="1">
        <f t="array" ref="AF11">IFERROR(INDEX('Offer Statistics'!AF$2:AF$400,MATCH(1,($A11='Offer Statistics'!$T$2:$T$400)*($AB$2='Offer Statistics'!$AC$2:$AC$400),0)),"/")</f>
        <v>0</v>
      </c>
      <c r="AG11" s="64" cm="1">
        <f t="array" ref="AG11">IFERROR(INDEX('Offer Statistics'!AG$2:AG$400,MATCH(1,($A11='Offer Statistics'!$T$2:$T$400)*($AB$2='Offer Statistics'!$AC$2:$AC$400),0)),"/")</f>
        <v>0</v>
      </c>
      <c r="AH11" s="64" cm="1">
        <f t="array" ref="AH11">IFERROR(INDEX('Offer Statistics'!AH$2:AH$400,MATCH(1,($A11='Offer Statistics'!$T$2:$T$400)*($AB$2='Offer Statistics'!$AC$2:$AC$400),0)),"/")</f>
        <v>0</v>
      </c>
      <c r="AI11" s="511"/>
      <c r="AJ11" s="36" cm="1">
        <f t="array" ref="AJ11">IFERROR(INDEX('Offer Statistics'!$AA$2:$AA$400,MATCH(1,($A11='Offer Statistics'!$T$2:$T$400)*($AB$2='Offer Statistics'!$U$2:$U$400),0)),"/")</f>
        <v>1448</v>
      </c>
      <c r="AK11" s="64" cm="1">
        <f t="array" ref="AK11">IFERROR(INDEX('Offer Statistics'!V$2:V$400,MATCH(1,($A11='Offer Statistics'!$T$2:$T$400)*($AB$2='Offer Statistics'!$U$2:$U$400),0)),"/")</f>
        <v>239</v>
      </c>
      <c r="AL11" s="64" cm="1">
        <f t="array" ref="AL11">IFERROR(INDEX('Offer Statistics'!W$2:W$400,MATCH(1,($A11='Offer Statistics'!$T$2:$T$400)*($AB$2='Offer Statistics'!$U$2:$U$400),0)),"/")</f>
        <v>186</v>
      </c>
      <c r="AM11" s="64" cm="1">
        <f t="array" ref="AM11">IFERROR(INDEX('Offer Statistics'!X$2:X$400,MATCH(1,($A11='Offer Statistics'!$T$2:$T$400)*($AB$2='Offer Statistics'!$U$2:$U$400),0)),"/")</f>
        <v>300</v>
      </c>
      <c r="AN11" s="64" cm="1">
        <f t="array" ref="AN11">IFERROR(INDEX('Offer Statistics'!Y$2:Y$400,MATCH(1,($A11='Offer Statistics'!$T$2:$T$400)*($AB$2='Offer Statistics'!$U$2:$U$400),0)),"/")</f>
        <v>407</v>
      </c>
      <c r="AO11" s="64" cm="1">
        <f t="array" ref="AO11">IFERROR(INDEX('Offer Statistics'!Z$2:Z$400,MATCH(1,($A11='Offer Statistics'!$T$2:$T$400)*($AB$2='Offer Statistics'!$U$2:$U$400),0)),"/")</f>
        <v>316</v>
      </c>
      <c r="AQ11" s="15" t="str">
        <f t="shared" si="3"/>
        <v>JS2410</v>
      </c>
    </row>
    <row r="12" spans="1:43" s="43" customFormat="1" ht="18" customHeight="1">
      <c r="A12" s="4" t="str">
        <f>'Reference Score Calculation'!A80</f>
        <v>JS2420</v>
      </c>
      <c r="B12" s="4" t="str">
        <f>'Reference Score Calculation'!C80</f>
        <v>中醫藥學院</v>
      </c>
      <c r="C12" s="4" t="str">
        <f>'Reference Score Calculation'!D80</f>
        <v>中藥學學士(榮譽)</v>
      </c>
      <c r="D12" s="4" t="str">
        <f>'Reference Score Calculation'!R80</f>
        <v>BPharm</v>
      </c>
      <c r="E12" s="392" t="str">
        <f>'Reference Score Calculation'!AB80</f>
        <v>Best 5</v>
      </c>
      <c r="F12" s="408" t="str">
        <f>'Reference Score Calculation'!E80</f>
        <v>Best 5</v>
      </c>
      <c r="G12" s="6">
        <f>'Reference Score Calculation'!H80</f>
        <v>24.500000000284999</v>
      </c>
      <c r="H12" s="6">
        <f>'Reference Score Calculation'!I80</f>
        <v>23.750000000324999</v>
      </c>
      <c r="I12" s="45">
        <f>計分版!J103</f>
        <v>3.4999999999999999E-9</v>
      </c>
      <c r="J12" s="25">
        <f t="shared" si="0"/>
        <v>-24.499999996785</v>
      </c>
      <c r="K12" s="26">
        <f t="shared" si="1"/>
        <v>-6999999999.0814285</v>
      </c>
      <c r="L12" s="36">
        <f>'Reference Score Calculation'!T80</f>
        <v>20</v>
      </c>
      <c r="M12" s="86">
        <f>入學要求!Z89</f>
        <v>0</v>
      </c>
      <c r="N12" s="514"/>
      <c r="O12" s="266">
        <f>入學要求!L89</f>
        <v>3</v>
      </c>
      <c r="P12" s="266">
        <f>入學要求!M89</f>
        <v>3</v>
      </c>
      <c r="Q12" s="266">
        <f>入學要求!N89</f>
        <v>2</v>
      </c>
      <c r="R12" s="266">
        <f>入學要求!O89</f>
        <v>1</v>
      </c>
      <c r="S12" s="266">
        <f>入學要求!P89</f>
        <v>3</v>
      </c>
      <c r="T12" s="266">
        <f>入學要求!Q89</f>
        <v>3</v>
      </c>
      <c r="U12" s="256">
        <f>入學要求!S89</f>
        <v>0</v>
      </c>
      <c r="V12" s="256">
        <f>入學要求!T89</f>
        <v>0</v>
      </c>
      <c r="W12" s="256">
        <f>入學要求!U89</f>
        <v>0</v>
      </c>
      <c r="X12" s="256">
        <f>入學要求!V89</f>
        <v>0</v>
      </c>
      <c r="Y12" s="256">
        <f>入學要求!W89</f>
        <v>0</v>
      </c>
      <c r="Z12" s="256">
        <f>入學要求!X89</f>
        <v>0</v>
      </c>
      <c r="AA12" s="422">
        <f t="shared" si="2"/>
        <v>8.07</v>
      </c>
      <c r="AB12" s="510"/>
      <c r="AC12" s="36" cm="1">
        <f t="array" ref="AC12">IFERROR(INDEX('Offer Statistics'!$AI$2:$AI$400,MATCH(1,($A12='Offer Statistics'!$T$2:$T$400)*($AB$2='Offer Statistics'!$AC$2:$AC$400),0)),"/")</f>
        <v>28</v>
      </c>
      <c r="AD12" s="64" cm="1">
        <f t="array" ref="AD12">IFERROR(INDEX('Offer Statistics'!AD$2:AD$400,MATCH(1,($A12='Offer Statistics'!$T$2:$T$400)*($AB$2='Offer Statistics'!$AC$2:$AC$400),0)),"/")</f>
        <v>27</v>
      </c>
      <c r="AE12" s="64" cm="1">
        <f t="array" ref="AE12">IFERROR(INDEX('Offer Statistics'!AE$2:AE$400,MATCH(1,($A12='Offer Statistics'!$T$2:$T$400)*($AB$2='Offer Statistics'!$AC$2:$AC$400),0)),"/")</f>
        <v>1</v>
      </c>
      <c r="AF12" s="64" cm="1">
        <f t="array" ref="AF12">IFERROR(INDEX('Offer Statistics'!AF$2:AF$400,MATCH(1,($A12='Offer Statistics'!$T$2:$T$400)*($AB$2='Offer Statistics'!$AC$2:$AC$400),0)),"/")</f>
        <v>0</v>
      </c>
      <c r="AG12" s="64" cm="1">
        <f t="array" ref="AG12">IFERROR(INDEX('Offer Statistics'!AG$2:AG$400,MATCH(1,($A12='Offer Statistics'!$T$2:$T$400)*($AB$2='Offer Statistics'!$AC$2:$AC$400),0)),"/")</f>
        <v>0</v>
      </c>
      <c r="AH12" s="64" cm="1">
        <f t="array" ref="AH12">IFERROR(INDEX('Offer Statistics'!AH$2:AH$400,MATCH(1,($A12='Offer Statistics'!$T$2:$T$400)*($AB$2='Offer Statistics'!$AC$2:$AC$400),0)),"/")</f>
        <v>0</v>
      </c>
      <c r="AI12" s="511"/>
      <c r="AJ12" s="36" cm="1">
        <f t="array" ref="AJ12">IFERROR(INDEX('Offer Statistics'!$AA$2:$AA$400,MATCH(1,($A12='Offer Statistics'!$T$2:$T$400)*($AB$2='Offer Statistics'!$U$2:$U$400),0)),"/")</f>
        <v>1910</v>
      </c>
      <c r="AK12" s="64" cm="1">
        <f t="array" ref="AK12">IFERROR(INDEX('Offer Statistics'!V$2:V$400,MATCH(1,($A12='Offer Statistics'!$T$2:$T$400)*($AB$2='Offer Statistics'!$U$2:$U$400),0)),"/")</f>
        <v>218</v>
      </c>
      <c r="AL12" s="64" cm="1">
        <f t="array" ref="AL12">IFERROR(INDEX('Offer Statistics'!W$2:W$400,MATCH(1,($A12='Offer Statistics'!$T$2:$T$400)*($AB$2='Offer Statistics'!$U$2:$U$400),0)),"/")</f>
        <v>301</v>
      </c>
      <c r="AM12" s="64" cm="1">
        <f t="array" ref="AM12">IFERROR(INDEX('Offer Statistics'!X$2:X$400,MATCH(1,($A12='Offer Statistics'!$T$2:$T$400)*($AB$2='Offer Statistics'!$U$2:$U$400),0)),"/")</f>
        <v>425</v>
      </c>
      <c r="AN12" s="64" cm="1">
        <f t="array" ref="AN12">IFERROR(INDEX('Offer Statistics'!Y$2:Y$400,MATCH(1,($A12='Offer Statistics'!$T$2:$T$400)*($AB$2='Offer Statistics'!$U$2:$U$400),0)),"/")</f>
        <v>513</v>
      </c>
      <c r="AO12" s="64" cm="1">
        <f t="array" ref="AO12">IFERROR(INDEX('Offer Statistics'!Z$2:Z$400,MATCH(1,($A12='Offer Statistics'!$T$2:$T$400)*($AB$2='Offer Statistics'!$U$2:$U$400),0)),"/")</f>
        <v>453</v>
      </c>
      <c r="AP12" s="4"/>
      <c r="AQ12" s="15" t="str">
        <f t="shared" si="3"/>
        <v>JS2420</v>
      </c>
    </row>
    <row r="13" spans="1:43" ht="18" customHeight="1">
      <c r="A13" s="4" t="str">
        <f>'Reference Score Calculation'!A81</f>
        <v>JS2510</v>
      </c>
      <c r="B13" s="4" t="str">
        <f>'Reference Score Calculation'!C81</f>
        <v>理學院</v>
      </c>
      <c r="C13" s="4" t="str">
        <f>'Reference Score Calculation'!D81</f>
        <v>理學士(榮譽)</v>
      </c>
      <c r="D13" s="4" t="str">
        <f>'Reference Score Calculation'!R81</f>
        <v>BSc</v>
      </c>
      <c r="E13" s="392" t="str">
        <f>'Reference Score Calculation'!AB81</f>
        <v>Best 5</v>
      </c>
      <c r="F13" s="369" t="str">
        <f>'Reference Score Calculation'!E81</f>
        <v>4C2X</v>
      </c>
      <c r="G13" s="6">
        <f>'Reference Score Calculation'!H81</f>
        <v>20.000000000229999</v>
      </c>
      <c r="H13" s="6">
        <f>'Reference Score Calculation'!I81</f>
        <v>20.000000000229999</v>
      </c>
      <c r="I13" s="45">
        <f>計分版!J104</f>
        <v>2.6000000000000001E-9</v>
      </c>
      <c r="J13" s="25">
        <f t="shared" si="0"/>
        <v>-19.999999997629999</v>
      </c>
      <c r="K13" s="26">
        <f t="shared" si="1"/>
        <v>-7692307691.3961535</v>
      </c>
      <c r="L13" s="36">
        <f>'Reference Score Calculation'!T81</f>
        <v>195</v>
      </c>
      <c r="M13" s="86">
        <f>入學要求!Z90</f>
        <v>0</v>
      </c>
      <c r="N13" s="514"/>
      <c r="O13" s="266">
        <f>入學要求!L90</f>
        <v>3</v>
      </c>
      <c r="P13" s="266">
        <f>入學要求!M90</f>
        <v>3</v>
      </c>
      <c r="Q13" s="266">
        <f>入學要求!N90</f>
        <v>2</v>
      </c>
      <c r="R13" s="266">
        <f>入學要求!O90</f>
        <v>1</v>
      </c>
      <c r="S13" s="266">
        <f>入學要求!P90</f>
        <v>3</v>
      </c>
      <c r="T13" s="266">
        <f>入學要求!Q90</f>
        <v>3</v>
      </c>
      <c r="U13" s="256">
        <f>入學要求!S90</f>
        <v>0</v>
      </c>
      <c r="V13" s="256">
        <f>入學要求!T90</f>
        <v>0</v>
      </c>
      <c r="W13" s="256">
        <f>入學要求!U90</f>
        <v>0</v>
      </c>
      <c r="X13" s="256">
        <f>入學要求!V90</f>
        <v>0</v>
      </c>
      <c r="Y13" s="256">
        <f>入學要求!W90</f>
        <v>0</v>
      </c>
      <c r="Z13" s="256">
        <f>入學要求!X90</f>
        <v>0</v>
      </c>
      <c r="AA13" s="422">
        <f t="shared" si="2"/>
        <v>4.8499999999999996</v>
      </c>
      <c r="AB13" s="510"/>
      <c r="AC13" s="36" cm="1">
        <f t="array" ref="AC13">IFERROR(INDEX('Offer Statistics'!$AI$2:$AI$400,MATCH(1,($A13='Offer Statistics'!$T$2:$T$400)*($AB$2='Offer Statistics'!$AC$2:$AC$400),0)),"/")</f>
        <v>223</v>
      </c>
      <c r="AD13" s="64" cm="1">
        <f t="array" ref="AD13">IFERROR(INDEX('Offer Statistics'!AD$2:AD$400,MATCH(1,($A13='Offer Statistics'!$T$2:$T$400)*($AB$2='Offer Statistics'!$AC$2:$AC$400),0)),"/")</f>
        <v>175</v>
      </c>
      <c r="AE13" s="64" cm="1">
        <f t="array" ref="AE13">IFERROR(INDEX('Offer Statistics'!AE$2:AE$400,MATCH(1,($A13='Offer Statistics'!$T$2:$T$400)*($AB$2='Offer Statistics'!$AC$2:$AC$400),0)),"/")</f>
        <v>33</v>
      </c>
      <c r="AF13" s="64" cm="1">
        <f t="array" ref="AF13">IFERROR(INDEX('Offer Statistics'!AF$2:AF$400,MATCH(1,($A13='Offer Statistics'!$T$2:$T$400)*($AB$2='Offer Statistics'!$AC$2:$AC$400),0)),"/")</f>
        <v>9</v>
      </c>
      <c r="AG13" s="64" cm="1">
        <f t="array" ref="AG13">IFERROR(INDEX('Offer Statistics'!AG$2:AG$400,MATCH(1,($A13='Offer Statistics'!$T$2:$T$400)*($AB$2='Offer Statistics'!$AC$2:$AC$400),0)),"/")</f>
        <v>4</v>
      </c>
      <c r="AH13" s="64" cm="1">
        <f t="array" ref="AH13">IFERROR(INDEX('Offer Statistics'!AH$2:AH$400,MATCH(1,($A13='Offer Statistics'!$T$2:$T$400)*($AB$2='Offer Statistics'!$AC$2:$AC$400),0)),"/")</f>
        <v>2</v>
      </c>
      <c r="AI13" s="511"/>
      <c r="AJ13" s="36" cm="1">
        <f t="array" ref="AJ13">IFERROR(INDEX('Offer Statistics'!$AA$2:$AA$400,MATCH(1,($A13='Offer Statistics'!$T$2:$T$400)*($AB$2='Offer Statistics'!$U$2:$U$400),0)),"/")</f>
        <v>4905</v>
      </c>
      <c r="AK13" s="64" cm="1">
        <f t="array" ref="AK13">IFERROR(INDEX('Offer Statistics'!V$2:V$400,MATCH(1,($A13='Offer Statistics'!$T$2:$T$400)*($AB$2='Offer Statistics'!$U$2:$U$400),0)),"/")</f>
        <v>848</v>
      </c>
      <c r="AL13" s="64" cm="1">
        <f t="array" ref="AL13">IFERROR(INDEX('Offer Statistics'!W$2:W$400,MATCH(1,($A13='Offer Statistics'!$T$2:$T$400)*($AB$2='Offer Statistics'!$U$2:$U$400),0)),"/")</f>
        <v>1012</v>
      </c>
      <c r="AM13" s="64" cm="1">
        <f t="array" ref="AM13">IFERROR(INDEX('Offer Statistics'!X$2:X$400,MATCH(1,($A13='Offer Statistics'!$T$2:$T$400)*($AB$2='Offer Statistics'!$U$2:$U$400),0)),"/")</f>
        <v>1087</v>
      </c>
      <c r="AN13" s="64" cm="1">
        <f t="array" ref="AN13">IFERROR(INDEX('Offer Statistics'!Y$2:Y$400,MATCH(1,($A13='Offer Statistics'!$T$2:$T$400)*($AB$2='Offer Statistics'!$U$2:$U$400),0)),"/")</f>
        <v>1081</v>
      </c>
      <c r="AO13" s="64" cm="1">
        <f t="array" ref="AO13">IFERROR(INDEX('Offer Statistics'!Z$2:Z$400,MATCH(1,($A13='Offer Statistics'!$T$2:$T$400)*($AB$2='Offer Statistics'!$U$2:$U$400),0)),"/")</f>
        <v>877</v>
      </c>
      <c r="AQ13" s="15" t="str">
        <f t="shared" si="3"/>
        <v>JS2510</v>
      </c>
    </row>
    <row r="14" spans="1:43" s="43" customFormat="1" ht="18" customHeight="1">
      <c r="A14" s="4" t="str">
        <f>'Reference Score Calculation'!A82</f>
        <v>JS2610</v>
      </c>
      <c r="B14" s="4" t="str">
        <f>'Reference Score Calculation'!C82</f>
        <v>社會科學院</v>
      </c>
      <c r="C14" s="4" t="str">
        <f>'Reference Score Calculation'!D82</f>
        <v>文學士(榮譽) / 社會科學學士(榮譽) (歐洲研究 [法文/德文] / 地理 / 全球及中國研究 / 政治及國際關係學 / 歷史 / 社會學)</v>
      </c>
      <c r="D14" s="4" t="str">
        <f>'Reference Score Calculation'!R82</f>
        <v>BA/BSocSc</v>
      </c>
      <c r="E14" s="392" t="str">
        <f>'Reference Score Calculation'!AB82</f>
        <v>Best 5</v>
      </c>
      <c r="F14" s="408" t="str">
        <f>'Reference Score Calculation'!E82</f>
        <v>4C2X</v>
      </c>
      <c r="G14" s="6">
        <f>'Reference Score Calculation'!H82</f>
        <v>27.000000000269999</v>
      </c>
      <c r="H14" s="6">
        <f>'Reference Score Calculation'!I82</f>
        <v>27.000000000260002</v>
      </c>
      <c r="I14" s="45">
        <f>計分版!J105</f>
        <v>2.8000000000000003E-9</v>
      </c>
      <c r="J14" s="25">
        <f t="shared" si="0"/>
        <v>-26.999999997469999</v>
      </c>
      <c r="K14" s="26">
        <f t="shared" si="1"/>
        <v>-9642857141.9535694</v>
      </c>
      <c r="L14" s="36">
        <f>'Reference Score Calculation'!T82</f>
        <v>135</v>
      </c>
      <c r="M14" s="86">
        <f>入學要求!Z91</f>
        <v>0</v>
      </c>
      <c r="N14" s="514"/>
      <c r="O14" s="266">
        <f>入學要求!L91</f>
        <v>3</v>
      </c>
      <c r="P14" s="266">
        <f>入學要求!M91</f>
        <v>3</v>
      </c>
      <c r="Q14" s="266">
        <f>入學要求!N91</f>
        <v>2</v>
      </c>
      <c r="R14" s="266">
        <f>入學要求!O91</f>
        <v>1</v>
      </c>
      <c r="S14" s="266">
        <f>入學要求!P91</f>
        <v>3</v>
      </c>
      <c r="T14" s="266">
        <f>入學要求!Q91</f>
        <v>3</v>
      </c>
      <c r="U14" s="256">
        <f>入學要求!S91</f>
        <v>0</v>
      </c>
      <c r="V14" s="256">
        <f>入學要求!T91</f>
        <v>0</v>
      </c>
      <c r="W14" s="256">
        <f>入學要求!U91</f>
        <v>0</v>
      </c>
      <c r="X14" s="256">
        <f>入學要求!V91</f>
        <v>0</v>
      </c>
      <c r="Y14" s="256">
        <f>入學要求!W91</f>
        <v>0</v>
      </c>
      <c r="Z14" s="256">
        <f>入學要求!X91</f>
        <v>0</v>
      </c>
      <c r="AA14" s="422">
        <f t="shared" si="2"/>
        <v>6.66</v>
      </c>
      <c r="AB14" s="510"/>
      <c r="AC14" s="36" cm="1">
        <f t="array" ref="AC14">IFERROR(INDEX('Offer Statistics'!$AI$2:$AI$400,MATCH(1,($A14='Offer Statistics'!$T$2:$T$400)*($AB$2='Offer Statistics'!$AC$2:$AC$400),0)),"/")</f>
        <v>148</v>
      </c>
      <c r="AD14" s="64" cm="1">
        <f t="array" ref="AD14">IFERROR(INDEX('Offer Statistics'!AD$2:AD$400,MATCH(1,($A14='Offer Statistics'!$T$2:$T$400)*($AB$2='Offer Statistics'!$AC$2:$AC$400),0)),"/")</f>
        <v>132</v>
      </c>
      <c r="AE14" s="64" cm="1">
        <f t="array" ref="AE14">IFERROR(INDEX('Offer Statistics'!AE$2:AE$400,MATCH(1,($A14='Offer Statistics'!$T$2:$T$400)*($AB$2='Offer Statistics'!$AC$2:$AC$400),0)),"/")</f>
        <v>12</v>
      </c>
      <c r="AF14" s="64" cm="1">
        <f t="array" ref="AF14">IFERROR(INDEX('Offer Statistics'!AF$2:AF$400,MATCH(1,($A14='Offer Statistics'!$T$2:$T$400)*($AB$2='Offer Statistics'!$AC$2:$AC$400),0)),"/")</f>
        <v>4</v>
      </c>
      <c r="AG14" s="64" cm="1">
        <f t="array" ref="AG14">IFERROR(INDEX('Offer Statistics'!AG$2:AG$400,MATCH(1,($A14='Offer Statistics'!$T$2:$T$400)*($AB$2='Offer Statistics'!$AC$2:$AC$400),0)),"/")</f>
        <v>0</v>
      </c>
      <c r="AH14" s="64" cm="1">
        <f t="array" ref="AH14">IFERROR(INDEX('Offer Statistics'!AH$2:AH$400,MATCH(1,($A14='Offer Statistics'!$T$2:$T$400)*($AB$2='Offer Statistics'!$AC$2:$AC$400),0)),"/")</f>
        <v>0</v>
      </c>
      <c r="AI14" s="511"/>
      <c r="AJ14" s="36" cm="1">
        <f t="array" ref="AJ14">IFERROR(INDEX('Offer Statistics'!$AA$2:$AA$400,MATCH(1,($A14='Offer Statistics'!$T$2:$T$400)*($AB$2='Offer Statistics'!$U$2:$U$400),0)),"/")</f>
        <v>4048</v>
      </c>
      <c r="AK14" s="64" cm="1">
        <f t="array" ref="AK14">IFERROR(INDEX('Offer Statistics'!V$2:V$400,MATCH(1,($A14='Offer Statistics'!$T$2:$T$400)*($AB$2='Offer Statistics'!$U$2:$U$400),0)),"/")</f>
        <v>879</v>
      </c>
      <c r="AL14" s="64" cm="1">
        <f t="array" ref="AL14">IFERROR(INDEX('Offer Statistics'!W$2:W$400,MATCH(1,($A14='Offer Statistics'!$T$2:$T$400)*($AB$2='Offer Statistics'!$U$2:$U$400),0)),"/")</f>
        <v>797</v>
      </c>
      <c r="AM14" s="64" cm="1">
        <f t="array" ref="AM14">IFERROR(INDEX('Offer Statistics'!X$2:X$400,MATCH(1,($A14='Offer Statistics'!$T$2:$T$400)*($AB$2='Offer Statistics'!$U$2:$U$400),0)),"/")</f>
        <v>794</v>
      </c>
      <c r="AN14" s="64" cm="1">
        <f t="array" ref="AN14">IFERROR(INDEX('Offer Statistics'!Y$2:Y$400,MATCH(1,($A14='Offer Statistics'!$T$2:$T$400)*($AB$2='Offer Statistics'!$U$2:$U$400),0)),"/")</f>
        <v>918</v>
      </c>
      <c r="AO14" s="64" cm="1">
        <f t="array" ref="AO14">IFERROR(INDEX('Offer Statistics'!Z$2:Z$400,MATCH(1,($A14='Offer Statistics'!$T$2:$T$400)*($AB$2='Offer Statistics'!$U$2:$U$400),0)),"/")</f>
        <v>660</v>
      </c>
      <c r="AP14" s="4"/>
      <c r="AQ14" s="15" t="str">
        <f t="shared" si="3"/>
        <v>JS2610</v>
      </c>
    </row>
    <row r="15" spans="1:43" ht="18" customHeight="1">
      <c r="A15" s="4" t="str">
        <f>'Reference Score Calculation'!A83</f>
        <v>JS2620</v>
      </c>
      <c r="B15" s="4" t="str">
        <f>'Reference Score Calculation'!C83</f>
        <v>社會科學院</v>
      </c>
      <c r="C15" s="4" t="str">
        <f>'Reference Score Calculation'!D83</f>
        <v>體育及康樂管理文學士(榮譽)</v>
      </c>
      <c r="D15" s="4" t="str">
        <f>'Reference Score Calculation'!R83</f>
        <v>BA(PERM)</v>
      </c>
      <c r="E15" s="392" t="str">
        <f>'Reference Score Calculation'!AB83</f>
        <v>Best 5</v>
      </c>
      <c r="F15" s="369" t="str">
        <f>'Reference Score Calculation'!E83</f>
        <v>4C2X</v>
      </c>
      <c r="G15" s="6">
        <f>'Reference Score Calculation'!H83</f>
        <v>25.00000000024</v>
      </c>
      <c r="H15" s="6">
        <f>'Reference Score Calculation'!I83</f>
        <v>24.000000000250001</v>
      </c>
      <c r="I15" s="45">
        <f>計分版!J106</f>
        <v>2.6000000000000001E-9</v>
      </c>
      <c r="J15" s="25">
        <f t="shared" si="0"/>
        <v>-24.99999999764</v>
      </c>
      <c r="K15" s="26">
        <f t="shared" si="1"/>
        <v>-9615384614.476923</v>
      </c>
      <c r="L15" s="36">
        <f>'Reference Score Calculation'!T83</f>
        <v>22</v>
      </c>
      <c r="M15" s="86">
        <f>入學要求!Z92</f>
        <v>0</v>
      </c>
      <c r="N15" s="514"/>
      <c r="O15" s="266">
        <f>入學要求!L92</f>
        <v>3</v>
      </c>
      <c r="P15" s="266">
        <f>入學要求!M92</f>
        <v>3</v>
      </c>
      <c r="Q15" s="266">
        <f>入學要求!N92</f>
        <v>2</v>
      </c>
      <c r="R15" s="266">
        <f>入學要求!O92</f>
        <v>1</v>
      </c>
      <c r="S15" s="266">
        <f>入學要求!P92</f>
        <v>3</v>
      </c>
      <c r="T15" s="266">
        <f>入學要求!Q92</f>
        <v>3</v>
      </c>
      <c r="U15" s="256">
        <f>入學要求!S92</f>
        <v>0</v>
      </c>
      <c r="V15" s="256">
        <f>入學要求!T92</f>
        <v>0</v>
      </c>
      <c r="W15" s="256">
        <f>入學要求!U92</f>
        <v>0</v>
      </c>
      <c r="X15" s="256">
        <f>入學要求!V92</f>
        <v>0</v>
      </c>
      <c r="Y15" s="256">
        <f>入學要求!W92</f>
        <v>0</v>
      </c>
      <c r="Z15" s="256">
        <f>入學要求!X92</f>
        <v>0</v>
      </c>
      <c r="AA15" s="422">
        <f t="shared" si="2"/>
        <v>24.57</v>
      </c>
      <c r="AB15" s="510"/>
      <c r="AC15" s="36" cm="1">
        <f t="array" ref="AC15">IFERROR(INDEX('Offer Statistics'!$AI$2:$AI$400,MATCH(1,($A15='Offer Statistics'!$T$2:$T$400)*($AB$2='Offer Statistics'!$AC$2:$AC$400),0)),"/")</f>
        <v>22</v>
      </c>
      <c r="AD15" s="64" cm="1">
        <f t="array" ref="AD15">IFERROR(INDEX('Offer Statistics'!AD$2:AD$400,MATCH(1,($A15='Offer Statistics'!$T$2:$T$400)*($AB$2='Offer Statistics'!$AC$2:$AC$400),0)),"/")</f>
        <v>21</v>
      </c>
      <c r="AE15" s="64" cm="1">
        <f t="array" ref="AE15">IFERROR(INDEX('Offer Statistics'!AE$2:AE$400,MATCH(1,($A15='Offer Statistics'!$T$2:$T$400)*($AB$2='Offer Statistics'!$AC$2:$AC$400),0)),"/")</f>
        <v>1</v>
      </c>
      <c r="AF15" s="64" cm="1">
        <f t="array" ref="AF15">IFERROR(INDEX('Offer Statistics'!AF$2:AF$400,MATCH(1,($A15='Offer Statistics'!$T$2:$T$400)*($AB$2='Offer Statistics'!$AC$2:$AC$400),0)),"/")</f>
        <v>0</v>
      </c>
      <c r="AG15" s="64" cm="1">
        <f t="array" ref="AG15">IFERROR(INDEX('Offer Statistics'!AG$2:AG$400,MATCH(1,($A15='Offer Statistics'!$T$2:$T$400)*($AB$2='Offer Statistics'!$AC$2:$AC$400),0)),"/")</f>
        <v>0</v>
      </c>
      <c r="AH15" s="64" cm="1">
        <f t="array" ref="AH15">IFERROR(INDEX('Offer Statistics'!AH$2:AH$400,MATCH(1,($A15='Offer Statistics'!$T$2:$T$400)*($AB$2='Offer Statistics'!$AC$2:$AC$400),0)),"/")</f>
        <v>0</v>
      </c>
      <c r="AI15" s="511"/>
      <c r="AJ15" s="36" cm="1">
        <f t="array" ref="AJ15">IFERROR(INDEX('Offer Statistics'!$AA$2:$AA$400,MATCH(1,($A15='Offer Statistics'!$T$2:$T$400)*($AB$2='Offer Statistics'!$U$2:$U$400),0)),"/")</f>
        <v>2191</v>
      </c>
      <c r="AK15" s="64" cm="1">
        <f t="array" ref="AK15">IFERROR(INDEX('Offer Statistics'!V$2:V$400,MATCH(1,($A15='Offer Statistics'!$T$2:$T$400)*($AB$2='Offer Statistics'!$U$2:$U$400),0)),"/")</f>
        <v>516</v>
      </c>
      <c r="AL15" s="64" cm="1">
        <f t="array" ref="AL15">IFERROR(INDEX('Offer Statistics'!W$2:W$400,MATCH(1,($A15='Offer Statistics'!$T$2:$T$400)*($AB$2='Offer Statistics'!$U$2:$U$400),0)),"/")</f>
        <v>424</v>
      </c>
      <c r="AM15" s="64" cm="1">
        <f t="array" ref="AM15">IFERROR(INDEX('Offer Statistics'!X$2:X$400,MATCH(1,($A15='Offer Statistics'!$T$2:$T$400)*($AB$2='Offer Statistics'!$U$2:$U$400),0)),"/")</f>
        <v>399</v>
      </c>
      <c r="AN15" s="64" cm="1">
        <f t="array" ref="AN15">IFERROR(INDEX('Offer Statistics'!Y$2:Y$400,MATCH(1,($A15='Offer Statistics'!$T$2:$T$400)*($AB$2='Offer Statistics'!$U$2:$U$400),0)),"/")</f>
        <v>455</v>
      </c>
      <c r="AO15" s="64" cm="1">
        <f t="array" ref="AO15">IFERROR(INDEX('Offer Statistics'!Z$2:Z$400,MATCH(1,($A15='Offer Statistics'!$T$2:$T$400)*($AB$2='Offer Statistics'!$U$2:$U$400),0)),"/")</f>
        <v>397</v>
      </c>
      <c r="AQ15" s="15" t="str">
        <f t="shared" si="3"/>
        <v>JS2620</v>
      </c>
    </row>
    <row r="16" spans="1:43" ht="18" customHeight="1">
      <c r="A16" s="4" t="str">
        <f>'Reference Score Calculation'!A84</f>
        <v>JS2660</v>
      </c>
      <c r="B16" s="4" t="str">
        <f>'Reference Score Calculation'!C84</f>
        <v>社會科學院</v>
      </c>
      <c r="C16" s="4" t="str">
        <f>'Reference Score Calculation'!D84</f>
        <v>社會工作學士(榮譽)</v>
      </c>
      <c r="D16" s="4" t="str">
        <f>'Reference Score Calculation'!R84</f>
        <v>BSW</v>
      </c>
      <c r="E16" s="392" t="str">
        <f>'Reference Score Calculation'!AB84</f>
        <v>Best 5</v>
      </c>
      <c r="F16" s="408" t="str">
        <f>'Reference Score Calculation'!E84</f>
        <v>4C2X</v>
      </c>
      <c r="G16" s="6">
        <f>'Reference Score Calculation'!H84</f>
        <v>31.000000000254996</v>
      </c>
      <c r="H16" s="6">
        <f>'Reference Score Calculation'!I84</f>
        <v>31.000000000254996</v>
      </c>
      <c r="I16" s="45">
        <f>計分版!J107</f>
        <v>2.8000000000000003E-9</v>
      </c>
      <c r="J16" s="25">
        <f t="shared" si="0"/>
        <v>-30.999999997454996</v>
      </c>
      <c r="K16" s="26">
        <f t="shared" si="1"/>
        <v>-11071428570.51964</v>
      </c>
      <c r="L16" s="36">
        <f>'Reference Score Calculation'!T84</f>
        <v>30</v>
      </c>
      <c r="M16" s="86">
        <f>入學要求!Z93</f>
        <v>0</v>
      </c>
      <c r="N16" s="514"/>
      <c r="O16" s="266">
        <f>入學要求!L93</f>
        <v>3</v>
      </c>
      <c r="P16" s="266">
        <f>入學要求!M93</f>
        <v>3</v>
      </c>
      <c r="Q16" s="266">
        <f>入學要求!N93</f>
        <v>2</v>
      </c>
      <c r="R16" s="266">
        <f>入學要求!O93</f>
        <v>1</v>
      </c>
      <c r="S16" s="266">
        <f>入學要求!P93</f>
        <v>3</v>
      </c>
      <c r="T16" s="266">
        <f>入學要求!Q93</f>
        <v>3</v>
      </c>
      <c r="U16" s="256">
        <f>入學要求!S93</f>
        <v>0</v>
      </c>
      <c r="V16" s="256">
        <f>入學要求!T93</f>
        <v>0</v>
      </c>
      <c r="W16" s="256">
        <f>入學要求!U93</f>
        <v>0</v>
      </c>
      <c r="X16" s="256">
        <f>入學要求!V93</f>
        <v>0</v>
      </c>
      <c r="Y16" s="256">
        <f>入學要求!W93</f>
        <v>0</v>
      </c>
      <c r="Z16" s="256">
        <f>入學要求!X93</f>
        <v>0</v>
      </c>
      <c r="AA16" s="422">
        <f t="shared" si="2"/>
        <v>26.81</v>
      </c>
      <c r="AB16" s="510"/>
      <c r="AC16" s="36" cm="1">
        <f t="array" ref="AC16">IFERROR(INDEX('Offer Statistics'!$AI$2:$AI$400,MATCH(1,($A16='Offer Statistics'!$T$2:$T$400)*($AB$2='Offer Statistics'!$AC$2:$AC$400),0)),"/")</f>
        <v>31</v>
      </c>
      <c r="AD16" s="64" cm="1">
        <f t="array" ref="AD16">IFERROR(INDEX('Offer Statistics'!AD$2:AD$400,MATCH(1,($A16='Offer Statistics'!$T$2:$T$400)*($AB$2='Offer Statistics'!$AC$2:$AC$400),0)),"/")</f>
        <v>26</v>
      </c>
      <c r="AE16" s="64" cm="1">
        <f t="array" ref="AE16">IFERROR(INDEX('Offer Statistics'!AE$2:AE$400,MATCH(1,($A16='Offer Statistics'!$T$2:$T$400)*($AB$2='Offer Statistics'!$AC$2:$AC$400),0)),"/")</f>
        <v>5</v>
      </c>
      <c r="AF16" s="64" cm="1">
        <f t="array" ref="AF16">IFERROR(INDEX('Offer Statistics'!AF$2:AF$400,MATCH(1,($A16='Offer Statistics'!$T$2:$T$400)*($AB$2='Offer Statistics'!$AC$2:$AC$400),0)),"/")</f>
        <v>0</v>
      </c>
      <c r="AG16" s="64" cm="1">
        <f t="array" ref="AG16">IFERROR(INDEX('Offer Statistics'!AG$2:AG$400,MATCH(1,($A16='Offer Statistics'!$T$2:$T$400)*($AB$2='Offer Statistics'!$AC$2:$AC$400),0)),"/")</f>
        <v>0</v>
      </c>
      <c r="AH16" s="64" cm="1">
        <f t="array" ref="AH16">IFERROR(INDEX('Offer Statistics'!AH$2:AH$400,MATCH(1,($A16='Offer Statistics'!$T$2:$T$400)*($AB$2='Offer Statistics'!$AC$2:$AC$400),0)),"/")</f>
        <v>0</v>
      </c>
      <c r="AI16" s="511"/>
      <c r="AJ16" s="36" cm="1">
        <f t="array" ref="AJ16">IFERROR(INDEX('Offer Statistics'!$AA$2:$AA$400,MATCH(1,($A16='Offer Statistics'!$T$2:$T$400)*($AB$2='Offer Statistics'!$U$2:$U$400),0)),"/")</f>
        <v>4651</v>
      </c>
      <c r="AK16" s="64" cm="1">
        <f t="array" ref="AK16">IFERROR(INDEX('Offer Statistics'!V$2:V$400,MATCH(1,($A16='Offer Statistics'!$T$2:$T$400)*($AB$2='Offer Statistics'!$U$2:$U$400),0)),"/")</f>
        <v>697</v>
      </c>
      <c r="AL16" s="64" cm="1">
        <f t="array" ref="AL16">IFERROR(INDEX('Offer Statistics'!W$2:W$400,MATCH(1,($A16='Offer Statistics'!$T$2:$T$400)*($AB$2='Offer Statistics'!$U$2:$U$400),0)),"/")</f>
        <v>704</v>
      </c>
      <c r="AM16" s="64" cm="1">
        <f t="array" ref="AM16">IFERROR(INDEX('Offer Statistics'!X$2:X$400,MATCH(1,($A16='Offer Statistics'!$T$2:$T$400)*($AB$2='Offer Statistics'!$U$2:$U$400),0)),"/")</f>
        <v>981</v>
      </c>
      <c r="AN16" s="64" cm="1">
        <f t="array" ref="AN16">IFERROR(INDEX('Offer Statistics'!Y$2:Y$400,MATCH(1,($A16='Offer Statistics'!$T$2:$T$400)*($AB$2='Offer Statistics'!$U$2:$U$400),0)),"/")</f>
        <v>1305</v>
      </c>
      <c r="AO16" s="64" cm="1">
        <f t="array" ref="AO16">IFERROR(INDEX('Offer Statistics'!Z$2:Z$400,MATCH(1,($A16='Offer Statistics'!$T$2:$T$400)*($AB$2='Offer Statistics'!$U$2:$U$400),0)),"/")</f>
        <v>964</v>
      </c>
      <c r="AQ16" s="15" t="str">
        <f t="shared" si="3"/>
        <v>JS2660</v>
      </c>
    </row>
    <row r="17" spans="1:44" s="43" customFormat="1" ht="18" customHeight="1">
      <c r="A17" s="4" t="str">
        <f>'Reference Score Calculation'!A85</f>
        <v>JS2810</v>
      </c>
      <c r="B17" s="4" t="str">
        <f>'Reference Score Calculation'!C85</f>
        <v>視覺藝術院</v>
      </c>
      <c r="C17" s="4" t="str">
        <f>'Reference Score Calculation'!D85</f>
        <v>視覺藝術文學士(榮譽)</v>
      </c>
      <c r="D17" s="4" t="str">
        <f>'Reference Score Calculation'!R85</f>
        <v>BA(VA)</v>
      </c>
      <c r="E17" s="392" t="str">
        <f>'Reference Score Calculation'!AB85</f>
        <v>Best 5</v>
      </c>
      <c r="F17" s="369" t="str">
        <f>'Reference Score Calculation'!E85</f>
        <v>Best 5</v>
      </c>
      <c r="G17" s="6">
        <f>'Reference Score Calculation'!H85</f>
        <v>20.000000000209997</v>
      </c>
      <c r="H17" s="6">
        <f>'Reference Score Calculation'!I85</f>
        <v>20.000000000209997</v>
      </c>
      <c r="I17" s="45">
        <f>計分版!J108</f>
        <v>3.4999999999999999E-9</v>
      </c>
      <c r="J17" s="25">
        <f t="shared" si="0"/>
        <v>-19.999999996709999</v>
      </c>
      <c r="K17" s="26">
        <f t="shared" si="1"/>
        <v>-5714285713.3457146</v>
      </c>
      <c r="L17" s="36">
        <f>'Reference Score Calculation'!T85</f>
        <v>40</v>
      </c>
      <c r="M17" s="86">
        <f>入學要求!Z94</f>
        <v>0</v>
      </c>
      <c r="N17" s="514"/>
      <c r="O17" s="266">
        <f>入學要求!L94</f>
        <v>3</v>
      </c>
      <c r="P17" s="266">
        <f>入學要求!M94</f>
        <v>3</v>
      </c>
      <c r="Q17" s="266">
        <f>入學要求!N94</f>
        <v>2</v>
      </c>
      <c r="R17" s="266">
        <f>入學要求!O94</f>
        <v>1</v>
      </c>
      <c r="S17" s="266">
        <f>入學要求!P94</f>
        <v>3</v>
      </c>
      <c r="T17" s="266">
        <f>入學要求!Q94</f>
        <v>3</v>
      </c>
      <c r="U17" s="256">
        <f>入學要求!S94</f>
        <v>0</v>
      </c>
      <c r="V17" s="256">
        <f>入學要求!T94</f>
        <v>0</v>
      </c>
      <c r="W17" s="256">
        <f>入學要求!U94</f>
        <v>0</v>
      </c>
      <c r="X17" s="256">
        <f>入學要求!V94</f>
        <v>0</v>
      </c>
      <c r="Y17" s="256">
        <f>入學要求!W94</f>
        <v>0</v>
      </c>
      <c r="Z17" s="256">
        <f>入學要求!X94</f>
        <v>0</v>
      </c>
      <c r="AA17" s="422">
        <f t="shared" si="2"/>
        <v>14.63</v>
      </c>
      <c r="AB17" s="510"/>
      <c r="AC17" s="36" cm="1">
        <f t="array" ref="AC17">IFERROR(INDEX('Offer Statistics'!$AI$2:$AI$400,MATCH(1,($A17='Offer Statistics'!$T$2:$T$400)*($AB$2='Offer Statistics'!$AC$2:$AC$400),0)),"/")</f>
        <v>40</v>
      </c>
      <c r="AD17" s="64" cm="1">
        <f t="array" ref="AD17">IFERROR(INDEX('Offer Statistics'!AD$2:AD$400,MATCH(1,($A17='Offer Statistics'!$T$2:$T$400)*($AB$2='Offer Statistics'!$AC$2:$AC$400),0)),"/")</f>
        <v>40</v>
      </c>
      <c r="AE17" s="64" cm="1">
        <f t="array" ref="AE17">IFERROR(INDEX('Offer Statistics'!AE$2:AE$400,MATCH(1,($A17='Offer Statistics'!$T$2:$T$400)*($AB$2='Offer Statistics'!$AC$2:$AC$400),0)),"/")</f>
        <v>0</v>
      </c>
      <c r="AF17" s="64" cm="1">
        <f t="array" ref="AF17">IFERROR(INDEX('Offer Statistics'!AF$2:AF$400,MATCH(1,($A17='Offer Statistics'!$T$2:$T$400)*($AB$2='Offer Statistics'!$AC$2:$AC$400),0)),"/")</f>
        <v>0</v>
      </c>
      <c r="AG17" s="64" cm="1">
        <f t="array" ref="AG17">IFERROR(INDEX('Offer Statistics'!AG$2:AG$400,MATCH(1,($A17='Offer Statistics'!$T$2:$T$400)*($AB$2='Offer Statistics'!$AC$2:$AC$400),0)),"/")</f>
        <v>0</v>
      </c>
      <c r="AH17" s="64" cm="1">
        <f t="array" ref="AH17">IFERROR(INDEX('Offer Statistics'!AH$2:AH$400,MATCH(1,($A17='Offer Statistics'!$T$2:$T$400)*($AB$2='Offer Statistics'!$AC$2:$AC$400),0)),"/")</f>
        <v>0</v>
      </c>
      <c r="AI17" s="511"/>
      <c r="AJ17" s="36" cm="1">
        <f t="array" ref="AJ17">IFERROR(INDEX('Offer Statistics'!$AA$2:$AA$400,MATCH(1,($A17='Offer Statistics'!$T$2:$T$400)*($AB$2='Offer Statistics'!$U$2:$U$400),0)),"/")</f>
        <v>2163</v>
      </c>
      <c r="AK17" s="64" cm="1">
        <f t="array" ref="AK17">IFERROR(INDEX('Offer Statistics'!V$2:V$400,MATCH(1,($A17='Offer Statistics'!$T$2:$T$400)*($AB$2='Offer Statistics'!$U$2:$U$400),0)),"/")</f>
        <v>585</v>
      </c>
      <c r="AL17" s="64" cm="1">
        <f t="array" ref="AL17">IFERROR(INDEX('Offer Statistics'!W$2:W$400,MATCH(1,($A17='Offer Statistics'!$T$2:$T$400)*($AB$2='Offer Statistics'!$U$2:$U$400),0)),"/")</f>
        <v>427</v>
      </c>
      <c r="AM17" s="64" cm="1">
        <f t="array" ref="AM17">IFERROR(INDEX('Offer Statistics'!X$2:X$400,MATCH(1,($A17='Offer Statistics'!$T$2:$T$400)*($AB$2='Offer Statistics'!$U$2:$U$400),0)),"/")</f>
        <v>464</v>
      </c>
      <c r="AN17" s="64" cm="1">
        <f t="array" ref="AN17">IFERROR(INDEX('Offer Statistics'!Y$2:Y$400,MATCH(1,($A17='Offer Statistics'!$T$2:$T$400)*($AB$2='Offer Statistics'!$U$2:$U$400),0)),"/")</f>
        <v>413</v>
      </c>
      <c r="AO17" s="64" cm="1">
        <f t="array" ref="AO17">IFERROR(INDEX('Offer Statistics'!Z$2:Z$400,MATCH(1,($A17='Offer Statistics'!$T$2:$T$400)*($AB$2='Offer Statistics'!$U$2:$U$400),0)),"/")</f>
        <v>274</v>
      </c>
      <c r="AP17" s="4"/>
      <c r="AQ17" s="15" t="str">
        <f t="shared" ref="AQ17:AQ22" si="4">A17</f>
        <v>JS2810</v>
      </c>
    </row>
    <row r="18" spans="1:44" s="43" customFormat="1" ht="18" customHeight="1">
      <c r="A18" s="4" t="str">
        <f>'Reference Score Calculation'!A86</f>
        <v>JS2910</v>
      </c>
      <c r="B18" s="4" t="str">
        <f>'Reference Score Calculation'!C86</f>
        <v>跨學院課程</v>
      </c>
      <c r="C18" s="4" t="str">
        <f>'Reference Score Calculation'!D86</f>
        <v>商業計算及數據分析理學士(榮譽)</v>
      </c>
      <c r="D18" s="4" t="str">
        <f>'Reference Score Calculation'!R86</f>
        <v>BSc(BCDA)</v>
      </c>
      <c r="E18" s="392" t="str">
        <f>'Reference Score Calculation'!AB86</f>
        <v>Best 5</v>
      </c>
      <c r="F18" s="369" t="str">
        <f>'Reference Score Calculation'!E86</f>
        <v>Best 6</v>
      </c>
      <c r="G18" s="6">
        <f>'Reference Score Calculation'!H86</f>
        <v>22.000000000229999</v>
      </c>
      <c r="H18" s="6">
        <f>'Reference Score Calculation'!I86</f>
        <v>22.000000000229999</v>
      </c>
      <c r="I18" s="45">
        <f>計分版!J109</f>
        <v>3.9000000000000002E-9</v>
      </c>
      <c r="J18" s="25">
        <f t="shared" si="0"/>
        <v>-21.999999996330001</v>
      </c>
      <c r="K18" s="26">
        <f t="shared" si="1"/>
        <v>-5641025640.0846157</v>
      </c>
      <c r="L18" s="36">
        <f>'Reference Score Calculation'!T86</f>
        <v>15</v>
      </c>
      <c r="M18" s="86">
        <f>入學要求!Z95</f>
        <v>0</v>
      </c>
      <c r="N18" s="514"/>
      <c r="O18" s="266">
        <f>入學要求!L95</f>
        <v>3</v>
      </c>
      <c r="P18" s="266">
        <f>入學要求!M95</f>
        <v>3</v>
      </c>
      <c r="Q18" s="266">
        <f>入學要求!N95</f>
        <v>2</v>
      </c>
      <c r="R18" s="266">
        <f>入學要求!O95</f>
        <v>1</v>
      </c>
      <c r="S18" s="266">
        <f>入學要求!P95</f>
        <v>3</v>
      </c>
      <c r="T18" s="266">
        <f>入學要求!Q95</f>
        <v>3</v>
      </c>
      <c r="U18" s="256">
        <f>入學要求!S95</f>
        <v>0</v>
      </c>
      <c r="V18" s="256">
        <f>入學要求!T95</f>
        <v>0</v>
      </c>
      <c r="W18" s="256">
        <f>入學要求!U95</f>
        <v>0</v>
      </c>
      <c r="X18" s="256">
        <f>入學要求!V95</f>
        <v>0</v>
      </c>
      <c r="Y18" s="256">
        <f>入學要求!W95</f>
        <v>0</v>
      </c>
      <c r="Z18" s="256">
        <f>入學要求!X95</f>
        <v>0</v>
      </c>
      <c r="AA18" s="422">
        <f t="shared" si="2"/>
        <v>9.3800000000000008</v>
      </c>
      <c r="AB18" s="510"/>
      <c r="AC18" s="36" cm="1">
        <f t="array" ref="AC18">IFERROR(INDEX('Offer Statistics'!$AI$2:$AI$400,MATCH(1,($A18='Offer Statistics'!$T$2:$T$400)*($AB$2='Offer Statistics'!$AC$2:$AC$400),0)),"/")</f>
        <v>16</v>
      </c>
      <c r="AD18" s="64" cm="1">
        <f t="array" ref="AD18">IFERROR(INDEX('Offer Statistics'!AD$2:AD$400,MATCH(1,($A18='Offer Statistics'!$T$2:$T$400)*($AB$2='Offer Statistics'!$AC$2:$AC$400),0)),"/")</f>
        <v>13</v>
      </c>
      <c r="AE18" s="64" cm="1">
        <f t="array" ref="AE18">IFERROR(INDEX('Offer Statistics'!AE$2:AE$400,MATCH(1,($A18='Offer Statistics'!$T$2:$T$400)*($AB$2='Offer Statistics'!$AC$2:$AC$400),0)),"/")</f>
        <v>2</v>
      </c>
      <c r="AF18" s="64" cm="1">
        <f t="array" ref="AF18">IFERROR(INDEX('Offer Statistics'!AF$2:AF$400,MATCH(1,($A18='Offer Statistics'!$T$2:$T$400)*($AB$2='Offer Statistics'!$AC$2:$AC$400),0)),"/")</f>
        <v>0</v>
      </c>
      <c r="AG18" s="64" cm="1">
        <f t="array" ref="AG18">IFERROR(INDEX('Offer Statistics'!AG$2:AG$400,MATCH(1,($A18='Offer Statistics'!$T$2:$T$400)*($AB$2='Offer Statistics'!$AC$2:$AC$400),0)),"/")</f>
        <v>1</v>
      </c>
      <c r="AH18" s="64" cm="1">
        <f t="array" ref="AH18">IFERROR(INDEX('Offer Statistics'!AH$2:AH$400,MATCH(1,($A18='Offer Statistics'!$T$2:$T$400)*($AB$2='Offer Statistics'!$AC$2:$AC$400),0)),"/")</f>
        <v>0</v>
      </c>
      <c r="AI18" s="511"/>
      <c r="AJ18" s="36" cm="1">
        <f t="array" ref="AJ18">IFERROR(INDEX('Offer Statistics'!$AA$2:$AA$400,MATCH(1,($A18='Offer Statistics'!$T$2:$T$400)*($AB$2='Offer Statistics'!$U$2:$U$400),0)),"/")</f>
        <v>2085</v>
      </c>
      <c r="AK18" s="64" cm="1">
        <f t="array" ref="AK18">IFERROR(INDEX('Offer Statistics'!V$2:V$400,MATCH(1,($A18='Offer Statistics'!$T$2:$T$400)*($AB$2='Offer Statistics'!$U$2:$U$400),0)),"/")</f>
        <v>122</v>
      </c>
      <c r="AL18" s="64" cm="1">
        <f t="array" ref="AL18">IFERROR(INDEX('Offer Statistics'!W$2:W$400,MATCH(1,($A18='Offer Statistics'!$T$2:$T$400)*($AB$2='Offer Statistics'!$U$2:$U$400),0)),"/")</f>
        <v>281</v>
      </c>
      <c r="AM18" s="64" cm="1">
        <f t="array" ref="AM18">IFERROR(INDEX('Offer Statistics'!X$2:X$400,MATCH(1,($A18='Offer Statistics'!$T$2:$T$400)*($AB$2='Offer Statistics'!$U$2:$U$400),0)),"/")</f>
        <v>477</v>
      </c>
      <c r="AN18" s="64" cm="1">
        <f t="array" ref="AN18">IFERROR(INDEX('Offer Statistics'!Y$2:Y$400,MATCH(1,($A18='Offer Statistics'!$T$2:$T$400)*($AB$2='Offer Statistics'!$U$2:$U$400),0)),"/")</f>
        <v>687</v>
      </c>
      <c r="AO18" s="64" cm="1">
        <f t="array" ref="AO18">IFERROR(INDEX('Offer Statistics'!Z$2:Z$400,MATCH(1,($A18='Offer Statistics'!$T$2:$T$400)*($AB$2='Offer Statistics'!$U$2:$U$400),0)),"/")</f>
        <v>518</v>
      </c>
      <c r="AP18" s="4"/>
      <c r="AQ18" s="15" t="str">
        <f t="shared" si="4"/>
        <v>JS2910</v>
      </c>
    </row>
    <row r="19" spans="1:44" s="43" customFormat="1" ht="18" customHeight="1">
      <c r="A19" s="4" t="str">
        <f>'Reference Score Calculation'!A87</f>
        <v>JS2920</v>
      </c>
      <c r="B19" s="4" t="str">
        <f>'Reference Score Calculation'!C87</f>
        <v>跨學院課程</v>
      </c>
      <c r="C19" s="4" t="str">
        <f>'Reference Score Calculation'!D87</f>
        <v>藝術及科技文理學士(榮譽)</v>
      </c>
      <c r="D19" s="4" t="str">
        <f>'Reference Score Calculation'!R87</f>
        <v>BASc(ARTT)</v>
      </c>
      <c r="E19" s="392" t="str">
        <f>'Reference Score Calculation'!AB87</f>
        <v>Best 5</v>
      </c>
      <c r="F19" s="408" t="str">
        <f>'Reference Score Calculation'!E87</f>
        <v>4C2X</v>
      </c>
      <c r="G19" s="6">
        <f>'Reference Score Calculation'!H87</f>
        <v>21.600000000235998</v>
      </c>
      <c r="H19" s="6">
        <f>'Reference Score Calculation'!I87</f>
        <v>21.800000000236</v>
      </c>
      <c r="I19" s="45">
        <f>計分版!J110</f>
        <v>2.6600000000000003E-9</v>
      </c>
      <c r="J19" s="25">
        <f t="shared" si="0"/>
        <v>-21.599999997575999</v>
      </c>
      <c r="K19" s="26">
        <f t="shared" si="1"/>
        <v>-8120300750.96842</v>
      </c>
      <c r="L19" s="36">
        <f>'Reference Score Calculation'!T87</f>
        <v>40</v>
      </c>
      <c r="M19" s="86">
        <f>入學要求!Z96</f>
        <v>0</v>
      </c>
      <c r="N19" s="514"/>
      <c r="O19" s="266">
        <f>入學要求!L96</f>
        <v>3</v>
      </c>
      <c r="P19" s="266">
        <f>入學要求!M96</f>
        <v>3</v>
      </c>
      <c r="Q19" s="266">
        <f>入學要求!N96</f>
        <v>2</v>
      </c>
      <c r="R19" s="266">
        <f>入學要求!O96</f>
        <v>1</v>
      </c>
      <c r="S19" s="266">
        <f>入學要求!P96</f>
        <v>3</v>
      </c>
      <c r="T19" s="266">
        <f>入學要求!Q96</f>
        <v>3</v>
      </c>
      <c r="U19" s="256">
        <f>入學要求!S96</f>
        <v>0</v>
      </c>
      <c r="V19" s="256">
        <f>入學要求!T96</f>
        <v>0</v>
      </c>
      <c r="W19" s="256">
        <f>入學要求!U96</f>
        <v>0</v>
      </c>
      <c r="X19" s="256">
        <f>入學要求!V96</f>
        <v>0</v>
      </c>
      <c r="Y19" s="256">
        <f>入學要求!W96</f>
        <v>0</v>
      </c>
      <c r="Z19" s="256">
        <f>入學要求!X96</f>
        <v>0</v>
      </c>
      <c r="AA19" s="422">
        <f t="shared" si="2"/>
        <v>6.62</v>
      </c>
      <c r="AB19" s="510"/>
      <c r="AC19" s="36" cm="1">
        <f t="array" ref="AC19">IFERROR(INDEX('Offer Statistics'!$AI$2:$AI$400,MATCH(1,($A19='Offer Statistics'!$T$2:$T$400)*($AB$2='Offer Statistics'!$AC$2:$AC$400),0)),"/")</f>
        <v>39</v>
      </c>
      <c r="AD19" s="64" cm="1">
        <f t="array" ref="AD19">IFERROR(INDEX('Offer Statistics'!AD$2:AD$400,MATCH(1,($A19='Offer Statistics'!$T$2:$T$400)*($AB$2='Offer Statistics'!$AC$2:$AC$400),0)),"/")</f>
        <v>39</v>
      </c>
      <c r="AE19" s="64" cm="1">
        <f t="array" ref="AE19">IFERROR(INDEX('Offer Statistics'!AE$2:AE$400,MATCH(1,($A19='Offer Statistics'!$T$2:$T$400)*($AB$2='Offer Statistics'!$AC$2:$AC$400),0)),"/")</f>
        <v>0</v>
      </c>
      <c r="AF19" s="64" cm="1">
        <f t="array" ref="AF19">IFERROR(INDEX('Offer Statistics'!AF$2:AF$400,MATCH(1,($A19='Offer Statistics'!$T$2:$T$400)*($AB$2='Offer Statistics'!$AC$2:$AC$400),0)),"/")</f>
        <v>0</v>
      </c>
      <c r="AG19" s="64" cm="1">
        <f t="array" ref="AG19">IFERROR(INDEX('Offer Statistics'!AG$2:AG$400,MATCH(1,($A19='Offer Statistics'!$T$2:$T$400)*($AB$2='Offer Statistics'!$AC$2:$AC$400),0)),"/")</f>
        <v>0</v>
      </c>
      <c r="AH19" s="64" cm="1">
        <f t="array" ref="AH19">IFERROR(INDEX('Offer Statistics'!AH$2:AH$400,MATCH(1,($A19='Offer Statistics'!$T$2:$T$400)*($AB$2='Offer Statistics'!$AC$2:$AC$400),0)),"/")</f>
        <v>0</v>
      </c>
      <c r="AI19" s="511"/>
      <c r="AJ19" s="36" cm="1">
        <f t="array" ref="AJ19">IFERROR(INDEX('Offer Statistics'!$AA$2:$AA$400,MATCH(1,($A19='Offer Statistics'!$T$2:$T$400)*($AB$2='Offer Statistics'!$U$2:$U$400),0)),"/")</f>
        <v>1689</v>
      </c>
      <c r="AK19" s="64" cm="1">
        <f t="array" ref="AK19">IFERROR(INDEX('Offer Statistics'!V$2:V$400,MATCH(1,($A19='Offer Statistics'!$T$2:$T$400)*($AB$2='Offer Statistics'!$U$2:$U$400),0)),"/")</f>
        <v>258</v>
      </c>
      <c r="AL19" s="64" cm="1">
        <f t="array" ref="AL19">IFERROR(INDEX('Offer Statistics'!W$2:W$400,MATCH(1,($A19='Offer Statistics'!$T$2:$T$400)*($AB$2='Offer Statistics'!$U$2:$U$400),0)),"/")</f>
        <v>284</v>
      </c>
      <c r="AM19" s="64" cm="1">
        <f t="array" ref="AM19">IFERROR(INDEX('Offer Statistics'!X$2:X$400,MATCH(1,($A19='Offer Statistics'!$T$2:$T$400)*($AB$2='Offer Statistics'!$U$2:$U$400),0)),"/")</f>
        <v>394</v>
      </c>
      <c r="AN19" s="64" cm="1">
        <f t="array" ref="AN19">IFERROR(INDEX('Offer Statistics'!Y$2:Y$400,MATCH(1,($A19='Offer Statistics'!$T$2:$T$400)*($AB$2='Offer Statistics'!$U$2:$U$400),0)),"/")</f>
        <v>423</v>
      </c>
      <c r="AO19" s="64" cm="1">
        <f t="array" ref="AO19">IFERROR(INDEX('Offer Statistics'!Z$2:Z$400,MATCH(1,($A19='Offer Statistics'!$T$2:$T$400)*($AB$2='Offer Statistics'!$U$2:$U$400),0)),"/")</f>
        <v>330</v>
      </c>
      <c r="AP19" s="4"/>
      <c r="AQ19" s="15" t="str">
        <f t="shared" si="4"/>
        <v>JS2920</v>
      </c>
    </row>
    <row r="20" spans="1:44" s="43" customFormat="1" ht="18" customHeight="1">
      <c r="A20" s="4" t="str">
        <f>'Reference Score Calculation'!A88</f>
        <v>JS2930</v>
      </c>
      <c r="B20" s="4" t="str">
        <f>'Reference Score Calculation'!C88</f>
        <v>跨學院課程</v>
      </c>
      <c r="C20" s="4" t="str">
        <f>'Reference Score Calculation'!D88</f>
        <v>工商管理文學士(榮譽)(全球娛樂)</v>
      </c>
      <c r="D20" s="4" t="str">
        <f>'Reference Score Calculation'!R88</f>
        <v>BA(BUSADMIN-GE)</v>
      </c>
      <c r="E20" s="392" t="str">
        <f>'Reference Score Calculation'!AB88</f>
        <v>Best 5</v>
      </c>
      <c r="F20" s="369" t="str">
        <f>'Reference Score Calculation'!E88</f>
        <v>4C2X</v>
      </c>
      <c r="G20" s="6">
        <f>'Reference Score Calculation'!H88</f>
        <v>21.000000000229999</v>
      </c>
      <c r="H20" s="6">
        <f>'Reference Score Calculation'!I88</f>
        <v>21.000000000229999</v>
      </c>
      <c r="I20" s="45">
        <f>計分版!J111</f>
        <v>2.6000000000000001E-9</v>
      </c>
      <c r="J20" s="25">
        <f t="shared" si="0"/>
        <v>-20.999999997629999</v>
      </c>
      <c r="K20" s="26">
        <f t="shared" si="1"/>
        <v>-8076923076.0115376</v>
      </c>
      <c r="L20" s="36">
        <f>'Reference Score Calculation'!T88</f>
        <v>15</v>
      </c>
      <c r="M20" s="86">
        <f>入學要求!Z97</f>
        <v>0</v>
      </c>
      <c r="N20" s="514"/>
      <c r="O20" s="266">
        <f>入學要求!L97</f>
        <v>3</v>
      </c>
      <c r="P20" s="266">
        <f>入學要求!M97</f>
        <v>3</v>
      </c>
      <c r="Q20" s="266">
        <f>入學要求!N97</f>
        <v>2</v>
      </c>
      <c r="R20" s="266">
        <f>入學要求!O97</f>
        <v>1</v>
      </c>
      <c r="S20" s="266">
        <f>入學要求!P97</f>
        <v>3</v>
      </c>
      <c r="T20" s="266">
        <f>入學要求!Q97</f>
        <v>3</v>
      </c>
      <c r="U20" s="256">
        <f>入學要求!S97</f>
        <v>0</v>
      </c>
      <c r="V20" s="256">
        <f>入學要求!T97</f>
        <v>0</v>
      </c>
      <c r="W20" s="256">
        <f>入學要求!U97</f>
        <v>0</v>
      </c>
      <c r="X20" s="256">
        <f>入學要求!V97</f>
        <v>0</v>
      </c>
      <c r="Y20" s="256">
        <f>入學要求!W97</f>
        <v>0</v>
      </c>
      <c r="Z20" s="256">
        <f>入學要求!X97</f>
        <v>0</v>
      </c>
      <c r="AA20" s="422">
        <f t="shared" si="2"/>
        <v>10.15</v>
      </c>
      <c r="AB20" s="510"/>
      <c r="AC20" s="36" cm="1">
        <f t="array" ref="AC20">IFERROR(INDEX('Offer Statistics'!$AI$2:$AI$400,MATCH(1,($A20='Offer Statistics'!$T$2:$T$400)*($AB$2='Offer Statistics'!$AC$2:$AC$400),0)),"/")</f>
        <v>13</v>
      </c>
      <c r="AD20" s="64" cm="1">
        <f t="array" ref="AD20">IFERROR(INDEX('Offer Statistics'!AD$2:AD$400,MATCH(1,($A20='Offer Statistics'!$T$2:$T$400)*($AB$2='Offer Statistics'!$AC$2:$AC$400),0)),"/")</f>
        <v>13</v>
      </c>
      <c r="AE20" s="64" cm="1">
        <f t="array" ref="AE20">IFERROR(INDEX('Offer Statistics'!AE$2:AE$400,MATCH(1,($A20='Offer Statistics'!$T$2:$T$400)*($AB$2='Offer Statistics'!$AC$2:$AC$400),0)),"/")</f>
        <v>0</v>
      </c>
      <c r="AF20" s="64" cm="1">
        <f t="array" ref="AF20">IFERROR(INDEX('Offer Statistics'!AF$2:AF$400,MATCH(1,($A20='Offer Statistics'!$T$2:$T$400)*($AB$2='Offer Statistics'!$AC$2:$AC$400),0)),"/")</f>
        <v>0</v>
      </c>
      <c r="AG20" s="64" cm="1">
        <f t="array" ref="AG20">IFERROR(INDEX('Offer Statistics'!AG$2:AG$400,MATCH(1,($A20='Offer Statistics'!$T$2:$T$400)*($AB$2='Offer Statistics'!$AC$2:$AC$400),0)),"/")</f>
        <v>0</v>
      </c>
      <c r="AH20" s="64" cm="1">
        <f t="array" ref="AH20">IFERROR(INDEX('Offer Statistics'!AH$2:AH$400,MATCH(1,($A20='Offer Statistics'!$T$2:$T$400)*($AB$2='Offer Statistics'!$AC$2:$AC$400),0)),"/")</f>
        <v>0</v>
      </c>
      <c r="AI20" s="511"/>
      <c r="AJ20" s="36" cm="1">
        <f t="array" ref="AJ20">IFERROR(INDEX('Offer Statistics'!$AA$2:$AA$400,MATCH(1,($A20='Offer Statistics'!$T$2:$T$400)*($AB$2='Offer Statistics'!$U$2:$U$400),0)),"/")</f>
        <v>1622</v>
      </c>
      <c r="AK20" s="64" cm="1">
        <f t="array" ref="AK20">IFERROR(INDEX('Offer Statistics'!V$2:V$400,MATCH(1,($A20='Offer Statistics'!$T$2:$T$400)*($AB$2='Offer Statistics'!$U$2:$U$400),0)),"/")</f>
        <v>132</v>
      </c>
      <c r="AL20" s="64" cm="1">
        <f t="array" ref="AL20">IFERROR(INDEX('Offer Statistics'!W$2:W$400,MATCH(1,($A20='Offer Statistics'!$T$2:$T$400)*($AB$2='Offer Statistics'!$U$2:$U$400),0)),"/")</f>
        <v>202</v>
      </c>
      <c r="AM20" s="64" cm="1">
        <f t="array" ref="AM20">IFERROR(INDEX('Offer Statistics'!X$2:X$400,MATCH(1,($A20='Offer Statistics'!$T$2:$T$400)*($AB$2='Offer Statistics'!$U$2:$U$400),0)),"/")</f>
        <v>374</v>
      </c>
      <c r="AN20" s="64" cm="1">
        <f t="array" ref="AN20">IFERROR(INDEX('Offer Statistics'!Y$2:Y$400,MATCH(1,($A20='Offer Statistics'!$T$2:$T$400)*($AB$2='Offer Statistics'!$U$2:$U$400),0)),"/")</f>
        <v>477</v>
      </c>
      <c r="AO20" s="64" cm="1">
        <f t="array" ref="AO20">IFERROR(INDEX('Offer Statistics'!Z$2:Z$400,MATCH(1,($A20='Offer Statistics'!$T$2:$T$400)*($AB$2='Offer Statistics'!$U$2:$U$400),0)),"/")</f>
        <v>437</v>
      </c>
      <c r="AP20" s="4"/>
      <c r="AQ20" s="15" t="str">
        <f t="shared" si="4"/>
        <v>JS2930</v>
      </c>
    </row>
    <row r="21" spans="1:44" s="43" customFormat="1" ht="18" customHeight="1">
      <c r="A21" s="4" t="str">
        <f>'Reference Score Calculation'!A89</f>
        <v>JS2940</v>
      </c>
      <c r="B21" s="4" t="str">
        <f>'Reference Score Calculation'!C89</f>
        <v>跨學院課程</v>
      </c>
      <c r="C21" s="4" t="str">
        <f>'Reference Score Calculation'!D89</f>
        <v>創新醫療及社會健康社會科學學士(榮譽) / 理學士(榮譽)</v>
      </c>
      <c r="D21" s="4" t="str">
        <f>'Reference Score Calculation'!R89</f>
        <v>BSocSc/BSc(HSWB)</v>
      </c>
      <c r="E21" s="392" t="str">
        <f>'Reference Score Calculation'!AB89</f>
        <v>Best 5</v>
      </c>
      <c r="F21" s="369" t="str">
        <f>'Reference Score Calculation'!E89</f>
        <v>4C2X</v>
      </c>
      <c r="G21" s="6">
        <f>'Reference Score Calculation'!H89</f>
        <v>22.000000000229999</v>
      </c>
      <c r="H21" s="6">
        <f>'Reference Score Calculation'!I89</f>
        <v>21.000000000229999</v>
      </c>
      <c r="I21" s="45">
        <f>計分版!J112</f>
        <v>2.6000000000000001E-9</v>
      </c>
      <c r="J21" s="25">
        <f t="shared" si="0"/>
        <v>-21.999999997629999</v>
      </c>
      <c r="K21" s="26">
        <f t="shared" si="1"/>
        <v>-8461538460.6269226</v>
      </c>
      <c r="L21" s="36">
        <f>'Reference Score Calculation'!T89</f>
        <v>35</v>
      </c>
      <c r="M21" s="86">
        <f>入學要求!Z98</f>
        <v>0</v>
      </c>
      <c r="N21" s="514"/>
      <c r="O21" s="266">
        <f>入學要求!L98</f>
        <v>3</v>
      </c>
      <c r="P21" s="266">
        <f>入學要求!M98</f>
        <v>3</v>
      </c>
      <c r="Q21" s="266">
        <f>入學要求!N98</f>
        <v>2</v>
      </c>
      <c r="R21" s="266">
        <f>入學要求!O98</f>
        <v>1</v>
      </c>
      <c r="S21" s="266">
        <f>入學要求!P98</f>
        <v>3</v>
      </c>
      <c r="T21" s="266">
        <f>入學要求!Q98</f>
        <v>3</v>
      </c>
      <c r="U21" s="256">
        <f>入學要求!S98</f>
        <v>0</v>
      </c>
      <c r="V21" s="256">
        <f>入學要求!T98</f>
        <v>0</v>
      </c>
      <c r="W21" s="256">
        <f>入學要求!U98</f>
        <v>0</v>
      </c>
      <c r="X21" s="256">
        <f>入學要求!V98</f>
        <v>0</v>
      </c>
      <c r="Y21" s="256">
        <f>入學要求!W98</f>
        <v>0</v>
      </c>
      <c r="Z21" s="256">
        <f>入學要求!X98</f>
        <v>0</v>
      </c>
      <c r="AA21" s="422">
        <f t="shared" si="2"/>
        <v>10.36</v>
      </c>
      <c r="AB21" s="510"/>
      <c r="AC21" s="36" cm="1">
        <f t="array" ref="AC21">IFERROR(INDEX('Offer Statistics'!$AI$2:$AI$400,MATCH(1,($A21='Offer Statistics'!$T$2:$T$400)*($AB$2='Offer Statistics'!$AC$2:$AC$400),0)),"/")</f>
        <v>47</v>
      </c>
      <c r="AD21" s="64" cm="1">
        <f t="array" ref="AD21">IFERROR(INDEX('Offer Statistics'!AD$2:AD$400,MATCH(1,($A21='Offer Statistics'!$T$2:$T$400)*($AB$2='Offer Statistics'!$AC$2:$AC$400),0)),"/")</f>
        <v>47</v>
      </c>
      <c r="AE21" s="64" cm="1">
        <f t="array" ref="AE21">IFERROR(INDEX('Offer Statistics'!AE$2:AE$400,MATCH(1,($A21='Offer Statistics'!$T$2:$T$400)*($AB$2='Offer Statistics'!$AC$2:$AC$400),0)),"/")</f>
        <v>0</v>
      </c>
      <c r="AF21" s="64" cm="1">
        <f t="array" ref="AF21">IFERROR(INDEX('Offer Statistics'!AF$2:AF$400,MATCH(1,($A21='Offer Statistics'!$T$2:$T$400)*($AB$2='Offer Statistics'!$AC$2:$AC$400),0)),"/")</f>
        <v>0</v>
      </c>
      <c r="AG21" s="64" cm="1">
        <f t="array" ref="AG21">IFERROR(INDEX('Offer Statistics'!AG$2:AG$400,MATCH(1,($A21='Offer Statistics'!$T$2:$T$400)*($AB$2='Offer Statistics'!$AC$2:$AC$400),0)),"/")</f>
        <v>0</v>
      </c>
      <c r="AH21" s="64" cm="1">
        <f t="array" ref="AH21">IFERROR(INDEX('Offer Statistics'!AH$2:AH$400,MATCH(1,($A21='Offer Statistics'!$T$2:$T$400)*($AB$2='Offer Statistics'!$AC$2:$AC$400),0)),"/")</f>
        <v>0</v>
      </c>
      <c r="AI21" s="511"/>
      <c r="AJ21" s="36" cm="1">
        <f t="array" ref="AJ21">IFERROR(INDEX('Offer Statistics'!$AA$2:$AA$400,MATCH(1,($A21='Offer Statistics'!$T$2:$T$400)*($AB$2='Offer Statistics'!$U$2:$U$400),0)),"/")</f>
        <v>3173</v>
      </c>
      <c r="AK21" s="64" cm="1">
        <f t="array" ref="AK21">IFERROR(INDEX('Offer Statistics'!V$2:V$400,MATCH(1,($A21='Offer Statistics'!$T$2:$T$400)*($AB$2='Offer Statistics'!$U$2:$U$400),0)),"/")</f>
        <v>487</v>
      </c>
      <c r="AL21" s="64" cm="1">
        <f t="array" ref="AL21">IFERROR(INDEX('Offer Statistics'!W$2:W$400,MATCH(1,($A21='Offer Statistics'!$T$2:$T$400)*($AB$2='Offer Statistics'!$U$2:$U$400),0)),"/")</f>
        <v>555</v>
      </c>
      <c r="AM21" s="64" cm="1">
        <f t="array" ref="AM21">IFERROR(INDEX('Offer Statistics'!X$2:X$400,MATCH(1,($A21='Offer Statistics'!$T$2:$T$400)*($AB$2='Offer Statistics'!$U$2:$U$400),0)),"/")</f>
        <v>642</v>
      </c>
      <c r="AN21" s="64" cm="1">
        <f t="array" ref="AN21">IFERROR(INDEX('Offer Statistics'!Y$2:Y$400,MATCH(1,($A21='Offer Statistics'!$T$2:$T$400)*($AB$2='Offer Statistics'!$U$2:$U$400),0)),"/")</f>
        <v>777</v>
      </c>
      <c r="AO21" s="64" cm="1">
        <f t="array" ref="AO21">IFERROR(INDEX('Offer Statistics'!Z$2:Z$400,MATCH(1,($A21='Offer Statistics'!$T$2:$T$400)*($AB$2='Offer Statistics'!$U$2:$U$400),0)),"/")</f>
        <v>712</v>
      </c>
      <c r="AP21" s="4"/>
      <c r="AQ21" s="15" t="str">
        <f t="shared" si="4"/>
        <v>JS2940</v>
      </c>
    </row>
    <row r="22" spans="1:44" s="43" customFormat="1" ht="18" customHeight="1">
      <c r="A22" s="4" t="str">
        <f>'Reference Score Calculation'!A90</f>
        <v>JS2950</v>
      </c>
      <c r="B22" s="4" t="str">
        <f>'Reference Score Calculation'!C90</f>
        <v>跨學院課程</v>
      </c>
      <c r="C22" s="4" t="str">
        <f>'Reference Score Calculation'!D90</f>
        <v>文理及科技學士(榮譽)自訂主修</v>
      </c>
      <c r="D22" s="4" t="str">
        <f>'Reference Score Calculation'!R90</f>
        <v>BAScT</v>
      </c>
      <c r="E22" s="392" t="str">
        <f>'Reference Score Calculation'!AB90</f>
        <v>Best 5</v>
      </c>
      <c r="F22" s="369" t="str">
        <f>'Reference Score Calculation'!E90</f>
        <v>Best 5</v>
      </c>
      <c r="G22" s="6">
        <f>'Reference Score Calculation'!H90</f>
        <v>18.000000000210001</v>
      </c>
      <c r="H22" s="6">
        <f>'Reference Score Calculation'!I90</f>
        <v>19.0000000002</v>
      </c>
      <c r="I22" s="45">
        <f>計分版!J113</f>
        <v>3.4999999999999999E-9</v>
      </c>
      <c r="J22" s="25">
        <f t="shared" si="0"/>
        <v>-17.999999996710002</v>
      </c>
      <c r="K22" s="26">
        <f t="shared" si="1"/>
        <v>-5142857141.9171438</v>
      </c>
      <c r="L22" s="36">
        <f>'Reference Score Calculation'!T90</f>
        <v>15</v>
      </c>
      <c r="M22" s="86">
        <f>入學要求!Z99</f>
        <v>0</v>
      </c>
      <c r="N22" s="514"/>
      <c r="O22" s="267">
        <f>入學要求!L99</f>
        <v>3</v>
      </c>
      <c r="P22" s="267">
        <f>入學要求!M99</f>
        <v>3</v>
      </c>
      <c r="Q22" s="267">
        <f>入學要求!N99</f>
        <v>2</v>
      </c>
      <c r="R22" s="267">
        <f>入學要求!O99</f>
        <v>1</v>
      </c>
      <c r="S22" s="267">
        <f>入學要求!P99</f>
        <v>3</v>
      </c>
      <c r="T22" s="267">
        <f>入學要求!Q99</f>
        <v>3</v>
      </c>
      <c r="U22" s="256">
        <f>入學要求!S99</f>
        <v>0</v>
      </c>
      <c r="V22" s="256">
        <f>入學要求!T99</f>
        <v>0</v>
      </c>
      <c r="W22" s="256">
        <f>入學要求!U99</f>
        <v>0</v>
      </c>
      <c r="X22" s="256">
        <f>入學要求!V99</f>
        <v>0</v>
      </c>
      <c r="Y22" s="256">
        <f>入學要求!W99</f>
        <v>0</v>
      </c>
      <c r="Z22" s="256">
        <f>入學要求!X99</f>
        <v>0</v>
      </c>
      <c r="AA22" s="422">
        <f t="shared" si="2"/>
        <v>7.82</v>
      </c>
      <c r="AB22" s="510"/>
      <c r="AC22" s="36" cm="1">
        <f t="array" ref="AC22">IFERROR(INDEX('Offer Statistics'!$AI$2:$AI$400,MATCH(1,($A22='Offer Statistics'!$T$2:$T$400)*($AB$2='Offer Statistics'!$AC$2:$AC$400),0)),"/")</f>
        <v>16</v>
      </c>
      <c r="AD22" s="64" cm="1">
        <f t="array" ref="AD22">IFERROR(INDEX('Offer Statistics'!AD$2:AD$400,MATCH(1,($A22='Offer Statistics'!$T$2:$T$400)*($AB$2='Offer Statistics'!$AC$2:$AC$400),0)),"/")</f>
        <v>11</v>
      </c>
      <c r="AE22" s="64" cm="1">
        <f t="array" ref="AE22">IFERROR(INDEX('Offer Statistics'!AE$2:AE$400,MATCH(1,($A22='Offer Statistics'!$T$2:$T$400)*($AB$2='Offer Statistics'!$AC$2:$AC$400),0)),"/")</f>
        <v>4</v>
      </c>
      <c r="AF22" s="64" cm="1">
        <f t="array" ref="AF22">IFERROR(INDEX('Offer Statistics'!AF$2:AF$400,MATCH(1,($A22='Offer Statistics'!$T$2:$T$400)*($AB$2='Offer Statistics'!$AC$2:$AC$400),0)),"/")</f>
        <v>1</v>
      </c>
      <c r="AG22" s="64" cm="1">
        <f t="array" ref="AG22">IFERROR(INDEX('Offer Statistics'!AG$2:AG$400,MATCH(1,($A22='Offer Statistics'!$T$2:$T$400)*($AB$2='Offer Statistics'!$AC$2:$AC$400),0)),"/")</f>
        <v>0</v>
      </c>
      <c r="AH22" s="64" cm="1">
        <f t="array" ref="AH22">IFERROR(INDEX('Offer Statistics'!AH$2:AH$400,MATCH(1,($A22='Offer Statistics'!$T$2:$T$400)*($AB$2='Offer Statistics'!$AC$2:$AC$400),0)),"/")</f>
        <v>0</v>
      </c>
      <c r="AI22" s="511"/>
      <c r="AJ22" s="36" cm="1">
        <f t="array" ref="AJ22">IFERROR(INDEX('Offer Statistics'!$AA$2:$AA$400,MATCH(1,($A22='Offer Statistics'!$T$2:$T$400)*($AB$2='Offer Statistics'!$U$2:$U$400),0)),"/")</f>
        <v>992</v>
      </c>
      <c r="AK22" s="64" cm="1">
        <f t="array" ref="AK22">IFERROR(INDEX('Offer Statistics'!V$2:V$400,MATCH(1,($A22='Offer Statistics'!$T$2:$T$400)*($AB$2='Offer Statistics'!$U$2:$U$400),0)),"/")</f>
        <v>86</v>
      </c>
      <c r="AL22" s="64" cm="1">
        <f t="array" ref="AL22">IFERROR(INDEX('Offer Statistics'!W$2:W$400,MATCH(1,($A22='Offer Statistics'!$T$2:$T$400)*($AB$2='Offer Statistics'!$U$2:$U$400),0)),"/")</f>
        <v>145</v>
      </c>
      <c r="AM22" s="64" cm="1">
        <f t="array" ref="AM22">IFERROR(INDEX('Offer Statistics'!X$2:X$400,MATCH(1,($A22='Offer Statistics'!$T$2:$T$400)*($AB$2='Offer Statistics'!$U$2:$U$400),0)),"/")</f>
        <v>190</v>
      </c>
      <c r="AN22" s="64" cm="1">
        <f t="array" ref="AN22">IFERROR(INDEX('Offer Statistics'!Y$2:Y$400,MATCH(1,($A22='Offer Statistics'!$T$2:$T$400)*($AB$2='Offer Statistics'!$U$2:$U$400),0)),"/")</f>
        <v>299</v>
      </c>
      <c r="AO22" s="64" cm="1">
        <f t="array" ref="AO22">IFERROR(INDEX('Offer Statistics'!Z$2:Z$400,MATCH(1,($A22='Offer Statistics'!$T$2:$T$400)*($AB$2='Offer Statistics'!$U$2:$U$400),0)),"/")</f>
        <v>272</v>
      </c>
      <c r="AP22" s="4"/>
      <c r="AQ22" s="15" t="str">
        <f t="shared" si="4"/>
        <v>JS2950</v>
      </c>
    </row>
    <row r="23" spans="1:44" ht="18" customHeight="1"/>
    <row r="24" spans="1:44" ht="18" customHeight="1">
      <c r="A24" s="4" t="s">
        <v>143</v>
      </c>
    </row>
    <row r="25" spans="1:44" ht="18" customHeight="1">
      <c r="A25" s="4" t="s">
        <v>2805</v>
      </c>
    </row>
    <row r="26" spans="1:44" ht="18" customHeight="1"/>
    <row r="27" spans="1:44" ht="18" customHeight="1">
      <c r="A27" s="387" t="s">
        <v>2840</v>
      </c>
      <c r="B27" s="4" t="s">
        <v>2841</v>
      </c>
      <c r="C27" s="23"/>
      <c r="E27" s="15"/>
      <c r="I27" s="15"/>
      <c r="N27" s="4"/>
    </row>
    <row r="28" spans="1:44" ht="18" customHeight="1">
      <c r="A28" s="23"/>
      <c r="B28" s="4" t="s">
        <v>2818</v>
      </c>
      <c r="C28" s="23"/>
      <c r="E28" s="15"/>
      <c r="I28" s="15"/>
      <c r="N28" s="4"/>
    </row>
    <row r="29" spans="1:44" ht="18" customHeight="1">
      <c r="A29" s="23"/>
      <c r="B29" s="474" t="s">
        <v>3132</v>
      </c>
      <c r="C29" s="23"/>
      <c r="E29" s="15"/>
      <c r="I29" s="15"/>
      <c r="N29" s="4"/>
      <c r="U29" s="4"/>
      <c r="V29" s="4"/>
      <c r="W29" s="4"/>
      <c r="X29" s="4"/>
      <c r="Y29" s="4"/>
      <c r="Z29" s="4"/>
      <c r="AA29" s="4"/>
      <c r="AD29" s="15" t="s">
        <v>18</v>
      </c>
    </row>
    <row r="30" spans="1:44" ht="18" customHeight="1">
      <c r="C30" s="23"/>
      <c r="I30" s="15"/>
      <c r="N30" s="4"/>
      <c r="U30" s="4"/>
      <c r="V30" s="4"/>
      <c r="W30" s="4"/>
      <c r="X30" s="4"/>
      <c r="Y30" s="4"/>
      <c r="Z30" s="4"/>
      <c r="AA30" s="4"/>
    </row>
    <row r="31" spans="1:44" ht="18" customHeight="1">
      <c r="A31" s="23" t="s">
        <v>2806</v>
      </c>
      <c r="F31" s="36"/>
      <c r="G31" s="15"/>
      <c r="H31" s="15"/>
      <c r="I31" s="15"/>
      <c r="J31" s="15"/>
      <c r="K31" s="22"/>
      <c r="L31" s="23"/>
      <c r="N31" s="4"/>
      <c r="O31" s="15"/>
      <c r="P31" s="15"/>
      <c r="Q31" s="15"/>
      <c r="R31" s="15"/>
      <c r="S31" s="15"/>
      <c r="T31" s="15"/>
      <c r="U31" s="4"/>
      <c r="V31" s="4"/>
      <c r="W31" s="4"/>
      <c r="X31" s="4"/>
      <c r="Y31" s="4"/>
      <c r="Z31" s="4"/>
      <c r="AA31" s="4"/>
      <c r="AB31" s="15"/>
      <c r="AD31" s="15" t="s">
        <v>18</v>
      </c>
      <c r="AE31" s="15"/>
      <c r="AF31" s="15"/>
      <c r="AG31" s="15"/>
      <c r="AH31" s="15"/>
      <c r="AI31" s="15"/>
      <c r="AJ31" s="15"/>
      <c r="AK31" s="15"/>
      <c r="AL31" s="15"/>
      <c r="AM31" s="15"/>
      <c r="AN31" s="15"/>
      <c r="AO31" s="15"/>
      <c r="AP31" s="15"/>
      <c r="AR31" s="15"/>
    </row>
    <row r="32" spans="1:44" ht="18" customHeight="1">
      <c r="A32" s="284" t="s">
        <v>3099</v>
      </c>
    </row>
    <row r="33" spans="1:10" ht="18" customHeight="1">
      <c r="A33" s="284"/>
    </row>
    <row r="34" spans="1:10" ht="18" customHeight="1">
      <c r="A34" s="3" t="s">
        <v>133</v>
      </c>
    </row>
    <row r="35" spans="1:10" ht="18" customHeight="1">
      <c r="A35" s="4" t="s">
        <v>144</v>
      </c>
    </row>
    <row r="36" spans="1:10" ht="18" customHeight="1"/>
    <row r="37" spans="1:10" ht="18" customHeight="1">
      <c r="A37" s="4" t="s">
        <v>145</v>
      </c>
    </row>
    <row r="38" spans="1:10" ht="18" customHeight="1">
      <c r="A38" s="4" t="s">
        <v>146</v>
      </c>
    </row>
    <row r="39" spans="1:10" ht="18" customHeight="1"/>
    <row r="40" spans="1:10" ht="18" customHeight="1">
      <c r="A40" s="9" t="s">
        <v>147</v>
      </c>
      <c r="B40" s="9"/>
      <c r="C40" s="9"/>
      <c r="D40" s="9"/>
      <c r="E40" s="9"/>
      <c r="F40" s="27"/>
      <c r="G40" s="9"/>
      <c r="H40" s="9"/>
      <c r="I40" s="9"/>
      <c r="J40" s="9"/>
    </row>
    <row r="41" spans="1:10" ht="18" customHeight="1">
      <c r="A41" s="9"/>
      <c r="B41" s="9" t="s">
        <v>2898</v>
      </c>
      <c r="C41" s="9"/>
      <c r="D41" s="9"/>
      <c r="E41" s="9"/>
      <c r="F41" s="27"/>
      <c r="G41" s="9"/>
      <c r="H41" s="9"/>
      <c r="I41" s="9"/>
      <c r="J41" s="9"/>
    </row>
    <row r="42" spans="1:10" ht="18" customHeight="1">
      <c r="A42" s="9"/>
      <c r="B42" s="9" t="s">
        <v>148</v>
      </c>
      <c r="C42" s="9"/>
      <c r="D42" s="9"/>
      <c r="E42" s="9"/>
      <c r="F42" s="27"/>
      <c r="G42" s="9"/>
      <c r="H42" s="9"/>
      <c r="I42" s="9"/>
      <c r="J42" s="9"/>
    </row>
    <row r="43" spans="1:10" ht="18" customHeight="1">
      <c r="A43" s="9"/>
      <c r="B43" s="9" t="s">
        <v>149</v>
      </c>
      <c r="C43" s="9"/>
      <c r="D43" s="9"/>
      <c r="E43" s="9"/>
      <c r="F43" s="27"/>
      <c r="G43" s="9"/>
      <c r="H43" s="9"/>
      <c r="I43" s="9"/>
      <c r="J43" s="9"/>
    </row>
    <row r="44" spans="1:10" ht="18" customHeight="1">
      <c r="A44" s="9"/>
      <c r="B44" s="9" t="s">
        <v>150</v>
      </c>
      <c r="C44" s="9"/>
      <c r="D44" s="9"/>
      <c r="E44" s="9"/>
      <c r="F44" s="27"/>
      <c r="G44" s="9"/>
      <c r="H44" s="9"/>
      <c r="I44" s="9"/>
      <c r="J44" s="9"/>
    </row>
    <row r="45" spans="1:10" ht="18" customHeight="1"/>
    <row r="46" spans="1:10" ht="18" customHeight="1">
      <c r="A46" s="4" t="s">
        <v>151</v>
      </c>
    </row>
    <row r="47" spans="1:10" ht="18" customHeight="1"/>
    <row r="48" spans="1:10" ht="18" customHeight="1">
      <c r="A48" s="3" t="s">
        <v>152</v>
      </c>
    </row>
    <row r="49" spans="1:2" ht="18" customHeight="1">
      <c r="A49" s="90" t="s">
        <v>2899</v>
      </c>
      <c r="B49" s="4" t="s">
        <v>2900</v>
      </c>
    </row>
    <row r="50" spans="1:2" ht="18" customHeight="1">
      <c r="A50" s="90" t="s">
        <v>154</v>
      </c>
      <c r="B50" s="4" t="s">
        <v>155</v>
      </c>
    </row>
    <row r="51" spans="1:2" ht="18" customHeight="1">
      <c r="A51" s="3"/>
      <c r="B51" s="4" t="s">
        <v>156</v>
      </c>
    </row>
    <row r="52" spans="1:2" ht="18" customHeight="1">
      <c r="A52" s="3"/>
    </row>
    <row r="53" spans="1:2" ht="18" customHeight="1">
      <c r="A53" s="90" t="s">
        <v>153</v>
      </c>
      <c r="B53" s="4" t="s">
        <v>157</v>
      </c>
    </row>
    <row r="54" spans="1:2" ht="18" customHeight="1">
      <c r="A54" s="90" t="s">
        <v>154</v>
      </c>
      <c r="B54" s="4" t="s">
        <v>158</v>
      </c>
    </row>
    <row r="55" spans="1:2" ht="18" customHeight="1">
      <c r="A55" s="3"/>
      <c r="B55" s="4" t="s">
        <v>159</v>
      </c>
    </row>
    <row r="56" spans="1:2" ht="18" customHeight="1">
      <c r="A56" s="3"/>
    </row>
    <row r="57" spans="1:2" ht="18" customHeight="1">
      <c r="A57" s="3"/>
    </row>
    <row r="58" spans="1:2" ht="18" customHeight="1">
      <c r="A58" s="3" t="s">
        <v>135</v>
      </c>
    </row>
    <row r="59" spans="1:2" ht="18" customHeight="1">
      <c r="A59" s="46" t="s">
        <v>160</v>
      </c>
    </row>
    <row r="60" spans="1:2" ht="18" customHeight="1">
      <c r="A60" s="47" t="s">
        <v>161</v>
      </c>
    </row>
    <row r="61" spans="1:2" ht="18" customHeight="1">
      <c r="A61" s="46"/>
    </row>
    <row r="62" spans="1:2" ht="18" customHeight="1">
      <c r="A62" s="46"/>
    </row>
    <row r="63" spans="1:2" ht="18" hidden="1" customHeight="1">
      <c r="A63" s="3"/>
    </row>
    <row r="64" spans="1:2" ht="18" hidden="1" customHeight="1">
      <c r="A64" s="3"/>
    </row>
    <row r="65" spans="1:43" ht="18" hidden="1" customHeight="1">
      <c r="A65" s="3"/>
    </row>
    <row r="66" spans="1:43" ht="18" hidden="1" customHeight="1"/>
    <row r="67" spans="1:43" ht="18" hidden="1" customHeight="1"/>
    <row r="68" spans="1:43" ht="18" hidden="1" customHeight="1"/>
    <row r="69" spans="1:43" ht="18" hidden="1" customHeight="1"/>
    <row r="70" spans="1:43" ht="18" hidden="1" customHeight="1"/>
    <row r="71" spans="1:43" ht="18" hidden="1" customHeight="1"/>
    <row r="72" spans="1:43" ht="0" hidden="1" customHeight="1">
      <c r="AB72" s="3"/>
      <c r="AC72" s="36" t="b">
        <f>IF($T$2="2018年",'Offer Statistics'!#REF!,IF($T$2="2019年",'Offer Statistics'!#REF!,IF($T$2="2020年",'Offer Statistics'!#REF!)))</f>
        <v>0</v>
      </c>
      <c r="AD72" s="15" t="b">
        <f>IF($T$2="2018年",'Offer Statistics'!M50,IF($T$2="2019年",'Offer Statistics'!M100,IF($T$2="2020年",'Offer Statistics'!M151)))</f>
        <v>0</v>
      </c>
      <c r="AE72" s="15" t="b">
        <f>IF($T$2="2018年",'Offer Statistics'!N50,IF($T$2="2019年",'Offer Statistics'!N100,IF($T$2="2020年",'Offer Statistics'!N151)))</f>
        <v>0</v>
      </c>
      <c r="AF72" s="15" t="b">
        <f>IF($T$2="2018年",'Offer Statistics'!O50,IF($T$2="2019年",'Offer Statistics'!O100,IF($T$2="2020年",'Offer Statistics'!O151)))</f>
        <v>0</v>
      </c>
      <c r="AG72" s="15" t="b">
        <f>IF($T$2="2018年",'Offer Statistics'!P50,IF($T$2="2019年",'Offer Statistics'!P100,IF($T$2="2020年",'Offer Statistics'!P151)))</f>
        <v>0</v>
      </c>
      <c r="AH72" s="61" t="b">
        <f>IF($T$2="2018年",'Offer Statistics'!Q50,IF($T$2="2019年",'Offer Statistics'!Q100,IF($T$2="2020年",'Offer Statistics'!Q151)))</f>
        <v>0</v>
      </c>
      <c r="AI72" s="3"/>
      <c r="AJ72" s="36" t="e">
        <f>IF(#REF!="2018年",'Offer Statistics'!S50,IF(#REF!="2019年",'Offer Statistics'!S100,IF(#REF!="2020年",'Offer Statistics'!S150)))</f>
        <v>#REF!</v>
      </c>
      <c r="AK72" s="15" t="e">
        <f>IF(#REF!="2018年",'Offer Statistics'!E50,IF(#REF!="2019年",'Offer Statistics'!E100,IF(#REF!="2020年",'Offer Statistics'!E151)))</f>
        <v>#REF!</v>
      </c>
      <c r="AL72" s="15" t="e">
        <f>IF(#REF!="2018年",'Offer Statistics'!F50,IF(#REF!="2019年",'Offer Statistics'!F100,IF(#REF!="2020年",'Offer Statistics'!F151)))</f>
        <v>#REF!</v>
      </c>
      <c r="AM72" s="15" t="e">
        <f>IF(#REF!="2018年",'Offer Statistics'!G50,IF(#REF!="2019年",'Offer Statistics'!G100,IF(#REF!="2020年",'Offer Statistics'!G151)))</f>
        <v>#REF!</v>
      </c>
      <c r="AN72" s="15" t="e">
        <f>IF(#REF!="2018年",'Offer Statistics'!H50,IF(#REF!="2019年",'Offer Statistics'!H100,IF(#REF!="2020年",'Offer Statistics'!H151)))</f>
        <v>#REF!</v>
      </c>
      <c r="AO72" s="61" t="e">
        <f>IF(#REF!="2018年",'Offer Statistics'!I50,IF(#REF!="2019年",'Offer Statistics'!I100,IF(#REF!="2020年",'Offer Statistics'!I151)))</f>
        <v>#REF!</v>
      </c>
      <c r="AP72" s="15"/>
      <c r="AQ72" s="15" t="s">
        <v>162</v>
      </c>
    </row>
    <row r="77" spans="1:43" ht="16.5" hidden="1" customHeight="1">
      <c r="F77" s="36"/>
      <c r="G77" s="15"/>
      <c r="H77" s="15"/>
      <c r="I77" s="15"/>
      <c r="J77" s="22"/>
      <c r="K77" s="23"/>
      <c r="O77" s="15"/>
      <c r="P77" s="15"/>
      <c r="Q77" s="15"/>
      <c r="R77" s="15"/>
      <c r="S77" s="15"/>
      <c r="T77" s="15"/>
    </row>
    <row r="78" spans="1:43" ht="16.5" hidden="1" customHeight="1">
      <c r="F78" s="36"/>
      <c r="G78" s="15"/>
      <c r="H78" s="15"/>
      <c r="I78" s="15"/>
      <c r="J78" s="22"/>
      <c r="K78" s="23"/>
      <c r="O78" s="15"/>
      <c r="P78" s="15"/>
      <c r="Q78" s="15"/>
      <c r="R78" s="15"/>
      <c r="S78" s="15"/>
      <c r="T78" s="15"/>
    </row>
    <row r="79" spans="1:43" ht="0" hidden="1" customHeight="1">
      <c r="A79" s="3"/>
    </row>
    <row r="80" spans="1:43" ht="0" hidden="1" customHeight="1">
      <c r="A80" s="3"/>
    </row>
  </sheetData>
  <sheetProtection sheet="1" objects="1" scenarios="1" sort="0" autoFilter="0" pivotTables="0"/>
  <mergeCells count="4">
    <mergeCell ref="J1:K1"/>
    <mergeCell ref="AB2:AB22"/>
    <mergeCell ref="AI2:AI22"/>
    <mergeCell ref="N2:N22"/>
  </mergeCells>
  <phoneticPr fontId="3" type="noConversion"/>
  <conditionalFormatting sqref="A2:AQ2 A3:M22 AJ3:AQ22 O3:AH22 AA2:AA22">
    <cfRule type="expression" dxfId="217" priority="21640">
      <formula>MOD(ROW(),2)=0</formula>
    </cfRule>
  </conditionalFormatting>
  <conditionalFormatting sqref="G2:G22">
    <cfRule type="expression" dxfId="216" priority="16">
      <formula>$J$1="差距(Median)"</formula>
    </cfRule>
  </conditionalFormatting>
  <conditionalFormatting sqref="H2:H22">
    <cfRule type="expression" dxfId="215" priority="15">
      <formula>$J$1="差距(LQ)"</formula>
    </cfRule>
  </conditionalFormatting>
  <conditionalFormatting sqref="J2:K22">
    <cfRule type="cellIs" dxfId="214" priority="29" operator="equal">
      <formula>"/"</formula>
    </cfRule>
    <cfRule type="cellIs" dxfId="213" priority="32" operator="lessThan">
      <formula>0</formula>
    </cfRule>
    <cfRule type="cellIs" dxfId="212" priority="33" operator="greaterThan">
      <formula>0</formula>
    </cfRule>
  </conditionalFormatting>
  <conditionalFormatting sqref="M2:M22">
    <cfRule type="cellIs" dxfId="211" priority="26" operator="equal">
      <formula>2</formula>
    </cfRule>
    <cfRule type="cellIs" dxfId="210" priority="27" operator="equal">
      <formula>1</formula>
    </cfRule>
    <cfRule type="cellIs" dxfId="209" priority="28" operator="equal">
      <formula>0</formula>
    </cfRule>
  </conditionalFormatting>
  <conditionalFormatting sqref="O2:T22">
    <cfRule type="expression" dxfId="208" priority="1">
      <formula>U2=0</formula>
    </cfRule>
    <cfRule type="expression" dxfId="207" priority="2">
      <formula>U2=2</formula>
    </cfRule>
    <cfRule type="expression" dxfId="206" priority="3">
      <formula>U2=1</formula>
    </cfRule>
  </conditionalFormatting>
  <conditionalFormatting sqref="AB2 AI2">
    <cfRule type="expression" dxfId="205" priority="9">
      <formula>TRUE</formula>
    </cfRule>
  </conditionalFormatting>
  <conditionalFormatting sqref="AI72:AJ72">
    <cfRule type="expression" dxfId="204" priority="11">
      <formula>TRUE</formula>
    </cfRule>
  </conditionalFormatting>
  <conditionalFormatting sqref="AP2:AP22 AB72:AC72">
    <cfRule type="expression" dxfId="203" priority="13">
      <formula>TRUE</formula>
    </cfRule>
  </conditionalFormatting>
  <conditionalFormatting sqref="AP72">
    <cfRule type="expression" dxfId="202" priority="10">
      <formula>TRUE</formula>
    </cfRule>
  </conditionalFormatting>
  <hyperlinks>
    <hyperlink ref="A59" r:id="rId1" xr:uid="{00000000-0004-0000-0600-000000000000}"/>
    <hyperlink ref="A60" r:id="rId2" xr:uid="{00000000-0004-0000-0600-000001000000}"/>
  </hyperlinks>
  <pageMargins left="0.7" right="0.7" top="0.75" bottom="0.75" header="0.3" footer="0.3"/>
  <pageSetup paperSize="9" orientation="portrait"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600-000000000000}">
          <x14:formula1>
            <xm:f>選單!$K$2:$K$3</xm:f>
          </x14:formula1>
          <xm:sqref>J1:K1</xm:sqref>
        </x14:dataValidation>
        <x14:dataValidation type="list" allowBlank="1" showInputMessage="1" showErrorMessage="1" xr:uid="{00000000-0002-0000-0600-000001000000}">
          <x14:formula1>
            <xm:f>選單!$J$4:$J$6</xm:f>
          </x14:formula1>
          <xm:sqref>AB72:AC72</xm:sqref>
        </x14:dataValidation>
        <x14:dataValidation type="list" allowBlank="1" showInputMessage="1" showErrorMessage="1" xr:uid="{2B1AD2E4-0C0C-4D04-9042-81393B7F5778}">
          <x14:formula1>
            <xm:f>選單!$J$1:$J$6</xm:f>
          </x14:formula1>
          <xm:sqref>AB2:AB22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工作表7">
    <tabColor rgb="FFA04310"/>
  </sheetPr>
  <dimension ref="A1:BB60"/>
  <sheetViews>
    <sheetView workbookViewId="0"/>
    <sheetView workbookViewId="1"/>
  </sheetViews>
  <sheetFormatPr defaultColWidth="0" defaultRowHeight="15.6" zeroHeight="1"/>
  <cols>
    <col min="1" max="1" width="7.19921875" style="13" customWidth="1"/>
    <col min="2" max="2" width="6.69921875" style="13" customWidth="1"/>
    <col min="3" max="3" width="20.09765625" style="13" customWidth="1"/>
    <col min="4" max="4" width="6.19921875" style="13" customWidth="1"/>
    <col min="5" max="5" width="14.19921875" style="13" customWidth="1"/>
    <col min="6" max="6" width="13.19921875" style="20" customWidth="1"/>
    <col min="7" max="8" width="7.19921875" style="13" customWidth="1"/>
    <col min="9" max="9" width="7.19921875" style="20" customWidth="1"/>
    <col min="10" max="10" width="8.69921875" style="13" customWidth="1"/>
    <col min="11" max="11" width="7.69921875" style="13" customWidth="1"/>
    <col min="12" max="12" width="4.69921875" style="13" customWidth="1"/>
    <col min="13" max="13" width="4.69921875" style="20" customWidth="1"/>
    <col min="14" max="14" width="14.69921875" style="20" customWidth="1"/>
    <col min="15" max="20" width="2.19921875" style="13" customWidth="1"/>
    <col min="21" max="26" width="2.19921875" style="20" hidden="1" customWidth="1"/>
    <col min="27" max="27" width="11.19921875" style="20" customWidth="1"/>
    <col min="28" max="28" width="8.69921875" style="13" customWidth="1"/>
    <col min="29" max="34" width="6.19921875" style="13" customWidth="1"/>
    <col min="35" max="35" width="8.69921875" style="13" customWidth="1"/>
    <col min="36" max="41" width="6.19921875" style="13" customWidth="1"/>
    <col min="42" max="42" width="3.19921875" style="13" customWidth="1"/>
    <col min="43" max="43" width="8.19921875" style="13" customWidth="1"/>
    <col min="44" max="44" width="10.69921875" style="13" hidden="1" customWidth="1"/>
    <col min="45" max="49" width="0" style="13" hidden="1" customWidth="1"/>
    <col min="50" max="50" width="10.69921875" style="13" hidden="1" customWidth="1"/>
    <col min="51" max="54" width="0" style="13" hidden="1" customWidth="1"/>
    <col min="55" max="16384" width="10.69921875" style="13" hidden="1"/>
  </cols>
  <sheetData>
    <row r="1" spans="1:43" s="68" customFormat="1" ht="18" customHeight="1">
      <c r="A1" s="30" t="s">
        <v>110</v>
      </c>
      <c r="B1" s="30" t="s">
        <v>111</v>
      </c>
      <c r="C1" s="30" t="s">
        <v>112</v>
      </c>
      <c r="D1" s="30"/>
      <c r="E1" s="63" t="s">
        <v>2897</v>
      </c>
      <c r="F1" s="63" t="s">
        <v>2839</v>
      </c>
      <c r="G1" s="63" t="s">
        <v>108</v>
      </c>
      <c r="H1" s="63" t="s">
        <v>106</v>
      </c>
      <c r="I1" s="63" t="s">
        <v>114</v>
      </c>
      <c r="J1" s="515" t="s">
        <v>115</v>
      </c>
      <c r="K1" s="515"/>
      <c r="L1" s="63" t="s">
        <v>38</v>
      </c>
      <c r="M1" s="63" t="s">
        <v>116</v>
      </c>
      <c r="N1" s="63"/>
      <c r="O1" s="63" t="s">
        <v>117</v>
      </c>
      <c r="P1" s="63" t="s">
        <v>118</v>
      </c>
      <c r="Q1" s="63" t="s">
        <v>119</v>
      </c>
      <c r="R1" s="63" t="s">
        <v>2807</v>
      </c>
      <c r="S1" s="63" t="s">
        <v>121</v>
      </c>
      <c r="T1" s="63" t="s">
        <v>122</v>
      </c>
      <c r="U1" s="63"/>
      <c r="V1" s="63"/>
      <c r="W1" s="63"/>
      <c r="X1" s="63"/>
      <c r="Y1" s="63"/>
      <c r="Z1" s="63"/>
      <c r="AA1" s="63" t="s">
        <v>123</v>
      </c>
      <c r="AB1" s="63" t="s">
        <v>124</v>
      </c>
      <c r="AC1" s="63" t="s">
        <v>141</v>
      </c>
      <c r="AD1" s="63" t="s">
        <v>126</v>
      </c>
      <c r="AE1" s="63" t="s">
        <v>127</v>
      </c>
      <c r="AF1" s="63" t="s">
        <v>128</v>
      </c>
      <c r="AG1" s="63" t="s">
        <v>129</v>
      </c>
      <c r="AH1" s="63" t="s">
        <v>130</v>
      </c>
      <c r="AI1" s="63" t="s">
        <v>142</v>
      </c>
      <c r="AJ1" s="63" t="s">
        <v>141</v>
      </c>
      <c r="AK1" s="63" t="s">
        <v>126</v>
      </c>
      <c r="AL1" s="63" t="s">
        <v>127</v>
      </c>
      <c r="AM1" s="63" t="s">
        <v>128</v>
      </c>
      <c r="AN1" s="63" t="s">
        <v>129</v>
      </c>
      <c r="AO1" s="63" t="s">
        <v>130</v>
      </c>
      <c r="AQ1" s="63"/>
    </row>
    <row r="2" spans="1:43" ht="18" customHeight="1">
      <c r="A2" s="4" t="str">
        <f>'Reference Score Calculation'!A93</f>
        <v>JS3011</v>
      </c>
      <c r="B2" s="4" t="str">
        <f>'Reference Score Calculation'!C93</f>
        <v>理學院</v>
      </c>
      <c r="C2" s="4" t="str">
        <f>'Reference Score Calculation'!D93</f>
        <v>生物科技及化學科技(榮譽)理學士組合課程</v>
      </c>
      <c r="D2" s="4" t="str">
        <f>'Reference Score Calculation'!R93</f>
        <v>BIOTECH &amp; CHEM TECH</v>
      </c>
      <c r="E2" s="392" t="str">
        <f>'Reference Score Calculation'!AB93</f>
        <v>Best 5</v>
      </c>
      <c r="F2" s="419" t="str">
        <f>'Reference Score Calculation'!E93</f>
        <v>Best 5</v>
      </c>
      <c r="G2" s="260">
        <f>'Reference Score Calculation'!H93</f>
        <v>188</v>
      </c>
      <c r="H2" s="260">
        <f>'Reference Score Calculation'!I93</f>
        <v>179</v>
      </c>
      <c r="I2" s="261">
        <f>計分版!J116</f>
        <v>1.6050000000000001E-8</v>
      </c>
      <c r="J2" s="25">
        <f>IFERROR(IF(J$1="差距(Median)",I2-G2,IF(J$1="差距(LQ)",I2-H2)),"/")</f>
        <v>-187.99999998395</v>
      </c>
      <c r="K2" s="155">
        <f>IFERROR(IF(J$1="差距(Median)",(I2-G2)/I2,IF(J$1="差距(LQ)",(I2-H2)/I2)),"/")</f>
        <v>-11713395637.629282</v>
      </c>
      <c r="L2" s="36">
        <f>'Reference Score Calculation'!T93</f>
        <v>63</v>
      </c>
      <c r="M2" s="262">
        <f>入學要求!Z102</f>
        <v>0</v>
      </c>
      <c r="N2" s="516" t="s">
        <v>2521</v>
      </c>
      <c r="O2" s="268">
        <f>入學要求!L102</f>
        <v>3</v>
      </c>
      <c r="P2" s="268">
        <f>入學要求!M102</f>
        <v>3</v>
      </c>
      <c r="Q2" s="268">
        <f>入學要求!N102</f>
        <v>2</v>
      </c>
      <c r="R2" s="268">
        <f>入學要求!O102</f>
        <v>1</v>
      </c>
      <c r="S2" s="268">
        <f>入學要求!P102</f>
        <v>3</v>
      </c>
      <c r="T2" s="268">
        <f>入學要求!Q102</f>
        <v>3</v>
      </c>
      <c r="U2" s="256">
        <f>入學要求!S102</f>
        <v>0</v>
      </c>
      <c r="V2" s="256">
        <f>入學要求!T102</f>
        <v>0</v>
      </c>
      <c r="W2" s="256">
        <f>入學要求!U102</f>
        <v>0</v>
      </c>
      <c r="X2" s="256">
        <f>入學要求!V102</f>
        <v>0</v>
      </c>
      <c r="Y2" s="256">
        <f>入學要求!W102</f>
        <v>0</v>
      </c>
      <c r="Z2" s="256">
        <f>入學要求!X102</f>
        <v>0</v>
      </c>
      <c r="AA2" s="421" t="str">
        <f>IFERROR(ROUND(AK2/AD2,2),"/")</f>
        <v>/</v>
      </c>
      <c r="AB2" s="510" t="s">
        <v>2513</v>
      </c>
      <c r="AC2" s="36" t="str" cm="1">
        <f t="array" ref="AC2">IFERROR(INDEX('Offer Statistics'!$AZ$2:$AZ$400,MATCH(1,($A2='Offer Statistics'!$AK$2:$AK$400)*($AB$2='Offer Statistics'!$AL$2:$AL$400),0)),"/")</f>
        <v>/</v>
      </c>
      <c r="AD2" s="64" t="str" cm="1">
        <f t="array" ref="AD2">IFERROR(INDEX('Offer Statistics'!AU$2:AU$400,MATCH(1,($A2='Offer Statistics'!$AK$2:$AK$400)*($AB$2='Offer Statistics'!$AL$2:$AL$400),0)),"/")</f>
        <v>/</v>
      </c>
      <c r="AE2" s="64" t="str" cm="1">
        <f t="array" ref="AE2">IFERROR(INDEX('Offer Statistics'!AV$2:AV$400,MATCH(1,($A2='Offer Statistics'!$AK$2:$AK$400)*($AB$2='Offer Statistics'!$AL$2:$AL$400),0)),"/")</f>
        <v>/</v>
      </c>
      <c r="AF2" s="64" t="str" cm="1">
        <f t="array" ref="AF2">IFERROR(INDEX('Offer Statistics'!AW$2:AW$400,MATCH(1,($A2='Offer Statistics'!$AK$2:$AK$400)*($AB$2='Offer Statistics'!$AL$2:$AL$400),0)),"/")</f>
        <v>/</v>
      </c>
      <c r="AG2" s="64" t="str" cm="1">
        <f t="array" ref="AG2">IFERROR(INDEX('Offer Statistics'!AX$2:AX$400,MATCH(1,($A2='Offer Statistics'!$AK$2:$AK$400)*($AB$2='Offer Statistics'!$AL$2:$AL$400),0)),"/")</f>
        <v>/</v>
      </c>
      <c r="AH2" s="64" t="str" cm="1">
        <f t="array" ref="AH2">IFERROR(INDEX('Offer Statistics'!AY$2:AY$400,MATCH(1,($A2='Offer Statistics'!$AK$2:$AK$400)*($AB$2='Offer Statistics'!$AL$2:$AL$400),0)),"/")</f>
        <v>/</v>
      </c>
      <c r="AI2" s="511" t="str">
        <f>AB2</f>
        <v>2023年</v>
      </c>
      <c r="AJ2" s="36" t="str" cm="1">
        <f t="array" ref="AJ2">IFERROR(INDEX('Offer Statistics'!$AR$2:$AR$400,MATCH(1,($A2='Offer Statistics'!$AK$2:$AK$400)*($AB$2='Offer Statistics'!$AL$2:$AL$400),0)),"/")</f>
        <v>/</v>
      </c>
      <c r="AK2" s="64" t="str" cm="1">
        <f t="array" ref="AK2">IFERROR(INDEX('Offer Statistics'!AM$2:AM$400,MATCH(1,($A2='Offer Statistics'!$AK$2:$AK$400)*($AB$2='Offer Statistics'!$AL$2:$AL$400),0)),"/")</f>
        <v>/</v>
      </c>
      <c r="AL2" s="64" t="str" cm="1">
        <f t="array" ref="AL2">IFERROR(INDEX('Offer Statistics'!AN$2:AN$400,MATCH(1,($A2='Offer Statistics'!$AK$2:$AK$400)*($AB$2='Offer Statistics'!$AL$2:$AL$400),0)),"/")</f>
        <v>/</v>
      </c>
      <c r="AM2" s="64" t="str" cm="1">
        <f t="array" ref="AM2">IFERROR(INDEX('Offer Statistics'!AO$2:AO$400,MATCH(1,($A2='Offer Statistics'!$AK$2:$AK$400)*($AB$2='Offer Statistics'!$AL$2:$AL$400),0)),"/")</f>
        <v>/</v>
      </c>
      <c r="AN2" s="64" t="str" cm="1">
        <f t="array" ref="AN2">IFERROR(INDEX('Offer Statistics'!AP$2:AP$400,MATCH(1,($A2='Offer Statistics'!$AK$2:$AK$400)*($AB$2='Offer Statistics'!$AL$2:$AL$400),0)),"/")</f>
        <v>/</v>
      </c>
      <c r="AO2" s="64" t="str" cm="1">
        <f t="array" ref="AO2">IFERROR(INDEX('Offer Statistics'!AQ$2:AQ$400,MATCH(1,($A2='Offer Statistics'!$AK$2:$AK$400)*($AB$2='Offer Statistics'!$AL$2:$AL$400),0)),"/")</f>
        <v>/</v>
      </c>
      <c r="AP2" s="15"/>
      <c r="AQ2" s="15" t="str">
        <f>A2</f>
        <v>JS3011</v>
      </c>
    </row>
    <row r="3" spans="1:43" ht="18" customHeight="1">
      <c r="A3" s="4" t="str">
        <f>'Reference Score Calculation'!A94</f>
        <v>JS3020</v>
      </c>
      <c r="B3" s="4" t="str">
        <f>'Reference Score Calculation'!C94</f>
        <v>理學院</v>
      </c>
      <c r="C3" s="4" t="str">
        <f>'Reference Score Calculation'!D94</f>
        <v>數據科學(榮譽)理學士組合課程 (數據科學及分析 / 投資科學及金融分析)</v>
      </c>
      <c r="D3" s="4" t="str">
        <f>'Reference Score Calculation'!R94</f>
        <v>DATA SCI</v>
      </c>
      <c r="E3" s="392" t="str">
        <f>'Reference Score Calculation'!AB94</f>
        <v>Best 5</v>
      </c>
      <c r="F3" s="36" t="str">
        <f>'Reference Score Calculation'!E94</f>
        <v>Best 5</v>
      </c>
      <c r="G3" s="260">
        <f>'Reference Score Calculation'!H94</f>
        <v>180.5</v>
      </c>
      <c r="H3" s="260">
        <f>'Reference Score Calculation'!I94</f>
        <v>174.5</v>
      </c>
      <c r="I3" s="261">
        <f>計分版!J117</f>
        <v>1.6050000000000001E-8</v>
      </c>
      <c r="J3" s="25">
        <f t="shared" ref="J3:J33" si="0">IFERROR(IF(J$1="差距(Median)",I3-G3,IF(J$1="差距(LQ)",I3-H3)),"/")</f>
        <v>-180.49999998395</v>
      </c>
      <c r="K3" s="155">
        <f t="shared" ref="K3:K33" si="1">IFERROR(IF(J$1="差距(Median)",(I3-G3)/I3,IF(J$1="差距(LQ)",(I3-H3)/I3)),"/")</f>
        <v>-11246105918.003115</v>
      </c>
      <c r="L3" s="36">
        <f>'Reference Score Calculation'!T94</f>
        <v>21</v>
      </c>
      <c r="M3" s="263">
        <f>入學要求!Z103</f>
        <v>0</v>
      </c>
      <c r="N3" s="516"/>
      <c r="O3" s="269">
        <f>入學要求!L103</f>
        <v>3</v>
      </c>
      <c r="P3" s="269">
        <f>入學要求!M103</f>
        <v>3</v>
      </c>
      <c r="Q3" s="269">
        <f>入學要求!N103</f>
        <v>2</v>
      </c>
      <c r="R3" s="269">
        <f>入學要求!O103</f>
        <v>1</v>
      </c>
      <c r="S3" s="269">
        <f>入學要求!P103</f>
        <v>3</v>
      </c>
      <c r="T3" s="269">
        <f>入學要求!Q103</f>
        <v>3</v>
      </c>
      <c r="U3" s="256">
        <f>入學要求!S103</f>
        <v>0</v>
      </c>
      <c r="V3" s="256">
        <f>入學要求!T103</f>
        <v>0</v>
      </c>
      <c r="W3" s="256">
        <f>入學要求!U103</f>
        <v>0</v>
      </c>
      <c r="X3" s="256">
        <f>入學要求!V103</f>
        <v>0</v>
      </c>
      <c r="Y3" s="256">
        <f>入學要求!W103</f>
        <v>0</v>
      </c>
      <c r="Z3" s="256">
        <f>入學要求!X103</f>
        <v>0</v>
      </c>
      <c r="AA3" s="421">
        <f t="shared" ref="AA3:AA33" si="2">IFERROR(ROUND(AK3/AD3,2),"/")</f>
        <v>7</v>
      </c>
      <c r="AB3" s="510"/>
      <c r="AC3" s="36" cm="1">
        <f t="array" ref="AC3">IFERROR(INDEX('Offer Statistics'!$AZ$2:$AZ$400,MATCH(1,($A3='Offer Statistics'!$AK$2:$AK$400)*($AB$2='Offer Statistics'!$AL$2:$AL$400),0)),"/")</f>
        <v>34</v>
      </c>
      <c r="AD3" s="64" cm="1">
        <f t="array" ref="AD3">IFERROR(INDEX('Offer Statistics'!AU$2:AU$400,MATCH(1,($A3='Offer Statistics'!$AK$2:$AK$400)*($AB$2='Offer Statistics'!$AL$2:$AL$400),0)),"/")</f>
        <v>33</v>
      </c>
      <c r="AE3" s="64" cm="1">
        <f t="array" ref="AE3">IFERROR(INDEX('Offer Statistics'!AV$2:AV$400,MATCH(1,($A3='Offer Statistics'!$AK$2:$AK$400)*($AB$2='Offer Statistics'!$AL$2:$AL$400),0)),"/")</f>
        <v>1</v>
      </c>
      <c r="AF3" s="64" cm="1">
        <f t="array" ref="AF3">IFERROR(INDEX('Offer Statistics'!AW$2:AW$400,MATCH(1,($A3='Offer Statistics'!$AK$2:$AK$400)*($AB$2='Offer Statistics'!$AL$2:$AL$400),0)),"/")</f>
        <v>0</v>
      </c>
      <c r="AG3" s="64" cm="1">
        <f t="array" ref="AG3">IFERROR(INDEX('Offer Statistics'!AX$2:AX$400,MATCH(1,($A3='Offer Statistics'!$AK$2:$AK$400)*($AB$2='Offer Statistics'!$AL$2:$AL$400),0)),"/")</f>
        <v>0</v>
      </c>
      <c r="AH3" s="64" cm="1">
        <f t="array" ref="AH3">IFERROR(INDEX('Offer Statistics'!AY$2:AY$400,MATCH(1,($A3='Offer Statistics'!$AK$2:$AK$400)*($AB$2='Offer Statistics'!$AL$2:$AL$400),0)),"/")</f>
        <v>0</v>
      </c>
      <c r="AI3" s="511"/>
      <c r="AJ3" s="36" cm="1">
        <f t="array" ref="AJ3">IFERROR(INDEX('Offer Statistics'!$AR$2:$AR$400,MATCH(1,($A3='Offer Statistics'!$AK$2:$AK$400)*($AB$2='Offer Statistics'!$AL$2:$AL$400),0)),"/")</f>
        <v>2383</v>
      </c>
      <c r="AK3" s="64" cm="1">
        <f t="array" ref="AK3">IFERROR(INDEX('Offer Statistics'!AM$2:AM$400,MATCH(1,($A3='Offer Statistics'!$AK$2:$AK$400)*($AB$2='Offer Statistics'!$AL$2:$AL$400),0)),"/")</f>
        <v>231</v>
      </c>
      <c r="AL3" s="64" cm="1">
        <f t="array" ref="AL3">IFERROR(INDEX('Offer Statistics'!AN$2:AN$400,MATCH(1,($A3='Offer Statistics'!$AK$2:$AK$400)*($AB$2='Offer Statistics'!$AL$2:$AL$400),0)),"/")</f>
        <v>378</v>
      </c>
      <c r="AM3" s="64" cm="1">
        <f t="array" ref="AM3">IFERROR(INDEX('Offer Statistics'!AO$2:AO$400,MATCH(1,($A3='Offer Statistics'!$AK$2:$AK$400)*($AB$2='Offer Statistics'!$AL$2:$AL$400),0)),"/")</f>
        <v>585</v>
      </c>
      <c r="AN3" s="64" cm="1">
        <f t="array" ref="AN3">IFERROR(INDEX('Offer Statistics'!AP$2:AP$400,MATCH(1,($A3='Offer Statistics'!$AK$2:$AK$400)*($AB$2='Offer Statistics'!$AL$2:$AL$400),0)),"/")</f>
        <v>672</v>
      </c>
      <c r="AO3" s="64" cm="1">
        <f t="array" ref="AO3">IFERROR(INDEX('Offer Statistics'!AQ$2:AQ$400,MATCH(1,($A3='Offer Statistics'!$AK$2:$AK$400)*($AB$2='Offer Statistics'!$AL$2:$AL$400),0)),"/")</f>
        <v>517</v>
      </c>
      <c r="AP3" s="15"/>
      <c r="AQ3" s="15" t="str">
        <f t="shared" ref="AQ3:AQ33" si="3">A3</f>
        <v>JS3020</v>
      </c>
    </row>
    <row r="4" spans="1:43" s="156" customFormat="1" ht="18" customHeight="1">
      <c r="A4" s="4" t="str">
        <f>'Reference Score Calculation'!A95</f>
        <v>JS3030</v>
      </c>
      <c r="B4" s="4" t="str">
        <f>'Reference Score Calculation'!C95</f>
        <v>理學院</v>
      </c>
      <c r="C4" s="4" t="str">
        <f>'Reference Score Calculation'!D95</f>
        <v>物理學(榮譽)理學士 副主修人工智能及數據分析 / 創新及創業</v>
      </c>
      <c r="D4" s="4" t="str">
        <f>'Reference Score Calculation'!R95</f>
        <v>PHYSICS</v>
      </c>
      <c r="E4" s="392" t="str">
        <f>'Reference Score Calculation'!AB95</f>
        <v>Best 5</v>
      </c>
      <c r="F4" s="419" t="str">
        <f>'Reference Score Calculation'!E95</f>
        <v>Best 5</v>
      </c>
      <c r="G4" s="260">
        <f>'Reference Score Calculation'!H95</f>
        <v>188</v>
      </c>
      <c r="H4" s="260">
        <f>'Reference Score Calculation'!I95</f>
        <v>188</v>
      </c>
      <c r="I4" s="261">
        <f>計分版!J118</f>
        <v>1.7550000000000002E-8</v>
      </c>
      <c r="J4" s="25">
        <f t="shared" si="0"/>
        <v>-187.99999998244999</v>
      </c>
      <c r="K4" s="155">
        <f t="shared" si="1"/>
        <v>-10712250711.250711</v>
      </c>
      <c r="L4" s="36">
        <f>'Reference Score Calculation'!T95</f>
        <v>25</v>
      </c>
      <c r="M4" s="263">
        <f>入學要求!Z104</f>
        <v>0</v>
      </c>
      <c r="N4" s="516"/>
      <c r="O4" s="269">
        <f>入學要求!L104</f>
        <v>3</v>
      </c>
      <c r="P4" s="269">
        <f>入學要求!M104</f>
        <v>3</v>
      </c>
      <c r="Q4" s="269">
        <f>入學要求!N104</f>
        <v>2</v>
      </c>
      <c r="R4" s="269">
        <f>入學要求!O104</f>
        <v>1</v>
      </c>
      <c r="S4" s="269">
        <f>入學要求!P104</f>
        <v>3</v>
      </c>
      <c r="T4" s="269">
        <f>入學要求!Q104</f>
        <v>3</v>
      </c>
      <c r="U4" s="256">
        <f>入學要求!S104</f>
        <v>0</v>
      </c>
      <c r="V4" s="256">
        <f>入學要求!T104</f>
        <v>0</v>
      </c>
      <c r="W4" s="256">
        <f>入學要求!U104</f>
        <v>0</v>
      </c>
      <c r="X4" s="256">
        <f>入學要求!V104</f>
        <v>0</v>
      </c>
      <c r="Y4" s="256">
        <f>入學要求!W104</f>
        <v>0</v>
      </c>
      <c r="Z4" s="256">
        <f>入學要求!X104</f>
        <v>0</v>
      </c>
      <c r="AA4" s="421">
        <f t="shared" si="2"/>
        <v>20.04</v>
      </c>
      <c r="AB4" s="510"/>
      <c r="AC4" s="36" cm="1">
        <f t="array" ref="AC4">IFERROR(INDEX('Offer Statistics'!$AZ$2:$AZ$400,MATCH(1,($A4='Offer Statistics'!$AK$2:$AK$400)*($AB$2='Offer Statistics'!$AL$2:$AL$400),0)),"/")</f>
        <v>29</v>
      </c>
      <c r="AD4" s="64" cm="1">
        <f t="array" ref="AD4">IFERROR(INDEX('Offer Statistics'!AU$2:AU$400,MATCH(1,($A4='Offer Statistics'!$AK$2:$AK$400)*($AB$2='Offer Statistics'!$AL$2:$AL$400),0)),"/")</f>
        <v>24</v>
      </c>
      <c r="AE4" s="64" cm="1">
        <f t="array" ref="AE4">IFERROR(INDEX('Offer Statistics'!AV$2:AV$400,MATCH(1,($A4='Offer Statistics'!$AK$2:$AK$400)*($AB$2='Offer Statistics'!$AL$2:$AL$400),0)),"/")</f>
        <v>3</v>
      </c>
      <c r="AF4" s="64" cm="1">
        <f t="array" ref="AF4">IFERROR(INDEX('Offer Statistics'!AW$2:AW$400,MATCH(1,($A4='Offer Statistics'!$AK$2:$AK$400)*($AB$2='Offer Statistics'!$AL$2:$AL$400),0)),"/")</f>
        <v>0</v>
      </c>
      <c r="AG4" s="64" cm="1">
        <f t="array" ref="AG4">IFERROR(INDEX('Offer Statistics'!AX$2:AX$400,MATCH(1,($A4='Offer Statistics'!$AK$2:$AK$400)*($AB$2='Offer Statistics'!$AL$2:$AL$400),0)),"/")</f>
        <v>2</v>
      </c>
      <c r="AH4" s="64" cm="1">
        <f t="array" ref="AH4">IFERROR(INDEX('Offer Statistics'!AY$2:AY$400,MATCH(1,($A4='Offer Statistics'!$AK$2:$AK$400)*($AB$2='Offer Statistics'!$AL$2:$AL$400),0)),"/")</f>
        <v>0</v>
      </c>
      <c r="AI4" s="511"/>
      <c r="AJ4" s="36" cm="1">
        <f t="array" ref="AJ4">IFERROR(INDEX('Offer Statistics'!$AR$2:$AR$400,MATCH(1,($A4='Offer Statistics'!$AK$2:$AK$400)*($AB$2='Offer Statistics'!$AL$2:$AL$400),0)),"/")</f>
        <v>2577</v>
      </c>
      <c r="AK4" s="64" cm="1">
        <f t="array" ref="AK4">IFERROR(INDEX('Offer Statistics'!AM$2:AM$400,MATCH(1,($A4='Offer Statistics'!$AK$2:$AK$400)*($AB$2='Offer Statistics'!$AL$2:$AL$400),0)),"/")</f>
        <v>481</v>
      </c>
      <c r="AL4" s="64" cm="1">
        <f t="array" ref="AL4">IFERROR(INDEX('Offer Statistics'!AN$2:AN$400,MATCH(1,($A4='Offer Statistics'!$AK$2:$AK$400)*($AB$2='Offer Statistics'!$AL$2:$AL$400),0)),"/")</f>
        <v>486</v>
      </c>
      <c r="AM4" s="64" cm="1">
        <f t="array" ref="AM4">IFERROR(INDEX('Offer Statistics'!AO$2:AO$400,MATCH(1,($A4='Offer Statistics'!$AK$2:$AK$400)*($AB$2='Offer Statistics'!$AL$2:$AL$400),0)),"/")</f>
        <v>565</v>
      </c>
      <c r="AN4" s="64" cm="1">
        <f t="array" ref="AN4">IFERROR(INDEX('Offer Statistics'!AP$2:AP$400,MATCH(1,($A4='Offer Statistics'!$AK$2:$AK$400)*($AB$2='Offer Statistics'!$AL$2:$AL$400),0)),"/")</f>
        <v>592</v>
      </c>
      <c r="AO4" s="64" cm="1">
        <f t="array" ref="AO4">IFERROR(INDEX('Offer Statistics'!AQ$2:AQ$400,MATCH(1,($A4='Offer Statistics'!$AK$2:$AK$400)*($AB$2='Offer Statistics'!$AL$2:$AL$400),0)),"/")</f>
        <v>453</v>
      </c>
      <c r="AP4" s="15"/>
      <c r="AQ4" s="15" t="str">
        <f t="shared" si="3"/>
        <v>JS3030</v>
      </c>
    </row>
    <row r="5" spans="1:43" s="157" customFormat="1" ht="18" customHeight="1">
      <c r="A5" s="4" t="str">
        <f>'Reference Score Calculation'!A96</f>
        <v>JS3050</v>
      </c>
      <c r="B5" s="4" t="str">
        <f>'Reference Score Calculation'!C96</f>
        <v>時裝及紡織學院</v>
      </c>
      <c r="C5" s="4" t="str">
        <f>'Reference Score Calculation'!D96</f>
        <v>時裝(榮譽)文學士組合課程 (時裝設計 / 針織時裝設計 / 內衣及運動服裝 / 時裝商務 / 時裝創新及科技)</v>
      </c>
      <c r="D5" s="4" t="str">
        <f>'Reference Score Calculation'!R96</f>
        <v>FASHION</v>
      </c>
      <c r="E5" s="392" t="str">
        <f>'Reference Score Calculation'!AB96</f>
        <v>Best 5</v>
      </c>
      <c r="F5" s="419" t="str">
        <f>'Reference Score Calculation'!E96</f>
        <v>Best 5</v>
      </c>
      <c r="G5" s="260">
        <f>'Reference Score Calculation'!H96</f>
        <v>142</v>
      </c>
      <c r="H5" s="260">
        <f>'Reference Score Calculation'!I96</f>
        <v>152</v>
      </c>
      <c r="I5" s="261">
        <f>計分版!J119</f>
        <v>1.3549999999999999E-8</v>
      </c>
      <c r="J5" s="25">
        <f t="shared" si="0"/>
        <v>-141.99999998645001</v>
      </c>
      <c r="K5" s="155">
        <f t="shared" si="1"/>
        <v>-10479704796.047972</v>
      </c>
      <c r="L5" s="36">
        <f>'Reference Score Calculation'!T96</f>
        <v>110</v>
      </c>
      <c r="M5" s="263">
        <f>入學要求!Z105</f>
        <v>0</v>
      </c>
      <c r="N5" s="516"/>
      <c r="O5" s="269">
        <f>入學要求!L105</f>
        <v>3</v>
      </c>
      <c r="P5" s="269">
        <f>入學要求!M105</f>
        <v>3</v>
      </c>
      <c r="Q5" s="269">
        <f>入學要求!N105</f>
        <v>2</v>
      </c>
      <c r="R5" s="269">
        <f>入學要求!O105</f>
        <v>1</v>
      </c>
      <c r="S5" s="269">
        <f>入學要求!P105</f>
        <v>3</v>
      </c>
      <c r="T5" s="269">
        <f>入學要求!Q105</f>
        <v>3</v>
      </c>
      <c r="U5" s="256">
        <f>入學要求!S105</f>
        <v>0</v>
      </c>
      <c r="V5" s="256">
        <f>入學要求!T105</f>
        <v>0</v>
      </c>
      <c r="W5" s="256">
        <f>入學要求!U105</f>
        <v>0</v>
      </c>
      <c r="X5" s="256">
        <f>入學要求!V105</f>
        <v>0</v>
      </c>
      <c r="Y5" s="256">
        <f>入學要求!W105</f>
        <v>0</v>
      </c>
      <c r="Z5" s="256">
        <f>入學要求!X105</f>
        <v>0</v>
      </c>
      <c r="AA5" s="421">
        <f t="shared" si="2"/>
        <v>9.9600000000000009</v>
      </c>
      <c r="AB5" s="510"/>
      <c r="AC5" s="36" cm="1">
        <f t="array" ref="AC5">IFERROR(INDEX('Offer Statistics'!$AZ$2:$AZ$400,MATCH(1,($A5='Offer Statistics'!$AK$2:$AK$400)*($AB$2='Offer Statistics'!$AL$2:$AL$400),0)),"/")</f>
        <v>80</v>
      </c>
      <c r="AD5" s="64" cm="1">
        <f t="array" ref="AD5">IFERROR(INDEX('Offer Statistics'!AU$2:AU$400,MATCH(1,($A5='Offer Statistics'!$AK$2:$AK$400)*($AB$2='Offer Statistics'!$AL$2:$AL$400),0)),"/")</f>
        <v>76</v>
      </c>
      <c r="AE5" s="64" cm="1">
        <f t="array" ref="AE5">IFERROR(INDEX('Offer Statistics'!AV$2:AV$400,MATCH(1,($A5='Offer Statistics'!$AK$2:$AK$400)*($AB$2='Offer Statistics'!$AL$2:$AL$400),0)),"/")</f>
        <v>3</v>
      </c>
      <c r="AF5" s="64" cm="1">
        <f t="array" ref="AF5">IFERROR(INDEX('Offer Statistics'!AW$2:AW$400,MATCH(1,($A5='Offer Statistics'!$AK$2:$AK$400)*($AB$2='Offer Statistics'!$AL$2:$AL$400),0)),"/")</f>
        <v>1</v>
      </c>
      <c r="AG5" s="64" cm="1">
        <f t="array" ref="AG5">IFERROR(INDEX('Offer Statistics'!AX$2:AX$400,MATCH(1,($A5='Offer Statistics'!$AK$2:$AK$400)*($AB$2='Offer Statistics'!$AL$2:$AL$400),0)),"/")</f>
        <v>0</v>
      </c>
      <c r="AH5" s="64" cm="1">
        <f t="array" ref="AH5">IFERROR(INDEX('Offer Statistics'!AY$2:AY$400,MATCH(1,($A5='Offer Statistics'!$AK$2:$AK$400)*($AB$2='Offer Statistics'!$AL$2:$AL$400),0)),"/")</f>
        <v>0</v>
      </c>
      <c r="AI5" s="511"/>
      <c r="AJ5" s="36" cm="1">
        <f t="array" ref="AJ5">IFERROR(INDEX('Offer Statistics'!$AR$2:$AR$400,MATCH(1,($A5='Offer Statistics'!$AK$2:$AK$400)*($AB$2='Offer Statistics'!$AL$2:$AL$400),0)),"/")</f>
        <v>2478</v>
      </c>
      <c r="AK5" s="64" cm="1">
        <f t="array" ref="AK5">IFERROR(INDEX('Offer Statistics'!AM$2:AM$400,MATCH(1,($A5='Offer Statistics'!$AK$2:$AK$400)*($AB$2='Offer Statistics'!$AL$2:$AL$400),0)),"/")</f>
        <v>757</v>
      </c>
      <c r="AL5" s="64" cm="1">
        <f t="array" ref="AL5">IFERROR(INDEX('Offer Statistics'!AN$2:AN$400,MATCH(1,($A5='Offer Statistics'!$AK$2:$AK$400)*($AB$2='Offer Statistics'!$AL$2:$AL$400),0)),"/")</f>
        <v>364</v>
      </c>
      <c r="AM5" s="64" cm="1">
        <f t="array" ref="AM5">IFERROR(INDEX('Offer Statistics'!AO$2:AO$400,MATCH(1,($A5='Offer Statistics'!$AK$2:$AK$400)*($AB$2='Offer Statistics'!$AL$2:$AL$400),0)),"/")</f>
        <v>449</v>
      </c>
      <c r="AN5" s="64" cm="1">
        <f t="array" ref="AN5">IFERROR(INDEX('Offer Statistics'!AP$2:AP$400,MATCH(1,($A5='Offer Statistics'!$AK$2:$AK$400)*($AB$2='Offer Statistics'!$AL$2:$AL$400),0)),"/")</f>
        <v>478</v>
      </c>
      <c r="AO5" s="64" cm="1">
        <f t="array" ref="AO5">IFERROR(INDEX('Offer Statistics'!AQ$2:AQ$400,MATCH(1,($A5='Offer Statistics'!$AK$2:$AK$400)*($AB$2='Offer Statistics'!$AL$2:$AL$400),0)),"/")</f>
        <v>430</v>
      </c>
      <c r="AP5" s="15"/>
      <c r="AQ5" s="15" t="str">
        <f t="shared" si="3"/>
        <v>JS3050</v>
      </c>
    </row>
    <row r="6" spans="1:43" s="157" customFormat="1" ht="18" customHeight="1">
      <c r="A6" s="4" t="str">
        <f>'Reference Score Calculation'!A97</f>
        <v>JS3060</v>
      </c>
      <c r="B6" s="4" t="str">
        <f>'Reference Score Calculation'!C97</f>
        <v>工商管理學院</v>
      </c>
      <c r="C6" s="4" t="str">
        <f>'Reference Score Calculation'!D97</f>
        <v>會計及金融(榮譽)工商管理學士組合課程 (會計學 / 會計及金融 / 數碼金融及投資學)</v>
      </c>
      <c r="D6" s="4" t="str">
        <f>'Reference Score Calculation'!R97</f>
        <v>ACCT &amp; FINANCE</v>
      </c>
      <c r="E6" s="392" t="str">
        <f>'Reference Score Calculation'!AB97</f>
        <v>Best 5</v>
      </c>
      <c r="F6" s="36" t="str">
        <f>'Reference Score Calculation'!E97</f>
        <v>Best 5</v>
      </c>
      <c r="G6" s="260">
        <f>'Reference Score Calculation'!H97</f>
        <v>179.5</v>
      </c>
      <c r="H6" s="260">
        <f>'Reference Score Calculation'!I97</f>
        <v>179</v>
      </c>
      <c r="I6" s="261">
        <f>計分版!J120</f>
        <v>1.6050000000000001E-8</v>
      </c>
      <c r="J6" s="25">
        <f t="shared" si="0"/>
        <v>-179.49999998395</v>
      </c>
      <c r="K6" s="155">
        <f t="shared" si="1"/>
        <v>-11183800622.052959</v>
      </c>
      <c r="L6" s="36">
        <f>'Reference Score Calculation'!T97</f>
        <v>126</v>
      </c>
      <c r="M6" s="263">
        <f>入學要求!Z106</f>
        <v>0</v>
      </c>
      <c r="N6" s="516"/>
      <c r="O6" s="269">
        <f>入學要求!L106</f>
        <v>3</v>
      </c>
      <c r="P6" s="269">
        <f>入學要求!M106</f>
        <v>3</v>
      </c>
      <c r="Q6" s="269">
        <f>入學要求!N106</f>
        <v>2</v>
      </c>
      <c r="R6" s="269">
        <f>入學要求!O106</f>
        <v>1</v>
      </c>
      <c r="S6" s="269">
        <f>入學要求!P106</f>
        <v>3</v>
      </c>
      <c r="T6" s="269">
        <f>入學要求!Q106</f>
        <v>3</v>
      </c>
      <c r="U6" s="256">
        <f>入學要求!S106</f>
        <v>0</v>
      </c>
      <c r="V6" s="256">
        <f>入學要求!T106</f>
        <v>0</v>
      </c>
      <c r="W6" s="256">
        <f>入學要求!U106</f>
        <v>0</v>
      </c>
      <c r="X6" s="256">
        <f>入學要求!V106</f>
        <v>0</v>
      </c>
      <c r="Y6" s="256">
        <f>入學要求!W106</f>
        <v>0</v>
      </c>
      <c r="Z6" s="256">
        <f>入學要求!X106</f>
        <v>0</v>
      </c>
      <c r="AA6" s="421">
        <f t="shared" si="2"/>
        <v>10.99</v>
      </c>
      <c r="AB6" s="510"/>
      <c r="AC6" s="36" cm="1">
        <f t="array" ref="AC6">IFERROR(INDEX('Offer Statistics'!$AZ$2:$AZ$400,MATCH(1,($A6='Offer Statistics'!$AK$2:$AK$400)*($AB$2='Offer Statistics'!$AL$2:$AL$400),0)),"/")</f>
        <v>103</v>
      </c>
      <c r="AD6" s="64" cm="1">
        <f t="array" ref="AD6">IFERROR(INDEX('Offer Statistics'!AU$2:AU$400,MATCH(1,($A6='Offer Statistics'!$AK$2:$AK$400)*($AB$2='Offer Statistics'!$AL$2:$AL$400),0)),"/")</f>
        <v>100</v>
      </c>
      <c r="AE6" s="64" cm="1">
        <f t="array" ref="AE6">IFERROR(INDEX('Offer Statistics'!AV$2:AV$400,MATCH(1,($A6='Offer Statistics'!$AK$2:$AK$400)*($AB$2='Offer Statistics'!$AL$2:$AL$400),0)),"/")</f>
        <v>3</v>
      </c>
      <c r="AF6" s="64" cm="1">
        <f t="array" ref="AF6">IFERROR(INDEX('Offer Statistics'!AW$2:AW$400,MATCH(1,($A6='Offer Statistics'!$AK$2:$AK$400)*($AB$2='Offer Statistics'!$AL$2:$AL$400),0)),"/")</f>
        <v>0</v>
      </c>
      <c r="AG6" s="64" cm="1">
        <f t="array" ref="AG6">IFERROR(INDEX('Offer Statistics'!AX$2:AX$400,MATCH(1,($A6='Offer Statistics'!$AK$2:$AK$400)*($AB$2='Offer Statistics'!$AL$2:$AL$400),0)),"/")</f>
        <v>0</v>
      </c>
      <c r="AH6" s="64" cm="1">
        <f t="array" ref="AH6">IFERROR(INDEX('Offer Statistics'!AY$2:AY$400,MATCH(1,($A6='Offer Statistics'!$AK$2:$AK$400)*($AB$2='Offer Statistics'!$AL$2:$AL$400),0)),"/")</f>
        <v>0</v>
      </c>
      <c r="AI6" s="511"/>
      <c r="AJ6" s="36" cm="1">
        <f t="array" ref="AJ6">IFERROR(INDEX('Offer Statistics'!$AR$2:$AR$400,MATCH(1,($A6='Offer Statistics'!$AK$2:$AK$400)*($AB$2='Offer Statistics'!$AL$2:$AL$400),0)),"/")</f>
        <v>5143</v>
      </c>
      <c r="AK6" s="64" cm="1">
        <f t="array" ref="AK6">IFERROR(INDEX('Offer Statistics'!AM$2:AM$400,MATCH(1,($A6='Offer Statistics'!$AK$2:$AK$400)*($AB$2='Offer Statistics'!$AL$2:$AL$400),0)),"/")</f>
        <v>1099</v>
      </c>
      <c r="AL6" s="64" cm="1">
        <f t="array" ref="AL6">IFERROR(INDEX('Offer Statistics'!AN$2:AN$400,MATCH(1,($A6='Offer Statistics'!$AK$2:$AK$400)*($AB$2='Offer Statistics'!$AL$2:$AL$400),0)),"/")</f>
        <v>986</v>
      </c>
      <c r="AM6" s="64" cm="1">
        <f t="array" ref="AM6">IFERROR(INDEX('Offer Statistics'!AO$2:AO$400,MATCH(1,($A6='Offer Statistics'!$AK$2:$AK$400)*($AB$2='Offer Statistics'!$AL$2:$AL$400),0)),"/")</f>
        <v>1099</v>
      </c>
      <c r="AN6" s="64" cm="1">
        <f t="array" ref="AN6">IFERROR(INDEX('Offer Statistics'!AP$2:AP$400,MATCH(1,($A6='Offer Statistics'!$AK$2:$AK$400)*($AB$2='Offer Statistics'!$AL$2:$AL$400),0)),"/")</f>
        <v>1167</v>
      </c>
      <c r="AO6" s="64" cm="1">
        <f t="array" ref="AO6">IFERROR(INDEX('Offer Statistics'!AQ$2:AQ$400,MATCH(1,($A6='Offer Statistics'!$AK$2:$AK$400)*($AB$2='Offer Statistics'!$AL$2:$AL$400),0)),"/")</f>
        <v>792</v>
      </c>
      <c r="AP6" s="15"/>
      <c r="AQ6" s="15" t="str">
        <f t="shared" si="3"/>
        <v>JS3060</v>
      </c>
    </row>
    <row r="7" spans="1:43" ht="18" customHeight="1">
      <c r="A7" s="4" t="str">
        <f>'Reference Score Calculation'!A98</f>
        <v>JS3070</v>
      </c>
      <c r="B7" s="4" t="str">
        <f>'Reference Score Calculation'!C98</f>
        <v>工商管理學院</v>
      </c>
      <c r="C7" s="4" t="str">
        <f>'Reference Score Calculation'!D98</f>
        <v>航空、航運及供應鏈管理(榮譽)工商管理學士組合課程 (航空管理及金融 / 國際航運及物流管理 / 供應鏈管理及分析)</v>
      </c>
      <c r="D7" s="4" t="str">
        <f>'Reference Score Calculation'!R98</f>
        <v>AVIAT, MARITIME &amp; SC MGT</v>
      </c>
      <c r="E7" s="392" t="str">
        <f>'Reference Score Calculation'!AB98</f>
        <v>Best 5</v>
      </c>
      <c r="F7" s="36" t="str">
        <f>'Reference Score Calculation'!E98</f>
        <v>Best 5</v>
      </c>
      <c r="G7" s="260">
        <f>'Reference Score Calculation'!H98</f>
        <v>164</v>
      </c>
      <c r="H7" s="260">
        <f>'Reference Score Calculation'!I98</f>
        <v>161.5</v>
      </c>
      <c r="I7" s="261">
        <f>計分版!J121</f>
        <v>1.6050000000000001E-8</v>
      </c>
      <c r="J7" s="25">
        <f t="shared" si="0"/>
        <v>-163.99999998395</v>
      </c>
      <c r="K7" s="155">
        <f t="shared" si="1"/>
        <v>-10218068534.825544</v>
      </c>
      <c r="L7" s="36">
        <f>'Reference Score Calculation'!T98</f>
        <v>54</v>
      </c>
      <c r="M7" s="263">
        <f>入學要求!Z107</f>
        <v>0</v>
      </c>
      <c r="N7" s="516"/>
      <c r="O7" s="269">
        <f>入學要求!L107</f>
        <v>3</v>
      </c>
      <c r="P7" s="269">
        <f>入學要求!M107</f>
        <v>3</v>
      </c>
      <c r="Q7" s="269">
        <f>入學要求!N107</f>
        <v>2</v>
      </c>
      <c r="R7" s="269">
        <f>入學要求!O107</f>
        <v>1</v>
      </c>
      <c r="S7" s="269">
        <f>入學要求!P107</f>
        <v>3</v>
      </c>
      <c r="T7" s="269">
        <f>入學要求!Q107</f>
        <v>3</v>
      </c>
      <c r="U7" s="256">
        <f>入學要求!S107</f>
        <v>0</v>
      </c>
      <c r="V7" s="256">
        <f>入學要求!T107</f>
        <v>0</v>
      </c>
      <c r="W7" s="256">
        <f>入學要求!U107</f>
        <v>0</v>
      </c>
      <c r="X7" s="256">
        <f>入學要求!V107</f>
        <v>0</v>
      </c>
      <c r="Y7" s="256">
        <f>入學要求!W107</f>
        <v>0</v>
      </c>
      <c r="Z7" s="256">
        <f>入學要求!X107</f>
        <v>0</v>
      </c>
      <c r="AA7" s="421">
        <f t="shared" si="2"/>
        <v>15.96</v>
      </c>
      <c r="AB7" s="510"/>
      <c r="AC7" s="36" cm="1">
        <f t="array" ref="AC7">IFERROR(INDEX('Offer Statistics'!$AZ$2:$AZ$400,MATCH(1,($A7='Offer Statistics'!$AK$2:$AK$400)*($AB$2='Offer Statistics'!$AL$2:$AL$400),0)),"/")</f>
        <v>51</v>
      </c>
      <c r="AD7" s="64" cm="1">
        <f t="array" ref="AD7">IFERROR(INDEX('Offer Statistics'!AU$2:AU$400,MATCH(1,($A7='Offer Statistics'!$AK$2:$AK$400)*($AB$2='Offer Statistics'!$AL$2:$AL$400),0)),"/")</f>
        <v>45</v>
      </c>
      <c r="AE7" s="64" cm="1">
        <f t="array" ref="AE7">IFERROR(INDEX('Offer Statistics'!AV$2:AV$400,MATCH(1,($A7='Offer Statistics'!$AK$2:$AK$400)*($AB$2='Offer Statistics'!$AL$2:$AL$400),0)),"/")</f>
        <v>4</v>
      </c>
      <c r="AF7" s="64" cm="1">
        <f t="array" ref="AF7">IFERROR(INDEX('Offer Statistics'!AW$2:AW$400,MATCH(1,($A7='Offer Statistics'!$AK$2:$AK$400)*($AB$2='Offer Statistics'!$AL$2:$AL$400),0)),"/")</f>
        <v>1</v>
      </c>
      <c r="AG7" s="64" cm="1">
        <f t="array" ref="AG7">IFERROR(INDEX('Offer Statistics'!AX$2:AX$400,MATCH(1,($A7='Offer Statistics'!$AK$2:$AK$400)*($AB$2='Offer Statistics'!$AL$2:$AL$400),0)),"/")</f>
        <v>0</v>
      </c>
      <c r="AH7" s="64" cm="1">
        <f t="array" ref="AH7">IFERROR(INDEX('Offer Statistics'!AY$2:AY$400,MATCH(1,($A7='Offer Statistics'!$AK$2:$AK$400)*($AB$2='Offer Statistics'!$AL$2:$AL$400),0)),"/")</f>
        <v>1</v>
      </c>
      <c r="AI7" s="511"/>
      <c r="AJ7" s="36" cm="1">
        <f t="array" ref="AJ7">IFERROR(INDEX('Offer Statistics'!$AR$2:$AR$400,MATCH(1,($A7='Offer Statistics'!$AK$2:$AK$400)*($AB$2='Offer Statistics'!$AL$2:$AL$400),0)),"/")</f>
        <v>4033</v>
      </c>
      <c r="AK7" s="64" cm="1">
        <f t="array" ref="AK7">IFERROR(INDEX('Offer Statistics'!AM$2:AM$400,MATCH(1,($A7='Offer Statistics'!$AK$2:$AK$400)*($AB$2='Offer Statistics'!$AL$2:$AL$400),0)),"/")</f>
        <v>718</v>
      </c>
      <c r="AL7" s="64" cm="1">
        <f t="array" ref="AL7">IFERROR(INDEX('Offer Statistics'!AN$2:AN$400,MATCH(1,($A7='Offer Statistics'!$AK$2:$AK$400)*($AB$2='Offer Statistics'!$AL$2:$AL$400),0)),"/")</f>
        <v>733</v>
      </c>
      <c r="AM7" s="64" cm="1">
        <f t="array" ref="AM7">IFERROR(INDEX('Offer Statistics'!AO$2:AO$400,MATCH(1,($A7='Offer Statistics'!$AK$2:$AK$400)*($AB$2='Offer Statistics'!$AL$2:$AL$400),0)),"/")</f>
        <v>879</v>
      </c>
      <c r="AN7" s="64" cm="1">
        <f t="array" ref="AN7">IFERROR(INDEX('Offer Statistics'!AP$2:AP$400,MATCH(1,($A7='Offer Statistics'!$AK$2:$AK$400)*($AB$2='Offer Statistics'!$AL$2:$AL$400),0)),"/")</f>
        <v>990</v>
      </c>
      <c r="AO7" s="64" cm="1">
        <f t="array" ref="AO7">IFERROR(INDEX('Offer Statistics'!AQ$2:AQ$400,MATCH(1,($A7='Offer Statistics'!$AK$2:$AK$400)*($AB$2='Offer Statistics'!$AL$2:$AL$400),0)),"/")</f>
        <v>713</v>
      </c>
      <c r="AP7" s="15"/>
      <c r="AQ7" s="15" t="str">
        <f t="shared" si="3"/>
        <v>JS3070</v>
      </c>
    </row>
    <row r="8" spans="1:43" ht="18" customHeight="1">
      <c r="A8" s="4" t="str">
        <f>'Reference Score Calculation'!A99</f>
        <v>JS3080</v>
      </c>
      <c r="B8" s="4" t="str">
        <f>'Reference Score Calculation'!C99</f>
        <v>工商管理學院</v>
      </c>
      <c r="C8" s="4" t="str">
        <f>'Reference Score Calculation'!D99</f>
        <v>管理及市場學(榮譽)工商管理學士組合課程 (管理學 / 市場學)</v>
      </c>
      <c r="D8" s="4" t="str">
        <f>'Reference Score Calculation'!R99</f>
        <v>MGT &amp; MARKETING</v>
      </c>
      <c r="E8" s="392" t="str">
        <f>'Reference Score Calculation'!AB99</f>
        <v>Best 5</v>
      </c>
      <c r="F8" s="36" t="str">
        <f>'Reference Score Calculation'!E99</f>
        <v>Best 5</v>
      </c>
      <c r="G8" s="260">
        <f>'Reference Score Calculation'!H99</f>
        <v>174.5</v>
      </c>
      <c r="H8" s="260">
        <f>'Reference Score Calculation'!I99</f>
        <v>172</v>
      </c>
      <c r="I8" s="261">
        <f>計分版!J122</f>
        <v>1.6050000000000001E-8</v>
      </c>
      <c r="J8" s="25">
        <f t="shared" si="0"/>
        <v>-174.49999998395</v>
      </c>
      <c r="K8" s="155">
        <f t="shared" si="1"/>
        <v>-10872274142.302179</v>
      </c>
      <c r="L8" s="36">
        <f>'Reference Score Calculation'!T99</f>
        <v>87</v>
      </c>
      <c r="M8" s="263">
        <f>入學要求!Z108</f>
        <v>0</v>
      </c>
      <c r="N8" s="516"/>
      <c r="O8" s="269">
        <f>入學要求!L108</f>
        <v>3</v>
      </c>
      <c r="P8" s="269">
        <f>入學要求!M108</f>
        <v>3</v>
      </c>
      <c r="Q8" s="269">
        <f>入學要求!N108</f>
        <v>2</v>
      </c>
      <c r="R8" s="269">
        <f>入學要求!O108</f>
        <v>1</v>
      </c>
      <c r="S8" s="269">
        <f>入學要求!P108</f>
        <v>3</v>
      </c>
      <c r="T8" s="269">
        <f>入學要求!Q108</f>
        <v>3</v>
      </c>
      <c r="U8" s="256">
        <f>入學要求!S108</f>
        <v>0</v>
      </c>
      <c r="V8" s="256">
        <f>入學要求!T108</f>
        <v>0</v>
      </c>
      <c r="W8" s="256">
        <f>入學要求!U108</f>
        <v>0</v>
      </c>
      <c r="X8" s="256">
        <f>入學要求!V108</f>
        <v>0</v>
      </c>
      <c r="Y8" s="256">
        <f>入學要求!W108</f>
        <v>0</v>
      </c>
      <c r="Z8" s="256">
        <f>入學要求!X108</f>
        <v>0</v>
      </c>
      <c r="AA8" s="421">
        <f t="shared" si="2"/>
        <v>14.61</v>
      </c>
      <c r="AB8" s="510"/>
      <c r="AC8" s="36" cm="1">
        <f t="array" ref="AC8">IFERROR(INDEX('Offer Statistics'!$AZ$2:$AZ$400,MATCH(1,($A8='Offer Statistics'!$AK$2:$AK$400)*($AB$2='Offer Statistics'!$AL$2:$AL$400),0)),"/")</f>
        <v>79</v>
      </c>
      <c r="AD8" s="64" cm="1">
        <f t="array" ref="AD8">IFERROR(INDEX('Offer Statistics'!AU$2:AU$400,MATCH(1,($A8='Offer Statistics'!$AK$2:$AK$400)*($AB$2='Offer Statistics'!$AL$2:$AL$400),0)),"/")</f>
        <v>70</v>
      </c>
      <c r="AE8" s="64" cm="1">
        <f t="array" ref="AE8">IFERROR(INDEX('Offer Statistics'!AV$2:AV$400,MATCH(1,($A8='Offer Statistics'!$AK$2:$AK$400)*($AB$2='Offer Statistics'!$AL$2:$AL$400),0)),"/")</f>
        <v>6</v>
      </c>
      <c r="AF8" s="64" cm="1">
        <f t="array" ref="AF8">IFERROR(INDEX('Offer Statistics'!AW$2:AW$400,MATCH(1,($A8='Offer Statistics'!$AK$2:$AK$400)*($AB$2='Offer Statistics'!$AL$2:$AL$400),0)),"/")</f>
        <v>3</v>
      </c>
      <c r="AG8" s="64" cm="1">
        <f t="array" ref="AG8">IFERROR(INDEX('Offer Statistics'!AX$2:AX$400,MATCH(1,($A8='Offer Statistics'!$AK$2:$AK$400)*($AB$2='Offer Statistics'!$AL$2:$AL$400),0)),"/")</f>
        <v>0</v>
      </c>
      <c r="AH8" s="64" cm="1">
        <f t="array" ref="AH8">IFERROR(INDEX('Offer Statistics'!AY$2:AY$400,MATCH(1,($A8='Offer Statistics'!$AK$2:$AK$400)*($AB$2='Offer Statistics'!$AL$2:$AL$400),0)),"/")</f>
        <v>0</v>
      </c>
      <c r="AI8" s="511"/>
      <c r="AJ8" s="36" cm="1">
        <f t="array" ref="AJ8">IFERROR(INDEX('Offer Statistics'!$AR$2:$AR$400,MATCH(1,($A8='Offer Statistics'!$AK$2:$AK$400)*($AB$2='Offer Statistics'!$AL$2:$AL$400),0)),"/")</f>
        <v>6321</v>
      </c>
      <c r="AK8" s="64" cm="1">
        <f t="array" ref="AK8">IFERROR(INDEX('Offer Statistics'!AM$2:AM$400,MATCH(1,($A8='Offer Statistics'!$AK$2:$AK$400)*($AB$2='Offer Statistics'!$AL$2:$AL$400),0)),"/")</f>
        <v>1023</v>
      </c>
      <c r="AL8" s="64" cm="1">
        <f t="array" ref="AL8">IFERROR(INDEX('Offer Statistics'!AN$2:AN$400,MATCH(1,($A8='Offer Statistics'!$AK$2:$AK$400)*($AB$2='Offer Statistics'!$AL$2:$AL$400),0)),"/")</f>
        <v>1095</v>
      </c>
      <c r="AM8" s="64" cm="1">
        <f t="array" ref="AM8">IFERROR(INDEX('Offer Statistics'!AO$2:AO$400,MATCH(1,($A8='Offer Statistics'!$AK$2:$AK$400)*($AB$2='Offer Statistics'!$AL$2:$AL$400),0)),"/")</f>
        <v>1467</v>
      </c>
      <c r="AN8" s="64" cm="1">
        <f t="array" ref="AN8">IFERROR(INDEX('Offer Statistics'!AP$2:AP$400,MATCH(1,($A8='Offer Statistics'!$AK$2:$AK$400)*($AB$2='Offer Statistics'!$AL$2:$AL$400),0)),"/")</f>
        <v>1639</v>
      </c>
      <c r="AO8" s="64" cm="1">
        <f t="array" ref="AO8">IFERROR(INDEX('Offer Statistics'!AQ$2:AQ$400,MATCH(1,($A8='Offer Statistics'!$AK$2:$AK$400)*($AB$2='Offer Statistics'!$AL$2:$AL$400),0)),"/")</f>
        <v>1097</v>
      </c>
      <c r="AP8" s="15"/>
      <c r="AQ8" s="15" t="str">
        <f t="shared" si="3"/>
        <v>JS3080</v>
      </c>
    </row>
    <row r="9" spans="1:43" s="156" customFormat="1" ht="18" customHeight="1">
      <c r="A9" s="4" t="str">
        <f>'Reference Score Calculation'!A100</f>
        <v>JS3100</v>
      </c>
      <c r="B9" s="4" t="str">
        <f>'Reference Score Calculation'!C100</f>
        <v>建築及環境學院</v>
      </c>
      <c r="C9" s="4" t="str">
        <f>'Reference Score Calculation'!D100</f>
        <v>建築及房地產(榮譽)理學士組合課程 (建築工程及管理學 / 物業管理學 / 地產及建設測量學)</v>
      </c>
      <c r="D9" s="4" t="str">
        <f>'Reference Score Calculation'!R100</f>
        <v>BLDG &amp; REAL ESTATE</v>
      </c>
      <c r="E9" s="392" t="str">
        <f>'Reference Score Calculation'!AB100</f>
        <v>Best 5</v>
      </c>
      <c r="F9" s="419" t="str">
        <f>'Reference Score Calculation'!E100</f>
        <v>Best 5</v>
      </c>
      <c r="G9" s="260">
        <f>'Reference Score Calculation'!H100</f>
        <v>163</v>
      </c>
      <c r="H9" s="260">
        <f>'Reference Score Calculation'!I100</f>
        <v>152</v>
      </c>
      <c r="I9" s="261">
        <f>計分版!J123</f>
        <v>1.515E-8</v>
      </c>
      <c r="J9" s="25">
        <f t="shared" si="0"/>
        <v>-162.99999998485001</v>
      </c>
      <c r="K9" s="155">
        <f t="shared" si="1"/>
        <v>-10759075906.590759</v>
      </c>
      <c r="L9" s="36">
        <f>'Reference Score Calculation'!T100</f>
        <v>101</v>
      </c>
      <c r="M9" s="263">
        <f>入學要求!Z109</f>
        <v>0</v>
      </c>
      <c r="N9" s="516"/>
      <c r="O9" s="269">
        <f>入學要求!L109</f>
        <v>3</v>
      </c>
      <c r="P9" s="269">
        <f>入學要求!M109</f>
        <v>3</v>
      </c>
      <c r="Q9" s="269">
        <f>入學要求!N109</f>
        <v>2</v>
      </c>
      <c r="R9" s="269">
        <f>入學要求!O109</f>
        <v>1</v>
      </c>
      <c r="S9" s="269">
        <f>入學要求!P109</f>
        <v>3</v>
      </c>
      <c r="T9" s="269">
        <f>入學要求!Q109</f>
        <v>3</v>
      </c>
      <c r="U9" s="256">
        <f>入學要求!S109</f>
        <v>0</v>
      </c>
      <c r="V9" s="256">
        <f>入學要求!T109</f>
        <v>0</v>
      </c>
      <c r="W9" s="256">
        <f>入學要求!U109</f>
        <v>0</v>
      </c>
      <c r="X9" s="256">
        <f>入學要求!V109</f>
        <v>0</v>
      </c>
      <c r="Y9" s="256">
        <f>入學要求!W109</f>
        <v>0</v>
      </c>
      <c r="Z9" s="256">
        <f>入學要求!X109</f>
        <v>0</v>
      </c>
      <c r="AA9" s="421">
        <f t="shared" si="2"/>
        <v>3.12</v>
      </c>
      <c r="AB9" s="510"/>
      <c r="AC9" s="36" cm="1">
        <f t="array" ref="AC9">IFERROR(INDEX('Offer Statistics'!$AZ$2:$AZ$400,MATCH(1,($A9='Offer Statistics'!$AK$2:$AK$400)*($AB$2='Offer Statistics'!$AL$2:$AL$400),0)),"/")</f>
        <v>100</v>
      </c>
      <c r="AD9" s="64" cm="1">
        <f t="array" ref="AD9">IFERROR(INDEX('Offer Statistics'!AU$2:AU$400,MATCH(1,($A9='Offer Statistics'!$AK$2:$AK$400)*($AB$2='Offer Statistics'!$AL$2:$AL$400),0)),"/")</f>
        <v>94</v>
      </c>
      <c r="AE9" s="64" cm="1">
        <f t="array" ref="AE9">IFERROR(INDEX('Offer Statistics'!AV$2:AV$400,MATCH(1,($A9='Offer Statistics'!$AK$2:$AK$400)*($AB$2='Offer Statistics'!$AL$2:$AL$400),0)),"/")</f>
        <v>2</v>
      </c>
      <c r="AF9" s="64" cm="1">
        <f t="array" ref="AF9">IFERROR(INDEX('Offer Statistics'!AW$2:AW$400,MATCH(1,($A9='Offer Statistics'!$AK$2:$AK$400)*($AB$2='Offer Statistics'!$AL$2:$AL$400),0)),"/")</f>
        <v>0</v>
      </c>
      <c r="AG9" s="64" cm="1">
        <f t="array" ref="AG9">IFERROR(INDEX('Offer Statistics'!AX$2:AX$400,MATCH(1,($A9='Offer Statistics'!$AK$2:$AK$400)*($AB$2='Offer Statistics'!$AL$2:$AL$400),0)),"/")</f>
        <v>3</v>
      </c>
      <c r="AH9" s="64" cm="1">
        <f t="array" ref="AH9">IFERROR(INDEX('Offer Statistics'!AY$2:AY$400,MATCH(1,($A9='Offer Statistics'!$AK$2:$AK$400)*($AB$2='Offer Statistics'!$AL$2:$AL$400),0)),"/")</f>
        <v>1</v>
      </c>
      <c r="AI9" s="511"/>
      <c r="AJ9" s="36" cm="1">
        <f t="array" ref="AJ9">IFERROR(INDEX('Offer Statistics'!$AR$2:$AR$400,MATCH(1,($A9='Offer Statistics'!$AK$2:$AK$400)*($AB$2='Offer Statistics'!$AL$2:$AL$400),0)),"/")</f>
        <v>2030</v>
      </c>
      <c r="AK9" s="64" cm="1">
        <f t="array" ref="AK9">IFERROR(INDEX('Offer Statistics'!AM$2:AM$400,MATCH(1,($A9='Offer Statistics'!$AK$2:$AK$400)*($AB$2='Offer Statistics'!$AL$2:$AL$400),0)),"/")</f>
        <v>293</v>
      </c>
      <c r="AL9" s="64" cm="1">
        <f t="array" ref="AL9">IFERROR(INDEX('Offer Statistics'!AN$2:AN$400,MATCH(1,($A9='Offer Statistics'!$AK$2:$AK$400)*($AB$2='Offer Statistics'!$AL$2:$AL$400),0)),"/")</f>
        <v>343</v>
      </c>
      <c r="AM9" s="64" cm="1">
        <f t="array" ref="AM9">IFERROR(INDEX('Offer Statistics'!AO$2:AO$400,MATCH(1,($A9='Offer Statistics'!$AK$2:$AK$400)*($AB$2='Offer Statistics'!$AL$2:$AL$400),0)),"/")</f>
        <v>443</v>
      </c>
      <c r="AN9" s="64" cm="1">
        <f t="array" ref="AN9">IFERROR(INDEX('Offer Statistics'!AP$2:AP$400,MATCH(1,($A9='Offer Statistics'!$AK$2:$AK$400)*($AB$2='Offer Statistics'!$AL$2:$AL$400),0)),"/")</f>
        <v>517</v>
      </c>
      <c r="AO9" s="64" cm="1">
        <f t="array" ref="AO9">IFERROR(INDEX('Offer Statistics'!AQ$2:AQ$400,MATCH(1,($A9='Offer Statistics'!$AK$2:$AK$400)*($AB$2='Offer Statistics'!$AL$2:$AL$400),0)),"/")</f>
        <v>434</v>
      </c>
      <c r="AP9" s="15"/>
      <c r="AQ9" s="15" t="str">
        <f t="shared" si="3"/>
        <v>JS3100</v>
      </c>
    </row>
    <row r="10" spans="1:43" ht="18" customHeight="1">
      <c r="A10" s="4" t="str">
        <f>'Reference Score Calculation'!A101</f>
        <v>JS3110</v>
      </c>
      <c r="B10" s="4" t="str">
        <f>'Reference Score Calculation'!C101</f>
        <v>建築及環境學院</v>
      </c>
      <c r="C10" s="4" t="str">
        <f>'Reference Score Calculation'!D101</f>
        <v>建築科學及工程學(榮譽)工學士組合課程 (建築科學及工程學 / 建築科學及工程學(屋宇設備工程學))</v>
      </c>
      <c r="D10" s="4" t="str">
        <f>'Reference Score Calculation'!R101</f>
        <v>BLDG SCI &amp; ENGG</v>
      </c>
      <c r="E10" s="392" t="str">
        <f>'Reference Score Calculation'!AB101</f>
        <v>Best 5</v>
      </c>
      <c r="F10" s="36" t="str">
        <f>'Reference Score Calculation'!E101</f>
        <v>Best 5</v>
      </c>
      <c r="G10" s="260">
        <f>'Reference Score Calculation'!H101</f>
        <v>176</v>
      </c>
      <c r="H10" s="260">
        <f>'Reference Score Calculation'!I101</f>
        <v>171</v>
      </c>
      <c r="I10" s="261">
        <f>計分版!J124</f>
        <v>1.6050000000000001E-8</v>
      </c>
      <c r="J10" s="25">
        <f t="shared" si="0"/>
        <v>-175.99999998395</v>
      </c>
      <c r="K10" s="155">
        <f t="shared" si="1"/>
        <v>-10965732086.227413</v>
      </c>
      <c r="L10" s="36">
        <f>'Reference Score Calculation'!T101</f>
        <v>42</v>
      </c>
      <c r="M10" s="263">
        <f>入學要求!Z110</f>
        <v>0</v>
      </c>
      <c r="N10" s="516"/>
      <c r="O10" s="269">
        <f>入學要求!L110</f>
        <v>3</v>
      </c>
      <c r="P10" s="269">
        <f>入學要求!M110</f>
        <v>3</v>
      </c>
      <c r="Q10" s="269">
        <f>入學要求!N110</f>
        <v>2</v>
      </c>
      <c r="R10" s="269">
        <f>入學要求!O110</f>
        <v>1</v>
      </c>
      <c r="S10" s="269">
        <f>入學要求!P110</f>
        <v>3</v>
      </c>
      <c r="T10" s="269">
        <f>入學要求!Q110</f>
        <v>3</v>
      </c>
      <c r="U10" s="256">
        <f>入學要求!S110</f>
        <v>0</v>
      </c>
      <c r="V10" s="256">
        <f>入學要求!T110</f>
        <v>0</v>
      </c>
      <c r="W10" s="256">
        <f>入學要求!U110</f>
        <v>0</v>
      </c>
      <c r="X10" s="256">
        <f>入學要求!V110</f>
        <v>0</v>
      </c>
      <c r="Y10" s="256">
        <f>入學要求!W110</f>
        <v>0</v>
      </c>
      <c r="Z10" s="256">
        <f>入學要求!X110</f>
        <v>0</v>
      </c>
      <c r="AA10" s="421">
        <f t="shared" si="2"/>
        <v>21.24</v>
      </c>
      <c r="AB10" s="510"/>
      <c r="AC10" s="36" cm="1">
        <f t="array" ref="AC10">IFERROR(INDEX('Offer Statistics'!$AZ$2:$AZ$400,MATCH(1,($A10='Offer Statistics'!$AK$2:$AK$400)*($AB$2='Offer Statistics'!$AL$2:$AL$400),0)),"/")</f>
        <v>25</v>
      </c>
      <c r="AD10" s="64" cm="1">
        <f t="array" ref="AD10">IFERROR(INDEX('Offer Statistics'!AU$2:AU$400,MATCH(1,($A10='Offer Statistics'!$AK$2:$AK$400)*($AB$2='Offer Statistics'!$AL$2:$AL$400),0)),"/")</f>
        <v>21</v>
      </c>
      <c r="AE10" s="64" cm="1">
        <f t="array" ref="AE10">IFERROR(INDEX('Offer Statistics'!AV$2:AV$400,MATCH(1,($A10='Offer Statistics'!$AK$2:$AK$400)*($AB$2='Offer Statistics'!$AL$2:$AL$400),0)),"/")</f>
        <v>4</v>
      </c>
      <c r="AF10" s="64" cm="1">
        <f t="array" ref="AF10">IFERROR(INDEX('Offer Statistics'!AW$2:AW$400,MATCH(1,($A10='Offer Statistics'!$AK$2:$AK$400)*($AB$2='Offer Statistics'!$AL$2:$AL$400),0)),"/")</f>
        <v>0</v>
      </c>
      <c r="AG10" s="64" cm="1">
        <f t="array" ref="AG10">IFERROR(INDEX('Offer Statistics'!AX$2:AX$400,MATCH(1,($A10='Offer Statistics'!$AK$2:$AK$400)*($AB$2='Offer Statistics'!$AL$2:$AL$400),0)),"/")</f>
        <v>0</v>
      </c>
      <c r="AH10" s="64" cm="1">
        <f t="array" ref="AH10">IFERROR(INDEX('Offer Statistics'!AY$2:AY$400,MATCH(1,($A10='Offer Statistics'!$AK$2:$AK$400)*($AB$2='Offer Statistics'!$AL$2:$AL$400),0)),"/")</f>
        <v>0</v>
      </c>
      <c r="AI10" s="511"/>
      <c r="AJ10" s="36" cm="1">
        <f t="array" ref="AJ10">IFERROR(INDEX('Offer Statistics'!$AR$2:$AR$400,MATCH(1,($A10='Offer Statistics'!$AK$2:$AK$400)*($AB$2='Offer Statistics'!$AL$2:$AL$400),0)),"/")</f>
        <v>2876</v>
      </c>
      <c r="AK10" s="64" cm="1">
        <f t="array" ref="AK10">IFERROR(INDEX('Offer Statistics'!AM$2:AM$400,MATCH(1,($A10='Offer Statistics'!$AK$2:$AK$400)*($AB$2='Offer Statistics'!$AL$2:$AL$400),0)),"/")</f>
        <v>446</v>
      </c>
      <c r="AL10" s="64" cm="1">
        <f t="array" ref="AL10">IFERROR(INDEX('Offer Statistics'!AN$2:AN$400,MATCH(1,($A10='Offer Statistics'!$AK$2:$AK$400)*($AB$2='Offer Statistics'!$AL$2:$AL$400),0)),"/")</f>
        <v>528</v>
      </c>
      <c r="AM10" s="64" cm="1">
        <f t="array" ref="AM10">IFERROR(INDEX('Offer Statistics'!AO$2:AO$400,MATCH(1,($A10='Offer Statistics'!$AK$2:$AK$400)*($AB$2='Offer Statistics'!$AL$2:$AL$400),0)),"/")</f>
        <v>674</v>
      </c>
      <c r="AN10" s="64" cm="1">
        <f t="array" ref="AN10">IFERROR(INDEX('Offer Statistics'!AP$2:AP$400,MATCH(1,($A10='Offer Statistics'!$AK$2:$AK$400)*($AB$2='Offer Statistics'!$AL$2:$AL$400),0)),"/")</f>
        <v>717</v>
      </c>
      <c r="AO10" s="64" cm="1">
        <f t="array" ref="AO10">IFERROR(INDEX('Offer Statistics'!AQ$2:AQ$400,MATCH(1,($A10='Offer Statistics'!$AK$2:$AK$400)*($AB$2='Offer Statistics'!$AL$2:$AL$400),0)),"/")</f>
        <v>511</v>
      </c>
      <c r="AP10" s="15"/>
      <c r="AQ10" s="15" t="str">
        <f t="shared" si="3"/>
        <v>JS3110</v>
      </c>
    </row>
    <row r="11" spans="1:43" s="156" customFormat="1" ht="18" customHeight="1">
      <c r="A11" s="4" t="str">
        <f>'Reference Score Calculation'!A102</f>
        <v>JS3120</v>
      </c>
      <c r="B11" s="4" t="str">
        <f>'Reference Score Calculation'!C102</f>
        <v>建築及環境學院</v>
      </c>
      <c r="C11" s="4" t="str">
        <f>'Reference Score Calculation'!D102</f>
        <v>土木工程及可持續發展學(榮譽)工學士組合課程</v>
      </c>
      <c r="D11" s="4" t="str">
        <f>'Reference Score Calculation'!R102</f>
        <v>CIVIL ENGG &amp; SUS DEVELOP</v>
      </c>
      <c r="E11" s="392" t="str">
        <f>'Reference Score Calculation'!AB102</f>
        <v>Best 5</v>
      </c>
      <c r="F11" s="36" t="str">
        <f>'Reference Score Calculation'!E102</f>
        <v>Best 5</v>
      </c>
      <c r="G11" s="260">
        <f>'Reference Score Calculation'!H102</f>
        <v>205</v>
      </c>
      <c r="H11" s="260">
        <f>'Reference Score Calculation'!I102</f>
        <v>200</v>
      </c>
      <c r="I11" s="261">
        <f>計分版!J125</f>
        <v>1.8750000000000002E-8</v>
      </c>
      <c r="J11" s="25">
        <f t="shared" si="0"/>
        <v>-204.99999998125</v>
      </c>
      <c r="K11" s="155">
        <f t="shared" si="1"/>
        <v>-10933333332.333332</v>
      </c>
      <c r="L11" s="36">
        <f>'Reference Score Calculation'!T102</f>
        <v>123</v>
      </c>
      <c r="M11" s="263">
        <f>入學要求!Z111</f>
        <v>0</v>
      </c>
      <c r="N11" s="516"/>
      <c r="O11" s="269">
        <f>入學要求!L111</f>
        <v>3</v>
      </c>
      <c r="P11" s="269">
        <f>入學要求!M111</f>
        <v>3</v>
      </c>
      <c r="Q11" s="269">
        <f>入學要求!N111</f>
        <v>2</v>
      </c>
      <c r="R11" s="269">
        <f>入學要求!O111</f>
        <v>1</v>
      </c>
      <c r="S11" s="269">
        <f>入學要求!P111</f>
        <v>3</v>
      </c>
      <c r="T11" s="269">
        <f>入學要求!Q111</f>
        <v>3</v>
      </c>
      <c r="U11" s="256">
        <f>入學要求!S111</f>
        <v>0</v>
      </c>
      <c r="V11" s="256">
        <f>入學要求!T111</f>
        <v>0</v>
      </c>
      <c r="W11" s="256">
        <f>入學要求!U111</f>
        <v>0</v>
      </c>
      <c r="X11" s="256">
        <f>入學要求!V111</f>
        <v>0</v>
      </c>
      <c r="Y11" s="256">
        <f>入學要求!W111</f>
        <v>0</v>
      </c>
      <c r="Z11" s="256">
        <f>入學要求!X111</f>
        <v>0</v>
      </c>
      <c r="AA11" s="421">
        <f t="shared" si="2"/>
        <v>9.11</v>
      </c>
      <c r="AB11" s="510"/>
      <c r="AC11" s="36" cm="1">
        <f t="array" ref="AC11">IFERROR(INDEX('Offer Statistics'!$AZ$2:$AZ$400,MATCH(1,($A11='Offer Statistics'!$AK$2:$AK$400)*($AB$2='Offer Statistics'!$AL$2:$AL$400),0)),"/")</f>
        <v>100</v>
      </c>
      <c r="AD11" s="64" cm="1">
        <f t="array" ref="AD11">IFERROR(INDEX('Offer Statistics'!AU$2:AU$400,MATCH(1,($A11='Offer Statistics'!$AK$2:$AK$400)*($AB$2='Offer Statistics'!$AL$2:$AL$400),0)),"/")</f>
        <v>95</v>
      </c>
      <c r="AE11" s="64" cm="1">
        <f t="array" ref="AE11">IFERROR(INDEX('Offer Statistics'!AV$2:AV$400,MATCH(1,($A11='Offer Statistics'!$AK$2:$AK$400)*($AB$2='Offer Statistics'!$AL$2:$AL$400),0)),"/")</f>
        <v>4</v>
      </c>
      <c r="AF11" s="64" cm="1">
        <f t="array" ref="AF11">IFERROR(INDEX('Offer Statistics'!AW$2:AW$400,MATCH(1,($A11='Offer Statistics'!$AK$2:$AK$400)*($AB$2='Offer Statistics'!$AL$2:$AL$400),0)),"/")</f>
        <v>1</v>
      </c>
      <c r="AG11" s="64" cm="1">
        <f t="array" ref="AG11">IFERROR(INDEX('Offer Statistics'!AX$2:AX$400,MATCH(1,($A11='Offer Statistics'!$AK$2:$AK$400)*($AB$2='Offer Statistics'!$AL$2:$AL$400),0)),"/")</f>
        <v>0</v>
      </c>
      <c r="AH11" s="64" cm="1">
        <f t="array" ref="AH11">IFERROR(INDEX('Offer Statistics'!AY$2:AY$400,MATCH(1,($A11='Offer Statistics'!$AK$2:$AK$400)*($AB$2='Offer Statistics'!$AL$2:$AL$400),0)),"/")</f>
        <v>0</v>
      </c>
      <c r="AI11" s="511"/>
      <c r="AJ11" s="36" cm="1">
        <f t="array" ref="AJ11">IFERROR(INDEX('Offer Statistics'!$AR$2:$AR$400,MATCH(1,($A11='Offer Statistics'!$AK$2:$AK$400)*($AB$2='Offer Statistics'!$AL$2:$AL$400),0)),"/")</f>
        <v>3873</v>
      </c>
      <c r="AK11" s="64" cm="1">
        <f t="array" ref="AK11">IFERROR(INDEX('Offer Statistics'!AM$2:AM$400,MATCH(1,($A11='Offer Statistics'!$AK$2:$AK$400)*($AB$2='Offer Statistics'!$AL$2:$AL$400),0)),"/")</f>
        <v>865</v>
      </c>
      <c r="AL11" s="64" cm="1">
        <f t="array" ref="AL11">IFERROR(INDEX('Offer Statistics'!AN$2:AN$400,MATCH(1,($A11='Offer Statistics'!$AK$2:$AK$400)*($AB$2='Offer Statistics'!$AL$2:$AL$400),0)),"/")</f>
        <v>756</v>
      </c>
      <c r="AM11" s="64" cm="1">
        <f t="array" ref="AM11">IFERROR(INDEX('Offer Statistics'!AO$2:AO$400,MATCH(1,($A11='Offer Statistics'!$AK$2:$AK$400)*($AB$2='Offer Statistics'!$AL$2:$AL$400),0)),"/")</f>
        <v>808</v>
      </c>
      <c r="AN11" s="64" cm="1">
        <f t="array" ref="AN11">IFERROR(INDEX('Offer Statistics'!AP$2:AP$400,MATCH(1,($A11='Offer Statistics'!$AK$2:$AK$400)*($AB$2='Offer Statistics'!$AL$2:$AL$400),0)),"/")</f>
        <v>831</v>
      </c>
      <c r="AO11" s="64" cm="1">
        <f t="array" ref="AO11">IFERROR(INDEX('Offer Statistics'!AQ$2:AQ$400,MATCH(1,($A11='Offer Statistics'!$AK$2:$AK$400)*($AB$2='Offer Statistics'!$AL$2:$AL$400),0)),"/")</f>
        <v>613</v>
      </c>
      <c r="AP11" s="15"/>
      <c r="AQ11" s="15" t="str">
        <f t="shared" si="3"/>
        <v>JS3120</v>
      </c>
    </row>
    <row r="12" spans="1:43" ht="18" customHeight="1">
      <c r="A12" s="4" t="str">
        <f>'Reference Score Calculation'!A103</f>
        <v>JS3130</v>
      </c>
      <c r="B12" s="4" t="str">
        <f>'Reference Score Calculation'!C103</f>
        <v>建築及環境學院</v>
      </c>
      <c r="C12" s="4" t="str">
        <f>'Reference Score Calculation'!D103</f>
        <v>空間數據科學及智慧城市(榮譽)理學士組合課程 (土地測量及地理資訊學)</v>
      </c>
      <c r="D12" s="4" t="str">
        <f>'Reference Score Calculation'!R103</f>
        <v>LAND SURV &amp; GEO-INFO</v>
      </c>
      <c r="E12" s="392" t="str">
        <f>'Reference Score Calculation'!AB103</f>
        <v>Best 5</v>
      </c>
      <c r="F12" s="421" t="str">
        <f>'Reference Score Calculation'!E103</f>
        <v>Best 5</v>
      </c>
      <c r="G12" s="260">
        <f>'Reference Score Calculation'!H103</f>
        <v>201.5</v>
      </c>
      <c r="H12" s="260">
        <f>'Reference Score Calculation'!I103</f>
        <v>193</v>
      </c>
      <c r="I12" s="261">
        <f>計分版!J126</f>
        <v>1.7550000000000002E-8</v>
      </c>
      <c r="J12" s="25">
        <f t="shared" si="0"/>
        <v>-201.49999998244999</v>
      </c>
      <c r="K12" s="155">
        <f t="shared" si="1"/>
        <v>-11481481480.48148</v>
      </c>
      <c r="L12" s="36">
        <f>'Reference Score Calculation'!T103</f>
        <v>40</v>
      </c>
      <c r="M12" s="263">
        <f>入學要求!Z112</f>
        <v>0</v>
      </c>
      <c r="N12" s="516"/>
      <c r="O12" s="269">
        <f>入學要求!L112</f>
        <v>3</v>
      </c>
      <c r="P12" s="269">
        <f>入學要求!M112</f>
        <v>3</v>
      </c>
      <c r="Q12" s="269">
        <f>入學要求!N112</f>
        <v>2</v>
      </c>
      <c r="R12" s="269">
        <f>入學要求!O112</f>
        <v>1</v>
      </c>
      <c r="S12" s="269">
        <f>入學要求!P112</f>
        <v>3</v>
      </c>
      <c r="T12" s="269">
        <f>入學要求!Q112</f>
        <v>3</v>
      </c>
      <c r="U12" s="256">
        <f>入學要求!S112</f>
        <v>0</v>
      </c>
      <c r="V12" s="256">
        <f>入學要求!T112</f>
        <v>0</v>
      </c>
      <c r="W12" s="256">
        <f>入學要求!U112</f>
        <v>0</v>
      </c>
      <c r="X12" s="256">
        <f>入學要求!V112</f>
        <v>0</v>
      </c>
      <c r="Y12" s="256">
        <f>入學要求!W112</f>
        <v>0</v>
      </c>
      <c r="Z12" s="256">
        <f>入學要求!X112</f>
        <v>0</v>
      </c>
      <c r="AA12" s="421">
        <f t="shared" si="2"/>
        <v>8.07</v>
      </c>
      <c r="AB12" s="510"/>
      <c r="AC12" s="36" cm="1">
        <f t="array" ref="AC12">IFERROR(INDEX('Offer Statistics'!$AZ$2:$AZ$400,MATCH(1,($A12='Offer Statistics'!$AK$2:$AK$400)*($AB$2='Offer Statistics'!$AL$2:$AL$400),0)),"/")</f>
        <v>31</v>
      </c>
      <c r="AD12" s="64" cm="1">
        <f t="array" ref="AD12">IFERROR(INDEX('Offer Statistics'!AU$2:AU$400,MATCH(1,($A12='Offer Statistics'!$AK$2:$AK$400)*($AB$2='Offer Statistics'!$AL$2:$AL$400),0)),"/")</f>
        <v>27</v>
      </c>
      <c r="AE12" s="64" cm="1">
        <f t="array" ref="AE12">IFERROR(INDEX('Offer Statistics'!AV$2:AV$400,MATCH(1,($A12='Offer Statistics'!$AK$2:$AK$400)*($AB$2='Offer Statistics'!$AL$2:$AL$400),0)),"/")</f>
        <v>4</v>
      </c>
      <c r="AF12" s="64" cm="1">
        <f t="array" ref="AF12">IFERROR(INDEX('Offer Statistics'!AW$2:AW$400,MATCH(1,($A12='Offer Statistics'!$AK$2:$AK$400)*($AB$2='Offer Statistics'!$AL$2:$AL$400),0)),"/")</f>
        <v>0</v>
      </c>
      <c r="AG12" s="64" cm="1">
        <f t="array" ref="AG12">IFERROR(INDEX('Offer Statistics'!AX$2:AX$400,MATCH(1,($A12='Offer Statistics'!$AK$2:$AK$400)*($AB$2='Offer Statistics'!$AL$2:$AL$400),0)),"/")</f>
        <v>0</v>
      </c>
      <c r="AH12" s="64" cm="1">
        <f t="array" ref="AH12">IFERROR(INDEX('Offer Statistics'!AY$2:AY$400,MATCH(1,($A12='Offer Statistics'!$AK$2:$AK$400)*($AB$2='Offer Statistics'!$AL$2:$AL$400),0)),"/")</f>
        <v>0</v>
      </c>
      <c r="AI12" s="511"/>
      <c r="AJ12" s="36" cm="1">
        <f t="array" ref="AJ12">IFERROR(INDEX('Offer Statistics'!$AR$2:$AR$400,MATCH(1,($A12='Offer Statistics'!$AK$2:$AK$400)*($AB$2='Offer Statistics'!$AL$2:$AL$400),0)),"/")</f>
        <v>1641</v>
      </c>
      <c r="AK12" s="64" cm="1">
        <f t="array" ref="AK12">IFERROR(INDEX('Offer Statistics'!AM$2:AM$400,MATCH(1,($A12='Offer Statistics'!$AK$2:$AK$400)*($AB$2='Offer Statistics'!$AL$2:$AL$400),0)),"/")</f>
        <v>218</v>
      </c>
      <c r="AL12" s="64" cm="1">
        <f t="array" ref="AL12">IFERROR(INDEX('Offer Statistics'!AN$2:AN$400,MATCH(1,($A12='Offer Statistics'!$AK$2:$AK$400)*($AB$2='Offer Statistics'!$AL$2:$AL$400),0)),"/")</f>
        <v>233</v>
      </c>
      <c r="AM12" s="64" cm="1">
        <f t="array" ref="AM12">IFERROR(INDEX('Offer Statistics'!AO$2:AO$400,MATCH(1,($A12='Offer Statistics'!$AK$2:$AK$400)*($AB$2='Offer Statistics'!$AL$2:$AL$400),0)),"/")</f>
        <v>384</v>
      </c>
      <c r="AN12" s="64" cm="1">
        <f t="array" ref="AN12">IFERROR(INDEX('Offer Statistics'!AP$2:AP$400,MATCH(1,($A12='Offer Statistics'!$AK$2:$AK$400)*($AB$2='Offer Statistics'!$AL$2:$AL$400),0)),"/")</f>
        <v>445</v>
      </c>
      <c r="AO12" s="64" cm="1">
        <f t="array" ref="AO12">IFERROR(INDEX('Offer Statistics'!AQ$2:AQ$400,MATCH(1,($A12='Offer Statistics'!$AK$2:$AK$400)*($AB$2='Offer Statistics'!$AL$2:$AL$400),0)),"/")</f>
        <v>361</v>
      </c>
      <c r="AP12" s="15"/>
      <c r="AQ12" s="15" t="str">
        <f t="shared" si="3"/>
        <v>JS3130</v>
      </c>
    </row>
    <row r="13" spans="1:43" s="156" customFormat="1" ht="18" customHeight="1">
      <c r="A13" s="4" t="str">
        <f>'Reference Score Calculation'!A104</f>
        <v>JS3140</v>
      </c>
      <c r="B13" s="4" t="str">
        <f>'Reference Score Calculation'!C104</f>
        <v>工程學院</v>
      </c>
      <c r="C13" s="4" t="str">
        <f>'Reference Score Calculation'!D104</f>
        <v>航空工程學(榮譽)工學士組合課程 (航空工程學 / 民航工程學)</v>
      </c>
      <c r="D13" s="4" t="str">
        <f>'Reference Score Calculation'!R104</f>
        <v>AVIATION ENGG</v>
      </c>
      <c r="E13" s="392" t="str">
        <f>'Reference Score Calculation'!AB104</f>
        <v>Best 5</v>
      </c>
      <c r="F13" s="421" t="str">
        <f>'Reference Score Calculation'!E104</f>
        <v>Best 5</v>
      </c>
      <c r="G13" s="260">
        <f>'Reference Score Calculation'!H104</f>
        <v>184</v>
      </c>
      <c r="H13" s="260">
        <f>'Reference Score Calculation'!I104</f>
        <v>176.5</v>
      </c>
      <c r="I13" s="261">
        <f>計分版!J127</f>
        <v>1.7550000000000002E-8</v>
      </c>
      <c r="J13" s="25">
        <f t="shared" si="0"/>
        <v>-183.99999998244999</v>
      </c>
      <c r="K13" s="155">
        <f t="shared" si="1"/>
        <v>-10484330483.330482</v>
      </c>
      <c r="L13" s="36">
        <f>'Reference Score Calculation'!T104</f>
        <v>56</v>
      </c>
      <c r="M13" s="263">
        <f>入學要求!Z113</f>
        <v>0</v>
      </c>
      <c r="N13" s="516"/>
      <c r="O13" s="269">
        <f>入學要求!L113</f>
        <v>3</v>
      </c>
      <c r="P13" s="269">
        <f>入學要求!M113</f>
        <v>3</v>
      </c>
      <c r="Q13" s="269">
        <f>入學要求!N113</f>
        <v>2</v>
      </c>
      <c r="R13" s="269">
        <f>入學要求!O113</f>
        <v>1</v>
      </c>
      <c r="S13" s="269">
        <f>入學要求!P113</f>
        <v>3</v>
      </c>
      <c r="T13" s="269">
        <f>入學要求!Q113</f>
        <v>3</v>
      </c>
      <c r="U13" s="256">
        <f>入學要求!S113</f>
        <v>0</v>
      </c>
      <c r="V13" s="256">
        <f>入學要求!T113</f>
        <v>0</v>
      </c>
      <c r="W13" s="256">
        <f>入學要求!U113</f>
        <v>0</v>
      </c>
      <c r="X13" s="256">
        <f>入學要求!V113</f>
        <v>0</v>
      </c>
      <c r="Y13" s="256">
        <f>入學要求!W113</f>
        <v>0</v>
      </c>
      <c r="Z13" s="256">
        <f>入學要求!X113</f>
        <v>0</v>
      </c>
      <c r="AA13" s="421">
        <f t="shared" si="2"/>
        <v>19.89</v>
      </c>
      <c r="AB13" s="510"/>
      <c r="AC13" s="36" cm="1">
        <f t="array" ref="AC13">IFERROR(INDEX('Offer Statistics'!$AZ$2:$AZ$400,MATCH(1,($A13='Offer Statistics'!$AK$2:$AK$400)*($AB$2='Offer Statistics'!$AL$2:$AL$400),0)),"/")</f>
        <v>41</v>
      </c>
      <c r="AD13" s="64" cm="1">
        <f t="array" ref="AD13">IFERROR(INDEX('Offer Statistics'!AU$2:AU$400,MATCH(1,($A13='Offer Statistics'!$AK$2:$AK$400)*($AB$2='Offer Statistics'!$AL$2:$AL$400),0)),"/")</f>
        <v>37</v>
      </c>
      <c r="AE13" s="64" cm="1">
        <f t="array" ref="AE13">IFERROR(INDEX('Offer Statistics'!AV$2:AV$400,MATCH(1,($A13='Offer Statistics'!$AK$2:$AK$400)*($AB$2='Offer Statistics'!$AL$2:$AL$400),0)),"/")</f>
        <v>0</v>
      </c>
      <c r="AF13" s="64" cm="1">
        <f t="array" ref="AF13">IFERROR(INDEX('Offer Statistics'!AW$2:AW$400,MATCH(1,($A13='Offer Statistics'!$AK$2:$AK$400)*($AB$2='Offer Statistics'!$AL$2:$AL$400),0)),"/")</f>
        <v>2</v>
      </c>
      <c r="AG13" s="64" cm="1">
        <f t="array" ref="AG13">IFERROR(INDEX('Offer Statistics'!AX$2:AX$400,MATCH(1,($A13='Offer Statistics'!$AK$2:$AK$400)*($AB$2='Offer Statistics'!$AL$2:$AL$400),0)),"/")</f>
        <v>0</v>
      </c>
      <c r="AH13" s="64" cm="1">
        <f t="array" ref="AH13">IFERROR(INDEX('Offer Statistics'!AY$2:AY$400,MATCH(1,($A13='Offer Statistics'!$AK$2:$AK$400)*($AB$2='Offer Statistics'!$AL$2:$AL$400),0)),"/")</f>
        <v>2</v>
      </c>
      <c r="AI13" s="511"/>
      <c r="AJ13" s="36" cm="1">
        <f t="array" ref="AJ13">IFERROR(INDEX('Offer Statistics'!$AR$2:$AR$400,MATCH(1,($A13='Offer Statistics'!$AK$2:$AK$400)*($AB$2='Offer Statistics'!$AL$2:$AL$400),0)),"/")</f>
        <v>3580</v>
      </c>
      <c r="AK13" s="64" cm="1">
        <f t="array" ref="AK13">IFERROR(INDEX('Offer Statistics'!AM$2:AM$400,MATCH(1,($A13='Offer Statistics'!$AK$2:$AK$400)*($AB$2='Offer Statistics'!$AL$2:$AL$400),0)),"/")</f>
        <v>736</v>
      </c>
      <c r="AL13" s="64" cm="1">
        <f t="array" ref="AL13">IFERROR(INDEX('Offer Statistics'!AN$2:AN$400,MATCH(1,($A13='Offer Statistics'!$AK$2:$AK$400)*($AB$2='Offer Statistics'!$AL$2:$AL$400),0)),"/")</f>
        <v>665</v>
      </c>
      <c r="AM13" s="64" cm="1">
        <f t="array" ref="AM13">IFERROR(INDEX('Offer Statistics'!AO$2:AO$400,MATCH(1,($A13='Offer Statistics'!$AK$2:$AK$400)*($AB$2='Offer Statistics'!$AL$2:$AL$400),0)),"/")</f>
        <v>812</v>
      </c>
      <c r="AN13" s="64" cm="1">
        <f t="array" ref="AN13">IFERROR(INDEX('Offer Statistics'!AP$2:AP$400,MATCH(1,($A13='Offer Statistics'!$AK$2:$AK$400)*($AB$2='Offer Statistics'!$AL$2:$AL$400),0)),"/")</f>
        <v>790</v>
      </c>
      <c r="AO13" s="64" cm="1">
        <f t="array" ref="AO13">IFERROR(INDEX('Offer Statistics'!AQ$2:AQ$400,MATCH(1,($A13='Offer Statistics'!$AK$2:$AK$400)*($AB$2='Offer Statistics'!$AL$2:$AL$400),0)),"/")</f>
        <v>577</v>
      </c>
      <c r="AP13" s="15"/>
      <c r="AQ13" s="15" t="str">
        <f t="shared" si="3"/>
        <v>JS3140</v>
      </c>
    </row>
    <row r="14" spans="1:43" ht="18" customHeight="1">
      <c r="A14" s="4" t="str">
        <f>'Reference Score Calculation'!A105</f>
        <v>JS3150</v>
      </c>
      <c r="B14" s="4" t="str">
        <f>'Reference Score Calculation'!C105</f>
        <v>工程學院</v>
      </c>
      <c r="C14" s="4" t="str">
        <f>'Reference Score Calculation'!D105</f>
        <v>生物醫學工程(榮譽)理學士組合課程</v>
      </c>
      <c r="D14" s="4" t="str">
        <f>'Reference Score Calculation'!R105</f>
        <v>BIOMEDICAL ENGG</v>
      </c>
      <c r="E14" s="392" t="str">
        <f>'Reference Score Calculation'!AB105</f>
        <v>Best 5</v>
      </c>
      <c r="F14" s="421" t="str">
        <f>'Reference Score Calculation'!E105</f>
        <v>Best 5</v>
      </c>
      <c r="G14" s="260">
        <f>'Reference Score Calculation'!H105</f>
        <v>227</v>
      </c>
      <c r="H14" s="260">
        <f>'Reference Score Calculation'!I105</f>
        <v>218</v>
      </c>
      <c r="I14" s="261">
        <f>計分版!J128</f>
        <v>1.695E-8</v>
      </c>
      <c r="J14" s="25">
        <f t="shared" si="0"/>
        <v>-226.99999998305</v>
      </c>
      <c r="K14" s="155">
        <f t="shared" si="1"/>
        <v>-13392330382.480827</v>
      </c>
      <c r="L14" s="36">
        <f>'Reference Score Calculation'!T105</f>
        <v>24</v>
      </c>
      <c r="M14" s="263">
        <f>入學要求!Z114</f>
        <v>0</v>
      </c>
      <c r="N14" s="516"/>
      <c r="O14" s="269">
        <f>入學要求!L114</f>
        <v>3</v>
      </c>
      <c r="P14" s="269">
        <f>入學要求!M114</f>
        <v>3</v>
      </c>
      <c r="Q14" s="269">
        <f>入學要求!N114</f>
        <v>2</v>
      </c>
      <c r="R14" s="269">
        <f>入學要求!O114</f>
        <v>1</v>
      </c>
      <c r="S14" s="269">
        <f>入學要求!P114</f>
        <v>3</v>
      </c>
      <c r="T14" s="269">
        <f>入學要求!Q114</f>
        <v>3</v>
      </c>
      <c r="U14" s="256">
        <f>入學要求!S114</f>
        <v>0</v>
      </c>
      <c r="V14" s="256">
        <f>入學要求!T114</f>
        <v>0</v>
      </c>
      <c r="W14" s="256">
        <f>入學要求!U114</f>
        <v>0</v>
      </c>
      <c r="X14" s="256">
        <f>入學要求!V114</f>
        <v>0</v>
      </c>
      <c r="Y14" s="256">
        <f>入學要求!W114</f>
        <v>0</v>
      </c>
      <c r="Z14" s="256">
        <f>入學要求!X114</f>
        <v>0</v>
      </c>
      <c r="AA14" s="421">
        <f t="shared" si="2"/>
        <v>6.65</v>
      </c>
      <c r="AB14" s="510"/>
      <c r="AC14" s="36" cm="1">
        <f t="array" ref="AC14">IFERROR(INDEX('Offer Statistics'!$AZ$2:$AZ$400,MATCH(1,($A14='Offer Statistics'!$AK$2:$AK$400)*($AB$2='Offer Statistics'!$AL$2:$AL$400),0)),"/")</f>
        <v>32</v>
      </c>
      <c r="AD14" s="64" cm="1">
        <f t="array" ref="AD14">IFERROR(INDEX('Offer Statistics'!AU$2:AU$400,MATCH(1,($A14='Offer Statistics'!$AK$2:$AK$400)*($AB$2='Offer Statistics'!$AL$2:$AL$400),0)),"/")</f>
        <v>31</v>
      </c>
      <c r="AE14" s="64" cm="1">
        <f t="array" ref="AE14">IFERROR(INDEX('Offer Statistics'!AV$2:AV$400,MATCH(1,($A14='Offer Statistics'!$AK$2:$AK$400)*($AB$2='Offer Statistics'!$AL$2:$AL$400),0)),"/")</f>
        <v>1</v>
      </c>
      <c r="AF14" s="64" cm="1">
        <f t="array" ref="AF14">IFERROR(INDEX('Offer Statistics'!AW$2:AW$400,MATCH(1,($A14='Offer Statistics'!$AK$2:$AK$400)*($AB$2='Offer Statistics'!$AL$2:$AL$400),0)),"/")</f>
        <v>0</v>
      </c>
      <c r="AG14" s="64" cm="1">
        <f t="array" ref="AG14">IFERROR(INDEX('Offer Statistics'!AX$2:AX$400,MATCH(1,($A14='Offer Statistics'!$AK$2:$AK$400)*($AB$2='Offer Statistics'!$AL$2:$AL$400),0)),"/")</f>
        <v>0</v>
      </c>
      <c r="AH14" s="64" cm="1">
        <f t="array" ref="AH14">IFERROR(INDEX('Offer Statistics'!AY$2:AY$400,MATCH(1,($A14='Offer Statistics'!$AK$2:$AK$400)*($AB$2='Offer Statistics'!$AL$2:$AL$400),0)),"/")</f>
        <v>0</v>
      </c>
      <c r="AI14" s="511"/>
      <c r="AJ14" s="36" cm="1">
        <f t="array" ref="AJ14">IFERROR(INDEX('Offer Statistics'!$AR$2:$AR$400,MATCH(1,($A14='Offer Statistics'!$AK$2:$AK$400)*($AB$2='Offer Statistics'!$AL$2:$AL$400),0)),"/")</f>
        <v>2638</v>
      </c>
      <c r="AK14" s="64" cm="1">
        <f t="array" ref="AK14">IFERROR(INDEX('Offer Statistics'!AM$2:AM$400,MATCH(1,($A14='Offer Statistics'!$AK$2:$AK$400)*($AB$2='Offer Statistics'!$AL$2:$AL$400),0)),"/")</f>
        <v>206</v>
      </c>
      <c r="AL14" s="64" cm="1">
        <f t="array" ref="AL14">IFERROR(INDEX('Offer Statistics'!AN$2:AN$400,MATCH(1,($A14='Offer Statistics'!$AK$2:$AK$400)*($AB$2='Offer Statistics'!$AL$2:$AL$400),0)),"/")</f>
        <v>329</v>
      </c>
      <c r="AM14" s="64" cm="1">
        <f t="array" ref="AM14">IFERROR(INDEX('Offer Statistics'!AO$2:AO$400,MATCH(1,($A14='Offer Statistics'!$AK$2:$AK$400)*($AB$2='Offer Statistics'!$AL$2:$AL$400),0)),"/")</f>
        <v>620</v>
      </c>
      <c r="AN14" s="64" cm="1">
        <f t="array" ref="AN14">IFERROR(INDEX('Offer Statistics'!AP$2:AP$400,MATCH(1,($A14='Offer Statistics'!$AK$2:$AK$400)*($AB$2='Offer Statistics'!$AL$2:$AL$400),0)),"/")</f>
        <v>869</v>
      </c>
      <c r="AO14" s="64" cm="1">
        <f t="array" ref="AO14">IFERROR(INDEX('Offer Statistics'!AQ$2:AQ$400,MATCH(1,($A14='Offer Statistics'!$AK$2:$AK$400)*($AB$2='Offer Statistics'!$AL$2:$AL$400),0)),"/")</f>
        <v>614</v>
      </c>
      <c r="AP14" s="15"/>
      <c r="AQ14" s="15" t="str">
        <f t="shared" si="3"/>
        <v>JS3150</v>
      </c>
    </row>
    <row r="15" spans="1:43" ht="18" customHeight="1">
      <c r="A15" s="4" t="str">
        <f>'Reference Score Calculation'!A106</f>
        <v>JS3170</v>
      </c>
      <c r="B15" s="4" t="str">
        <f>'Reference Score Calculation'!C106</f>
        <v>工程學院</v>
      </c>
      <c r="C15" s="4" t="str">
        <f>'Reference Score Calculation'!D106</f>
        <v>電機工程學(榮譽)工學士組合課程 (電機工程學 / 運輸系統工程學)</v>
      </c>
      <c r="D15" s="4" t="str">
        <f>'Reference Score Calculation'!R106</f>
        <v>ELECTRICAL ENGG</v>
      </c>
      <c r="E15" s="392" t="str">
        <f>'Reference Score Calculation'!AB106</f>
        <v>Best 5</v>
      </c>
      <c r="F15" s="421" t="str">
        <f>'Reference Score Calculation'!E106</f>
        <v>Best 5</v>
      </c>
      <c r="G15" s="260">
        <f>'Reference Score Calculation'!H106</f>
        <v>180</v>
      </c>
      <c r="H15" s="260">
        <f>'Reference Score Calculation'!I106</f>
        <v>176</v>
      </c>
      <c r="I15" s="261">
        <f>計分版!J129</f>
        <v>1.7550000000000002E-8</v>
      </c>
      <c r="J15" s="25">
        <f t="shared" si="0"/>
        <v>-179.99999998244999</v>
      </c>
      <c r="K15" s="155">
        <f t="shared" si="1"/>
        <v>-10256410255.410255</v>
      </c>
      <c r="L15" s="36">
        <f>'Reference Score Calculation'!T106</f>
        <v>60</v>
      </c>
      <c r="M15" s="263">
        <f>入學要求!Z115</f>
        <v>0</v>
      </c>
      <c r="N15" s="516"/>
      <c r="O15" s="269">
        <f>入學要求!L115</f>
        <v>3</v>
      </c>
      <c r="P15" s="269">
        <f>入學要求!M115</f>
        <v>3</v>
      </c>
      <c r="Q15" s="269">
        <f>入學要求!N115</f>
        <v>2</v>
      </c>
      <c r="R15" s="269">
        <f>入學要求!O115</f>
        <v>1</v>
      </c>
      <c r="S15" s="269">
        <f>入學要求!P115</f>
        <v>3</v>
      </c>
      <c r="T15" s="269">
        <f>入學要求!Q115</f>
        <v>3</v>
      </c>
      <c r="U15" s="256">
        <f>入學要求!S115</f>
        <v>0</v>
      </c>
      <c r="V15" s="256">
        <f>入學要求!T115</f>
        <v>0</v>
      </c>
      <c r="W15" s="256">
        <f>入學要求!U115</f>
        <v>0</v>
      </c>
      <c r="X15" s="256">
        <f>入學要求!V115</f>
        <v>0</v>
      </c>
      <c r="Y15" s="256">
        <f>入學要求!W115</f>
        <v>0</v>
      </c>
      <c r="Z15" s="256">
        <f>入學要求!X115</f>
        <v>0</v>
      </c>
      <c r="AA15" s="421">
        <f t="shared" si="2"/>
        <v>10.84</v>
      </c>
      <c r="AB15" s="510"/>
      <c r="AC15" s="36" cm="1">
        <f t="array" ref="AC15">IFERROR(INDEX('Offer Statistics'!$AZ$2:$AZ$400,MATCH(1,($A15='Offer Statistics'!$AK$2:$AK$400)*($AB$2='Offer Statistics'!$AL$2:$AL$400),0)),"/")</f>
        <v>56</v>
      </c>
      <c r="AD15" s="64" cm="1">
        <f t="array" ref="AD15">IFERROR(INDEX('Offer Statistics'!AU$2:AU$400,MATCH(1,($A15='Offer Statistics'!$AK$2:$AK$400)*($AB$2='Offer Statistics'!$AL$2:$AL$400),0)),"/")</f>
        <v>50</v>
      </c>
      <c r="AE15" s="64" cm="1">
        <f t="array" ref="AE15">IFERROR(INDEX('Offer Statistics'!AV$2:AV$400,MATCH(1,($A15='Offer Statistics'!$AK$2:$AK$400)*($AB$2='Offer Statistics'!$AL$2:$AL$400),0)),"/")</f>
        <v>1</v>
      </c>
      <c r="AF15" s="64" cm="1">
        <f t="array" ref="AF15">IFERROR(INDEX('Offer Statistics'!AW$2:AW$400,MATCH(1,($A15='Offer Statistics'!$AK$2:$AK$400)*($AB$2='Offer Statistics'!$AL$2:$AL$400),0)),"/")</f>
        <v>3</v>
      </c>
      <c r="AG15" s="64" cm="1">
        <f t="array" ref="AG15">IFERROR(INDEX('Offer Statistics'!AX$2:AX$400,MATCH(1,($A15='Offer Statistics'!$AK$2:$AK$400)*($AB$2='Offer Statistics'!$AL$2:$AL$400),0)),"/")</f>
        <v>1</v>
      </c>
      <c r="AH15" s="64" cm="1">
        <f t="array" ref="AH15">IFERROR(INDEX('Offer Statistics'!AY$2:AY$400,MATCH(1,($A15='Offer Statistics'!$AK$2:$AK$400)*($AB$2='Offer Statistics'!$AL$2:$AL$400),0)),"/")</f>
        <v>1</v>
      </c>
      <c r="AI15" s="511"/>
      <c r="AJ15" s="36" cm="1">
        <f t="array" ref="AJ15">IFERROR(INDEX('Offer Statistics'!$AR$2:$AR$400,MATCH(1,($A15='Offer Statistics'!$AK$2:$AK$400)*($AB$2='Offer Statistics'!$AL$2:$AL$400),0)),"/")</f>
        <v>3320</v>
      </c>
      <c r="AK15" s="64" cm="1">
        <f t="array" ref="AK15">IFERROR(INDEX('Offer Statistics'!AM$2:AM$400,MATCH(1,($A15='Offer Statistics'!$AK$2:$AK$400)*($AB$2='Offer Statistics'!$AL$2:$AL$400),0)),"/")</f>
        <v>542</v>
      </c>
      <c r="AL15" s="64" cm="1">
        <f t="array" ref="AL15">IFERROR(INDEX('Offer Statistics'!AN$2:AN$400,MATCH(1,($A15='Offer Statistics'!$AK$2:$AK$400)*($AB$2='Offer Statistics'!$AL$2:$AL$400),0)),"/")</f>
        <v>658</v>
      </c>
      <c r="AM15" s="64" cm="1">
        <f t="array" ref="AM15">IFERROR(INDEX('Offer Statistics'!AO$2:AO$400,MATCH(1,($A15='Offer Statistics'!$AK$2:$AK$400)*($AB$2='Offer Statistics'!$AL$2:$AL$400),0)),"/")</f>
        <v>834</v>
      </c>
      <c r="AN15" s="64" cm="1">
        <f t="array" ref="AN15">IFERROR(INDEX('Offer Statistics'!AP$2:AP$400,MATCH(1,($A15='Offer Statistics'!$AK$2:$AK$400)*($AB$2='Offer Statistics'!$AL$2:$AL$400),0)),"/")</f>
        <v>762</v>
      </c>
      <c r="AO15" s="64" cm="1">
        <f t="array" ref="AO15">IFERROR(INDEX('Offer Statistics'!AQ$2:AQ$400,MATCH(1,($A15='Offer Statistics'!$AK$2:$AK$400)*($AB$2='Offer Statistics'!$AL$2:$AL$400),0)),"/")</f>
        <v>524</v>
      </c>
      <c r="AP15" s="15"/>
      <c r="AQ15" s="15" t="str">
        <f t="shared" si="3"/>
        <v>JS3170</v>
      </c>
    </row>
    <row r="16" spans="1:43" s="156" customFormat="1" ht="18" customHeight="1">
      <c r="A16" s="4" t="str">
        <f>'Reference Score Calculation'!A107</f>
        <v>JS3180</v>
      </c>
      <c r="B16" s="4" t="str">
        <f>'Reference Score Calculation'!C107</f>
        <v>工程學院</v>
      </c>
      <c r="C16" s="4" t="str">
        <f>'Reference Score Calculation'!D107</f>
        <v>資訊及人工智能工程學(榮譽)工學士 / 理學士組合課程 (物聯網 / 人工智能 / 資訊安全)</v>
      </c>
      <c r="D16" s="4" t="str">
        <f>'Reference Score Calculation'!R107</f>
        <v>INFO &amp; AI ENGG</v>
      </c>
      <c r="E16" s="392" t="str">
        <f>'Reference Score Calculation'!AB107</f>
        <v>Best 5</v>
      </c>
      <c r="F16" s="421" t="str">
        <f>'Reference Score Calculation'!E107</f>
        <v>Best 5</v>
      </c>
      <c r="G16" s="260">
        <f>'Reference Score Calculation'!H107</f>
        <v>191</v>
      </c>
      <c r="H16" s="260">
        <f>'Reference Score Calculation'!I107</f>
        <v>186</v>
      </c>
      <c r="I16" s="261">
        <f>計分版!J130</f>
        <v>1.7550000000000002E-8</v>
      </c>
      <c r="J16" s="25">
        <f t="shared" si="0"/>
        <v>-190.99999998244999</v>
      </c>
      <c r="K16" s="155">
        <f t="shared" si="1"/>
        <v>-10883190882.190882</v>
      </c>
      <c r="L16" s="36">
        <f>'Reference Score Calculation'!T107</f>
        <v>67</v>
      </c>
      <c r="M16" s="263">
        <f>入學要求!Z116</f>
        <v>0</v>
      </c>
      <c r="N16" s="516"/>
      <c r="O16" s="269">
        <f>入學要求!L116</f>
        <v>3</v>
      </c>
      <c r="P16" s="269">
        <f>入學要求!M116</f>
        <v>3</v>
      </c>
      <c r="Q16" s="269">
        <f>入學要求!N116</f>
        <v>2</v>
      </c>
      <c r="R16" s="269">
        <f>入學要求!O116</f>
        <v>1</v>
      </c>
      <c r="S16" s="269">
        <f>入學要求!P116</f>
        <v>3</v>
      </c>
      <c r="T16" s="269">
        <f>入學要求!Q116</f>
        <v>3</v>
      </c>
      <c r="U16" s="256">
        <f>入學要求!S116</f>
        <v>0</v>
      </c>
      <c r="V16" s="256">
        <f>入學要求!T116</f>
        <v>0</v>
      </c>
      <c r="W16" s="256">
        <f>入學要求!U116</f>
        <v>0</v>
      </c>
      <c r="X16" s="256">
        <f>入學要求!V116</f>
        <v>0</v>
      </c>
      <c r="Y16" s="256">
        <f>入學要求!W116</f>
        <v>0</v>
      </c>
      <c r="Z16" s="256">
        <f>入學要求!X116</f>
        <v>0</v>
      </c>
      <c r="AA16" s="421">
        <f t="shared" si="2"/>
        <v>15.73</v>
      </c>
      <c r="AB16" s="510"/>
      <c r="AC16" s="36" cm="1">
        <f t="array" ref="AC16">IFERROR(INDEX('Offer Statistics'!$AZ$2:$AZ$400,MATCH(1,($A16='Offer Statistics'!$AK$2:$AK$400)*($AB$2='Offer Statistics'!$AL$2:$AL$400),0)),"/")</f>
        <v>57</v>
      </c>
      <c r="AD16" s="64" cm="1">
        <f t="array" ref="AD16">IFERROR(INDEX('Offer Statistics'!AU$2:AU$400,MATCH(1,($A16='Offer Statistics'!$AK$2:$AK$400)*($AB$2='Offer Statistics'!$AL$2:$AL$400),0)),"/")</f>
        <v>52</v>
      </c>
      <c r="AE16" s="64" cm="1">
        <f t="array" ref="AE16">IFERROR(INDEX('Offer Statistics'!AV$2:AV$400,MATCH(1,($A16='Offer Statistics'!$AK$2:$AK$400)*($AB$2='Offer Statistics'!$AL$2:$AL$400),0)),"/")</f>
        <v>4</v>
      </c>
      <c r="AF16" s="64" cm="1">
        <f t="array" ref="AF16">IFERROR(INDEX('Offer Statistics'!AW$2:AW$400,MATCH(1,($A16='Offer Statistics'!$AK$2:$AK$400)*($AB$2='Offer Statistics'!$AL$2:$AL$400),0)),"/")</f>
        <v>0</v>
      </c>
      <c r="AG16" s="64" cm="1">
        <f t="array" ref="AG16">IFERROR(INDEX('Offer Statistics'!AX$2:AX$400,MATCH(1,($A16='Offer Statistics'!$AK$2:$AK$400)*($AB$2='Offer Statistics'!$AL$2:$AL$400),0)),"/")</f>
        <v>1</v>
      </c>
      <c r="AH16" s="64" cm="1">
        <f t="array" ref="AH16">IFERROR(INDEX('Offer Statistics'!AY$2:AY$400,MATCH(1,($A16='Offer Statistics'!$AK$2:$AK$400)*($AB$2='Offer Statistics'!$AL$2:$AL$400),0)),"/")</f>
        <v>0</v>
      </c>
      <c r="AI16" s="511"/>
      <c r="AJ16" s="36" cm="1">
        <f t="array" ref="AJ16">IFERROR(INDEX('Offer Statistics'!$AR$2:$AR$400,MATCH(1,($A16='Offer Statistics'!$AK$2:$AK$400)*($AB$2='Offer Statistics'!$AL$2:$AL$400),0)),"/")</f>
        <v>4076</v>
      </c>
      <c r="AK16" s="64" cm="1">
        <f t="array" ref="AK16">IFERROR(INDEX('Offer Statistics'!AM$2:AM$400,MATCH(1,($A16='Offer Statistics'!$AK$2:$AK$400)*($AB$2='Offer Statistics'!$AL$2:$AL$400),0)),"/")</f>
        <v>818</v>
      </c>
      <c r="AL16" s="64" cm="1">
        <f t="array" ref="AL16">IFERROR(INDEX('Offer Statistics'!AN$2:AN$400,MATCH(1,($A16='Offer Statistics'!$AK$2:$AK$400)*($AB$2='Offer Statistics'!$AL$2:$AL$400),0)),"/")</f>
        <v>807</v>
      </c>
      <c r="AM16" s="64" cm="1">
        <f t="array" ref="AM16">IFERROR(INDEX('Offer Statistics'!AO$2:AO$400,MATCH(1,($A16='Offer Statistics'!$AK$2:$AK$400)*($AB$2='Offer Statistics'!$AL$2:$AL$400),0)),"/")</f>
        <v>959</v>
      </c>
      <c r="AN16" s="64" cm="1">
        <f t="array" ref="AN16">IFERROR(INDEX('Offer Statistics'!AP$2:AP$400,MATCH(1,($A16='Offer Statistics'!$AK$2:$AK$400)*($AB$2='Offer Statistics'!$AL$2:$AL$400),0)),"/")</f>
        <v>921</v>
      </c>
      <c r="AO16" s="64" cm="1">
        <f t="array" ref="AO16">IFERROR(INDEX('Offer Statistics'!AQ$2:AQ$400,MATCH(1,($A16='Offer Statistics'!$AK$2:$AK$400)*($AB$2='Offer Statistics'!$AL$2:$AL$400),0)),"/")</f>
        <v>571</v>
      </c>
      <c r="AP16" s="15"/>
      <c r="AQ16" s="15" t="str">
        <f t="shared" si="3"/>
        <v>JS3180</v>
      </c>
    </row>
    <row r="17" spans="1:43" s="156" customFormat="1" ht="18" customHeight="1">
      <c r="A17" s="4" t="str">
        <f>'Reference Score Calculation'!A108</f>
        <v>JS3240</v>
      </c>
      <c r="B17" s="4" t="str">
        <f>'Reference Score Calculation'!C108</f>
        <v>醫療及社會科學院</v>
      </c>
      <c r="C17" s="4" t="str">
        <f>'Reference Score Calculation'!D108</f>
        <v>英文及應用語言學(榮譽)文學士組合課程</v>
      </c>
      <c r="D17" s="4" t="str">
        <f>'Reference Score Calculation'!R108</f>
        <v>ENGL &amp; APP LINGUISTICS</v>
      </c>
      <c r="E17" s="392" t="str">
        <f>'Reference Score Calculation'!AB108</f>
        <v>中英Best3</v>
      </c>
      <c r="F17" s="421" t="str">
        <f>'Reference Score Calculation'!E108</f>
        <v>中英Best3</v>
      </c>
      <c r="G17" s="260">
        <f>'Reference Score Calculation'!H108</f>
        <v>176.5</v>
      </c>
      <c r="H17" s="260">
        <f>'Reference Score Calculation'!I108</f>
        <v>172</v>
      </c>
      <c r="I17" s="261">
        <f>計分版!J131</f>
        <v>1.5349999999999998E-8</v>
      </c>
      <c r="J17" s="25">
        <f t="shared" si="0"/>
        <v>-176.49999998465</v>
      </c>
      <c r="K17" s="155">
        <f t="shared" si="1"/>
        <v>-11498371334.504887</v>
      </c>
      <c r="L17" s="36">
        <f>'Reference Score Calculation'!T108</f>
        <v>39</v>
      </c>
      <c r="M17" s="263">
        <f>入學要求!Z117</f>
        <v>0</v>
      </c>
      <c r="N17" s="516"/>
      <c r="O17" s="269">
        <f>入學要求!L117</f>
        <v>3</v>
      </c>
      <c r="P17" s="269">
        <f>入學要求!M117</f>
        <v>3</v>
      </c>
      <c r="Q17" s="269">
        <f>入學要求!N117</f>
        <v>2</v>
      </c>
      <c r="R17" s="269">
        <f>入學要求!O117</f>
        <v>1</v>
      </c>
      <c r="S17" s="269">
        <f>入學要求!P117</f>
        <v>3</v>
      </c>
      <c r="T17" s="269">
        <f>入學要求!Q117</f>
        <v>3</v>
      </c>
      <c r="U17" s="256">
        <f>入學要求!S117</f>
        <v>0</v>
      </c>
      <c r="V17" s="256">
        <f>入學要求!T117</f>
        <v>0</v>
      </c>
      <c r="W17" s="256">
        <f>入學要求!U117</f>
        <v>0</v>
      </c>
      <c r="X17" s="256">
        <f>入學要求!V117</f>
        <v>0</v>
      </c>
      <c r="Y17" s="256">
        <f>入學要求!W117</f>
        <v>0</v>
      </c>
      <c r="Z17" s="256">
        <f>入學要求!X117</f>
        <v>0</v>
      </c>
      <c r="AA17" s="421">
        <f t="shared" si="2"/>
        <v>10</v>
      </c>
      <c r="AB17" s="510"/>
      <c r="AC17" s="36" cm="1">
        <f t="array" ref="AC17">IFERROR(INDEX('Offer Statistics'!$AZ$2:$AZ$400,MATCH(1,($A17='Offer Statistics'!$AK$2:$AK$400)*($AB$2='Offer Statistics'!$AL$2:$AL$400),0)),"/")</f>
        <v>30</v>
      </c>
      <c r="AD17" s="64" cm="1">
        <f t="array" ref="AD17">IFERROR(INDEX('Offer Statistics'!AU$2:AU$400,MATCH(1,($A17='Offer Statistics'!$AK$2:$AK$400)*($AB$2='Offer Statistics'!$AL$2:$AL$400),0)),"/")</f>
        <v>26</v>
      </c>
      <c r="AE17" s="64" cm="1">
        <f t="array" ref="AE17">IFERROR(INDEX('Offer Statistics'!AV$2:AV$400,MATCH(1,($A17='Offer Statistics'!$AK$2:$AK$400)*($AB$2='Offer Statistics'!$AL$2:$AL$400),0)),"/")</f>
        <v>4</v>
      </c>
      <c r="AF17" s="64" cm="1">
        <f t="array" ref="AF17">IFERROR(INDEX('Offer Statistics'!AW$2:AW$400,MATCH(1,($A17='Offer Statistics'!$AK$2:$AK$400)*($AB$2='Offer Statistics'!$AL$2:$AL$400),0)),"/")</f>
        <v>0</v>
      </c>
      <c r="AG17" s="64" cm="1">
        <f t="array" ref="AG17">IFERROR(INDEX('Offer Statistics'!AX$2:AX$400,MATCH(1,($A17='Offer Statistics'!$AK$2:$AK$400)*($AB$2='Offer Statistics'!$AL$2:$AL$400),0)),"/")</f>
        <v>0</v>
      </c>
      <c r="AH17" s="64" cm="1">
        <f t="array" ref="AH17">IFERROR(INDEX('Offer Statistics'!AY$2:AY$400,MATCH(1,($A17='Offer Statistics'!$AK$2:$AK$400)*($AB$2='Offer Statistics'!$AL$2:$AL$400),0)),"/")</f>
        <v>0</v>
      </c>
      <c r="AI17" s="511"/>
      <c r="AJ17" s="36" cm="1">
        <f t="array" ref="AJ17">IFERROR(INDEX('Offer Statistics'!$AR$2:$AR$400,MATCH(1,($A17='Offer Statistics'!$AK$2:$AK$400)*($AB$2='Offer Statistics'!$AL$2:$AL$400),0)),"/")</f>
        <v>1579</v>
      </c>
      <c r="AK17" s="64" cm="1">
        <f t="array" ref="AK17">IFERROR(INDEX('Offer Statistics'!AM$2:AM$400,MATCH(1,($A17='Offer Statistics'!$AK$2:$AK$400)*($AB$2='Offer Statistics'!$AL$2:$AL$400),0)),"/")</f>
        <v>260</v>
      </c>
      <c r="AL17" s="64" cm="1">
        <f t="array" ref="AL17">IFERROR(INDEX('Offer Statistics'!AN$2:AN$400,MATCH(1,($A17='Offer Statistics'!$AK$2:$AK$400)*($AB$2='Offer Statistics'!$AL$2:$AL$400),0)),"/")</f>
        <v>277</v>
      </c>
      <c r="AM17" s="64" cm="1">
        <f t="array" ref="AM17">IFERROR(INDEX('Offer Statistics'!AO$2:AO$400,MATCH(1,($A17='Offer Statistics'!$AK$2:$AK$400)*($AB$2='Offer Statistics'!$AL$2:$AL$400),0)),"/")</f>
        <v>358</v>
      </c>
      <c r="AN17" s="64" cm="1">
        <f t="array" ref="AN17">IFERROR(INDEX('Offer Statistics'!AP$2:AP$400,MATCH(1,($A17='Offer Statistics'!$AK$2:$AK$400)*($AB$2='Offer Statistics'!$AL$2:$AL$400),0)),"/")</f>
        <v>402</v>
      </c>
      <c r="AO17" s="64" cm="1">
        <f t="array" ref="AO17">IFERROR(INDEX('Offer Statistics'!AQ$2:AQ$400,MATCH(1,($A17='Offer Statistics'!$AK$2:$AK$400)*($AB$2='Offer Statistics'!$AL$2:$AL$400),0)),"/")</f>
        <v>282</v>
      </c>
      <c r="AP17" s="15"/>
      <c r="AQ17" s="15" t="str">
        <f t="shared" si="3"/>
        <v>JS3240</v>
      </c>
    </row>
    <row r="18" spans="1:43" ht="18" customHeight="1">
      <c r="A18" s="4" t="str">
        <f>'Reference Score Calculation'!A109</f>
        <v>JS3250</v>
      </c>
      <c r="B18" s="4" t="str">
        <f>'Reference Score Calculation'!C109</f>
        <v>醫療及社會科學院</v>
      </c>
      <c r="C18" s="4" t="str">
        <f>'Reference Score Calculation'!D109</f>
        <v>應用社會科學(榮譽)文學士組合課程 (社會工作 / 社會政策及社會創業)</v>
      </c>
      <c r="D18" s="4" t="str">
        <f>'Reference Score Calculation'!R109</f>
        <v>APPLIED SOC SCI</v>
      </c>
      <c r="E18" s="392" t="str">
        <f>'Reference Score Calculation'!AB109</f>
        <v>Best 5</v>
      </c>
      <c r="F18" s="420" t="str">
        <f>'Reference Score Calculation'!E109</f>
        <v>4C2X</v>
      </c>
      <c r="G18" s="260">
        <f>'Reference Score Calculation'!H109</f>
        <v>196</v>
      </c>
      <c r="H18" s="260">
        <f>'Reference Score Calculation'!I109</f>
        <v>189</v>
      </c>
      <c r="I18" s="261">
        <f>計分版!J132</f>
        <v>1.4550000000000001E-8</v>
      </c>
      <c r="J18" s="25">
        <f t="shared" si="0"/>
        <v>-195.99999998544999</v>
      </c>
      <c r="K18" s="155">
        <f t="shared" si="1"/>
        <v>-13470790377.00687</v>
      </c>
      <c r="L18" s="36">
        <f>'Reference Score Calculation'!T109</f>
        <v>46</v>
      </c>
      <c r="M18" s="263">
        <f>入學要求!Z118</f>
        <v>0</v>
      </c>
      <c r="N18" s="516"/>
      <c r="O18" s="269">
        <f>入學要求!L118</f>
        <v>3</v>
      </c>
      <c r="P18" s="269">
        <f>入學要求!M118</f>
        <v>3</v>
      </c>
      <c r="Q18" s="269">
        <f>入學要求!N118</f>
        <v>2</v>
      </c>
      <c r="R18" s="269">
        <f>入學要求!O118</f>
        <v>1</v>
      </c>
      <c r="S18" s="269">
        <f>入學要求!P118</f>
        <v>3</v>
      </c>
      <c r="T18" s="269">
        <f>入學要求!Q118</f>
        <v>3</v>
      </c>
      <c r="U18" s="256">
        <f>入學要求!S118</f>
        <v>0</v>
      </c>
      <c r="V18" s="256">
        <f>入學要求!T118</f>
        <v>0</v>
      </c>
      <c r="W18" s="256">
        <f>入學要求!U118</f>
        <v>0</v>
      </c>
      <c r="X18" s="256">
        <f>入學要求!V118</f>
        <v>0</v>
      </c>
      <c r="Y18" s="256">
        <f>入學要求!W118</f>
        <v>0</v>
      </c>
      <c r="Z18" s="256">
        <f>入學要求!X118</f>
        <v>0</v>
      </c>
      <c r="AA18" s="421">
        <f t="shared" si="2"/>
        <v>8.61</v>
      </c>
      <c r="AB18" s="510"/>
      <c r="AC18" s="36" cm="1">
        <f t="array" ref="AC18">IFERROR(INDEX('Offer Statistics'!$AZ$2:$AZ$400,MATCH(1,($A18='Offer Statistics'!$AK$2:$AK$400)*($AB$2='Offer Statistics'!$AL$2:$AL$400),0)),"/")</f>
        <v>38</v>
      </c>
      <c r="AD18" s="64" cm="1">
        <f t="array" ref="AD18">IFERROR(INDEX('Offer Statistics'!AU$2:AU$400,MATCH(1,($A18='Offer Statistics'!$AK$2:$AK$400)*($AB$2='Offer Statistics'!$AL$2:$AL$400),0)),"/")</f>
        <v>38</v>
      </c>
      <c r="AE18" s="64" cm="1">
        <f t="array" ref="AE18">IFERROR(INDEX('Offer Statistics'!AV$2:AV$400,MATCH(1,($A18='Offer Statistics'!$AK$2:$AK$400)*($AB$2='Offer Statistics'!$AL$2:$AL$400),0)),"/")</f>
        <v>0</v>
      </c>
      <c r="AF18" s="64" cm="1">
        <f t="array" ref="AF18">IFERROR(INDEX('Offer Statistics'!AW$2:AW$400,MATCH(1,($A18='Offer Statistics'!$AK$2:$AK$400)*($AB$2='Offer Statistics'!$AL$2:$AL$400),0)),"/")</f>
        <v>0</v>
      </c>
      <c r="AG18" s="64" cm="1">
        <f t="array" ref="AG18">IFERROR(INDEX('Offer Statistics'!AX$2:AX$400,MATCH(1,($A18='Offer Statistics'!$AK$2:$AK$400)*($AB$2='Offer Statistics'!$AL$2:$AL$400),0)),"/")</f>
        <v>0</v>
      </c>
      <c r="AH18" s="64" cm="1">
        <f t="array" ref="AH18">IFERROR(INDEX('Offer Statistics'!AY$2:AY$400,MATCH(1,($A18='Offer Statistics'!$AK$2:$AK$400)*($AB$2='Offer Statistics'!$AL$2:$AL$400),0)),"/")</f>
        <v>0</v>
      </c>
      <c r="AI18" s="511"/>
      <c r="AJ18" s="36" cm="1">
        <f t="array" ref="AJ18">IFERROR(INDEX('Offer Statistics'!$AR$2:$AR$400,MATCH(1,($A18='Offer Statistics'!$AK$2:$AK$400)*($AB$2='Offer Statistics'!$AL$2:$AL$400),0)),"/")</f>
        <v>2428</v>
      </c>
      <c r="AK18" s="64" cm="1">
        <f t="array" ref="AK18">IFERROR(INDEX('Offer Statistics'!AM$2:AM$400,MATCH(1,($A18='Offer Statistics'!$AK$2:$AK$400)*($AB$2='Offer Statistics'!$AL$2:$AL$400),0)),"/")</f>
        <v>327</v>
      </c>
      <c r="AL18" s="64" cm="1">
        <f t="array" ref="AL18">IFERROR(INDEX('Offer Statistics'!AN$2:AN$400,MATCH(1,($A18='Offer Statistics'!$AK$2:$AK$400)*($AB$2='Offer Statistics'!$AL$2:$AL$400),0)),"/")</f>
        <v>274</v>
      </c>
      <c r="AM18" s="64" cm="1">
        <f t="array" ref="AM18">IFERROR(INDEX('Offer Statistics'!AO$2:AO$400,MATCH(1,($A18='Offer Statistics'!$AK$2:$AK$400)*($AB$2='Offer Statistics'!$AL$2:$AL$400),0)),"/")</f>
        <v>473</v>
      </c>
      <c r="AN18" s="64" cm="1">
        <f t="array" ref="AN18">IFERROR(INDEX('Offer Statistics'!AP$2:AP$400,MATCH(1,($A18='Offer Statistics'!$AK$2:$AK$400)*($AB$2='Offer Statistics'!$AL$2:$AL$400),0)),"/")</f>
        <v>734</v>
      </c>
      <c r="AO18" s="64" cm="1">
        <f t="array" ref="AO18">IFERROR(INDEX('Offer Statistics'!AQ$2:AQ$400,MATCH(1,($A18='Offer Statistics'!$AK$2:$AK$400)*($AB$2='Offer Statistics'!$AL$2:$AL$400),0)),"/")</f>
        <v>620</v>
      </c>
      <c r="AP18" s="15"/>
      <c r="AQ18" s="15" t="str">
        <f t="shared" si="3"/>
        <v>JS3250</v>
      </c>
    </row>
    <row r="19" spans="1:43" ht="18" customHeight="1">
      <c r="A19" s="4" t="str">
        <f>'Reference Score Calculation'!A110</f>
        <v>JS3290</v>
      </c>
      <c r="B19" s="4" t="str">
        <f>'Reference Score Calculation'!C110</f>
        <v>醫療及社會科學院</v>
      </c>
      <c r="C19" s="4" t="str">
        <f>'Reference Score Calculation'!D110</f>
        <v>眼科視光學(榮譽)理學士組合課程</v>
      </c>
      <c r="D19" s="4" t="str">
        <f>'Reference Score Calculation'!R110</f>
        <v>OPTOMETRY</v>
      </c>
      <c r="E19" s="392" t="str">
        <f>'Reference Score Calculation'!AB110</f>
        <v>Best 5</v>
      </c>
      <c r="F19" s="421" t="str">
        <f>'Reference Score Calculation'!E110</f>
        <v>Best 6</v>
      </c>
      <c r="G19" s="260">
        <f>'Reference Score Calculation'!H110</f>
        <v>317.5</v>
      </c>
      <c r="H19" s="260">
        <f>'Reference Score Calculation'!I110</f>
        <v>298.5</v>
      </c>
      <c r="I19" s="261">
        <f>計分版!J133</f>
        <v>1.7550000000000002E-8</v>
      </c>
      <c r="J19" s="25">
        <f t="shared" si="0"/>
        <v>-317.49999998244999</v>
      </c>
      <c r="K19" s="155">
        <f t="shared" si="1"/>
        <v>-18091168090.168091</v>
      </c>
      <c r="L19" s="36">
        <f>'Reference Score Calculation'!T110</f>
        <v>51</v>
      </c>
      <c r="M19" s="263">
        <f>入學要求!Z119</f>
        <v>0</v>
      </c>
      <c r="N19" s="516"/>
      <c r="O19" s="269">
        <f>入學要求!L119</f>
        <v>3</v>
      </c>
      <c r="P19" s="269">
        <f>入學要求!M119</f>
        <v>3</v>
      </c>
      <c r="Q19" s="269">
        <f>入學要求!N119</f>
        <v>2</v>
      </c>
      <c r="R19" s="269">
        <f>入學要求!O119</f>
        <v>1</v>
      </c>
      <c r="S19" s="269">
        <f>入學要求!P119</f>
        <v>3</v>
      </c>
      <c r="T19" s="269">
        <f>入學要求!Q119</f>
        <v>3</v>
      </c>
      <c r="U19" s="256">
        <f>入學要求!S119</f>
        <v>0</v>
      </c>
      <c r="V19" s="256">
        <f>入學要求!T119</f>
        <v>0</v>
      </c>
      <c r="W19" s="256">
        <f>入學要求!U119</f>
        <v>0</v>
      </c>
      <c r="X19" s="256">
        <f>入學要求!V119</f>
        <v>0</v>
      </c>
      <c r="Y19" s="256">
        <f>入學要求!W119</f>
        <v>0</v>
      </c>
      <c r="Z19" s="256">
        <f>入學要求!X119</f>
        <v>0</v>
      </c>
      <c r="AA19" s="421">
        <f t="shared" si="2"/>
        <v>2.2599999999999998</v>
      </c>
      <c r="AB19" s="510"/>
      <c r="AC19" s="36" cm="1">
        <f t="array" ref="AC19">IFERROR(INDEX('Offer Statistics'!$AZ$2:$AZ$400,MATCH(1,($A19='Offer Statistics'!$AK$2:$AK$400)*($AB$2='Offer Statistics'!$AL$2:$AL$400),0)),"/")</f>
        <v>64</v>
      </c>
      <c r="AD19" s="64" cm="1">
        <f t="array" ref="AD19">IFERROR(INDEX('Offer Statistics'!AU$2:AU$400,MATCH(1,($A19='Offer Statistics'!$AK$2:$AK$400)*($AB$2='Offer Statistics'!$AL$2:$AL$400),0)),"/")</f>
        <v>58</v>
      </c>
      <c r="AE19" s="64" cm="1">
        <f t="array" ref="AE19">IFERROR(INDEX('Offer Statistics'!AV$2:AV$400,MATCH(1,($A19='Offer Statistics'!$AK$2:$AK$400)*($AB$2='Offer Statistics'!$AL$2:$AL$400),0)),"/")</f>
        <v>2</v>
      </c>
      <c r="AF19" s="64" cm="1">
        <f t="array" ref="AF19">IFERROR(INDEX('Offer Statistics'!AW$2:AW$400,MATCH(1,($A19='Offer Statistics'!$AK$2:$AK$400)*($AB$2='Offer Statistics'!$AL$2:$AL$400),0)),"/")</f>
        <v>2</v>
      </c>
      <c r="AG19" s="64" cm="1">
        <f t="array" ref="AG19">IFERROR(INDEX('Offer Statistics'!AX$2:AX$400,MATCH(1,($A19='Offer Statistics'!$AK$2:$AK$400)*($AB$2='Offer Statistics'!$AL$2:$AL$400),0)),"/")</f>
        <v>1</v>
      </c>
      <c r="AH19" s="64" cm="1">
        <f t="array" ref="AH19">IFERROR(INDEX('Offer Statistics'!AY$2:AY$400,MATCH(1,($A19='Offer Statistics'!$AK$2:$AK$400)*($AB$2='Offer Statistics'!$AL$2:$AL$400),0)),"/")</f>
        <v>1</v>
      </c>
      <c r="AI19" s="511"/>
      <c r="AJ19" s="36" cm="1">
        <f t="array" ref="AJ19">IFERROR(INDEX('Offer Statistics'!$AR$2:$AR$400,MATCH(1,($A19='Offer Statistics'!$AK$2:$AK$400)*($AB$2='Offer Statistics'!$AL$2:$AL$400),0)),"/")</f>
        <v>1628</v>
      </c>
      <c r="AK19" s="64" cm="1">
        <f t="array" ref="AK19">IFERROR(INDEX('Offer Statistics'!AM$2:AM$400,MATCH(1,($A19='Offer Statistics'!$AK$2:$AK$400)*($AB$2='Offer Statistics'!$AL$2:$AL$400),0)),"/")</f>
        <v>131</v>
      </c>
      <c r="AL19" s="64" cm="1">
        <f t="array" ref="AL19">IFERROR(INDEX('Offer Statistics'!AN$2:AN$400,MATCH(1,($A19='Offer Statistics'!$AK$2:$AK$400)*($AB$2='Offer Statistics'!$AL$2:$AL$400),0)),"/")</f>
        <v>242</v>
      </c>
      <c r="AM19" s="64" cm="1">
        <f t="array" ref="AM19">IFERROR(INDEX('Offer Statistics'!AO$2:AO$400,MATCH(1,($A19='Offer Statistics'!$AK$2:$AK$400)*($AB$2='Offer Statistics'!$AL$2:$AL$400),0)),"/")</f>
        <v>341</v>
      </c>
      <c r="AN19" s="64" cm="1">
        <f t="array" ref="AN19">IFERROR(INDEX('Offer Statistics'!AP$2:AP$400,MATCH(1,($A19='Offer Statistics'!$AK$2:$AK$400)*($AB$2='Offer Statistics'!$AL$2:$AL$400),0)),"/")</f>
        <v>487</v>
      </c>
      <c r="AO19" s="64" cm="1">
        <f t="array" ref="AO19">IFERROR(INDEX('Offer Statistics'!AQ$2:AQ$400,MATCH(1,($A19='Offer Statistics'!$AK$2:$AK$400)*($AB$2='Offer Statistics'!$AL$2:$AL$400),0)),"/")</f>
        <v>427</v>
      </c>
      <c r="AP19" s="15"/>
      <c r="AQ19" s="15" t="str">
        <f t="shared" si="3"/>
        <v>JS3290</v>
      </c>
    </row>
    <row r="20" spans="1:43" s="156" customFormat="1" ht="18" customHeight="1">
      <c r="A20" s="4" t="str">
        <f>'Reference Score Calculation'!A111</f>
        <v>JS3310</v>
      </c>
      <c r="B20" s="4" t="str">
        <f>'Reference Score Calculation'!C111</f>
        <v>酒店及旅遊業管理學院</v>
      </c>
      <c r="C20" s="4" t="str">
        <f>'Reference Score Calculation'!D111</f>
        <v>酒店及旅遊管理(榮譽)理學士組合課程 (酒店管理 / 智慧旅遊及酒店產業 / 會展及體驗管理)</v>
      </c>
      <c r="D20" s="4" t="str">
        <f>'Reference Score Calculation'!R111</f>
        <v>HOTEL &amp; TOURISM MGT</v>
      </c>
      <c r="E20" s="392" t="str">
        <f>'Reference Score Calculation'!AB111</f>
        <v>Best 5</v>
      </c>
      <c r="F20" s="421" t="str">
        <f>'Reference Score Calculation'!E111</f>
        <v>Best 5</v>
      </c>
      <c r="G20" s="260">
        <f>'Reference Score Calculation'!H111</f>
        <v>162.5</v>
      </c>
      <c r="H20" s="260">
        <f>'Reference Score Calculation'!I111</f>
        <v>156</v>
      </c>
      <c r="I20" s="261">
        <f>計分版!J134</f>
        <v>1.515E-8</v>
      </c>
      <c r="J20" s="25">
        <f t="shared" si="0"/>
        <v>-162.49999998485001</v>
      </c>
      <c r="K20" s="155">
        <f t="shared" si="1"/>
        <v>-10726072606.260727</v>
      </c>
      <c r="L20" s="36">
        <f>'Reference Score Calculation'!T111</f>
        <v>81</v>
      </c>
      <c r="M20" s="263">
        <f>入學要求!Z120</f>
        <v>0</v>
      </c>
      <c r="N20" s="516"/>
      <c r="O20" s="269">
        <f>入學要求!L120</f>
        <v>3</v>
      </c>
      <c r="P20" s="269">
        <f>入學要求!M120</f>
        <v>3</v>
      </c>
      <c r="Q20" s="269">
        <f>入學要求!N120</f>
        <v>2</v>
      </c>
      <c r="R20" s="269">
        <f>入學要求!O120</f>
        <v>1</v>
      </c>
      <c r="S20" s="269">
        <f>入學要求!P120</f>
        <v>3</v>
      </c>
      <c r="T20" s="269">
        <f>入學要求!Q120</f>
        <v>3</v>
      </c>
      <c r="U20" s="256">
        <f>入學要求!S120</f>
        <v>0</v>
      </c>
      <c r="V20" s="256">
        <f>入學要求!T120</f>
        <v>0</v>
      </c>
      <c r="W20" s="256">
        <f>入學要求!U120</f>
        <v>0</v>
      </c>
      <c r="X20" s="256">
        <f>入學要求!V120</f>
        <v>0</v>
      </c>
      <c r="Y20" s="256">
        <f>入學要求!W120</f>
        <v>0</v>
      </c>
      <c r="Z20" s="256">
        <f>入學要求!X120</f>
        <v>0</v>
      </c>
      <c r="AA20" s="421">
        <f t="shared" si="2"/>
        <v>15.59</v>
      </c>
      <c r="AB20" s="510"/>
      <c r="AC20" s="36" cm="1">
        <f t="array" ref="AC20">IFERROR(INDEX('Offer Statistics'!$AZ$2:$AZ$400,MATCH(1,($A20='Offer Statistics'!$AK$2:$AK$400)*($AB$2='Offer Statistics'!$AL$2:$AL$400),0)),"/")</f>
        <v>90</v>
      </c>
      <c r="AD20" s="64" cm="1">
        <f t="array" ref="AD20">IFERROR(INDEX('Offer Statistics'!AU$2:AU$400,MATCH(1,($A20='Offer Statistics'!$AK$2:$AK$400)*($AB$2='Offer Statistics'!$AL$2:$AL$400),0)),"/")</f>
        <v>90</v>
      </c>
      <c r="AE20" s="64" cm="1">
        <f t="array" ref="AE20">IFERROR(INDEX('Offer Statistics'!AV$2:AV$400,MATCH(1,($A20='Offer Statistics'!$AK$2:$AK$400)*($AB$2='Offer Statistics'!$AL$2:$AL$400),0)),"/")</f>
        <v>0</v>
      </c>
      <c r="AF20" s="64" cm="1">
        <f t="array" ref="AF20">IFERROR(INDEX('Offer Statistics'!AW$2:AW$400,MATCH(1,($A20='Offer Statistics'!$AK$2:$AK$400)*($AB$2='Offer Statistics'!$AL$2:$AL$400),0)),"/")</f>
        <v>0</v>
      </c>
      <c r="AG20" s="64" cm="1">
        <f t="array" ref="AG20">IFERROR(INDEX('Offer Statistics'!AX$2:AX$400,MATCH(1,($A20='Offer Statistics'!$AK$2:$AK$400)*($AB$2='Offer Statistics'!$AL$2:$AL$400),0)),"/")</f>
        <v>0</v>
      </c>
      <c r="AH20" s="64" cm="1">
        <f t="array" ref="AH20">IFERROR(INDEX('Offer Statistics'!AY$2:AY$400,MATCH(1,($A20='Offer Statistics'!$AK$2:$AK$400)*($AB$2='Offer Statistics'!$AL$2:$AL$400),0)),"/")</f>
        <v>0</v>
      </c>
      <c r="AI20" s="511"/>
      <c r="AJ20" s="36" cm="1">
        <f t="array" ref="AJ20">IFERROR(INDEX('Offer Statistics'!$AR$2:$AR$400,MATCH(1,($A20='Offer Statistics'!$AK$2:$AK$400)*($AB$2='Offer Statistics'!$AL$2:$AL$400),0)),"/")</f>
        <v>6097</v>
      </c>
      <c r="AK20" s="64" cm="1">
        <f t="array" ref="AK20">IFERROR(INDEX('Offer Statistics'!AM$2:AM$400,MATCH(1,($A20='Offer Statistics'!$AK$2:$AK$400)*($AB$2='Offer Statistics'!$AL$2:$AL$400),0)),"/")</f>
        <v>1403</v>
      </c>
      <c r="AL20" s="64" cm="1">
        <f t="array" ref="AL20">IFERROR(INDEX('Offer Statistics'!AN$2:AN$400,MATCH(1,($A20='Offer Statistics'!$AK$2:$AK$400)*($AB$2='Offer Statistics'!$AL$2:$AL$400),0)),"/")</f>
        <v>986</v>
      </c>
      <c r="AM20" s="64" cm="1">
        <f t="array" ref="AM20">IFERROR(INDEX('Offer Statistics'!AO$2:AO$400,MATCH(1,($A20='Offer Statistics'!$AK$2:$AK$400)*($AB$2='Offer Statistics'!$AL$2:$AL$400),0)),"/")</f>
        <v>1284</v>
      </c>
      <c r="AN20" s="64" cm="1">
        <f t="array" ref="AN20">IFERROR(INDEX('Offer Statistics'!AP$2:AP$400,MATCH(1,($A20='Offer Statistics'!$AK$2:$AK$400)*($AB$2='Offer Statistics'!$AL$2:$AL$400),0)),"/")</f>
        <v>1366</v>
      </c>
      <c r="AO20" s="64" cm="1">
        <f t="array" ref="AO20">IFERROR(INDEX('Offer Statistics'!AQ$2:AQ$400,MATCH(1,($A20='Offer Statistics'!$AK$2:$AK$400)*($AB$2='Offer Statistics'!$AL$2:$AL$400),0)),"/")</f>
        <v>1058</v>
      </c>
      <c r="AP20" s="15"/>
      <c r="AQ20" s="15" t="str">
        <f t="shared" si="3"/>
        <v>JS3310</v>
      </c>
    </row>
    <row r="21" spans="1:43" s="156" customFormat="1" ht="18" customHeight="1">
      <c r="A21" s="4" t="str">
        <f>'Reference Score Calculation'!A112</f>
        <v>JS3320</v>
      </c>
      <c r="B21" s="4" t="str">
        <f>'Reference Score Calculation'!C112</f>
        <v>人文學院</v>
      </c>
      <c r="C21" s="4" t="str">
        <f>'Reference Score Calculation'!D112</f>
        <v>中國歷史及文化(榮譽)文學士組合課程</v>
      </c>
      <c r="D21" s="4" t="str">
        <f>'Reference Score Calculation'!R112</f>
        <v>CHI HISTORY &amp; CULTURE</v>
      </c>
      <c r="E21" s="392" t="str">
        <f>'Reference Score Calculation'!AB112</f>
        <v>中英Best3</v>
      </c>
      <c r="F21" s="421" t="str">
        <f>'Reference Score Calculation'!E112</f>
        <v>中英Best3</v>
      </c>
      <c r="G21" s="260">
        <f>'Reference Score Calculation'!H112</f>
        <v>201</v>
      </c>
      <c r="H21" s="260">
        <f>'Reference Score Calculation'!I112</f>
        <v>180</v>
      </c>
      <c r="I21" s="261">
        <f>計分版!J135</f>
        <v>1.5349999999999998E-8</v>
      </c>
      <c r="J21" s="25">
        <f t="shared" si="0"/>
        <v>-200.99999998465</v>
      </c>
      <c r="K21" s="155">
        <f t="shared" si="1"/>
        <v>-13094462539.716614</v>
      </c>
      <c r="L21" s="36">
        <f>'Reference Score Calculation'!T112</f>
        <v>20</v>
      </c>
      <c r="M21" s="263">
        <f>入學要求!Z121</f>
        <v>0</v>
      </c>
      <c r="N21" s="516"/>
      <c r="O21" s="269">
        <f>入學要求!L121</f>
        <v>3</v>
      </c>
      <c r="P21" s="269">
        <f>入學要求!M121</f>
        <v>3</v>
      </c>
      <c r="Q21" s="269">
        <f>入學要求!N121</f>
        <v>2</v>
      </c>
      <c r="R21" s="269">
        <f>入學要求!O121</f>
        <v>1</v>
      </c>
      <c r="S21" s="269">
        <f>入學要求!P121</f>
        <v>3</v>
      </c>
      <c r="T21" s="269">
        <f>入學要求!Q121</f>
        <v>3</v>
      </c>
      <c r="U21" s="256">
        <f>入學要求!S121</f>
        <v>0</v>
      </c>
      <c r="V21" s="256">
        <f>入學要求!T121</f>
        <v>0</v>
      </c>
      <c r="W21" s="256">
        <f>入學要求!U121</f>
        <v>0</v>
      </c>
      <c r="X21" s="256">
        <f>入學要求!V121</f>
        <v>0</v>
      </c>
      <c r="Y21" s="256">
        <f>入學要求!W121</f>
        <v>0</v>
      </c>
      <c r="Z21" s="256">
        <f>入學要求!X121</f>
        <v>0</v>
      </c>
      <c r="AA21" s="421">
        <f t="shared" si="2"/>
        <v>17.940000000000001</v>
      </c>
      <c r="AB21" s="510"/>
      <c r="AC21" s="36" cm="1">
        <f t="array" ref="AC21">IFERROR(INDEX('Offer Statistics'!$AZ$2:$AZ$400,MATCH(1,($A21='Offer Statistics'!$AK$2:$AK$400)*($AB$2='Offer Statistics'!$AL$2:$AL$400),0)),"/")</f>
        <v>22</v>
      </c>
      <c r="AD21" s="64" cm="1">
        <f t="array" ref="AD21">IFERROR(INDEX('Offer Statistics'!AU$2:AU$400,MATCH(1,($A21='Offer Statistics'!$AK$2:$AK$400)*($AB$2='Offer Statistics'!$AL$2:$AL$400),0)),"/")</f>
        <v>18</v>
      </c>
      <c r="AE21" s="64" cm="1">
        <f t="array" ref="AE21">IFERROR(INDEX('Offer Statistics'!AV$2:AV$400,MATCH(1,($A21='Offer Statistics'!$AK$2:$AK$400)*($AB$2='Offer Statistics'!$AL$2:$AL$400),0)),"/")</f>
        <v>1</v>
      </c>
      <c r="AF21" s="64" cm="1">
        <f t="array" ref="AF21">IFERROR(INDEX('Offer Statistics'!AW$2:AW$400,MATCH(1,($A21='Offer Statistics'!$AK$2:$AK$400)*($AB$2='Offer Statistics'!$AL$2:$AL$400),0)),"/")</f>
        <v>1</v>
      </c>
      <c r="AG21" s="64" cm="1">
        <f t="array" ref="AG21">IFERROR(INDEX('Offer Statistics'!AX$2:AX$400,MATCH(1,($A21='Offer Statistics'!$AK$2:$AK$400)*($AB$2='Offer Statistics'!$AL$2:$AL$400),0)),"/")</f>
        <v>2</v>
      </c>
      <c r="AH21" s="64" cm="1">
        <f t="array" ref="AH21">IFERROR(INDEX('Offer Statistics'!AY$2:AY$400,MATCH(1,($A21='Offer Statistics'!$AK$2:$AK$400)*($AB$2='Offer Statistics'!$AL$2:$AL$400),0)),"/")</f>
        <v>0</v>
      </c>
      <c r="AI21" s="511"/>
      <c r="AJ21" s="36" cm="1">
        <f t="array" ref="AJ21">IFERROR(INDEX('Offer Statistics'!$AR$2:$AR$400,MATCH(1,($A21='Offer Statistics'!$AK$2:$AK$400)*($AB$2='Offer Statistics'!$AL$2:$AL$400),0)),"/")</f>
        <v>1800</v>
      </c>
      <c r="AK21" s="64" cm="1">
        <f t="array" ref="AK21">IFERROR(INDEX('Offer Statistics'!AM$2:AM$400,MATCH(1,($A21='Offer Statistics'!$AK$2:$AK$400)*($AB$2='Offer Statistics'!$AL$2:$AL$400),0)),"/")</f>
        <v>323</v>
      </c>
      <c r="AL21" s="64" cm="1">
        <f t="array" ref="AL21">IFERROR(INDEX('Offer Statistics'!AN$2:AN$400,MATCH(1,($A21='Offer Statistics'!$AK$2:$AK$400)*($AB$2='Offer Statistics'!$AL$2:$AL$400),0)),"/")</f>
        <v>343</v>
      </c>
      <c r="AM21" s="64" cm="1">
        <f t="array" ref="AM21">IFERROR(INDEX('Offer Statistics'!AO$2:AO$400,MATCH(1,($A21='Offer Statistics'!$AK$2:$AK$400)*($AB$2='Offer Statistics'!$AL$2:$AL$400),0)),"/")</f>
        <v>411</v>
      </c>
      <c r="AN21" s="64" cm="1">
        <f t="array" ref="AN21">IFERROR(INDEX('Offer Statistics'!AP$2:AP$400,MATCH(1,($A21='Offer Statistics'!$AK$2:$AK$400)*($AB$2='Offer Statistics'!$AL$2:$AL$400),0)),"/")</f>
        <v>404</v>
      </c>
      <c r="AO21" s="64" cm="1">
        <f t="array" ref="AO21">IFERROR(INDEX('Offer Statistics'!AQ$2:AQ$400,MATCH(1,($A21='Offer Statistics'!$AK$2:$AK$400)*($AB$2='Offer Statistics'!$AL$2:$AL$400),0)),"/")</f>
        <v>319</v>
      </c>
      <c r="AP21" s="15"/>
      <c r="AQ21" s="15" t="str">
        <f t="shared" si="3"/>
        <v>JS3320</v>
      </c>
    </row>
    <row r="22" spans="1:43" s="157" customFormat="1" ht="18" customHeight="1">
      <c r="A22" s="4" t="str">
        <f>'Reference Score Calculation'!A113</f>
        <v>JS3330</v>
      </c>
      <c r="B22" s="4" t="str">
        <f>'Reference Score Calculation'!C113</f>
        <v>人文學院</v>
      </c>
      <c r="C22" s="4" t="str">
        <f>'Reference Score Calculation'!D113</f>
        <v>語言科學、翻譯學及言語治療(榮譽)文學士/理學士組合課程 (語言學及翻譯學 / 語言科學與語言數據分析 / 言語治療)</v>
      </c>
      <c r="D22" s="4" t="str">
        <f>'Reference Score Calculation'!R113</f>
        <v>LANG SCI, TRANSLAT, &amp; ST</v>
      </c>
      <c r="E22" s="392" t="str">
        <f>'Reference Score Calculation'!AB113</f>
        <v>Best 5</v>
      </c>
      <c r="F22" s="421" t="str">
        <f>'Reference Score Calculation'!E113</f>
        <v>Best 5</v>
      </c>
      <c r="G22" s="260">
        <f>'Reference Score Calculation'!H113</f>
        <v>221.5</v>
      </c>
      <c r="H22" s="260">
        <f>'Reference Score Calculation'!I113</f>
        <v>206</v>
      </c>
      <c r="I22" s="261">
        <f>計分版!J136</f>
        <v>1.7250000000000002E-8</v>
      </c>
      <c r="J22" s="25">
        <f t="shared" si="0"/>
        <v>-221.49999998275001</v>
      </c>
      <c r="K22" s="155">
        <f t="shared" si="1"/>
        <v>-12840579709.144926</v>
      </c>
      <c r="L22" s="36">
        <f>'Reference Score Calculation'!T113</f>
        <v>37</v>
      </c>
      <c r="M22" s="263">
        <f>入學要求!Z122</f>
        <v>0</v>
      </c>
      <c r="N22" s="516"/>
      <c r="O22" s="269">
        <f>入學要求!L122</f>
        <v>3</v>
      </c>
      <c r="P22" s="269">
        <f>入學要求!M122</f>
        <v>3</v>
      </c>
      <c r="Q22" s="269">
        <f>入學要求!N122</f>
        <v>2</v>
      </c>
      <c r="R22" s="269">
        <f>入學要求!O122</f>
        <v>1</v>
      </c>
      <c r="S22" s="269">
        <f>入學要求!P122</f>
        <v>3</v>
      </c>
      <c r="T22" s="269">
        <f>入學要求!Q122</f>
        <v>3</v>
      </c>
      <c r="U22" s="256">
        <f>入學要求!S122</f>
        <v>0</v>
      </c>
      <c r="V22" s="256">
        <f>入學要求!T122</f>
        <v>0</v>
      </c>
      <c r="W22" s="256">
        <f>入學要求!U122</f>
        <v>0</v>
      </c>
      <c r="X22" s="256">
        <f>入學要求!V122</f>
        <v>0</v>
      </c>
      <c r="Y22" s="256">
        <f>入學要求!W122</f>
        <v>0</v>
      </c>
      <c r="Z22" s="256">
        <f>入學要求!X122</f>
        <v>0</v>
      </c>
      <c r="AA22" s="421">
        <f t="shared" si="2"/>
        <v>9.23</v>
      </c>
      <c r="AB22" s="510"/>
      <c r="AC22" s="36" cm="1">
        <f t="array" ref="AC22">IFERROR(INDEX('Offer Statistics'!$AZ$2:$AZ$400,MATCH(1,($A22='Offer Statistics'!$AK$2:$AK$400)*($AB$2='Offer Statistics'!$AL$2:$AL$400),0)),"/")</f>
        <v>41</v>
      </c>
      <c r="AD22" s="64" cm="1">
        <f t="array" ref="AD22">IFERROR(INDEX('Offer Statistics'!AU$2:AU$400,MATCH(1,($A22='Offer Statistics'!$AK$2:$AK$400)*($AB$2='Offer Statistics'!$AL$2:$AL$400),0)),"/")</f>
        <v>40</v>
      </c>
      <c r="AE22" s="64" cm="1">
        <f t="array" ref="AE22">IFERROR(INDEX('Offer Statistics'!AV$2:AV$400,MATCH(1,($A22='Offer Statistics'!$AK$2:$AK$400)*($AB$2='Offer Statistics'!$AL$2:$AL$400),0)),"/")</f>
        <v>1</v>
      </c>
      <c r="AF22" s="64" cm="1">
        <f t="array" ref="AF22">IFERROR(INDEX('Offer Statistics'!AW$2:AW$400,MATCH(1,($A22='Offer Statistics'!$AK$2:$AK$400)*($AB$2='Offer Statistics'!$AL$2:$AL$400),0)),"/")</f>
        <v>0</v>
      </c>
      <c r="AG22" s="64" cm="1">
        <f t="array" ref="AG22">IFERROR(INDEX('Offer Statistics'!AX$2:AX$400,MATCH(1,($A22='Offer Statistics'!$AK$2:$AK$400)*($AB$2='Offer Statistics'!$AL$2:$AL$400),0)),"/")</f>
        <v>0</v>
      </c>
      <c r="AH22" s="64" cm="1">
        <f t="array" ref="AH22">IFERROR(INDEX('Offer Statistics'!AY$2:AY$400,MATCH(1,($A22='Offer Statistics'!$AK$2:$AK$400)*($AB$2='Offer Statistics'!$AL$2:$AL$400),0)),"/")</f>
        <v>0</v>
      </c>
      <c r="AI22" s="511"/>
      <c r="AJ22" s="36" cm="1">
        <f t="array" ref="AJ22">IFERROR(INDEX('Offer Statistics'!$AR$2:$AR$400,MATCH(1,($A22='Offer Statistics'!$AK$2:$AK$400)*($AB$2='Offer Statistics'!$AL$2:$AL$400),0)),"/")</f>
        <v>2682</v>
      </c>
      <c r="AK22" s="64" cm="1">
        <f t="array" ref="AK22">IFERROR(INDEX('Offer Statistics'!AM$2:AM$400,MATCH(1,($A22='Offer Statistics'!$AK$2:$AK$400)*($AB$2='Offer Statistics'!$AL$2:$AL$400),0)),"/")</f>
        <v>369</v>
      </c>
      <c r="AL22" s="64" cm="1">
        <f t="array" ref="AL22">IFERROR(INDEX('Offer Statistics'!AN$2:AN$400,MATCH(1,($A22='Offer Statistics'!$AK$2:$AK$400)*($AB$2='Offer Statistics'!$AL$2:$AL$400),0)),"/")</f>
        <v>461</v>
      </c>
      <c r="AM22" s="64" cm="1">
        <f t="array" ref="AM22">IFERROR(INDEX('Offer Statistics'!AO$2:AO$400,MATCH(1,($A22='Offer Statistics'!$AK$2:$AK$400)*($AB$2='Offer Statistics'!$AL$2:$AL$400),0)),"/")</f>
        <v>590</v>
      </c>
      <c r="AN22" s="64" cm="1">
        <f t="array" ref="AN22">IFERROR(INDEX('Offer Statistics'!AP$2:AP$400,MATCH(1,($A22='Offer Statistics'!$AK$2:$AK$400)*($AB$2='Offer Statistics'!$AL$2:$AL$400),0)),"/")</f>
        <v>720</v>
      </c>
      <c r="AO22" s="64" cm="1">
        <f t="array" ref="AO22">IFERROR(INDEX('Offer Statistics'!AQ$2:AQ$400,MATCH(1,($A22='Offer Statistics'!$AK$2:$AK$400)*($AB$2='Offer Statistics'!$AL$2:$AL$400),0)),"/")</f>
        <v>542</v>
      </c>
      <c r="AP22" s="15"/>
      <c r="AQ22" s="15" t="str">
        <f t="shared" si="3"/>
        <v>JS3330</v>
      </c>
    </row>
    <row r="23" spans="1:43" s="156" customFormat="1" ht="18" customHeight="1">
      <c r="A23" s="4" t="str">
        <f>'Reference Score Calculation'!A114</f>
        <v>JS3337</v>
      </c>
      <c r="B23" s="4" t="str">
        <f>'Reference Score Calculation'!C114</f>
        <v>醫療及社會科學院</v>
      </c>
      <c r="C23" s="4" t="str">
        <f>'Reference Score Calculation'!D114</f>
        <v>護理學(榮譽)理學士組合課程 - 精神健康護理學(榮譽)理學士</v>
      </c>
      <c r="D23" s="4" t="str">
        <f>'Reference Score Calculation'!R114</f>
        <v>MENTAL HEALTH NURSING</v>
      </c>
      <c r="E23" s="392" t="str">
        <f>'Reference Score Calculation'!AB114</f>
        <v>Best 5</v>
      </c>
      <c r="F23" s="419" t="str">
        <f>'Reference Score Calculation'!E114</f>
        <v>4C2X</v>
      </c>
      <c r="G23" s="260">
        <f>'Reference Score Calculation'!H114</f>
        <v>243</v>
      </c>
      <c r="H23" s="260">
        <f>'Reference Score Calculation'!I114</f>
        <v>238</v>
      </c>
      <c r="I23" s="261">
        <f>計分版!J137</f>
        <v>1.2500000000000001E-8</v>
      </c>
      <c r="J23" s="25">
        <f t="shared" si="0"/>
        <v>-242.99999998749999</v>
      </c>
      <c r="K23" s="155">
        <f t="shared" si="1"/>
        <v>-19439999998.999996</v>
      </c>
      <c r="L23" s="36">
        <f>'Reference Score Calculation'!T114</f>
        <v>70</v>
      </c>
      <c r="M23" s="263">
        <f>入學要求!Z123</f>
        <v>0</v>
      </c>
      <c r="N23" s="516"/>
      <c r="O23" s="269">
        <f>入學要求!L123</f>
        <v>3</v>
      </c>
      <c r="P23" s="269">
        <f>入學要求!M123</f>
        <v>3</v>
      </c>
      <c r="Q23" s="269">
        <f>入學要求!N123</f>
        <v>2</v>
      </c>
      <c r="R23" s="269">
        <f>入學要求!O123</f>
        <v>1</v>
      </c>
      <c r="S23" s="269">
        <f>入學要求!P123</f>
        <v>3</v>
      </c>
      <c r="T23" s="269">
        <f>入學要求!Q123</f>
        <v>3</v>
      </c>
      <c r="U23" s="256">
        <f>入學要求!S123</f>
        <v>0</v>
      </c>
      <c r="V23" s="256">
        <f>入學要求!T123</f>
        <v>0</v>
      </c>
      <c r="W23" s="256">
        <f>入學要求!U123</f>
        <v>0</v>
      </c>
      <c r="X23" s="256">
        <f>入學要求!V123</f>
        <v>0</v>
      </c>
      <c r="Y23" s="256">
        <f>入學要求!W123</f>
        <v>0</v>
      </c>
      <c r="Z23" s="256">
        <f>入學要求!X123</f>
        <v>0</v>
      </c>
      <c r="AA23" s="421">
        <f t="shared" si="2"/>
        <v>5.14</v>
      </c>
      <c r="AB23" s="510"/>
      <c r="AC23" s="36" cm="1">
        <f t="array" ref="AC23">IFERROR(INDEX('Offer Statistics'!$AZ$2:$AZ$400,MATCH(1,($A23='Offer Statistics'!$AK$2:$AK$400)*($AB$2='Offer Statistics'!$AL$2:$AL$400),0)),"/")</f>
        <v>70</v>
      </c>
      <c r="AD23" s="64" cm="1">
        <f t="array" ref="AD23">IFERROR(INDEX('Offer Statistics'!AU$2:AU$400,MATCH(1,($A23='Offer Statistics'!$AK$2:$AK$400)*($AB$2='Offer Statistics'!$AL$2:$AL$400),0)),"/")</f>
        <v>63</v>
      </c>
      <c r="AE23" s="64" cm="1">
        <f t="array" ref="AE23">IFERROR(INDEX('Offer Statistics'!AV$2:AV$400,MATCH(1,($A23='Offer Statistics'!$AK$2:$AK$400)*($AB$2='Offer Statistics'!$AL$2:$AL$400),0)),"/")</f>
        <v>6</v>
      </c>
      <c r="AF23" s="64" cm="1">
        <f t="array" ref="AF23">IFERROR(INDEX('Offer Statistics'!AW$2:AW$400,MATCH(1,($A23='Offer Statistics'!$AK$2:$AK$400)*($AB$2='Offer Statistics'!$AL$2:$AL$400),0)),"/")</f>
        <v>1</v>
      </c>
      <c r="AG23" s="64" cm="1">
        <f t="array" ref="AG23">IFERROR(INDEX('Offer Statistics'!AX$2:AX$400,MATCH(1,($A23='Offer Statistics'!$AK$2:$AK$400)*($AB$2='Offer Statistics'!$AL$2:$AL$400),0)),"/")</f>
        <v>0</v>
      </c>
      <c r="AH23" s="64" cm="1">
        <f t="array" ref="AH23">IFERROR(INDEX('Offer Statistics'!AY$2:AY$400,MATCH(1,($A23='Offer Statistics'!$AK$2:$AK$400)*($AB$2='Offer Statistics'!$AL$2:$AL$400),0)),"/")</f>
        <v>0</v>
      </c>
      <c r="AI23" s="511"/>
      <c r="AJ23" s="36" cm="1">
        <f t="array" ref="AJ23">IFERROR(INDEX('Offer Statistics'!$AR$2:$AR$400,MATCH(1,($A23='Offer Statistics'!$AK$2:$AK$400)*($AB$2='Offer Statistics'!$AL$2:$AL$400),0)),"/")</f>
        <v>3212</v>
      </c>
      <c r="AK23" s="64" cm="1">
        <f t="array" ref="AK23">IFERROR(INDEX('Offer Statistics'!AM$2:AM$400,MATCH(1,($A23='Offer Statistics'!$AK$2:$AK$400)*($AB$2='Offer Statistics'!$AL$2:$AL$400),0)),"/")</f>
        <v>324</v>
      </c>
      <c r="AL23" s="64" cm="1">
        <f t="array" ref="AL23">IFERROR(INDEX('Offer Statistics'!AN$2:AN$400,MATCH(1,($A23='Offer Statistics'!$AK$2:$AK$400)*($AB$2='Offer Statistics'!$AL$2:$AL$400),0)),"/")</f>
        <v>570</v>
      </c>
      <c r="AM23" s="64" cm="1">
        <f t="array" ref="AM23">IFERROR(INDEX('Offer Statistics'!AO$2:AO$400,MATCH(1,($A23='Offer Statistics'!$AK$2:$AK$400)*($AB$2='Offer Statistics'!$AL$2:$AL$400),0)),"/")</f>
        <v>802</v>
      </c>
      <c r="AN23" s="64" cm="1">
        <f t="array" ref="AN23">IFERROR(INDEX('Offer Statistics'!AP$2:AP$400,MATCH(1,($A23='Offer Statistics'!$AK$2:$AK$400)*($AB$2='Offer Statistics'!$AL$2:$AL$400),0)),"/")</f>
        <v>840</v>
      </c>
      <c r="AO23" s="64" cm="1">
        <f t="array" ref="AO23">IFERROR(INDEX('Offer Statistics'!AQ$2:AQ$400,MATCH(1,($A23='Offer Statistics'!$AK$2:$AK$400)*($AB$2='Offer Statistics'!$AL$2:$AL$400),0)),"/")</f>
        <v>676</v>
      </c>
      <c r="AP23" s="15"/>
      <c r="AQ23" s="15" t="str">
        <f t="shared" si="3"/>
        <v>JS3337</v>
      </c>
    </row>
    <row r="24" spans="1:43" ht="18" customHeight="1">
      <c r="A24" s="4" t="str">
        <f>'Reference Score Calculation'!A115</f>
        <v>JS3478</v>
      </c>
      <c r="B24" s="4" t="str">
        <f>'Reference Score Calculation'!C115</f>
        <v>醫療及社會科學院</v>
      </c>
      <c r="C24" s="4" t="str">
        <f>'Reference Score Calculation'!D115</f>
        <v>醫療化驗科學及放射學(榮譽)理學士組合課程 - 醫療化驗科學(榮譽)理學士</v>
      </c>
      <c r="D24" s="4" t="str">
        <f>'Reference Score Calculation'!R115</f>
        <v>MED LAB SCI</v>
      </c>
      <c r="E24" s="392" t="str">
        <f>'Reference Score Calculation'!AB115</f>
        <v>Best 5</v>
      </c>
      <c r="F24" s="421" t="str">
        <f>'Reference Score Calculation'!E115</f>
        <v>Best 6</v>
      </c>
      <c r="G24" s="260">
        <f>'Reference Score Calculation'!H115</f>
        <v>330</v>
      </c>
      <c r="H24" s="260">
        <f>'Reference Score Calculation'!I115</f>
        <v>328.5</v>
      </c>
      <c r="I24" s="261">
        <f>計分版!J138</f>
        <v>1.8750000000000002E-8</v>
      </c>
      <c r="J24" s="25">
        <f t="shared" si="0"/>
        <v>-329.99999998125003</v>
      </c>
      <c r="K24" s="155">
        <f t="shared" si="1"/>
        <v>-17599999999</v>
      </c>
      <c r="L24" s="36">
        <f>'Reference Score Calculation'!T115</f>
        <v>60</v>
      </c>
      <c r="M24" s="263">
        <f>入學要求!Z124</f>
        <v>0</v>
      </c>
      <c r="N24" s="516"/>
      <c r="O24" s="269">
        <f>入學要求!L124</f>
        <v>3</v>
      </c>
      <c r="P24" s="269">
        <f>入學要求!M124</f>
        <v>3</v>
      </c>
      <c r="Q24" s="269">
        <f>入學要求!N124</f>
        <v>2</v>
      </c>
      <c r="R24" s="269">
        <f>入學要求!O124</f>
        <v>1</v>
      </c>
      <c r="S24" s="269">
        <f>入學要求!P124</f>
        <v>3</v>
      </c>
      <c r="T24" s="269">
        <f>入學要求!Q124</f>
        <v>3</v>
      </c>
      <c r="U24" s="256">
        <f>入學要求!S124</f>
        <v>0</v>
      </c>
      <c r="V24" s="256">
        <f>入學要求!T124</f>
        <v>0</v>
      </c>
      <c r="W24" s="256">
        <f>入學要求!U124</f>
        <v>0</v>
      </c>
      <c r="X24" s="256">
        <f>入學要求!V124</f>
        <v>0</v>
      </c>
      <c r="Y24" s="256">
        <f>入學要求!W124</f>
        <v>0</v>
      </c>
      <c r="Z24" s="256">
        <f>入學要求!X124</f>
        <v>0</v>
      </c>
      <c r="AA24" s="421">
        <f t="shared" si="2"/>
        <v>5.61</v>
      </c>
      <c r="AB24" s="510"/>
      <c r="AC24" s="36" cm="1">
        <f t="array" ref="AC24">IFERROR(INDEX('Offer Statistics'!$AZ$2:$AZ$400,MATCH(1,($A24='Offer Statistics'!$AK$2:$AK$400)*($AB$2='Offer Statistics'!$AL$2:$AL$400),0)),"/")</f>
        <v>67</v>
      </c>
      <c r="AD24" s="64" cm="1">
        <f t="array" ref="AD24">IFERROR(INDEX('Offer Statistics'!AU$2:AU$400,MATCH(1,($A24='Offer Statistics'!$AK$2:$AK$400)*($AB$2='Offer Statistics'!$AL$2:$AL$400),0)),"/")</f>
        <v>66</v>
      </c>
      <c r="AE24" s="64" cm="1">
        <f t="array" ref="AE24">IFERROR(INDEX('Offer Statistics'!AV$2:AV$400,MATCH(1,($A24='Offer Statistics'!$AK$2:$AK$400)*($AB$2='Offer Statistics'!$AL$2:$AL$400),0)),"/")</f>
        <v>1</v>
      </c>
      <c r="AF24" s="64" cm="1">
        <f t="array" ref="AF24">IFERROR(INDEX('Offer Statistics'!AW$2:AW$400,MATCH(1,($A24='Offer Statistics'!$AK$2:$AK$400)*($AB$2='Offer Statistics'!$AL$2:$AL$400),0)),"/")</f>
        <v>0</v>
      </c>
      <c r="AG24" s="64" cm="1">
        <f t="array" ref="AG24">IFERROR(INDEX('Offer Statistics'!AX$2:AX$400,MATCH(1,($A24='Offer Statistics'!$AK$2:$AK$400)*($AB$2='Offer Statistics'!$AL$2:$AL$400),0)),"/")</f>
        <v>0</v>
      </c>
      <c r="AH24" s="64" cm="1">
        <f t="array" ref="AH24">IFERROR(INDEX('Offer Statistics'!AY$2:AY$400,MATCH(1,($A24='Offer Statistics'!$AK$2:$AK$400)*($AB$2='Offer Statistics'!$AL$2:$AL$400),0)),"/")</f>
        <v>0</v>
      </c>
      <c r="AI24" s="511"/>
      <c r="AJ24" s="36" cm="1">
        <f t="array" ref="AJ24">IFERROR(INDEX('Offer Statistics'!$AR$2:$AR$400,MATCH(1,($A24='Offer Statistics'!$AK$2:$AK$400)*($AB$2='Offer Statistics'!$AL$2:$AL$400),0)),"/")</f>
        <v>2066</v>
      </c>
      <c r="AK24" s="64" cm="1">
        <f t="array" ref="AK24">IFERROR(INDEX('Offer Statistics'!AM$2:AM$400,MATCH(1,($A24='Offer Statistics'!$AK$2:$AK$400)*($AB$2='Offer Statistics'!$AL$2:$AL$400),0)),"/")</f>
        <v>370</v>
      </c>
      <c r="AL24" s="64" cm="1">
        <f t="array" ref="AL24">IFERROR(INDEX('Offer Statistics'!AN$2:AN$400,MATCH(1,($A24='Offer Statistics'!$AK$2:$AK$400)*($AB$2='Offer Statistics'!$AL$2:$AL$400),0)),"/")</f>
        <v>281</v>
      </c>
      <c r="AM24" s="64" cm="1">
        <f t="array" ref="AM24">IFERROR(INDEX('Offer Statistics'!AO$2:AO$400,MATCH(1,($A24='Offer Statistics'!$AK$2:$AK$400)*($AB$2='Offer Statistics'!$AL$2:$AL$400),0)),"/")</f>
        <v>426</v>
      </c>
      <c r="AN24" s="64" cm="1">
        <f t="array" ref="AN24">IFERROR(INDEX('Offer Statistics'!AP$2:AP$400,MATCH(1,($A24='Offer Statistics'!$AK$2:$AK$400)*($AB$2='Offer Statistics'!$AL$2:$AL$400),0)),"/")</f>
        <v>557</v>
      </c>
      <c r="AO24" s="64" cm="1">
        <f t="array" ref="AO24">IFERROR(INDEX('Offer Statistics'!AQ$2:AQ$400,MATCH(1,($A24='Offer Statistics'!$AK$2:$AK$400)*($AB$2='Offer Statistics'!$AL$2:$AL$400),0)),"/")</f>
        <v>432</v>
      </c>
      <c r="AP24" s="15"/>
      <c r="AQ24" s="15" t="str">
        <f t="shared" si="3"/>
        <v>JS3478</v>
      </c>
    </row>
    <row r="25" spans="1:43" s="156" customFormat="1" ht="18" customHeight="1">
      <c r="A25" s="4" t="str">
        <f>'Reference Score Calculation'!A116</f>
        <v>JS3557</v>
      </c>
      <c r="B25" s="4" t="str">
        <f>'Reference Score Calculation'!C116</f>
        <v>工程學院</v>
      </c>
      <c r="C25" s="4" t="str">
        <f>'Reference Score Calculation'!D116</f>
        <v>產品及工業工程(榮譽)工學士組合課程 (產品工程兼市場學 / 工業及系統工程學)</v>
      </c>
      <c r="D25" s="4" t="str">
        <f>'Reference Score Calculation'!R116</f>
        <v>PROD &amp; INDUSTRIAL ENGG</v>
      </c>
      <c r="E25" s="392" t="str">
        <f>'Reference Score Calculation'!AB116</f>
        <v>Best 5</v>
      </c>
      <c r="F25" s="421" t="str">
        <f>'Reference Score Calculation'!E116</f>
        <v>Best 5</v>
      </c>
      <c r="G25" s="260">
        <f>'Reference Score Calculation'!H116</f>
        <v>146</v>
      </c>
      <c r="H25" s="260">
        <f>'Reference Score Calculation'!I116</f>
        <v>144.5</v>
      </c>
      <c r="I25" s="261">
        <f>計分版!J139</f>
        <v>1.5049999999999999E-8</v>
      </c>
      <c r="J25" s="25">
        <f t="shared" si="0"/>
        <v>-145.99999998494999</v>
      </c>
      <c r="K25" s="155">
        <f t="shared" si="1"/>
        <v>-9700996676.7408638</v>
      </c>
      <c r="L25" s="36">
        <f>'Reference Score Calculation'!T116</f>
        <v>52</v>
      </c>
      <c r="M25" s="263">
        <f>入學要求!Z125</f>
        <v>0</v>
      </c>
      <c r="N25" s="516"/>
      <c r="O25" s="269">
        <f>入學要求!L125</f>
        <v>3</v>
      </c>
      <c r="P25" s="269">
        <f>入學要求!M125</f>
        <v>3</v>
      </c>
      <c r="Q25" s="269">
        <f>入學要求!N125</f>
        <v>2</v>
      </c>
      <c r="R25" s="269">
        <f>入學要求!O125</f>
        <v>1</v>
      </c>
      <c r="S25" s="269">
        <f>入學要求!P125</f>
        <v>3</v>
      </c>
      <c r="T25" s="269">
        <f>入學要求!Q125</f>
        <v>3</v>
      </c>
      <c r="U25" s="256">
        <f>入學要求!S125</f>
        <v>0</v>
      </c>
      <c r="V25" s="256">
        <f>入學要求!T125</f>
        <v>0</v>
      </c>
      <c r="W25" s="256">
        <f>入學要求!U125</f>
        <v>0</v>
      </c>
      <c r="X25" s="256">
        <f>入學要求!V125</f>
        <v>0</v>
      </c>
      <c r="Y25" s="256">
        <f>入學要求!W125</f>
        <v>0</v>
      </c>
      <c r="Z25" s="256">
        <f>入學要求!X125</f>
        <v>0</v>
      </c>
      <c r="AA25" s="421">
        <f t="shared" si="2"/>
        <v>13.77</v>
      </c>
      <c r="AB25" s="510"/>
      <c r="AC25" s="36" cm="1">
        <f t="array" ref="AC25">IFERROR(INDEX('Offer Statistics'!$AZ$2:$AZ$400,MATCH(1,($A25='Offer Statistics'!$AK$2:$AK$400)*($AB$2='Offer Statistics'!$AL$2:$AL$400),0)),"/")</f>
        <v>45</v>
      </c>
      <c r="AD25" s="64" cm="1">
        <f t="array" ref="AD25">IFERROR(INDEX('Offer Statistics'!AU$2:AU$400,MATCH(1,($A25='Offer Statistics'!$AK$2:$AK$400)*($AB$2='Offer Statistics'!$AL$2:$AL$400),0)),"/")</f>
        <v>30</v>
      </c>
      <c r="AE25" s="64" cm="1">
        <f t="array" ref="AE25">IFERROR(INDEX('Offer Statistics'!AV$2:AV$400,MATCH(1,($A25='Offer Statistics'!$AK$2:$AK$400)*($AB$2='Offer Statistics'!$AL$2:$AL$400),0)),"/")</f>
        <v>11</v>
      </c>
      <c r="AF25" s="64" cm="1">
        <f t="array" ref="AF25">IFERROR(INDEX('Offer Statistics'!AW$2:AW$400,MATCH(1,($A25='Offer Statistics'!$AK$2:$AK$400)*($AB$2='Offer Statistics'!$AL$2:$AL$400),0)),"/")</f>
        <v>3</v>
      </c>
      <c r="AG25" s="64" cm="1">
        <f t="array" ref="AG25">IFERROR(INDEX('Offer Statistics'!AX$2:AX$400,MATCH(1,($A25='Offer Statistics'!$AK$2:$AK$400)*($AB$2='Offer Statistics'!$AL$2:$AL$400),0)),"/")</f>
        <v>0</v>
      </c>
      <c r="AH25" s="64" cm="1">
        <f t="array" ref="AH25">IFERROR(INDEX('Offer Statistics'!AY$2:AY$400,MATCH(1,($A25='Offer Statistics'!$AK$2:$AK$400)*($AB$2='Offer Statistics'!$AL$2:$AL$400),0)),"/")</f>
        <v>1</v>
      </c>
      <c r="AI25" s="511"/>
      <c r="AJ25" s="36" cm="1">
        <f t="array" ref="AJ25">IFERROR(INDEX('Offer Statistics'!$AR$2:$AR$400,MATCH(1,($A25='Offer Statistics'!$AK$2:$AK$400)*($AB$2='Offer Statistics'!$AL$2:$AL$400),0)),"/")</f>
        <v>3023</v>
      </c>
      <c r="AK25" s="64" cm="1">
        <f t="array" ref="AK25">IFERROR(INDEX('Offer Statistics'!AM$2:AM$400,MATCH(1,($A25='Offer Statistics'!$AK$2:$AK$400)*($AB$2='Offer Statistics'!$AL$2:$AL$400),0)),"/")</f>
        <v>413</v>
      </c>
      <c r="AL25" s="64" cm="1">
        <f t="array" ref="AL25">IFERROR(INDEX('Offer Statistics'!AN$2:AN$400,MATCH(1,($A25='Offer Statistics'!$AK$2:$AK$400)*($AB$2='Offer Statistics'!$AL$2:$AL$400),0)),"/")</f>
        <v>471</v>
      </c>
      <c r="AM25" s="64" cm="1">
        <f t="array" ref="AM25">IFERROR(INDEX('Offer Statistics'!AO$2:AO$400,MATCH(1,($A25='Offer Statistics'!$AK$2:$AK$400)*($AB$2='Offer Statistics'!$AL$2:$AL$400),0)),"/")</f>
        <v>638</v>
      </c>
      <c r="AN25" s="64" cm="1">
        <f t="array" ref="AN25">IFERROR(INDEX('Offer Statistics'!AP$2:AP$400,MATCH(1,($A25='Offer Statistics'!$AK$2:$AK$400)*($AB$2='Offer Statistics'!$AL$2:$AL$400),0)),"/")</f>
        <v>828</v>
      </c>
      <c r="AO25" s="64" cm="1">
        <f t="array" ref="AO25">IFERROR(INDEX('Offer Statistics'!AQ$2:AQ$400,MATCH(1,($A25='Offer Statistics'!$AK$2:$AK$400)*($AB$2='Offer Statistics'!$AL$2:$AL$400),0)),"/")</f>
        <v>673</v>
      </c>
      <c r="AP25" s="15"/>
      <c r="AQ25" s="15" t="str">
        <f t="shared" si="3"/>
        <v>JS3557</v>
      </c>
    </row>
    <row r="26" spans="1:43" ht="18" customHeight="1">
      <c r="A26" s="4" t="str">
        <f>'Reference Score Calculation'!A117</f>
        <v>JS3569</v>
      </c>
      <c r="B26" s="4" t="str">
        <f>'Reference Score Calculation'!C117</f>
        <v>設計學院</v>
      </c>
      <c r="C26" s="4" t="str">
        <f>'Reference Score Calculation'!D117</f>
        <v>設計學(榮譽)文學士組合課程 (廣告設計/環境設計/信息設計/交互設計/室内設計/媒體設計/產品設計/服務創新設計/社會創新設計)</v>
      </c>
      <c r="D26" s="4" t="str">
        <f>'Reference Score Calculation'!R117</f>
        <v>DESIGN</v>
      </c>
      <c r="E26" s="392" t="str">
        <f>'Reference Score Calculation'!AB117</f>
        <v>Best 5</v>
      </c>
      <c r="F26" s="421" t="str">
        <f>'Reference Score Calculation'!E117</f>
        <v>Best 5</v>
      </c>
      <c r="G26" s="260">
        <f>'Reference Score Calculation'!H117</f>
        <v>220</v>
      </c>
      <c r="H26" s="260">
        <f>'Reference Score Calculation'!I117</f>
        <v>210</v>
      </c>
      <c r="I26" s="261">
        <f>計分版!J140</f>
        <v>1.625E-8</v>
      </c>
      <c r="J26" s="25">
        <f t="shared" si="0"/>
        <v>-219.99999998375</v>
      </c>
      <c r="K26" s="155">
        <f t="shared" si="1"/>
        <v>-13538461537.461538</v>
      </c>
      <c r="L26" s="36">
        <f>'Reference Score Calculation'!T117</f>
        <v>80</v>
      </c>
      <c r="M26" s="263">
        <f>入學要求!Z126</f>
        <v>0</v>
      </c>
      <c r="N26" s="516"/>
      <c r="O26" s="269">
        <f>入學要求!L126</f>
        <v>3</v>
      </c>
      <c r="P26" s="269">
        <f>入學要求!M126</f>
        <v>3</v>
      </c>
      <c r="Q26" s="269">
        <f>入學要求!N126</f>
        <v>2</v>
      </c>
      <c r="R26" s="269">
        <f>入學要求!O126</f>
        <v>1</v>
      </c>
      <c r="S26" s="269">
        <f>入學要求!P126</f>
        <v>3</v>
      </c>
      <c r="T26" s="269">
        <f>入學要求!Q126</f>
        <v>3</v>
      </c>
      <c r="U26" s="256">
        <f>入學要求!S126</f>
        <v>0</v>
      </c>
      <c r="V26" s="256">
        <f>入學要求!T126</f>
        <v>0</v>
      </c>
      <c r="W26" s="256">
        <f>入學要求!U126</f>
        <v>0</v>
      </c>
      <c r="X26" s="256">
        <f>入學要求!V126</f>
        <v>0</v>
      </c>
      <c r="Y26" s="256">
        <f>入學要求!W126</f>
        <v>0</v>
      </c>
      <c r="Z26" s="256">
        <f>入學要求!X126</f>
        <v>0</v>
      </c>
      <c r="AA26" s="421">
        <f t="shared" si="2"/>
        <v>13.03</v>
      </c>
      <c r="AB26" s="510"/>
      <c r="AC26" s="36" cm="1">
        <f t="array" ref="AC26">IFERROR(INDEX('Offer Statistics'!$AZ$2:$AZ$400,MATCH(1,($A26='Offer Statistics'!$AK$2:$AK$400)*($AB$2='Offer Statistics'!$AL$2:$AL$400),0)),"/")</f>
        <v>74</v>
      </c>
      <c r="AD26" s="64" cm="1">
        <f t="array" ref="AD26">IFERROR(INDEX('Offer Statistics'!AU$2:AU$400,MATCH(1,($A26='Offer Statistics'!$AK$2:$AK$400)*($AB$2='Offer Statistics'!$AL$2:$AL$400),0)),"/")</f>
        <v>74</v>
      </c>
      <c r="AE26" s="64" cm="1">
        <f t="array" ref="AE26">IFERROR(INDEX('Offer Statistics'!AV$2:AV$400,MATCH(1,($A26='Offer Statistics'!$AK$2:$AK$400)*($AB$2='Offer Statistics'!$AL$2:$AL$400),0)),"/")</f>
        <v>0</v>
      </c>
      <c r="AF26" s="64" cm="1">
        <f t="array" ref="AF26">IFERROR(INDEX('Offer Statistics'!AW$2:AW$400,MATCH(1,($A26='Offer Statistics'!$AK$2:$AK$400)*($AB$2='Offer Statistics'!$AL$2:$AL$400),0)),"/")</f>
        <v>0</v>
      </c>
      <c r="AG26" s="64" cm="1">
        <f t="array" ref="AG26">IFERROR(INDEX('Offer Statistics'!AX$2:AX$400,MATCH(1,($A26='Offer Statistics'!$AK$2:$AK$400)*($AB$2='Offer Statistics'!$AL$2:$AL$400),0)),"/")</f>
        <v>0</v>
      </c>
      <c r="AH26" s="64" cm="1">
        <f t="array" ref="AH26">IFERROR(INDEX('Offer Statistics'!AY$2:AY$400,MATCH(1,($A26='Offer Statistics'!$AK$2:$AK$400)*($AB$2='Offer Statistics'!$AL$2:$AL$400),0)),"/")</f>
        <v>0</v>
      </c>
      <c r="AI26" s="511"/>
      <c r="AJ26" s="36" cm="1">
        <f t="array" ref="AJ26">IFERROR(INDEX('Offer Statistics'!$AR$2:$AR$400,MATCH(1,($A26='Offer Statistics'!$AK$2:$AK$400)*($AB$2='Offer Statistics'!$AL$2:$AL$400),0)),"/")</f>
        <v>3318</v>
      </c>
      <c r="AK26" s="64" cm="1">
        <f t="array" ref="AK26">IFERROR(INDEX('Offer Statistics'!AM$2:AM$400,MATCH(1,($A26='Offer Statistics'!$AK$2:$AK$400)*($AB$2='Offer Statistics'!$AL$2:$AL$400),0)),"/")</f>
        <v>964</v>
      </c>
      <c r="AL26" s="64" cm="1">
        <f t="array" ref="AL26">IFERROR(INDEX('Offer Statistics'!AN$2:AN$400,MATCH(1,($A26='Offer Statistics'!$AK$2:$AK$400)*($AB$2='Offer Statistics'!$AL$2:$AL$400),0)),"/")</f>
        <v>510</v>
      </c>
      <c r="AM26" s="64" cm="1">
        <f t="array" ref="AM26">IFERROR(INDEX('Offer Statistics'!AO$2:AO$400,MATCH(1,($A26='Offer Statistics'!$AK$2:$AK$400)*($AB$2='Offer Statistics'!$AL$2:$AL$400),0)),"/")</f>
        <v>625</v>
      </c>
      <c r="AN26" s="64" cm="1">
        <f t="array" ref="AN26">IFERROR(INDEX('Offer Statistics'!AP$2:AP$400,MATCH(1,($A26='Offer Statistics'!$AK$2:$AK$400)*($AB$2='Offer Statistics'!$AL$2:$AL$400),0)),"/")</f>
        <v>684</v>
      </c>
      <c r="AO26" s="64" cm="1">
        <f t="array" ref="AO26">IFERROR(INDEX('Offer Statistics'!AQ$2:AQ$400,MATCH(1,($A26='Offer Statistics'!$AK$2:$AK$400)*($AB$2='Offer Statistics'!$AL$2:$AL$400),0)),"/")</f>
        <v>535</v>
      </c>
      <c r="AP26" s="15"/>
      <c r="AQ26" s="15" t="str">
        <f t="shared" si="3"/>
        <v>JS3569</v>
      </c>
    </row>
    <row r="27" spans="1:43" s="156" customFormat="1" ht="18" customHeight="1">
      <c r="A27" s="4" t="str">
        <f>'Reference Score Calculation'!A118</f>
        <v>JS3571</v>
      </c>
      <c r="B27" s="4" t="str">
        <f>'Reference Score Calculation'!C118</f>
        <v>工程學院</v>
      </c>
      <c r="C27" s="4" t="str">
        <f>'Reference Score Calculation'!D118</f>
        <v>物流及企業工程(榮譽)理學士組合課程 (物流工程兼管理學 / 企業工程兼管理學)</v>
      </c>
      <c r="D27" s="4" t="str">
        <f>'Reference Score Calculation'!R118</f>
        <v>LOG &amp; ENTERPRISE ENGG</v>
      </c>
      <c r="E27" s="392" t="str">
        <f>'Reference Score Calculation'!AB118</f>
        <v>Best 5</v>
      </c>
      <c r="F27" s="36" t="str">
        <f>'Reference Score Calculation'!E118</f>
        <v>Best 5</v>
      </c>
      <c r="G27" s="260">
        <f>'Reference Score Calculation'!H118</f>
        <v>146</v>
      </c>
      <c r="H27" s="260">
        <f>'Reference Score Calculation'!I118</f>
        <v>142</v>
      </c>
      <c r="I27" s="261">
        <f>計分版!J141</f>
        <v>1.5049999999999999E-8</v>
      </c>
      <c r="J27" s="25">
        <f t="shared" si="0"/>
        <v>-145.99999998494999</v>
      </c>
      <c r="K27" s="155">
        <f t="shared" si="1"/>
        <v>-9700996676.7408638</v>
      </c>
      <c r="L27" s="36">
        <f>'Reference Score Calculation'!T118</f>
        <v>49</v>
      </c>
      <c r="M27" s="263">
        <f>入學要求!Z127</f>
        <v>0</v>
      </c>
      <c r="N27" s="516"/>
      <c r="O27" s="269">
        <f>入學要求!L127</f>
        <v>3</v>
      </c>
      <c r="P27" s="269">
        <f>入學要求!M127</f>
        <v>3</v>
      </c>
      <c r="Q27" s="269">
        <f>入學要求!N127</f>
        <v>2</v>
      </c>
      <c r="R27" s="269">
        <f>入學要求!O127</f>
        <v>1</v>
      </c>
      <c r="S27" s="269">
        <f>入學要求!P127</f>
        <v>3</v>
      </c>
      <c r="T27" s="269">
        <f>入學要求!Q127</f>
        <v>3</v>
      </c>
      <c r="U27" s="256">
        <f>入學要求!S127</f>
        <v>0</v>
      </c>
      <c r="V27" s="256">
        <f>入學要求!T127</f>
        <v>0</v>
      </c>
      <c r="W27" s="256">
        <f>入學要求!U127</f>
        <v>0</v>
      </c>
      <c r="X27" s="256">
        <f>入學要求!V127</f>
        <v>0</v>
      </c>
      <c r="Y27" s="256">
        <f>入學要求!W127</f>
        <v>0</v>
      </c>
      <c r="Z27" s="256">
        <f>入學要求!X127</f>
        <v>0</v>
      </c>
      <c r="AA27" s="421">
        <f t="shared" si="2"/>
        <v>11.7</v>
      </c>
      <c r="AB27" s="510"/>
      <c r="AC27" s="36" cm="1">
        <f t="array" ref="AC27">IFERROR(INDEX('Offer Statistics'!$AZ$2:$AZ$400,MATCH(1,($A27='Offer Statistics'!$AK$2:$AK$400)*($AB$2='Offer Statistics'!$AL$2:$AL$400),0)),"/")</f>
        <v>40</v>
      </c>
      <c r="AD27" s="64" cm="1">
        <f t="array" ref="AD27">IFERROR(INDEX('Offer Statistics'!AU$2:AU$400,MATCH(1,($A27='Offer Statistics'!$AK$2:$AK$400)*($AB$2='Offer Statistics'!$AL$2:$AL$400),0)),"/")</f>
        <v>27</v>
      </c>
      <c r="AE27" s="64" cm="1">
        <f t="array" ref="AE27">IFERROR(INDEX('Offer Statistics'!AV$2:AV$400,MATCH(1,($A27='Offer Statistics'!$AK$2:$AK$400)*($AB$2='Offer Statistics'!$AL$2:$AL$400),0)),"/")</f>
        <v>6</v>
      </c>
      <c r="AF27" s="64" cm="1">
        <f t="array" ref="AF27">IFERROR(INDEX('Offer Statistics'!AW$2:AW$400,MATCH(1,($A27='Offer Statistics'!$AK$2:$AK$400)*($AB$2='Offer Statistics'!$AL$2:$AL$400),0)),"/")</f>
        <v>4</v>
      </c>
      <c r="AG27" s="64" cm="1">
        <f t="array" ref="AG27">IFERROR(INDEX('Offer Statistics'!AX$2:AX$400,MATCH(1,($A27='Offer Statistics'!$AK$2:$AK$400)*($AB$2='Offer Statistics'!$AL$2:$AL$400),0)),"/")</f>
        <v>1</v>
      </c>
      <c r="AH27" s="64" cm="1">
        <f t="array" ref="AH27">IFERROR(INDEX('Offer Statistics'!AY$2:AY$400,MATCH(1,($A27='Offer Statistics'!$AK$2:$AK$400)*($AB$2='Offer Statistics'!$AL$2:$AL$400),0)),"/")</f>
        <v>2</v>
      </c>
      <c r="AI27" s="511"/>
      <c r="AJ27" s="36" cm="1">
        <f t="array" ref="AJ27">IFERROR(INDEX('Offer Statistics'!$AR$2:$AR$400,MATCH(1,($A27='Offer Statistics'!$AK$2:$AK$400)*($AB$2='Offer Statistics'!$AL$2:$AL$400),0)),"/")</f>
        <v>2778</v>
      </c>
      <c r="AK27" s="64" cm="1">
        <f t="array" ref="AK27">IFERROR(INDEX('Offer Statistics'!AM$2:AM$400,MATCH(1,($A27='Offer Statistics'!$AK$2:$AK$400)*($AB$2='Offer Statistics'!$AL$2:$AL$400),0)),"/")</f>
        <v>316</v>
      </c>
      <c r="AL27" s="64" cm="1">
        <f t="array" ref="AL27">IFERROR(INDEX('Offer Statistics'!AN$2:AN$400,MATCH(1,($A27='Offer Statistics'!$AK$2:$AK$400)*($AB$2='Offer Statistics'!$AL$2:$AL$400),0)),"/")</f>
        <v>421</v>
      </c>
      <c r="AM27" s="64" cm="1">
        <f t="array" ref="AM27">IFERROR(INDEX('Offer Statistics'!AO$2:AO$400,MATCH(1,($A27='Offer Statistics'!$AK$2:$AK$400)*($AB$2='Offer Statistics'!$AL$2:$AL$400),0)),"/")</f>
        <v>634</v>
      </c>
      <c r="AN27" s="64" cm="1">
        <f t="array" ref="AN27">IFERROR(INDEX('Offer Statistics'!AP$2:AP$400,MATCH(1,($A27='Offer Statistics'!$AK$2:$AK$400)*($AB$2='Offer Statistics'!$AL$2:$AL$400),0)),"/")</f>
        <v>764</v>
      </c>
      <c r="AO27" s="64" cm="1">
        <f t="array" ref="AO27">IFERROR(INDEX('Offer Statistics'!AQ$2:AQ$400,MATCH(1,($A27='Offer Statistics'!$AK$2:$AK$400)*($AB$2='Offer Statistics'!$AL$2:$AL$400),0)),"/")</f>
        <v>643</v>
      </c>
      <c r="AP27" s="15"/>
      <c r="AQ27" s="15" t="str">
        <f t="shared" si="3"/>
        <v>JS3571</v>
      </c>
    </row>
    <row r="28" spans="1:43" s="156" customFormat="1" ht="18" customHeight="1">
      <c r="A28" s="4" t="str">
        <f>'Reference Score Calculation'!A119</f>
        <v>JS3612</v>
      </c>
      <c r="B28" s="4" t="str">
        <f>'Reference Score Calculation'!C119</f>
        <v>醫療及社會科學院</v>
      </c>
      <c r="C28" s="4" t="str">
        <f>'Reference Score Calculation'!D119</f>
        <v>醫療化驗科學及放射學(榮譽)理學士組合課程 - 放射學(榮譽)理學士</v>
      </c>
      <c r="D28" s="4" t="str">
        <f>'Reference Score Calculation'!R119</f>
        <v>RADIOGRAPHY</v>
      </c>
      <c r="E28" s="392" t="str">
        <f>'Reference Score Calculation'!AB119</f>
        <v>Best 5</v>
      </c>
      <c r="F28" s="36" t="str">
        <f>'Reference Score Calculation'!E119</f>
        <v>Best 6</v>
      </c>
      <c r="G28" s="260">
        <f>'Reference Score Calculation'!H119</f>
        <v>360</v>
      </c>
      <c r="H28" s="260">
        <f>'Reference Score Calculation'!I119</f>
        <v>345</v>
      </c>
      <c r="I28" s="261">
        <f>計分版!J142</f>
        <v>1.7250000000000002E-8</v>
      </c>
      <c r="J28" s="25">
        <f t="shared" si="0"/>
        <v>-359.99999998275001</v>
      </c>
      <c r="K28" s="155">
        <f t="shared" si="1"/>
        <v>-20869565216.391304</v>
      </c>
      <c r="L28" s="36">
        <f>'Reference Score Calculation'!T119</f>
        <v>115</v>
      </c>
      <c r="M28" s="263">
        <f>入學要求!Z128</f>
        <v>0</v>
      </c>
      <c r="N28" s="516"/>
      <c r="O28" s="269">
        <f>入學要求!L128</f>
        <v>3</v>
      </c>
      <c r="P28" s="269">
        <f>入學要求!M128</f>
        <v>3</v>
      </c>
      <c r="Q28" s="269">
        <f>入學要求!N128</f>
        <v>2</v>
      </c>
      <c r="R28" s="269">
        <f>入學要求!O128</f>
        <v>1</v>
      </c>
      <c r="S28" s="269">
        <f>入學要求!P128</f>
        <v>3</v>
      </c>
      <c r="T28" s="269">
        <f>入學要求!Q128</f>
        <v>3</v>
      </c>
      <c r="U28" s="256">
        <f>入學要求!S128</f>
        <v>0</v>
      </c>
      <c r="V28" s="256">
        <f>入學要求!T128</f>
        <v>0</v>
      </c>
      <c r="W28" s="256">
        <f>入學要求!U128</f>
        <v>0</v>
      </c>
      <c r="X28" s="256">
        <f>入學要求!V128</f>
        <v>0</v>
      </c>
      <c r="Y28" s="256">
        <f>入學要求!W128</f>
        <v>0</v>
      </c>
      <c r="Z28" s="256">
        <f>入學要求!X128</f>
        <v>0</v>
      </c>
      <c r="AA28" s="421">
        <f t="shared" si="2"/>
        <v>4.62</v>
      </c>
      <c r="AB28" s="510"/>
      <c r="AC28" s="36" cm="1">
        <f t="array" ref="AC28">IFERROR(INDEX('Offer Statistics'!$AZ$2:$AZ$400,MATCH(1,($A28='Offer Statistics'!$AK$2:$AK$400)*($AB$2='Offer Statistics'!$AL$2:$AL$400),0)),"/")</f>
        <v>120</v>
      </c>
      <c r="AD28" s="64" cm="1">
        <f t="array" ref="AD28">IFERROR(INDEX('Offer Statistics'!AU$2:AU$400,MATCH(1,($A28='Offer Statistics'!$AK$2:$AK$400)*($AB$2='Offer Statistics'!$AL$2:$AL$400),0)),"/")</f>
        <v>119</v>
      </c>
      <c r="AE28" s="64" cm="1">
        <f t="array" ref="AE28">IFERROR(INDEX('Offer Statistics'!AV$2:AV$400,MATCH(1,($A28='Offer Statistics'!$AK$2:$AK$400)*($AB$2='Offer Statistics'!$AL$2:$AL$400),0)),"/")</f>
        <v>1</v>
      </c>
      <c r="AF28" s="64" cm="1">
        <f t="array" ref="AF28">IFERROR(INDEX('Offer Statistics'!AW$2:AW$400,MATCH(1,($A28='Offer Statistics'!$AK$2:$AK$400)*($AB$2='Offer Statistics'!$AL$2:$AL$400),0)),"/")</f>
        <v>0</v>
      </c>
      <c r="AG28" s="64" cm="1">
        <f t="array" ref="AG28">IFERROR(INDEX('Offer Statistics'!AX$2:AX$400,MATCH(1,($A28='Offer Statistics'!$AK$2:$AK$400)*($AB$2='Offer Statistics'!$AL$2:$AL$400),0)),"/")</f>
        <v>0</v>
      </c>
      <c r="AH28" s="64" cm="1">
        <f t="array" ref="AH28">IFERROR(INDEX('Offer Statistics'!AY$2:AY$400,MATCH(1,($A28='Offer Statistics'!$AK$2:$AK$400)*($AB$2='Offer Statistics'!$AL$2:$AL$400),0)),"/")</f>
        <v>0</v>
      </c>
      <c r="AI28" s="511"/>
      <c r="AJ28" s="36" cm="1">
        <f t="array" ref="AJ28">IFERROR(INDEX('Offer Statistics'!$AR$2:$AR$400,MATCH(1,($A28='Offer Statistics'!$AK$2:$AK$400)*($AB$2='Offer Statistics'!$AL$2:$AL$400),0)),"/")</f>
        <v>2151</v>
      </c>
      <c r="AK28" s="64" cm="1">
        <f t="array" ref="AK28">IFERROR(INDEX('Offer Statistics'!AM$2:AM$400,MATCH(1,($A28='Offer Statistics'!$AK$2:$AK$400)*($AB$2='Offer Statistics'!$AL$2:$AL$400),0)),"/")</f>
        <v>550</v>
      </c>
      <c r="AL28" s="64" cm="1">
        <f t="array" ref="AL28">IFERROR(INDEX('Offer Statistics'!AN$2:AN$400,MATCH(1,($A28='Offer Statistics'!$AK$2:$AK$400)*($AB$2='Offer Statistics'!$AL$2:$AL$400),0)),"/")</f>
        <v>293</v>
      </c>
      <c r="AM28" s="64" cm="1">
        <f t="array" ref="AM28">IFERROR(INDEX('Offer Statistics'!AO$2:AO$400,MATCH(1,($A28='Offer Statistics'!$AK$2:$AK$400)*($AB$2='Offer Statistics'!$AL$2:$AL$400),0)),"/")</f>
        <v>351</v>
      </c>
      <c r="AN28" s="64" cm="1">
        <f t="array" ref="AN28">IFERROR(INDEX('Offer Statistics'!AP$2:AP$400,MATCH(1,($A28='Offer Statistics'!$AK$2:$AK$400)*($AB$2='Offer Statistics'!$AL$2:$AL$400),0)),"/")</f>
        <v>488</v>
      </c>
      <c r="AO28" s="64" cm="1">
        <f t="array" ref="AO28">IFERROR(INDEX('Offer Statistics'!AQ$2:AQ$400,MATCH(1,($A28='Offer Statistics'!$AK$2:$AK$400)*($AB$2='Offer Statistics'!$AL$2:$AL$400),0)),"/")</f>
        <v>469</v>
      </c>
      <c r="AP28" s="15"/>
      <c r="AQ28" s="15" t="str">
        <f t="shared" si="3"/>
        <v>JS3612</v>
      </c>
    </row>
    <row r="29" spans="1:43" s="156" customFormat="1" ht="18" customHeight="1">
      <c r="A29" s="4" t="str">
        <f>'Reference Score Calculation'!A120</f>
        <v>JS3624</v>
      </c>
      <c r="B29" s="4" t="str">
        <f>'Reference Score Calculation'!C120</f>
        <v>醫療及社會科學院</v>
      </c>
      <c r="C29" s="4" t="str">
        <f>'Reference Score Calculation'!D120</f>
        <v>康復治療科學(榮譽)理學士組合課程 - 職業治療學(榮譽)理學士</v>
      </c>
      <c r="D29" s="4" t="str">
        <f>'Reference Score Calculation'!R120</f>
        <v>OCCUPATIONAL THERAPY</v>
      </c>
      <c r="E29" s="392" t="str">
        <f>'Reference Score Calculation'!AB120</f>
        <v>Best 5</v>
      </c>
      <c r="F29" s="36" t="str">
        <f>'Reference Score Calculation'!E120</f>
        <v>Best 6</v>
      </c>
      <c r="G29" s="260">
        <f>'Reference Score Calculation'!H120</f>
        <v>312</v>
      </c>
      <c r="H29" s="260">
        <f>'Reference Score Calculation'!I120</f>
        <v>307.5</v>
      </c>
      <c r="I29" s="261">
        <f>計分版!J143</f>
        <v>1.6350000000000001E-8</v>
      </c>
      <c r="J29" s="25">
        <f t="shared" si="0"/>
        <v>-311.99999998365001</v>
      </c>
      <c r="K29" s="155">
        <f t="shared" si="1"/>
        <v>-19082568806.339451</v>
      </c>
      <c r="L29" s="36">
        <f>'Reference Score Calculation'!T120</f>
        <v>100</v>
      </c>
      <c r="M29" s="263">
        <f>入學要求!Z129</f>
        <v>0</v>
      </c>
      <c r="N29" s="516"/>
      <c r="O29" s="269">
        <f>入學要求!L129</f>
        <v>3</v>
      </c>
      <c r="P29" s="269">
        <f>入學要求!M129</f>
        <v>3</v>
      </c>
      <c r="Q29" s="269">
        <f>入學要求!N129</f>
        <v>2</v>
      </c>
      <c r="R29" s="269">
        <f>入學要求!O129</f>
        <v>1</v>
      </c>
      <c r="S29" s="269">
        <f>入學要求!P129</f>
        <v>3</v>
      </c>
      <c r="T29" s="269">
        <f>入學要求!Q129</f>
        <v>3</v>
      </c>
      <c r="U29" s="256">
        <f>入學要求!S129</f>
        <v>0</v>
      </c>
      <c r="V29" s="256">
        <f>入學要求!T129</f>
        <v>0</v>
      </c>
      <c r="W29" s="256">
        <f>入學要求!U129</f>
        <v>0</v>
      </c>
      <c r="X29" s="256">
        <f>入學要求!V129</f>
        <v>0</v>
      </c>
      <c r="Y29" s="256">
        <f>入學要求!W129</f>
        <v>0</v>
      </c>
      <c r="Z29" s="256">
        <f>入學要求!X129</f>
        <v>0</v>
      </c>
      <c r="AA29" s="421">
        <f t="shared" si="2"/>
        <v>4.03</v>
      </c>
      <c r="AB29" s="510"/>
      <c r="AC29" s="36" cm="1">
        <f t="array" ref="AC29">IFERROR(INDEX('Offer Statistics'!$AZ$2:$AZ$400,MATCH(1,($A29='Offer Statistics'!$AK$2:$AK$400)*($AB$2='Offer Statistics'!$AL$2:$AL$400),0)),"/")</f>
        <v>93</v>
      </c>
      <c r="AD29" s="64" cm="1">
        <f t="array" ref="AD29">IFERROR(INDEX('Offer Statistics'!AU$2:AU$400,MATCH(1,($A29='Offer Statistics'!$AK$2:$AK$400)*($AB$2='Offer Statistics'!$AL$2:$AL$400),0)),"/")</f>
        <v>93</v>
      </c>
      <c r="AE29" s="64" cm="1">
        <f t="array" ref="AE29">IFERROR(INDEX('Offer Statistics'!AV$2:AV$400,MATCH(1,($A29='Offer Statistics'!$AK$2:$AK$400)*($AB$2='Offer Statistics'!$AL$2:$AL$400),0)),"/")</f>
        <v>0</v>
      </c>
      <c r="AF29" s="64" cm="1">
        <f t="array" ref="AF29">IFERROR(INDEX('Offer Statistics'!AW$2:AW$400,MATCH(1,($A29='Offer Statistics'!$AK$2:$AK$400)*($AB$2='Offer Statistics'!$AL$2:$AL$400),0)),"/")</f>
        <v>0</v>
      </c>
      <c r="AG29" s="64" cm="1">
        <f t="array" ref="AG29">IFERROR(INDEX('Offer Statistics'!AX$2:AX$400,MATCH(1,($A29='Offer Statistics'!$AK$2:$AK$400)*($AB$2='Offer Statistics'!$AL$2:$AL$400),0)),"/")</f>
        <v>0</v>
      </c>
      <c r="AH29" s="64" cm="1">
        <f t="array" ref="AH29">IFERROR(INDEX('Offer Statistics'!AY$2:AY$400,MATCH(1,($A29='Offer Statistics'!$AK$2:$AK$400)*($AB$2='Offer Statistics'!$AL$2:$AL$400),0)),"/")</f>
        <v>0</v>
      </c>
      <c r="AI29" s="511"/>
      <c r="AJ29" s="36" cm="1">
        <f t="array" ref="AJ29">IFERROR(INDEX('Offer Statistics'!$AR$2:$AR$400,MATCH(1,($A29='Offer Statistics'!$AK$2:$AK$400)*($AB$2='Offer Statistics'!$AL$2:$AL$400),0)),"/")</f>
        <v>2025</v>
      </c>
      <c r="AK29" s="64" cm="1">
        <f t="array" ref="AK29">IFERROR(INDEX('Offer Statistics'!AM$2:AM$400,MATCH(1,($A29='Offer Statistics'!$AK$2:$AK$400)*($AB$2='Offer Statistics'!$AL$2:$AL$400),0)),"/")</f>
        <v>375</v>
      </c>
      <c r="AL29" s="64" cm="1">
        <f t="array" ref="AL29">IFERROR(INDEX('Offer Statistics'!AN$2:AN$400,MATCH(1,($A29='Offer Statistics'!$AK$2:$AK$400)*($AB$2='Offer Statistics'!$AL$2:$AL$400),0)),"/")</f>
        <v>318</v>
      </c>
      <c r="AM29" s="64" cm="1">
        <f t="array" ref="AM29">IFERROR(INDEX('Offer Statistics'!AO$2:AO$400,MATCH(1,($A29='Offer Statistics'!$AK$2:$AK$400)*($AB$2='Offer Statistics'!$AL$2:$AL$400),0)),"/")</f>
        <v>391</v>
      </c>
      <c r="AN29" s="64" cm="1">
        <f t="array" ref="AN29">IFERROR(INDEX('Offer Statistics'!AP$2:AP$400,MATCH(1,($A29='Offer Statistics'!$AK$2:$AK$400)*($AB$2='Offer Statistics'!$AL$2:$AL$400),0)),"/")</f>
        <v>469</v>
      </c>
      <c r="AO29" s="64" cm="1">
        <f t="array" ref="AO29">IFERROR(INDEX('Offer Statistics'!AQ$2:AQ$400,MATCH(1,($A29='Offer Statistics'!$AK$2:$AK$400)*($AB$2='Offer Statistics'!$AL$2:$AL$400),0)),"/")</f>
        <v>472</v>
      </c>
      <c r="AP29" s="15"/>
      <c r="AQ29" s="15" t="str">
        <f t="shared" si="3"/>
        <v>JS3624</v>
      </c>
    </row>
    <row r="30" spans="1:43" s="156" customFormat="1" ht="18" customHeight="1">
      <c r="A30" s="4" t="str">
        <f>'Reference Score Calculation'!A121</f>
        <v>JS3636</v>
      </c>
      <c r="B30" s="4" t="str">
        <f>'Reference Score Calculation'!C121</f>
        <v>醫療及社會科學院</v>
      </c>
      <c r="C30" s="4" t="str">
        <f>'Reference Score Calculation'!D121</f>
        <v>康復治療科學(榮譽)理學士組合課程 - 物理治療學(榮譽)理學士</v>
      </c>
      <c r="D30" s="4" t="str">
        <f>'Reference Score Calculation'!R121</f>
        <v>PHYSIOTHERAPY</v>
      </c>
      <c r="E30" s="392" t="str">
        <f>'Reference Score Calculation'!AB121</f>
        <v>Best 5</v>
      </c>
      <c r="F30" s="36" t="str">
        <f>'Reference Score Calculation'!E121</f>
        <v>Best 6</v>
      </c>
      <c r="G30" s="260">
        <f>'Reference Score Calculation'!H121</f>
        <v>337.5</v>
      </c>
      <c r="H30" s="260">
        <f>'Reference Score Calculation'!I121</f>
        <v>327</v>
      </c>
      <c r="I30" s="261">
        <f>計分版!J144</f>
        <v>1.5349999999999998E-8</v>
      </c>
      <c r="J30" s="25">
        <f t="shared" si="0"/>
        <v>-337.49999998465</v>
      </c>
      <c r="K30" s="155">
        <f t="shared" si="1"/>
        <v>-21986970683.039089</v>
      </c>
      <c r="L30" s="36">
        <f>'Reference Score Calculation'!T121</f>
        <v>150</v>
      </c>
      <c r="M30" s="263">
        <f>入學要求!Z130</f>
        <v>0</v>
      </c>
      <c r="N30" s="516"/>
      <c r="O30" s="269">
        <f>入學要求!L130</f>
        <v>3</v>
      </c>
      <c r="P30" s="269">
        <f>入學要求!M130</f>
        <v>3</v>
      </c>
      <c r="Q30" s="269">
        <f>入學要求!N130</f>
        <v>2</v>
      </c>
      <c r="R30" s="269">
        <f>入學要求!O130</f>
        <v>1</v>
      </c>
      <c r="S30" s="269">
        <f>入學要求!P130</f>
        <v>3</v>
      </c>
      <c r="T30" s="269">
        <f>入學要求!Q130</f>
        <v>3</v>
      </c>
      <c r="U30" s="256">
        <f>入學要求!S130</f>
        <v>0</v>
      </c>
      <c r="V30" s="256">
        <f>入學要求!T130</f>
        <v>0</v>
      </c>
      <c r="W30" s="256">
        <f>入學要求!U130</f>
        <v>0</v>
      </c>
      <c r="X30" s="256">
        <f>入學要求!V130</f>
        <v>0</v>
      </c>
      <c r="Y30" s="256">
        <f>入學要求!W130</f>
        <v>0</v>
      </c>
      <c r="Z30" s="256">
        <f>入學要求!X130</f>
        <v>0</v>
      </c>
      <c r="AA30" s="421">
        <f t="shared" si="2"/>
        <v>3.48</v>
      </c>
      <c r="AB30" s="510"/>
      <c r="AC30" s="36" cm="1">
        <f t="array" ref="AC30">IFERROR(INDEX('Offer Statistics'!$AZ$2:$AZ$400,MATCH(1,($A30='Offer Statistics'!$AK$2:$AK$400)*($AB$2='Offer Statistics'!$AL$2:$AL$400),0)),"/")</f>
        <v>145</v>
      </c>
      <c r="AD30" s="64" cm="1">
        <f t="array" ref="AD30">IFERROR(INDEX('Offer Statistics'!AU$2:AU$400,MATCH(1,($A30='Offer Statistics'!$AK$2:$AK$400)*($AB$2='Offer Statistics'!$AL$2:$AL$400),0)),"/")</f>
        <v>142</v>
      </c>
      <c r="AE30" s="64" cm="1">
        <f t="array" ref="AE30">IFERROR(INDEX('Offer Statistics'!AV$2:AV$400,MATCH(1,($A30='Offer Statistics'!$AK$2:$AK$400)*($AB$2='Offer Statistics'!$AL$2:$AL$400),0)),"/")</f>
        <v>2</v>
      </c>
      <c r="AF30" s="64" cm="1">
        <f t="array" ref="AF30">IFERROR(INDEX('Offer Statistics'!AW$2:AW$400,MATCH(1,($A30='Offer Statistics'!$AK$2:$AK$400)*($AB$2='Offer Statistics'!$AL$2:$AL$400),0)),"/")</f>
        <v>0</v>
      </c>
      <c r="AG30" s="64" cm="1">
        <f t="array" ref="AG30">IFERROR(INDEX('Offer Statistics'!AX$2:AX$400,MATCH(1,($A30='Offer Statistics'!$AK$2:$AK$400)*($AB$2='Offer Statistics'!$AL$2:$AL$400),0)),"/")</f>
        <v>0</v>
      </c>
      <c r="AH30" s="64" cm="1">
        <f t="array" ref="AH30">IFERROR(INDEX('Offer Statistics'!AY$2:AY$400,MATCH(1,($A30='Offer Statistics'!$AK$2:$AK$400)*($AB$2='Offer Statistics'!$AL$2:$AL$400),0)),"/")</f>
        <v>1</v>
      </c>
      <c r="AI30" s="511"/>
      <c r="AJ30" s="36" cm="1">
        <f t="array" ref="AJ30">IFERROR(INDEX('Offer Statistics'!$AR$2:$AR$400,MATCH(1,($A30='Offer Statistics'!$AK$2:$AK$400)*($AB$2='Offer Statistics'!$AL$2:$AL$400),0)),"/")</f>
        <v>2302</v>
      </c>
      <c r="AK30" s="64" cm="1">
        <f t="array" ref="AK30">IFERROR(INDEX('Offer Statistics'!AM$2:AM$400,MATCH(1,($A30='Offer Statistics'!$AK$2:$AK$400)*($AB$2='Offer Statistics'!$AL$2:$AL$400),0)),"/")</f>
        <v>494</v>
      </c>
      <c r="AL30" s="64" cm="1">
        <f t="array" ref="AL30">IFERROR(INDEX('Offer Statistics'!AN$2:AN$400,MATCH(1,($A30='Offer Statistics'!$AK$2:$AK$400)*($AB$2='Offer Statistics'!$AL$2:$AL$400),0)),"/")</f>
        <v>326</v>
      </c>
      <c r="AM30" s="64" cm="1">
        <f t="array" ref="AM30">IFERROR(INDEX('Offer Statistics'!AO$2:AO$400,MATCH(1,($A30='Offer Statistics'!$AK$2:$AK$400)*($AB$2='Offer Statistics'!$AL$2:$AL$400),0)),"/")</f>
        <v>458</v>
      </c>
      <c r="AN30" s="64" cm="1">
        <f t="array" ref="AN30">IFERROR(INDEX('Offer Statistics'!AP$2:AP$400,MATCH(1,($A30='Offer Statistics'!$AK$2:$AK$400)*($AB$2='Offer Statistics'!$AL$2:$AL$400),0)),"/")</f>
        <v>494</v>
      </c>
      <c r="AO30" s="64" cm="1">
        <f t="array" ref="AO30">IFERROR(INDEX('Offer Statistics'!AQ$2:AQ$400,MATCH(1,($A30='Offer Statistics'!$AK$2:$AK$400)*($AB$2='Offer Statistics'!$AL$2:$AL$400),0)),"/")</f>
        <v>530</v>
      </c>
      <c r="AP30" s="15"/>
      <c r="AQ30" s="15" t="str">
        <f t="shared" si="3"/>
        <v>JS3636</v>
      </c>
    </row>
    <row r="31" spans="1:43" s="156" customFormat="1" ht="18" customHeight="1">
      <c r="A31" s="4" t="str">
        <f>'Reference Score Calculation'!A122</f>
        <v>JS3648</v>
      </c>
      <c r="B31" s="4" t="str">
        <f>'Reference Score Calculation'!C122</f>
        <v>醫療及社會科學院</v>
      </c>
      <c r="C31" s="4" t="str">
        <f>'Reference Score Calculation'!D122</f>
        <v>護理學(榮譽)理學士組合課程 - 護理學(榮譽)理學士</v>
      </c>
      <c r="D31" s="4" t="str">
        <f>'Reference Score Calculation'!R122</f>
        <v>NURSING</v>
      </c>
      <c r="E31" s="392" t="str">
        <f>'Reference Score Calculation'!AB122</f>
        <v>Best 5</v>
      </c>
      <c r="F31" s="419" t="str">
        <f>'Reference Score Calculation'!E122</f>
        <v>4C2X</v>
      </c>
      <c r="G31" s="260">
        <f>'Reference Score Calculation'!H122</f>
        <v>258.5</v>
      </c>
      <c r="H31" s="260">
        <f>'Reference Score Calculation'!I122</f>
        <v>253.5</v>
      </c>
      <c r="I31" s="261">
        <f>計分版!J145</f>
        <v>1.2500000000000001E-8</v>
      </c>
      <c r="J31" s="25">
        <f t="shared" si="0"/>
        <v>-258.49999998750002</v>
      </c>
      <c r="K31" s="155">
        <f t="shared" si="1"/>
        <v>-20679999999</v>
      </c>
      <c r="L31" s="36">
        <f>'Reference Score Calculation'!T122</f>
        <v>193</v>
      </c>
      <c r="M31" s="263">
        <f>入學要求!Z131</f>
        <v>0</v>
      </c>
      <c r="N31" s="516"/>
      <c r="O31" s="269">
        <f>入學要求!L131</f>
        <v>3</v>
      </c>
      <c r="P31" s="269">
        <f>入學要求!M131</f>
        <v>3</v>
      </c>
      <c r="Q31" s="269">
        <f>入學要求!N131</f>
        <v>2</v>
      </c>
      <c r="R31" s="269">
        <f>入學要求!O131</f>
        <v>1</v>
      </c>
      <c r="S31" s="269">
        <f>入學要求!P131</f>
        <v>3</v>
      </c>
      <c r="T31" s="269">
        <f>入學要求!Q131</f>
        <v>3</v>
      </c>
      <c r="U31" s="256">
        <f>入學要求!S131</f>
        <v>0</v>
      </c>
      <c r="V31" s="256">
        <f>入學要求!T131</f>
        <v>0</v>
      </c>
      <c r="W31" s="256">
        <f>入學要求!U131</f>
        <v>0</v>
      </c>
      <c r="X31" s="256">
        <f>入學要求!V131</f>
        <v>0</v>
      </c>
      <c r="Y31" s="256">
        <f>入學要求!W131</f>
        <v>0</v>
      </c>
      <c r="Z31" s="256">
        <f>入學要求!X131</f>
        <v>0</v>
      </c>
      <c r="AA31" s="421">
        <f t="shared" si="2"/>
        <v>6.11</v>
      </c>
      <c r="AB31" s="510"/>
      <c r="AC31" s="36" cm="1">
        <f t="array" ref="AC31">IFERROR(INDEX('Offer Statistics'!$AZ$2:$AZ$400,MATCH(1,($A31='Offer Statistics'!$AK$2:$AK$400)*($AB$2='Offer Statistics'!$AL$2:$AL$400),0)),"/")</f>
        <v>193</v>
      </c>
      <c r="AD31" s="64" cm="1">
        <f t="array" ref="AD31">IFERROR(INDEX('Offer Statistics'!AU$2:AU$400,MATCH(1,($A31='Offer Statistics'!$AK$2:$AK$400)*($AB$2='Offer Statistics'!$AL$2:$AL$400),0)),"/")</f>
        <v>184</v>
      </c>
      <c r="AE31" s="64" cm="1">
        <f t="array" ref="AE31">IFERROR(INDEX('Offer Statistics'!AV$2:AV$400,MATCH(1,($A31='Offer Statistics'!$AK$2:$AK$400)*($AB$2='Offer Statistics'!$AL$2:$AL$400),0)),"/")</f>
        <v>2</v>
      </c>
      <c r="AF31" s="64" cm="1">
        <f t="array" ref="AF31">IFERROR(INDEX('Offer Statistics'!AW$2:AW$400,MATCH(1,($A31='Offer Statistics'!$AK$2:$AK$400)*($AB$2='Offer Statistics'!$AL$2:$AL$400),0)),"/")</f>
        <v>7</v>
      </c>
      <c r="AG31" s="64" cm="1">
        <f t="array" ref="AG31">IFERROR(INDEX('Offer Statistics'!AX$2:AX$400,MATCH(1,($A31='Offer Statistics'!$AK$2:$AK$400)*($AB$2='Offer Statistics'!$AL$2:$AL$400),0)),"/")</f>
        <v>0</v>
      </c>
      <c r="AH31" s="64" cm="1">
        <f t="array" ref="AH31">IFERROR(INDEX('Offer Statistics'!AY$2:AY$400,MATCH(1,($A31='Offer Statistics'!$AK$2:$AK$400)*($AB$2='Offer Statistics'!$AL$2:$AL$400),0)),"/")</f>
        <v>0</v>
      </c>
      <c r="AI31" s="511"/>
      <c r="AJ31" s="36" cm="1">
        <f t="array" ref="AJ31">IFERROR(INDEX('Offer Statistics'!$AR$2:$AR$400,MATCH(1,($A31='Offer Statistics'!$AK$2:$AK$400)*($AB$2='Offer Statistics'!$AL$2:$AL$400),0)),"/")</f>
        <v>4594</v>
      </c>
      <c r="AK31" s="64" cm="1">
        <f t="array" ref="AK31">IFERROR(INDEX('Offer Statistics'!AM$2:AM$400,MATCH(1,($A31='Offer Statistics'!$AK$2:$AK$400)*($AB$2='Offer Statistics'!$AL$2:$AL$400),0)),"/")</f>
        <v>1125</v>
      </c>
      <c r="AL31" s="64" cm="1">
        <f t="array" ref="AL31">IFERROR(INDEX('Offer Statistics'!AN$2:AN$400,MATCH(1,($A31='Offer Statistics'!$AK$2:$AK$400)*($AB$2='Offer Statistics'!$AL$2:$AL$400),0)),"/")</f>
        <v>875</v>
      </c>
      <c r="AM31" s="64" cm="1">
        <f t="array" ref="AM31">IFERROR(INDEX('Offer Statistics'!AO$2:AO$400,MATCH(1,($A31='Offer Statistics'!$AK$2:$AK$400)*($AB$2='Offer Statistics'!$AL$2:$AL$400),0)),"/")</f>
        <v>912</v>
      </c>
      <c r="AN31" s="64" cm="1">
        <f t="array" ref="AN31">IFERROR(INDEX('Offer Statistics'!AP$2:AP$400,MATCH(1,($A31='Offer Statistics'!$AK$2:$AK$400)*($AB$2='Offer Statistics'!$AL$2:$AL$400),0)),"/")</f>
        <v>938</v>
      </c>
      <c r="AO31" s="64" cm="1">
        <f t="array" ref="AO31">IFERROR(INDEX('Offer Statistics'!AQ$2:AQ$400,MATCH(1,($A31='Offer Statistics'!$AK$2:$AK$400)*($AB$2='Offer Statistics'!$AL$2:$AL$400),0)),"/")</f>
        <v>744</v>
      </c>
      <c r="AP31" s="15"/>
      <c r="AQ31" s="15" t="str">
        <f t="shared" si="3"/>
        <v>JS3648</v>
      </c>
    </row>
    <row r="32" spans="1:43" s="156" customFormat="1" ht="18" customHeight="1">
      <c r="A32" s="4" t="str">
        <f>'Reference Score Calculation'!A123</f>
        <v>JS3741</v>
      </c>
      <c r="B32" s="4" t="str">
        <f>'Reference Score Calculation'!C123</f>
        <v>工程學院</v>
      </c>
      <c r="C32" s="4" t="str">
        <f>'Reference Score Calculation'!D123</f>
        <v>機械工程學(榮譽)工學士組合課程 (機械工程學 / 產品分析及工程設計學)</v>
      </c>
      <c r="D32" s="4" t="str">
        <f>'Reference Score Calculation'!R123</f>
        <v>MECHANICAL ENGG</v>
      </c>
      <c r="E32" s="392" t="str">
        <f>'Reference Score Calculation'!AB123</f>
        <v>Best 5</v>
      </c>
      <c r="F32" s="419" t="str">
        <f>'Reference Score Calculation'!E123</f>
        <v>Best 5</v>
      </c>
      <c r="G32" s="260">
        <f>'Reference Score Calculation'!H123</f>
        <v>180</v>
      </c>
      <c r="H32" s="260">
        <f>'Reference Score Calculation'!I123</f>
        <v>178</v>
      </c>
      <c r="I32" s="261">
        <f>計分版!J146</f>
        <v>1.7550000000000002E-8</v>
      </c>
      <c r="J32" s="25">
        <f t="shared" si="0"/>
        <v>-179.99999998244999</v>
      </c>
      <c r="K32" s="155">
        <f t="shared" si="1"/>
        <v>-10256410255.410255</v>
      </c>
      <c r="L32" s="36">
        <f>'Reference Score Calculation'!T123</f>
        <v>59</v>
      </c>
      <c r="M32" s="263">
        <f>入學要求!Z132</f>
        <v>0</v>
      </c>
      <c r="N32" s="516"/>
      <c r="O32" s="269">
        <f>入學要求!L132</f>
        <v>3</v>
      </c>
      <c r="P32" s="269">
        <f>入學要求!M132</f>
        <v>3</v>
      </c>
      <c r="Q32" s="269">
        <f>入學要求!N132</f>
        <v>2</v>
      </c>
      <c r="R32" s="269">
        <f>入學要求!O132</f>
        <v>1</v>
      </c>
      <c r="S32" s="269">
        <f>入學要求!P132</f>
        <v>3</v>
      </c>
      <c r="T32" s="269">
        <f>入學要求!Q132</f>
        <v>3</v>
      </c>
      <c r="U32" s="256">
        <f>入學要求!S132</f>
        <v>0</v>
      </c>
      <c r="V32" s="256">
        <f>入學要求!T132</f>
        <v>0</v>
      </c>
      <c r="W32" s="256">
        <f>入學要求!U132</f>
        <v>0</v>
      </c>
      <c r="X32" s="256">
        <f>入學要求!V132</f>
        <v>0</v>
      </c>
      <c r="Y32" s="256">
        <f>入學要求!W132</f>
        <v>0</v>
      </c>
      <c r="Z32" s="256">
        <f>入學要求!X132</f>
        <v>0</v>
      </c>
      <c r="AA32" s="421">
        <f t="shared" si="2"/>
        <v>14.52</v>
      </c>
      <c r="AB32" s="510"/>
      <c r="AC32" s="36" cm="1">
        <f t="array" ref="AC32">IFERROR(INDEX('Offer Statistics'!$AZ$2:$AZ$400,MATCH(1,($A32='Offer Statistics'!$AK$2:$AK$400)*($AB$2='Offer Statistics'!$AL$2:$AL$400),0)),"/")</f>
        <v>49</v>
      </c>
      <c r="AD32" s="64" cm="1">
        <f t="array" ref="AD32">IFERROR(INDEX('Offer Statistics'!AU$2:AU$400,MATCH(1,($A32='Offer Statistics'!$AK$2:$AK$400)*($AB$2='Offer Statistics'!$AL$2:$AL$400),0)),"/")</f>
        <v>46</v>
      </c>
      <c r="AE32" s="64" cm="1">
        <f t="array" ref="AE32">IFERROR(INDEX('Offer Statistics'!AV$2:AV$400,MATCH(1,($A32='Offer Statistics'!$AK$2:$AK$400)*($AB$2='Offer Statistics'!$AL$2:$AL$400),0)),"/")</f>
        <v>3</v>
      </c>
      <c r="AF32" s="64" cm="1">
        <f t="array" ref="AF32">IFERROR(INDEX('Offer Statistics'!AW$2:AW$400,MATCH(1,($A32='Offer Statistics'!$AK$2:$AK$400)*($AB$2='Offer Statistics'!$AL$2:$AL$400),0)),"/")</f>
        <v>0</v>
      </c>
      <c r="AG32" s="64" cm="1">
        <f t="array" ref="AG32">IFERROR(INDEX('Offer Statistics'!AX$2:AX$400,MATCH(1,($A32='Offer Statistics'!$AK$2:$AK$400)*($AB$2='Offer Statistics'!$AL$2:$AL$400),0)),"/")</f>
        <v>0</v>
      </c>
      <c r="AH32" s="64" cm="1">
        <f t="array" ref="AH32">IFERROR(INDEX('Offer Statistics'!AY$2:AY$400,MATCH(1,($A32='Offer Statistics'!$AK$2:$AK$400)*($AB$2='Offer Statistics'!$AL$2:$AL$400),0)),"/")</f>
        <v>0</v>
      </c>
      <c r="AI32" s="511"/>
      <c r="AJ32" s="36" cm="1">
        <f t="array" ref="AJ32">IFERROR(INDEX('Offer Statistics'!$AR$2:$AR$400,MATCH(1,($A32='Offer Statistics'!$AK$2:$AK$400)*($AB$2='Offer Statistics'!$AL$2:$AL$400),0)),"/")</f>
        <v>4023</v>
      </c>
      <c r="AK32" s="64" cm="1">
        <f t="array" ref="AK32">IFERROR(INDEX('Offer Statistics'!AM$2:AM$400,MATCH(1,($A32='Offer Statistics'!$AK$2:$AK$400)*($AB$2='Offer Statistics'!$AL$2:$AL$400),0)),"/")</f>
        <v>668</v>
      </c>
      <c r="AL32" s="64" cm="1">
        <f t="array" ref="AL32">IFERROR(INDEX('Offer Statistics'!AN$2:AN$400,MATCH(1,($A32='Offer Statistics'!$AK$2:$AK$400)*($AB$2='Offer Statistics'!$AL$2:$AL$400),0)),"/")</f>
        <v>739</v>
      </c>
      <c r="AM32" s="64" cm="1">
        <f t="array" ref="AM32">IFERROR(INDEX('Offer Statistics'!AO$2:AO$400,MATCH(1,($A32='Offer Statistics'!$AK$2:$AK$400)*($AB$2='Offer Statistics'!$AL$2:$AL$400),0)),"/")</f>
        <v>920</v>
      </c>
      <c r="AN32" s="64" cm="1">
        <f t="array" ref="AN32">IFERROR(INDEX('Offer Statistics'!AP$2:AP$400,MATCH(1,($A32='Offer Statistics'!$AK$2:$AK$400)*($AB$2='Offer Statistics'!$AL$2:$AL$400),0)),"/")</f>
        <v>993</v>
      </c>
      <c r="AO32" s="64" cm="1">
        <f t="array" ref="AO32">IFERROR(INDEX('Offer Statistics'!AQ$2:AQ$400,MATCH(1,($A32='Offer Statistics'!$AK$2:$AK$400)*($AB$2='Offer Statistics'!$AL$2:$AL$400),0)),"/")</f>
        <v>703</v>
      </c>
      <c r="AP32" s="15"/>
      <c r="AQ32" s="15" t="str">
        <f t="shared" si="3"/>
        <v>JS3741</v>
      </c>
    </row>
    <row r="33" spans="1:44" s="156" customFormat="1" ht="18" customHeight="1">
      <c r="A33" s="4" t="str">
        <f>'Reference Score Calculation'!A124</f>
        <v>JS3868</v>
      </c>
      <c r="B33" s="4" t="str">
        <f>'Reference Score Calculation'!C124</f>
        <v>工程學院</v>
      </c>
      <c r="C33" s="4" t="str">
        <f>'Reference Score Calculation'!D124</f>
        <v>電子計算及人工智能(榮譽)理學士組合課程 (計算機科學 / 金融科技及人工智能 / 企業信息管理)</v>
      </c>
      <c r="D33" s="4" t="str">
        <f>'Reference Score Calculation'!R124</f>
        <v>COMPUTING &amp; AI</v>
      </c>
      <c r="E33" s="392" t="str">
        <f>'Reference Score Calculation'!AB124</f>
        <v>Best 5</v>
      </c>
      <c r="F33" s="36" t="str">
        <f>'Reference Score Calculation'!E124</f>
        <v>Best 5</v>
      </c>
      <c r="G33" s="260">
        <f>'Reference Score Calculation'!H124</f>
        <v>208</v>
      </c>
      <c r="H33" s="260">
        <f>'Reference Score Calculation'!I124</f>
        <v>195</v>
      </c>
      <c r="I33" s="261">
        <f>計分版!J147</f>
        <v>1.7550000000000002E-8</v>
      </c>
      <c r="J33" s="25">
        <f t="shared" si="0"/>
        <v>-207.99999998244999</v>
      </c>
      <c r="K33" s="155">
        <f t="shared" si="1"/>
        <v>-11851851850.851851</v>
      </c>
      <c r="L33" s="36">
        <f>'Reference Score Calculation'!T124</f>
        <v>113</v>
      </c>
      <c r="M33" s="264">
        <f>入學要求!Z133</f>
        <v>0</v>
      </c>
      <c r="N33" s="516"/>
      <c r="O33" s="270">
        <f>入學要求!L133</f>
        <v>3</v>
      </c>
      <c r="P33" s="270">
        <f>入學要求!M133</f>
        <v>3</v>
      </c>
      <c r="Q33" s="270">
        <f>入學要求!N133</f>
        <v>2</v>
      </c>
      <c r="R33" s="270">
        <f>入學要求!O133</f>
        <v>1</v>
      </c>
      <c r="S33" s="270">
        <f>入學要求!P133</f>
        <v>3</v>
      </c>
      <c r="T33" s="270">
        <f>入學要求!Q133</f>
        <v>3</v>
      </c>
      <c r="U33" s="256">
        <f>入學要求!S133</f>
        <v>0</v>
      </c>
      <c r="V33" s="256">
        <f>入學要求!T133</f>
        <v>0</v>
      </c>
      <c r="W33" s="256">
        <f>入學要求!U133</f>
        <v>0</v>
      </c>
      <c r="X33" s="256">
        <f>入學要求!V133</f>
        <v>0</v>
      </c>
      <c r="Y33" s="256">
        <f>入學要求!W133</f>
        <v>0</v>
      </c>
      <c r="Z33" s="256">
        <f>入學要求!X133</f>
        <v>0</v>
      </c>
      <c r="AA33" s="421">
        <f t="shared" si="2"/>
        <v>12.14</v>
      </c>
      <c r="AB33" s="510"/>
      <c r="AC33" s="36" cm="1">
        <f t="array" ref="AC33">IFERROR(INDEX('Offer Statistics'!$AZ$2:$AZ$400,MATCH(1,($A33='Offer Statistics'!$AK$2:$AK$400)*($AB$2='Offer Statistics'!$AL$2:$AL$400),0)),"/")</f>
        <v>87</v>
      </c>
      <c r="AD33" s="64" cm="1">
        <f t="array" ref="AD33">IFERROR(INDEX('Offer Statistics'!AU$2:AU$400,MATCH(1,($A33='Offer Statistics'!$AK$2:$AK$400)*($AB$2='Offer Statistics'!$AL$2:$AL$400),0)),"/")</f>
        <v>83</v>
      </c>
      <c r="AE33" s="64" cm="1">
        <f t="array" ref="AE33">IFERROR(INDEX('Offer Statistics'!AV$2:AV$400,MATCH(1,($A33='Offer Statistics'!$AK$2:$AK$400)*($AB$2='Offer Statistics'!$AL$2:$AL$400),0)),"/")</f>
        <v>1</v>
      </c>
      <c r="AF33" s="64" cm="1">
        <f t="array" ref="AF33">IFERROR(INDEX('Offer Statistics'!AW$2:AW$400,MATCH(1,($A33='Offer Statistics'!$AK$2:$AK$400)*($AB$2='Offer Statistics'!$AL$2:$AL$400),0)),"/")</f>
        <v>1</v>
      </c>
      <c r="AG33" s="64" cm="1">
        <f t="array" ref="AG33">IFERROR(INDEX('Offer Statistics'!AX$2:AX$400,MATCH(1,($A33='Offer Statistics'!$AK$2:$AK$400)*($AB$2='Offer Statistics'!$AL$2:$AL$400),0)),"/")</f>
        <v>1</v>
      </c>
      <c r="AH33" s="64" cm="1">
        <f t="array" ref="AH33">IFERROR(INDEX('Offer Statistics'!AY$2:AY$400,MATCH(1,($A33='Offer Statistics'!$AK$2:$AK$400)*($AB$2='Offer Statistics'!$AL$2:$AL$400),0)),"/")</f>
        <v>1</v>
      </c>
      <c r="AI33" s="511"/>
      <c r="AJ33" s="36" cm="1">
        <f t="array" ref="AJ33">IFERROR(INDEX('Offer Statistics'!$AR$2:$AR$400,MATCH(1,($A33='Offer Statistics'!$AK$2:$AK$400)*($AB$2='Offer Statistics'!$AL$2:$AL$400),0)),"/")</f>
        <v>4382</v>
      </c>
      <c r="AK33" s="64" cm="1">
        <f t="array" ref="AK33">IFERROR(INDEX('Offer Statistics'!AM$2:AM$400,MATCH(1,($A33='Offer Statistics'!$AK$2:$AK$400)*($AB$2='Offer Statistics'!$AL$2:$AL$400),0)),"/")</f>
        <v>1008</v>
      </c>
      <c r="AL33" s="64" cm="1">
        <f t="array" ref="AL33">IFERROR(INDEX('Offer Statistics'!AN$2:AN$400,MATCH(1,($A33='Offer Statistics'!$AK$2:$AK$400)*($AB$2='Offer Statistics'!$AL$2:$AL$400),0)),"/")</f>
        <v>915</v>
      </c>
      <c r="AM33" s="64" cm="1">
        <f t="array" ref="AM33">IFERROR(INDEX('Offer Statistics'!AO$2:AO$400,MATCH(1,($A33='Offer Statistics'!$AK$2:$AK$400)*($AB$2='Offer Statistics'!$AL$2:$AL$400),0)),"/")</f>
        <v>909</v>
      </c>
      <c r="AN33" s="64" cm="1">
        <f t="array" ref="AN33">IFERROR(INDEX('Offer Statistics'!AP$2:AP$400,MATCH(1,($A33='Offer Statistics'!$AK$2:$AK$400)*($AB$2='Offer Statistics'!$AL$2:$AL$400),0)),"/")</f>
        <v>941</v>
      </c>
      <c r="AO33" s="64" cm="1">
        <f t="array" ref="AO33">IFERROR(INDEX('Offer Statistics'!AQ$2:AQ$400,MATCH(1,($A33='Offer Statistics'!$AK$2:$AK$400)*($AB$2='Offer Statistics'!$AL$2:$AL$400),0)),"/")</f>
        <v>609</v>
      </c>
      <c r="AP33" s="15"/>
      <c r="AQ33" s="15" t="str">
        <f t="shared" si="3"/>
        <v>JS3868</v>
      </c>
    </row>
    <row r="34" spans="1:44" ht="18" customHeight="1">
      <c r="A34" s="4" t="str">
        <f>'Reference Score Calculation'!A125</f>
        <v>JS3910</v>
      </c>
      <c r="B34" s="4" t="str">
        <f>'Reference Score Calculation'!C125</f>
        <v>理學院</v>
      </c>
      <c r="C34" s="4" t="str">
        <f>'Reference Score Calculation'!D125</f>
        <v>食品科技與食物安全(榮譽)理學士組合課程</v>
      </c>
      <c r="D34" s="4" t="str">
        <f>'Reference Score Calculation'!R125</f>
        <v>FOOD SAFETY &amp; TECH</v>
      </c>
      <c r="E34" s="392" t="str">
        <f>'Reference Score Calculation'!AB125</f>
        <v>Best 5</v>
      </c>
      <c r="F34" s="419" t="str">
        <f>'Reference Score Calculation'!E125</f>
        <v>Best 5</v>
      </c>
      <c r="G34" s="260">
        <f>'Reference Score Calculation'!H125</f>
        <v>188</v>
      </c>
      <c r="H34" s="260">
        <f>'Reference Score Calculation'!I125</f>
        <v>179</v>
      </c>
      <c r="I34" s="261">
        <f>計分版!J148</f>
        <v>1.7E-8</v>
      </c>
      <c r="J34" s="25">
        <f t="shared" ref="J34" si="4">IFERROR(IF(J$1="差距(Median)",I34-G34,IF(J$1="差距(LQ)",I34-H34)),"/")</f>
        <v>-187.99999998300001</v>
      </c>
      <c r="K34" s="155">
        <f t="shared" ref="K34" si="5">IFERROR(IF(J$1="差距(Median)",(I34-G34)/I34,IF(J$1="差距(LQ)",(I34-H34)/I34)),"/")</f>
        <v>-11058823528.411766</v>
      </c>
      <c r="L34" s="36">
        <f>'Reference Score Calculation'!T125</f>
        <v>37</v>
      </c>
      <c r="M34" s="264">
        <f>入學要求!Z134</f>
        <v>0</v>
      </c>
      <c r="N34" s="516"/>
      <c r="O34" s="270">
        <f>入學要求!L134</f>
        <v>3</v>
      </c>
      <c r="P34" s="270">
        <f>入學要求!M134</f>
        <v>3</v>
      </c>
      <c r="Q34" s="270">
        <f>入學要求!N134</f>
        <v>2</v>
      </c>
      <c r="R34" s="270">
        <f>入學要求!O134</f>
        <v>1</v>
      </c>
      <c r="S34" s="270">
        <f>入學要求!P134</f>
        <v>3</v>
      </c>
      <c r="T34" s="270">
        <f>入學要求!Q134</f>
        <v>3</v>
      </c>
      <c r="U34" s="256">
        <f>入學要求!S134</f>
        <v>0</v>
      </c>
      <c r="V34" s="256">
        <f>入學要求!T134</f>
        <v>0</v>
      </c>
      <c r="W34" s="256">
        <f>入學要求!U134</f>
        <v>0</v>
      </c>
      <c r="X34" s="256">
        <f>入學要求!V134</f>
        <v>0</v>
      </c>
      <c r="Y34" s="256">
        <f>入學要求!W134</f>
        <v>0</v>
      </c>
      <c r="Z34" s="256">
        <f>入學要求!X134</f>
        <v>0</v>
      </c>
      <c r="AA34" s="421" t="str">
        <f t="shared" ref="AA34" si="6">IFERROR(ROUND(AK34/AD34,2),"/")</f>
        <v>/</v>
      </c>
      <c r="AB34" s="510"/>
      <c r="AC34" s="36" t="str" cm="1">
        <f t="array" ref="AC34">IFERROR(INDEX('Offer Statistics'!$AZ$2:$AZ$400,MATCH(1,($A34='Offer Statistics'!$AK$2:$AK$400)*($AB$2='Offer Statistics'!$AL$2:$AL$400),0)),"/")</f>
        <v>/</v>
      </c>
      <c r="AD34" s="64" t="str" cm="1">
        <f t="array" ref="AD34">IFERROR(INDEX('Offer Statistics'!AU$2:AU$400,MATCH(1,($A34='Offer Statistics'!$AK$2:$AK$400)*($AB$2='Offer Statistics'!$AL$2:$AL$400),0)),"/")</f>
        <v>/</v>
      </c>
      <c r="AE34" s="64" t="str" cm="1">
        <f t="array" ref="AE34">IFERROR(INDEX('Offer Statistics'!AV$2:AV$400,MATCH(1,($A34='Offer Statistics'!$AK$2:$AK$400)*($AB$2='Offer Statistics'!$AL$2:$AL$400),0)),"/")</f>
        <v>/</v>
      </c>
      <c r="AF34" s="64" t="str" cm="1">
        <f t="array" ref="AF34">IFERROR(INDEX('Offer Statistics'!AW$2:AW$400,MATCH(1,($A34='Offer Statistics'!$AK$2:$AK$400)*($AB$2='Offer Statistics'!$AL$2:$AL$400),0)),"/")</f>
        <v>/</v>
      </c>
      <c r="AG34" s="64" t="str" cm="1">
        <f t="array" ref="AG34">IFERROR(INDEX('Offer Statistics'!AX$2:AX$400,MATCH(1,($A34='Offer Statistics'!$AK$2:$AK$400)*($AB$2='Offer Statistics'!$AL$2:$AL$400),0)),"/")</f>
        <v>/</v>
      </c>
      <c r="AH34" s="64" t="str" cm="1">
        <f t="array" ref="AH34">IFERROR(INDEX('Offer Statistics'!AY$2:AY$400,MATCH(1,($A34='Offer Statistics'!$AK$2:$AK$400)*($AB$2='Offer Statistics'!$AL$2:$AL$400),0)),"/")</f>
        <v>/</v>
      </c>
      <c r="AI34" s="511"/>
      <c r="AJ34" s="36" t="str" cm="1">
        <f t="array" ref="AJ34">IFERROR(INDEX('Offer Statistics'!$AR$2:$AR$400,MATCH(1,($A34='Offer Statistics'!$AK$2:$AK$400)*($AB$2='Offer Statistics'!$AL$2:$AL$400),0)),"/")</f>
        <v>/</v>
      </c>
      <c r="AK34" s="64" t="str" cm="1">
        <f t="array" ref="AK34">IFERROR(INDEX('Offer Statistics'!AM$2:AM$400,MATCH(1,($A34='Offer Statistics'!$AK$2:$AK$400)*($AB$2='Offer Statistics'!$AL$2:$AL$400),0)),"/")</f>
        <v>/</v>
      </c>
      <c r="AL34" s="64" t="str" cm="1">
        <f t="array" ref="AL34">IFERROR(INDEX('Offer Statistics'!AN$2:AN$400,MATCH(1,($A34='Offer Statistics'!$AK$2:$AK$400)*($AB$2='Offer Statistics'!$AL$2:$AL$400),0)),"/")</f>
        <v>/</v>
      </c>
      <c r="AM34" s="64" t="str" cm="1">
        <f t="array" ref="AM34">IFERROR(INDEX('Offer Statistics'!AO$2:AO$400,MATCH(1,($A34='Offer Statistics'!$AK$2:$AK$400)*($AB$2='Offer Statistics'!$AL$2:$AL$400),0)),"/")</f>
        <v>/</v>
      </c>
      <c r="AN34" s="64" t="str" cm="1">
        <f t="array" ref="AN34">IFERROR(INDEX('Offer Statistics'!AP$2:AP$400,MATCH(1,($A34='Offer Statistics'!$AK$2:$AK$400)*($AB$2='Offer Statistics'!$AL$2:$AL$400),0)),"/")</f>
        <v>/</v>
      </c>
      <c r="AO34" s="64" t="str" cm="1">
        <f t="array" ref="AO34">IFERROR(INDEX('Offer Statistics'!AQ$2:AQ$400,MATCH(1,($A34='Offer Statistics'!$AK$2:$AK$400)*($AB$2='Offer Statistics'!$AL$2:$AL$400),0)),"/")</f>
        <v>/</v>
      </c>
      <c r="AP34" s="15"/>
      <c r="AQ34" s="15" t="str">
        <f t="shared" ref="AQ34" si="7">A34</f>
        <v>JS3910</v>
      </c>
    </row>
    <row r="35" spans="1:44" ht="18" customHeight="1">
      <c r="A35" s="29"/>
      <c r="B35" s="29"/>
      <c r="C35" s="29"/>
      <c r="D35" s="29"/>
      <c r="E35" s="29"/>
      <c r="F35" s="34"/>
      <c r="G35" s="29"/>
      <c r="H35" s="29"/>
      <c r="I35" s="34"/>
      <c r="J35" s="29"/>
      <c r="K35" s="29"/>
      <c r="L35" s="29"/>
      <c r="M35" s="34"/>
      <c r="N35" s="34"/>
      <c r="O35" s="29"/>
      <c r="P35" s="29"/>
      <c r="Q35" s="29"/>
      <c r="R35" s="29"/>
      <c r="S35" s="29"/>
      <c r="T35" s="29"/>
      <c r="U35" s="34"/>
      <c r="V35" s="34"/>
      <c r="W35" s="34"/>
      <c r="X35" s="34"/>
      <c r="Y35" s="34"/>
      <c r="Z35" s="34"/>
      <c r="AA35" s="34"/>
      <c r="AB35" s="29"/>
      <c r="AC35" s="29"/>
      <c r="AD35" s="29"/>
      <c r="AE35" s="29"/>
      <c r="AF35" s="29"/>
      <c r="AG35" s="29"/>
      <c r="AH35" s="29"/>
      <c r="AI35" s="29"/>
      <c r="AJ35" s="29"/>
      <c r="AK35" s="29"/>
      <c r="AL35" s="29"/>
      <c r="AM35" s="29"/>
      <c r="AN35" s="29"/>
      <c r="AO35" s="29"/>
      <c r="AP35" s="29"/>
      <c r="AQ35" s="29"/>
    </row>
    <row r="36" spans="1:44" ht="18" customHeight="1">
      <c r="A36" s="4" t="s">
        <v>3092</v>
      </c>
      <c r="B36" s="4"/>
      <c r="C36" s="4"/>
      <c r="D36" s="4"/>
      <c r="E36" s="4"/>
      <c r="F36" s="36"/>
      <c r="G36" s="15"/>
      <c r="H36" s="15"/>
      <c r="I36" s="15"/>
      <c r="J36" s="22"/>
      <c r="K36" s="23"/>
      <c r="L36" s="15"/>
      <c r="M36" s="15"/>
      <c r="N36" s="15"/>
      <c r="O36" s="15"/>
      <c r="P36" s="15"/>
      <c r="Q36" s="15"/>
      <c r="R36" s="15"/>
      <c r="S36" s="15"/>
      <c r="T36" s="15"/>
      <c r="U36" s="15"/>
      <c r="V36" s="15"/>
      <c r="W36" s="15"/>
      <c r="X36" s="15"/>
      <c r="Y36" s="15"/>
      <c r="Z36" s="15"/>
      <c r="AA36" s="15"/>
      <c r="AB36" s="29"/>
      <c r="AC36" s="29"/>
      <c r="AD36" s="29"/>
      <c r="AE36" s="29"/>
      <c r="AF36" s="29"/>
      <c r="AG36" s="29"/>
      <c r="AH36" s="29"/>
      <c r="AI36" s="29"/>
      <c r="AJ36" s="29"/>
      <c r="AK36" s="29"/>
      <c r="AL36" s="29"/>
      <c r="AM36" s="29"/>
      <c r="AN36" s="29"/>
      <c r="AO36" s="29"/>
      <c r="AP36" s="29"/>
      <c r="AQ36" s="29"/>
    </row>
    <row r="37" spans="1:44" ht="18" customHeight="1">
      <c r="A37" s="4" t="s">
        <v>163</v>
      </c>
      <c r="B37" s="4"/>
      <c r="C37" s="4"/>
      <c r="D37" s="4"/>
      <c r="E37" s="4"/>
      <c r="F37" s="36"/>
      <c r="G37" s="15"/>
      <c r="H37" s="15"/>
      <c r="I37" s="15"/>
      <c r="J37" s="22"/>
      <c r="K37" s="23"/>
      <c r="L37" s="15"/>
      <c r="M37" s="15"/>
      <c r="N37" s="15"/>
      <c r="O37" s="15"/>
      <c r="P37" s="15"/>
      <c r="Q37" s="15"/>
      <c r="R37" s="15"/>
      <c r="S37" s="15"/>
      <c r="T37" s="15"/>
      <c r="U37" s="15"/>
      <c r="V37" s="15"/>
      <c r="W37" s="15"/>
      <c r="X37" s="15"/>
      <c r="Y37" s="15"/>
      <c r="Z37" s="15"/>
      <c r="AA37" s="15"/>
      <c r="AB37" s="29"/>
      <c r="AC37" s="29"/>
      <c r="AD37" s="29"/>
      <c r="AE37" s="29"/>
      <c r="AF37" s="29"/>
      <c r="AG37" s="29"/>
      <c r="AH37" s="29"/>
      <c r="AI37" s="29"/>
      <c r="AJ37" s="29"/>
      <c r="AK37" s="29"/>
      <c r="AL37" s="29"/>
      <c r="AM37" s="29"/>
      <c r="AN37" s="29"/>
      <c r="AO37" s="29"/>
      <c r="AP37" s="29"/>
      <c r="AQ37" s="29"/>
    </row>
    <row r="38" spans="1:44" ht="18" customHeight="1">
      <c r="A38" s="4" t="s">
        <v>2805</v>
      </c>
      <c r="B38" s="4"/>
      <c r="C38" s="4"/>
      <c r="D38" s="4"/>
      <c r="E38" s="4"/>
      <c r="F38" s="36"/>
      <c r="G38" s="15"/>
      <c r="H38" s="15"/>
      <c r="I38" s="15"/>
      <c r="J38" s="22"/>
      <c r="K38" s="23"/>
      <c r="L38" s="15"/>
      <c r="M38" s="15"/>
      <c r="N38" s="15"/>
      <c r="O38" s="15"/>
      <c r="P38" s="15"/>
      <c r="Q38" s="15"/>
      <c r="R38" s="15"/>
      <c r="S38" s="15"/>
      <c r="T38" s="15"/>
      <c r="U38" s="15"/>
      <c r="V38" s="15"/>
      <c r="W38" s="15"/>
      <c r="X38" s="15"/>
      <c r="Y38" s="15"/>
      <c r="Z38" s="15"/>
      <c r="AA38" s="15"/>
      <c r="AB38" s="29"/>
      <c r="AC38" s="29"/>
      <c r="AD38" s="29"/>
      <c r="AE38" s="29"/>
      <c r="AF38" s="29"/>
      <c r="AG38" s="29"/>
      <c r="AH38" s="29"/>
      <c r="AI38" s="29"/>
      <c r="AJ38" s="29"/>
      <c r="AK38" s="29"/>
      <c r="AL38" s="29"/>
      <c r="AM38" s="29"/>
      <c r="AN38" s="29"/>
      <c r="AO38" s="29"/>
      <c r="AP38" s="29"/>
      <c r="AQ38" s="29"/>
    </row>
    <row r="39" spans="1:44" ht="18" customHeight="1">
      <c r="A39" s="4"/>
      <c r="B39" s="4"/>
      <c r="C39" s="4"/>
      <c r="D39" s="4"/>
      <c r="E39" s="4"/>
      <c r="F39" s="36"/>
      <c r="G39" s="15"/>
      <c r="H39" s="15"/>
      <c r="I39" s="15"/>
      <c r="J39" s="22"/>
      <c r="K39" s="23"/>
      <c r="L39" s="15"/>
      <c r="M39" s="15"/>
      <c r="N39" s="15"/>
      <c r="O39" s="15"/>
      <c r="P39" s="15"/>
      <c r="Q39" s="15"/>
      <c r="R39" s="15"/>
      <c r="S39" s="15"/>
      <c r="T39" s="15"/>
      <c r="U39" s="15"/>
      <c r="V39" s="15"/>
      <c r="W39" s="15"/>
      <c r="X39" s="15"/>
      <c r="Y39" s="15"/>
      <c r="Z39" s="15"/>
      <c r="AA39" s="15"/>
      <c r="AB39" s="29"/>
      <c r="AC39" s="29"/>
      <c r="AD39" s="29"/>
      <c r="AE39" s="29"/>
      <c r="AF39" s="29"/>
      <c r="AG39" s="29"/>
      <c r="AH39" s="29"/>
      <c r="AI39" s="29"/>
      <c r="AJ39" s="29"/>
      <c r="AK39" s="29"/>
      <c r="AL39" s="29"/>
      <c r="AM39" s="29"/>
      <c r="AN39" s="29"/>
      <c r="AO39" s="29"/>
      <c r="AP39" s="29"/>
      <c r="AQ39" s="29"/>
    </row>
    <row r="40" spans="1:44" ht="18" customHeight="1">
      <c r="A40" s="387" t="s">
        <v>2840</v>
      </c>
      <c r="B40" s="4" t="s">
        <v>2841</v>
      </c>
      <c r="C40" s="23"/>
      <c r="D40" s="4"/>
      <c r="E40" s="15"/>
      <c r="F40" s="15"/>
      <c r="G40" s="4"/>
      <c r="H40" s="4"/>
      <c r="I40" s="15"/>
      <c r="J40" s="4"/>
      <c r="K40" s="4"/>
      <c r="L40" s="36"/>
      <c r="M40" s="15"/>
      <c r="N40" s="4"/>
      <c r="O40" s="15"/>
      <c r="P40" s="15"/>
      <c r="Q40" s="15"/>
      <c r="R40" s="15"/>
      <c r="S40" s="15"/>
      <c r="T40" s="15"/>
      <c r="U40" s="15"/>
      <c r="V40" s="15"/>
      <c r="W40" s="15"/>
      <c r="X40" s="15"/>
      <c r="Y40" s="15"/>
      <c r="Z40" s="15"/>
      <c r="AA40" s="15"/>
      <c r="AB40" s="29"/>
      <c r="AC40" s="29"/>
      <c r="AD40" s="29"/>
      <c r="AE40" s="29"/>
      <c r="AF40" s="29"/>
      <c r="AG40" s="29"/>
      <c r="AH40" s="29"/>
      <c r="AI40" s="29"/>
      <c r="AJ40" s="29"/>
      <c r="AK40" s="29"/>
      <c r="AL40" s="29"/>
      <c r="AM40" s="29"/>
      <c r="AN40" s="29"/>
      <c r="AO40" s="29"/>
      <c r="AP40" s="29"/>
      <c r="AQ40" s="29"/>
    </row>
    <row r="41" spans="1:44" ht="18" customHeight="1">
      <c r="A41" s="23"/>
      <c r="B41" s="4" t="s">
        <v>2818</v>
      </c>
      <c r="C41" s="23"/>
      <c r="D41" s="4"/>
      <c r="E41" s="15"/>
      <c r="F41" s="15"/>
      <c r="G41" s="4"/>
      <c r="H41" s="4"/>
      <c r="I41" s="15"/>
      <c r="J41" s="4"/>
      <c r="K41" s="4"/>
      <c r="L41" s="36"/>
      <c r="M41" s="15"/>
      <c r="N41" s="4"/>
      <c r="O41" s="15"/>
      <c r="P41" s="15"/>
      <c r="Q41" s="15"/>
      <c r="R41" s="15"/>
      <c r="S41" s="15"/>
      <c r="T41" s="15"/>
      <c r="U41" s="15"/>
      <c r="V41" s="15"/>
      <c r="W41" s="15"/>
      <c r="X41" s="15"/>
      <c r="Y41" s="15"/>
      <c r="Z41" s="15"/>
      <c r="AA41" s="15"/>
      <c r="AB41" s="29"/>
      <c r="AC41" s="29"/>
      <c r="AD41" s="29"/>
      <c r="AE41" s="29"/>
      <c r="AF41" s="29"/>
      <c r="AG41" s="29"/>
      <c r="AH41" s="29"/>
      <c r="AI41" s="29"/>
      <c r="AJ41" s="29"/>
      <c r="AK41" s="29"/>
      <c r="AL41" s="29"/>
      <c r="AM41" s="29"/>
      <c r="AN41" s="29"/>
      <c r="AO41" s="29"/>
      <c r="AP41" s="29"/>
      <c r="AQ41" s="29"/>
    </row>
    <row r="42" spans="1:44" ht="18" customHeight="1">
      <c r="A42" s="23"/>
      <c r="B42" s="474" t="s">
        <v>3132</v>
      </c>
      <c r="C42" s="23"/>
      <c r="D42" s="4"/>
      <c r="E42" s="15"/>
      <c r="F42" s="15"/>
      <c r="G42" s="4"/>
      <c r="H42" s="4"/>
      <c r="I42" s="15"/>
      <c r="J42" s="4"/>
      <c r="K42" s="4"/>
      <c r="L42" s="36"/>
      <c r="M42" s="15"/>
      <c r="N42" s="4"/>
      <c r="O42" s="15"/>
      <c r="P42" s="15"/>
      <c r="Q42" s="15"/>
      <c r="R42" s="15"/>
      <c r="S42" s="15"/>
      <c r="T42" s="15"/>
      <c r="U42" s="15"/>
      <c r="V42" s="15"/>
      <c r="W42" s="15"/>
      <c r="X42" s="15"/>
      <c r="Y42" s="15"/>
      <c r="Z42" s="15"/>
      <c r="AA42" s="15"/>
      <c r="AB42" s="29"/>
      <c r="AC42" s="29"/>
      <c r="AD42" s="29"/>
      <c r="AE42" s="29"/>
      <c r="AF42" s="29"/>
      <c r="AG42" s="29"/>
      <c r="AH42" s="29"/>
      <c r="AI42" s="29"/>
      <c r="AJ42" s="29"/>
      <c r="AK42" s="29"/>
      <c r="AL42" s="29"/>
      <c r="AM42" s="29"/>
      <c r="AN42" s="29"/>
      <c r="AO42" s="29"/>
      <c r="AP42" s="29"/>
      <c r="AQ42" s="29"/>
    </row>
    <row r="43" spans="1:44" s="4" customFormat="1" ht="18" customHeight="1">
      <c r="C43" s="23"/>
      <c r="D43" s="23"/>
      <c r="E43" s="23"/>
      <c r="F43" s="15"/>
      <c r="I43" s="15"/>
      <c r="L43" s="36"/>
      <c r="M43" s="15"/>
      <c r="AG43" s="15" t="s">
        <v>18</v>
      </c>
    </row>
    <row r="44" spans="1:44" s="4" customFormat="1" ht="18" customHeight="1">
      <c r="A44" s="23" t="s">
        <v>2806</v>
      </c>
      <c r="F44" s="36"/>
      <c r="G44" s="15"/>
      <c r="H44" s="15"/>
      <c r="I44" s="15"/>
      <c r="J44" s="15"/>
      <c r="K44" s="22"/>
      <c r="L44" s="23"/>
      <c r="M44" s="15"/>
      <c r="O44" s="15"/>
      <c r="P44" s="15"/>
      <c r="Q44" s="15"/>
      <c r="R44" s="15"/>
      <c r="S44" s="15"/>
      <c r="T44" s="15"/>
      <c r="AB44" s="15"/>
      <c r="AC44" s="15"/>
      <c r="AD44" s="15"/>
      <c r="AE44" s="15"/>
      <c r="AF44" s="15"/>
      <c r="AG44" s="15"/>
      <c r="AH44" s="15"/>
      <c r="AI44" s="15"/>
      <c r="AJ44" s="15"/>
      <c r="AK44" s="15"/>
      <c r="AL44" s="15"/>
      <c r="AM44" s="15"/>
      <c r="AN44" s="15"/>
      <c r="AO44" s="15"/>
      <c r="AP44" s="15"/>
      <c r="AR44" s="15"/>
    </row>
    <row r="45" spans="1:44" ht="18" customHeight="1">
      <c r="A45" s="284" t="s">
        <v>3099</v>
      </c>
      <c r="B45" s="4"/>
      <c r="C45" s="4"/>
      <c r="D45" s="4"/>
      <c r="E45" s="4"/>
      <c r="F45" s="36"/>
      <c r="G45" s="15"/>
      <c r="H45" s="15"/>
      <c r="I45" s="15"/>
      <c r="J45" s="22"/>
      <c r="K45" s="23"/>
      <c r="L45" s="15"/>
      <c r="M45" s="15"/>
      <c r="N45" s="15"/>
      <c r="O45" s="15"/>
      <c r="P45" s="15"/>
      <c r="Q45" s="15"/>
      <c r="R45" s="15"/>
      <c r="S45" s="15"/>
      <c r="T45" s="15"/>
      <c r="U45" s="15"/>
      <c r="V45" s="15"/>
      <c r="W45" s="15"/>
      <c r="X45" s="15"/>
      <c r="Y45" s="15"/>
      <c r="Z45" s="15"/>
      <c r="AA45" s="15"/>
      <c r="AB45" s="29"/>
      <c r="AC45" s="29"/>
      <c r="AD45" s="29"/>
      <c r="AE45" s="29"/>
      <c r="AF45" s="29"/>
      <c r="AG45" s="29"/>
      <c r="AH45" s="29"/>
      <c r="AI45" s="29"/>
      <c r="AJ45" s="29"/>
      <c r="AK45" s="29"/>
      <c r="AL45" s="29"/>
      <c r="AM45" s="29"/>
      <c r="AN45" s="29"/>
      <c r="AO45" s="29"/>
      <c r="AP45" s="29"/>
      <c r="AQ45" s="29"/>
    </row>
    <row r="46" spans="1:44" ht="18" customHeight="1">
      <c r="A46" s="284"/>
      <c r="B46" s="4"/>
      <c r="C46" s="4"/>
      <c r="D46" s="4"/>
      <c r="E46" s="4"/>
      <c r="F46" s="36"/>
      <c r="G46" s="15"/>
      <c r="H46" s="15"/>
      <c r="I46" s="15"/>
      <c r="J46" s="22"/>
      <c r="K46" s="23"/>
      <c r="L46" s="15"/>
      <c r="M46" s="15"/>
      <c r="N46" s="15"/>
      <c r="O46" s="15"/>
      <c r="P46" s="15"/>
      <c r="Q46" s="15"/>
      <c r="R46" s="15"/>
      <c r="S46" s="15"/>
      <c r="T46" s="15"/>
      <c r="U46" s="15"/>
      <c r="V46" s="15"/>
      <c r="W46" s="15"/>
      <c r="X46" s="15"/>
      <c r="Y46" s="15"/>
      <c r="Z46" s="15"/>
      <c r="AA46" s="15"/>
      <c r="AB46" s="29"/>
      <c r="AC46" s="29"/>
      <c r="AD46" s="29"/>
      <c r="AE46" s="29"/>
      <c r="AF46" s="29"/>
      <c r="AG46" s="29"/>
      <c r="AH46" s="29"/>
      <c r="AI46" s="29"/>
      <c r="AJ46" s="29"/>
      <c r="AK46" s="29"/>
      <c r="AL46" s="29"/>
      <c r="AM46" s="29"/>
      <c r="AN46" s="29"/>
      <c r="AO46" s="29"/>
      <c r="AP46" s="29"/>
      <c r="AQ46" s="29"/>
    </row>
    <row r="47" spans="1:44" ht="18" customHeight="1">
      <c r="A47" s="3" t="s">
        <v>133</v>
      </c>
      <c r="B47" s="4"/>
      <c r="C47" s="4"/>
      <c r="D47" s="4"/>
      <c r="E47" s="4"/>
      <c r="F47" s="36"/>
      <c r="G47" s="15"/>
      <c r="H47" s="15"/>
      <c r="I47" s="15"/>
      <c r="J47" s="22"/>
      <c r="K47" s="23"/>
      <c r="L47" s="15"/>
      <c r="M47" s="15"/>
      <c r="N47" s="15"/>
      <c r="O47" s="15"/>
      <c r="P47" s="15"/>
      <c r="Q47" s="15"/>
      <c r="R47" s="15"/>
      <c r="S47" s="15"/>
      <c r="T47" s="15"/>
      <c r="U47" s="15"/>
      <c r="V47" s="15"/>
      <c r="W47" s="15"/>
      <c r="X47" s="15"/>
      <c r="Y47" s="15"/>
      <c r="Z47" s="15"/>
      <c r="AA47" s="15"/>
      <c r="AB47" s="29"/>
      <c r="AC47" s="29"/>
      <c r="AD47" s="29"/>
      <c r="AE47" s="29"/>
      <c r="AF47" s="29"/>
      <c r="AG47" s="29"/>
      <c r="AH47" s="29"/>
      <c r="AI47" s="29"/>
      <c r="AJ47" s="29"/>
      <c r="AK47" s="29"/>
      <c r="AL47" s="29"/>
      <c r="AM47" s="29"/>
      <c r="AN47" s="29"/>
      <c r="AO47" s="29"/>
      <c r="AP47" s="29"/>
      <c r="AQ47" s="29"/>
    </row>
    <row r="48" spans="1:44" ht="18" customHeight="1">
      <c r="A48" s="23" t="s">
        <v>3101</v>
      </c>
      <c r="B48" s="4"/>
      <c r="C48" s="4"/>
      <c r="D48" s="4"/>
      <c r="E48" s="4"/>
      <c r="F48" s="36"/>
      <c r="G48" s="15"/>
      <c r="H48" s="15"/>
      <c r="I48" s="15"/>
      <c r="J48" s="22"/>
      <c r="K48" s="23"/>
      <c r="L48" s="15"/>
      <c r="M48" s="15"/>
      <c r="N48" s="15"/>
      <c r="O48" s="15"/>
      <c r="P48" s="15"/>
      <c r="Q48" s="15"/>
      <c r="R48" s="15"/>
      <c r="S48" s="15"/>
      <c r="T48" s="15"/>
      <c r="U48" s="15"/>
      <c r="V48" s="15"/>
      <c r="W48" s="15"/>
      <c r="X48" s="15"/>
      <c r="Y48" s="15"/>
      <c r="Z48" s="15"/>
      <c r="AA48" s="15"/>
      <c r="AB48" s="29"/>
      <c r="AC48" s="29"/>
      <c r="AD48" s="29"/>
      <c r="AE48" s="29"/>
      <c r="AF48" s="29"/>
      <c r="AG48" s="29"/>
      <c r="AH48" s="29"/>
      <c r="AI48" s="29"/>
      <c r="AJ48" s="29"/>
      <c r="AK48" s="29"/>
      <c r="AL48" s="29"/>
      <c r="AM48" s="29"/>
      <c r="AN48" s="29"/>
      <c r="AO48" s="29"/>
      <c r="AP48" s="29"/>
      <c r="AQ48" s="29"/>
    </row>
    <row r="49" spans="1:43" ht="18" hidden="1" customHeight="1">
      <c r="A49" s="4"/>
      <c r="B49" s="4"/>
      <c r="C49" s="4"/>
      <c r="D49" s="4"/>
      <c r="E49" s="4"/>
      <c r="F49" s="36"/>
      <c r="G49" s="15"/>
      <c r="H49" s="15"/>
      <c r="I49" s="15"/>
      <c r="J49" s="22"/>
      <c r="K49" s="23"/>
      <c r="L49" s="15"/>
      <c r="M49" s="15"/>
      <c r="N49" s="15"/>
      <c r="O49" s="15"/>
      <c r="P49" s="15"/>
      <c r="Q49" s="15"/>
      <c r="R49" s="15"/>
      <c r="S49" s="15"/>
      <c r="T49" s="15"/>
      <c r="U49" s="15"/>
      <c r="V49" s="15"/>
      <c r="W49" s="15"/>
      <c r="X49" s="15"/>
      <c r="Y49" s="15"/>
      <c r="Z49" s="15"/>
      <c r="AA49" s="15"/>
      <c r="AB49" s="29"/>
      <c r="AC49" s="29"/>
      <c r="AD49" s="29"/>
      <c r="AE49" s="29"/>
      <c r="AF49" s="29"/>
      <c r="AG49" s="29"/>
      <c r="AH49" s="29"/>
      <c r="AI49" s="29"/>
      <c r="AJ49" s="29"/>
      <c r="AK49" s="29"/>
      <c r="AL49" s="29"/>
      <c r="AM49" s="29"/>
      <c r="AN49" s="29"/>
      <c r="AO49" s="29"/>
      <c r="AP49" s="29"/>
      <c r="AQ49" s="29"/>
    </row>
    <row r="50" spans="1:43" ht="18" hidden="1" customHeight="1">
      <c r="A50" s="4"/>
      <c r="B50" s="4"/>
      <c r="C50" s="4"/>
      <c r="D50" s="4"/>
      <c r="E50" s="4"/>
      <c r="F50" s="36"/>
      <c r="G50" s="15"/>
      <c r="H50" s="15"/>
      <c r="I50" s="15"/>
      <c r="J50" s="22"/>
      <c r="K50" s="23"/>
      <c r="L50" s="15"/>
      <c r="M50" s="15"/>
      <c r="N50" s="15"/>
      <c r="O50" s="15"/>
      <c r="P50" s="15"/>
      <c r="Q50" s="15"/>
      <c r="R50" s="15"/>
      <c r="S50" s="15"/>
      <c r="T50" s="15"/>
      <c r="U50" s="15"/>
      <c r="V50" s="15"/>
      <c r="W50" s="15"/>
      <c r="X50" s="15"/>
      <c r="Y50" s="15"/>
      <c r="Z50" s="15"/>
      <c r="AA50" s="15"/>
      <c r="AB50" s="29"/>
      <c r="AC50" s="29"/>
      <c r="AD50" s="29"/>
      <c r="AE50" s="29"/>
      <c r="AF50" s="29"/>
      <c r="AG50" s="29"/>
      <c r="AH50" s="29"/>
      <c r="AI50" s="29"/>
      <c r="AJ50" s="29"/>
      <c r="AK50" s="29"/>
      <c r="AL50" s="29"/>
      <c r="AM50" s="29"/>
      <c r="AN50" s="29"/>
      <c r="AO50" s="29"/>
      <c r="AP50" s="29"/>
      <c r="AQ50" s="29"/>
    </row>
    <row r="51" spans="1:43" ht="18" hidden="1" customHeight="1">
      <c r="A51" s="4"/>
      <c r="B51" s="4"/>
      <c r="C51" s="4"/>
      <c r="D51" s="4"/>
      <c r="E51" s="4"/>
      <c r="F51" s="36"/>
      <c r="G51" s="15"/>
      <c r="H51" s="15"/>
      <c r="I51" s="15"/>
      <c r="J51" s="22"/>
      <c r="K51" s="23"/>
      <c r="L51" s="15"/>
      <c r="M51" s="15"/>
      <c r="N51" s="15"/>
      <c r="O51" s="15"/>
      <c r="P51" s="15"/>
      <c r="Q51" s="15"/>
      <c r="R51" s="15"/>
      <c r="S51" s="15"/>
      <c r="T51" s="15"/>
      <c r="U51" s="15"/>
      <c r="V51" s="15"/>
      <c r="W51" s="15"/>
      <c r="X51" s="15"/>
      <c r="Y51" s="15"/>
      <c r="Z51" s="15"/>
      <c r="AA51" s="15"/>
      <c r="AB51" s="29"/>
      <c r="AC51" s="29"/>
      <c r="AD51" s="29"/>
      <c r="AE51" s="29"/>
      <c r="AF51" s="29"/>
      <c r="AG51" s="29"/>
      <c r="AH51" s="29"/>
      <c r="AI51" s="29"/>
      <c r="AJ51" s="29"/>
      <c r="AK51" s="29"/>
      <c r="AL51" s="29"/>
      <c r="AM51" s="29"/>
      <c r="AN51" s="29"/>
      <c r="AO51" s="29"/>
      <c r="AP51" s="29"/>
      <c r="AQ51" s="29"/>
    </row>
    <row r="52" spans="1:43" ht="18" customHeight="1">
      <c r="A52" s="4"/>
      <c r="B52" s="4"/>
      <c r="C52" s="4"/>
      <c r="D52" s="4"/>
      <c r="E52" s="4"/>
      <c r="F52" s="36"/>
      <c r="G52" s="15"/>
      <c r="H52" s="15"/>
      <c r="I52" s="15"/>
      <c r="J52" s="22"/>
      <c r="K52" s="23"/>
      <c r="L52" s="15"/>
      <c r="M52" s="15"/>
      <c r="N52" s="15"/>
      <c r="O52" s="15"/>
      <c r="P52" s="15"/>
      <c r="Q52" s="15"/>
      <c r="R52" s="15"/>
      <c r="S52" s="15"/>
      <c r="T52" s="15"/>
      <c r="U52" s="15"/>
      <c r="V52" s="15"/>
      <c r="W52" s="15"/>
      <c r="X52" s="15"/>
      <c r="Y52" s="15"/>
      <c r="Z52" s="15"/>
      <c r="AA52" s="15"/>
      <c r="AB52" s="29"/>
      <c r="AC52" s="29"/>
      <c r="AD52" s="29"/>
      <c r="AE52" s="29"/>
      <c r="AF52" s="29"/>
      <c r="AG52" s="29"/>
      <c r="AH52" s="29"/>
      <c r="AI52" s="29"/>
      <c r="AJ52" s="29"/>
      <c r="AK52" s="29"/>
      <c r="AL52" s="29"/>
      <c r="AM52" s="29"/>
      <c r="AN52" s="29"/>
      <c r="AO52" s="29"/>
      <c r="AP52" s="29"/>
      <c r="AQ52" s="29"/>
    </row>
    <row r="53" spans="1:43" ht="18" customHeight="1">
      <c r="A53" s="4" t="s">
        <v>164</v>
      </c>
      <c r="B53" s="4"/>
      <c r="C53" s="4"/>
      <c r="D53" s="4"/>
      <c r="E53" s="4"/>
      <c r="F53" s="36"/>
      <c r="G53" s="15"/>
      <c r="H53" s="15"/>
      <c r="I53" s="15"/>
      <c r="J53" s="22"/>
      <c r="K53" s="23"/>
      <c r="L53" s="15"/>
      <c r="M53" s="15"/>
      <c r="N53" s="15"/>
      <c r="O53" s="15"/>
      <c r="P53" s="15"/>
      <c r="Q53" s="15"/>
      <c r="R53" s="15"/>
      <c r="S53" s="15"/>
      <c r="T53" s="15"/>
      <c r="U53" s="15"/>
      <c r="V53" s="15"/>
      <c r="W53" s="15"/>
      <c r="X53" s="15"/>
      <c r="Y53" s="15"/>
      <c r="Z53" s="15"/>
      <c r="AA53" s="15"/>
      <c r="AB53" s="29"/>
      <c r="AC53" s="29"/>
      <c r="AD53" s="29"/>
      <c r="AE53" s="29"/>
      <c r="AF53" s="29"/>
      <c r="AG53" s="29"/>
      <c r="AH53" s="29"/>
      <c r="AI53" s="29"/>
      <c r="AJ53" s="29"/>
      <c r="AK53" s="29"/>
      <c r="AL53" s="29"/>
      <c r="AM53" s="29"/>
      <c r="AN53" s="29"/>
      <c r="AO53" s="29"/>
      <c r="AP53" s="29"/>
      <c r="AQ53" s="29"/>
    </row>
    <row r="54" spans="1:43" ht="18" customHeight="1">
      <c r="A54" s="46"/>
      <c r="B54" s="4"/>
      <c r="C54" s="4"/>
      <c r="D54" s="4"/>
      <c r="E54" s="4"/>
      <c r="F54" s="36"/>
      <c r="G54" s="15"/>
      <c r="H54" s="15"/>
      <c r="I54" s="15"/>
      <c r="J54" s="22"/>
      <c r="K54" s="23"/>
      <c r="L54" s="15"/>
      <c r="M54" s="15"/>
      <c r="N54" s="15"/>
      <c r="O54" s="15"/>
      <c r="P54" s="15"/>
      <c r="Q54" s="15"/>
      <c r="R54" s="15"/>
      <c r="S54" s="15"/>
      <c r="T54" s="15"/>
      <c r="U54" s="15"/>
      <c r="V54" s="15"/>
      <c r="W54" s="15"/>
      <c r="X54" s="15"/>
      <c r="Y54" s="15"/>
      <c r="Z54" s="15"/>
      <c r="AA54" s="15"/>
      <c r="AB54" s="29"/>
      <c r="AC54" s="29"/>
      <c r="AD54" s="29"/>
      <c r="AE54" s="29"/>
      <c r="AF54" s="29"/>
      <c r="AG54" s="29"/>
      <c r="AH54" s="29"/>
      <c r="AI54" s="29"/>
      <c r="AJ54" s="29"/>
      <c r="AK54" s="29"/>
      <c r="AL54" s="29"/>
      <c r="AM54" s="29"/>
      <c r="AN54" s="29"/>
      <c r="AO54" s="29"/>
      <c r="AP54" s="29"/>
      <c r="AQ54" s="29"/>
    </row>
    <row r="55" spans="1:43" ht="18" customHeight="1">
      <c r="A55" s="3" t="s">
        <v>135</v>
      </c>
      <c r="B55" s="4"/>
      <c r="C55" s="4"/>
      <c r="D55" s="4"/>
      <c r="E55" s="4"/>
      <c r="F55" s="36"/>
      <c r="G55" s="15"/>
      <c r="H55" s="15"/>
      <c r="I55" s="15"/>
      <c r="J55" s="22"/>
      <c r="K55" s="23"/>
      <c r="L55" s="15"/>
      <c r="M55" s="15"/>
      <c r="N55" s="15"/>
      <c r="O55" s="15"/>
      <c r="P55" s="15"/>
      <c r="Q55" s="15"/>
      <c r="R55" s="15"/>
      <c r="S55" s="15"/>
      <c r="T55" s="15"/>
      <c r="U55" s="15"/>
      <c r="V55" s="15"/>
      <c r="W55" s="15"/>
      <c r="X55" s="15"/>
      <c r="Y55" s="15"/>
      <c r="Z55" s="15"/>
      <c r="AA55" s="15"/>
      <c r="AB55" s="29"/>
      <c r="AC55" s="29"/>
      <c r="AD55" s="29"/>
      <c r="AE55" s="29"/>
      <c r="AF55" s="29"/>
      <c r="AG55" s="29"/>
      <c r="AH55" s="29"/>
      <c r="AI55" s="29"/>
      <c r="AJ55" s="29"/>
      <c r="AK55" s="29"/>
      <c r="AL55" s="29"/>
      <c r="AM55" s="29"/>
      <c r="AN55" s="29"/>
      <c r="AO55" s="29"/>
      <c r="AP55" s="29"/>
      <c r="AQ55" s="29"/>
    </row>
    <row r="56" spans="1:43" ht="18" customHeight="1">
      <c r="A56" s="46" t="s">
        <v>165</v>
      </c>
      <c r="B56" s="4"/>
      <c r="C56" s="4"/>
      <c r="D56" s="4"/>
      <c r="E56" s="4"/>
      <c r="F56" s="36"/>
      <c r="G56" s="15"/>
      <c r="H56" s="15"/>
      <c r="I56" s="15"/>
      <c r="J56" s="22"/>
      <c r="K56" s="23"/>
      <c r="L56" s="15"/>
      <c r="M56" s="15"/>
      <c r="N56" s="15"/>
      <c r="O56" s="15"/>
      <c r="P56" s="15"/>
      <c r="Q56" s="15"/>
      <c r="R56" s="15"/>
      <c r="S56" s="15"/>
      <c r="T56" s="15"/>
      <c r="U56" s="15"/>
      <c r="V56" s="15"/>
      <c r="W56" s="15"/>
      <c r="X56" s="15"/>
      <c r="Y56" s="15"/>
      <c r="Z56" s="15"/>
      <c r="AA56" s="15"/>
      <c r="AB56" s="29"/>
      <c r="AC56" s="29"/>
      <c r="AD56" s="29"/>
      <c r="AE56" s="29"/>
      <c r="AF56" s="29"/>
      <c r="AG56" s="29"/>
      <c r="AH56" s="29"/>
      <c r="AI56" s="29"/>
      <c r="AJ56" s="29"/>
      <c r="AK56" s="29"/>
      <c r="AL56" s="29"/>
      <c r="AM56" s="29"/>
      <c r="AN56" s="29"/>
      <c r="AO56" s="29"/>
      <c r="AP56" s="29"/>
      <c r="AQ56" s="29"/>
    </row>
    <row r="57" spans="1:43" ht="18" customHeight="1">
      <c r="A57" s="46" t="s">
        <v>166</v>
      </c>
      <c r="B57" s="4"/>
      <c r="C57" s="4"/>
      <c r="D57" s="4"/>
      <c r="E57" s="4"/>
      <c r="F57" s="15"/>
      <c r="G57" s="4"/>
      <c r="H57" s="4"/>
      <c r="I57" s="34"/>
      <c r="J57" s="29"/>
      <c r="K57" s="29"/>
      <c r="L57" s="29"/>
      <c r="M57" s="34"/>
      <c r="N57" s="34"/>
      <c r="O57" s="29"/>
      <c r="P57" s="29"/>
      <c r="Q57" s="29"/>
      <c r="R57" s="29"/>
      <c r="S57" s="29"/>
      <c r="T57" s="29"/>
      <c r="U57" s="34"/>
      <c r="V57" s="34"/>
      <c r="W57" s="34"/>
      <c r="X57" s="34"/>
      <c r="Y57" s="34"/>
      <c r="Z57" s="34"/>
      <c r="AA57" s="34"/>
      <c r="AB57" s="29"/>
      <c r="AC57" s="29"/>
      <c r="AD57" s="29"/>
      <c r="AE57" s="29"/>
      <c r="AF57" s="29"/>
      <c r="AG57" s="29"/>
      <c r="AH57" s="29"/>
      <c r="AI57" s="29"/>
      <c r="AJ57" s="29"/>
      <c r="AK57" s="29"/>
      <c r="AL57" s="29"/>
      <c r="AM57" s="29"/>
      <c r="AN57" s="29"/>
      <c r="AO57" s="29"/>
      <c r="AP57" s="29"/>
      <c r="AQ57" s="29"/>
    </row>
    <row r="58" spans="1:43" ht="18" customHeight="1">
      <c r="A58" s="46" t="s">
        <v>167</v>
      </c>
      <c r="B58" s="4"/>
      <c r="C58" s="4"/>
      <c r="D58" s="4"/>
      <c r="E58" s="4"/>
      <c r="F58" s="15"/>
      <c r="G58" s="4"/>
      <c r="H58" s="4"/>
      <c r="I58" s="34"/>
      <c r="J58" s="29"/>
      <c r="K58" s="29"/>
      <c r="L58" s="29"/>
      <c r="M58" s="34"/>
      <c r="N58" s="34"/>
      <c r="O58" s="29"/>
      <c r="P58" s="29"/>
      <c r="Q58" s="29"/>
      <c r="R58" s="29"/>
      <c r="S58" s="29"/>
      <c r="T58" s="29"/>
      <c r="U58" s="34"/>
      <c r="V58" s="34"/>
      <c r="W58" s="34"/>
      <c r="X58" s="34"/>
      <c r="Y58" s="34"/>
      <c r="Z58" s="34"/>
      <c r="AA58" s="34"/>
      <c r="AB58" s="29"/>
      <c r="AC58" s="29"/>
      <c r="AD58" s="29"/>
      <c r="AE58" s="29"/>
      <c r="AF58" s="29"/>
      <c r="AG58" s="29"/>
      <c r="AH58" s="29"/>
      <c r="AI58" s="29"/>
      <c r="AJ58" s="29"/>
      <c r="AK58" s="29"/>
      <c r="AL58" s="29"/>
      <c r="AM58" s="29"/>
      <c r="AN58" s="29"/>
      <c r="AO58" s="29"/>
      <c r="AP58" s="29"/>
      <c r="AQ58" s="29"/>
    </row>
    <row r="59" spans="1:43" ht="18" customHeight="1">
      <c r="A59" s="46" t="s">
        <v>168</v>
      </c>
      <c r="B59" s="4"/>
      <c r="C59" s="4"/>
      <c r="D59" s="4"/>
      <c r="E59" s="4"/>
      <c r="F59" s="15"/>
      <c r="G59" s="4"/>
      <c r="H59" s="4"/>
      <c r="I59" s="34"/>
      <c r="J59" s="29"/>
      <c r="K59" s="29"/>
      <c r="L59" s="29"/>
      <c r="M59" s="34"/>
      <c r="N59" s="34"/>
      <c r="O59" s="29"/>
      <c r="P59" s="29"/>
      <c r="Q59" s="29"/>
      <c r="R59" s="29"/>
      <c r="S59" s="29"/>
      <c r="T59" s="29"/>
      <c r="U59" s="34"/>
      <c r="V59" s="34"/>
      <c r="W59" s="34"/>
      <c r="X59" s="34"/>
      <c r="Y59" s="34"/>
      <c r="Z59" s="34"/>
      <c r="AA59" s="34"/>
      <c r="AB59" s="29"/>
      <c r="AC59" s="29"/>
      <c r="AD59" s="29"/>
      <c r="AE59" s="29"/>
      <c r="AF59" s="29"/>
      <c r="AG59" s="29"/>
      <c r="AH59" s="29"/>
      <c r="AI59" s="29"/>
      <c r="AJ59" s="29"/>
      <c r="AK59" s="29"/>
      <c r="AL59" s="29"/>
      <c r="AM59" s="29"/>
      <c r="AN59" s="29"/>
      <c r="AO59" s="29"/>
      <c r="AP59" s="29"/>
      <c r="AQ59" s="29"/>
    </row>
    <row r="60" spans="1:43" s="29" customFormat="1">
      <c r="F60" s="34"/>
      <c r="I60" s="34"/>
      <c r="M60" s="34"/>
      <c r="N60" s="34"/>
      <c r="U60" s="34"/>
      <c r="V60" s="34"/>
      <c r="W60" s="34"/>
      <c r="X60" s="34"/>
      <c r="Y60" s="34"/>
      <c r="Z60" s="34"/>
      <c r="AA60" s="34"/>
    </row>
  </sheetData>
  <sheetProtection sheet="1" objects="1" scenarios="1" sort="0" autoFilter="0" pivotTables="0"/>
  <mergeCells count="4">
    <mergeCell ref="J1:K1"/>
    <mergeCell ref="N2:N34"/>
    <mergeCell ref="AI2:AI34"/>
    <mergeCell ref="AB2:AB34"/>
  </mergeCells>
  <phoneticPr fontId="3" type="noConversion"/>
  <conditionalFormatting sqref="G2:G34">
    <cfRule type="expression" dxfId="201" priority="4">
      <formula>$J$1="差距(Median)"</formula>
    </cfRule>
  </conditionalFormatting>
  <conditionalFormatting sqref="H2:H34">
    <cfRule type="expression" dxfId="200" priority="3">
      <formula>$J$1="差距(LQ)"</formula>
    </cfRule>
  </conditionalFormatting>
  <conditionalFormatting sqref="J2:K34">
    <cfRule type="cellIs" dxfId="199" priority="123" operator="equal">
      <formula>"/"</formula>
    </cfRule>
    <cfRule type="cellIs" dxfId="198" priority="125" operator="lessThan">
      <formula>0</formula>
    </cfRule>
    <cfRule type="cellIs" dxfId="197" priority="126" operator="greaterThan">
      <formula>0</formula>
    </cfRule>
  </conditionalFormatting>
  <conditionalFormatting sqref="J2:AC2 O3:AA34 J3:M33 A34:M34 A2:I33 AA2:AA34 AC3:AC34">
    <cfRule type="expression" dxfId="196" priority="20291">
      <formula>MOD(ROW(),2)=1</formula>
    </cfRule>
  </conditionalFormatting>
  <conditionalFormatting sqref="M2:M34">
    <cfRule type="cellIs" dxfId="195" priority="106" operator="equal">
      <formula>2</formula>
    </cfRule>
    <cfRule type="cellIs" dxfId="194" priority="107" operator="equal">
      <formula>1</formula>
    </cfRule>
    <cfRule type="cellIs" dxfId="193" priority="108" operator="equal">
      <formula>0</formula>
    </cfRule>
  </conditionalFormatting>
  <conditionalFormatting sqref="O2:T34">
    <cfRule type="expression" dxfId="192" priority="2">
      <formula>U2=0</formula>
    </cfRule>
    <cfRule type="expression" dxfId="191" priority="20125">
      <formula>U2=2</formula>
    </cfRule>
    <cfRule type="expression" dxfId="190" priority="20290">
      <formula>U2=1</formula>
    </cfRule>
  </conditionalFormatting>
  <conditionalFormatting sqref="AJ2:AP34 AI2 AD2:AH34">
    <cfRule type="expression" dxfId="189" priority="20292">
      <formula>MOD(ROW(),2)=1</formula>
    </cfRule>
  </conditionalFormatting>
  <conditionalFormatting sqref="AP2:AP34">
    <cfRule type="expression" dxfId="188" priority="48">
      <formula>TRUE</formula>
    </cfRule>
  </conditionalFormatting>
  <conditionalFormatting sqref="AQ2:AQ34">
    <cfRule type="expression" dxfId="187" priority="12">
      <formula>MOD(ROW(),2)=1</formula>
    </cfRule>
  </conditionalFormatting>
  <hyperlinks>
    <hyperlink ref="A57" r:id="rId1" xr:uid="{00000000-0004-0000-0900-000000000000}"/>
    <hyperlink ref="A56" r:id="rId2" xr:uid="{00000000-0004-0000-0900-000001000000}"/>
    <hyperlink ref="A59" r:id="rId3" xr:uid="{00000000-0004-0000-0900-000002000000}"/>
    <hyperlink ref="A58" r:id="rId4" xr:uid="{00000000-0004-0000-0900-000003000000}"/>
  </hyperlinks>
  <pageMargins left="0.7" right="0.7" top="0.75" bottom="0.75" header="0.3" footer="0.3"/>
  <pageSetup paperSize="9" orientation="portrait" horizontalDpi="1200" verticalDpi="1200" r:id="rId5"/>
  <drawing r:id="rId6"/>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900-000000000000}">
          <x14:formula1>
            <xm:f>選單!$K$2:$K$3</xm:f>
          </x14:formula1>
          <xm:sqref>J1:K1</xm:sqref>
        </x14:dataValidation>
        <x14:dataValidation type="list" allowBlank="1" showInputMessage="1" showErrorMessage="1" xr:uid="{26BAACF2-0897-42A1-8B80-A6D4BE4EF15B}">
          <x14:formula1>
            <xm:f>選單!$J$1:$J$6</xm:f>
          </x14:formula1>
          <xm:sqref>AB2:AB34</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工作表8">
    <tabColor rgb="FF6600CC"/>
  </sheetPr>
  <dimension ref="A1:BG123"/>
  <sheetViews>
    <sheetView workbookViewId="0"/>
    <sheetView workbookViewId="1"/>
  </sheetViews>
  <sheetFormatPr defaultColWidth="0" defaultRowHeight="13.8" zeroHeight="1"/>
  <cols>
    <col min="1" max="1" width="7.19921875" style="4" customWidth="1"/>
    <col min="2" max="2" width="7.69921875" style="4" customWidth="1"/>
    <col min="3" max="3" width="21.69921875" style="4" customWidth="1"/>
    <col min="4" max="4" width="6.69921875" style="4" customWidth="1"/>
    <col min="5" max="5" width="13.3984375" style="4" customWidth="1"/>
    <col min="6" max="6" width="15.5" style="36" customWidth="1"/>
    <col min="7" max="10" width="7.69921875" style="15" customWidth="1"/>
    <col min="11" max="11" width="7.69921875" style="22" customWidth="1"/>
    <col min="12" max="12" width="7.69921875" style="23" customWidth="1"/>
    <col min="13" max="14" width="4.69921875" style="15" customWidth="1"/>
    <col min="15" max="15" width="14.69921875" style="15" customWidth="1"/>
    <col min="16" max="21" width="2.19921875" style="4" customWidth="1"/>
    <col min="22" max="27" width="2.19921875" style="15" hidden="1" customWidth="1"/>
    <col min="28" max="28" width="10.69921875" style="15" customWidth="1"/>
    <col min="29" max="29" width="8.69921875" style="15" customWidth="1"/>
    <col min="30" max="35" width="6.19921875" style="4" customWidth="1"/>
    <col min="36" max="36" width="8.69921875" style="4" customWidth="1"/>
    <col min="37" max="42" width="6.19921875" style="4" customWidth="1"/>
    <col min="43" max="43" width="5.19921875" style="4" customWidth="1"/>
    <col min="44" max="44" width="8.19921875" style="4" customWidth="1"/>
    <col min="45" max="59" width="1.19921875" style="4" hidden="1" customWidth="1"/>
    <col min="60" max="16384" width="0" style="4" hidden="1"/>
  </cols>
  <sheetData>
    <row r="1" spans="1:44" s="33" customFormat="1" ht="18" customHeight="1">
      <c r="B1" s="33" t="s">
        <v>111</v>
      </c>
      <c r="C1" s="33" t="s">
        <v>112</v>
      </c>
      <c r="E1" s="69" t="s">
        <v>2897</v>
      </c>
      <c r="F1" s="69" t="s">
        <v>2839</v>
      </c>
      <c r="G1" s="69" t="s">
        <v>34</v>
      </c>
      <c r="H1" s="69" t="s">
        <v>108</v>
      </c>
      <c r="I1" s="69" t="s">
        <v>106</v>
      </c>
      <c r="J1" s="69" t="s">
        <v>114</v>
      </c>
      <c r="K1" s="517" t="s">
        <v>115</v>
      </c>
      <c r="L1" s="517"/>
      <c r="M1" s="69" t="s">
        <v>38</v>
      </c>
      <c r="N1" s="69" t="s">
        <v>116</v>
      </c>
      <c r="O1" s="69"/>
      <c r="P1" s="33" t="s">
        <v>117</v>
      </c>
      <c r="Q1" s="33" t="s">
        <v>118</v>
      </c>
      <c r="R1" s="33" t="s">
        <v>119</v>
      </c>
      <c r="S1" s="33" t="s">
        <v>2807</v>
      </c>
      <c r="T1" s="33" t="s">
        <v>121</v>
      </c>
      <c r="U1" s="33" t="s">
        <v>122</v>
      </c>
      <c r="V1" s="69"/>
      <c r="W1" s="69"/>
      <c r="X1" s="69"/>
      <c r="Y1" s="69"/>
      <c r="Z1" s="69"/>
      <c r="AA1" s="69"/>
      <c r="AB1" s="69" t="s">
        <v>123</v>
      </c>
      <c r="AC1" s="69" t="s">
        <v>124</v>
      </c>
      <c r="AD1" s="69" t="s">
        <v>125</v>
      </c>
      <c r="AE1" s="69" t="s">
        <v>126</v>
      </c>
      <c r="AF1" s="69" t="s">
        <v>127</v>
      </c>
      <c r="AG1" s="69" t="s">
        <v>128</v>
      </c>
      <c r="AH1" s="69" t="s">
        <v>129</v>
      </c>
      <c r="AI1" s="69" t="s">
        <v>130</v>
      </c>
      <c r="AJ1" s="69" t="s">
        <v>142</v>
      </c>
      <c r="AK1" s="69" t="s">
        <v>141</v>
      </c>
      <c r="AL1" s="69" t="s">
        <v>126</v>
      </c>
      <c r="AM1" s="69" t="s">
        <v>127</v>
      </c>
      <c r="AN1" s="69" t="s">
        <v>128</v>
      </c>
      <c r="AO1" s="69" t="s">
        <v>129</v>
      </c>
      <c r="AP1" s="69" t="s">
        <v>130</v>
      </c>
      <c r="AQ1" s="69"/>
      <c r="AR1" s="69"/>
    </row>
    <row r="2" spans="1:44" s="10" customFormat="1" ht="18" customHeight="1">
      <c r="A2" s="4" t="str">
        <f>'Reference Score Calculation'!A128</f>
        <v>JS4006</v>
      </c>
      <c r="B2" s="4" t="str">
        <f>'Reference Score Calculation'!C128</f>
        <v>文學院</v>
      </c>
      <c r="C2" s="4" t="str">
        <f>'Reference Score Calculation'!D128</f>
        <v>人類學</v>
      </c>
      <c r="D2" s="4" t="str">
        <f>'Reference Score Calculation'!R128</f>
        <v>ANTHROPOLOGY</v>
      </c>
      <c r="E2" s="392" t="str">
        <f>'Reference Score Calculation'!AB128</f>
        <v>Best 5</v>
      </c>
      <c r="F2" s="395" t="str">
        <f>'Reference Score Calculation'!E128</f>
        <v>Best 5</v>
      </c>
      <c r="G2" s="6">
        <f>'Reference Score Calculation'!G128</f>
        <v>25</v>
      </c>
      <c r="H2" s="6">
        <f>'Reference Score Calculation'!H128</f>
        <v>24.5</v>
      </c>
      <c r="I2" s="6">
        <f>'Reference Score Calculation'!I128</f>
        <v>23</v>
      </c>
      <c r="J2" s="45">
        <f>計分版!J151</f>
        <v>3.9500000000000006E-9</v>
      </c>
      <c r="K2" s="25">
        <f>IFERROR(IF(K$1="差距(Median)",J2-H2,IF(K$1="差距(UQ)",J2-G2,IF(K$1="差距(LQ)",J2-I2))),"/")</f>
        <v>-24.499999996050001</v>
      </c>
      <c r="L2" s="26">
        <f>IFERROR(IF(K$1="差距(Median)",(J2-H2)/J2,IF(K$1="差距(UQ)",(J2-G2)/J2,IF(K$1="差距(LQ)",(J2-I2)/J2))),"/")</f>
        <v>-6202531644.5696192</v>
      </c>
      <c r="M2" s="36">
        <f>'Reference Score Calculation'!T128</f>
        <v>18</v>
      </c>
      <c r="N2" s="86">
        <f>入學要求!Z137</f>
        <v>0</v>
      </c>
      <c r="O2" s="516" t="s">
        <v>2521</v>
      </c>
      <c r="P2" s="165">
        <f>入學要求!L137</f>
        <v>3</v>
      </c>
      <c r="Q2" s="165">
        <f>入學要求!M137</f>
        <v>3</v>
      </c>
      <c r="R2" s="165">
        <f>入學要求!N137</f>
        <v>2</v>
      </c>
      <c r="S2" s="165">
        <f>入學要求!O137</f>
        <v>1</v>
      </c>
      <c r="T2" s="165">
        <f>入學要求!P137</f>
        <v>3</v>
      </c>
      <c r="U2" s="165">
        <f>入學要求!Q137</f>
        <v>3</v>
      </c>
      <c r="V2" s="256">
        <f>入學要求!S137</f>
        <v>0</v>
      </c>
      <c r="W2" s="256">
        <f>入學要求!T137</f>
        <v>0</v>
      </c>
      <c r="X2" s="256">
        <f>入學要求!U137</f>
        <v>0</v>
      </c>
      <c r="Y2" s="256">
        <f>入學要求!V137</f>
        <v>0</v>
      </c>
      <c r="Z2" s="256">
        <f>入學要求!W137</f>
        <v>0</v>
      </c>
      <c r="AA2" s="256">
        <f>入學要求!X137</f>
        <v>0</v>
      </c>
      <c r="AB2" s="36">
        <f>IFERROR(ROUND(AL2/AE2,2),"/")</f>
        <v>8</v>
      </c>
      <c r="AC2" s="510" t="s">
        <v>2513</v>
      </c>
      <c r="AD2" s="36" cm="1">
        <f t="array" ref="AD2">IFERROR(INDEX('Offer Statistics'!$BQ$2:$BQ$400,MATCH(1,($A2='Offer Statistics'!$BB$2:$BB$400)*($AC$2='Offer Statistics'!$BC$2:$BC$400),0)),"/")</f>
        <v>25</v>
      </c>
      <c r="AE2" s="64" cm="1">
        <f t="array" ref="AE2">IFERROR(INDEX('Offer Statistics'!BL$2:BL$400,MATCH(1,($A2='Offer Statistics'!$BB$2:$BB$400)*($AC$2='Offer Statistics'!$BC$2:$BC$400),0)),"/")</f>
        <v>25</v>
      </c>
      <c r="AF2" s="64" cm="1">
        <f t="array" ref="AF2">IFERROR(INDEX('Offer Statistics'!BM$2:BM$400,MATCH(1,($A2='Offer Statistics'!$BB$2:$BB$400)*($AC$2='Offer Statistics'!$BC$2:$BC$400),0)),"/")</f>
        <v>0</v>
      </c>
      <c r="AG2" s="64" cm="1">
        <f t="array" ref="AG2">IFERROR(INDEX('Offer Statistics'!BN$2:BN$400,MATCH(1,($A2='Offer Statistics'!$BB$2:$BB$400)*($AC$2='Offer Statistics'!$BC$2:$BC$400),0)),"/")</f>
        <v>0</v>
      </c>
      <c r="AH2" s="64" cm="1">
        <f t="array" ref="AH2">IFERROR(INDEX('Offer Statistics'!BO$2:BO$400,MATCH(1,($A2='Offer Statistics'!$BB$2:$BB$400)*($AC$2='Offer Statistics'!$BC$2:$BC$400),0)),"/")</f>
        <v>0</v>
      </c>
      <c r="AI2" s="64" cm="1">
        <f t="array" ref="AI2">IFERROR(INDEX('Offer Statistics'!BP$2:BP$400,MATCH(1,($A2='Offer Statistics'!$BB$2:$BB$400)*($AC$2='Offer Statistics'!$BC$2:$BC$400),0)),"/")</f>
        <v>0</v>
      </c>
      <c r="AJ2" s="511" t="str">
        <f>AC2</f>
        <v>2023年</v>
      </c>
      <c r="AK2" s="36" cm="1">
        <f t="array" ref="AK2">IFERROR(INDEX('Offer Statistics'!$BI$2:$BI$400,MATCH(1,($A2='Offer Statistics'!$BB$2:$BB$400)*($AC$2='Offer Statistics'!$BC$2:$BC$400),0)),"/")</f>
        <v>1962</v>
      </c>
      <c r="AL2" s="64" cm="1">
        <f t="array" ref="AL2">IFERROR(INDEX('Offer Statistics'!BD$2:BD$400,MATCH(1,($A2='Offer Statistics'!$BB$2:$BB$400)*($AC$2='Offer Statistics'!$BC$2:$BC$400),0)),"/")</f>
        <v>200</v>
      </c>
      <c r="AM2" s="64" cm="1">
        <f t="array" ref="AM2">IFERROR(INDEX('Offer Statistics'!BE$2:BE$400,MATCH(1,($A2='Offer Statistics'!$BB$2:$BB$400)*($AC$2='Offer Statistics'!$BC$2:$BC$400),0)),"/")</f>
        <v>226</v>
      </c>
      <c r="AN2" s="64" cm="1">
        <f t="array" ref="AN2">IFERROR(INDEX('Offer Statistics'!BF$2:BF$400,MATCH(1,($A2='Offer Statistics'!$BB$2:$BB$400)*($AC$2='Offer Statistics'!$BC$2:$BC$400),0)),"/")</f>
        <v>402</v>
      </c>
      <c r="AO2" s="64" cm="1">
        <f t="array" ref="AO2">IFERROR(INDEX('Offer Statistics'!BG$2:BG$400,MATCH(1,($A2='Offer Statistics'!$BB$2:$BB$400)*($AC$2='Offer Statistics'!$BC$2:$BC$400),0)),"/")</f>
        <v>570</v>
      </c>
      <c r="AP2" s="64" cm="1">
        <f t="array" ref="AP2">IFERROR(INDEX('Offer Statistics'!BH$2:BH$400,MATCH(1,($A2='Offer Statistics'!$BB$2:$BB$400)*($AC$2='Offer Statistics'!$BC$2:$BC$400),0)),"/")</f>
        <v>564</v>
      </c>
      <c r="AQ2" s="15"/>
      <c r="AR2" s="15" t="str">
        <f>A2</f>
        <v>JS4006</v>
      </c>
    </row>
    <row r="3" spans="1:44" ht="18" customHeight="1">
      <c r="A3" s="4" t="str">
        <f>'Reference Score Calculation'!A129</f>
        <v>JS4018</v>
      </c>
      <c r="B3" s="4" t="str">
        <f>'Reference Score Calculation'!C129</f>
        <v>文學院</v>
      </c>
      <c r="C3" s="4" t="str">
        <f>'Reference Score Calculation'!D129</f>
        <v>中國語言及文學</v>
      </c>
      <c r="D3" s="4" t="str">
        <f>'Reference Score Calculation'!R129</f>
        <v>CHI LANG &amp; LIT</v>
      </c>
      <c r="E3" s="392" t="str">
        <f>'Reference Score Calculation'!AB129</f>
        <v>Best 5</v>
      </c>
      <c r="F3" s="394" t="str">
        <f>'Reference Score Calculation'!E129</f>
        <v>Best 5</v>
      </c>
      <c r="G3" s="6">
        <f>'Reference Score Calculation'!G129</f>
        <v>33.1</v>
      </c>
      <c r="H3" s="6">
        <f>'Reference Score Calculation'!H129</f>
        <v>30.4</v>
      </c>
      <c r="I3" s="6">
        <f>'Reference Score Calculation'!I129</f>
        <v>29.2</v>
      </c>
      <c r="J3" s="45">
        <f>計分版!J152</f>
        <v>3.9500000000000006E-9</v>
      </c>
      <c r="K3" s="25">
        <f t="shared" ref="K3:K67" si="0">IFERROR(IF(K$1="差距(Median)",J3-H3,IF(K$1="差距(UQ)",J3-G3,IF(K$1="差距(LQ)",J3-I3))),"/")</f>
        <v>-30.399999996049999</v>
      </c>
      <c r="L3" s="26">
        <f t="shared" ref="L3:L67" si="1">IFERROR(IF(K$1="差距(Median)",(J3-H3)/J3,IF(K$1="差距(UQ)",(J3-G3)/J3,IF(K$1="差距(LQ)",(J3-I3)/J3))),"/")</f>
        <v>-7696202530.6455679</v>
      </c>
      <c r="M3" s="36">
        <f>'Reference Score Calculation'!T129</f>
        <v>79</v>
      </c>
      <c r="N3" s="86">
        <f>入學要求!Z138</f>
        <v>0</v>
      </c>
      <c r="O3" s="516"/>
      <c r="P3" s="166">
        <f>入學要求!L138</f>
        <v>3</v>
      </c>
      <c r="Q3" s="166">
        <f>入學要求!M138</f>
        <v>3</v>
      </c>
      <c r="R3" s="166">
        <f>入學要求!N138</f>
        <v>2</v>
      </c>
      <c r="S3" s="166">
        <f>入學要求!O138</f>
        <v>1</v>
      </c>
      <c r="T3" s="166">
        <f>入學要求!P138</f>
        <v>3</v>
      </c>
      <c r="U3" s="166">
        <f>入學要求!Q138</f>
        <v>3</v>
      </c>
      <c r="V3" s="256">
        <f>入學要求!S138</f>
        <v>0</v>
      </c>
      <c r="W3" s="256">
        <f>入學要求!T138</f>
        <v>0</v>
      </c>
      <c r="X3" s="256">
        <f>入學要求!U138</f>
        <v>0</v>
      </c>
      <c r="Y3" s="256">
        <f>入學要求!V138</f>
        <v>0</v>
      </c>
      <c r="Z3" s="256">
        <f>入學要求!W138</f>
        <v>0</v>
      </c>
      <c r="AA3" s="256">
        <f>入學要求!X138</f>
        <v>0</v>
      </c>
      <c r="AB3" s="36">
        <f t="shared" ref="AB3:AB67" si="2">IFERROR(ROUND(AL3/AE3,2),"/")</f>
        <v>5.1100000000000003</v>
      </c>
      <c r="AC3" s="510"/>
      <c r="AD3" s="36" cm="1">
        <f t="array" ref="AD3">IFERROR(INDEX('Offer Statistics'!$BQ$2:$BQ$400,MATCH(1,($A3='Offer Statistics'!$BB$2:$BB$400)*($AC$2='Offer Statistics'!$BC$2:$BC$400),0)),"/")</f>
        <v>82</v>
      </c>
      <c r="AE3" s="64" cm="1">
        <f t="array" ref="AE3">IFERROR(INDEX('Offer Statistics'!BL$2:BL$400,MATCH(1,($A3='Offer Statistics'!$BB$2:$BB$400)*($AC$2='Offer Statistics'!$BC$2:$BC$400),0)),"/")</f>
        <v>82</v>
      </c>
      <c r="AF3" s="64" cm="1">
        <f t="array" ref="AF3">IFERROR(INDEX('Offer Statistics'!BM$2:BM$400,MATCH(1,($A3='Offer Statistics'!$BB$2:$BB$400)*($AC$2='Offer Statistics'!$BC$2:$BC$400),0)),"/")</f>
        <v>0</v>
      </c>
      <c r="AG3" s="64" cm="1">
        <f t="array" ref="AG3">IFERROR(INDEX('Offer Statistics'!BN$2:BN$400,MATCH(1,($A3='Offer Statistics'!$BB$2:$BB$400)*($AC$2='Offer Statistics'!$BC$2:$BC$400),0)),"/")</f>
        <v>0</v>
      </c>
      <c r="AH3" s="64" cm="1">
        <f t="array" ref="AH3">IFERROR(INDEX('Offer Statistics'!BO$2:BO$400,MATCH(1,($A3='Offer Statistics'!$BB$2:$BB$400)*($AC$2='Offer Statistics'!$BC$2:$BC$400),0)),"/")</f>
        <v>0</v>
      </c>
      <c r="AI3" s="64" cm="1">
        <f t="array" ref="AI3">IFERROR(INDEX('Offer Statistics'!BP$2:BP$400,MATCH(1,($A3='Offer Statistics'!$BB$2:$BB$400)*($AC$2='Offer Statistics'!$BC$2:$BC$400),0)),"/")</f>
        <v>0</v>
      </c>
      <c r="AJ3" s="511"/>
      <c r="AK3" s="36" cm="1">
        <f t="array" ref="AK3">IFERROR(INDEX('Offer Statistics'!$BI$2:$BI$400,MATCH(1,($A3='Offer Statistics'!$BB$2:$BB$400)*($AC$2='Offer Statistics'!$BC$2:$BC$400),0)),"/")</f>
        <v>1954</v>
      </c>
      <c r="AL3" s="64" cm="1">
        <f t="array" ref="AL3">IFERROR(INDEX('Offer Statistics'!BD$2:BD$400,MATCH(1,($A3='Offer Statistics'!$BB$2:$BB$400)*($AC$2='Offer Statistics'!$BC$2:$BC$400),0)),"/")</f>
        <v>419</v>
      </c>
      <c r="AM3" s="64" cm="1">
        <f t="array" ref="AM3">IFERROR(INDEX('Offer Statistics'!BE$2:BE$400,MATCH(1,($A3='Offer Statistics'!$BB$2:$BB$400)*($AC$2='Offer Statistics'!$BC$2:$BC$400),0)),"/")</f>
        <v>254</v>
      </c>
      <c r="AN3" s="64" cm="1">
        <f t="array" ref="AN3">IFERROR(INDEX('Offer Statistics'!BF$2:BF$400,MATCH(1,($A3='Offer Statistics'!$BB$2:$BB$400)*($AC$2='Offer Statistics'!$BC$2:$BC$400),0)),"/")</f>
        <v>387</v>
      </c>
      <c r="AO3" s="64" cm="1">
        <f t="array" ref="AO3">IFERROR(INDEX('Offer Statistics'!BG$2:BG$400,MATCH(1,($A3='Offer Statistics'!$BB$2:$BB$400)*($AC$2='Offer Statistics'!$BC$2:$BC$400),0)),"/")</f>
        <v>478</v>
      </c>
      <c r="AP3" s="64" cm="1">
        <f t="array" ref="AP3">IFERROR(INDEX('Offer Statistics'!BH$2:BH$400,MATCH(1,($A3='Offer Statistics'!$BB$2:$BB$400)*($AC$2='Offer Statistics'!$BC$2:$BC$400),0)),"/")</f>
        <v>416</v>
      </c>
      <c r="AQ3" s="15"/>
      <c r="AR3" s="15" t="str">
        <f t="shared" ref="AR3:AR68" si="3">A3</f>
        <v>JS4018</v>
      </c>
    </row>
    <row r="4" spans="1:44" s="10" customFormat="1" ht="18" customHeight="1">
      <c r="A4" s="4" t="str">
        <f>'Reference Score Calculation'!A130</f>
        <v>JS4020</v>
      </c>
      <c r="B4" s="4" t="str">
        <f>'Reference Score Calculation'!C130</f>
        <v>文學院</v>
      </c>
      <c r="C4" s="4" t="str">
        <f>'Reference Score Calculation'!D130</f>
        <v>文化研究</v>
      </c>
      <c r="D4" s="4" t="str">
        <f>'Reference Score Calculation'!R130</f>
        <v>CULTURAL STUDIES</v>
      </c>
      <c r="E4" s="392" t="str">
        <f>'Reference Score Calculation'!AB130</f>
        <v>Best 5</v>
      </c>
      <c r="F4" s="395" t="str">
        <f>'Reference Score Calculation'!E130</f>
        <v>Best 5</v>
      </c>
      <c r="G4" s="6">
        <f>'Reference Score Calculation'!G130</f>
        <v>24.5</v>
      </c>
      <c r="H4" s="6">
        <f>'Reference Score Calculation'!H130</f>
        <v>23.5</v>
      </c>
      <c r="I4" s="6">
        <f>'Reference Score Calculation'!I130</f>
        <v>23.5</v>
      </c>
      <c r="J4" s="45">
        <f>計分版!J153</f>
        <v>3.9500000000000006E-9</v>
      </c>
      <c r="K4" s="25">
        <f t="shared" si="0"/>
        <v>-23.499999996050001</v>
      </c>
      <c r="L4" s="26">
        <f t="shared" si="1"/>
        <v>-5949367087.6075945</v>
      </c>
      <c r="M4" s="36">
        <f>'Reference Score Calculation'!T130</f>
        <v>17</v>
      </c>
      <c r="N4" s="86">
        <f>入學要求!Z139</f>
        <v>0</v>
      </c>
      <c r="O4" s="516"/>
      <c r="P4" s="166">
        <f>入學要求!L139</f>
        <v>3</v>
      </c>
      <c r="Q4" s="166">
        <f>入學要求!M139</f>
        <v>3</v>
      </c>
      <c r="R4" s="166">
        <f>入學要求!N139</f>
        <v>2</v>
      </c>
      <c r="S4" s="166">
        <f>入學要求!O139</f>
        <v>1</v>
      </c>
      <c r="T4" s="166">
        <f>入學要求!P139</f>
        <v>3</v>
      </c>
      <c r="U4" s="166">
        <f>入學要求!Q139</f>
        <v>3</v>
      </c>
      <c r="V4" s="256">
        <f>入學要求!S139</f>
        <v>0</v>
      </c>
      <c r="W4" s="256">
        <f>入學要求!T139</f>
        <v>0</v>
      </c>
      <c r="X4" s="256">
        <f>入學要求!U139</f>
        <v>0</v>
      </c>
      <c r="Y4" s="256">
        <f>入學要求!V139</f>
        <v>0</v>
      </c>
      <c r="Z4" s="256">
        <f>入學要求!W139</f>
        <v>0</v>
      </c>
      <c r="AA4" s="256">
        <f>入學要求!X139</f>
        <v>0</v>
      </c>
      <c r="AB4" s="36">
        <f t="shared" si="2"/>
        <v>13.07</v>
      </c>
      <c r="AC4" s="510"/>
      <c r="AD4" s="36" cm="1">
        <f t="array" ref="AD4">IFERROR(INDEX('Offer Statistics'!$BQ$2:$BQ$400,MATCH(1,($A4='Offer Statistics'!$BB$2:$BB$400)*($AC$2='Offer Statistics'!$BC$2:$BC$400),0)),"/")</f>
        <v>15</v>
      </c>
      <c r="AE4" s="64" cm="1">
        <f t="array" ref="AE4">IFERROR(INDEX('Offer Statistics'!BL$2:BL$400,MATCH(1,($A4='Offer Statistics'!$BB$2:$BB$400)*($AC$2='Offer Statistics'!$BC$2:$BC$400),0)),"/")</f>
        <v>15</v>
      </c>
      <c r="AF4" s="64" cm="1">
        <f t="array" ref="AF4">IFERROR(INDEX('Offer Statistics'!BM$2:BM$400,MATCH(1,($A4='Offer Statistics'!$BB$2:$BB$400)*($AC$2='Offer Statistics'!$BC$2:$BC$400),0)),"/")</f>
        <v>0</v>
      </c>
      <c r="AG4" s="64" cm="1">
        <f t="array" ref="AG4">IFERROR(INDEX('Offer Statistics'!BN$2:BN$400,MATCH(1,($A4='Offer Statistics'!$BB$2:$BB$400)*($AC$2='Offer Statistics'!$BC$2:$BC$400),0)),"/")</f>
        <v>0</v>
      </c>
      <c r="AH4" s="64" cm="1">
        <f t="array" ref="AH4">IFERROR(INDEX('Offer Statistics'!BO$2:BO$400,MATCH(1,($A4='Offer Statistics'!$BB$2:$BB$400)*($AC$2='Offer Statistics'!$BC$2:$BC$400),0)),"/")</f>
        <v>0</v>
      </c>
      <c r="AI4" s="64" cm="1">
        <f t="array" ref="AI4">IFERROR(INDEX('Offer Statistics'!BP$2:BP$400,MATCH(1,($A4='Offer Statistics'!$BB$2:$BB$400)*($AC$2='Offer Statistics'!$BC$2:$BC$400),0)),"/")</f>
        <v>0</v>
      </c>
      <c r="AJ4" s="511"/>
      <c r="AK4" s="36" cm="1">
        <f t="array" ref="AK4">IFERROR(INDEX('Offer Statistics'!$BI$2:$BI$400,MATCH(1,($A4='Offer Statistics'!$BB$2:$BB$400)*($AC$2='Offer Statistics'!$BC$2:$BC$400),0)),"/")</f>
        <v>2105</v>
      </c>
      <c r="AL4" s="64" cm="1">
        <f t="array" ref="AL4">IFERROR(INDEX('Offer Statistics'!BD$2:BD$400,MATCH(1,($A4='Offer Statistics'!$BB$2:$BB$400)*($AC$2='Offer Statistics'!$BC$2:$BC$400),0)),"/")</f>
        <v>196</v>
      </c>
      <c r="AM4" s="64" cm="1">
        <f t="array" ref="AM4">IFERROR(INDEX('Offer Statistics'!BE$2:BE$400,MATCH(1,($A4='Offer Statistics'!$BB$2:$BB$400)*($AC$2='Offer Statistics'!$BC$2:$BC$400),0)),"/")</f>
        <v>274</v>
      </c>
      <c r="AN4" s="64" cm="1">
        <f t="array" ref="AN4">IFERROR(INDEX('Offer Statistics'!BF$2:BF$400,MATCH(1,($A4='Offer Statistics'!$BB$2:$BB$400)*($AC$2='Offer Statistics'!$BC$2:$BC$400),0)),"/")</f>
        <v>444</v>
      </c>
      <c r="AO4" s="64" cm="1">
        <f t="array" ref="AO4">IFERROR(INDEX('Offer Statistics'!BG$2:BG$400,MATCH(1,($A4='Offer Statistics'!$BB$2:$BB$400)*($AC$2='Offer Statistics'!$BC$2:$BC$400),0)),"/")</f>
        <v>635</v>
      </c>
      <c r="AP4" s="64" cm="1">
        <f t="array" ref="AP4">IFERROR(INDEX('Offer Statistics'!BH$2:BH$400,MATCH(1,($A4='Offer Statistics'!$BB$2:$BB$400)*($AC$2='Offer Statistics'!$BC$2:$BC$400),0)),"/")</f>
        <v>556</v>
      </c>
      <c r="AQ4" s="15"/>
      <c r="AR4" s="15" t="str">
        <f t="shared" si="3"/>
        <v>JS4020</v>
      </c>
    </row>
    <row r="5" spans="1:44" ht="18" customHeight="1">
      <c r="A5" s="4" t="str">
        <f>'Reference Score Calculation'!A131</f>
        <v>JS4022</v>
      </c>
      <c r="B5" s="4" t="str">
        <f>'Reference Score Calculation'!C131</f>
        <v>文學院</v>
      </c>
      <c r="C5" s="4" t="str">
        <f>'Reference Score Calculation'!D131</f>
        <v>文化管理</v>
      </c>
      <c r="D5" s="4" t="str">
        <f>'Reference Score Calculation'!R131</f>
        <v>CULTURAL MANAGEMENT</v>
      </c>
      <c r="E5" s="392" t="str">
        <f>'Reference Score Calculation'!AB131</f>
        <v>Best 5</v>
      </c>
      <c r="F5" s="395" t="str">
        <f>'Reference Score Calculation'!E131</f>
        <v>Best 5</v>
      </c>
      <c r="G5" s="6">
        <f>'Reference Score Calculation'!G131</f>
        <v>26</v>
      </c>
      <c r="H5" s="6">
        <f>'Reference Score Calculation'!H131</f>
        <v>25</v>
      </c>
      <c r="I5" s="6">
        <f>'Reference Score Calculation'!I131</f>
        <v>24.5</v>
      </c>
      <c r="J5" s="45">
        <f>計分版!J154</f>
        <v>3.9500000000000006E-9</v>
      </c>
      <c r="K5" s="25">
        <f t="shared" si="0"/>
        <v>-24.999999996050001</v>
      </c>
      <c r="L5" s="26">
        <f t="shared" si="1"/>
        <v>-6329113923.0506325</v>
      </c>
      <c r="M5" s="36">
        <f>'Reference Score Calculation'!T131</f>
        <v>20</v>
      </c>
      <c r="N5" s="86">
        <f>入學要求!Z140</f>
        <v>0</v>
      </c>
      <c r="O5" s="516"/>
      <c r="P5" s="166">
        <f>入學要求!L140</f>
        <v>3</v>
      </c>
      <c r="Q5" s="166">
        <f>入學要求!M140</f>
        <v>3</v>
      </c>
      <c r="R5" s="166">
        <f>入學要求!N140</f>
        <v>2</v>
      </c>
      <c r="S5" s="166">
        <f>入學要求!O140</f>
        <v>1</v>
      </c>
      <c r="T5" s="166">
        <f>入學要求!P140</f>
        <v>3</v>
      </c>
      <c r="U5" s="166">
        <f>入學要求!Q140</f>
        <v>3</v>
      </c>
      <c r="V5" s="256">
        <f>入學要求!S140</f>
        <v>0</v>
      </c>
      <c r="W5" s="256">
        <f>入學要求!T140</f>
        <v>0</v>
      </c>
      <c r="X5" s="256">
        <f>入學要求!U140</f>
        <v>0</v>
      </c>
      <c r="Y5" s="256">
        <f>入學要求!V140</f>
        <v>0</v>
      </c>
      <c r="Z5" s="256">
        <f>入學要求!W140</f>
        <v>0</v>
      </c>
      <c r="AA5" s="256">
        <f>入學要求!X140</f>
        <v>0</v>
      </c>
      <c r="AB5" s="36">
        <f t="shared" si="2"/>
        <v>6.45</v>
      </c>
      <c r="AC5" s="510"/>
      <c r="AD5" s="36" cm="1">
        <f t="array" ref="AD5">IFERROR(INDEX('Offer Statistics'!$BQ$2:$BQ$400,MATCH(1,($A5='Offer Statistics'!$BB$2:$BB$400)*($AC$2='Offer Statistics'!$BC$2:$BC$400),0)),"/")</f>
        <v>22</v>
      </c>
      <c r="AE5" s="64" cm="1">
        <f t="array" ref="AE5">IFERROR(INDEX('Offer Statistics'!BL$2:BL$400,MATCH(1,($A5='Offer Statistics'!$BB$2:$BB$400)*($AC$2='Offer Statistics'!$BC$2:$BC$400),0)),"/")</f>
        <v>22</v>
      </c>
      <c r="AF5" s="64" cm="1">
        <f t="array" ref="AF5">IFERROR(INDEX('Offer Statistics'!BM$2:BM$400,MATCH(1,($A5='Offer Statistics'!$BB$2:$BB$400)*($AC$2='Offer Statistics'!$BC$2:$BC$400),0)),"/")</f>
        <v>0</v>
      </c>
      <c r="AG5" s="64" cm="1">
        <f t="array" ref="AG5">IFERROR(INDEX('Offer Statistics'!BN$2:BN$400,MATCH(1,($A5='Offer Statistics'!$BB$2:$BB$400)*($AC$2='Offer Statistics'!$BC$2:$BC$400),0)),"/")</f>
        <v>0</v>
      </c>
      <c r="AH5" s="64" cm="1">
        <f t="array" ref="AH5">IFERROR(INDEX('Offer Statistics'!BO$2:BO$400,MATCH(1,($A5='Offer Statistics'!$BB$2:$BB$400)*($AC$2='Offer Statistics'!$BC$2:$BC$400),0)),"/")</f>
        <v>0</v>
      </c>
      <c r="AI5" s="64" cm="1">
        <f t="array" ref="AI5">IFERROR(INDEX('Offer Statistics'!BP$2:BP$400,MATCH(1,($A5='Offer Statistics'!$BB$2:$BB$400)*($AC$2='Offer Statistics'!$BC$2:$BC$400),0)),"/")</f>
        <v>0</v>
      </c>
      <c r="AJ5" s="511"/>
      <c r="AK5" s="36" cm="1">
        <f t="array" ref="AK5">IFERROR(INDEX('Offer Statistics'!$BI$2:$BI$400,MATCH(1,($A5='Offer Statistics'!$BB$2:$BB$400)*($AC$2='Offer Statistics'!$BC$2:$BC$400),0)),"/")</f>
        <v>1468</v>
      </c>
      <c r="AL5" s="64" cm="1">
        <f t="array" ref="AL5">IFERROR(INDEX('Offer Statistics'!BD$2:BD$400,MATCH(1,($A5='Offer Statistics'!$BB$2:$BB$400)*($AC$2='Offer Statistics'!$BC$2:$BC$400),0)),"/")</f>
        <v>142</v>
      </c>
      <c r="AM5" s="64" cm="1">
        <f t="array" ref="AM5">IFERROR(INDEX('Offer Statistics'!BE$2:BE$400,MATCH(1,($A5='Offer Statistics'!$BB$2:$BB$400)*($AC$2='Offer Statistics'!$BC$2:$BC$400),0)),"/")</f>
        <v>175</v>
      </c>
      <c r="AN5" s="64" cm="1">
        <f t="array" ref="AN5">IFERROR(INDEX('Offer Statistics'!BF$2:BF$400,MATCH(1,($A5='Offer Statistics'!$BB$2:$BB$400)*($AC$2='Offer Statistics'!$BC$2:$BC$400),0)),"/")</f>
        <v>323</v>
      </c>
      <c r="AO5" s="64" cm="1">
        <f t="array" ref="AO5">IFERROR(INDEX('Offer Statistics'!BG$2:BG$400,MATCH(1,($A5='Offer Statistics'!$BB$2:$BB$400)*($AC$2='Offer Statistics'!$BC$2:$BC$400),0)),"/")</f>
        <v>460</v>
      </c>
      <c r="AP5" s="64" cm="1">
        <f t="array" ref="AP5">IFERROR(INDEX('Offer Statistics'!BH$2:BH$400,MATCH(1,($A5='Offer Statistics'!$BB$2:$BB$400)*($AC$2='Offer Statistics'!$BC$2:$BC$400),0)),"/")</f>
        <v>368</v>
      </c>
      <c r="AQ5" s="15"/>
      <c r="AR5" s="15" t="str">
        <f t="shared" si="3"/>
        <v>JS4022</v>
      </c>
    </row>
    <row r="6" spans="1:44" s="10" customFormat="1" ht="18" customHeight="1">
      <c r="A6" s="4" t="str">
        <f>'Reference Score Calculation'!A132</f>
        <v>JS4032</v>
      </c>
      <c r="B6" s="4" t="str">
        <f>'Reference Score Calculation'!C132</f>
        <v>文學院</v>
      </c>
      <c r="C6" s="4" t="str">
        <f>'Reference Score Calculation'!D132</f>
        <v>英文</v>
      </c>
      <c r="D6" s="4" t="str">
        <f>'Reference Score Calculation'!R132</f>
        <v>ENGLISH</v>
      </c>
      <c r="E6" s="392" t="str">
        <f>'Reference Score Calculation'!AB132</f>
        <v>Best 5</v>
      </c>
      <c r="F6" s="394" t="str">
        <f>'Reference Score Calculation'!E132</f>
        <v>Best 5</v>
      </c>
      <c r="G6" s="6">
        <f>'Reference Score Calculation'!G132</f>
        <v>27.75</v>
      </c>
      <c r="H6" s="6">
        <f>'Reference Score Calculation'!H132</f>
        <v>26.5</v>
      </c>
      <c r="I6" s="6">
        <f>'Reference Score Calculation'!I132</f>
        <v>25.75</v>
      </c>
      <c r="J6" s="45">
        <f>計分版!J155</f>
        <v>3.9500000000000006E-9</v>
      </c>
      <c r="K6" s="25">
        <f t="shared" si="0"/>
        <v>-26.499999996050001</v>
      </c>
      <c r="L6" s="26">
        <f t="shared" si="1"/>
        <v>-6708860758.4936695</v>
      </c>
      <c r="M6" s="36">
        <f>'Reference Score Calculation'!T132</f>
        <v>55</v>
      </c>
      <c r="N6" s="86">
        <f>入學要求!Z141</f>
        <v>0</v>
      </c>
      <c r="O6" s="516"/>
      <c r="P6" s="166">
        <f>入學要求!L141</f>
        <v>3</v>
      </c>
      <c r="Q6" s="166">
        <f>入學要求!M141</f>
        <v>3</v>
      </c>
      <c r="R6" s="166">
        <f>入學要求!N141</f>
        <v>2</v>
      </c>
      <c r="S6" s="166">
        <f>入學要求!O141</f>
        <v>1</v>
      </c>
      <c r="T6" s="166">
        <f>入學要求!P141</f>
        <v>3</v>
      </c>
      <c r="U6" s="166">
        <f>入學要求!Q141</f>
        <v>3</v>
      </c>
      <c r="V6" s="256">
        <f>入學要求!S141</f>
        <v>0</v>
      </c>
      <c r="W6" s="256">
        <f>入學要求!T141</f>
        <v>0</v>
      </c>
      <c r="X6" s="256">
        <f>入學要求!U141</f>
        <v>0</v>
      </c>
      <c r="Y6" s="256">
        <f>入學要求!V141</f>
        <v>0</v>
      </c>
      <c r="Z6" s="256">
        <f>入學要求!W141</f>
        <v>0</v>
      </c>
      <c r="AA6" s="256">
        <f>入學要求!X141</f>
        <v>0</v>
      </c>
      <c r="AB6" s="36">
        <f t="shared" si="2"/>
        <v>6.75</v>
      </c>
      <c r="AC6" s="510"/>
      <c r="AD6" s="36" cm="1">
        <f t="array" ref="AD6">IFERROR(INDEX('Offer Statistics'!$BQ$2:$BQ$400,MATCH(1,($A6='Offer Statistics'!$BB$2:$BB$400)*($AC$2='Offer Statistics'!$BC$2:$BC$400),0)),"/")</f>
        <v>52</v>
      </c>
      <c r="AE6" s="64" cm="1">
        <f t="array" ref="AE6">IFERROR(INDEX('Offer Statistics'!BL$2:BL$400,MATCH(1,($A6='Offer Statistics'!$BB$2:$BB$400)*($AC$2='Offer Statistics'!$BC$2:$BC$400),0)),"/")</f>
        <v>52</v>
      </c>
      <c r="AF6" s="64" cm="1">
        <f t="array" ref="AF6">IFERROR(INDEX('Offer Statistics'!BM$2:BM$400,MATCH(1,($A6='Offer Statistics'!$BB$2:$BB$400)*($AC$2='Offer Statistics'!$BC$2:$BC$400),0)),"/")</f>
        <v>0</v>
      </c>
      <c r="AG6" s="64" cm="1">
        <f t="array" ref="AG6">IFERROR(INDEX('Offer Statistics'!BN$2:BN$400,MATCH(1,($A6='Offer Statistics'!$BB$2:$BB$400)*($AC$2='Offer Statistics'!$BC$2:$BC$400),0)),"/")</f>
        <v>0</v>
      </c>
      <c r="AH6" s="64" cm="1">
        <f t="array" ref="AH6">IFERROR(INDEX('Offer Statistics'!BO$2:BO$400,MATCH(1,($A6='Offer Statistics'!$BB$2:$BB$400)*($AC$2='Offer Statistics'!$BC$2:$BC$400),0)),"/")</f>
        <v>0</v>
      </c>
      <c r="AI6" s="64" cm="1">
        <f t="array" ref="AI6">IFERROR(INDEX('Offer Statistics'!BP$2:BP$400,MATCH(1,($A6='Offer Statistics'!$BB$2:$BB$400)*($AC$2='Offer Statistics'!$BC$2:$BC$400),0)),"/")</f>
        <v>0</v>
      </c>
      <c r="AJ6" s="511"/>
      <c r="AK6" s="36" cm="1">
        <f t="array" ref="AK6">IFERROR(INDEX('Offer Statistics'!$BI$2:$BI$400,MATCH(1,($A6='Offer Statistics'!$BB$2:$BB$400)*($AC$2='Offer Statistics'!$BC$2:$BC$400),0)),"/")</f>
        <v>1587</v>
      </c>
      <c r="AL6" s="64" cm="1">
        <f t="array" ref="AL6">IFERROR(INDEX('Offer Statistics'!BD$2:BD$400,MATCH(1,($A6='Offer Statistics'!$BB$2:$BB$400)*($AC$2='Offer Statistics'!$BC$2:$BC$400),0)),"/")</f>
        <v>351</v>
      </c>
      <c r="AM6" s="64" cm="1">
        <f t="array" ref="AM6">IFERROR(INDEX('Offer Statistics'!BE$2:BE$400,MATCH(1,($A6='Offer Statistics'!$BB$2:$BB$400)*($AC$2='Offer Statistics'!$BC$2:$BC$400),0)),"/")</f>
        <v>239</v>
      </c>
      <c r="AN6" s="64" cm="1">
        <f t="array" ref="AN6">IFERROR(INDEX('Offer Statistics'!BF$2:BF$400,MATCH(1,($A6='Offer Statistics'!$BB$2:$BB$400)*($AC$2='Offer Statistics'!$BC$2:$BC$400),0)),"/")</f>
        <v>340</v>
      </c>
      <c r="AO6" s="64" cm="1">
        <f t="array" ref="AO6">IFERROR(INDEX('Offer Statistics'!BG$2:BG$400,MATCH(1,($A6='Offer Statistics'!$BB$2:$BB$400)*($AC$2='Offer Statistics'!$BC$2:$BC$400),0)),"/")</f>
        <v>374</v>
      </c>
      <c r="AP6" s="64" cm="1">
        <f t="array" ref="AP6">IFERROR(INDEX('Offer Statistics'!BH$2:BH$400,MATCH(1,($A6='Offer Statistics'!$BB$2:$BB$400)*($AC$2='Offer Statistics'!$BC$2:$BC$400),0)),"/")</f>
        <v>283</v>
      </c>
      <c r="AQ6" s="15"/>
      <c r="AR6" s="15" t="str">
        <f t="shared" si="3"/>
        <v>JS4032</v>
      </c>
    </row>
    <row r="7" spans="1:44" ht="18" customHeight="1">
      <c r="A7" s="4" t="str">
        <f>'Reference Score Calculation'!A133</f>
        <v>JS4044</v>
      </c>
      <c r="B7" s="4" t="str">
        <f>'Reference Score Calculation'!C133</f>
        <v>文學院</v>
      </c>
      <c r="C7" s="4" t="str">
        <f>'Reference Score Calculation'!D133</f>
        <v>藝術</v>
      </c>
      <c r="D7" s="4" t="str">
        <f>'Reference Score Calculation'!R133</f>
        <v>FINE ARTS</v>
      </c>
      <c r="E7" s="392" t="str">
        <f>'Reference Score Calculation'!AB133</f>
        <v>Best 5</v>
      </c>
      <c r="F7" s="395" t="str">
        <f>'Reference Score Calculation'!E133</f>
        <v>Best 5</v>
      </c>
      <c r="G7" s="6">
        <f>'Reference Score Calculation'!G133</f>
        <v>29</v>
      </c>
      <c r="H7" s="6">
        <f>'Reference Score Calculation'!H133</f>
        <v>24.5</v>
      </c>
      <c r="I7" s="6">
        <f>'Reference Score Calculation'!I133</f>
        <v>21.5</v>
      </c>
      <c r="J7" s="45">
        <f>計分版!J156</f>
        <v>3.9500000000000006E-9</v>
      </c>
      <c r="K7" s="25">
        <f t="shared" si="0"/>
        <v>-24.499999996050001</v>
      </c>
      <c r="L7" s="26">
        <f t="shared" si="1"/>
        <v>-6202531644.5696192</v>
      </c>
      <c r="M7" s="36">
        <f>'Reference Score Calculation'!T133</f>
        <v>19</v>
      </c>
      <c r="N7" s="86">
        <f>入學要求!Z142</f>
        <v>0</v>
      </c>
      <c r="O7" s="516"/>
      <c r="P7" s="166">
        <f>入學要求!L142</f>
        <v>3</v>
      </c>
      <c r="Q7" s="166">
        <f>入學要求!M142</f>
        <v>3</v>
      </c>
      <c r="R7" s="166">
        <f>入學要求!N142</f>
        <v>2</v>
      </c>
      <c r="S7" s="166">
        <f>入學要求!O142</f>
        <v>1</v>
      </c>
      <c r="T7" s="166">
        <f>入學要求!P142</f>
        <v>3</v>
      </c>
      <c r="U7" s="166">
        <f>入學要求!Q142</f>
        <v>3</v>
      </c>
      <c r="V7" s="256">
        <f>入學要求!S142</f>
        <v>0</v>
      </c>
      <c r="W7" s="256">
        <f>入學要求!T142</f>
        <v>0</v>
      </c>
      <c r="X7" s="256">
        <f>入學要求!U142</f>
        <v>0</v>
      </c>
      <c r="Y7" s="256">
        <f>入學要求!V142</f>
        <v>0</v>
      </c>
      <c r="Z7" s="256">
        <f>入學要求!W142</f>
        <v>0</v>
      </c>
      <c r="AA7" s="256">
        <f>入學要求!X142</f>
        <v>0</v>
      </c>
      <c r="AB7" s="36">
        <f t="shared" si="2"/>
        <v>13</v>
      </c>
      <c r="AC7" s="510"/>
      <c r="AD7" s="36" cm="1">
        <f t="array" ref="AD7">IFERROR(INDEX('Offer Statistics'!$BQ$2:$BQ$400,MATCH(1,($A7='Offer Statistics'!$BB$2:$BB$400)*($AC$2='Offer Statistics'!$BC$2:$BC$400),0)),"/")</f>
        <v>21</v>
      </c>
      <c r="AE7" s="64" cm="1">
        <f t="array" ref="AE7">IFERROR(INDEX('Offer Statistics'!BL$2:BL$400,MATCH(1,($A7='Offer Statistics'!$BB$2:$BB$400)*($AC$2='Offer Statistics'!$BC$2:$BC$400),0)),"/")</f>
        <v>21</v>
      </c>
      <c r="AF7" s="64" cm="1">
        <f t="array" ref="AF7">IFERROR(INDEX('Offer Statistics'!BM$2:BM$400,MATCH(1,($A7='Offer Statistics'!$BB$2:$BB$400)*($AC$2='Offer Statistics'!$BC$2:$BC$400),0)),"/")</f>
        <v>0</v>
      </c>
      <c r="AG7" s="64" cm="1">
        <f t="array" ref="AG7">IFERROR(INDEX('Offer Statistics'!BN$2:BN$400,MATCH(1,($A7='Offer Statistics'!$BB$2:$BB$400)*($AC$2='Offer Statistics'!$BC$2:$BC$400),0)),"/")</f>
        <v>0</v>
      </c>
      <c r="AH7" s="64" cm="1">
        <f t="array" ref="AH7">IFERROR(INDEX('Offer Statistics'!BO$2:BO$400,MATCH(1,($A7='Offer Statistics'!$BB$2:$BB$400)*($AC$2='Offer Statistics'!$BC$2:$BC$400),0)),"/")</f>
        <v>0</v>
      </c>
      <c r="AI7" s="64" cm="1">
        <f t="array" ref="AI7">IFERROR(INDEX('Offer Statistics'!BP$2:BP$400,MATCH(1,($A7='Offer Statistics'!$BB$2:$BB$400)*($AC$2='Offer Statistics'!$BC$2:$BC$400),0)),"/")</f>
        <v>0</v>
      </c>
      <c r="AJ7" s="511"/>
      <c r="AK7" s="36" cm="1">
        <f t="array" ref="AK7">IFERROR(INDEX('Offer Statistics'!$BI$2:$BI$400,MATCH(1,($A7='Offer Statistics'!$BB$2:$BB$400)*($AC$2='Offer Statistics'!$BC$2:$BC$400),0)),"/")</f>
        <v>1435</v>
      </c>
      <c r="AL7" s="64" cm="1">
        <f t="array" ref="AL7">IFERROR(INDEX('Offer Statistics'!BD$2:BD$400,MATCH(1,($A7='Offer Statistics'!$BB$2:$BB$400)*($AC$2='Offer Statistics'!$BC$2:$BC$400),0)),"/")</f>
        <v>273</v>
      </c>
      <c r="AM7" s="64" cm="1">
        <f t="array" ref="AM7">IFERROR(INDEX('Offer Statistics'!BE$2:BE$400,MATCH(1,($A7='Offer Statistics'!$BB$2:$BB$400)*($AC$2='Offer Statistics'!$BC$2:$BC$400),0)),"/")</f>
        <v>227</v>
      </c>
      <c r="AN7" s="64" cm="1">
        <f t="array" ref="AN7">IFERROR(INDEX('Offer Statistics'!BF$2:BF$400,MATCH(1,($A7='Offer Statistics'!$BB$2:$BB$400)*($AC$2='Offer Statistics'!$BC$2:$BC$400),0)),"/")</f>
        <v>323</v>
      </c>
      <c r="AO7" s="64" cm="1">
        <f t="array" ref="AO7">IFERROR(INDEX('Offer Statistics'!BG$2:BG$400,MATCH(1,($A7='Offer Statistics'!$BB$2:$BB$400)*($AC$2='Offer Statistics'!$BC$2:$BC$400),0)),"/")</f>
        <v>330</v>
      </c>
      <c r="AP7" s="64" cm="1">
        <f t="array" ref="AP7">IFERROR(INDEX('Offer Statistics'!BH$2:BH$400,MATCH(1,($A7='Offer Statistics'!$BB$2:$BB$400)*($AC$2='Offer Statistics'!$BC$2:$BC$400),0)),"/")</f>
        <v>282</v>
      </c>
      <c r="AQ7" s="15"/>
      <c r="AR7" s="15" t="str">
        <f t="shared" si="3"/>
        <v>JS4044</v>
      </c>
    </row>
    <row r="8" spans="1:44" s="10" customFormat="1" ht="18" customHeight="1">
      <c r="A8" s="4" t="str">
        <f>'Reference Score Calculation'!A134</f>
        <v>JS4056</v>
      </c>
      <c r="B8" s="4" t="str">
        <f>'Reference Score Calculation'!C134</f>
        <v>文學院</v>
      </c>
      <c r="C8" s="4" t="str">
        <f>'Reference Score Calculation'!D134</f>
        <v>歷史</v>
      </c>
      <c r="D8" s="4" t="str">
        <f>'Reference Score Calculation'!R134</f>
        <v>HISTORY</v>
      </c>
      <c r="E8" s="392" t="str">
        <f>'Reference Score Calculation'!AB134</f>
        <v>Best 5</v>
      </c>
      <c r="F8" s="395" t="str">
        <f>'Reference Score Calculation'!E134</f>
        <v>Best 5</v>
      </c>
      <c r="G8" s="6">
        <f>'Reference Score Calculation'!G134</f>
        <v>30.5</v>
      </c>
      <c r="H8" s="6">
        <f>'Reference Score Calculation'!H134</f>
        <v>27.5</v>
      </c>
      <c r="I8" s="6">
        <f>'Reference Score Calculation'!I134</f>
        <v>26</v>
      </c>
      <c r="J8" s="45">
        <f>計分版!J157</f>
        <v>3.9500000000000006E-9</v>
      </c>
      <c r="K8" s="25">
        <f t="shared" si="0"/>
        <v>-27.499999996050001</v>
      </c>
      <c r="L8" s="26">
        <f t="shared" si="1"/>
        <v>-6962025315.4556952</v>
      </c>
      <c r="M8" s="36">
        <f>'Reference Score Calculation'!T134</f>
        <v>48</v>
      </c>
      <c r="N8" s="86">
        <f>入學要求!Z143</f>
        <v>0</v>
      </c>
      <c r="O8" s="516"/>
      <c r="P8" s="166">
        <f>入學要求!L143</f>
        <v>3</v>
      </c>
      <c r="Q8" s="166">
        <f>入學要求!M143</f>
        <v>3</v>
      </c>
      <c r="R8" s="166">
        <f>入學要求!N143</f>
        <v>2</v>
      </c>
      <c r="S8" s="166">
        <f>入學要求!O143</f>
        <v>1</v>
      </c>
      <c r="T8" s="166">
        <f>入學要求!P143</f>
        <v>3</v>
      </c>
      <c r="U8" s="166">
        <f>入學要求!Q143</f>
        <v>3</v>
      </c>
      <c r="V8" s="256">
        <f>入學要求!S143</f>
        <v>0</v>
      </c>
      <c r="W8" s="256">
        <f>入學要求!T143</f>
        <v>0</v>
      </c>
      <c r="X8" s="256">
        <f>入學要求!U143</f>
        <v>0</v>
      </c>
      <c r="Y8" s="256">
        <f>入學要求!V143</f>
        <v>0</v>
      </c>
      <c r="Z8" s="256">
        <f>入學要求!W143</f>
        <v>0</v>
      </c>
      <c r="AA8" s="256">
        <f>入學要求!X143</f>
        <v>0</v>
      </c>
      <c r="AB8" s="36">
        <f t="shared" si="2"/>
        <v>8.1300000000000008</v>
      </c>
      <c r="AC8" s="510"/>
      <c r="AD8" s="36" cm="1">
        <f t="array" ref="AD8">IFERROR(INDEX('Offer Statistics'!$BQ$2:$BQ$400,MATCH(1,($A8='Offer Statistics'!$BB$2:$BB$400)*($AC$2='Offer Statistics'!$BC$2:$BC$400),0)),"/")</f>
        <v>53</v>
      </c>
      <c r="AE8" s="64" cm="1">
        <f t="array" ref="AE8">IFERROR(INDEX('Offer Statistics'!BL$2:BL$400,MATCH(1,($A8='Offer Statistics'!$BB$2:$BB$400)*($AC$2='Offer Statistics'!$BC$2:$BC$400),0)),"/")</f>
        <v>53</v>
      </c>
      <c r="AF8" s="64" cm="1">
        <f t="array" ref="AF8">IFERROR(INDEX('Offer Statistics'!BM$2:BM$400,MATCH(1,($A8='Offer Statistics'!$BB$2:$BB$400)*($AC$2='Offer Statistics'!$BC$2:$BC$400),0)),"/")</f>
        <v>0</v>
      </c>
      <c r="AG8" s="64" cm="1">
        <f t="array" ref="AG8">IFERROR(INDEX('Offer Statistics'!BN$2:BN$400,MATCH(1,($A8='Offer Statistics'!$BB$2:$BB$400)*($AC$2='Offer Statistics'!$BC$2:$BC$400),0)),"/")</f>
        <v>0</v>
      </c>
      <c r="AH8" s="64" cm="1">
        <f t="array" ref="AH8">IFERROR(INDEX('Offer Statistics'!BO$2:BO$400,MATCH(1,($A8='Offer Statistics'!$BB$2:$BB$400)*($AC$2='Offer Statistics'!$BC$2:$BC$400),0)),"/")</f>
        <v>0</v>
      </c>
      <c r="AI8" s="64" cm="1">
        <f t="array" ref="AI8">IFERROR(INDEX('Offer Statistics'!BP$2:BP$400,MATCH(1,($A8='Offer Statistics'!$BB$2:$BB$400)*($AC$2='Offer Statistics'!$BC$2:$BC$400),0)),"/")</f>
        <v>0</v>
      </c>
      <c r="AJ8" s="511"/>
      <c r="AK8" s="36" cm="1">
        <f t="array" ref="AK8">IFERROR(INDEX('Offer Statistics'!$BI$2:$BI$400,MATCH(1,($A8='Offer Statistics'!$BB$2:$BB$400)*($AC$2='Offer Statistics'!$BC$2:$BC$400),0)),"/")</f>
        <v>2125</v>
      </c>
      <c r="AL8" s="64" cm="1">
        <f t="array" ref="AL8">IFERROR(INDEX('Offer Statistics'!BD$2:BD$400,MATCH(1,($A8='Offer Statistics'!$BB$2:$BB$400)*($AC$2='Offer Statistics'!$BC$2:$BC$400),0)),"/")</f>
        <v>431</v>
      </c>
      <c r="AM8" s="64" cm="1">
        <f t="array" ref="AM8">IFERROR(INDEX('Offer Statistics'!BE$2:BE$400,MATCH(1,($A8='Offer Statistics'!$BB$2:$BB$400)*($AC$2='Offer Statistics'!$BC$2:$BC$400),0)),"/")</f>
        <v>335</v>
      </c>
      <c r="AN8" s="64" cm="1">
        <f t="array" ref="AN8">IFERROR(INDEX('Offer Statistics'!BF$2:BF$400,MATCH(1,($A8='Offer Statistics'!$BB$2:$BB$400)*($AC$2='Offer Statistics'!$BC$2:$BC$400),0)),"/")</f>
        <v>436</v>
      </c>
      <c r="AO8" s="64" cm="1">
        <f t="array" ref="AO8">IFERROR(INDEX('Offer Statistics'!BG$2:BG$400,MATCH(1,($A8='Offer Statistics'!$BB$2:$BB$400)*($AC$2='Offer Statistics'!$BC$2:$BC$400),0)),"/")</f>
        <v>497</v>
      </c>
      <c r="AP8" s="64" cm="1">
        <f t="array" ref="AP8">IFERROR(INDEX('Offer Statistics'!BH$2:BH$400,MATCH(1,($A8='Offer Statistics'!$BB$2:$BB$400)*($AC$2='Offer Statistics'!$BC$2:$BC$400),0)),"/")</f>
        <v>426</v>
      </c>
      <c r="AQ8" s="15"/>
      <c r="AR8" s="15" t="str">
        <f t="shared" si="3"/>
        <v>JS4056</v>
      </c>
    </row>
    <row r="9" spans="1:44" ht="18" customHeight="1">
      <c r="A9" s="4" t="str">
        <f>'Reference Score Calculation'!A135</f>
        <v>JS4068</v>
      </c>
      <c r="B9" s="4" t="str">
        <f>'Reference Score Calculation'!C135</f>
        <v>文學院</v>
      </c>
      <c r="C9" s="4" t="str">
        <f>'Reference Score Calculation'!D135</f>
        <v>日本研究</v>
      </c>
      <c r="D9" s="4" t="str">
        <f>'Reference Score Calculation'!R135</f>
        <v>JAPANESE STUDIES</v>
      </c>
      <c r="E9" s="392" t="str">
        <f>'Reference Score Calculation'!AB135</f>
        <v>Best 5</v>
      </c>
      <c r="F9" s="395" t="str">
        <f>'Reference Score Calculation'!E135</f>
        <v>Best 5</v>
      </c>
      <c r="G9" s="6">
        <f>'Reference Score Calculation'!G135</f>
        <v>26</v>
      </c>
      <c r="H9" s="6">
        <f>'Reference Score Calculation'!H135</f>
        <v>24.5</v>
      </c>
      <c r="I9" s="6">
        <f>'Reference Score Calculation'!I135</f>
        <v>24.5</v>
      </c>
      <c r="J9" s="45">
        <f>計分版!J158</f>
        <v>3.9500000000000006E-9</v>
      </c>
      <c r="K9" s="25">
        <f t="shared" si="0"/>
        <v>-24.499999996050001</v>
      </c>
      <c r="L9" s="26">
        <f t="shared" si="1"/>
        <v>-6202531644.5696192</v>
      </c>
      <c r="M9" s="36">
        <f>'Reference Score Calculation'!T135</f>
        <v>22</v>
      </c>
      <c r="N9" s="86">
        <f>入學要求!Z144</f>
        <v>0</v>
      </c>
      <c r="O9" s="516"/>
      <c r="P9" s="166">
        <f>入學要求!L144</f>
        <v>3</v>
      </c>
      <c r="Q9" s="166">
        <f>入學要求!M144</f>
        <v>3</v>
      </c>
      <c r="R9" s="166">
        <f>入學要求!N144</f>
        <v>2</v>
      </c>
      <c r="S9" s="166">
        <f>入學要求!O144</f>
        <v>1</v>
      </c>
      <c r="T9" s="166">
        <f>入學要求!P144</f>
        <v>3</v>
      </c>
      <c r="U9" s="166">
        <f>入學要求!Q144</f>
        <v>3</v>
      </c>
      <c r="V9" s="256">
        <f>入學要求!S144</f>
        <v>0</v>
      </c>
      <c r="W9" s="256">
        <f>入學要求!T144</f>
        <v>0</v>
      </c>
      <c r="X9" s="256">
        <f>入學要求!U144</f>
        <v>0</v>
      </c>
      <c r="Y9" s="256">
        <f>入學要求!V144</f>
        <v>0</v>
      </c>
      <c r="Z9" s="256">
        <f>入學要求!W144</f>
        <v>0</v>
      </c>
      <c r="AA9" s="256">
        <f>入學要求!X144</f>
        <v>0</v>
      </c>
      <c r="AB9" s="36">
        <f t="shared" si="2"/>
        <v>18.71</v>
      </c>
      <c r="AC9" s="510"/>
      <c r="AD9" s="36" cm="1">
        <f t="array" ref="AD9">IFERROR(INDEX('Offer Statistics'!$BQ$2:$BQ$400,MATCH(1,($A9='Offer Statistics'!$BB$2:$BB$400)*($AC$2='Offer Statistics'!$BC$2:$BC$400),0)),"/")</f>
        <v>24</v>
      </c>
      <c r="AE9" s="64" cm="1">
        <f t="array" ref="AE9">IFERROR(INDEX('Offer Statistics'!BL$2:BL$400,MATCH(1,($A9='Offer Statistics'!$BB$2:$BB$400)*($AC$2='Offer Statistics'!$BC$2:$BC$400),0)),"/")</f>
        <v>24</v>
      </c>
      <c r="AF9" s="64" cm="1">
        <f t="array" ref="AF9">IFERROR(INDEX('Offer Statistics'!BM$2:BM$400,MATCH(1,($A9='Offer Statistics'!$BB$2:$BB$400)*($AC$2='Offer Statistics'!$BC$2:$BC$400),0)),"/")</f>
        <v>0</v>
      </c>
      <c r="AG9" s="64" cm="1">
        <f t="array" ref="AG9">IFERROR(INDEX('Offer Statistics'!BN$2:BN$400,MATCH(1,($A9='Offer Statistics'!$BB$2:$BB$400)*($AC$2='Offer Statistics'!$BC$2:$BC$400),0)),"/")</f>
        <v>0</v>
      </c>
      <c r="AH9" s="64" cm="1">
        <f t="array" ref="AH9">IFERROR(INDEX('Offer Statistics'!BO$2:BO$400,MATCH(1,($A9='Offer Statistics'!$BB$2:$BB$400)*($AC$2='Offer Statistics'!$BC$2:$BC$400),0)),"/")</f>
        <v>0</v>
      </c>
      <c r="AI9" s="64" cm="1">
        <f t="array" ref="AI9">IFERROR(INDEX('Offer Statistics'!BP$2:BP$400,MATCH(1,($A9='Offer Statistics'!$BB$2:$BB$400)*($AC$2='Offer Statistics'!$BC$2:$BC$400),0)),"/")</f>
        <v>0</v>
      </c>
      <c r="AJ9" s="511"/>
      <c r="AK9" s="36" cm="1">
        <f t="array" ref="AK9">IFERROR(INDEX('Offer Statistics'!$BI$2:$BI$400,MATCH(1,($A9='Offer Statistics'!$BB$2:$BB$400)*($AC$2='Offer Statistics'!$BC$2:$BC$400),0)),"/")</f>
        <v>2403</v>
      </c>
      <c r="AL9" s="64" cm="1">
        <f t="array" ref="AL9">IFERROR(INDEX('Offer Statistics'!BD$2:BD$400,MATCH(1,($A9='Offer Statistics'!$BB$2:$BB$400)*($AC$2='Offer Statistics'!$BC$2:$BC$400),0)),"/")</f>
        <v>449</v>
      </c>
      <c r="AM9" s="64" cm="1">
        <f t="array" ref="AM9">IFERROR(INDEX('Offer Statistics'!BE$2:BE$400,MATCH(1,($A9='Offer Statistics'!$BB$2:$BB$400)*($AC$2='Offer Statistics'!$BC$2:$BC$400),0)),"/")</f>
        <v>331</v>
      </c>
      <c r="AN9" s="64" cm="1">
        <f t="array" ref="AN9">IFERROR(INDEX('Offer Statistics'!BF$2:BF$400,MATCH(1,($A9='Offer Statistics'!$BB$2:$BB$400)*($AC$2='Offer Statistics'!$BC$2:$BC$400),0)),"/")</f>
        <v>496</v>
      </c>
      <c r="AO9" s="64" cm="1">
        <f t="array" ref="AO9">IFERROR(INDEX('Offer Statistics'!BG$2:BG$400,MATCH(1,($A9='Offer Statistics'!$BB$2:$BB$400)*($AC$2='Offer Statistics'!$BC$2:$BC$400),0)),"/")</f>
        <v>540</v>
      </c>
      <c r="AP9" s="64" cm="1">
        <f t="array" ref="AP9">IFERROR(INDEX('Offer Statistics'!BH$2:BH$400,MATCH(1,($A9='Offer Statistics'!$BB$2:$BB$400)*($AC$2='Offer Statistics'!$BC$2:$BC$400),0)),"/")</f>
        <v>587</v>
      </c>
      <c r="AQ9" s="15"/>
      <c r="AR9" s="15" t="str">
        <f t="shared" si="3"/>
        <v>JS4068</v>
      </c>
    </row>
    <row r="10" spans="1:44" s="10" customFormat="1" ht="18" customHeight="1">
      <c r="A10" s="4" t="str">
        <f>'Reference Score Calculation'!A136</f>
        <v>JS4070</v>
      </c>
      <c r="B10" s="4" t="str">
        <f>'Reference Score Calculation'!C136</f>
        <v>文學院</v>
      </c>
      <c r="C10" s="4" t="str">
        <f>'Reference Score Calculation'!D136</f>
        <v>語言學</v>
      </c>
      <c r="D10" s="4" t="str">
        <f>'Reference Score Calculation'!R136</f>
        <v>LINGUISTICS</v>
      </c>
      <c r="E10" s="392" t="str">
        <f>'Reference Score Calculation'!AB136</f>
        <v>Best 5</v>
      </c>
      <c r="F10" s="395" t="str">
        <f>'Reference Score Calculation'!E136</f>
        <v>Best 5</v>
      </c>
      <c r="G10" s="6">
        <f>'Reference Score Calculation'!G136</f>
        <v>24.5</v>
      </c>
      <c r="H10" s="6">
        <f>'Reference Score Calculation'!H136</f>
        <v>24.5</v>
      </c>
      <c r="I10" s="6">
        <f>'Reference Score Calculation'!I136</f>
        <v>23.5</v>
      </c>
      <c r="J10" s="45">
        <f>計分版!J159</f>
        <v>3.9500000000000006E-9</v>
      </c>
      <c r="K10" s="25">
        <f t="shared" si="0"/>
        <v>-24.499999996050001</v>
      </c>
      <c r="L10" s="26">
        <f t="shared" si="1"/>
        <v>-6202531644.5696192</v>
      </c>
      <c r="M10" s="36">
        <f>'Reference Score Calculation'!T136</f>
        <v>22</v>
      </c>
      <c r="N10" s="86">
        <f>入學要求!Z145</f>
        <v>0</v>
      </c>
      <c r="O10" s="516"/>
      <c r="P10" s="166">
        <f>入學要求!L145</f>
        <v>3</v>
      </c>
      <c r="Q10" s="166">
        <f>入學要求!M145</f>
        <v>3</v>
      </c>
      <c r="R10" s="166">
        <f>入學要求!N145</f>
        <v>2</v>
      </c>
      <c r="S10" s="166">
        <f>入學要求!O145</f>
        <v>1</v>
      </c>
      <c r="T10" s="166">
        <f>入學要求!P145</f>
        <v>3</v>
      </c>
      <c r="U10" s="166">
        <f>入學要求!Q145</f>
        <v>3</v>
      </c>
      <c r="V10" s="256">
        <f>入學要求!S145</f>
        <v>0</v>
      </c>
      <c r="W10" s="256">
        <f>入學要求!T145</f>
        <v>0</v>
      </c>
      <c r="X10" s="256">
        <f>入學要求!U145</f>
        <v>0</v>
      </c>
      <c r="Y10" s="256">
        <f>入學要求!V145</f>
        <v>0</v>
      </c>
      <c r="Z10" s="256">
        <f>入學要求!W145</f>
        <v>0</v>
      </c>
      <c r="AA10" s="256">
        <f>入學要求!X145</f>
        <v>0</v>
      </c>
      <c r="AB10" s="36">
        <f t="shared" si="2"/>
        <v>8.48</v>
      </c>
      <c r="AC10" s="510"/>
      <c r="AD10" s="36" cm="1">
        <f t="array" ref="AD10">IFERROR(INDEX('Offer Statistics'!$BQ$2:$BQ$400,MATCH(1,($A10='Offer Statistics'!$BB$2:$BB$400)*($AC$2='Offer Statistics'!$BC$2:$BC$400),0)),"/")</f>
        <v>25</v>
      </c>
      <c r="AE10" s="64" cm="1">
        <f t="array" ref="AE10">IFERROR(INDEX('Offer Statistics'!BL$2:BL$400,MATCH(1,($A10='Offer Statistics'!$BB$2:$BB$400)*($AC$2='Offer Statistics'!$BC$2:$BC$400),0)),"/")</f>
        <v>25</v>
      </c>
      <c r="AF10" s="64" cm="1">
        <f t="array" ref="AF10">IFERROR(INDEX('Offer Statistics'!BM$2:BM$400,MATCH(1,($A10='Offer Statistics'!$BB$2:$BB$400)*($AC$2='Offer Statistics'!$BC$2:$BC$400),0)),"/")</f>
        <v>0</v>
      </c>
      <c r="AG10" s="64" cm="1">
        <f t="array" ref="AG10">IFERROR(INDEX('Offer Statistics'!BN$2:BN$400,MATCH(1,($A10='Offer Statistics'!$BB$2:$BB$400)*($AC$2='Offer Statistics'!$BC$2:$BC$400),0)),"/")</f>
        <v>0</v>
      </c>
      <c r="AH10" s="64" cm="1">
        <f t="array" ref="AH10">IFERROR(INDEX('Offer Statistics'!BO$2:BO$400,MATCH(1,($A10='Offer Statistics'!$BB$2:$BB$400)*($AC$2='Offer Statistics'!$BC$2:$BC$400),0)),"/")</f>
        <v>0</v>
      </c>
      <c r="AI10" s="64" cm="1">
        <f t="array" ref="AI10">IFERROR(INDEX('Offer Statistics'!BP$2:BP$400,MATCH(1,($A10='Offer Statistics'!$BB$2:$BB$400)*($AC$2='Offer Statistics'!$BC$2:$BC$400),0)),"/")</f>
        <v>0</v>
      </c>
      <c r="AJ10" s="511"/>
      <c r="AK10" s="36" cm="1">
        <f t="array" ref="AK10">IFERROR(INDEX('Offer Statistics'!$BI$2:$BI$400,MATCH(1,($A10='Offer Statistics'!$BB$2:$BB$400)*($AC$2='Offer Statistics'!$BC$2:$BC$400),0)),"/")</f>
        <v>1778</v>
      </c>
      <c r="AL10" s="64" cm="1">
        <f t="array" ref="AL10">IFERROR(INDEX('Offer Statistics'!BD$2:BD$400,MATCH(1,($A10='Offer Statistics'!$BB$2:$BB$400)*($AC$2='Offer Statistics'!$BC$2:$BC$400),0)),"/")</f>
        <v>212</v>
      </c>
      <c r="AM10" s="64" cm="1">
        <f t="array" ref="AM10">IFERROR(INDEX('Offer Statistics'!BE$2:BE$400,MATCH(1,($A10='Offer Statistics'!$BB$2:$BB$400)*($AC$2='Offer Statistics'!$BC$2:$BC$400),0)),"/")</f>
        <v>213</v>
      </c>
      <c r="AN10" s="64" cm="1">
        <f t="array" ref="AN10">IFERROR(INDEX('Offer Statistics'!BF$2:BF$400,MATCH(1,($A10='Offer Statistics'!$BB$2:$BB$400)*($AC$2='Offer Statistics'!$BC$2:$BC$400),0)),"/")</f>
        <v>366</v>
      </c>
      <c r="AO10" s="64" cm="1">
        <f t="array" ref="AO10">IFERROR(INDEX('Offer Statistics'!BG$2:BG$400,MATCH(1,($A10='Offer Statistics'!$BB$2:$BB$400)*($AC$2='Offer Statistics'!$BC$2:$BC$400),0)),"/")</f>
        <v>504</v>
      </c>
      <c r="AP10" s="64" cm="1">
        <f t="array" ref="AP10">IFERROR(INDEX('Offer Statistics'!BH$2:BH$400,MATCH(1,($A10='Offer Statistics'!$BB$2:$BB$400)*($AC$2='Offer Statistics'!$BC$2:$BC$400),0)),"/")</f>
        <v>483</v>
      </c>
      <c r="AQ10" s="15"/>
      <c r="AR10" s="15" t="str">
        <f t="shared" si="3"/>
        <v>JS4070</v>
      </c>
    </row>
    <row r="11" spans="1:44" ht="18" customHeight="1">
      <c r="A11" s="4" t="str">
        <f>'Reference Score Calculation'!A137</f>
        <v>JS4082</v>
      </c>
      <c r="B11" s="4" t="str">
        <f>'Reference Score Calculation'!C137</f>
        <v>文學院</v>
      </c>
      <c r="C11" s="4" t="str">
        <f>'Reference Score Calculation'!D137</f>
        <v>音樂</v>
      </c>
      <c r="D11" s="4" t="str">
        <f>'Reference Score Calculation'!R137</f>
        <v>MUSIC</v>
      </c>
      <c r="E11" s="392" t="str">
        <f>'Reference Score Calculation'!AB137</f>
        <v>Best 5</v>
      </c>
      <c r="F11" s="395" t="str">
        <f>'Reference Score Calculation'!E137</f>
        <v>Best 5</v>
      </c>
      <c r="G11" s="6">
        <f>'Reference Score Calculation'!G137</f>
        <v>29</v>
      </c>
      <c r="H11" s="6">
        <f>'Reference Score Calculation'!H137</f>
        <v>23</v>
      </c>
      <c r="I11" s="6">
        <f>'Reference Score Calculation'!I137</f>
        <v>21.5</v>
      </c>
      <c r="J11" s="45">
        <f>計分版!J160</f>
        <v>3.9500000000000006E-9</v>
      </c>
      <c r="K11" s="25">
        <f t="shared" si="0"/>
        <v>-22.999999996050001</v>
      </c>
      <c r="L11" s="26">
        <f t="shared" si="1"/>
        <v>-5822784809.1265812</v>
      </c>
      <c r="M11" s="36">
        <f>'Reference Score Calculation'!T137</f>
        <v>27</v>
      </c>
      <c r="N11" s="86">
        <f>入學要求!Z146</f>
        <v>0</v>
      </c>
      <c r="O11" s="516"/>
      <c r="P11" s="166">
        <f>入學要求!L146</f>
        <v>3</v>
      </c>
      <c r="Q11" s="166">
        <f>入學要求!M146</f>
        <v>3</v>
      </c>
      <c r="R11" s="166">
        <f>入學要求!N146</f>
        <v>2</v>
      </c>
      <c r="S11" s="166">
        <f>入學要求!O146</f>
        <v>1</v>
      </c>
      <c r="T11" s="166">
        <f>入學要求!P146</f>
        <v>3</v>
      </c>
      <c r="U11" s="166">
        <f>入學要求!Q146</f>
        <v>3</v>
      </c>
      <c r="V11" s="256">
        <f>入學要求!S146</f>
        <v>0</v>
      </c>
      <c r="W11" s="256">
        <f>入學要求!T146</f>
        <v>0</v>
      </c>
      <c r="X11" s="256">
        <f>入學要求!U146</f>
        <v>0</v>
      </c>
      <c r="Y11" s="256">
        <f>入學要求!V146</f>
        <v>0</v>
      </c>
      <c r="Z11" s="256">
        <f>入學要求!W146</f>
        <v>0</v>
      </c>
      <c r="AA11" s="256">
        <f>入學要求!X146</f>
        <v>0</v>
      </c>
      <c r="AB11" s="36">
        <f t="shared" si="2"/>
        <v>7</v>
      </c>
      <c r="AC11" s="510"/>
      <c r="AD11" s="36" cm="1">
        <f t="array" ref="AD11">IFERROR(INDEX('Offer Statistics'!$BQ$2:$BQ$400,MATCH(1,($A11='Offer Statistics'!$BB$2:$BB$400)*($AC$2='Offer Statistics'!$BC$2:$BC$400),0)),"/")</f>
        <v>28</v>
      </c>
      <c r="AE11" s="64" cm="1">
        <f t="array" ref="AE11">IFERROR(INDEX('Offer Statistics'!BL$2:BL$400,MATCH(1,($A11='Offer Statistics'!$BB$2:$BB$400)*($AC$2='Offer Statistics'!$BC$2:$BC$400),0)),"/")</f>
        <v>28</v>
      </c>
      <c r="AF11" s="64" cm="1">
        <f t="array" ref="AF11">IFERROR(INDEX('Offer Statistics'!BM$2:BM$400,MATCH(1,($A11='Offer Statistics'!$BB$2:$BB$400)*($AC$2='Offer Statistics'!$BC$2:$BC$400),0)),"/")</f>
        <v>0</v>
      </c>
      <c r="AG11" s="64" cm="1">
        <f t="array" ref="AG11">IFERROR(INDEX('Offer Statistics'!BN$2:BN$400,MATCH(1,($A11='Offer Statistics'!$BB$2:$BB$400)*($AC$2='Offer Statistics'!$BC$2:$BC$400),0)),"/")</f>
        <v>0</v>
      </c>
      <c r="AH11" s="64" cm="1">
        <f t="array" ref="AH11">IFERROR(INDEX('Offer Statistics'!BO$2:BO$400,MATCH(1,($A11='Offer Statistics'!$BB$2:$BB$400)*($AC$2='Offer Statistics'!$BC$2:$BC$400),0)),"/")</f>
        <v>0</v>
      </c>
      <c r="AI11" s="64" cm="1">
        <f t="array" ref="AI11">IFERROR(INDEX('Offer Statistics'!BP$2:BP$400,MATCH(1,($A11='Offer Statistics'!$BB$2:$BB$400)*($AC$2='Offer Statistics'!$BC$2:$BC$400),0)),"/")</f>
        <v>0</v>
      </c>
      <c r="AJ11" s="511"/>
      <c r="AK11" s="36" cm="1">
        <f t="array" ref="AK11">IFERROR(INDEX('Offer Statistics'!$BI$2:$BI$400,MATCH(1,($A11='Offer Statistics'!$BB$2:$BB$400)*($AC$2='Offer Statistics'!$BC$2:$BC$400),0)),"/")</f>
        <v>952</v>
      </c>
      <c r="AL11" s="64" cm="1">
        <f t="array" ref="AL11">IFERROR(INDEX('Offer Statistics'!BD$2:BD$400,MATCH(1,($A11='Offer Statistics'!$BB$2:$BB$400)*($AC$2='Offer Statistics'!$BC$2:$BC$400),0)),"/")</f>
        <v>196</v>
      </c>
      <c r="AM11" s="64" cm="1">
        <f t="array" ref="AM11">IFERROR(INDEX('Offer Statistics'!BE$2:BE$400,MATCH(1,($A11='Offer Statistics'!$BB$2:$BB$400)*($AC$2='Offer Statistics'!$BC$2:$BC$400),0)),"/")</f>
        <v>119</v>
      </c>
      <c r="AN11" s="64" cm="1">
        <f t="array" ref="AN11">IFERROR(INDEX('Offer Statistics'!BF$2:BF$400,MATCH(1,($A11='Offer Statistics'!$BB$2:$BB$400)*($AC$2='Offer Statistics'!$BC$2:$BC$400),0)),"/")</f>
        <v>171</v>
      </c>
      <c r="AO11" s="64" cm="1">
        <f t="array" ref="AO11">IFERROR(INDEX('Offer Statistics'!BG$2:BG$400,MATCH(1,($A11='Offer Statistics'!$BB$2:$BB$400)*($AC$2='Offer Statistics'!$BC$2:$BC$400),0)),"/")</f>
        <v>212</v>
      </c>
      <c r="AP11" s="64" cm="1">
        <f t="array" ref="AP11">IFERROR(INDEX('Offer Statistics'!BH$2:BH$400,MATCH(1,($A11='Offer Statistics'!$BB$2:$BB$400)*($AC$2='Offer Statistics'!$BC$2:$BC$400),0)),"/")</f>
        <v>254</v>
      </c>
      <c r="AQ11" s="15"/>
      <c r="AR11" s="15" t="str">
        <f t="shared" si="3"/>
        <v>JS4082</v>
      </c>
    </row>
    <row r="12" spans="1:44" s="10" customFormat="1" ht="18" customHeight="1">
      <c r="A12" s="4" t="str">
        <f>'Reference Score Calculation'!A138</f>
        <v>JS4094</v>
      </c>
      <c r="B12" s="4" t="str">
        <f>'Reference Score Calculation'!C138</f>
        <v>文學院</v>
      </c>
      <c r="C12" s="4" t="str">
        <f>'Reference Score Calculation'!D138</f>
        <v>哲學</v>
      </c>
      <c r="D12" s="4" t="str">
        <f>'Reference Score Calculation'!R138</f>
        <v>PHILOSOPHY</v>
      </c>
      <c r="E12" s="392" t="str">
        <f>'Reference Score Calculation'!AB138</f>
        <v>Best 5</v>
      </c>
      <c r="F12" s="395" t="str">
        <f>'Reference Score Calculation'!E138</f>
        <v>Best 5</v>
      </c>
      <c r="G12" s="6">
        <f>'Reference Score Calculation'!G138</f>
        <v>27.5</v>
      </c>
      <c r="H12" s="6">
        <f>'Reference Score Calculation'!H138</f>
        <v>23.5</v>
      </c>
      <c r="I12" s="6">
        <f>'Reference Score Calculation'!I138</f>
        <v>23</v>
      </c>
      <c r="J12" s="45">
        <f>計分版!J161</f>
        <v>3.2500000000000002E-9</v>
      </c>
      <c r="K12" s="25">
        <f t="shared" si="0"/>
        <v>-23.499999996749999</v>
      </c>
      <c r="L12" s="26">
        <f t="shared" si="1"/>
        <v>-7230769229.7692299</v>
      </c>
      <c r="M12" s="36">
        <f>'Reference Score Calculation'!T138</f>
        <v>19</v>
      </c>
      <c r="N12" s="86">
        <f>入學要求!Z147</f>
        <v>0</v>
      </c>
      <c r="O12" s="516"/>
      <c r="P12" s="166">
        <f>入學要求!L147</f>
        <v>3</v>
      </c>
      <c r="Q12" s="166">
        <f>入學要求!M147</f>
        <v>3</v>
      </c>
      <c r="R12" s="166">
        <f>入學要求!N147</f>
        <v>2</v>
      </c>
      <c r="S12" s="166">
        <f>入學要求!O147</f>
        <v>1</v>
      </c>
      <c r="T12" s="166">
        <f>入學要求!P147</f>
        <v>3</v>
      </c>
      <c r="U12" s="166">
        <f>入學要求!Q147</f>
        <v>3</v>
      </c>
      <c r="V12" s="256">
        <f>入學要求!S147</f>
        <v>0</v>
      </c>
      <c r="W12" s="256">
        <f>入學要求!T147</f>
        <v>0</v>
      </c>
      <c r="X12" s="256">
        <f>入學要求!U147</f>
        <v>0</v>
      </c>
      <c r="Y12" s="256">
        <f>入學要求!V147</f>
        <v>0</v>
      </c>
      <c r="Z12" s="256">
        <f>入學要求!W147</f>
        <v>0</v>
      </c>
      <c r="AA12" s="256">
        <f>入學要求!X147</f>
        <v>0</v>
      </c>
      <c r="AB12" s="36">
        <f t="shared" si="2"/>
        <v>10.14</v>
      </c>
      <c r="AC12" s="510"/>
      <c r="AD12" s="36" cm="1">
        <f t="array" ref="AD12">IFERROR(INDEX('Offer Statistics'!$BQ$2:$BQ$400,MATCH(1,($A12='Offer Statistics'!$BB$2:$BB$400)*($AC$2='Offer Statistics'!$BC$2:$BC$400),0)),"/")</f>
        <v>22</v>
      </c>
      <c r="AE12" s="64" cm="1">
        <f t="array" ref="AE12">IFERROR(INDEX('Offer Statistics'!BL$2:BL$400,MATCH(1,($A12='Offer Statistics'!$BB$2:$BB$400)*($AC$2='Offer Statistics'!$BC$2:$BC$400),0)),"/")</f>
        <v>22</v>
      </c>
      <c r="AF12" s="64" cm="1">
        <f t="array" ref="AF12">IFERROR(INDEX('Offer Statistics'!BM$2:BM$400,MATCH(1,($A12='Offer Statistics'!$BB$2:$BB$400)*($AC$2='Offer Statistics'!$BC$2:$BC$400),0)),"/")</f>
        <v>0</v>
      </c>
      <c r="AG12" s="64" cm="1">
        <f t="array" ref="AG12">IFERROR(INDEX('Offer Statistics'!BN$2:BN$400,MATCH(1,($A12='Offer Statistics'!$BB$2:$BB$400)*($AC$2='Offer Statistics'!$BC$2:$BC$400),0)),"/")</f>
        <v>0</v>
      </c>
      <c r="AH12" s="64" cm="1">
        <f t="array" ref="AH12">IFERROR(INDEX('Offer Statistics'!BO$2:BO$400,MATCH(1,($A12='Offer Statistics'!$BB$2:$BB$400)*($AC$2='Offer Statistics'!$BC$2:$BC$400),0)),"/")</f>
        <v>0</v>
      </c>
      <c r="AI12" s="64" cm="1">
        <f t="array" ref="AI12">IFERROR(INDEX('Offer Statistics'!BP$2:BP$400,MATCH(1,($A12='Offer Statistics'!$BB$2:$BB$400)*($AC$2='Offer Statistics'!$BC$2:$BC$400),0)),"/")</f>
        <v>0</v>
      </c>
      <c r="AJ12" s="511"/>
      <c r="AK12" s="36" cm="1">
        <f t="array" ref="AK12">IFERROR(INDEX('Offer Statistics'!$BI$2:$BI$400,MATCH(1,($A12='Offer Statistics'!$BB$2:$BB$400)*($AC$2='Offer Statistics'!$BC$2:$BC$400),0)),"/")</f>
        <v>1969</v>
      </c>
      <c r="AL12" s="64" cm="1">
        <f t="array" ref="AL12">IFERROR(INDEX('Offer Statistics'!BD$2:BD$400,MATCH(1,($A12='Offer Statistics'!$BB$2:$BB$400)*($AC$2='Offer Statistics'!$BC$2:$BC$400),0)),"/")</f>
        <v>223</v>
      </c>
      <c r="AM12" s="64" cm="1">
        <f t="array" ref="AM12">IFERROR(INDEX('Offer Statistics'!BE$2:BE$400,MATCH(1,($A12='Offer Statistics'!$BB$2:$BB$400)*($AC$2='Offer Statistics'!$BC$2:$BC$400),0)),"/")</f>
        <v>239</v>
      </c>
      <c r="AN12" s="64" cm="1">
        <f t="array" ref="AN12">IFERROR(INDEX('Offer Statistics'!BF$2:BF$400,MATCH(1,($A12='Offer Statistics'!$BB$2:$BB$400)*($AC$2='Offer Statistics'!$BC$2:$BC$400),0)),"/")</f>
        <v>385</v>
      </c>
      <c r="AO12" s="64" cm="1">
        <f t="array" ref="AO12">IFERROR(INDEX('Offer Statistics'!BG$2:BG$400,MATCH(1,($A12='Offer Statistics'!$BB$2:$BB$400)*($AC$2='Offer Statistics'!$BC$2:$BC$400),0)),"/")</f>
        <v>542</v>
      </c>
      <c r="AP12" s="64" cm="1">
        <f t="array" ref="AP12">IFERROR(INDEX('Offer Statistics'!BH$2:BH$400,MATCH(1,($A12='Offer Statistics'!$BB$2:$BB$400)*($AC$2='Offer Statistics'!$BC$2:$BC$400),0)),"/")</f>
        <v>580</v>
      </c>
      <c r="AQ12" s="15"/>
      <c r="AR12" s="15" t="str">
        <f t="shared" si="3"/>
        <v>JS4094</v>
      </c>
    </row>
    <row r="13" spans="1:44" ht="18" customHeight="1">
      <c r="A13" s="4" t="str">
        <f>'Reference Score Calculation'!A139</f>
        <v>JS4109</v>
      </c>
      <c r="B13" s="4" t="str">
        <f>'Reference Score Calculation'!C139</f>
        <v>文學院</v>
      </c>
      <c r="C13" s="4" t="str">
        <f>'Reference Score Calculation'!D139</f>
        <v>宗教研究</v>
      </c>
      <c r="D13" s="4" t="str">
        <f>'Reference Score Calculation'!R139</f>
        <v>RELIGION</v>
      </c>
      <c r="E13" s="392" t="str">
        <f>'Reference Score Calculation'!AB139</f>
        <v>Best 5</v>
      </c>
      <c r="F13" s="395" t="str">
        <f>'Reference Score Calculation'!E139</f>
        <v>Best 5</v>
      </c>
      <c r="G13" s="6">
        <f>'Reference Score Calculation'!G139</f>
        <v>22</v>
      </c>
      <c r="H13" s="6">
        <f>'Reference Score Calculation'!H139</f>
        <v>21</v>
      </c>
      <c r="I13" s="6">
        <f>'Reference Score Calculation'!I139</f>
        <v>20</v>
      </c>
      <c r="J13" s="45">
        <f>計分版!J162</f>
        <v>3.9500000000000006E-9</v>
      </c>
      <c r="K13" s="25">
        <f t="shared" si="0"/>
        <v>-20.999999996050001</v>
      </c>
      <c r="L13" s="26">
        <f t="shared" si="1"/>
        <v>-5316455695.2025309</v>
      </c>
      <c r="M13" s="511" t="str">
        <f>'Reference Score Calculation'!T139</f>
        <v>18*</v>
      </c>
      <c r="N13" s="86">
        <f>入學要求!Z148</f>
        <v>0</v>
      </c>
      <c r="O13" s="516"/>
      <c r="P13" s="166">
        <f>入學要求!L148</f>
        <v>3</v>
      </c>
      <c r="Q13" s="166">
        <f>入學要求!M148</f>
        <v>3</v>
      </c>
      <c r="R13" s="166">
        <f>入學要求!N148</f>
        <v>2</v>
      </c>
      <c r="S13" s="166">
        <f>入學要求!O148</f>
        <v>1</v>
      </c>
      <c r="T13" s="166">
        <f>入學要求!P148</f>
        <v>3</v>
      </c>
      <c r="U13" s="166">
        <f>入學要求!Q148</f>
        <v>3</v>
      </c>
      <c r="V13" s="256">
        <f>入學要求!S148</f>
        <v>0</v>
      </c>
      <c r="W13" s="256">
        <f>入學要求!T148</f>
        <v>0</v>
      </c>
      <c r="X13" s="256">
        <f>入學要求!U148</f>
        <v>0</v>
      </c>
      <c r="Y13" s="256">
        <f>入學要求!V148</f>
        <v>0</v>
      </c>
      <c r="Z13" s="256">
        <f>入學要求!W148</f>
        <v>0</v>
      </c>
      <c r="AA13" s="256">
        <f>入學要求!X148</f>
        <v>0</v>
      </c>
      <c r="AB13" s="36">
        <f t="shared" si="2"/>
        <v>6.44</v>
      </c>
      <c r="AC13" s="510"/>
      <c r="AD13" s="36" cm="1">
        <f t="array" ref="AD13">IFERROR(INDEX('Offer Statistics'!$BQ$2:$BQ$400,MATCH(1,($A13='Offer Statistics'!$BB$2:$BB$400)*($AC$2='Offer Statistics'!$BC$2:$BC$400),0)),"/")</f>
        <v>16</v>
      </c>
      <c r="AE13" s="64" cm="1">
        <f t="array" ref="AE13">IFERROR(INDEX('Offer Statistics'!BL$2:BL$400,MATCH(1,($A13='Offer Statistics'!$BB$2:$BB$400)*($AC$2='Offer Statistics'!$BC$2:$BC$400),0)),"/")</f>
        <v>16</v>
      </c>
      <c r="AF13" s="64" cm="1">
        <f t="array" ref="AF13">IFERROR(INDEX('Offer Statistics'!BM$2:BM$400,MATCH(1,($A13='Offer Statistics'!$BB$2:$BB$400)*($AC$2='Offer Statistics'!$BC$2:$BC$400),0)),"/")</f>
        <v>0</v>
      </c>
      <c r="AG13" s="64" cm="1">
        <f t="array" ref="AG13">IFERROR(INDEX('Offer Statistics'!BN$2:BN$400,MATCH(1,($A13='Offer Statistics'!$BB$2:$BB$400)*($AC$2='Offer Statistics'!$BC$2:$BC$400),0)),"/")</f>
        <v>0</v>
      </c>
      <c r="AH13" s="64" cm="1">
        <f t="array" ref="AH13">IFERROR(INDEX('Offer Statistics'!BO$2:BO$400,MATCH(1,($A13='Offer Statistics'!$BB$2:$BB$400)*($AC$2='Offer Statistics'!$BC$2:$BC$400),0)),"/")</f>
        <v>0</v>
      </c>
      <c r="AI13" s="64" cm="1">
        <f t="array" ref="AI13">IFERROR(INDEX('Offer Statistics'!BP$2:BP$400,MATCH(1,($A13='Offer Statistics'!$BB$2:$BB$400)*($AC$2='Offer Statistics'!$BC$2:$BC$400),0)),"/")</f>
        <v>0</v>
      </c>
      <c r="AJ13" s="511"/>
      <c r="AK13" s="36" cm="1">
        <f t="array" ref="AK13">IFERROR(INDEX('Offer Statistics'!$BI$2:$BI$400,MATCH(1,($A13='Offer Statistics'!$BB$2:$BB$400)*($AC$2='Offer Statistics'!$BC$2:$BC$400),0)),"/")</f>
        <v>816</v>
      </c>
      <c r="AL13" s="64" cm="1">
        <f t="array" ref="AL13">IFERROR(INDEX('Offer Statistics'!BD$2:BD$400,MATCH(1,($A13='Offer Statistics'!$BB$2:$BB$400)*($AC$2='Offer Statistics'!$BC$2:$BC$400),0)),"/")</f>
        <v>103</v>
      </c>
      <c r="AM13" s="64" cm="1">
        <f t="array" ref="AM13">IFERROR(INDEX('Offer Statistics'!BE$2:BE$400,MATCH(1,($A13='Offer Statistics'!$BB$2:$BB$400)*($AC$2='Offer Statistics'!$BC$2:$BC$400),0)),"/")</f>
        <v>82</v>
      </c>
      <c r="AN13" s="64" cm="1">
        <f t="array" ref="AN13">IFERROR(INDEX('Offer Statistics'!BF$2:BF$400,MATCH(1,($A13='Offer Statistics'!$BB$2:$BB$400)*($AC$2='Offer Statistics'!$BC$2:$BC$400),0)),"/")</f>
        <v>157</v>
      </c>
      <c r="AO13" s="64" cm="1">
        <f t="array" ref="AO13">IFERROR(INDEX('Offer Statistics'!BG$2:BG$400,MATCH(1,($A13='Offer Statistics'!$BB$2:$BB$400)*($AC$2='Offer Statistics'!$BC$2:$BC$400),0)),"/")</f>
        <v>231</v>
      </c>
      <c r="AP13" s="64" cm="1">
        <f t="array" ref="AP13">IFERROR(INDEX('Offer Statistics'!BH$2:BH$400,MATCH(1,($A13='Offer Statistics'!$BB$2:$BB$400)*($AC$2='Offer Statistics'!$BC$2:$BC$400),0)),"/")</f>
        <v>243</v>
      </c>
      <c r="AQ13" s="15"/>
      <c r="AR13" s="15" t="str">
        <f t="shared" si="3"/>
        <v>JS4109</v>
      </c>
    </row>
    <row r="14" spans="1:44" s="10" customFormat="1" ht="18" customHeight="1">
      <c r="A14" s="4" t="str">
        <f>'Reference Score Calculation'!A140</f>
        <v>JS4111</v>
      </c>
      <c r="B14" s="4" t="str">
        <f>'Reference Score Calculation'!C140</f>
        <v>文學院</v>
      </c>
      <c r="C14" s="4" t="str">
        <f>'Reference Score Calculation'!D140</f>
        <v>神學</v>
      </c>
      <c r="D14" s="4" t="str">
        <f>'Reference Score Calculation'!R140</f>
        <v>THEOLOGY</v>
      </c>
      <c r="E14" s="392" t="str">
        <f>'Reference Score Calculation'!AB140</f>
        <v>Best 5</v>
      </c>
      <c r="F14" s="395" t="str">
        <f>'Reference Score Calculation'!E140</f>
        <v>Best 5</v>
      </c>
      <c r="G14" s="6" t="str">
        <f>'Reference Score Calculation'!G140</f>
        <v>/</v>
      </c>
      <c r="H14" s="6" t="str">
        <f>'Reference Score Calculation'!H140</f>
        <v>/</v>
      </c>
      <c r="I14" s="6" t="str">
        <f>'Reference Score Calculation'!I140</f>
        <v>/</v>
      </c>
      <c r="J14" s="45" t="str">
        <f>計分版!J163</f>
        <v>/</v>
      </c>
      <c r="K14" s="7" t="str">
        <f t="shared" si="0"/>
        <v>/</v>
      </c>
      <c r="L14" s="8" t="str">
        <f t="shared" si="1"/>
        <v>/</v>
      </c>
      <c r="M14" s="511"/>
      <c r="N14" s="86">
        <f>入學要求!Z149</f>
        <v>0</v>
      </c>
      <c r="O14" s="516"/>
      <c r="P14" s="166">
        <f>入學要求!L149</f>
        <v>3</v>
      </c>
      <c r="Q14" s="166">
        <f>入學要求!M149</f>
        <v>3</v>
      </c>
      <c r="R14" s="166">
        <f>入學要求!N149</f>
        <v>2</v>
      </c>
      <c r="S14" s="166">
        <f>入學要求!O149</f>
        <v>1</v>
      </c>
      <c r="T14" s="166">
        <f>入學要求!P149</f>
        <v>3</v>
      </c>
      <c r="U14" s="166">
        <f>入學要求!Q149</f>
        <v>3</v>
      </c>
      <c r="V14" s="256">
        <f>入學要求!S149</f>
        <v>0</v>
      </c>
      <c r="W14" s="256">
        <f>入學要求!T149</f>
        <v>0</v>
      </c>
      <c r="X14" s="256">
        <f>入學要求!U149</f>
        <v>0</v>
      </c>
      <c r="Y14" s="256">
        <f>入學要求!V149</f>
        <v>0</v>
      </c>
      <c r="Z14" s="256">
        <f>入學要求!W149</f>
        <v>0</v>
      </c>
      <c r="AA14" s="256">
        <f>入學要求!X149</f>
        <v>0</v>
      </c>
      <c r="AB14" s="36">
        <f t="shared" si="2"/>
        <v>32</v>
      </c>
      <c r="AC14" s="510"/>
      <c r="AD14" s="36" cm="1">
        <f t="array" ref="AD14">IFERROR(INDEX('Offer Statistics'!$BQ$2:$BQ$400,MATCH(1,($A14='Offer Statistics'!$BB$2:$BB$400)*($AC$2='Offer Statistics'!$BC$2:$BC$400),0)),"/")</f>
        <v>1</v>
      </c>
      <c r="AE14" s="64" cm="1">
        <f t="array" ref="AE14">IFERROR(INDEX('Offer Statistics'!BL$2:BL$400,MATCH(1,($A14='Offer Statistics'!$BB$2:$BB$400)*($AC$2='Offer Statistics'!$BC$2:$BC$400),0)),"/")</f>
        <v>1</v>
      </c>
      <c r="AF14" s="64" cm="1">
        <f t="array" ref="AF14">IFERROR(INDEX('Offer Statistics'!BM$2:BM$400,MATCH(1,($A14='Offer Statistics'!$BB$2:$BB$400)*($AC$2='Offer Statistics'!$BC$2:$BC$400),0)),"/")</f>
        <v>0</v>
      </c>
      <c r="AG14" s="64" cm="1">
        <f t="array" ref="AG14">IFERROR(INDEX('Offer Statistics'!BN$2:BN$400,MATCH(1,($A14='Offer Statistics'!$BB$2:$BB$400)*($AC$2='Offer Statistics'!$BC$2:$BC$400),0)),"/")</f>
        <v>0</v>
      </c>
      <c r="AH14" s="64" cm="1">
        <f t="array" ref="AH14">IFERROR(INDEX('Offer Statistics'!BO$2:BO$400,MATCH(1,($A14='Offer Statistics'!$BB$2:$BB$400)*($AC$2='Offer Statistics'!$BC$2:$BC$400),0)),"/")</f>
        <v>0</v>
      </c>
      <c r="AI14" s="64" cm="1">
        <f t="array" ref="AI14">IFERROR(INDEX('Offer Statistics'!BP$2:BP$400,MATCH(1,($A14='Offer Statistics'!$BB$2:$BB$400)*($AC$2='Offer Statistics'!$BC$2:$BC$400),0)),"/")</f>
        <v>0</v>
      </c>
      <c r="AJ14" s="511"/>
      <c r="AK14" s="36" cm="1">
        <f t="array" ref="AK14">IFERROR(INDEX('Offer Statistics'!$BI$2:$BI$400,MATCH(1,($A14='Offer Statistics'!$BB$2:$BB$400)*($AC$2='Offer Statistics'!$BC$2:$BC$400),0)),"/")</f>
        <v>473</v>
      </c>
      <c r="AL14" s="64" cm="1">
        <f t="array" ref="AL14">IFERROR(INDEX('Offer Statistics'!BD$2:BD$400,MATCH(1,($A14='Offer Statistics'!$BB$2:$BB$400)*($AC$2='Offer Statistics'!$BC$2:$BC$400),0)),"/")</f>
        <v>32</v>
      </c>
      <c r="AM14" s="64" cm="1">
        <f t="array" ref="AM14">IFERROR(INDEX('Offer Statistics'!BE$2:BE$400,MATCH(1,($A14='Offer Statistics'!$BB$2:$BB$400)*($AC$2='Offer Statistics'!$BC$2:$BC$400),0)),"/")</f>
        <v>38</v>
      </c>
      <c r="AN14" s="64" cm="1">
        <f t="array" ref="AN14">IFERROR(INDEX('Offer Statistics'!BF$2:BF$400,MATCH(1,($A14='Offer Statistics'!$BB$2:$BB$400)*($AC$2='Offer Statistics'!$BC$2:$BC$400),0)),"/")</f>
        <v>70</v>
      </c>
      <c r="AO14" s="64" cm="1">
        <f t="array" ref="AO14">IFERROR(INDEX('Offer Statistics'!BG$2:BG$400,MATCH(1,($A14='Offer Statistics'!$BB$2:$BB$400)*($AC$2='Offer Statistics'!$BC$2:$BC$400),0)),"/")</f>
        <v>120</v>
      </c>
      <c r="AP14" s="64" cm="1">
        <f t="array" ref="AP14">IFERROR(INDEX('Offer Statistics'!BH$2:BH$400,MATCH(1,($A14='Offer Statistics'!$BB$2:$BB$400)*($AC$2='Offer Statistics'!$BC$2:$BC$400),0)),"/")</f>
        <v>213</v>
      </c>
      <c r="AQ14" s="15"/>
      <c r="AR14" s="15" t="str">
        <f t="shared" si="3"/>
        <v>JS4111</v>
      </c>
    </row>
    <row r="15" spans="1:44" ht="18" customHeight="1">
      <c r="A15" s="4" t="str">
        <f>'Reference Score Calculation'!A141</f>
        <v>JS4123</v>
      </c>
      <c r="B15" s="4" t="str">
        <f>'Reference Score Calculation'!C141</f>
        <v>文學院</v>
      </c>
      <c r="C15" s="4" t="str">
        <f>'Reference Score Calculation'!D141</f>
        <v>翻譯</v>
      </c>
      <c r="D15" s="4" t="str">
        <f>'Reference Score Calculation'!R141</f>
        <v>TRANSLATION</v>
      </c>
      <c r="E15" s="392" t="str">
        <f>'Reference Score Calculation'!AB141</f>
        <v>Best 5</v>
      </c>
      <c r="F15" s="395" t="str">
        <f>'Reference Score Calculation'!E141</f>
        <v>Best 5</v>
      </c>
      <c r="G15" s="6">
        <f>'Reference Score Calculation'!G141</f>
        <v>26</v>
      </c>
      <c r="H15" s="6">
        <f>'Reference Score Calculation'!H141</f>
        <v>23</v>
      </c>
      <c r="I15" s="6">
        <f>'Reference Score Calculation'!I141</f>
        <v>21.5</v>
      </c>
      <c r="J15" s="45">
        <f>計分版!J164</f>
        <v>3.9500000000000006E-9</v>
      </c>
      <c r="K15" s="25">
        <f t="shared" si="0"/>
        <v>-22.999999996050001</v>
      </c>
      <c r="L15" s="26">
        <f t="shared" si="1"/>
        <v>-5822784809.1265812</v>
      </c>
      <c r="M15" s="36">
        <f>'Reference Score Calculation'!T141</f>
        <v>32</v>
      </c>
      <c r="N15" s="86">
        <f>入學要求!Z150</f>
        <v>0</v>
      </c>
      <c r="O15" s="516"/>
      <c r="P15" s="166">
        <f>入學要求!L150</f>
        <v>3</v>
      </c>
      <c r="Q15" s="166">
        <f>入學要求!M150</f>
        <v>3</v>
      </c>
      <c r="R15" s="166">
        <f>入學要求!N150</f>
        <v>2</v>
      </c>
      <c r="S15" s="166">
        <f>入學要求!O150</f>
        <v>1</v>
      </c>
      <c r="T15" s="166">
        <f>入學要求!P150</f>
        <v>3</v>
      </c>
      <c r="U15" s="166">
        <f>入學要求!Q150</f>
        <v>3</v>
      </c>
      <c r="V15" s="256">
        <f>入學要求!S150</f>
        <v>0</v>
      </c>
      <c r="W15" s="256">
        <f>入學要求!T150</f>
        <v>0</v>
      </c>
      <c r="X15" s="256">
        <f>入學要求!U150</f>
        <v>0</v>
      </c>
      <c r="Y15" s="256">
        <f>入學要求!V150</f>
        <v>0</v>
      </c>
      <c r="Z15" s="256">
        <f>入學要求!W150</f>
        <v>0</v>
      </c>
      <c r="AA15" s="256">
        <f>入學要求!X150</f>
        <v>0</v>
      </c>
      <c r="AB15" s="36">
        <f t="shared" si="2"/>
        <v>4.38</v>
      </c>
      <c r="AC15" s="510"/>
      <c r="AD15" s="36" cm="1">
        <f t="array" ref="AD15">IFERROR(INDEX('Offer Statistics'!$BQ$2:$BQ$400,MATCH(1,($A15='Offer Statistics'!$BB$2:$BB$400)*($AC$2='Offer Statistics'!$BC$2:$BC$400),0)),"/")</f>
        <v>28</v>
      </c>
      <c r="AE15" s="64" cm="1">
        <f t="array" ref="AE15">IFERROR(INDEX('Offer Statistics'!BL$2:BL$400,MATCH(1,($A15='Offer Statistics'!$BB$2:$BB$400)*($AC$2='Offer Statistics'!$BC$2:$BC$400),0)),"/")</f>
        <v>26</v>
      </c>
      <c r="AF15" s="64" cm="1">
        <f t="array" ref="AF15">IFERROR(INDEX('Offer Statistics'!BM$2:BM$400,MATCH(1,($A15='Offer Statistics'!$BB$2:$BB$400)*($AC$2='Offer Statistics'!$BC$2:$BC$400),0)),"/")</f>
        <v>2</v>
      </c>
      <c r="AG15" s="64" cm="1">
        <f t="array" ref="AG15">IFERROR(INDEX('Offer Statistics'!BN$2:BN$400,MATCH(1,($A15='Offer Statistics'!$BB$2:$BB$400)*($AC$2='Offer Statistics'!$BC$2:$BC$400),0)),"/")</f>
        <v>0</v>
      </c>
      <c r="AH15" s="64" cm="1">
        <f t="array" ref="AH15">IFERROR(INDEX('Offer Statistics'!BO$2:BO$400,MATCH(1,($A15='Offer Statistics'!$BB$2:$BB$400)*($AC$2='Offer Statistics'!$BC$2:$BC$400),0)),"/")</f>
        <v>0</v>
      </c>
      <c r="AI15" s="64" cm="1">
        <f t="array" ref="AI15">IFERROR(INDEX('Offer Statistics'!BP$2:BP$400,MATCH(1,($A15='Offer Statistics'!$BB$2:$BB$400)*($AC$2='Offer Statistics'!$BC$2:$BC$400),0)),"/")</f>
        <v>0</v>
      </c>
      <c r="AJ15" s="511"/>
      <c r="AK15" s="36" cm="1">
        <f t="array" ref="AK15">IFERROR(INDEX('Offer Statistics'!$BI$2:$BI$400,MATCH(1,($A15='Offer Statistics'!$BB$2:$BB$400)*($AC$2='Offer Statistics'!$BC$2:$BC$400),0)),"/")</f>
        <v>1775</v>
      </c>
      <c r="AL15" s="64" cm="1">
        <f t="array" ref="AL15">IFERROR(INDEX('Offer Statistics'!BD$2:BD$400,MATCH(1,($A15='Offer Statistics'!$BB$2:$BB$400)*($AC$2='Offer Statistics'!$BC$2:$BC$400),0)),"/")</f>
        <v>114</v>
      </c>
      <c r="AM15" s="64" cm="1">
        <f t="array" ref="AM15">IFERROR(INDEX('Offer Statistics'!BE$2:BE$400,MATCH(1,($A15='Offer Statistics'!$BB$2:$BB$400)*($AC$2='Offer Statistics'!$BC$2:$BC$400),0)),"/")</f>
        <v>200</v>
      </c>
      <c r="AN15" s="64" cm="1">
        <f t="array" ref="AN15">IFERROR(INDEX('Offer Statistics'!BF$2:BF$400,MATCH(1,($A15='Offer Statistics'!$BB$2:$BB$400)*($AC$2='Offer Statistics'!$BC$2:$BC$400),0)),"/")</f>
        <v>384</v>
      </c>
      <c r="AO15" s="64" cm="1">
        <f t="array" ref="AO15">IFERROR(INDEX('Offer Statistics'!BG$2:BG$400,MATCH(1,($A15='Offer Statistics'!$BB$2:$BB$400)*($AC$2='Offer Statistics'!$BC$2:$BC$400),0)),"/")</f>
        <v>569</v>
      </c>
      <c r="AP15" s="64" cm="1">
        <f t="array" ref="AP15">IFERROR(INDEX('Offer Statistics'!BH$2:BH$400,MATCH(1,($A15='Offer Statistics'!$BB$2:$BB$400)*($AC$2='Offer Statistics'!$BC$2:$BC$400),0)),"/")</f>
        <v>508</v>
      </c>
      <c r="AQ15" s="15"/>
      <c r="AR15" s="15" t="str">
        <f t="shared" si="3"/>
        <v>JS4123</v>
      </c>
    </row>
    <row r="16" spans="1:44" s="10" customFormat="1" ht="18" customHeight="1">
      <c r="A16" s="4" t="str">
        <f>'Reference Score Calculation'!A142</f>
        <v>JS4136</v>
      </c>
      <c r="B16" s="4" t="str">
        <f>'Reference Score Calculation'!C142</f>
        <v>文學院</v>
      </c>
      <c r="C16" s="4" t="str">
        <f>'Reference Score Calculation'!D142</f>
        <v>中國研究</v>
      </c>
      <c r="D16" s="4" t="str">
        <f>'Reference Score Calculation'!R142</f>
        <v>CHINESE STUDIES</v>
      </c>
      <c r="E16" s="392" t="str">
        <f>'Reference Score Calculation'!AB142</f>
        <v>Best 5</v>
      </c>
      <c r="F16" s="394" t="str">
        <f>'Reference Score Calculation'!E142</f>
        <v>Best 5</v>
      </c>
      <c r="G16" s="6">
        <f>'Reference Score Calculation'!G142</f>
        <v>24</v>
      </c>
      <c r="H16" s="6">
        <f>'Reference Score Calculation'!H142</f>
        <v>22.75</v>
      </c>
      <c r="I16" s="6">
        <f>'Reference Score Calculation'!I142</f>
        <v>21.25</v>
      </c>
      <c r="J16" s="45">
        <f>計分版!J165</f>
        <v>3.9500000000000006E-9</v>
      </c>
      <c r="K16" s="25">
        <f t="shared" si="0"/>
        <v>-22.749999996050001</v>
      </c>
      <c r="L16" s="26">
        <f t="shared" si="1"/>
        <v>-5759493669.886075</v>
      </c>
      <c r="M16" s="36">
        <f>'Reference Score Calculation'!T142</f>
        <v>10</v>
      </c>
      <c r="N16" s="86">
        <f>入學要求!Z151</f>
        <v>0</v>
      </c>
      <c r="O16" s="516"/>
      <c r="P16" s="166">
        <f>入學要求!L151</f>
        <v>3</v>
      </c>
      <c r="Q16" s="166">
        <f>入學要求!M151</f>
        <v>3</v>
      </c>
      <c r="R16" s="166">
        <f>入學要求!N151</f>
        <v>2</v>
      </c>
      <c r="S16" s="166">
        <f>入學要求!O151</f>
        <v>1</v>
      </c>
      <c r="T16" s="166">
        <f>入學要求!P151</f>
        <v>3</v>
      </c>
      <c r="U16" s="166">
        <f>入學要求!Q151</f>
        <v>3</v>
      </c>
      <c r="V16" s="256">
        <f>入學要求!S151</f>
        <v>0</v>
      </c>
      <c r="W16" s="256">
        <f>入學要求!T151</f>
        <v>0</v>
      </c>
      <c r="X16" s="256">
        <f>入學要求!U151</f>
        <v>0</v>
      </c>
      <c r="Y16" s="256">
        <f>入學要求!V151</f>
        <v>0</v>
      </c>
      <c r="Z16" s="256">
        <f>入學要求!W151</f>
        <v>0</v>
      </c>
      <c r="AA16" s="256">
        <f>入學要求!X151</f>
        <v>0</v>
      </c>
      <c r="AB16" s="36">
        <f t="shared" si="2"/>
        <v>11.77</v>
      </c>
      <c r="AC16" s="510"/>
      <c r="AD16" s="36" cm="1">
        <f t="array" ref="AD16">IFERROR(INDEX('Offer Statistics'!$BQ$2:$BQ$400,MATCH(1,($A16='Offer Statistics'!$BB$2:$BB$400)*($AC$2='Offer Statistics'!$BC$2:$BC$400),0)),"/")</f>
        <v>13</v>
      </c>
      <c r="AE16" s="64" cm="1">
        <f t="array" ref="AE16">IFERROR(INDEX('Offer Statistics'!BL$2:BL$400,MATCH(1,($A16='Offer Statistics'!$BB$2:$BB$400)*($AC$2='Offer Statistics'!$BC$2:$BC$400),0)),"/")</f>
        <v>13</v>
      </c>
      <c r="AF16" s="64" cm="1">
        <f t="array" ref="AF16">IFERROR(INDEX('Offer Statistics'!BM$2:BM$400,MATCH(1,($A16='Offer Statistics'!$BB$2:$BB$400)*($AC$2='Offer Statistics'!$BC$2:$BC$400),0)),"/")</f>
        <v>0</v>
      </c>
      <c r="AG16" s="64" cm="1">
        <f t="array" ref="AG16">IFERROR(INDEX('Offer Statistics'!BN$2:BN$400,MATCH(1,($A16='Offer Statistics'!$BB$2:$BB$400)*($AC$2='Offer Statistics'!$BC$2:$BC$400),0)),"/")</f>
        <v>0</v>
      </c>
      <c r="AH16" s="64" cm="1">
        <f t="array" ref="AH16">IFERROR(INDEX('Offer Statistics'!BO$2:BO$400,MATCH(1,($A16='Offer Statistics'!$BB$2:$BB$400)*($AC$2='Offer Statistics'!$BC$2:$BC$400),0)),"/")</f>
        <v>0</v>
      </c>
      <c r="AI16" s="64" cm="1">
        <f t="array" ref="AI16">IFERROR(INDEX('Offer Statistics'!BP$2:BP$400,MATCH(1,($A16='Offer Statistics'!$BB$2:$BB$400)*($AC$2='Offer Statistics'!$BC$2:$BC$400),0)),"/")</f>
        <v>0</v>
      </c>
      <c r="AJ16" s="511"/>
      <c r="AK16" s="36" cm="1">
        <f t="array" ref="AK16">IFERROR(INDEX('Offer Statistics'!$BI$2:$BI$400,MATCH(1,($A16='Offer Statistics'!$BB$2:$BB$400)*($AC$2='Offer Statistics'!$BC$2:$BC$400),0)),"/")</f>
        <v>1710</v>
      </c>
      <c r="AL16" s="64" cm="1">
        <f t="array" ref="AL16">IFERROR(INDEX('Offer Statistics'!BD$2:BD$400,MATCH(1,($A16='Offer Statistics'!$BB$2:$BB$400)*($AC$2='Offer Statistics'!$BC$2:$BC$400),0)),"/")</f>
        <v>153</v>
      </c>
      <c r="AM16" s="64" cm="1">
        <f t="array" ref="AM16">IFERROR(INDEX('Offer Statistics'!BE$2:BE$400,MATCH(1,($A16='Offer Statistics'!$BB$2:$BB$400)*($AC$2='Offer Statistics'!$BC$2:$BC$400),0)),"/")</f>
        <v>222</v>
      </c>
      <c r="AN16" s="64" cm="1">
        <f t="array" ref="AN16">IFERROR(INDEX('Offer Statistics'!BF$2:BF$400,MATCH(1,($A16='Offer Statistics'!$BB$2:$BB$400)*($AC$2='Offer Statistics'!$BC$2:$BC$400),0)),"/")</f>
        <v>396</v>
      </c>
      <c r="AO16" s="64" cm="1">
        <f t="array" ref="AO16">IFERROR(INDEX('Offer Statistics'!BG$2:BG$400,MATCH(1,($A16='Offer Statistics'!$BB$2:$BB$400)*($AC$2='Offer Statistics'!$BC$2:$BC$400),0)),"/")</f>
        <v>496</v>
      </c>
      <c r="AP16" s="64" cm="1">
        <f t="array" ref="AP16">IFERROR(INDEX('Offer Statistics'!BH$2:BH$400,MATCH(1,($A16='Offer Statistics'!$BB$2:$BB$400)*($AC$2='Offer Statistics'!$BC$2:$BC$400),0)),"/")</f>
        <v>443</v>
      </c>
      <c r="AQ16" s="15"/>
      <c r="AR16" s="15" t="str">
        <f t="shared" si="3"/>
        <v>JS4136</v>
      </c>
    </row>
    <row r="17" spans="1:44" ht="18" customHeight="1">
      <c r="A17" s="4" t="str">
        <f>'Reference Score Calculation'!A143</f>
        <v>JS4202</v>
      </c>
      <c r="B17" s="4" t="str">
        <f>'Reference Score Calculation'!C143</f>
        <v>商學院</v>
      </c>
      <c r="C17" s="4" t="str">
        <f>'Reference Score Calculation'!D143</f>
        <v>工商管理學士綜合課程</v>
      </c>
      <c r="D17" s="4" t="str">
        <f>'Reference Score Calculation'!R143</f>
        <v>INTEGRATED BBA</v>
      </c>
      <c r="E17" s="392" t="str">
        <f>'Reference Score Calculation'!AB143</f>
        <v>Best 5</v>
      </c>
      <c r="F17" s="395" t="str">
        <f>'Reference Score Calculation'!E143</f>
        <v>Best 5</v>
      </c>
      <c r="G17" s="6">
        <f>'Reference Score Calculation'!G143</f>
        <v>27.5</v>
      </c>
      <c r="H17" s="6">
        <f>'Reference Score Calculation'!H143</f>
        <v>26</v>
      </c>
      <c r="I17" s="6">
        <f>'Reference Score Calculation'!I143</f>
        <v>24.5</v>
      </c>
      <c r="J17" s="45">
        <f>計分版!J166</f>
        <v>3.9500000000000006E-9</v>
      </c>
      <c r="K17" s="25">
        <f t="shared" si="0"/>
        <v>-25.999999996050001</v>
      </c>
      <c r="L17" s="26">
        <f t="shared" si="1"/>
        <v>-6582278480.0126572</v>
      </c>
      <c r="M17" s="36">
        <f>'Reference Score Calculation'!T143</f>
        <v>222</v>
      </c>
      <c r="N17" s="86">
        <f>入學要求!Z152</f>
        <v>0</v>
      </c>
      <c r="O17" s="516"/>
      <c r="P17" s="166">
        <f>入學要求!L152</f>
        <v>3</v>
      </c>
      <c r="Q17" s="166">
        <f>入學要求!M152</f>
        <v>3</v>
      </c>
      <c r="R17" s="166">
        <f>入學要求!N152</f>
        <v>2</v>
      </c>
      <c r="S17" s="166">
        <f>入學要求!O152</f>
        <v>1</v>
      </c>
      <c r="T17" s="166">
        <f>入學要求!P152</f>
        <v>3</v>
      </c>
      <c r="U17" s="166">
        <f>入學要求!Q152</f>
        <v>3</v>
      </c>
      <c r="V17" s="256">
        <f>入學要求!S152</f>
        <v>0</v>
      </c>
      <c r="W17" s="256">
        <f>入學要求!T152</f>
        <v>0</v>
      </c>
      <c r="X17" s="256">
        <f>入學要求!U152</f>
        <v>0</v>
      </c>
      <c r="Y17" s="256">
        <f>入學要求!V152</f>
        <v>0</v>
      </c>
      <c r="Z17" s="256">
        <f>入學要求!W152</f>
        <v>0</v>
      </c>
      <c r="AA17" s="256">
        <f>入學要求!X152</f>
        <v>0</v>
      </c>
      <c r="AB17" s="36">
        <f t="shared" si="2"/>
        <v>6.79</v>
      </c>
      <c r="AC17" s="510"/>
      <c r="AD17" s="36" cm="1">
        <f t="array" ref="AD17">IFERROR(INDEX('Offer Statistics'!$BQ$2:$BQ$400,MATCH(1,($A17='Offer Statistics'!$BB$2:$BB$400)*($AC$2='Offer Statistics'!$BC$2:$BC$400),0)),"/")</f>
        <v>226</v>
      </c>
      <c r="AE17" s="64" cm="1">
        <f t="array" ref="AE17">IFERROR(INDEX('Offer Statistics'!BL$2:BL$400,MATCH(1,($A17='Offer Statistics'!$BB$2:$BB$400)*($AC$2='Offer Statistics'!$BC$2:$BC$400),0)),"/")</f>
        <v>226</v>
      </c>
      <c r="AF17" s="64" cm="1">
        <f t="array" ref="AF17">IFERROR(INDEX('Offer Statistics'!BM$2:BM$400,MATCH(1,($A17='Offer Statistics'!$BB$2:$BB$400)*($AC$2='Offer Statistics'!$BC$2:$BC$400),0)),"/")</f>
        <v>0</v>
      </c>
      <c r="AG17" s="64" cm="1">
        <f t="array" ref="AG17">IFERROR(INDEX('Offer Statistics'!BN$2:BN$400,MATCH(1,($A17='Offer Statistics'!$BB$2:$BB$400)*($AC$2='Offer Statistics'!$BC$2:$BC$400),0)),"/")</f>
        <v>0</v>
      </c>
      <c r="AH17" s="64" cm="1">
        <f t="array" ref="AH17">IFERROR(INDEX('Offer Statistics'!BO$2:BO$400,MATCH(1,($A17='Offer Statistics'!$BB$2:$BB$400)*($AC$2='Offer Statistics'!$BC$2:$BC$400),0)),"/")</f>
        <v>0</v>
      </c>
      <c r="AI17" s="64" cm="1">
        <f t="array" ref="AI17">IFERROR(INDEX('Offer Statistics'!BP$2:BP$400,MATCH(1,($A17='Offer Statistics'!$BB$2:$BB$400)*($AC$2='Offer Statistics'!$BC$2:$BC$400),0)),"/")</f>
        <v>0</v>
      </c>
      <c r="AJ17" s="511"/>
      <c r="AK17" s="36" cm="1">
        <f t="array" ref="AK17">IFERROR(INDEX('Offer Statistics'!$BI$2:$BI$400,MATCH(1,($A17='Offer Statistics'!$BB$2:$BB$400)*($AC$2='Offer Statistics'!$BC$2:$BC$400),0)),"/")</f>
        <v>5238</v>
      </c>
      <c r="AL17" s="64" cm="1">
        <f t="array" ref="AL17">IFERROR(INDEX('Offer Statistics'!BD$2:BD$400,MATCH(1,($A17='Offer Statistics'!$BB$2:$BB$400)*($AC$2='Offer Statistics'!$BC$2:$BC$400),0)),"/")</f>
        <v>1535</v>
      </c>
      <c r="AM17" s="64" cm="1">
        <f t="array" ref="AM17">IFERROR(INDEX('Offer Statistics'!BE$2:BE$400,MATCH(1,($A17='Offer Statistics'!$BB$2:$BB$400)*($AC$2='Offer Statistics'!$BC$2:$BC$400),0)),"/")</f>
        <v>702</v>
      </c>
      <c r="AN17" s="64" cm="1">
        <f t="array" ref="AN17">IFERROR(INDEX('Offer Statistics'!BF$2:BF$400,MATCH(1,($A17='Offer Statistics'!$BB$2:$BB$400)*($AC$2='Offer Statistics'!$BC$2:$BC$400),0)),"/")</f>
        <v>966</v>
      </c>
      <c r="AO17" s="64" cm="1">
        <f t="array" ref="AO17">IFERROR(INDEX('Offer Statistics'!BG$2:BG$400,MATCH(1,($A17='Offer Statistics'!$BB$2:$BB$400)*($AC$2='Offer Statistics'!$BC$2:$BC$400),0)),"/")</f>
        <v>1128</v>
      </c>
      <c r="AP17" s="64" cm="1">
        <f t="array" ref="AP17">IFERROR(INDEX('Offer Statistics'!BH$2:BH$400,MATCH(1,($A17='Offer Statistics'!$BB$2:$BB$400)*($AC$2='Offer Statistics'!$BC$2:$BC$400),0)),"/")</f>
        <v>907</v>
      </c>
      <c r="AQ17" s="15"/>
      <c r="AR17" s="15" t="str">
        <f t="shared" si="3"/>
        <v>JS4202</v>
      </c>
    </row>
    <row r="18" spans="1:44" s="10" customFormat="1" ht="18" customHeight="1">
      <c r="A18" s="4" t="str">
        <f>'Reference Score Calculation'!A144</f>
        <v>JS4214</v>
      </c>
      <c r="B18" s="4" t="str">
        <f>'Reference Score Calculation'!C144</f>
        <v>商學院</v>
      </c>
      <c r="C18" s="4" t="str">
        <f>'Reference Score Calculation'!D144</f>
        <v>環球商業學</v>
      </c>
      <c r="D18" s="4" t="str">
        <f>'Reference Score Calculation'!R144</f>
        <v>GBS</v>
      </c>
      <c r="E18" s="392" t="str">
        <f>'Reference Score Calculation'!AB144</f>
        <v>Best 5</v>
      </c>
      <c r="F18" s="395" t="str">
        <f>'Reference Score Calculation'!E144</f>
        <v>4C2X</v>
      </c>
      <c r="G18" s="6">
        <f>'Reference Score Calculation'!G144</f>
        <v>43.5</v>
      </c>
      <c r="H18" s="6">
        <f>'Reference Score Calculation'!H144</f>
        <v>40.5</v>
      </c>
      <c r="I18" s="6">
        <f>'Reference Score Calculation'!I144</f>
        <v>40.5</v>
      </c>
      <c r="J18" s="45">
        <f>計分版!J167</f>
        <v>2.7499999999999998E-9</v>
      </c>
      <c r="K18" s="25">
        <f t="shared" si="0"/>
        <v>-40.499999997250001</v>
      </c>
      <c r="L18" s="26">
        <f t="shared" si="1"/>
        <v>-14727272726.272728</v>
      </c>
      <c r="M18" s="36">
        <f>'Reference Score Calculation'!T144</f>
        <v>15</v>
      </c>
      <c r="N18" s="86">
        <f>入學要求!Z153</f>
        <v>0</v>
      </c>
      <c r="O18" s="516"/>
      <c r="P18" s="166">
        <f>入學要求!L153</f>
        <v>4</v>
      </c>
      <c r="Q18" s="166">
        <f>入學要求!M153</f>
        <v>5</v>
      </c>
      <c r="R18" s="166">
        <f>入學要求!N153</f>
        <v>3</v>
      </c>
      <c r="S18" s="166">
        <f>入學要求!O153</f>
        <v>1</v>
      </c>
      <c r="T18" s="166">
        <f>入學要求!P153</f>
        <v>3</v>
      </c>
      <c r="U18" s="166">
        <f>入學要求!Q153</f>
        <v>3</v>
      </c>
      <c r="V18" s="256">
        <f>入學要求!S153</f>
        <v>0</v>
      </c>
      <c r="W18" s="256">
        <f>入學要求!T153</f>
        <v>0</v>
      </c>
      <c r="X18" s="256">
        <f>入學要求!U153</f>
        <v>0</v>
      </c>
      <c r="Y18" s="256">
        <f>入學要求!V153</f>
        <v>0</v>
      </c>
      <c r="Z18" s="256">
        <f>入學要求!W153</f>
        <v>0</v>
      </c>
      <c r="AA18" s="256">
        <f>入學要求!X153</f>
        <v>0</v>
      </c>
      <c r="AB18" s="36">
        <f t="shared" si="2"/>
        <v>6.25</v>
      </c>
      <c r="AC18" s="510"/>
      <c r="AD18" s="36" cm="1">
        <f t="array" ref="AD18">IFERROR(INDEX('Offer Statistics'!$BQ$2:$BQ$400,MATCH(1,($A18='Offer Statistics'!$BB$2:$BB$400)*($AC$2='Offer Statistics'!$BC$2:$BC$400),0)),"/")</f>
        <v>12</v>
      </c>
      <c r="AE18" s="64" cm="1">
        <f t="array" ref="AE18">IFERROR(INDEX('Offer Statistics'!BL$2:BL$400,MATCH(1,($A18='Offer Statistics'!$BB$2:$BB$400)*($AC$2='Offer Statistics'!$BC$2:$BC$400),0)),"/")</f>
        <v>12</v>
      </c>
      <c r="AF18" s="64" cm="1">
        <f t="array" ref="AF18">IFERROR(INDEX('Offer Statistics'!BM$2:BM$400,MATCH(1,($A18='Offer Statistics'!$BB$2:$BB$400)*($AC$2='Offer Statistics'!$BC$2:$BC$400),0)),"/")</f>
        <v>0</v>
      </c>
      <c r="AG18" s="64" cm="1">
        <f t="array" ref="AG18">IFERROR(INDEX('Offer Statistics'!BN$2:BN$400,MATCH(1,($A18='Offer Statistics'!$BB$2:$BB$400)*($AC$2='Offer Statistics'!$BC$2:$BC$400),0)),"/")</f>
        <v>0</v>
      </c>
      <c r="AH18" s="64" cm="1">
        <f t="array" ref="AH18">IFERROR(INDEX('Offer Statistics'!BO$2:BO$400,MATCH(1,($A18='Offer Statistics'!$BB$2:$BB$400)*($AC$2='Offer Statistics'!$BC$2:$BC$400),0)),"/")</f>
        <v>0</v>
      </c>
      <c r="AI18" s="64" cm="1">
        <f t="array" ref="AI18">IFERROR(INDEX('Offer Statistics'!BP$2:BP$400,MATCH(1,($A18='Offer Statistics'!$BB$2:$BB$400)*($AC$2='Offer Statistics'!$BC$2:$BC$400),0)),"/")</f>
        <v>0</v>
      </c>
      <c r="AJ18" s="511"/>
      <c r="AK18" s="36" cm="1">
        <f t="array" ref="AK18">IFERROR(INDEX('Offer Statistics'!$BI$2:$BI$400,MATCH(1,($A18='Offer Statistics'!$BB$2:$BB$400)*($AC$2='Offer Statistics'!$BC$2:$BC$400),0)),"/")</f>
        <v>744</v>
      </c>
      <c r="AL18" s="64" cm="1">
        <f t="array" ref="AL18">IFERROR(INDEX('Offer Statistics'!BD$2:BD$400,MATCH(1,($A18='Offer Statistics'!$BB$2:$BB$400)*($AC$2='Offer Statistics'!$BC$2:$BC$400),0)),"/")</f>
        <v>75</v>
      </c>
      <c r="AM18" s="64" cm="1">
        <f t="array" ref="AM18">IFERROR(INDEX('Offer Statistics'!BE$2:BE$400,MATCH(1,($A18='Offer Statistics'!$BB$2:$BB$400)*($AC$2='Offer Statistics'!$BC$2:$BC$400),0)),"/")</f>
        <v>64</v>
      </c>
      <c r="AN18" s="64" cm="1">
        <f t="array" ref="AN18">IFERROR(INDEX('Offer Statistics'!BF$2:BF$400,MATCH(1,($A18='Offer Statistics'!$BB$2:$BB$400)*($AC$2='Offer Statistics'!$BC$2:$BC$400),0)),"/")</f>
        <v>136</v>
      </c>
      <c r="AO18" s="64" cm="1">
        <f t="array" ref="AO18">IFERROR(INDEX('Offer Statistics'!BG$2:BG$400,MATCH(1,($A18='Offer Statistics'!$BB$2:$BB$400)*($AC$2='Offer Statistics'!$BC$2:$BC$400),0)),"/")</f>
        <v>206</v>
      </c>
      <c r="AP18" s="64" cm="1">
        <f t="array" ref="AP18">IFERROR(INDEX('Offer Statistics'!BH$2:BH$400,MATCH(1,($A18='Offer Statistics'!$BB$2:$BB$400)*($AC$2='Offer Statistics'!$BC$2:$BC$400),0)),"/")</f>
        <v>263</v>
      </c>
      <c r="AQ18" s="15"/>
      <c r="AR18" s="15" t="str">
        <f t="shared" si="3"/>
        <v>JS4214</v>
      </c>
    </row>
    <row r="19" spans="1:44" ht="18" customHeight="1">
      <c r="A19" s="4" t="str">
        <f>'Reference Score Calculation'!A145</f>
        <v>JS4226</v>
      </c>
      <c r="B19" s="4" t="str">
        <f>'Reference Score Calculation'!C145</f>
        <v>商學院</v>
      </c>
      <c r="C19" s="4" t="str">
        <f>'Reference Score Calculation'!D145</f>
        <v>酒店旅遊及房地產</v>
      </c>
      <c r="D19" s="4" t="str">
        <f>'Reference Score Calculation'!R145</f>
        <v>HOSP &amp; REAL EST</v>
      </c>
      <c r="E19" s="392" t="str">
        <f>'Reference Score Calculation'!AB145</f>
        <v>Best 5</v>
      </c>
      <c r="F19" s="395" t="str">
        <f>'Reference Score Calculation'!E145</f>
        <v>Best 5</v>
      </c>
      <c r="G19" s="6">
        <f>'Reference Score Calculation'!G145</f>
        <v>24.5</v>
      </c>
      <c r="H19" s="6">
        <f>'Reference Score Calculation'!H145</f>
        <v>23</v>
      </c>
      <c r="I19" s="6">
        <f>'Reference Score Calculation'!I145</f>
        <v>23</v>
      </c>
      <c r="J19" s="45">
        <f>計分版!J168</f>
        <v>3.9500000000000006E-9</v>
      </c>
      <c r="K19" s="25">
        <f t="shared" si="0"/>
        <v>-22.999999996050001</v>
      </c>
      <c r="L19" s="26">
        <f t="shared" si="1"/>
        <v>-5822784809.1265812</v>
      </c>
      <c r="M19" s="36">
        <f>'Reference Score Calculation'!T145</f>
        <v>60</v>
      </c>
      <c r="N19" s="86">
        <f>入學要求!Z154</f>
        <v>0</v>
      </c>
      <c r="O19" s="516"/>
      <c r="P19" s="166">
        <f>入學要求!L154</f>
        <v>3</v>
      </c>
      <c r="Q19" s="166">
        <f>入學要求!M154</f>
        <v>3</v>
      </c>
      <c r="R19" s="166">
        <f>入學要求!N154</f>
        <v>2</v>
      </c>
      <c r="S19" s="166">
        <f>入學要求!O154</f>
        <v>1</v>
      </c>
      <c r="T19" s="166">
        <f>入學要求!P154</f>
        <v>3</v>
      </c>
      <c r="U19" s="166">
        <f>入學要求!Q154</f>
        <v>3</v>
      </c>
      <c r="V19" s="256">
        <f>入學要求!S154</f>
        <v>0</v>
      </c>
      <c r="W19" s="256">
        <f>入學要求!T154</f>
        <v>0</v>
      </c>
      <c r="X19" s="256">
        <f>入學要求!U154</f>
        <v>0</v>
      </c>
      <c r="Y19" s="256">
        <f>入學要求!V154</f>
        <v>0</v>
      </c>
      <c r="Z19" s="256">
        <f>入學要求!W154</f>
        <v>0</v>
      </c>
      <c r="AA19" s="256">
        <f>入學要求!X154</f>
        <v>0</v>
      </c>
      <c r="AB19" s="36">
        <f t="shared" si="2"/>
        <v>10.52</v>
      </c>
      <c r="AC19" s="510"/>
      <c r="AD19" s="36" cm="1">
        <f t="array" ref="AD19">IFERROR(INDEX('Offer Statistics'!$BQ$2:$BQ$400,MATCH(1,($A19='Offer Statistics'!$BB$2:$BB$400)*($AC$2='Offer Statistics'!$BC$2:$BC$400),0)),"/")</f>
        <v>50</v>
      </c>
      <c r="AE19" s="64" cm="1">
        <f t="array" ref="AE19">IFERROR(INDEX('Offer Statistics'!BL$2:BL$400,MATCH(1,($A19='Offer Statistics'!$BB$2:$BB$400)*($AC$2='Offer Statistics'!$BC$2:$BC$400),0)),"/")</f>
        <v>50</v>
      </c>
      <c r="AF19" s="64" cm="1">
        <f t="array" ref="AF19">IFERROR(INDEX('Offer Statistics'!BM$2:BM$400,MATCH(1,($A19='Offer Statistics'!$BB$2:$BB$400)*($AC$2='Offer Statistics'!$BC$2:$BC$400),0)),"/")</f>
        <v>0</v>
      </c>
      <c r="AG19" s="64" cm="1">
        <f t="array" ref="AG19">IFERROR(INDEX('Offer Statistics'!BN$2:BN$400,MATCH(1,($A19='Offer Statistics'!$BB$2:$BB$400)*($AC$2='Offer Statistics'!$BC$2:$BC$400),0)),"/")</f>
        <v>0</v>
      </c>
      <c r="AH19" s="64" cm="1">
        <f t="array" ref="AH19">IFERROR(INDEX('Offer Statistics'!BO$2:BO$400,MATCH(1,($A19='Offer Statistics'!$BB$2:$BB$400)*($AC$2='Offer Statistics'!$BC$2:$BC$400),0)),"/")</f>
        <v>0</v>
      </c>
      <c r="AI19" s="64" cm="1">
        <f t="array" ref="AI19">IFERROR(INDEX('Offer Statistics'!BP$2:BP$400,MATCH(1,($A19='Offer Statistics'!$BB$2:$BB$400)*($AC$2='Offer Statistics'!$BC$2:$BC$400),0)),"/")</f>
        <v>0</v>
      </c>
      <c r="AJ19" s="511"/>
      <c r="AK19" s="36" cm="1">
        <f t="array" ref="AK19">IFERROR(INDEX('Offer Statistics'!$BI$2:$BI$400,MATCH(1,($A19='Offer Statistics'!$BB$2:$BB$400)*($AC$2='Offer Statistics'!$BC$2:$BC$400),0)),"/")</f>
        <v>3230</v>
      </c>
      <c r="AL19" s="64" cm="1">
        <f t="array" ref="AL19">IFERROR(INDEX('Offer Statistics'!BD$2:BD$400,MATCH(1,($A19='Offer Statistics'!$BB$2:$BB$400)*($AC$2='Offer Statistics'!$BC$2:$BC$400),0)),"/")</f>
        <v>526</v>
      </c>
      <c r="AM19" s="64" cm="1">
        <f t="array" ref="AM19">IFERROR(INDEX('Offer Statistics'!BE$2:BE$400,MATCH(1,($A19='Offer Statistics'!$BB$2:$BB$400)*($AC$2='Offer Statistics'!$BC$2:$BC$400),0)),"/")</f>
        <v>438</v>
      </c>
      <c r="AN19" s="64" cm="1">
        <f t="array" ref="AN19">IFERROR(INDEX('Offer Statistics'!BF$2:BF$400,MATCH(1,($A19='Offer Statistics'!$BB$2:$BB$400)*($AC$2='Offer Statistics'!$BC$2:$BC$400),0)),"/")</f>
        <v>661</v>
      </c>
      <c r="AO19" s="64" cm="1">
        <f t="array" ref="AO19">IFERROR(INDEX('Offer Statistics'!BG$2:BG$400,MATCH(1,($A19='Offer Statistics'!$BB$2:$BB$400)*($AC$2='Offer Statistics'!$BC$2:$BC$400),0)),"/")</f>
        <v>779</v>
      </c>
      <c r="AP19" s="64" cm="1">
        <f t="array" ref="AP19">IFERROR(INDEX('Offer Statistics'!BH$2:BH$400,MATCH(1,($A19='Offer Statistics'!$BB$2:$BB$400)*($AC$2='Offer Statistics'!$BC$2:$BC$400),0)),"/")</f>
        <v>826</v>
      </c>
      <c r="AQ19" s="15"/>
      <c r="AR19" s="15" t="str">
        <f t="shared" si="3"/>
        <v>JS4226</v>
      </c>
    </row>
    <row r="20" spans="1:44" s="10" customFormat="1" ht="18" customHeight="1">
      <c r="A20" s="4" t="str">
        <f>'Reference Score Calculation'!A146</f>
        <v>JS4238</v>
      </c>
      <c r="B20" s="4" t="str">
        <f>'Reference Score Calculation'!C146</f>
        <v>商學院</v>
      </c>
      <c r="C20" s="4" t="str">
        <f>'Reference Score Calculation'!D146</f>
        <v>保險、金融與精算學</v>
      </c>
      <c r="D20" s="4" t="str">
        <f>'Reference Score Calculation'!R146</f>
        <v>IFAA</v>
      </c>
      <c r="E20" s="392" t="str">
        <f>'Reference Score Calculation'!AB146</f>
        <v>Best 5</v>
      </c>
      <c r="F20" s="395" t="str">
        <f>'Reference Score Calculation'!E146</f>
        <v>Best 5</v>
      </c>
      <c r="G20" s="6">
        <f>'Reference Score Calculation'!G146</f>
        <v>32</v>
      </c>
      <c r="H20" s="6">
        <f>'Reference Score Calculation'!H146</f>
        <v>32</v>
      </c>
      <c r="I20" s="6">
        <f>'Reference Score Calculation'!I146</f>
        <v>30.5</v>
      </c>
      <c r="J20" s="45">
        <f>計分版!J169</f>
        <v>3.3500000000000002E-9</v>
      </c>
      <c r="K20" s="25">
        <f t="shared" si="0"/>
        <v>-31.999999996650001</v>
      </c>
      <c r="L20" s="26">
        <f t="shared" si="1"/>
        <v>-9552238804.9701481</v>
      </c>
      <c r="M20" s="36">
        <f>'Reference Score Calculation'!T146</f>
        <v>45</v>
      </c>
      <c r="N20" s="86">
        <f>入學要求!Z155</f>
        <v>0</v>
      </c>
      <c r="O20" s="516"/>
      <c r="P20" s="166">
        <f>入學要求!L155</f>
        <v>3</v>
      </c>
      <c r="Q20" s="166">
        <f>入學要求!M155</f>
        <v>3</v>
      </c>
      <c r="R20" s="166">
        <f>入學要求!N155</f>
        <v>5</v>
      </c>
      <c r="S20" s="166">
        <f>入學要求!O155</f>
        <v>1</v>
      </c>
      <c r="T20" s="166">
        <f>入學要求!P155</f>
        <v>3</v>
      </c>
      <c r="U20" s="166">
        <f>入學要求!Q155</f>
        <v>3</v>
      </c>
      <c r="V20" s="256">
        <f>入學要求!S155</f>
        <v>0</v>
      </c>
      <c r="W20" s="256">
        <f>入學要求!T155</f>
        <v>0</v>
      </c>
      <c r="X20" s="256">
        <f>入學要求!U155</f>
        <v>0</v>
      </c>
      <c r="Y20" s="256">
        <f>入學要求!V155</f>
        <v>0</v>
      </c>
      <c r="Z20" s="256">
        <f>入學要求!W155</f>
        <v>0</v>
      </c>
      <c r="AA20" s="256">
        <f>入學要求!X155</f>
        <v>0</v>
      </c>
      <c r="AB20" s="36">
        <f t="shared" si="2"/>
        <v>4.2</v>
      </c>
      <c r="AC20" s="510"/>
      <c r="AD20" s="36" cm="1">
        <f t="array" ref="AD20">IFERROR(INDEX('Offer Statistics'!$BQ$2:$BQ$400,MATCH(1,($A20='Offer Statistics'!$BB$2:$BB$400)*($AC$2='Offer Statistics'!$BC$2:$BC$400),0)),"/")</f>
        <v>45</v>
      </c>
      <c r="AE20" s="64" cm="1">
        <f t="array" ref="AE20">IFERROR(INDEX('Offer Statistics'!BL$2:BL$400,MATCH(1,($A20='Offer Statistics'!$BB$2:$BB$400)*($AC$2='Offer Statistics'!$BC$2:$BC$400),0)),"/")</f>
        <v>45</v>
      </c>
      <c r="AF20" s="64" cm="1">
        <f t="array" ref="AF20">IFERROR(INDEX('Offer Statistics'!BM$2:BM$400,MATCH(1,($A20='Offer Statistics'!$BB$2:$BB$400)*($AC$2='Offer Statistics'!$BC$2:$BC$400),0)),"/")</f>
        <v>0</v>
      </c>
      <c r="AG20" s="64" cm="1">
        <f t="array" ref="AG20">IFERROR(INDEX('Offer Statistics'!BN$2:BN$400,MATCH(1,($A20='Offer Statistics'!$BB$2:$BB$400)*($AC$2='Offer Statistics'!$BC$2:$BC$400),0)),"/")</f>
        <v>0</v>
      </c>
      <c r="AH20" s="64" cm="1">
        <f t="array" ref="AH20">IFERROR(INDEX('Offer Statistics'!BO$2:BO$400,MATCH(1,($A20='Offer Statistics'!$BB$2:$BB$400)*($AC$2='Offer Statistics'!$BC$2:$BC$400),0)),"/")</f>
        <v>0</v>
      </c>
      <c r="AI20" s="64" cm="1">
        <f t="array" ref="AI20">IFERROR(INDEX('Offer Statistics'!BP$2:BP$400,MATCH(1,($A20='Offer Statistics'!$BB$2:$BB$400)*($AC$2='Offer Statistics'!$BC$2:$BC$400),0)),"/")</f>
        <v>0</v>
      </c>
      <c r="AJ20" s="511"/>
      <c r="AK20" s="36" cm="1">
        <f t="array" ref="AK20">IFERROR(INDEX('Offer Statistics'!$BI$2:$BI$400,MATCH(1,($A20='Offer Statistics'!$BB$2:$BB$400)*($AC$2='Offer Statistics'!$BC$2:$BC$400),0)),"/")</f>
        <v>968</v>
      </c>
      <c r="AL20" s="64" cm="1">
        <f t="array" ref="AL20">IFERROR(INDEX('Offer Statistics'!BD$2:BD$400,MATCH(1,($A20='Offer Statistics'!$BB$2:$BB$400)*($AC$2='Offer Statistics'!$BC$2:$BC$400),0)),"/")</f>
        <v>189</v>
      </c>
      <c r="AM20" s="64" cm="1">
        <f t="array" ref="AM20">IFERROR(INDEX('Offer Statistics'!BE$2:BE$400,MATCH(1,($A20='Offer Statistics'!$BB$2:$BB$400)*($AC$2='Offer Statistics'!$BC$2:$BC$400),0)),"/")</f>
        <v>102</v>
      </c>
      <c r="AN20" s="64" cm="1">
        <f t="array" ref="AN20">IFERROR(INDEX('Offer Statistics'!BF$2:BF$400,MATCH(1,($A20='Offer Statistics'!$BB$2:$BB$400)*($AC$2='Offer Statistics'!$BC$2:$BC$400),0)),"/")</f>
        <v>162</v>
      </c>
      <c r="AO20" s="64" cm="1">
        <f t="array" ref="AO20">IFERROR(INDEX('Offer Statistics'!BG$2:BG$400,MATCH(1,($A20='Offer Statistics'!$BB$2:$BB$400)*($AC$2='Offer Statistics'!$BC$2:$BC$400),0)),"/")</f>
        <v>275</v>
      </c>
      <c r="AP20" s="64" cm="1">
        <f t="array" ref="AP20">IFERROR(INDEX('Offer Statistics'!BH$2:BH$400,MATCH(1,($A20='Offer Statistics'!$BB$2:$BB$400)*($AC$2='Offer Statistics'!$BC$2:$BC$400),0)),"/")</f>
        <v>240</v>
      </c>
      <c r="AQ20" s="15"/>
      <c r="AR20" s="15" t="str">
        <f t="shared" si="3"/>
        <v>JS4238</v>
      </c>
    </row>
    <row r="21" spans="1:44" ht="18" customHeight="1">
      <c r="A21" s="4" t="str">
        <f>'Reference Score Calculation'!A147</f>
        <v>JS4240</v>
      </c>
      <c r="B21" s="4" t="str">
        <f>'Reference Score Calculation'!C147</f>
        <v>商學院</v>
      </c>
      <c r="C21" s="4" t="str">
        <f>'Reference Score Calculation'!D147</f>
        <v>專業會計學</v>
      </c>
      <c r="D21" s="4" t="str">
        <f>'Reference Score Calculation'!R147</f>
        <v>PROF ACCOUNTANCY</v>
      </c>
      <c r="E21" s="392" t="str">
        <f>'Reference Score Calculation'!AB147</f>
        <v>Best 5</v>
      </c>
      <c r="F21" s="395" t="str">
        <f>'Reference Score Calculation'!E147</f>
        <v>Best 5</v>
      </c>
      <c r="G21" s="6">
        <f>'Reference Score Calculation'!G147</f>
        <v>27.5</v>
      </c>
      <c r="H21" s="6">
        <f>'Reference Score Calculation'!H147</f>
        <v>26</v>
      </c>
      <c r="I21" s="6">
        <f>'Reference Score Calculation'!I147</f>
        <v>24.5</v>
      </c>
      <c r="J21" s="45">
        <f>計分版!J170</f>
        <v>3.9500000000000006E-9</v>
      </c>
      <c r="K21" s="25">
        <f t="shared" si="0"/>
        <v>-25.999999996050001</v>
      </c>
      <c r="L21" s="26">
        <f t="shared" si="1"/>
        <v>-6582278480.0126572</v>
      </c>
      <c r="M21" s="36">
        <f>'Reference Score Calculation'!T147</f>
        <v>126</v>
      </c>
      <c r="N21" s="86">
        <f>入學要求!Z156</f>
        <v>0</v>
      </c>
      <c r="O21" s="516"/>
      <c r="P21" s="166">
        <f>入學要求!L156</f>
        <v>3</v>
      </c>
      <c r="Q21" s="166">
        <f>入學要求!M156</f>
        <v>3</v>
      </c>
      <c r="R21" s="166">
        <f>入學要求!N156</f>
        <v>3</v>
      </c>
      <c r="S21" s="166">
        <f>入學要求!O156</f>
        <v>1</v>
      </c>
      <c r="T21" s="166">
        <f>入學要求!P156</f>
        <v>3</v>
      </c>
      <c r="U21" s="166">
        <f>入學要求!Q156</f>
        <v>3</v>
      </c>
      <c r="V21" s="256">
        <f>入學要求!S156</f>
        <v>0</v>
      </c>
      <c r="W21" s="256">
        <f>入學要求!T156</f>
        <v>0</v>
      </c>
      <c r="X21" s="256">
        <f>入學要求!U156</f>
        <v>0</v>
      </c>
      <c r="Y21" s="256">
        <f>入學要求!V156</f>
        <v>0</v>
      </c>
      <c r="Z21" s="256">
        <f>入學要求!W156</f>
        <v>0</v>
      </c>
      <c r="AA21" s="256">
        <f>入學要求!X156</f>
        <v>0</v>
      </c>
      <c r="AB21" s="36">
        <f t="shared" si="2"/>
        <v>4.92</v>
      </c>
      <c r="AC21" s="510"/>
      <c r="AD21" s="36" cm="1">
        <f t="array" ref="AD21">IFERROR(INDEX('Offer Statistics'!$BQ$2:$BQ$400,MATCH(1,($A21='Offer Statistics'!$BB$2:$BB$400)*($AC$2='Offer Statistics'!$BC$2:$BC$400),0)),"/")</f>
        <v>124</v>
      </c>
      <c r="AE21" s="64" cm="1">
        <f t="array" ref="AE21">IFERROR(INDEX('Offer Statistics'!BL$2:BL$400,MATCH(1,($A21='Offer Statistics'!$BB$2:$BB$400)*($AC$2='Offer Statistics'!$BC$2:$BC$400),0)),"/")</f>
        <v>124</v>
      </c>
      <c r="AF21" s="64" cm="1">
        <f t="array" ref="AF21">IFERROR(INDEX('Offer Statistics'!BM$2:BM$400,MATCH(1,($A21='Offer Statistics'!$BB$2:$BB$400)*($AC$2='Offer Statistics'!$BC$2:$BC$400),0)),"/")</f>
        <v>0</v>
      </c>
      <c r="AG21" s="64" cm="1">
        <f t="array" ref="AG21">IFERROR(INDEX('Offer Statistics'!BN$2:BN$400,MATCH(1,($A21='Offer Statistics'!$BB$2:$BB$400)*($AC$2='Offer Statistics'!$BC$2:$BC$400),0)),"/")</f>
        <v>0</v>
      </c>
      <c r="AH21" s="64" cm="1">
        <f t="array" ref="AH21">IFERROR(INDEX('Offer Statistics'!BO$2:BO$400,MATCH(1,($A21='Offer Statistics'!$BB$2:$BB$400)*($AC$2='Offer Statistics'!$BC$2:$BC$400),0)),"/")</f>
        <v>0</v>
      </c>
      <c r="AI21" s="64" cm="1">
        <f t="array" ref="AI21">IFERROR(INDEX('Offer Statistics'!BP$2:BP$400,MATCH(1,($A21='Offer Statistics'!$BB$2:$BB$400)*($AC$2='Offer Statistics'!$BC$2:$BC$400),0)),"/")</f>
        <v>0</v>
      </c>
      <c r="AJ21" s="511"/>
      <c r="AK21" s="36" cm="1">
        <f t="array" ref="AK21">IFERROR(INDEX('Offer Statistics'!$BI$2:$BI$400,MATCH(1,($A21='Offer Statistics'!$BB$2:$BB$400)*($AC$2='Offer Statistics'!$BC$2:$BC$400),0)),"/")</f>
        <v>2666</v>
      </c>
      <c r="AL21" s="64" cm="1">
        <f t="array" ref="AL21">IFERROR(INDEX('Offer Statistics'!BD$2:BD$400,MATCH(1,($A21='Offer Statistics'!$BB$2:$BB$400)*($AC$2='Offer Statistics'!$BC$2:$BC$400),0)),"/")</f>
        <v>610</v>
      </c>
      <c r="AM21" s="64" cm="1">
        <f t="array" ref="AM21">IFERROR(INDEX('Offer Statistics'!BE$2:BE$400,MATCH(1,($A21='Offer Statistics'!$BB$2:$BB$400)*($AC$2='Offer Statistics'!$BC$2:$BC$400),0)),"/")</f>
        <v>369</v>
      </c>
      <c r="AN21" s="64" cm="1">
        <f t="array" ref="AN21">IFERROR(INDEX('Offer Statistics'!BF$2:BF$400,MATCH(1,($A21='Offer Statistics'!$BB$2:$BB$400)*($AC$2='Offer Statistics'!$BC$2:$BC$400),0)),"/")</f>
        <v>540</v>
      </c>
      <c r="AO21" s="64" cm="1">
        <f t="array" ref="AO21">IFERROR(INDEX('Offer Statistics'!BG$2:BG$400,MATCH(1,($A21='Offer Statistics'!$BB$2:$BB$400)*($AC$2='Offer Statistics'!$BC$2:$BC$400),0)),"/")</f>
        <v>634</v>
      </c>
      <c r="AP21" s="64" cm="1">
        <f t="array" ref="AP21">IFERROR(INDEX('Offer Statistics'!BH$2:BH$400,MATCH(1,($A21='Offer Statistics'!$BB$2:$BB$400)*($AC$2='Offer Statistics'!$BC$2:$BC$400),0)),"/")</f>
        <v>513</v>
      </c>
      <c r="AQ21" s="15"/>
      <c r="AR21" s="15" t="str">
        <f t="shared" si="3"/>
        <v>JS4240</v>
      </c>
    </row>
    <row r="22" spans="1:44" s="10" customFormat="1" ht="18" customHeight="1">
      <c r="A22" s="4" t="str">
        <f>'Reference Score Calculation'!A148</f>
        <v>JS4252</v>
      </c>
      <c r="B22" s="4" t="str">
        <f>'Reference Score Calculation'!C148</f>
        <v>商學院</v>
      </c>
      <c r="C22" s="4" t="str">
        <f>'Reference Score Calculation'!D148</f>
        <v>計量金融學</v>
      </c>
      <c r="D22" s="4" t="str">
        <f>'Reference Score Calculation'!R148</f>
        <v>QFIN</v>
      </c>
      <c r="E22" s="392" t="str">
        <f>'Reference Score Calculation'!AB148</f>
        <v>Best 5</v>
      </c>
      <c r="F22" s="394" t="str">
        <f>'Reference Score Calculation'!E148</f>
        <v>Best 5</v>
      </c>
      <c r="G22" s="6">
        <f>'Reference Score Calculation'!G148</f>
        <v>54</v>
      </c>
      <c r="H22" s="6">
        <f>'Reference Score Calculation'!H148</f>
        <v>52.5</v>
      </c>
      <c r="I22" s="6">
        <f>'Reference Score Calculation'!I148</f>
        <v>51</v>
      </c>
      <c r="J22" s="45">
        <f>計分版!J171</f>
        <v>4.1000000000000003E-9</v>
      </c>
      <c r="K22" s="25">
        <f t="shared" si="0"/>
        <v>-52.499999995899998</v>
      </c>
      <c r="L22" s="26">
        <f t="shared" si="1"/>
        <v>-12804878047.780487</v>
      </c>
      <c r="M22" s="36">
        <f>'Reference Score Calculation'!T148</f>
        <v>37</v>
      </c>
      <c r="N22" s="86">
        <f>入學要求!Z157</f>
        <v>0</v>
      </c>
      <c r="O22" s="516"/>
      <c r="P22" s="166">
        <f>入學要求!L157</f>
        <v>3</v>
      </c>
      <c r="Q22" s="166">
        <f>入學要求!M157</f>
        <v>3</v>
      </c>
      <c r="R22" s="166">
        <f>入學要求!N157</f>
        <v>3</v>
      </c>
      <c r="S22" s="166">
        <f>入學要求!O157</f>
        <v>1</v>
      </c>
      <c r="T22" s="166">
        <f>入學要求!P157</f>
        <v>3</v>
      </c>
      <c r="U22" s="166">
        <f>入學要求!Q157</f>
        <v>3</v>
      </c>
      <c r="V22" s="256">
        <f>入學要求!S157</f>
        <v>0</v>
      </c>
      <c r="W22" s="256">
        <f>入學要求!T157</f>
        <v>0</v>
      </c>
      <c r="X22" s="256">
        <f>入學要求!U157</f>
        <v>0</v>
      </c>
      <c r="Y22" s="256">
        <f>入學要求!V157</f>
        <v>0</v>
      </c>
      <c r="Z22" s="256">
        <f>入學要求!W157</f>
        <v>0</v>
      </c>
      <c r="AA22" s="256">
        <f>入學要求!X157</f>
        <v>0</v>
      </c>
      <c r="AB22" s="36">
        <f t="shared" si="2"/>
        <v>4.6399999999999997</v>
      </c>
      <c r="AC22" s="510"/>
      <c r="AD22" s="36" cm="1">
        <f t="array" ref="AD22">IFERROR(INDEX('Offer Statistics'!$BQ$2:$BQ$400,MATCH(1,($A22='Offer Statistics'!$BB$2:$BB$400)*($AC$2='Offer Statistics'!$BC$2:$BC$400),0)),"/")</f>
        <v>36</v>
      </c>
      <c r="AE22" s="64" cm="1">
        <f t="array" ref="AE22">IFERROR(INDEX('Offer Statistics'!BL$2:BL$400,MATCH(1,($A22='Offer Statistics'!$BB$2:$BB$400)*($AC$2='Offer Statistics'!$BC$2:$BC$400),0)),"/")</f>
        <v>36</v>
      </c>
      <c r="AF22" s="64" cm="1">
        <f t="array" ref="AF22">IFERROR(INDEX('Offer Statistics'!BM$2:BM$400,MATCH(1,($A22='Offer Statistics'!$BB$2:$BB$400)*($AC$2='Offer Statistics'!$BC$2:$BC$400),0)),"/")</f>
        <v>0</v>
      </c>
      <c r="AG22" s="64" cm="1">
        <f t="array" ref="AG22">IFERROR(INDEX('Offer Statistics'!BN$2:BN$400,MATCH(1,($A22='Offer Statistics'!$BB$2:$BB$400)*($AC$2='Offer Statistics'!$BC$2:$BC$400),0)),"/")</f>
        <v>0</v>
      </c>
      <c r="AH22" s="64" cm="1">
        <f t="array" ref="AH22">IFERROR(INDEX('Offer Statistics'!BO$2:BO$400,MATCH(1,($A22='Offer Statistics'!$BB$2:$BB$400)*($AC$2='Offer Statistics'!$BC$2:$BC$400),0)),"/")</f>
        <v>0</v>
      </c>
      <c r="AI22" s="64" cm="1">
        <f t="array" ref="AI22">IFERROR(INDEX('Offer Statistics'!BP$2:BP$400,MATCH(1,($A22='Offer Statistics'!$BB$2:$BB$400)*($AC$2='Offer Statistics'!$BC$2:$BC$400),0)),"/")</f>
        <v>0</v>
      </c>
      <c r="AJ22" s="511"/>
      <c r="AK22" s="36" cm="1">
        <f t="array" ref="AK22">IFERROR(INDEX('Offer Statistics'!$BI$2:$BI$400,MATCH(1,($A22='Offer Statistics'!$BB$2:$BB$400)*($AC$2='Offer Statistics'!$BC$2:$BC$400),0)),"/")</f>
        <v>842</v>
      </c>
      <c r="AL22" s="64" cm="1">
        <f t="array" ref="AL22">IFERROR(INDEX('Offer Statistics'!BD$2:BD$400,MATCH(1,($A22='Offer Statistics'!$BB$2:$BB$400)*($AC$2='Offer Statistics'!$BC$2:$BC$400),0)),"/")</f>
        <v>167</v>
      </c>
      <c r="AM22" s="64" cm="1">
        <f t="array" ref="AM22">IFERROR(INDEX('Offer Statistics'!BE$2:BE$400,MATCH(1,($A22='Offer Statistics'!$BB$2:$BB$400)*($AC$2='Offer Statistics'!$BC$2:$BC$400),0)),"/")</f>
        <v>83</v>
      </c>
      <c r="AN22" s="64" cm="1">
        <f t="array" ref="AN22">IFERROR(INDEX('Offer Statistics'!BF$2:BF$400,MATCH(1,($A22='Offer Statistics'!$BB$2:$BB$400)*($AC$2='Offer Statistics'!$BC$2:$BC$400),0)),"/")</f>
        <v>169</v>
      </c>
      <c r="AO22" s="64" cm="1">
        <f t="array" ref="AO22">IFERROR(INDEX('Offer Statistics'!BG$2:BG$400,MATCH(1,($A22='Offer Statistics'!$BB$2:$BB$400)*($AC$2='Offer Statistics'!$BC$2:$BC$400),0)),"/")</f>
        <v>207</v>
      </c>
      <c r="AP22" s="64" cm="1">
        <f t="array" ref="AP22">IFERROR(INDEX('Offer Statistics'!BH$2:BH$400,MATCH(1,($A22='Offer Statistics'!$BB$2:$BB$400)*($AC$2='Offer Statistics'!$BC$2:$BC$400),0)),"/")</f>
        <v>216</v>
      </c>
      <c r="AQ22" s="15"/>
      <c r="AR22" s="15" t="str">
        <f t="shared" si="3"/>
        <v>JS4252</v>
      </c>
    </row>
    <row r="23" spans="1:44" ht="18" customHeight="1">
      <c r="A23" s="4" t="str">
        <f>'Reference Score Calculation'!A149</f>
        <v>JS4254</v>
      </c>
      <c r="B23" s="4" t="str">
        <f>'Reference Score Calculation'!C149</f>
        <v>商學院/社會科學院</v>
      </c>
      <c r="C23" s="4" t="str">
        <f>'Reference Score Calculation'!D149</f>
        <v>環球經濟與金融跨學科主修課程</v>
      </c>
      <c r="D23" s="4" t="str">
        <f>'Reference Score Calculation'!R149</f>
        <v>GLEF</v>
      </c>
      <c r="E23" s="392" t="str">
        <f>'Reference Score Calculation'!AB149</f>
        <v>Best 5</v>
      </c>
      <c r="F23" s="395" t="str">
        <f>'Reference Score Calculation'!E149</f>
        <v>Best 5</v>
      </c>
      <c r="G23" s="6">
        <f>'Reference Score Calculation'!G149</f>
        <v>35</v>
      </c>
      <c r="H23" s="6">
        <f>'Reference Score Calculation'!H149</f>
        <v>33.5</v>
      </c>
      <c r="I23" s="6">
        <f>'Reference Score Calculation'!I149</f>
        <v>32</v>
      </c>
      <c r="J23" s="45">
        <f>計分版!J172</f>
        <v>3.5500000000000004E-9</v>
      </c>
      <c r="K23" s="25">
        <f t="shared" si="0"/>
        <v>-33.499999996450001</v>
      </c>
      <c r="L23" s="26">
        <f t="shared" si="1"/>
        <v>-9436619717.3098583</v>
      </c>
      <c r="M23" s="36">
        <f>'Reference Score Calculation'!T149</f>
        <v>24</v>
      </c>
      <c r="N23" s="86">
        <f>入學要求!Z158</f>
        <v>0</v>
      </c>
      <c r="O23" s="516"/>
      <c r="P23" s="166">
        <f>入學要求!L158</f>
        <v>4</v>
      </c>
      <c r="Q23" s="166">
        <f>入學要求!M158</f>
        <v>5</v>
      </c>
      <c r="R23" s="166">
        <f>入學要求!N158</f>
        <v>3</v>
      </c>
      <c r="S23" s="166">
        <f>入學要求!O158</f>
        <v>1</v>
      </c>
      <c r="T23" s="166">
        <f>入學要求!P158</f>
        <v>3</v>
      </c>
      <c r="U23" s="166">
        <f>入學要求!Q158</f>
        <v>3</v>
      </c>
      <c r="V23" s="256">
        <f>入學要求!S158</f>
        <v>0</v>
      </c>
      <c r="W23" s="256">
        <f>入學要求!T158</f>
        <v>0</v>
      </c>
      <c r="X23" s="256">
        <f>入學要求!U158</f>
        <v>0</v>
      </c>
      <c r="Y23" s="256">
        <f>入學要求!V158</f>
        <v>0</v>
      </c>
      <c r="Z23" s="256">
        <f>入學要求!W158</f>
        <v>0</v>
      </c>
      <c r="AA23" s="256">
        <f>入學要求!X158</f>
        <v>0</v>
      </c>
      <c r="AB23" s="36">
        <f t="shared" si="2"/>
        <v>7.5</v>
      </c>
      <c r="AC23" s="510"/>
      <c r="AD23" s="36" cm="1">
        <f t="array" ref="AD23">IFERROR(INDEX('Offer Statistics'!$BQ$2:$BQ$400,MATCH(1,($A23='Offer Statistics'!$BB$2:$BB$400)*($AC$2='Offer Statistics'!$BC$2:$BC$400),0)),"/")</f>
        <v>16</v>
      </c>
      <c r="AE23" s="64" cm="1">
        <f t="array" ref="AE23">IFERROR(INDEX('Offer Statistics'!BL$2:BL$400,MATCH(1,($A23='Offer Statistics'!$BB$2:$BB$400)*($AC$2='Offer Statistics'!$BC$2:$BC$400),0)),"/")</f>
        <v>16</v>
      </c>
      <c r="AF23" s="64" cm="1">
        <f t="array" ref="AF23">IFERROR(INDEX('Offer Statistics'!BM$2:BM$400,MATCH(1,($A23='Offer Statistics'!$BB$2:$BB$400)*($AC$2='Offer Statistics'!$BC$2:$BC$400),0)),"/")</f>
        <v>0</v>
      </c>
      <c r="AG23" s="64" cm="1">
        <f t="array" ref="AG23">IFERROR(INDEX('Offer Statistics'!BN$2:BN$400,MATCH(1,($A23='Offer Statistics'!$BB$2:$BB$400)*($AC$2='Offer Statistics'!$BC$2:$BC$400),0)),"/")</f>
        <v>0</v>
      </c>
      <c r="AH23" s="64" cm="1">
        <f t="array" ref="AH23">IFERROR(INDEX('Offer Statistics'!BO$2:BO$400,MATCH(1,($A23='Offer Statistics'!$BB$2:$BB$400)*($AC$2='Offer Statistics'!$BC$2:$BC$400),0)),"/")</f>
        <v>0</v>
      </c>
      <c r="AI23" s="64" cm="1">
        <f t="array" ref="AI23">IFERROR(INDEX('Offer Statistics'!BP$2:BP$400,MATCH(1,($A23='Offer Statistics'!$BB$2:$BB$400)*($AC$2='Offer Statistics'!$BC$2:$BC$400),0)),"/")</f>
        <v>0</v>
      </c>
      <c r="AJ23" s="511"/>
      <c r="AK23" s="36" cm="1">
        <f t="array" ref="AK23">IFERROR(INDEX('Offer Statistics'!$BI$2:$BI$400,MATCH(1,($A23='Offer Statistics'!$BB$2:$BB$400)*($AC$2='Offer Statistics'!$BC$2:$BC$400),0)),"/")</f>
        <v>691</v>
      </c>
      <c r="AL23" s="64" cm="1">
        <f t="array" ref="AL23">IFERROR(INDEX('Offer Statistics'!BD$2:BD$400,MATCH(1,($A23='Offer Statistics'!$BB$2:$BB$400)*($AC$2='Offer Statistics'!$BC$2:$BC$400),0)),"/")</f>
        <v>120</v>
      </c>
      <c r="AM23" s="64" cm="1">
        <f t="array" ref="AM23">IFERROR(INDEX('Offer Statistics'!BE$2:BE$400,MATCH(1,($A23='Offer Statistics'!$BB$2:$BB$400)*($AC$2='Offer Statistics'!$BC$2:$BC$400),0)),"/")</f>
        <v>87</v>
      </c>
      <c r="AN23" s="64" cm="1">
        <f t="array" ref="AN23">IFERROR(INDEX('Offer Statistics'!BF$2:BF$400,MATCH(1,($A23='Offer Statistics'!$BB$2:$BB$400)*($AC$2='Offer Statistics'!$BC$2:$BC$400),0)),"/")</f>
        <v>110</v>
      </c>
      <c r="AO23" s="64" cm="1">
        <f t="array" ref="AO23">IFERROR(INDEX('Offer Statistics'!BG$2:BG$400,MATCH(1,($A23='Offer Statistics'!$BB$2:$BB$400)*($AC$2='Offer Statistics'!$BC$2:$BC$400),0)),"/")</f>
        <v>183</v>
      </c>
      <c r="AP23" s="64" cm="1">
        <f t="array" ref="AP23">IFERROR(INDEX('Offer Statistics'!BH$2:BH$400,MATCH(1,($A23='Offer Statistics'!$BB$2:$BB$400)*($AC$2='Offer Statistics'!$BC$2:$BC$400),0)),"/")</f>
        <v>191</v>
      </c>
      <c r="AQ23" s="15"/>
      <c r="AR23" s="15" t="str">
        <f t="shared" si="3"/>
        <v>JS4254</v>
      </c>
    </row>
    <row r="24" spans="1:44" s="10" customFormat="1" ht="18" customHeight="1">
      <c r="A24" s="4" t="str">
        <f>'Reference Score Calculation'!A150</f>
        <v>JS4264</v>
      </c>
      <c r="B24" s="4" t="str">
        <f>'Reference Score Calculation'!C150</f>
        <v>商學院/法學院</v>
      </c>
      <c r="C24" s="4" t="str">
        <f>'Reference Score Calculation'!D150</f>
        <v>工商管理學士（工商管理學士綜合課程）及法律博士雙學位課程</v>
      </c>
      <c r="D24" s="4" t="str">
        <f>'Reference Score Calculation'!R150</f>
        <v>BBA-JD</v>
      </c>
      <c r="E24" s="392" t="str">
        <f>'Reference Score Calculation'!AB150</f>
        <v>3C2X</v>
      </c>
      <c r="F24" s="397" t="str">
        <f>'Reference Score Calculation'!E150</f>
        <v>4C2X</v>
      </c>
      <c r="G24" s="6">
        <f>'Reference Score Calculation'!G150</f>
        <v>54.25</v>
      </c>
      <c r="H24" s="6">
        <f>'Reference Score Calculation'!H150</f>
        <v>49.75</v>
      </c>
      <c r="I24" s="6">
        <f>'Reference Score Calculation'!I150</f>
        <v>50.5</v>
      </c>
      <c r="J24" s="45">
        <f>計分版!J173</f>
        <v>3.1500000000000001E-9</v>
      </c>
      <c r="K24" s="25">
        <f t="shared" si="0"/>
        <v>-49.749999996850001</v>
      </c>
      <c r="L24" s="26">
        <f t="shared" si="1"/>
        <v>-15793650792.650793</v>
      </c>
      <c r="M24" s="36">
        <f>'Reference Score Calculation'!T150</f>
        <v>25</v>
      </c>
      <c r="N24" s="86">
        <f>入學要求!Z159</f>
        <v>0</v>
      </c>
      <c r="O24" s="516"/>
      <c r="P24" s="166">
        <f>入學要求!L159</f>
        <v>4</v>
      </c>
      <c r="Q24" s="166">
        <f>入學要求!M159</f>
        <v>5</v>
      </c>
      <c r="R24" s="166">
        <f>入學要求!N159</f>
        <v>3</v>
      </c>
      <c r="S24" s="166">
        <f>入學要求!O159</f>
        <v>1</v>
      </c>
      <c r="T24" s="166">
        <f>入學要求!P159</f>
        <v>3</v>
      </c>
      <c r="U24" s="166">
        <f>入學要求!Q159</f>
        <v>3</v>
      </c>
      <c r="V24" s="256">
        <f>入學要求!S159</f>
        <v>0</v>
      </c>
      <c r="W24" s="256">
        <f>入學要求!T159</f>
        <v>0</v>
      </c>
      <c r="X24" s="256">
        <f>入學要求!U159</f>
        <v>0</v>
      </c>
      <c r="Y24" s="256">
        <f>入學要求!V159</f>
        <v>0</v>
      </c>
      <c r="Z24" s="256">
        <f>入學要求!W159</f>
        <v>0</v>
      </c>
      <c r="AA24" s="256">
        <f>入學要求!X159</f>
        <v>0</v>
      </c>
      <c r="AB24" s="36">
        <f t="shared" si="2"/>
        <v>4.7300000000000004</v>
      </c>
      <c r="AC24" s="510"/>
      <c r="AD24" s="36" cm="1">
        <f t="array" ref="AD24">IFERROR(INDEX('Offer Statistics'!$BQ$2:$BQ$400,MATCH(1,($A24='Offer Statistics'!$BB$2:$BB$400)*($AC$2='Offer Statistics'!$BC$2:$BC$400),0)),"/")</f>
        <v>22</v>
      </c>
      <c r="AE24" s="64" cm="1">
        <f t="array" ref="AE24">IFERROR(INDEX('Offer Statistics'!BL$2:BL$400,MATCH(1,($A24='Offer Statistics'!$BB$2:$BB$400)*($AC$2='Offer Statistics'!$BC$2:$BC$400),0)),"/")</f>
        <v>22</v>
      </c>
      <c r="AF24" s="64" cm="1">
        <f t="array" ref="AF24">IFERROR(INDEX('Offer Statistics'!BM$2:BM$400,MATCH(1,($A24='Offer Statistics'!$BB$2:$BB$400)*($AC$2='Offer Statistics'!$BC$2:$BC$400),0)),"/")</f>
        <v>0</v>
      </c>
      <c r="AG24" s="64" cm="1">
        <f t="array" ref="AG24">IFERROR(INDEX('Offer Statistics'!BN$2:BN$400,MATCH(1,($A24='Offer Statistics'!$BB$2:$BB$400)*($AC$2='Offer Statistics'!$BC$2:$BC$400),0)),"/")</f>
        <v>0</v>
      </c>
      <c r="AH24" s="64" cm="1">
        <f t="array" ref="AH24">IFERROR(INDEX('Offer Statistics'!BO$2:BO$400,MATCH(1,($A24='Offer Statistics'!$BB$2:$BB$400)*($AC$2='Offer Statistics'!$BC$2:$BC$400),0)),"/")</f>
        <v>0</v>
      </c>
      <c r="AI24" s="64" cm="1">
        <f t="array" ref="AI24">IFERROR(INDEX('Offer Statistics'!BP$2:BP$400,MATCH(1,($A24='Offer Statistics'!$BB$2:$BB$400)*($AC$2='Offer Statistics'!$BC$2:$BC$400),0)),"/")</f>
        <v>0</v>
      </c>
      <c r="AJ24" s="511"/>
      <c r="AK24" s="36" cm="1">
        <f t="array" ref="AK24">IFERROR(INDEX('Offer Statistics'!$BI$2:$BI$400,MATCH(1,($A24='Offer Statistics'!$BB$2:$BB$400)*($AC$2='Offer Statistics'!$BC$2:$BC$400),0)),"/")</f>
        <v>677</v>
      </c>
      <c r="AL24" s="64" cm="1">
        <f t="array" ref="AL24">IFERROR(INDEX('Offer Statistics'!BD$2:BD$400,MATCH(1,($A24='Offer Statistics'!$BB$2:$BB$400)*($AC$2='Offer Statistics'!$BC$2:$BC$400),0)),"/")</f>
        <v>104</v>
      </c>
      <c r="AM24" s="64" cm="1">
        <f t="array" ref="AM24">IFERROR(INDEX('Offer Statistics'!BE$2:BE$400,MATCH(1,($A24='Offer Statistics'!$BB$2:$BB$400)*($AC$2='Offer Statistics'!$BC$2:$BC$400),0)),"/")</f>
        <v>70</v>
      </c>
      <c r="AN24" s="64" cm="1">
        <f t="array" ref="AN24">IFERROR(INDEX('Offer Statistics'!BF$2:BF$400,MATCH(1,($A24='Offer Statistics'!$BB$2:$BB$400)*($AC$2='Offer Statistics'!$BC$2:$BC$400),0)),"/")</f>
        <v>140</v>
      </c>
      <c r="AO24" s="64" cm="1">
        <f t="array" ref="AO24">IFERROR(INDEX('Offer Statistics'!BG$2:BG$400,MATCH(1,($A24='Offer Statistics'!$BB$2:$BB$400)*($AC$2='Offer Statistics'!$BC$2:$BC$400),0)),"/")</f>
        <v>166</v>
      </c>
      <c r="AP24" s="64" cm="1">
        <f t="array" ref="AP24">IFERROR(INDEX('Offer Statistics'!BH$2:BH$400,MATCH(1,($A24='Offer Statistics'!$BB$2:$BB$400)*($AC$2='Offer Statistics'!$BC$2:$BC$400),0)),"/")</f>
        <v>197</v>
      </c>
      <c r="AQ24" s="15"/>
      <c r="AR24" s="15" t="str">
        <f t="shared" si="3"/>
        <v>JS4264</v>
      </c>
    </row>
    <row r="25" spans="1:44" ht="18" customHeight="1">
      <c r="A25" s="4" t="str">
        <f>'Reference Score Calculation'!A151</f>
        <v>JS4276</v>
      </c>
      <c r="B25" s="4" t="str">
        <f>'Reference Score Calculation'!C151</f>
        <v>商學院/理學院</v>
      </c>
      <c r="C25" s="4" t="str">
        <f>'Reference Score Calculation'!D151</f>
        <v>計量金融學及風險管理科學</v>
      </c>
      <c r="D25" s="4" t="str">
        <f>'Reference Score Calculation'!R151</f>
        <v>QFRM</v>
      </c>
      <c r="E25" s="392" t="str">
        <f>'Reference Score Calculation'!AB151</f>
        <v>Best 5</v>
      </c>
      <c r="F25" s="394" t="str">
        <f>'Reference Score Calculation'!E151</f>
        <v>Best 5</v>
      </c>
      <c r="G25" s="6">
        <f>'Reference Score Calculation'!G151</f>
        <v>57.75</v>
      </c>
      <c r="H25" s="6">
        <f>'Reference Score Calculation'!H151</f>
        <v>56.25</v>
      </c>
      <c r="I25" s="6">
        <f>'Reference Score Calculation'!I151</f>
        <v>54.75</v>
      </c>
      <c r="J25" s="45">
        <f>計分版!J174</f>
        <v>4.1000000000000003E-9</v>
      </c>
      <c r="K25" s="25">
        <f t="shared" si="0"/>
        <v>-56.249999995899998</v>
      </c>
      <c r="L25" s="26">
        <f t="shared" si="1"/>
        <v>-13719512194.12195</v>
      </c>
      <c r="M25" s="36">
        <f>'Reference Score Calculation'!T151</f>
        <v>20</v>
      </c>
      <c r="N25" s="86">
        <f>入學要求!Z160</f>
        <v>0</v>
      </c>
      <c r="O25" s="516"/>
      <c r="P25" s="166">
        <f>入學要求!L160</f>
        <v>3</v>
      </c>
      <c r="Q25" s="166">
        <f>入學要求!M160</f>
        <v>3</v>
      </c>
      <c r="R25" s="166">
        <f>入學要求!N160</f>
        <v>3</v>
      </c>
      <c r="S25" s="166">
        <f>入學要求!O160</f>
        <v>1</v>
      </c>
      <c r="T25" s="166">
        <f>入學要求!P160</f>
        <v>3</v>
      </c>
      <c r="U25" s="166">
        <f>入學要求!Q160</f>
        <v>3</v>
      </c>
      <c r="V25" s="256">
        <f>入學要求!S160</f>
        <v>0</v>
      </c>
      <c r="W25" s="256">
        <f>入學要求!T160</f>
        <v>0</v>
      </c>
      <c r="X25" s="256">
        <f>入學要求!U160</f>
        <v>0</v>
      </c>
      <c r="Y25" s="256">
        <f>入學要求!V160</f>
        <v>0</v>
      </c>
      <c r="Z25" s="256">
        <f>入學要求!W160</f>
        <v>0</v>
      </c>
      <c r="AA25" s="256">
        <f>入學要求!X160</f>
        <v>0</v>
      </c>
      <c r="AB25" s="36">
        <f t="shared" si="2"/>
        <v>2.9</v>
      </c>
      <c r="AC25" s="510"/>
      <c r="AD25" s="36" cm="1">
        <f t="array" ref="AD25">IFERROR(INDEX('Offer Statistics'!$BQ$2:$BQ$400,MATCH(1,($A25='Offer Statistics'!$BB$2:$BB$400)*($AC$2='Offer Statistics'!$BC$2:$BC$400),0)),"/")</f>
        <v>21</v>
      </c>
      <c r="AE25" s="64" cm="1">
        <f t="array" ref="AE25">IFERROR(INDEX('Offer Statistics'!BL$2:BL$400,MATCH(1,($A25='Offer Statistics'!$BB$2:$BB$400)*($AC$2='Offer Statistics'!$BC$2:$BC$400),0)),"/")</f>
        <v>21</v>
      </c>
      <c r="AF25" s="64" cm="1">
        <f t="array" ref="AF25">IFERROR(INDEX('Offer Statistics'!BM$2:BM$400,MATCH(1,($A25='Offer Statistics'!$BB$2:$BB$400)*($AC$2='Offer Statistics'!$BC$2:$BC$400),0)),"/")</f>
        <v>0</v>
      </c>
      <c r="AG25" s="64" cm="1">
        <f t="array" ref="AG25">IFERROR(INDEX('Offer Statistics'!BN$2:BN$400,MATCH(1,($A25='Offer Statistics'!$BB$2:$BB$400)*($AC$2='Offer Statistics'!$BC$2:$BC$400),0)),"/")</f>
        <v>0</v>
      </c>
      <c r="AH25" s="64" cm="1">
        <f t="array" ref="AH25">IFERROR(INDEX('Offer Statistics'!BO$2:BO$400,MATCH(1,($A25='Offer Statistics'!$BB$2:$BB$400)*($AC$2='Offer Statistics'!$BC$2:$BC$400),0)),"/")</f>
        <v>0</v>
      </c>
      <c r="AI25" s="64" cm="1">
        <f t="array" ref="AI25">IFERROR(INDEX('Offer Statistics'!BP$2:BP$400,MATCH(1,($A25='Offer Statistics'!$BB$2:$BB$400)*($AC$2='Offer Statistics'!$BC$2:$BC$400),0)),"/")</f>
        <v>0</v>
      </c>
      <c r="AJ25" s="511"/>
      <c r="AK25" s="36" cm="1">
        <f t="array" ref="AK25">IFERROR(INDEX('Offer Statistics'!$BI$2:$BI$400,MATCH(1,($A25='Offer Statistics'!$BB$2:$BB$400)*($AC$2='Offer Statistics'!$BC$2:$BC$400),0)),"/")</f>
        <v>599</v>
      </c>
      <c r="AL25" s="64" cm="1">
        <f t="array" ref="AL25">IFERROR(INDEX('Offer Statistics'!BD$2:BD$400,MATCH(1,($A25='Offer Statistics'!$BB$2:$BB$400)*($AC$2='Offer Statistics'!$BC$2:$BC$400),0)),"/")</f>
        <v>61</v>
      </c>
      <c r="AM25" s="64" cm="1">
        <f t="array" ref="AM25">IFERROR(INDEX('Offer Statistics'!BE$2:BE$400,MATCH(1,($A25='Offer Statistics'!$BB$2:$BB$400)*($AC$2='Offer Statistics'!$BC$2:$BC$400),0)),"/")</f>
        <v>57</v>
      </c>
      <c r="AN25" s="64" cm="1">
        <f t="array" ref="AN25">IFERROR(INDEX('Offer Statistics'!BF$2:BF$400,MATCH(1,($A25='Offer Statistics'!$BB$2:$BB$400)*($AC$2='Offer Statistics'!$BC$2:$BC$400),0)),"/")</f>
        <v>133</v>
      </c>
      <c r="AO25" s="64" cm="1">
        <f t="array" ref="AO25">IFERROR(INDEX('Offer Statistics'!BG$2:BG$400,MATCH(1,($A25='Offer Statistics'!$BB$2:$BB$400)*($AC$2='Offer Statistics'!$BC$2:$BC$400),0)),"/")</f>
        <v>167</v>
      </c>
      <c r="AP25" s="64" cm="1">
        <f t="array" ref="AP25">IFERROR(INDEX('Offer Statistics'!BH$2:BH$400,MATCH(1,($A25='Offer Statistics'!$BB$2:$BB$400)*($AC$2='Offer Statistics'!$BC$2:$BC$400),0)),"/")</f>
        <v>181</v>
      </c>
      <c r="AQ25" s="15"/>
      <c r="AR25" s="15" t="str">
        <f t="shared" si="3"/>
        <v>JS4276</v>
      </c>
    </row>
    <row r="26" spans="1:44" s="10" customFormat="1" ht="18" customHeight="1">
      <c r="A26" s="4" t="str">
        <f>'Reference Score Calculation'!A152</f>
        <v>JS4329</v>
      </c>
      <c r="B26" s="4" t="str">
        <f>'Reference Score Calculation'!C152</f>
        <v>教育學院</v>
      </c>
      <c r="C26" s="4" t="str">
        <f>'Reference Score Calculation'!D152</f>
        <v>健康與體育運動科學</v>
      </c>
      <c r="D26" s="4" t="str">
        <f>'Reference Score Calculation'!R152</f>
        <v>PHY ED, EX SCI &amp; HEALTH</v>
      </c>
      <c r="E26" s="392" t="str">
        <f>'Reference Score Calculation'!AB152</f>
        <v>Best 5</v>
      </c>
      <c r="F26" s="395" t="str">
        <f>'Reference Score Calculation'!E152</f>
        <v>Best 5</v>
      </c>
      <c r="G26" s="6">
        <f>'Reference Score Calculation'!G152</f>
        <v>30.5</v>
      </c>
      <c r="H26" s="6">
        <f>'Reference Score Calculation'!H152</f>
        <v>26</v>
      </c>
      <c r="I26" s="6">
        <f>'Reference Score Calculation'!I152</f>
        <v>26</v>
      </c>
      <c r="J26" s="45">
        <f>計分版!J175</f>
        <v>3.9500000000000006E-9</v>
      </c>
      <c r="K26" s="25">
        <f t="shared" si="0"/>
        <v>-25.999999996050001</v>
      </c>
      <c r="L26" s="26">
        <f t="shared" si="1"/>
        <v>-6582278480.0126572</v>
      </c>
      <c r="M26" s="36">
        <f>'Reference Score Calculation'!T152</f>
        <v>17</v>
      </c>
      <c r="N26" s="86">
        <f>入學要求!Z161</f>
        <v>0</v>
      </c>
      <c r="O26" s="516"/>
      <c r="P26" s="166">
        <f>入學要求!L161</f>
        <v>3</v>
      </c>
      <c r="Q26" s="166">
        <f>入學要求!M161</f>
        <v>3</v>
      </c>
      <c r="R26" s="166">
        <f>入學要求!N161</f>
        <v>2</v>
      </c>
      <c r="S26" s="166">
        <f>入學要求!O161</f>
        <v>1</v>
      </c>
      <c r="T26" s="166">
        <f>入學要求!P161</f>
        <v>3</v>
      </c>
      <c r="U26" s="166">
        <f>入學要求!Q161</f>
        <v>3</v>
      </c>
      <c r="V26" s="256">
        <f>入學要求!S161</f>
        <v>0</v>
      </c>
      <c r="W26" s="256">
        <f>入學要求!T161</f>
        <v>0</v>
      </c>
      <c r="X26" s="256">
        <f>入學要求!U161</f>
        <v>0</v>
      </c>
      <c r="Y26" s="256">
        <f>入學要求!V161</f>
        <v>0</v>
      </c>
      <c r="Z26" s="256">
        <f>入學要求!W161</f>
        <v>0</v>
      </c>
      <c r="AA26" s="256">
        <f>入學要求!X161</f>
        <v>0</v>
      </c>
      <c r="AB26" s="36">
        <f t="shared" si="2"/>
        <v>17.190000000000001</v>
      </c>
      <c r="AC26" s="510"/>
      <c r="AD26" s="36" cm="1">
        <f t="array" ref="AD26">IFERROR(INDEX('Offer Statistics'!$BQ$2:$BQ$400,MATCH(1,($A26='Offer Statistics'!$BB$2:$BB$400)*($AC$2='Offer Statistics'!$BC$2:$BC$400),0)),"/")</f>
        <v>26</v>
      </c>
      <c r="AE26" s="64" cm="1">
        <f t="array" ref="AE26">IFERROR(INDEX('Offer Statistics'!BL$2:BL$400,MATCH(1,($A26='Offer Statistics'!$BB$2:$BB$400)*($AC$2='Offer Statistics'!$BC$2:$BC$400),0)),"/")</f>
        <v>26</v>
      </c>
      <c r="AF26" s="64" cm="1">
        <f t="array" ref="AF26">IFERROR(INDEX('Offer Statistics'!BM$2:BM$400,MATCH(1,($A26='Offer Statistics'!$BB$2:$BB$400)*($AC$2='Offer Statistics'!$BC$2:$BC$400),0)),"/")</f>
        <v>0</v>
      </c>
      <c r="AG26" s="64" cm="1">
        <f t="array" ref="AG26">IFERROR(INDEX('Offer Statistics'!BN$2:BN$400,MATCH(1,($A26='Offer Statistics'!$BB$2:$BB$400)*($AC$2='Offer Statistics'!$BC$2:$BC$400),0)),"/")</f>
        <v>0</v>
      </c>
      <c r="AH26" s="64" cm="1">
        <f t="array" ref="AH26">IFERROR(INDEX('Offer Statistics'!BO$2:BO$400,MATCH(1,($A26='Offer Statistics'!$BB$2:$BB$400)*($AC$2='Offer Statistics'!$BC$2:$BC$400),0)),"/")</f>
        <v>0</v>
      </c>
      <c r="AI26" s="64" cm="1">
        <f t="array" ref="AI26">IFERROR(INDEX('Offer Statistics'!BP$2:BP$400,MATCH(1,($A26='Offer Statistics'!$BB$2:$BB$400)*($AC$2='Offer Statistics'!$BC$2:$BC$400),0)),"/")</f>
        <v>0</v>
      </c>
      <c r="AJ26" s="511"/>
      <c r="AK26" s="36" cm="1">
        <f t="array" ref="AK26">IFERROR(INDEX('Offer Statistics'!$BI$2:$BI$400,MATCH(1,($A26='Offer Statistics'!$BB$2:$BB$400)*($AC$2='Offer Statistics'!$BC$2:$BC$400),0)),"/")</f>
        <v>1956</v>
      </c>
      <c r="AL26" s="64" cm="1">
        <f t="array" ref="AL26">IFERROR(INDEX('Offer Statistics'!BD$2:BD$400,MATCH(1,($A26='Offer Statistics'!$BB$2:$BB$400)*($AC$2='Offer Statistics'!$BC$2:$BC$400),0)),"/")</f>
        <v>447</v>
      </c>
      <c r="AM26" s="64" cm="1">
        <f t="array" ref="AM26">IFERROR(INDEX('Offer Statistics'!BE$2:BE$400,MATCH(1,($A26='Offer Statistics'!$BB$2:$BB$400)*($AC$2='Offer Statistics'!$BC$2:$BC$400),0)),"/")</f>
        <v>326</v>
      </c>
      <c r="AN26" s="64" cm="1">
        <f t="array" ref="AN26">IFERROR(INDEX('Offer Statistics'!BF$2:BF$400,MATCH(1,($A26='Offer Statistics'!$BB$2:$BB$400)*($AC$2='Offer Statistics'!$BC$2:$BC$400),0)),"/")</f>
        <v>403</v>
      </c>
      <c r="AO26" s="64" cm="1">
        <f t="array" ref="AO26">IFERROR(INDEX('Offer Statistics'!BG$2:BG$400,MATCH(1,($A26='Offer Statistics'!$BB$2:$BB$400)*($AC$2='Offer Statistics'!$BC$2:$BC$400),0)),"/")</f>
        <v>430</v>
      </c>
      <c r="AP26" s="64" cm="1">
        <f t="array" ref="AP26">IFERROR(INDEX('Offer Statistics'!BH$2:BH$400,MATCH(1,($A26='Offer Statistics'!$BB$2:$BB$400)*($AC$2='Offer Statistics'!$BC$2:$BC$400),0)),"/")</f>
        <v>350</v>
      </c>
      <c r="AQ26" s="15"/>
      <c r="AR26" s="15" t="str">
        <f t="shared" si="3"/>
        <v>JS4329</v>
      </c>
    </row>
    <row r="27" spans="1:44" ht="18" customHeight="1">
      <c r="A27" s="4" t="str">
        <f>'Reference Score Calculation'!A153</f>
        <v>JS4331</v>
      </c>
      <c r="B27" s="4" t="str">
        <f>'Reference Score Calculation'!C153</f>
        <v>教育學院</v>
      </c>
      <c r="C27" s="4" t="str">
        <f>'Reference Score Calculation'!D153</f>
        <v>文學士 (中國語文研究) 及教育學士 (中國語文教育)</v>
      </c>
      <c r="D27" s="4" t="str">
        <f>'Reference Score Calculation'!R153</f>
        <v>BA (CHI) BEd (CHI EDU)</v>
      </c>
      <c r="E27" s="392" t="str">
        <f>'Reference Score Calculation'!AB153</f>
        <v>Best 5</v>
      </c>
      <c r="F27" s="394" t="str">
        <f>'Reference Score Calculation'!E153</f>
        <v>Best 5</v>
      </c>
      <c r="G27" s="6">
        <f>'Reference Score Calculation'!G153</f>
        <v>43.5</v>
      </c>
      <c r="H27" s="6">
        <f>'Reference Score Calculation'!H153</f>
        <v>42</v>
      </c>
      <c r="I27" s="6">
        <f>'Reference Score Calculation'!I153</f>
        <v>39.5</v>
      </c>
      <c r="J27" s="45">
        <f>計分版!J176</f>
        <v>4.1499999999999999E-9</v>
      </c>
      <c r="K27" s="25">
        <f t="shared" si="0"/>
        <v>-41.999999995849997</v>
      </c>
      <c r="L27" s="26">
        <f t="shared" si="1"/>
        <v>-10120481926.710842</v>
      </c>
      <c r="M27" s="36">
        <f>'Reference Score Calculation'!T153</f>
        <v>12</v>
      </c>
      <c r="N27" s="86">
        <f>入學要求!Z162</f>
        <v>0</v>
      </c>
      <c r="O27" s="516"/>
      <c r="P27" s="166">
        <f>入學要求!L162</f>
        <v>4</v>
      </c>
      <c r="Q27" s="166">
        <f>入學要求!M162</f>
        <v>3</v>
      </c>
      <c r="R27" s="166">
        <f>入學要求!N162</f>
        <v>2</v>
      </c>
      <c r="S27" s="166">
        <f>入學要求!O162</f>
        <v>1</v>
      </c>
      <c r="T27" s="166">
        <f>入學要求!P162</f>
        <v>3</v>
      </c>
      <c r="U27" s="166">
        <f>入學要求!Q162</f>
        <v>3</v>
      </c>
      <c r="V27" s="256">
        <f>入學要求!S162</f>
        <v>0</v>
      </c>
      <c r="W27" s="256">
        <f>入學要求!T162</f>
        <v>0</v>
      </c>
      <c r="X27" s="256">
        <f>入學要求!U162</f>
        <v>0</v>
      </c>
      <c r="Y27" s="256">
        <f>入學要求!V162</f>
        <v>0</v>
      </c>
      <c r="Z27" s="256">
        <f>入學要求!W162</f>
        <v>0</v>
      </c>
      <c r="AA27" s="256">
        <f>入學要求!X162</f>
        <v>0</v>
      </c>
      <c r="AB27" s="36">
        <f t="shared" si="2"/>
        <v>9.8800000000000008</v>
      </c>
      <c r="AC27" s="510"/>
      <c r="AD27" s="36" cm="1">
        <f t="array" ref="AD27">IFERROR(INDEX('Offer Statistics'!$BQ$2:$BQ$400,MATCH(1,($A27='Offer Statistics'!$BB$2:$BB$400)*($AC$2='Offer Statistics'!$BC$2:$BC$400),0)),"/")</f>
        <v>17</v>
      </c>
      <c r="AE27" s="64" cm="1">
        <f t="array" ref="AE27">IFERROR(INDEX('Offer Statistics'!BL$2:BL$400,MATCH(1,($A27='Offer Statistics'!$BB$2:$BB$400)*($AC$2='Offer Statistics'!$BC$2:$BC$400),0)),"/")</f>
        <v>17</v>
      </c>
      <c r="AF27" s="64" cm="1">
        <f t="array" ref="AF27">IFERROR(INDEX('Offer Statistics'!BM$2:BM$400,MATCH(1,($A27='Offer Statistics'!$BB$2:$BB$400)*($AC$2='Offer Statistics'!$BC$2:$BC$400),0)),"/")</f>
        <v>0</v>
      </c>
      <c r="AG27" s="64" cm="1">
        <f t="array" ref="AG27">IFERROR(INDEX('Offer Statistics'!BN$2:BN$400,MATCH(1,($A27='Offer Statistics'!$BB$2:$BB$400)*($AC$2='Offer Statistics'!$BC$2:$BC$400),0)),"/")</f>
        <v>0</v>
      </c>
      <c r="AH27" s="64" cm="1">
        <f t="array" ref="AH27">IFERROR(INDEX('Offer Statistics'!BO$2:BO$400,MATCH(1,($A27='Offer Statistics'!$BB$2:$BB$400)*($AC$2='Offer Statistics'!$BC$2:$BC$400),0)),"/")</f>
        <v>0</v>
      </c>
      <c r="AI27" s="64" cm="1">
        <f t="array" ref="AI27">IFERROR(INDEX('Offer Statistics'!BP$2:BP$400,MATCH(1,($A27='Offer Statistics'!$BB$2:$BB$400)*($AC$2='Offer Statistics'!$BC$2:$BC$400),0)),"/")</f>
        <v>0</v>
      </c>
      <c r="AJ27" s="511"/>
      <c r="AK27" s="36" cm="1">
        <f t="array" ref="AK27">IFERROR(INDEX('Offer Statistics'!$BI$2:$BI$400,MATCH(1,($A27='Offer Statistics'!$BB$2:$BB$400)*($AC$2='Offer Statistics'!$BC$2:$BC$400),0)),"/")</f>
        <v>1189</v>
      </c>
      <c r="AL27" s="64" cm="1">
        <f t="array" ref="AL27">IFERROR(INDEX('Offer Statistics'!BD$2:BD$400,MATCH(1,($A27='Offer Statistics'!$BB$2:$BB$400)*($AC$2='Offer Statistics'!$BC$2:$BC$400),0)),"/")</f>
        <v>168</v>
      </c>
      <c r="AM27" s="64" cm="1">
        <f t="array" ref="AM27">IFERROR(INDEX('Offer Statistics'!BE$2:BE$400,MATCH(1,($A27='Offer Statistics'!$BB$2:$BB$400)*($AC$2='Offer Statistics'!$BC$2:$BC$400),0)),"/")</f>
        <v>145</v>
      </c>
      <c r="AN27" s="64" cm="1">
        <f t="array" ref="AN27">IFERROR(INDEX('Offer Statistics'!BF$2:BF$400,MATCH(1,($A27='Offer Statistics'!$BB$2:$BB$400)*($AC$2='Offer Statistics'!$BC$2:$BC$400),0)),"/")</f>
        <v>241</v>
      </c>
      <c r="AO27" s="64" cm="1">
        <f t="array" ref="AO27">IFERROR(INDEX('Offer Statistics'!BG$2:BG$400,MATCH(1,($A27='Offer Statistics'!$BB$2:$BB$400)*($AC$2='Offer Statistics'!$BC$2:$BC$400),0)),"/")</f>
        <v>344</v>
      </c>
      <c r="AP27" s="64" cm="1">
        <f t="array" ref="AP27">IFERROR(INDEX('Offer Statistics'!BH$2:BH$400,MATCH(1,($A27='Offer Statistics'!$BB$2:$BB$400)*($AC$2='Offer Statistics'!$BC$2:$BC$400),0)),"/")</f>
        <v>291</v>
      </c>
      <c r="AQ27" s="15"/>
      <c r="AR27" s="15" t="str">
        <f t="shared" si="3"/>
        <v>JS4331</v>
      </c>
    </row>
    <row r="28" spans="1:44" s="10" customFormat="1" ht="18" customHeight="1">
      <c r="A28" s="4" t="str">
        <f>'Reference Score Calculation'!A154</f>
        <v>JS4343</v>
      </c>
      <c r="B28" s="4" t="str">
        <f>'Reference Score Calculation'!C154</f>
        <v>教育學院</v>
      </c>
      <c r="C28" s="4" t="str">
        <f>'Reference Score Calculation'!D154</f>
        <v>文學士(英國語文研究)及教育學士(英國語文教育)</v>
      </c>
      <c r="D28" s="4" t="str">
        <f>'Reference Score Calculation'!R154</f>
        <v>BA (ENG) BEd (ENG EDU)</v>
      </c>
      <c r="E28" s="392" t="str">
        <f>'Reference Score Calculation'!AB154</f>
        <v>Best 5</v>
      </c>
      <c r="F28" s="394" t="str">
        <f>'Reference Score Calculation'!E154</f>
        <v>Best 5</v>
      </c>
      <c r="G28" s="6">
        <f>'Reference Score Calculation'!G154</f>
        <v>40.5</v>
      </c>
      <c r="H28" s="6">
        <f>'Reference Score Calculation'!H154</f>
        <v>36</v>
      </c>
      <c r="I28" s="6">
        <f>'Reference Score Calculation'!I154</f>
        <v>36</v>
      </c>
      <c r="J28" s="45">
        <f>計分版!J177</f>
        <v>3.7500000000000005E-9</v>
      </c>
      <c r="K28" s="25">
        <f t="shared" si="0"/>
        <v>-35.999999996249997</v>
      </c>
      <c r="L28" s="26">
        <f t="shared" si="1"/>
        <v>-9599999998.9999981</v>
      </c>
      <c r="M28" s="36">
        <f>'Reference Score Calculation'!T154</f>
        <v>12</v>
      </c>
      <c r="N28" s="86">
        <f>入學要求!Z163</f>
        <v>0</v>
      </c>
      <c r="O28" s="516"/>
      <c r="P28" s="166">
        <f>入學要求!L163</f>
        <v>3</v>
      </c>
      <c r="Q28" s="166">
        <f>入學要求!M163</f>
        <v>4</v>
      </c>
      <c r="R28" s="166">
        <f>入學要求!N163</f>
        <v>2</v>
      </c>
      <c r="S28" s="166">
        <f>入學要求!O163</f>
        <v>1</v>
      </c>
      <c r="T28" s="166">
        <f>入學要求!P163</f>
        <v>3</v>
      </c>
      <c r="U28" s="166">
        <f>入學要求!Q163</f>
        <v>3</v>
      </c>
      <c r="V28" s="256">
        <f>入學要求!S163</f>
        <v>0</v>
      </c>
      <c r="W28" s="256">
        <f>入學要求!T163</f>
        <v>0</v>
      </c>
      <c r="X28" s="256">
        <f>入學要求!U163</f>
        <v>0</v>
      </c>
      <c r="Y28" s="256">
        <f>入學要求!V163</f>
        <v>0</v>
      </c>
      <c r="Z28" s="256">
        <f>入學要求!W163</f>
        <v>0</v>
      </c>
      <c r="AA28" s="256">
        <f>入學要求!X163</f>
        <v>0</v>
      </c>
      <c r="AB28" s="36">
        <f t="shared" si="2"/>
        <v>6.64</v>
      </c>
      <c r="AC28" s="510"/>
      <c r="AD28" s="36" cm="1">
        <f t="array" ref="AD28">IFERROR(INDEX('Offer Statistics'!$BQ$2:$BQ$400,MATCH(1,($A28='Offer Statistics'!$BB$2:$BB$400)*($AC$2='Offer Statistics'!$BC$2:$BC$400),0)),"/")</f>
        <v>14</v>
      </c>
      <c r="AE28" s="64" cm="1">
        <f t="array" ref="AE28">IFERROR(INDEX('Offer Statistics'!BL$2:BL$400,MATCH(1,($A28='Offer Statistics'!$BB$2:$BB$400)*($AC$2='Offer Statistics'!$BC$2:$BC$400),0)),"/")</f>
        <v>14</v>
      </c>
      <c r="AF28" s="64" cm="1">
        <f t="array" ref="AF28">IFERROR(INDEX('Offer Statistics'!BM$2:BM$400,MATCH(1,($A28='Offer Statistics'!$BB$2:$BB$400)*($AC$2='Offer Statistics'!$BC$2:$BC$400),0)),"/")</f>
        <v>0</v>
      </c>
      <c r="AG28" s="64" cm="1">
        <f t="array" ref="AG28">IFERROR(INDEX('Offer Statistics'!BN$2:BN$400,MATCH(1,($A28='Offer Statistics'!$BB$2:$BB$400)*($AC$2='Offer Statistics'!$BC$2:$BC$400),0)),"/")</f>
        <v>0</v>
      </c>
      <c r="AH28" s="64" cm="1">
        <f t="array" ref="AH28">IFERROR(INDEX('Offer Statistics'!BO$2:BO$400,MATCH(1,($A28='Offer Statistics'!$BB$2:$BB$400)*($AC$2='Offer Statistics'!$BC$2:$BC$400),0)),"/")</f>
        <v>0</v>
      </c>
      <c r="AI28" s="64" cm="1">
        <f t="array" ref="AI28">IFERROR(INDEX('Offer Statistics'!BP$2:BP$400,MATCH(1,($A28='Offer Statistics'!$BB$2:$BB$400)*($AC$2='Offer Statistics'!$BC$2:$BC$400),0)),"/")</f>
        <v>0</v>
      </c>
      <c r="AJ28" s="511"/>
      <c r="AK28" s="36" cm="1">
        <f t="array" ref="AK28">IFERROR(INDEX('Offer Statistics'!$BI$2:$BI$400,MATCH(1,($A28='Offer Statistics'!$BB$2:$BB$400)*($AC$2='Offer Statistics'!$BC$2:$BC$400),0)),"/")</f>
        <v>816</v>
      </c>
      <c r="AL28" s="64" cm="1">
        <f t="array" ref="AL28">IFERROR(INDEX('Offer Statistics'!BD$2:BD$400,MATCH(1,($A28='Offer Statistics'!$BB$2:$BB$400)*($AC$2='Offer Statistics'!$BC$2:$BC$400),0)),"/")</f>
        <v>93</v>
      </c>
      <c r="AM28" s="64" cm="1">
        <f t="array" ref="AM28">IFERROR(INDEX('Offer Statistics'!BE$2:BE$400,MATCH(1,($A28='Offer Statistics'!$BB$2:$BB$400)*($AC$2='Offer Statistics'!$BC$2:$BC$400),0)),"/")</f>
        <v>103</v>
      </c>
      <c r="AN28" s="64" cm="1">
        <f t="array" ref="AN28">IFERROR(INDEX('Offer Statistics'!BF$2:BF$400,MATCH(1,($A28='Offer Statistics'!$BB$2:$BB$400)*($AC$2='Offer Statistics'!$BC$2:$BC$400),0)),"/")</f>
        <v>186</v>
      </c>
      <c r="AO28" s="64" cm="1">
        <f t="array" ref="AO28">IFERROR(INDEX('Offer Statistics'!BG$2:BG$400,MATCH(1,($A28='Offer Statistics'!$BB$2:$BB$400)*($AC$2='Offer Statistics'!$BC$2:$BC$400),0)),"/")</f>
        <v>224</v>
      </c>
      <c r="AP28" s="64" cm="1">
        <f t="array" ref="AP28">IFERROR(INDEX('Offer Statistics'!BH$2:BH$400,MATCH(1,($A28='Offer Statistics'!$BB$2:$BB$400)*($AC$2='Offer Statistics'!$BC$2:$BC$400),0)),"/")</f>
        <v>210</v>
      </c>
      <c r="AQ28" s="15"/>
      <c r="AR28" s="15" t="str">
        <f t="shared" si="3"/>
        <v>JS4343</v>
      </c>
    </row>
    <row r="29" spans="1:44" ht="18" customHeight="1">
      <c r="A29" s="4" t="str">
        <f>'Reference Score Calculation'!A155</f>
        <v>JS4361</v>
      </c>
      <c r="B29" s="4" t="str">
        <f>'Reference Score Calculation'!C155</f>
        <v>教育學院</v>
      </c>
      <c r="C29" s="4" t="str">
        <f>'Reference Score Calculation'!D155</f>
        <v>教育學士(數學及數學教育)</v>
      </c>
      <c r="D29" s="4" t="str">
        <f>'Reference Score Calculation'!R155</f>
        <v>MATHS EDUCATION</v>
      </c>
      <c r="E29" s="392" t="str">
        <f>'Reference Score Calculation'!AB155</f>
        <v>Best 5</v>
      </c>
      <c r="F29" s="394" t="str">
        <f>'Reference Score Calculation'!E155</f>
        <v>Best 5</v>
      </c>
      <c r="G29" s="6">
        <f>'Reference Score Calculation'!G155</f>
        <v>53</v>
      </c>
      <c r="H29" s="6">
        <f>'Reference Score Calculation'!H155</f>
        <v>50.75</v>
      </c>
      <c r="I29" s="6">
        <f>'Reference Score Calculation'!I155</f>
        <v>50</v>
      </c>
      <c r="J29" s="45">
        <f>計分版!J178</f>
        <v>4.25E-9</v>
      </c>
      <c r="K29" s="25">
        <f t="shared" si="0"/>
        <v>-50.749999995750002</v>
      </c>
      <c r="L29" s="26">
        <f t="shared" si="1"/>
        <v>-11941176469.588236</v>
      </c>
      <c r="M29" s="36">
        <f>'Reference Score Calculation'!T155</f>
        <v>12</v>
      </c>
      <c r="N29" s="86">
        <f>入學要求!Z164</f>
        <v>0</v>
      </c>
      <c r="O29" s="516"/>
      <c r="P29" s="166">
        <f>入學要求!L164</f>
        <v>3</v>
      </c>
      <c r="Q29" s="166">
        <f>入學要求!M164</f>
        <v>3</v>
      </c>
      <c r="R29" s="166">
        <f>入學要求!N164</f>
        <v>4</v>
      </c>
      <c r="S29" s="166">
        <f>入學要求!O164</f>
        <v>1</v>
      </c>
      <c r="T29" s="166">
        <f>入學要求!P164</f>
        <v>3</v>
      </c>
      <c r="U29" s="166">
        <f>入學要求!Q164</f>
        <v>3</v>
      </c>
      <c r="V29" s="256">
        <f>入學要求!S164</f>
        <v>0</v>
      </c>
      <c r="W29" s="256">
        <f>入學要求!T164</f>
        <v>0</v>
      </c>
      <c r="X29" s="256">
        <f>入學要求!U164</f>
        <v>0</v>
      </c>
      <c r="Y29" s="256">
        <f>入學要求!V164</f>
        <v>0</v>
      </c>
      <c r="Z29" s="256">
        <f>入學要求!W164</f>
        <v>0</v>
      </c>
      <c r="AA29" s="256">
        <f>入學要求!X164</f>
        <v>0</v>
      </c>
      <c r="AB29" s="36">
        <f t="shared" si="2"/>
        <v>5.67</v>
      </c>
      <c r="AC29" s="510"/>
      <c r="AD29" s="36" cm="1">
        <f t="array" ref="AD29">IFERROR(INDEX('Offer Statistics'!$BQ$2:$BQ$400,MATCH(1,($A29='Offer Statistics'!$BB$2:$BB$400)*($AC$2='Offer Statistics'!$BC$2:$BC$400),0)),"/")</f>
        <v>18</v>
      </c>
      <c r="AE29" s="64" cm="1">
        <f t="array" ref="AE29">IFERROR(INDEX('Offer Statistics'!BL$2:BL$400,MATCH(1,($A29='Offer Statistics'!$BB$2:$BB$400)*($AC$2='Offer Statistics'!$BC$2:$BC$400),0)),"/")</f>
        <v>18</v>
      </c>
      <c r="AF29" s="64" cm="1">
        <f t="array" ref="AF29">IFERROR(INDEX('Offer Statistics'!BM$2:BM$400,MATCH(1,($A29='Offer Statistics'!$BB$2:$BB$400)*($AC$2='Offer Statistics'!$BC$2:$BC$400),0)),"/")</f>
        <v>0</v>
      </c>
      <c r="AG29" s="64" cm="1">
        <f t="array" ref="AG29">IFERROR(INDEX('Offer Statistics'!BN$2:BN$400,MATCH(1,($A29='Offer Statistics'!$BB$2:$BB$400)*($AC$2='Offer Statistics'!$BC$2:$BC$400),0)),"/")</f>
        <v>0</v>
      </c>
      <c r="AH29" s="64" cm="1">
        <f t="array" ref="AH29">IFERROR(INDEX('Offer Statistics'!BO$2:BO$400,MATCH(1,($A29='Offer Statistics'!$BB$2:$BB$400)*($AC$2='Offer Statistics'!$BC$2:$BC$400),0)),"/")</f>
        <v>0</v>
      </c>
      <c r="AI29" s="64" cm="1">
        <f t="array" ref="AI29">IFERROR(INDEX('Offer Statistics'!BP$2:BP$400,MATCH(1,($A29='Offer Statistics'!$BB$2:$BB$400)*($AC$2='Offer Statistics'!$BC$2:$BC$400),0)),"/")</f>
        <v>0</v>
      </c>
      <c r="AJ29" s="511"/>
      <c r="AK29" s="36" cm="1">
        <f t="array" ref="AK29">IFERROR(INDEX('Offer Statistics'!$BI$2:$BI$400,MATCH(1,($A29='Offer Statistics'!$BB$2:$BB$400)*($AC$2='Offer Statistics'!$BC$2:$BC$400),0)),"/")</f>
        <v>844</v>
      </c>
      <c r="AL29" s="64" cm="1">
        <f t="array" ref="AL29">IFERROR(INDEX('Offer Statistics'!BD$2:BD$400,MATCH(1,($A29='Offer Statistics'!$BB$2:$BB$400)*($AC$2='Offer Statistics'!$BC$2:$BC$400),0)),"/")</f>
        <v>102</v>
      </c>
      <c r="AM29" s="64" cm="1">
        <f t="array" ref="AM29">IFERROR(INDEX('Offer Statistics'!BE$2:BE$400,MATCH(1,($A29='Offer Statistics'!$BB$2:$BB$400)*($AC$2='Offer Statistics'!$BC$2:$BC$400),0)),"/")</f>
        <v>116</v>
      </c>
      <c r="AN29" s="64" cm="1">
        <f t="array" ref="AN29">IFERROR(INDEX('Offer Statistics'!BF$2:BF$400,MATCH(1,($A29='Offer Statistics'!$BB$2:$BB$400)*($AC$2='Offer Statistics'!$BC$2:$BC$400),0)),"/")</f>
        <v>177</v>
      </c>
      <c r="AO29" s="64" cm="1">
        <f t="array" ref="AO29">IFERROR(INDEX('Offer Statistics'!BG$2:BG$400,MATCH(1,($A29='Offer Statistics'!$BB$2:$BB$400)*($AC$2='Offer Statistics'!$BC$2:$BC$400),0)),"/")</f>
        <v>240</v>
      </c>
      <c r="AP29" s="64" cm="1">
        <f t="array" ref="AP29">IFERROR(INDEX('Offer Statistics'!BH$2:BH$400,MATCH(1,($A29='Offer Statistics'!$BB$2:$BB$400)*($AC$2='Offer Statistics'!$BC$2:$BC$400),0)),"/")</f>
        <v>209</v>
      </c>
      <c r="AQ29" s="15"/>
      <c r="AR29" s="15" t="str">
        <f t="shared" si="3"/>
        <v>JS4361</v>
      </c>
    </row>
    <row r="30" spans="1:44" s="10" customFormat="1" ht="18" customHeight="1">
      <c r="A30" s="4" t="str">
        <f>'Reference Score Calculation'!A156</f>
        <v>JS4372</v>
      </c>
      <c r="B30" s="4" t="str">
        <f>'Reference Score Calculation'!C156</f>
        <v>教育學院</v>
      </c>
      <c r="C30" s="4" t="str">
        <f>'Reference Score Calculation'!D156</f>
        <v>教育學士(幼兒教育)</v>
      </c>
      <c r="D30" s="4" t="str">
        <f>'Reference Score Calculation'!R156</f>
        <v>BEd (ECE)</v>
      </c>
      <c r="E30" s="392" t="str">
        <f>'Reference Score Calculation'!AB156</f>
        <v>Best 5</v>
      </c>
      <c r="F30" s="395" t="str">
        <f>'Reference Score Calculation'!E156</f>
        <v>Best 5</v>
      </c>
      <c r="G30" s="6">
        <f>'Reference Score Calculation'!G156</f>
        <v>23</v>
      </c>
      <c r="H30" s="6">
        <f>'Reference Score Calculation'!H156</f>
        <v>21.5</v>
      </c>
      <c r="I30" s="6">
        <f>'Reference Score Calculation'!I156</f>
        <v>20.5</v>
      </c>
      <c r="J30" s="45">
        <f>計分版!J179</f>
        <v>3.9500000000000006E-9</v>
      </c>
      <c r="K30" s="25">
        <f t="shared" si="0"/>
        <v>-21.499999996050001</v>
      </c>
      <c r="L30" s="26">
        <f t="shared" si="1"/>
        <v>-5443037973.6835432</v>
      </c>
      <c r="M30" s="36">
        <f>'Reference Score Calculation'!T156</f>
        <v>21</v>
      </c>
      <c r="N30" s="86">
        <f>入學要求!Z165</f>
        <v>0</v>
      </c>
      <c r="O30" s="516"/>
      <c r="P30" s="166">
        <f>入學要求!L165</f>
        <v>3</v>
      </c>
      <c r="Q30" s="166">
        <f>入學要求!M165</f>
        <v>3</v>
      </c>
      <c r="R30" s="166">
        <f>入學要求!N165</f>
        <v>2</v>
      </c>
      <c r="S30" s="166">
        <f>入學要求!O165</f>
        <v>1</v>
      </c>
      <c r="T30" s="166">
        <f>入學要求!P165</f>
        <v>3</v>
      </c>
      <c r="U30" s="166">
        <f>入學要求!Q165</f>
        <v>3</v>
      </c>
      <c r="V30" s="256">
        <f>入學要求!S165</f>
        <v>0</v>
      </c>
      <c r="W30" s="256">
        <f>入學要求!T165</f>
        <v>0</v>
      </c>
      <c r="X30" s="256">
        <f>入學要求!U165</f>
        <v>0</v>
      </c>
      <c r="Y30" s="256">
        <f>入學要求!V165</f>
        <v>0</v>
      </c>
      <c r="Z30" s="256">
        <f>入學要求!W165</f>
        <v>0</v>
      </c>
      <c r="AA30" s="256">
        <f>入學要求!X165</f>
        <v>0</v>
      </c>
      <c r="AB30" s="36">
        <f t="shared" si="2"/>
        <v>15.92</v>
      </c>
      <c r="AC30" s="510"/>
      <c r="AD30" s="36" cm="1">
        <f t="array" ref="AD30">IFERROR(INDEX('Offer Statistics'!$BQ$2:$BQ$400,MATCH(1,($A30='Offer Statistics'!$BB$2:$BB$400)*($AC$2='Offer Statistics'!$BC$2:$BC$400),0)),"/")</f>
        <v>24</v>
      </c>
      <c r="AE30" s="64" cm="1">
        <f t="array" ref="AE30">IFERROR(INDEX('Offer Statistics'!BL$2:BL$400,MATCH(1,($A30='Offer Statistics'!$BB$2:$BB$400)*($AC$2='Offer Statistics'!$BC$2:$BC$400),0)),"/")</f>
        <v>24</v>
      </c>
      <c r="AF30" s="64" cm="1">
        <f t="array" ref="AF30">IFERROR(INDEX('Offer Statistics'!BM$2:BM$400,MATCH(1,($A30='Offer Statistics'!$BB$2:$BB$400)*($AC$2='Offer Statistics'!$BC$2:$BC$400),0)),"/")</f>
        <v>0</v>
      </c>
      <c r="AG30" s="64" cm="1">
        <f t="array" ref="AG30">IFERROR(INDEX('Offer Statistics'!BN$2:BN$400,MATCH(1,($A30='Offer Statistics'!$BB$2:$BB$400)*($AC$2='Offer Statistics'!$BC$2:$BC$400),0)),"/")</f>
        <v>0</v>
      </c>
      <c r="AH30" s="64" cm="1">
        <f t="array" ref="AH30">IFERROR(INDEX('Offer Statistics'!BO$2:BO$400,MATCH(1,($A30='Offer Statistics'!$BB$2:$BB$400)*($AC$2='Offer Statistics'!$BC$2:$BC$400),0)),"/")</f>
        <v>0</v>
      </c>
      <c r="AI30" s="64" cm="1">
        <f t="array" ref="AI30">IFERROR(INDEX('Offer Statistics'!BP$2:BP$400,MATCH(1,($A30='Offer Statistics'!$BB$2:$BB$400)*($AC$2='Offer Statistics'!$BC$2:$BC$400),0)),"/")</f>
        <v>0</v>
      </c>
      <c r="AJ30" s="511"/>
      <c r="AK30" s="36" cm="1">
        <f t="array" ref="AK30">IFERROR(INDEX('Offer Statistics'!$BI$2:$BI$400,MATCH(1,($A30='Offer Statistics'!$BB$2:$BB$400)*($AC$2='Offer Statistics'!$BC$2:$BC$400),0)),"/")</f>
        <v>3557</v>
      </c>
      <c r="AL30" s="64" cm="1">
        <f t="array" ref="AL30">IFERROR(INDEX('Offer Statistics'!BD$2:BD$400,MATCH(1,($A30='Offer Statistics'!$BB$2:$BB$400)*($AC$2='Offer Statistics'!$BC$2:$BC$400),0)),"/")</f>
        <v>382</v>
      </c>
      <c r="AM30" s="64" cm="1">
        <f t="array" ref="AM30">IFERROR(INDEX('Offer Statistics'!BE$2:BE$400,MATCH(1,($A30='Offer Statistics'!$BB$2:$BB$400)*($AC$2='Offer Statistics'!$BC$2:$BC$400),0)),"/")</f>
        <v>539</v>
      </c>
      <c r="AN30" s="64" cm="1">
        <f t="array" ref="AN30">IFERROR(INDEX('Offer Statistics'!BF$2:BF$400,MATCH(1,($A30='Offer Statistics'!$BB$2:$BB$400)*($AC$2='Offer Statistics'!$BC$2:$BC$400),0)),"/")</f>
        <v>834</v>
      </c>
      <c r="AO30" s="64" cm="1">
        <f t="array" ref="AO30">IFERROR(INDEX('Offer Statistics'!BG$2:BG$400,MATCH(1,($A30='Offer Statistics'!$BB$2:$BB$400)*($AC$2='Offer Statistics'!$BC$2:$BC$400),0)),"/")</f>
        <v>1028</v>
      </c>
      <c r="AP30" s="64" cm="1">
        <f t="array" ref="AP30">IFERROR(INDEX('Offer Statistics'!BH$2:BH$400,MATCH(1,($A30='Offer Statistics'!$BB$2:$BB$400)*($AC$2='Offer Statistics'!$BC$2:$BC$400),0)),"/")</f>
        <v>774</v>
      </c>
      <c r="AQ30" s="15"/>
      <c r="AR30" s="15" t="str">
        <f t="shared" si="3"/>
        <v>JS4372</v>
      </c>
    </row>
    <row r="31" spans="1:44" ht="18" customHeight="1">
      <c r="A31" s="4" t="str">
        <f>'Reference Score Calculation'!A157</f>
        <v>JS4386</v>
      </c>
      <c r="B31" s="4" t="str">
        <f>'Reference Score Calculation'!C157</f>
        <v>教育學院/工程學院/理學院</v>
      </c>
      <c r="C31" s="4" t="str">
        <f>'Reference Score Calculation'!D157</f>
        <v>理學士（學習設計與科技）</v>
      </c>
      <c r="D31" s="4" t="str">
        <f>'Reference Score Calculation'!R157</f>
        <v>LEARNING DESIGN AND TECH</v>
      </c>
      <c r="E31" s="392" t="str">
        <f>'Reference Score Calculation'!AB157</f>
        <v>Best 5</v>
      </c>
      <c r="F31" s="397" t="str">
        <f>'Reference Score Calculation'!E157</f>
        <v>Best 5</v>
      </c>
      <c r="G31" s="6">
        <f>'Reference Score Calculation'!G157</f>
        <v>34.75</v>
      </c>
      <c r="H31" s="6">
        <f>'Reference Score Calculation'!H157</f>
        <v>29.25</v>
      </c>
      <c r="I31" s="6">
        <f>'Reference Score Calculation'!I157</f>
        <v>27.5</v>
      </c>
      <c r="J31" s="45">
        <f>計分版!J180</f>
        <v>4.2250000000000006E-9</v>
      </c>
      <c r="K31" s="7">
        <f t="shared" si="0"/>
        <v>-29.249999995774999</v>
      </c>
      <c r="L31" s="8">
        <f t="shared" si="1"/>
        <v>-6923076922.0769215</v>
      </c>
      <c r="M31" s="36">
        <f>'Reference Score Calculation'!T157</f>
        <v>20</v>
      </c>
      <c r="N31" s="86">
        <f>入學要求!Z166</f>
        <v>0</v>
      </c>
      <c r="O31" s="516"/>
      <c r="P31" s="166">
        <f>入學要求!L166</f>
        <v>3</v>
      </c>
      <c r="Q31" s="166">
        <f>入學要求!M166</f>
        <v>3</v>
      </c>
      <c r="R31" s="166">
        <f>入學要求!N166</f>
        <v>3</v>
      </c>
      <c r="S31" s="166">
        <f>入學要求!O166</f>
        <v>1</v>
      </c>
      <c r="T31" s="166">
        <f>入學要求!P166</f>
        <v>3</v>
      </c>
      <c r="U31" s="166">
        <f>入學要求!Q166</f>
        <v>3</v>
      </c>
      <c r="V31" s="256">
        <f>入學要求!S166</f>
        <v>0</v>
      </c>
      <c r="W31" s="256">
        <f>入學要求!T166</f>
        <v>0</v>
      </c>
      <c r="X31" s="256">
        <f>入學要求!U166</f>
        <v>0</v>
      </c>
      <c r="Y31" s="256">
        <f>入學要求!V166</f>
        <v>0</v>
      </c>
      <c r="Z31" s="256">
        <f>入學要求!W166</f>
        <v>0</v>
      </c>
      <c r="AA31" s="256">
        <f>入學要求!X166</f>
        <v>0</v>
      </c>
      <c r="AB31" s="36">
        <f t="shared" si="2"/>
        <v>12.67</v>
      </c>
      <c r="AC31" s="510"/>
      <c r="AD31" s="36" cm="1">
        <f t="array" ref="AD31">IFERROR(INDEX('Offer Statistics'!$BQ$2:$BQ$400,MATCH(1,($A31='Offer Statistics'!$BB$2:$BB$400)*($AC$2='Offer Statistics'!$BC$2:$BC$400),0)),"/")</f>
        <v>4</v>
      </c>
      <c r="AE31" s="64" cm="1">
        <f t="array" ref="AE31">IFERROR(INDEX('Offer Statistics'!BL$2:BL$400,MATCH(1,($A31='Offer Statistics'!$BB$2:$BB$400)*($AC$2='Offer Statistics'!$BC$2:$BC$400),0)),"/")</f>
        <v>3</v>
      </c>
      <c r="AF31" s="64" cm="1">
        <f t="array" ref="AF31">IFERROR(INDEX('Offer Statistics'!BM$2:BM$400,MATCH(1,($A31='Offer Statistics'!$BB$2:$BB$400)*($AC$2='Offer Statistics'!$BC$2:$BC$400),0)),"/")</f>
        <v>1</v>
      </c>
      <c r="AG31" s="64" cm="1">
        <f t="array" ref="AG31">IFERROR(INDEX('Offer Statistics'!BN$2:BN$400,MATCH(1,($A31='Offer Statistics'!$BB$2:$BB$400)*($AC$2='Offer Statistics'!$BC$2:$BC$400),0)),"/")</f>
        <v>0</v>
      </c>
      <c r="AH31" s="64" cm="1">
        <f t="array" ref="AH31">IFERROR(INDEX('Offer Statistics'!BO$2:BO$400,MATCH(1,($A31='Offer Statistics'!$BB$2:$BB$400)*($AC$2='Offer Statistics'!$BC$2:$BC$400),0)),"/")</f>
        <v>0</v>
      </c>
      <c r="AI31" s="64" cm="1">
        <f t="array" ref="AI31">IFERROR(INDEX('Offer Statistics'!BP$2:BP$400,MATCH(1,($A31='Offer Statistics'!$BB$2:$BB$400)*($AC$2='Offer Statistics'!$BC$2:$BC$400),0)),"/")</f>
        <v>0</v>
      </c>
      <c r="AJ31" s="511"/>
      <c r="AK31" s="36" cm="1">
        <f t="array" ref="AK31">IFERROR(INDEX('Offer Statistics'!$BI$2:$BI$400,MATCH(1,($A31='Offer Statistics'!$BB$2:$BB$400)*($AC$2='Offer Statistics'!$BC$2:$BC$400),0)),"/")</f>
        <v>588</v>
      </c>
      <c r="AL31" s="64" cm="1">
        <f t="array" ref="AL31">IFERROR(INDEX('Offer Statistics'!BD$2:BD$400,MATCH(1,($A31='Offer Statistics'!$BB$2:$BB$400)*($AC$2='Offer Statistics'!$BC$2:$BC$400),0)),"/")</f>
        <v>38</v>
      </c>
      <c r="AM31" s="64" cm="1">
        <f t="array" ref="AM31">IFERROR(INDEX('Offer Statistics'!BE$2:BE$400,MATCH(1,($A31='Offer Statistics'!$BB$2:$BB$400)*($AC$2='Offer Statistics'!$BC$2:$BC$400),0)),"/")</f>
        <v>59</v>
      </c>
      <c r="AN31" s="64" cm="1">
        <f t="array" ref="AN31">IFERROR(INDEX('Offer Statistics'!BF$2:BF$400,MATCH(1,($A31='Offer Statistics'!$BB$2:$BB$400)*($AC$2='Offer Statistics'!$BC$2:$BC$400),0)),"/")</f>
        <v>123</v>
      </c>
      <c r="AO31" s="64" cm="1">
        <f t="array" ref="AO31">IFERROR(INDEX('Offer Statistics'!BG$2:BG$400,MATCH(1,($A31='Offer Statistics'!$BB$2:$BB$400)*($AC$2='Offer Statistics'!$BC$2:$BC$400),0)),"/")</f>
        <v>182</v>
      </c>
      <c r="AP31" s="64" cm="1">
        <f t="array" ref="AP31">IFERROR(INDEX('Offer Statistics'!BH$2:BH$400,MATCH(1,($A31='Offer Statistics'!$BB$2:$BB$400)*($AC$2='Offer Statistics'!$BC$2:$BC$400),0)),"/")</f>
        <v>186</v>
      </c>
      <c r="AQ31" s="15"/>
      <c r="AR31" s="15" t="str">
        <f t="shared" si="3"/>
        <v>JS4386</v>
      </c>
    </row>
    <row r="32" spans="1:44" s="10" customFormat="1" ht="18" customHeight="1">
      <c r="A32" s="4" t="str">
        <f>'Reference Score Calculation'!A158</f>
        <v>JS4408</v>
      </c>
      <c r="B32" s="4" t="str">
        <f>'Reference Score Calculation'!C158</f>
        <v>工程學院</v>
      </c>
      <c r="C32" s="4" t="str">
        <f>'Reference Score Calculation'!D158</f>
        <v>機械與自動化工程學</v>
      </c>
      <c r="D32" s="4" t="str">
        <f>'Reference Score Calculation'!R158</f>
        <v>MAEG</v>
      </c>
      <c r="E32" s="392" t="str">
        <f>'Reference Score Calculation'!AB158</f>
        <v>Best 5</v>
      </c>
      <c r="F32" s="397" t="str">
        <f>'Reference Score Calculation'!E158</f>
        <v>Best 5</v>
      </c>
      <c r="G32" s="6">
        <f>'Reference Score Calculation'!G158</f>
        <v>30</v>
      </c>
      <c r="H32" s="6">
        <f>'Reference Score Calculation'!H158</f>
        <v>27.5</v>
      </c>
      <c r="I32" s="6">
        <f>'Reference Score Calculation'!I158</f>
        <v>26</v>
      </c>
      <c r="J32" s="45">
        <f>計分版!J181</f>
        <v>4.1000000000000003E-9</v>
      </c>
      <c r="K32" s="25">
        <f t="shared" si="0"/>
        <v>-27.499999995900001</v>
      </c>
      <c r="L32" s="26">
        <f t="shared" si="1"/>
        <v>-6707317072.1707315</v>
      </c>
      <c r="M32" s="36">
        <f>'Reference Score Calculation'!T158</f>
        <v>53</v>
      </c>
      <c r="N32" s="86">
        <f>入學要求!Z167</f>
        <v>0</v>
      </c>
      <c r="O32" s="516"/>
      <c r="P32" s="166">
        <f>入學要求!L167</f>
        <v>3</v>
      </c>
      <c r="Q32" s="166">
        <f>入學要求!M167</f>
        <v>3</v>
      </c>
      <c r="R32" s="166">
        <f>入學要求!N167</f>
        <v>3</v>
      </c>
      <c r="S32" s="166">
        <f>入學要求!O167</f>
        <v>1</v>
      </c>
      <c r="T32" s="166">
        <f>入學要求!P167</f>
        <v>3</v>
      </c>
      <c r="U32" s="166">
        <f>入學要求!Q167</f>
        <v>3</v>
      </c>
      <c r="V32" s="256">
        <f>入學要求!S167</f>
        <v>0</v>
      </c>
      <c r="W32" s="256">
        <f>入學要求!T167</f>
        <v>0</v>
      </c>
      <c r="X32" s="256">
        <f>入學要求!U167</f>
        <v>0</v>
      </c>
      <c r="Y32" s="256">
        <f>入學要求!V167</f>
        <v>0</v>
      </c>
      <c r="Z32" s="256">
        <f>入學要求!W167</f>
        <v>0</v>
      </c>
      <c r="AA32" s="256">
        <f>入學要求!X167</f>
        <v>0</v>
      </c>
      <c r="AB32" s="36">
        <f t="shared" si="2"/>
        <v>8.0399999999999991</v>
      </c>
      <c r="AC32" s="510"/>
      <c r="AD32" s="36" cm="1">
        <f t="array" ref="AD32">IFERROR(INDEX('Offer Statistics'!$BQ$2:$BQ$400,MATCH(1,($A32='Offer Statistics'!$BB$2:$BB$400)*($AC$2='Offer Statistics'!$BC$2:$BC$400),0)),"/")</f>
        <v>47</v>
      </c>
      <c r="AE32" s="64" cm="1">
        <f t="array" ref="AE32">IFERROR(INDEX('Offer Statistics'!BL$2:BL$400,MATCH(1,($A32='Offer Statistics'!$BB$2:$BB$400)*($AC$2='Offer Statistics'!$BC$2:$BC$400),0)),"/")</f>
        <v>47</v>
      </c>
      <c r="AF32" s="64" cm="1">
        <f t="array" ref="AF32">IFERROR(INDEX('Offer Statistics'!BM$2:BM$400,MATCH(1,($A32='Offer Statistics'!$BB$2:$BB$400)*($AC$2='Offer Statistics'!$BC$2:$BC$400),0)),"/")</f>
        <v>0</v>
      </c>
      <c r="AG32" s="64" cm="1">
        <f t="array" ref="AG32">IFERROR(INDEX('Offer Statistics'!BN$2:BN$400,MATCH(1,($A32='Offer Statistics'!$BB$2:$BB$400)*($AC$2='Offer Statistics'!$BC$2:$BC$400),0)),"/")</f>
        <v>0</v>
      </c>
      <c r="AH32" s="64" cm="1">
        <f t="array" ref="AH32">IFERROR(INDEX('Offer Statistics'!BO$2:BO$400,MATCH(1,($A32='Offer Statistics'!$BB$2:$BB$400)*($AC$2='Offer Statistics'!$BC$2:$BC$400),0)),"/")</f>
        <v>0</v>
      </c>
      <c r="AI32" s="64" cm="1">
        <f t="array" ref="AI32">IFERROR(INDEX('Offer Statistics'!BP$2:BP$400,MATCH(1,($A32='Offer Statistics'!$BB$2:$BB$400)*($AC$2='Offer Statistics'!$BC$2:$BC$400),0)),"/")</f>
        <v>0</v>
      </c>
      <c r="AJ32" s="511"/>
      <c r="AK32" s="36" cm="1">
        <f t="array" ref="AK32">IFERROR(INDEX('Offer Statistics'!$BI$2:$BI$400,MATCH(1,($A32='Offer Statistics'!$BB$2:$BB$400)*($AC$2='Offer Statistics'!$BC$2:$BC$400),0)),"/")</f>
        <v>2464</v>
      </c>
      <c r="AL32" s="64" cm="1">
        <f t="array" ref="AL32">IFERROR(INDEX('Offer Statistics'!BD$2:BD$400,MATCH(1,($A32='Offer Statistics'!$BB$2:$BB$400)*($AC$2='Offer Statistics'!$BC$2:$BC$400),0)),"/")</f>
        <v>378</v>
      </c>
      <c r="AM32" s="64" cm="1">
        <f t="array" ref="AM32">IFERROR(INDEX('Offer Statistics'!BE$2:BE$400,MATCH(1,($A32='Offer Statistics'!$BB$2:$BB$400)*($AC$2='Offer Statistics'!$BC$2:$BC$400),0)),"/")</f>
        <v>417</v>
      </c>
      <c r="AN32" s="64" cm="1">
        <f t="array" ref="AN32">IFERROR(INDEX('Offer Statistics'!BF$2:BF$400,MATCH(1,($A32='Offer Statistics'!$BB$2:$BB$400)*($AC$2='Offer Statistics'!$BC$2:$BC$400),0)),"/")</f>
        <v>529</v>
      </c>
      <c r="AO32" s="64" cm="1">
        <f t="array" ref="AO32">IFERROR(INDEX('Offer Statistics'!BG$2:BG$400,MATCH(1,($A32='Offer Statistics'!$BB$2:$BB$400)*($AC$2='Offer Statistics'!$BC$2:$BC$400),0)),"/")</f>
        <v>646</v>
      </c>
      <c r="AP32" s="64" cm="1">
        <f t="array" ref="AP32">IFERROR(INDEX('Offer Statistics'!BH$2:BH$400,MATCH(1,($A32='Offer Statistics'!$BB$2:$BB$400)*($AC$2='Offer Statistics'!$BC$2:$BC$400),0)),"/")</f>
        <v>494</v>
      </c>
      <c r="AQ32" s="15"/>
      <c r="AR32" s="15" t="str">
        <f t="shared" si="3"/>
        <v>JS4408</v>
      </c>
    </row>
    <row r="33" spans="1:44" ht="18" customHeight="1">
      <c r="A33" s="4" t="str">
        <f>'Reference Score Calculation'!A159</f>
        <v>JS4412</v>
      </c>
      <c r="B33" s="4" t="str">
        <f>'Reference Score Calculation'!C159</f>
        <v>工程學院</v>
      </c>
      <c r="C33" s="4" t="str">
        <f>'Reference Score Calculation'!D159</f>
        <v>計算機科學與工程</v>
      </c>
      <c r="D33" s="4" t="str">
        <f>'Reference Score Calculation'!R159</f>
        <v>COMPUTER SCI &amp; ENG</v>
      </c>
      <c r="E33" s="392" t="str">
        <f>'Reference Score Calculation'!AB159</f>
        <v>Best 5</v>
      </c>
      <c r="F33" s="397" t="str">
        <f>'Reference Score Calculation'!E159</f>
        <v>Best 5</v>
      </c>
      <c r="G33" s="6">
        <f>'Reference Score Calculation'!G159</f>
        <v>45.875</v>
      </c>
      <c r="H33" s="6">
        <f>'Reference Score Calculation'!H159</f>
        <v>42.5</v>
      </c>
      <c r="I33" s="6">
        <f>'Reference Score Calculation'!I159</f>
        <v>39.875</v>
      </c>
      <c r="J33" s="45">
        <f>計分版!J182</f>
        <v>4.2250000000000006E-9</v>
      </c>
      <c r="K33" s="25">
        <f t="shared" si="0"/>
        <v>-42.499999995774999</v>
      </c>
      <c r="L33" s="26">
        <f t="shared" si="1"/>
        <v>-10059171596.633135</v>
      </c>
      <c r="M33" s="36">
        <f>'Reference Score Calculation'!T159</f>
        <v>107</v>
      </c>
      <c r="N33" s="86">
        <f>入學要求!Z168</f>
        <v>0</v>
      </c>
      <c r="O33" s="516"/>
      <c r="P33" s="166">
        <f>入學要求!L168</f>
        <v>3</v>
      </c>
      <c r="Q33" s="166">
        <f>入學要求!M168</f>
        <v>3</v>
      </c>
      <c r="R33" s="166">
        <f>入學要求!N168</f>
        <v>4</v>
      </c>
      <c r="S33" s="166">
        <f>入學要求!O168</f>
        <v>1</v>
      </c>
      <c r="T33" s="166">
        <f>入學要求!P168</f>
        <v>3</v>
      </c>
      <c r="U33" s="166">
        <f>入學要求!Q168</f>
        <v>3</v>
      </c>
      <c r="V33" s="256">
        <f>入學要求!S168</f>
        <v>0</v>
      </c>
      <c r="W33" s="256">
        <f>入學要求!T168</f>
        <v>0</v>
      </c>
      <c r="X33" s="256">
        <f>入學要求!U168</f>
        <v>0</v>
      </c>
      <c r="Y33" s="256">
        <f>入學要求!V168</f>
        <v>0</v>
      </c>
      <c r="Z33" s="256">
        <f>入學要求!W168</f>
        <v>0</v>
      </c>
      <c r="AA33" s="256">
        <f>入學要求!X168</f>
        <v>0</v>
      </c>
      <c r="AB33" s="36">
        <f t="shared" si="2"/>
        <v>4.95</v>
      </c>
      <c r="AC33" s="510"/>
      <c r="AD33" s="36" cm="1">
        <f t="array" ref="AD33">IFERROR(INDEX('Offer Statistics'!$BQ$2:$BQ$400,MATCH(1,($A33='Offer Statistics'!$BB$2:$BB$400)*($AC$2='Offer Statistics'!$BC$2:$BC$400),0)),"/")</f>
        <v>123</v>
      </c>
      <c r="AE33" s="64" cm="1">
        <f t="array" ref="AE33">IFERROR(INDEX('Offer Statistics'!BL$2:BL$400,MATCH(1,($A33='Offer Statistics'!$BB$2:$BB$400)*($AC$2='Offer Statistics'!$BC$2:$BC$400),0)),"/")</f>
        <v>123</v>
      </c>
      <c r="AF33" s="64" cm="1">
        <f t="array" ref="AF33">IFERROR(INDEX('Offer Statistics'!BM$2:BM$400,MATCH(1,($A33='Offer Statistics'!$BB$2:$BB$400)*($AC$2='Offer Statistics'!$BC$2:$BC$400),0)),"/")</f>
        <v>0</v>
      </c>
      <c r="AG33" s="64" cm="1">
        <f t="array" ref="AG33">IFERROR(INDEX('Offer Statistics'!BN$2:BN$400,MATCH(1,($A33='Offer Statistics'!$BB$2:$BB$400)*($AC$2='Offer Statistics'!$BC$2:$BC$400),0)),"/")</f>
        <v>0</v>
      </c>
      <c r="AH33" s="64" cm="1">
        <f t="array" ref="AH33">IFERROR(INDEX('Offer Statistics'!BO$2:BO$400,MATCH(1,($A33='Offer Statistics'!$BB$2:$BB$400)*($AC$2='Offer Statistics'!$BC$2:$BC$400),0)),"/")</f>
        <v>0</v>
      </c>
      <c r="AI33" s="64" cm="1">
        <f t="array" ref="AI33">IFERROR(INDEX('Offer Statistics'!BP$2:BP$400,MATCH(1,($A33='Offer Statistics'!$BB$2:$BB$400)*($AC$2='Offer Statistics'!$BC$2:$BC$400),0)),"/")</f>
        <v>0</v>
      </c>
      <c r="AJ33" s="511"/>
      <c r="AK33" s="36" cm="1">
        <f t="array" ref="AK33">IFERROR(INDEX('Offer Statistics'!$BI$2:$BI$400,MATCH(1,($A33='Offer Statistics'!$BB$2:$BB$400)*($AC$2='Offer Statistics'!$BC$2:$BC$400),0)),"/")</f>
        <v>2375</v>
      </c>
      <c r="AL33" s="64" cm="1">
        <f t="array" ref="AL33">IFERROR(INDEX('Offer Statistics'!BD$2:BD$400,MATCH(1,($A33='Offer Statistics'!$BB$2:$BB$400)*($AC$2='Offer Statistics'!$BC$2:$BC$400),0)),"/")</f>
        <v>609</v>
      </c>
      <c r="AM33" s="64" cm="1">
        <f t="array" ref="AM33">IFERROR(INDEX('Offer Statistics'!BE$2:BE$400,MATCH(1,($A33='Offer Statistics'!$BB$2:$BB$400)*($AC$2='Offer Statistics'!$BC$2:$BC$400),0)),"/")</f>
        <v>372</v>
      </c>
      <c r="AN33" s="64" cm="1">
        <f t="array" ref="AN33">IFERROR(INDEX('Offer Statistics'!BF$2:BF$400,MATCH(1,($A33='Offer Statistics'!$BB$2:$BB$400)*($AC$2='Offer Statistics'!$BC$2:$BC$400),0)),"/")</f>
        <v>510</v>
      </c>
      <c r="AO33" s="64" cm="1">
        <f t="array" ref="AO33">IFERROR(INDEX('Offer Statistics'!BG$2:BG$400,MATCH(1,($A33='Offer Statistics'!$BB$2:$BB$400)*($AC$2='Offer Statistics'!$BC$2:$BC$400),0)),"/")</f>
        <v>472</v>
      </c>
      <c r="AP33" s="64" cm="1">
        <f t="array" ref="AP33">IFERROR(INDEX('Offer Statistics'!BH$2:BH$400,MATCH(1,($A33='Offer Statistics'!$BB$2:$BB$400)*($AC$2='Offer Statistics'!$BC$2:$BC$400),0)),"/")</f>
        <v>412</v>
      </c>
      <c r="AQ33" s="15"/>
      <c r="AR33" s="15" t="str">
        <f t="shared" si="3"/>
        <v>JS4412</v>
      </c>
    </row>
    <row r="34" spans="1:44" s="10" customFormat="1" ht="18" customHeight="1">
      <c r="A34" s="4" t="str">
        <f>'Reference Score Calculation'!A160</f>
        <v>JS4416</v>
      </c>
      <c r="B34" s="4" t="str">
        <f>'Reference Score Calculation'!C160</f>
        <v>工程學院/理學院</v>
      </c>
      <c r="C34" s="4" t="str">
        <f>'Reference Score Calculation'!D160</f>
        <v>計算數據科學</v>
      </c>
      <c r="D34" s="4" t="str">
        <f>'Reference Score Calculation'!R160</f>
        <v>CDAS</v>
      </c>
      <c r="E34" s="392" t="str">
        <f>'Reference Score Calculation'!AB160</f>
        <v>Best 5</v>
      </c>
      <c r="F34" s="397" t="str">
        <f>'Reference Score Calculation'!E160</f>
        <v>Best 5</v>
      </c>
      <c r="G34" s="6">
        <f>'Reference Score Calculation'!G160</f>
        <v>65</v>
      </c>
      <c r="H34" s="6">
        <f>'Reference Score Calculation'!H160</f>
        <v>61.25</v>
      </c>
      <c r="I34" s="6">
        <f>'Reference Score Calculation'!I160</f>
        <v>60</v>
      </c>
      <c r="J34" s="45">
        <f>計分版!J183</f>
        <v>4.3500000000000001E-9</v>
      </c>
      <c r="K34" s="25">
        <f t="shared" si="0"/>
        <v>-61.249999995650001</v>
      </c>
      <c r="L34" s="26">
        <f t="shared" si="1"/>
        <v>-14080459769.114943</v>
      </c>
      <c r="M34" s="36">
        <f>'Reference Score Calculation'!T160</f>
        <v>20</v>
      </c>
      <c r="N34" s="86">
        <f>入學要求!Z169</f>
        <v>0</v>
      </c>
      <c r="O34" s="516"/>
      <c r="P34" s="166">
        <f>入學要求!L169</f>
        <v>3</v>
      </c>
      <c r="Q34" s="166">
        <f>入學要求!M169</f>
        <v>4</v>
      </c>
      <c r="R34" s="166">
        <f>入學要求!N169</f>
        <v>4</v>
      </c>
      <c r="S34" s="166">
        <f>入學要求!O169</f>
        <v>1</v>
      </c>
      <c r="T34" s="166">
        <f>入學要求!P169</f>
        <v>3</v>
      </c>
      <c r="U34" s="166">
        <f>入學要求!Q169</f>
        <v>3</v>
      </c>
      <c r="V34" s="256">
        <f>入學要求!S169</f>
        <v>0</v>
      </c>
      <c r="W34" s="256">
        <f>入學要求!T169</f>
        <v>0</v>
      </c>
      <c r="X34" s="256">
        <f>入學要求!U169</f>
        <v>0</v>
      </c>
      <c r="Y34" s="256">
        <f>入學要求!V169</f>
        <v>0</v>
      </c>
      <c r="Z34" s="256">
        <f>入學要求!W169</f>
        <v>0</v>
      </c>
      <c r="AA34" s="256">
        <f>入學要求!X169</f>
        <v>0</v>
      </c>
      <c r="AB34" s="36">
        <f t="shared" si="2"/>
        <v>6.17</v>
      </c>
      <c r="AC34" s="510"/>
      <c r="AD34" s="36" cm="1">
        <f t="array" ref="AD34">IFERROR(INDEX('Offer Statistics'!$BQ$2:$BQ$400,MATCH(1,($A34='Offer Statistics'!$BB$2:$BB$400)*($AC$2='Offer Statistics'!$BC$2:$BC$400),0)),"/")</f>
        <v>12</v>
      </c>
      <c r="AE34" s="64" cm="1">
        <f t="array" ref="AE34">IFERROR(INDEX('Offer Statistics'!BL$2:BL$400,MATCH(1,($A34='Offer Statistics'!$BB$2:$BB$400)*($AC$2='Offer Statistics'!$BC$2:$BC$400),0)),"/")</f>
        <v>12</v>
      </c>
      <c r="AF34" s="64" cm="1">
        <f t="array" ref="AF34">IFERROR(INDEX('Offer Statistics'!BM$2:BM$400,MATCH(1,($A34='Offer Statistics'!$BB$2:$BB$400)*($AC$2='Offer Statistics'!$BC$2:$BC$400),0)),"/")</f>
        <v>0</v>
      </c>
      <c r="AG34" s="64" cm="1">
        <f t="array" ref="AG34">IFERROR(INDEX('Offer Statistics'!BN$2:BN$400,MATCH(1,($A34='Offer Statistics'!$BB$2:$BB$400)*($AC$2='Offer Statistics'!$BC$2:$BC$400),0)),"/")</f>
        <v>0</v>
      </c>
      <c r="AH34" s="64" cm="1">
        <f t="array" ref="AH34">IFERROR(INDEX('Offer Statistics'!BO$2:BO$400,MATCH(1,($A34='Offer Statistics'!$BB$2:$BB$400)*($AC$2='Offer Statistics'!$BC$2:$BC$400),0)),"/")</f>
        <v>0</v>
      </c>
      <c r="AI34" s="64" cm="1">
        <f t="array" ref="AI34">IFERROR(INDEX('Offer Statistics'!BP$2:BP$400,MATCH(1,($A34='Offer Statistics'!$BB$2:$BB$400)*($AC$2='Offer Statistics'!$BC$2:$BC$400),0)),"/")</f>
        <v>0</v>
      </c>
      <c r="AJ34" s="511"/>
      <c r="AK34" s="36" cm="1">
        <f t="array" ref="AK34">IFERROR(INDEX('Offer Statistics'!$BI$2:$BI$400,MATCH(1,($A34='Offer Statistics'!$BB$2:$BB$400)*($AC$2='Offer Statistics'!$BC$2:$BC$400),0)),"/")</f>
        <v>1066</v>
      </c>
      <c r="AL34" s="64" cm="1">
        <f t="array" ref="AL34">IFERROR(INDEX('Offer Statistics'!BD$2:BD$400,MATCH(1,($A34='Offer Statistics'!$BB$2:$BB$400)*($AC$2='Offer Statistics'!$BC$2:$BC$400),0)),"/")</f>
        <v>74</v>
      </c>
      <c r="AM34" s="64" cm="1">
        <f t="array" ref="AM34">IFERROR(INDEX('Offer Statistics'!BE$2:BE$400,MATCH(1,($A34='Offer Statistics'!$BB$2:$BB$400)*($AC$2='Offer Statistics'!$BC$2:$BC$400),0)),"/")</f>
        <v>138</v>
      </c>
      <c r="AN34" s="64" cm="1">
        <f t="array" ref="AN34">IFERROR(INDEX('Offer Statistics'!BF$2:BF$400,MATCH(1,($A34='Offer Statistics'!$BB$2:$BB$400)*($AC$2='Offer Statistics'!$BC$2:$BC$400),0)),"/")</f>
        <v>243</v>
      </c>
      <c r="AO34" s="64" cm="1">
        <f t="array" ref="AO34">IFERROR(INDEX('Offer Statistics'!BG$2:BG$400,MATCH(1,($A34='Offer Statistics'!$BB$2:$BB$400)*($AC$2='Offer Statistics'!$BC$2:$BC$400),0)),"/")</f>
        <v>341</v>
      </c>
      <c r="AP34" s="64" cm="1">
        <f t="array" ref="AP34">IFERROR(INDEX('Offer Statistics'!BH$2:BH$400,MATCH(1,($A34='Offer Statistics'!$BB$2:$BB$400)*($AC$2='Offer Statistics'!$BC$2:$BC$400),0)),"/")</f>
        <v>270</v>
      </c>
      <c r="AQ34" s="15"/>
      <c r="AR34" s="15" t="str">
        <f t="shared" si="3"/>
        <v>JS4416</v>
      </c>
    </row>
    <row r="35" spans="1:44" ht="18" customHeight="1">
      <c r="A35" s="4" t="str">
        <f>'Reference Score Calculation'!A161</f>
        <v>JS4428</v>
      </c>
      <c r="B35" s="4" t="str">
        <f>'Reference Score Calculation'!C161</f>
        <v>工程學院</v>
      </c>
      <c r="C35" s="4" t="str">
        <f>'Reference Score Calculation'!D161</f>
        <v>金融科技學</v>
      </c>
      <c r="D35" s="4" t="str">
        <f>'Reference Score Calculation'!R161</f>
        <v>BENG FINTECH</v>
      </c>
      <c r="E35" s="392" t="str">
        <f>'Reference Score Calculation'!AB161</f>
        <v>Best 5</v>
      </c>
      <c r="F35" s="397" t="str">
        <f>'Reference Score Calculation'!E161</f>
        <v>Best 5</v>
      </c>
      <c r="G35" s="6">
        <f>'Reference Score Calculation'!G161</f>
        <v>48.875</v>
      </c>
      <c r="H35" s="6">
        <f>'Reference Score Calculation'!H161</f>
        <v>46.5</v>
      </c>
      <c r="I35" s="6">
        <f>'Reference Score Calculation'!I161</f>
        <v>43.75</v>
      </c>
      <c r="J35" s="45">
        <f>計分版!J184</f>
        <v>4.2250000000000006E-9</v>
      </c>
      <c r="K35" s="25">
        <f t="shared" si="0"/>
        <v>-46.499999995774999</v>
      </c>
      <c r="L35" s="26">
        <f t="shared" si="1"/>
        <v>-11005917158.763311</v>
      </c>
      <c r="M35" s="36">
        <f>'Reference Score Calculation'!T161</f>
        <v>35</v>
      </c>
      <c r="N35" s="86">
        <f>入學要求!Z170</f>
        <v>0</v>
      </c>
      <c r="O35" s="516"/>
      <c r="P35" s="166">
        <f>入學要求!L170</f>
        <v>3</v>
      </c>
      <c r="Q35" s="166">
        <f>入學要求!M170</f>
        <v>3</v>
      </c>
      <c r="R35" s="166">
        <f>入學要求!N170</f>
        <v>4</v>
      </c>
      <c r="S35" s="166">
        <f>入學要求!O170</f>
        <v>1</v>
      </c>
      <c r="T35" s="166">
        <f>入學要求!P170</f>
        <v>3</v>
      </c>
      <c r="U35" s="166">
        <f>入學要求!Q170</f>
        <v>3</v>
      </c>
      <c r="V35" s="256">
        <f>入學要求!S170</f>
        <v>0</v>
      </c>
      <c r="W35" s="256">
        <f>入學要求!T170</f>
        <v>0</v>
      </c>
      <c r="X35" s="256">
        <f>入學要求!U170</f>
        <v>0</v>
      </c>
      <c r="Y35" s="256">
        <f>入學要求!V170</f>
        <v>0</v>
      </c>
      <c r="Z35" s="256">
        <f>入學要求!W170</f>
        <v>0</v>
      </c>
      <c r="AA35" s="256">
        <f>入學要求!X170</f>
        <v>0</v>
      </c>
      <c r="AB35" s="36">
        <f t="shared" si="2"/>
        <v>3.24</v>
      </c>
      <c r="AC35" s="510"/>
      <c r="AD35" s="36" cm="1">
        <f t="array" ref="AD35">IFERROR(INDEX('Offer Statistics'!$BQ$2:$BQ$400,MATCH(1,($A35='Offer Statistics'!$BB$2:$BB$400)*($AC$2='Offer Statistics'!$BC$2:$BC$400),0)),"/")</f>
        <v>41</v>
      </c>
      <c r="AE35" s="64" cm="1">
        <f t="array" ref="AE35">IFERROR(INDEX('Offer Statistics'!BL$2:BL$400,MATCH(1,($A35='Offer Statistics'!$BB$2:$BB$400)*($AC$2='Offer Statistics'!$BC$2:$BC$400),0)),"/")</f>
        <v>41</v>
      </c>
      <c r="AF35" s="64" cm="1">
        <f t="array" ref="AF35">IFERROR(INDEX('Offer Statistics'!BM$2:BM$400,MATCH(1,($A35='Offer Statistics'!$BB$2:$BB$400)*($AC$2='Offer Statistics'!$BC$2:$BC$400),0)),"/")</f>
        <v>0</v>
      </c>
      <c r="AG35" s="64" cm="1">
        <f t="array" ref="AG35">IFERROR(INDEX('Offer Statistics'!BN$2:BN$400,MATCH(1,($A35='Offer Statistics'!$BB$2:$BB$400)*($AC$2='Offer Statistics'!$BC$2:$BC$400),0)),"/")</f>
        <v>0</v>
      </c>
      <c r="AH35" s="64" cm="1">
        <f t="array" ref="AH35">IFERROR(INDEX('Offer Statistics'!BO$2:BO$400,MATCH(1,($A35='Offer Statistics'!$BB$2:$BB$400)*($AC$2='Offer Statistics'!$BC$2:$BC$400),0)),"/")</f>
        <v>0</v>
      </c>
      <c r="AI35" s="64" cm="1">
        <f t="array" ref="AI35">IFERROR(INDEX('Offer Statistics'!BP$2:BP$400,MATCH(1,($A35='Offer Statistics'!$BB$2:$BB$400)*($AC$2='Offer Statistics'!$BC$2:$BC$400),0)),"/")</f>
        <v>0</v>
      </c>
      <c r="AJ35" s="511"/>
      <c r="AK35" s="36" cm="1">
        <f t="array" ref="AK35">IFERROR(INDEX('Offer Statistics'!$BI$2:$BI$400,MATCH(1,($A35='Offer Statistics'!$BB$2:$BB$400)*($AC$2='Offer Statistics'!$BC$2:$BC$400),0)),"/")</f>
        <v>995</v>
      </c>
      <c r="AL35" s="64" cm="1">
        <f t="array" ref="AL35">IFERROR(INDEX('Offer Statistics'!BD$2:BD$400,MATCH(1,($A35='Offer Statistics'!$BB$2:$BB$400)*($AC$2='Offer Statistics'!$BC$2:$BC$400),0)),"/")</f>
        <v>133</v>
      </c>
      <c r="AM35" s="64" cm="1">
        <f t="array" ref="AM35">IFERROR(INDEX('Offer Statistics'!BE$2:BE$400,MATCH(1,($A35='Offer Statistics'!$BB$2:$BB$400)*($AC$2='Offer Statistics'!$BC$2:$BC$400),0)),"/")</f>
        <v>110</v>
      </c>
      <c r="AN35" s="64" cm="1">
        <f t="array" ref="AN35">IFERROR(INDEX('Offer Statistics'!BF$2:BF$400,MATCH(1,($A35='Offer Statistics'!$BB$2:$BB$400)*($AC$2='Offer Statistics'!$BC$2:$BC$400),0)),"/")</f>
        <v>228</v>
      </c>
      <c r="AO35" s="64" cm="1">
        <f t="array" ref="AO35">IFERROR(INDEX('Offer Statistics'!BG$2:BG$400,MATCH(1,($A35='Offer Statistics'!$BB$2:$BB$400)*($AC$2='Offer Statistics'!$BC$2:$BC$400),0)),"/")</f>
        <v>266</v>
      </c>
      <c r="AP35" s="64" cm="1">
        <f t="array" ref="AP35">IFERROR(INDEX('Offer Statistics'!BH$2:BH$400,MATCH(1,($A35='Offer Statistics'!$BB$2:$BB$400)*($AC$2='Offer Statistics'!$BC$2:$BC$400),0)),"/")</f>
        <v>258</v>
      </c>
      <c r="AQ35" s="15"/>
      <c r="AR35" s="15" t="str">
        <f t="shared" si="3"/>
        <v>JS4428</v>
      </c>
    </row>
    <row r="36" spans="1:44" s="10" customFormat="1" ht="18" customHeight="1">
      <c r="A36" s="4" t="str">
        <f>'Reference Score Calculation'!A162</f>
        <v>JS4434</v>
      </c>
      <c r="B36" s="4" t="str">
        <f>'Reference Score Calculation'!C162</f>
        <v>工程學院</v>
      </c>
      <c r="C36" s="4" t="str">
        <f>'Reference Score Calculation'!D162</f>
        <v>電子工程學</v>
      </c>
      <c r="D36" s="4" t="str">
        <f>'Reference Score Calculation'!R162</f>
        <v>ELEG</v>
      </c>
      <c r="E36" s="392" t="str">
        <f>'Reference Score Calculation'!AB162</f>
        <v>Best 5</v>
      </c>
      <c r="F36" s="394" t="str">
        <f>'Reference Score Calculation'!E162</f>
        <v>Best 5</v>
      </c>
      <c r="G36" s="6">
        <f>'Reference Score Calculation'!G162</f>
        <v>29.5</v>
      </c>
      <c r="H36" s="6">
        <f>'Reference Score Calculation'!H162</f>
        <v>28</v>
      </c>
      <c r="I36" s="6">
        <f>'Reference Score Calculation'!I162</f>
        <v>26.5</v>
      </c>
      <c r="J36" s="45">
        <f>計分版!J185</f>
        <v>4.1000000000000003E-9</v>
      </c>
      <c r="K36" s="25">
        <f t="shared" si="0"/>
        <v>-27.999999995900001</v>
      </c>
      <c r="L36" s="26">
        <f t="shared" si="1"/>
        <v>-6829268291.6829262</v>
      </c>
      <c r="M36" s="36">
        <f>'Reference Score Calculation'!T162</f>
        <v>53</v>
      </c>
      <c r="N36" s="86">
        <f>入學要求!Z171</f>
        <v>0</v>
      </c>
      <c r="O36" s="516"/>
      <c r="P36" s="166">
        <f>入學要求!L171</f>
        <v>3</v>
      </c>
      <c r="Q36" s="166">
        <f>入學要求!M171</f>
        <v>3</v>
      </c>
      <c r="R36" s="166">
        <f>入學要求!N171</f>
        <v>3</v>
      </c>
      <c r="S36" s="166">
        <f>入學要求!O171</f>
        <v>1</v>
      </c>
      <c r="T36" s="166">
        <f>入學要求!P171</f>
        <v>3</v>
      </c>
      <c r="U36" s="166">
        <f>入學要求!Q171</f>
        <v>3</v>
      </c>
      <c r="V36" s="256">
        <f>入學要求!S171</f>
        <v>0</v>
      </c>
      <c r="W36" s="256">
        <f>入學要求!T171</f>
        <v>0</v>
      </c>
      <c r="X36" s="256">
        <f>入學要求!U171</f>
        <v>0</v>
      </c>
      <c r="Y36" s="256">
        <f>入學要求!V171</f>
        <v>0</v>
      </c>
      <c r="Z36" s="256">
        <f>入學要求!W171</f>
        <v>0</v>
      </c>
      <c r="AA36" s="256">
        <f>入學要求!X171</f>
        <v>0</v>
      </c>
      <c r="AB36" s="36">
        <f t="shared" si="2"/>
        <v>7.25</v>
      </c>
      <c r="AC36" s="510"/>
      <c r="AD36" s="36" cm="1">
        <f t="array" ref="AD36">IFERROR(INDEX('Offer Statistics'!$BQ$2:$BQ$400,MATCH(1,($A36='Offer Statistics'!$BB$2:$BB$400)*($AC$2='Offer Statistics'!$BC$2:$BC$400),0)),"/")</f>
        <v>48</v>
      </c>
      <c r="AE36" s="64" cm="1">
        <f t="array" ref="AE36">IFERROR(INDEX('Offer Statistics'!BL$2:BL$400,MATCH(1,($A36='Offer Statistics'!$BB$2:$BB$400)*($AC$2='Offer Statistics'!$BC$2:$BC$400),0)),"/")</f>
        <v>48</v>
      </c>
      <c r="AF36" s="64" cm="1">
        <f t="array" ref="AF36">IFERROR(INDEX('Offer Statistics'!BM$2:BM$400,MATCH(1,($A36='Offer Statistics'!$BB$2:$BB$400)*($AC$2='Offer Statistics'!$BC$2:$BC$400),0)),"/")</f>
        <v>0</v>
      </c>
      <c r="AG36" s="64" cm="1">
        <f t="array" ref="AG36">IFERROR(INDEX('Offer Statistics'!BN$2:BN$400,MATCH(1,($A36='Offer Statistics'!$BB$2:$BB$400)*($AC$2='Offer Statistics'!$BC$2:$BC$400),0)),"/")</f>
        <v>0</v>
      </c>
      <c r="AH36" s="64" cm="1">
        <f t="array" ref="AH36">IFERROR(INDEX('Offer Statistics'!BO$2:BO$400,MATCH(1,($A36='Offer Statistics'!$BB$2:$BB$400)*($AC$2='Offer Statistics'!$BC$2:$BC$400),0)),"/")</f>
        <v>0</v>
      </c>
      <c r="AI36" s="64" cm="1">
        <f t="array" ref="AI36">IFERROR(INDEX('Offer Statistics'!BP$2:BP$400,MATCH(1,($A36='Offer Statistics'!$BB$2:$BB$400)*($AC$2='Offer Statistics'!$BC$2:$BC$400),0)),"/")</f>
        <v>0</v>
      </c>
      <c r="AJ36" s="511"/>
      <c r="AK36" s="36" cm="1">
        <f t="array" ref="AK36">IFERROR(INDEX('Offer Statistics'!$BI$2:$BI$400,MATCH(1,($A36='Offer Statistics'!$BB$2:$BB$400)*($AC$2='Offer Statistics'!$BC$2:$BC$400),0)),"/")</f>
        <v>2724</v>
      </c>
      <c r="AL36" s="64" cm="1">
        <f t="array" ref="AL36">IFERROR(INDEX('Offer Statistics'!BD$2:BD$400,MATCH(1,($A36='Offer Statistics'!$BB$2:$BB$400)*($AC$2='Offer Statistics'!$BC$2:$BC$400),0)),"/")</f>
        <v>348</v>
      </c>
      <c r="AM36" s="64" cm="1">
        <f t="array" ref="AM36">IFERROR(INDEX('Offer Statistics'!BE$2:BE$400,MATCH(1,($A36='Offer Statistics'!$BB$2:$BB$400)*($AC$2='Offer Statistics'!$BC$2:$BC$400),0)),"/")</f>
        <v>394</v>
      </c>
      <c r="AN36" s="64" cm="1">
        <f t="array" ref="AN36">IFERROR(INDEX('Offer Statistics'!BF$2:BF$400,MATCH(1,($A36='Offer Statistics'!$BB$2:$BB$400)*($AC$2='Offer Statistics'!$BC$2:$BC$400),0)),"/")</f>
        <v>644</v>
      </c>
      <c r="AO36" s="64" cm="1">
        <f t="array" ref="AO36">IFERROR(INDEX('Offer Statistics'!BG$2:BG$400,MATCH(1,($A36='Offer Statistics'!$BB$2:$BB$400)*($AC$2='Offer Statistics'!$BC$2:$BC$400),0)),"/")</f>
        <v>772</v>
      </c>
      <c r="AP36" s="64" cm="1">
        <f t="array" ref="AP36">IFERROR(INDEX('Offer Statistics'!BH$2:BH$400,MATCH(1,($A36='Offer Statistics'!$BB$2:$BB$400)*($AC$2='Offer Statistics'!$BC$2:$BC$400),0)),"/")</f>
        <v>566</v>
      </c>
      <c r="AQ36" s="15"/>
      <c r="AR36" s="15" t="str">
        <f t="shared" si="3"/>
        <v>JS4434</v>
      </c>
    </row>
    <row r="37" spans="1:44" ht="18" customHeight="1">
      <c r="A37" s="4" t="str">
        <f>'Reference Score Calculation'!A163</f>
        <v>JS4446</v>
      </c>
      <c r="B37" s="4" t="str">
        <f>'Reference Score Calculation'!C163</f>
        <v>工程學院</v>
      </c>
      <c r="C37" s="4" t="str">
        <f>'Reference Score Calculation'!D163</f>
        <v>信息工程學</v>
      </c>
      <c r="D37" s="4" t="str">
        <f>'Reference Score Calculation'!R163</f>
        <v>IERGN</v>
      </c>
      <c r="E37" s="392" t="str">
        <f>'Reference Score Calculation'!AB163</f>
        <v>Best 5</v>
      </c>
      <c r="F37" s="397" t="str">
        <f>'Reference Score Calculation'!E163</f>
        <v>Best 5</v>
      </c>
      <c r="G37" s="6">
        <f>'Reference Score Calculation'!G163</f>
        <v>38.875</v>
      </c>
      <c r="H37" s="6">
        <f>'Reference Score Calculation'!H163</f>
        <v>36.75</v>
      </c>
      <c r="I37" s="6">
        <f>'Reference Score Calculation'!I163</f>
        <v>34.5</v>
      </c>
      <c r="J37" s="45">
        <f>計分版!J186</f>
        <v>4.2250000000000006E-9</v>
      </c>
      <c r="K37" s="25">
        <f t="shared" si="0"/>
        <v>-36.749999995774999</v>
      </c>
      <c r="L37" s="26">
        <f t="shared" si="1"/>
        <v>-8698224851.0710049</v>
      </c>
      <c r="M37" s="36">
        <f>'Reference Score Calculation'!T163</f>
        <v>75</v>
      </c>
      <c r="N37" s="86">
        <f>入學要求!Z172</f>
        <v>0</v>
      </c>
      <c r="O37" s="516"/>
      <c r="P37" s="166">
        <f>入學要求!L172</f>
        <v>3</v>
      </c>
      <c r="Q37" s="166">
        <f>入學要求!M172</f>
        <v>3</v>
      </c>
      <c r="R37" s="166">
        <f>入學要求!N172</f>
        <v>4</v>
      </c>
      <c r="S37" s="166">
        <f>入學要求!O172</f>
        <v>1</v>
      </c>
      <c r="T37" s="166">
        <f>入學要求!P172</f>
        <v>3</v>
      </c>
      <c r="U37" s="166">
        <f>入學要求!Q172</f>
        <v>3</v>
      </c>
      <c r="V37" s="256">
        <f>入學要求!S172</f>
        <v>0</v>
      </c>
      <c r="W37" s="256">
        <f>入學要求!T172</f>
        <v>0</v>
      </c>
      <c r="X37" s="256">
        <f>入學要求!U172</f>
        <v>0</v>
      </c>
      <c r="Y37" s="256">
        <f>入學要求!V172</f>
        <v>0</v>
      </c>
      <c r="Z37" s="256">
        <f>入學要求!W172</f>
        <v>0</v>
      </c>
      <c r="AA37" s="256">
        <f>入學要求!X172</f>
        <v>0</v>
      </c>
      <c r="AB37" s="36">
        <f t="shared" si="2"/>
        <v>4.5</v>
      </c>
      <c r="AC37" s="510"/>
      <c r="AD37" s="36" cm="1">
        <f t="array" ref="AD37">IFERROR(INDEX('Offer Statistics'!$BQ$2:$BQ$400,MATCH(1,($A37='Offer Statistics'!$BB$2:$BB$400)*($AC$2='Offer Statistics'!$BC$2:$BC$400),0)),"/")</f>
        <v>68</v>
      </c>
      <c r="AE37" s="64" cm="1">
        <f t="array" ref="AE37">IFERROR(INDEX('Offer Statistics'!BL$2:BL$400,MATCH(1,($A37='Offer Statistics'!$BB$2:$BB$400)*($AC$2='Offer Statistics'!$BC$2:$BC$400),0)),"/")</f>
        <v>68</v>
      </c>
      <c r="AF37" s="64" cm="1">
        <f t="array" ref="AF37">IFERROR(INDEX('Offer Statistics'!BM$2:BM$400,MATCH(1,($A37='Offer Statistics'!$BB$2:$BB$400)*($AC$2='Offer Statistics'!$BC$2:$BC$400),0)),"/")</f>
        <v>0</v>
      </c>
      <c r="AG37" s="64" cm="1">
        <f t="array" ref="AG37">IFERROR(INDEX('Offer Statistics'!BN$2:BN$400,MATCH(1,($A37='Offer Statistics'!$BB$2:$BB$400)*($AC$2='Offer Statistics'!$BC$2:$BC$400),0)),"/")</f>
        <v>0</v>
      </c>
      <c r="AH37" s="64" cm="1">
        <f t="array" ref="AH37">IFERROR(INDEX('Offer Statistics'!BO$2:BO$400,MATCH(1,($A37='Offer Statistics'!$BB$2:$BB$400)*($AC$2='Offer Statistics'!$BC$2:$BC$400),0)),"/")</f>
        <v>0</v>
      </c>
      <c r="AI37" s="64" cm="1">
        <f t="array" ref="AI37">IFERROR(INDEX('Offer Statistics'!BP$2:BP$400,MATCH(1,($A37='Offer Statistics'!$BB$2:$BB$400)*($AC$2='Offer Statistics'!$BC$2:$BC$400),0)),"/")</f>
        <v>0</v>
      </c>
      <c r="AJ37" s="511"/>
      <c r="AK37" s="36" cm="1">
        <f t="array" ref="AK37">IFERROR(INDEX('Offer Statistics'!$BI$2:$BI$400,MATCH(1,($A37='Offer Statistics'!$BB$2:$BB$400)*($AC$2='Offer Statistics'!$BC$2:$BC$400),0)),"/")</f>
        <v>1749</v>
      </c>
      <c r="AL37" s="64" cm="1">
        <f t="array" ref="AL37">IFERROR(INDEX('Offer Statistics'!BD$2:BD$400,MATCH(1,($A37='Offer Statistics'!$BB$2:$BB$400)*($AC$2='Offer Statistics'!$BC$2:$BC$400),0)),"/")</f>
        <v>306</v>
      </c>
      <c r="AM37" s="64" cm="1">
        <f t="array" ref="AM37">IFERROR(INDEX('Offer Statistics'!BE$2:BE$400,MATCH(1,($A37='Offer Statistics'!$BB$2:$BB$400)*($AC$2='Offer Statistics'!$BC$2:$BC$400),0)),"/")</f>
        <v>240</v>
      </c>
      <c r="AN37" s="64" cm="1">
        <f t="array" ref="AN37">IFERROR(INDEX('Offer Statistics'!BF$2:BF$400,MATCH(1,($A37='Offer Statistics'!$BB$2:$BB$400)*($AC$2='Offer Statistics'!$BC$2:$BC$400),0)),"/")</f>
        <v>381</v>
      </c>
      <c r="AO37" s="64" cm="1">
        <f t="array" ref="AO37">IFERROR(INDEX('Offer Statistics'!BG$2:BG$400,MATCH(1,($A37='Offer Statistics'!$BB$2:$BB$400)*($AC$2='Offer Statistics'!$BC$2:$BC$400),0)),"/")</f>
        <v>451</v>
      </c>
      <c r="AP37" s="64" cm="1">
        <f t="array" ref="AP37">IFERROR(INDEX('Offer Statistics'!BH$2:BH$400,MATCH(1,($A37='Offer Statistics'!$BB$2:$BB$400)*($AC$2='Offer Statistics'!$BC$2:$BC$400),0)),"/")</f>
        <v>371</v>
      </c>
      <c r="AQ37" s="15"/>
      <c r="AR37" s="15" t="str">
        <f t="shared" si="3"/>
        <v>JS4446</v>
      </c>
    </row>
    <row r="38" spans="1:44" s="10" customFormat="1" ht="18" customHeight="1">
      <c r="A38" s="4" t="str">
        <f>'Reference Score Calculation'!A164</f>
        <v>JS4458</v>
      </c>
      <c r="B38" s="4" t="str">
        <f>'Reference Score Calculation'!C164</f>
        <v>工程學院</v>
      </c>
      <c r="C38" s="4" t="str">
        <f>'Reference Score Calculation'!D164</f>
        <v>系統工程與工程管理</v>
      </c>
      <c r="D38" s="4" t="str">
        <f>'Reference Score Calculation'!R164</f>
        <v>SEEM</v>
      </c>
      <c r="E38" s="392" t="str">
        <f>'Reference Score Calculation'!AB164</f>
        <v>Best 5</v>
      </c>
      <c r="F38" s="397" t="str">
        <f>'Reference Score Calculation'!E164</f>
        <v>Best 5</v>
      </c>
      <c r="G38" s="6">
        <f>'Reference Score Calculation'!G164</f>
        <v>30.25</v>
      </c>
      <c r="H38" s="6">
        <f>'Reference Score Calculation'!H164</f>
        <v>28</v>
      </c>
      <c r="I38" s="6">
        <f>'Reference Score Calculation'!I164</f>
        <v>26.75</v>
      </c>
      <c r="J38" s="45">
        <f>計分版!J187</f>
        <v>4.1000000000000003E-9</v>
      </c>
      <c r="K38" s="25">
        <f t="shared" si="0"/>
        <v>-27.999999995900001</v>
      </c>
      <c r="L38" s="26">
        <f t="shared" si="1"/>
        <v>-6829268291.6829262</v>
      </c>
      <c r="M38" s="36">
        <f>'Reference Score Calculation'!T164</f>
        <v>53</v>
      </c>
      <c r="N38" s="86">
        <f>入學要求!Z173</f>
        <v>0</v>
      </c>
      <c r="O38" s="516"/>
      <c r="P38" s="166">
        <f>入學要求!L173</f>
        <v>3</v>
      </c>
      <c r="Q38" s="166">
        <f>入學要求!M173</f>
        <v>3</v>
      </c>
      <c r="R38" s="166">
        <f>入學要求!N173</f>
        <v>3</v>
      </c>
      <c r="S38" s="166">
        <f>入學要求!O173</f>
        <v>1</v>
      </c>
      <c r="T38" s="166">
        <f>入學要求!P173</f>
        <v>3</v>
      </c>
      <c r="U38" s="166">
        <f>入學要求!Q173</f>
        <v>3</v>
      </c>
      <c r="V38" s="256">
        <f>入學要求!S173</f>
        <v>0</v>
      </c>
      <c r="W38" s="256">
        <f>入學要求!T173</f>
        <v>0</v>
      </c>
      <c r="X38" s="256">
        <f>入學要求!U173</f>
        <v>0</v>
      </c>
      <c r="Y38" s="256">
        <f>入學要求!V173</f>
        <v>0</v>
      </c>
      <c r="Z38" s="256">
        <f>入學要求!W173</f>
        <v>0</v>
      </c>
      <c r="AA38" s="256">
        <f>入學要求!X173</f>
        <v>0</v>
      </c>
      <c r="AB38" s="36">
        <f t="shared" si="2"/>
        <v>4.33</v>
      </c>
      <c r="AC38" s="510"/>
      <c r="AD38" s="36" cm="1">
        <f t="array" ref="AD38">IFERROR(INDEX('Offer Statistics'!$BQ$2:$BQ$400,MATCH(1,($A38='Offer Statistics'!$BB$2:$BB$400)*($AC$2='Offer Statistics'!$BC$2:$BC$400),0)),"/")</f>
        <v>42</v>
      </c>
      <c r="AE38" s="64" cm="1">
        <f t="array" ref="AE38">IFERROR(INDEX('Offer Statistics'!BL$2:BL$400,MATCH(1,($A38='Offer Statistics'!$BB$2:$BB$400)*($AC$2='Offer Statistics'!$BC$2:$BC$400),0)),"/")</f>
        <v>42</v>
      </c>
      <c r="AF38" s="64" cm="1">
        <f t="array" ref="AF38">IFERROR(INDEX('Offer Statistics'!BM$2:BM$400,MATCH(1,($A38='Offer Statistics'!$BB$2:$BB$400)*($AC$2='Offer Statistics'!$BC$2:$BC$400),0)),"/")</f>
        <v>0</v>
      </c>
      <c r="AG38" s="64" cm="1">
        <f t="array" ref="AG38">IFERROR(INDEX('Offer Statistics'!BN$2:BN$400,MATCH(1,($A38='Offer Statistics'!$BB$2:$BB$400)*($AC$2='Offer Statistics'!$BC$2:$BC$400),0)),"/")</f>
        <v>0</v>
      </c>
      <c r="AH38" s="64" cm="1">
        <f t="array" ref="AH38">IFERROR(INDEX('Offer Statistics'!BO$2:BO$400,MATCH(1,($A38='Offer Statistics'!$BB$2:$BB$400)*($AC$2='Offer Statistics'!$BC$2:$BC$400),0)),"/")</f>
        <v>0</v>
      </c>
      <c r="AI38" s="64" cm="1">
        <f t="array" ref="AI38">IFERROR(INDEX('Offer Statistics'!BP$2:BP$400,MATCH(1,($A38='Offer Statistics'!$BB$2:$BB$400)*($AC$2='Offer Statistics'!$BC$2:$BC$400),0)),"/")</f>
        <v>0</v>
      </c>
      <c r="AJ38" s="511"/>
      <c r="AK38" s="36" cm="1">
        <f t="array" ref="AK38">IFERROR(INDEX('Offer Statistics'!$BI$2:$BI$400,MATCH(1,($A38='Offer Statistics'!$BB$2:$BB$400)*($AC$2='Offer Statistics'!$BC$2:$BC$400),0)),"/")</f>
        <v>1354</v>
      </c>
      <c r="AL38" s="64" cm="1">
        <f t="array" ref="AL38">IFERROR(INDEX('Offer Statistics'!BD$2:BD$400,MATCH(1,($A38='Offer Statistics'!$BB$2:$BB$400)*($AC$2='Offer Statistics'!$BC$2:$BC$400),0)),"/")</f>
        <v>182</v>
      </c>
      <c r="AM38" s="64" cm="1">
        <f t="array" ref="AM38">IFERROR(INDEX('Offer Statistics'!BE$2:BE$400,MATCH(1,($A38='Offer Statistics'!$BB$2:$BB$400)*($AC$2='Offer Statistics'!$BC$2:$BC$400),0)),"/")</f>
        <v>170</v>
      </c>
      <c r="AN38" s="64" cm="1">
        <f t="array" ref="AN38">IFERROR(INDEX('Offer Statistics'!BF$2:BF$400,MATCH(1,($A38='Offer Statistics'!$BB$2:$BB$400)*($AC$2='Offer Statistics'!$BC$2:$BC$400),0)),"/")</f>
        <v>270</v>
      </c>
      <c r="AO38" s="64" cm="1">
        <f t="array" ref="AO38">IFERROR(INDEX('Offer Statistics'!BG$2:BG$400,MATCH(1,($A38='Offer Statistics'!$BB$2:$BB$400)*($AC$2='Offer Statistics'!$BC$2:$BC$400),0)),"/")</f>
        <v>405</v>
      </c>
      <c r="AP38" s="64" cm="1">
        <f t="array" ref="AP38">IFERROR(INDEX('Offer Statistics'!BH$2:BH$400,MATCH(1,($A38='Offer Statistics'!$BB$2:$BB$400)*($AC$2='Offer Statistics'!$BC$2:$BC$400),0)),"/")</f>
        <v>327</v>
      </c>
      <c r="AQ38" s="15"/>
      <c r="AR38" s="15" t="str">
        <f t="shared" si="3"/>
        <v>JS4458</v>
      </c>
    </row>
    <row r="39" spans="1:44" ht="18" customHeight="1">
      <c r="A39" s="4" t="str">
        <f>'Reference Score Calculation'!A165</f>
        <v>JS4460</v>
      </c>
      <c r="B39" s="4" t="str">
        <f>'Reference Score Calculation'!C165</f>
        <v>工程學院</v>
      </c>
      <c r="C39" s="4" t="str">
        <f>'Reference Score Calculation'!D165</f>
        <v>生物醫學工程學</v>
      </c>
      <c r="D39" s="4" t="str">
        <f>'Reference Score Calculation'!R165</f>
        <v>BMEG</v>
      </c>
      <c r="E39" s="392" t="str">
        <f>'Reference Score Calculation'!AB165</f>
        <v>Best 5</v>
      </c>
      <c r="F39" s="397" t="str">
        <f>'Reference Score Calculation'!E165</f>
        <v>Best 5</v>
      </c>
      <c r="G39" s="6">
        <f>'Reference Score Calculation'!G165</f>
        <v>41.5</v>
      </c>
      <c r="H39" s="6">
        <f>'Reference Score Calculation'!H165</f>
        <v>40</v>
      </c>
      <c r="I39" s="6">
        <f>'Reference Score Calculation'!I165</f>
        <v>38.5</v>
      </c>
      <c r="J39" s="45">
        <f>計分版!J188</f>
        <v>4.1000000000000003E-9</v>
      </c>
      <c r="K39" s="25">
        <f t="shared" si="0"/>
        <v>-39.999999995899998</v>
      </c>
      <c r="L39" s="26">
        <f t="shared" si="1"/>
        <v>-9756097559.9756088</v>
      </c>
      <c r="M39" s="36">
        <f>'Reference Score Calculation'!T165</f>
        <v>44</v>
      </c>
      <c r="N39" s="86">
        <f>入學要求!Z174</f>
        <v>0</v>
      </c>
      <c r="O39" s="516"/>
      <c r="P39" s="166">
        <f>入學要求!L174</f>
        <v>3</v>
      </c>
      <c r="Q39" s="166">
        <f>入學要求!M174</f>
        <v>3</v>
      </c>
      <c r="R39" s="166">
        <f>入學要求!N174</f>
        <v>3</v>
      </c>
      <c r="S39" s="166">
        <f>入學要求!O174</f>
        <v>1</v>
      </c>
      <c r="T39" s="166">
        <f>入學要求!P174</f>
        <v>3</v>
      </c>
      <c r="U39" s="166">
        <f>入學要求!Q174</f>
        <v>3</v>
      </c>
      <c r="V39" s="256">
        <f>入學要求!S174</f>
        <v>0</v>
      </c>
      <c r="W39" s="256">
        <f>入學要求!T174</f>
        <v>0</v>
      </c>
      <c r="X39" s="256">
        <f>入學要求!U174</f>
        <v>0</v>
      </c>
      <c r="Y39" s="256">
        <f>入學要求!V174</f>
        <v>0</v>
      </c>
      <c r="Z39" s="256">
        <f>入學要求!W174</f>
        <v>0</v>
      </c>
      <c r="AA39" s="256">
        <f>入學要求!X174</f>
        <v>0</v>
      </c>
      <c r="AB39" s="36">
        <f t="shared" si="2"/>
        <v>7.71</v>
      </c>
      <c r="AC39" s="510"/>
      <c r="AD39" s="36" cm="1">
        <f t="array" ref="AD39">IFERROR(INDEX('Offer Statistics'!$BQ$2:$BQ$400,MATCH(1,($A39='Offer Statistics'!$BB$2:$BB$400)*($AC$2='Offer Statistics'!$BC$2:$BC$400),0)),"/")</f>
        <v>21</v>
      </c>
      <c r="AE39" s="64" cm="1">
        <f t="array" ref="AE39">IFERROR(INDEX('Offer Statistics'!BL$2:BL$400,MATCH(1,($A39='Offer Statistics'!$BB$2:$BB$400)*($AC$2='Offer Statistics'!$BC$2:$BC$400),0)),"/")</f>
        <v>21</v>
      </c>
      <c r="AF39" s="64" cm="1">
        <f t="array" ref="AF39">IFERROR(INDEX('Offer Statistics'!BM$2:BM$400,MATCH(1,($A39='Offer Statistics'!$BB$2:$BB$400)*($AC$2='Offer Statistics'!$BC$2:$BC$400),0)),"/")</f>
        <v>0</v>
      </c>
      <c r="AG39" s="64" cm="1">
        <f t="array" ref="AG39">IFERROR(INDEX('Offer Statistics'!BN$2:BN$400,MATCH(1,($A39='Offer Statistics'!$BB$2:$BB$400)*($AC$2='Offer Statistics'!$BC$2:$BC$400),0)),"/")</f>
        <v>0</v>
      </c>
      <c r="AH39" s="64" cm="1">
        <f t="array" ref="AH39">IFERROR(INDEX('Offer Statistics'!BO$2:BO$400,MATCH(1,($A39='Offer Statistics'!$BB$2:$BB$400)*($AC$2='Offer Statistics'!$BC$2:$BC$400),0)),"/")</f>
        <v>0</v>
      </c>
      <c r="AI39" s="64" cm="1">
        <f t="array" ref="AI39">IFERROR(INDEX('Offer Statistics'!BP$2:BP$400,MATCH(1,($A39='Offer Statistics'!$BB$2:$BB$400)*($AC$2='Offer Statistics'!$BC$2:$BC$400),0)),"/")</f>
        <v>0</v>
      </c>
      <c r="AJ39" s="511"/>
      <c r="AK39" s="36" cm="1">
        <f t="array" ref="AK39">IFERROR(INDEX('Offer Statistics'!$BI$2:$BI$400,MATCH(1,($A39='Offer Statistics'!$BB$2:$BB$400)*($AC$2='Offer Statistics'!$BC$2:$BC$400),0)),"/")</f>
        <v>1823</v>
      </c>
      <c r="AL39" s="64" cm="1">
        <f t="array" ref="AL39">IFERROR(INDEX('Offer Statistics'!BD$2:BD$400,MATCH(1,($A39='Offer Statistics'!$BB$2:$BB$400)*($AC$2='Offer Statistics'!$BC$2:$BC$400),0)),"/")</f>
        <v>162</v>
      </c>
      <c r="AM39" s="64" cm="1">
        <f t="array" ref="AM39">IFERROR(INDEX('Offer Statistics'!BE$2:BE$400,MATCH(1,($A39='Offer Statistics'!$BB$2:$BB$400)*($AC$2='Offer Statistics'!$BC$2:$BC$400),0)),"/")</f>
        <v>215</v>
      </c>
      <c r="AN39" s="64" cm="1">
        <f t="array" ref="AN39">IFERROR(INDEX('Offer Statistics'!BF$2:BF$400,MATCH(1,($A39='Offer Statistics'!$BB$2:$BB$400)*($AC$2='Offer Statistics'!$BC$2:$BC$400),0)),"/")</f>
        <v>386</v>
      </c>
      <c r="AO39" s="64" cm="1">
        <f t="array" ref="AO39">IFERROR(INDEX('Offer Statistics'!BG$2:BG$400,MATCH(1,($A39='Offer Statistics'!$BB$2:$BB$400)*($AC$2='Offer Statistics'!$BC$2:$BC$400),0)),"/")</f>
        <v>585</v>
      </c>
      <c r="AP39" s="64" cm="1">
        <f t="array" ref="AP39">IFERROR(INDEX('Offer Statistics'!BH$2:BH$400,MATCH(1,($A39='Offer Statistics'!$BB$2:$BB$400)*($AC$2='Offer Statistics'!$BC$2:$BC$400),0)),"/")</f>
        <v>475</v>
      </c>
      <c r="AQ39" s="15"/>
      <c r="AR39" s="15" t="str">
        <f t="shared" si="3"/>
        <v>JS4460</v>
      </c>
    </row>
    <row r="40" spans="1:44" s="10" customFormat="1" ht="18" customHeight="1">
      <c r="A40" s="4" t="str">
        <f>'Reference Score Calculation'!A166</f>
        <v>JS4462</v>
      </c>
      <c r="B40" s="4" t="str">
        <f>'Reference Score Calculation'!C166</f>
        <v>工程學院</v>
      </c>
      <c r="C40" s="4" t="str">
        <f>'Reference Score Calculation'!D166</f>
        <v>能源與環境工程學</v>
      </c>
      <c r="D40" s="4" t="str">
        <f>'Reference Score Calculation'!R166</f>
        <v>EEEN</v>
      </c>
      <c r="E40" s="392" t="str">
        <f>'Reference Score Calculation'!AB166</f>
        <v>Best 5</v>
      </c>
      <c r="F40" s="397" t="str">
        <f>'Reference Score Calculation'!E166</f>
        <v>Best 5</v>
      </c>
      <c r="G40" s="6">
        <f>'Reference Score Calculation'!G166</f>
        <v>29.05</v>
      </c>
      <c r="H40" s="6">
        <f>'Reference Score Calculation'!H166</f>
        <v>28</v>
      </c>
      <c r="I40" s="6">
        <f>'Reference Score Calculation'!I166</f>
        <v>27.3</v>
      </c>
      <c r="J40" s="45">
        <f>計分版!J189</f>
        <v>4.1000000000000003E-9</v>
      </c>
      <c r="K40" s="25">
        <f t="shared" si="0"/>
        <v>-27.999999995900001</v>
      </c>
      <c r="L40" s="26">
        <f t="shared" si="1"/>
        <v>-6829268291.6829262</v>
      </c>
      <c r="M40" s="36">
        <f>'Reference Score Calculation'!T166</f>
        <v>28</v>
      </c>
      <c r="N40" s="86">
        <f>入學要求!Z175</f>
        <v>0</v>
      </c>
      <c r="O40" s="516"/>
      <c r="P40" s="166">
        <f>入學要求!L175</f>
        <v>3</v>
      </c>
      <c r="Q40" s="166">
        <f>入學要求!M175</f>
        <v>3</v>
      </c>
      <c r="R40" s="166">
        <f>入學要求!N175</f>
        <v>3</v>
      </c>
      <c r="S40" s="166">
        <f>入學要求!O175</f>
        <v>1</v>
      </c>
      <c r="T40" s="166">
        <f>入學要求!P175</f>
        <v>3</v>
      </c>
      <c r="U40" s="166">
        <f>入學要求!Q175</f>
        <v>3</v>
      </c>
      <c r="V40" s="256">
        <f>入學要求!S175</f>
        <v>0</v>
      </c>
      <c r="W40" s="256">
        <f>入學要求!T175</f>
        <v>0</v>
      </c>
      <c r="X40" s="256">
        <f>入學要求!U175</f>
        <v>0</v>
      </c>
      <c r="Y40" s="256">
        <f>入學要求!V175</f>
        <v>0</v>
      </c>
      <c r="Z40" s="256">
        <f>入學要求!W175</f>
        <v>0</v>
      </c>
      <c r="AA40" s="256">
        <f>入學要求!X175</f>
        <v>0</v>
      </c>
      <c r="AB40" s="36">
        <f t="shared" si="2"/>
        <v>10.210000000000001</v>
      </c>
      <c r="AC40" s="510"/>
      <c r="AD40" s="36" cm="1">
        <f t="array" ref="AD40">IFERROR(INDEX('Offer Statistics'!$BQ$2:$BQ$400,MATCH(1,($A40='Offer Statistics'!$BB$2:$BB$400)*($AC$2='Offer Statistics'!$BC$2:$BC$400),0)),"/")</f>
        <v>33</v>
      </c>
      <c r="AE40" s="64" cm="1">
        <f t="array" ref="AE40">IFERROR(INDEX('Offer Statistics'!BL$2:BL$400,MATCH(1,($A40='Offer Statistics'!$BB$2:$BB$400)*($AC$2='Offer Statistics'!$BC$2:$BC$400),0)),"/")</f>
        <v>33</v>
      </c>
      <c r="AF40" s="64" cm="1">
        <f t="array" ref="AF40">IFERROR(INDEX('Offer Statistics'!BM$2:BM$400,MATCH(1,($A40='Offer Statistics'!$BB$2:$BB$400)*($AC$2='Offer Statistics'!$BC$2:$BC$400),0)),"/")</f>
        <v>0</v>
      </c>
      <c r="AG40" s="64" cm="1">
        <f t="array" ref="AG40">IFERROR(INDEX('Offer Statistics'!BN$2:BN$400,MATCH(1,($A40='Offer Statistics'!$BB$2:$BB$400)*($AC$2='Offer Statistics'!$BC$2:$BC$400),0)),"/")</f>
        <v>0</v>
      </c>
      <c r="AH40" s="64" cm="1">
        <f t="array" ref="AH40">IFERROR(INDEX('Offer Statistics'!BO$2:BO$400,MATCH(1,($A40='Offer Statistics'!$BB$2:$BB$400)*($AC$2='Offer Statistics'!$BC$2:$BC$400),0)),"/")</f>
        <v>0</v>
      </c>
      <c r="AI40" s="64" cm="1">
        <f t="array" ref="AI40">IFERROR(INDEX('Offer Statistics'!BP$2:BP$400,MATCH(1,($A40='Offer Statistics'!$BB$2:$BB$400)*($AC$2='Offer Statistics'!$BC$2:$BC$400),0)),"/")</f>
        <v>0</v>
      </c>
      <c r="AJ40" s="511"/>
      <c r="AK40" s="36" cm="1">
        <f t="array" ref="AK40">IFERROR(INDEX('Offer Statistics'!$BI$2:$BI$400,MATCH(1,($A40='Offer Statistics'!$BB$2:$BB$400)*($AC$2='Offer Statistics'!$BC$2:$BC$400),0)),"/")</f>
        <v>2419</v>
      </c>
      <c r="AL40" s="64" cm="1">
        <f t="array" ref="AL40">IFERROR(INDEX('Offer Statistics'!BD$2:BD$400,MATCH(1,($A40='Offer Statistics'!$BB$2:$BB$400)*($AC$2='Offer Statistics'!$BC$2:$BC$400),0)),"/")</f>
        <v>337</v>
      </c>
      <c r="AM40" s="64" cm="1">
        <f t="array" ref="AM40">IFERROR(INDEX('Offer Statistics'!BE$2:BE$400,MATCH(1,($A40='Offer Statistics'!$BB$2:$BB$400)*($AC$2='Offer Statistics'!$BC$2:$BC$400),0)),"/")</f>
        <v>340</v>
      </c>
      <c r="AN40" s="64" cm="1">
        <f t="array" ref="AN40">IFERROR(INDEX('Offer Statistics'!BF$2:BF$400,MATCH(1,($A40='Offer Statistics'!$BB$2:$BB$400)*($AC$2='Offer Statistics'!$BC$2:$BC$400),0)),"/")</f>
        <v>500</v>
      </c>
      <c r="AO40" s="64" cm="1">
        <f t="array" ref="AO40">IFERROR(INDEX('Offer Statistics'!BG$2:BG$400,MATCH(1,($A40='Offer Statistics'!$BB$2:$BB$400)*($AC$2='Offer Statistics'!$BC$2:$BC$400),0)),"/")</f>
        <v>649</v>
      </c>
      <c r="AP40" s="64" cm="1">
        <f t="array" ref="AP40">IFERROR(INDEX('Offer Statistics'!BH$2:BH$400,MATCH(1,($A40='Offer Statistics'!$BB$2:$BB$400)*($AC$2='Offer Statistics'!$BC$2:$BC$400),0)),"/")</f>
        <v>593</v>
      </c>
      <c r="AQ40" s="15"/>
      <c r="AR40" s="15" t="str">
        <f t="shared" si="3"/>
        <v>JS4462</v>
      </c>
    </row>
    <row r="41" spans="1:44" ht="18" customHeight="1">
      <c r="A41" s="4" t="str">
        <f>'Reference Score Calculation'!A167</f>
        <v>JS4468</v>
      </c>
      <c r="B41" s="4" t="str">
        <f>'Reference Score Calculation'!C167</f>
        <v>工程學院</v>
      </c>
      <c r="C41" s="4" t="str">
        <f>'Reference Score Calculation'!D167</f>
        <v>人工智能：系統與科技</v>
      </c>
      <c r="D41" s="4" t="str">
        <f>'Reference Score Calculation'!R167</f>
        <v>AIST</v>
      </c>
      <c r="E41" s="392" t="str">
        <f>'Reference Score Calculation'!AB167</f>
        <v>Best 5</v>
      </c>
      <c r="F41" s="397" t="str">
        <f>'Reference Score Calculation'!E167</f>
        <v>Best 5</v>
      </c>
      <c r="G41" s="6">
        <f>'Reference Score Calculation'!G167</f>
        <v>58</v>
      </c>
      <c r="H41" s="6">
        <f>'Reference Score Calculation'!H167</f>
        <v>54.125</v>
      </c>
      <c r="I41" s="6">
        <f>'Reference Score Calculation'!I167</f>
        <v>51.375</v>
      </c>
      <c r="J41" s="45">
        <f>計分版!J190</f>
        <v>4.2250000000000006E-9</v>
      </c>
      <c r="K41" s="25">
        <f t="shared" si="0"/>
        <v>-54.124999995774999</v>
      </c>
      <c r="L41" s="26">
        <f t="shared" si="1"/>
        <v>-12810650886.573963</v>
      </c>
      <c r="M41" s="36">
        <f>'Reference Score Calculation'!T167</f>
        <v>30</v>
      </c>
      <c r="N41" s="86">
        <f>入學要求!Z176</f>
        <v>0</v>
      </c>
      <c r="O41" s="516"/>
      <c r="P41" s="166">
        <f>入學要求!L176</f>
        <v>3</v>
      </c>
      <c r="Q41" s="166">
        <f>入學要求!M176</f>
        <v>4</v>
      </c>
      <c r="R41" s="166">
        <f>入學要求!N176</f>
        <v>5</v>
      </c>
      <c r="S41" s="166">
        <f>入學要求!O176</f>
        <v>1</v>
      </c>
      <c r="T41" s="166">
        <f>入學要求!P176</f>
        <v>3</v>
      </c>
      <c r="U41" s="166">
        <f>入學要求!Q176</f>
        <v>3</v>
      </c>
      <c r="V41" s="256">
        <f>入學要求!S176</f>
        <v>0</v>
      </c>
      <c r="W41" s="256">
        <f>入學要求!T176</f>
        <v>0</v>
      </c>
      <c r="X41" s="256">
        <f>入學要求!U176</f>
        <v>0</v>
      </c>
      <c r="Y41" s="256">
        <f>入學要求!V176</f>
        <v>0</v>
      </c>
      <c r="Z41" s="256">
        <f>入學要求!W176</f>
        <v>0</v>
      </c>
      <c r="AA41" s="256">
        <f>入學要求!X176</f>
        <v>0</v>
      </c>
      <c r="AB41" s="36">
        <f t="shared" si="2"/>
        <v>4.63</v>
      </c>
      <c r="AC41" s="510"/>
      <c r="AD41" s="36" cm="1">
        <f t="array" ref="AD41">IFERROR(INDEX('Offer Statistics'!$BQ$2:$BQ$400,MATCH(1,($A41='Offer Statistics'!$BB$2:$BB$400)*($AC$2='Offer Statistics'!$BC$2:$BC$400),0)),"/")</f>
        <v>35</v>
      </c>
      <c r="AE41" s="64" cm="1">
        <f t="array" ref="AE41">IFERROR(INDEX('Offer Statistics'!BL$2:BL$400,MATCH(1,($A41='Offer Statistics'!$BB$2:$BB$400)*($AC$2='Offer Statistics'!$BC$2:$BC$400),0)),"/")</f>
        <v>35</v>
      </c>
      <c r="AF41" s="64" cm="1">
        <f t="array" ref="AF41">IFERROR(INDEX('Offer Statistics'!BM$2:BM$400,MATCH(1,($A41='Offer Statistics'!$BB$2:$BB$400)*($AC$2='Offer Statistics'!$BC$2:$BC$400),0)),"/")</f>
        <v>0</v>
      </c>
      <c r="AG41" s="64" cm="1">
        <f t="array" ref="AG41">IFERROR(INDEX('Offer Statistics'!BN$2:BN$400,MATCH(1,($A41='Offer Statistics'!$BB$2:$BB$400)*($AC$2='Offer Statistics'!$BC$2:$BC$400),0)),"/")</f>
        <v>0</v>
      </c>
      <c r="AH41" s="64" cm="1">
        <f t="array" ref="AH41">IFERROR(INDEX('Offer Statistics'!BO$2:BO$400,MATCH(1,($A41='Offer Statistics'!$BB$2:$BB$400)*($AC$2='Offer Statistics'!$BC$2:$BC$400),0)),"/")</f>
        <v>0</v>
      </c>
      <c r="AI41" s="64" cm="1">
        <f t="array" ref="AI41">IFERROR(INDEX('Offer Statistics'!BP$2:BP$400,MATCH(1,($A41='Offer Statistics'!$BB$2:$BB$400)*($AC$2='Offer Statistics'!$BC$2:$BC$400),0)),"/")</f>
        <v>0</v>
      </c>
      <c r="AJ41" s="511"/>
      <c r="AK41" s="36" cm="1">
        <f t="array" ref="AK41">IFERROR(INDEX('Offer Statistics'!$BI$2:$BI$400,MATCH(1,($A41='Offer Statistics'!$BB$2:$BB$400)*($AC$2='Offer Statistics'!$BC$2:$BC$400),0)),"/")</f>
        <v>1258</v>
      </c>
      <c r="AL41" s="64" cm="1">
        <f t="array" ref="AL41">IFERROR(INDEX('Offer Statistics'!BD$2:BD$400,MATCH(1,($A41='Offer Statistics'!$BB$2:$BB$400)*($AC$2='Offer Statistics'!$BC$2:$BC$400),0)),"/")</f>
        <v>162</v>
      </c>
      <c r="AM41" s="64" cm="1">
        <f t="array" ref="AM41">IFERROR(INDEX('Offer Statistics'!BE$2:BE$400,MATCH(1,($A41='Offer Statistics'!$BB$2:$BB$400)*($AC$2='Offer Statistics'!$BC$2:$BC$400),0)),"/")</f>
        <v>162</v>
      </c>
      <c r="AN41" s="64" cm="1">
        <f t="array" ref="AN41">IFERROR(INDEX('Offer Statistics'!BF$2:BF$400,MATCH(1,($A41='Offer Statistics'!$BB$2:$BB$400)*($AC$2='Offer Statistics'!$BC$2:$BC$400),0)),"/")</f>
        <v>278</v>
      </c>
      <c r="AO41" s="64" cm="1">
        <f t="array" ref="AO41">IFERROR(INDEX('Offer Statistics'!BG$2:BG$400,MATCH(1,($A41='Offer Statistics'!$BB$2:$BB$400)*($AC$2='Offer Statistics'!$BC$2:$BC$400),0)),"/")</f>
        <v>368</v>
      </c>
      <c r="AP41" s="64" cm="1">
        <f t="array" ref="AP41">IFERROR(INDEX('Offer Statistics'!BH$2:BH$400,MATCH(1,($A41='Offer Statistics'!$BB$2:$BB$400)*($AC$2='Offer Statistics'!$BC$2:$BC$400),0)),"/")</f>
        <v>288</v>
      </c>
      <c r="AQ41" s="15"/>
      <c r="AR41" s="15" t="str">
        <f t="shared" si="3"/>
        <v>JS4468</v>
      </c>
    </row>
    <row r="42" spans="1:44" s="10" customFormat="1" ht="18" customHeight="1">
      <c r="A42" s="4" t="str">
        <f>'Reference Score Calculation'!A168</f>
        <v>JS4501</v>
      </c>
      <c r="B42" s="4" t="str">
        <f>'Reference Score Calculation'!C168</f>
        <v>醫學院</v>
      </c>
      <c r="C42" s="4" t="str">
        <f>'Reference Score Calculation'!D168</f>
        <v>內外全科醫學士課程</v>
      </c>
      <c r="D42" s="4" t="str">
        <f>'Reference Score Calculation'!R168</f>
        <v>MBChB</v>
      </c>
      <c r="E42" s="392" t="str">
        <f>'Reference Score Calculation'!AB168</f>
        <v>3C3X</v>
      </c>
      <c r="F42" s="395" t="str">
        <f>'Reference Score Calculation'!E168</f>
        <v>4C3X</v>
      </c>
      <c r="G42" s="6">
        <f>'Reference Score Calculation'!G168</f>
        <v>44</v>
      </c>
      <c r="H42" s="6">
        <f>'Reference Score Calculation'!H168</f>
        <v>43</v>
      </c>
      <c r="I42" s="6">
        <f>'Reference Score Calculation'!I168</f>
        <v>41</v>
      </c>
      <c r="J42" s="45">
        <f>計分版!J191</f>
        <v>3.6E-9</v>
      </c>
      <c r="K42" s="25">
        <f t="shared" si="0"/>
        <v>-42.9999999964</v>
      </c>
      <c r="L42" s="26">
        <f t="shared" si="1"/>
        <v>-11944444443.444445</v>
      </c>
      <c r="M42" s="36">
        <f>'Reference Score Calculation'!T168</f>
        <v>295</v>
      </c>
      <c r="N42" s="86">
        <f>入學要求!Z177</f>
        <v>0</v>
      </c>
      <c r="O42" s="516"/>
      <c r="P42" s="166">
        <f>入學要求!L177</f>
        <v>3</v>
      </c>
      <c r="Q42" s="166">
        <f>入學要求!M177</f>
        <v>4</v>
      </c>
      <c r="R42" s="166">
        <f>入學要求!N177</f>
        <v>3</v>
      </c>
      <c r="S42" s="166">
        <f>入學要求!O177</f>
        <v>1</v>
      </c>
      <c r="T42" s="166">
        <f>入學要求!P177</f>
        <v>3</v>
      </c>
      <c r="U42" s="166">
        <f>入學要求!Q177</f>
        <v>3</v>
      </c>
      <c r="V42" s="256">
        <f>入學要求!S177</f>
        <v>0</v>
      </c>
      <c r="W42" s="256">
        <f>入學要求!T177</f>
        <v>0</v>
      </c>
      <c r="X42" s="256">
        <f>入學要求!U177</f>
        <v>0</v>
      </c>
      <c r="Y42" s="256">
        <f>入學要求!V177</f>
        <v>0</v>
      </c>
      <c r="Z42" s="256">
        <f>入學要求!W177</f>
        <v>0</v>
      </c>
      <c r="AA42" s="256">
        <f>入學要求!X177</f>
        <v>0</v>
      </c>
      <c r="AB42" s="36">
        <f t="shared" si="2"/>
        <v>2.31</v>
      </c>
      <c r="AC42" s="510"/>
      <c r="AD42" s="36" cm="1">
        <f t="array" ref="AD42">IFERROR(INDEX('Offer Statistics'!$BQ$2:$BQ$400,MATCH(1,($A42='Offer Statistics'!$BB$2:$BB$400)*($AC$2='Offer Statistics'!$BC$2:$BC$400),0)),"/")</f>
        <v>177</v>
      </c>
      <c r="AE42" s="64" cm="1">
        <f t="array" ref="AE42">IFERROR(INDEX('Offer Statistics'!BL$2:BL$400,MATCH(1,($A42='Offer Statistics'!$BB$2:$BB$400)*($AC$2='Offer Statistics'!$BC$2:$BC$400),0)),"/")</f>
        <v>177</v>
      </c>
      <c r="AF42" s="64" cm="1">
        <f t="array" ref="AF42">IFERROR(INDEX('Offer Statistics'!BM$2:BM$400,MATCH(1,($A42='Offer Statistics'!$BB$2:$BB$400)*($AC$2='Offer Statistics'!$BC$2:$BC$400),0)),"/")</f>
        <v>0</v>
      </c>
      <c r="AG42" s="64" cm="1">
        <f t="array" ref="AG42">IFERROR(INDEX('Offer Statistics'!BN$2:BN$400,MATCH(1,($A42='Offer Statistics'!$BB$2:$BB$400)*($AC$2='Offer Statistics'!$BC$2:$BC$400),0)),"/")</f>
        <v>0</v>
      </c>
      <c r="AH42" s="64" cm="1">
        <f t="array" ref="AH42">IFERROR(INDEX('Offer Statistics'!BO$2:BO$400,MATCH(1,($A42='Offer Statistics'!$BB$2:$BB$400)*($AC$2='Offer Statistics'!$BC$2:$BC$400),0)),"/")</f>
        <v>0</v>
      </c>
      <c r="AI42" s="64" cm="1">
        <f t="array" ref="AI42">IFERROR(INDEX('Offer Statistics'!BP$2:BP$400,MATCH(1,($A42='Offer Statistics'!$BB$2:$BB$400)*($AC$2='Offer Statistics'!$BC$2:$BC$400),0)),"/")</f>
        <v>0</v>
      </c>
      <c r="AJ42" s="511"/>
      <c r="AK42" s="36" cm="1">
        <f t="array" ref="AK42">IFERROR(INDEX('Offer Statistics'!$BI$2:$BI$400,MATCH(1,($A42='Offer Statistics'!$BB$2:$BB$400)*($AC$2='Offer Statistics'!$BC$2:$BC$400),0)),"/")</f>
        <v>1122</v>
      </c>
      <c r="AL42" s="64" cm="1">
        <f t="array" ref="AL42">IFERROR(INDEX('Offer Statistics'!BD$2:BD$400,MATCH(1,($A42='Offer Statistics'!$BB$2:$BB$400)*($AC$2='Offer Statistics'!$BC$2:$BC$400),0)),"/")</f>
        <v>409</v>
      </c>
      <c r="AM42" s="64" cm="1">
        <f t="array" ref="AM42">IFERROR(INDEX('Offer Statistics'!BE$2:BE$400,MATCH(1,($A42='Offer Statistics'!$BB$2:$BB$400)*($AC$2='Offer Statistics'!$BC$2:$BC$400),0)),"/")</f>
        <v>78</v>
      </c>
      <c r="AN42" s="64" cm="1">
        <f t="array" ref="AN42">IFERROR(INDEX('Offer Statistics'!BF$2:BF$400,MATCH(1,($A42='Offer Statistics'!$BB$2:$BB$400)*($AC$2='Offer Statistics'!$BC$2:$BC$400),0)),"/")</f>
        <v>141</v>
      </c>
      <c r="AO42" s="64" cm="1">
        <f t="array" ref="AO42">IFERROR(INDEX('Offer Statistics'!BG$2:BG$400,MATCH(1,($A42='Offer Statistics'!$BB$2:$BB$400)*($AC$2='Offer Statistics'!$BC$2:$BC$400),0)),"/")</f>
        <v>175</v>
      </c>
      <c r="AP42" s="64" cm="1">
        <f t="array" ref="AP42">IFERROR(INDEX('Offer Statistics'!BH$2:BH$400,MATCH(1,($A42='Offer Statistics'!$BB$2:$BB$400)*($AC$2='Offer Statistics'!$BC$2:$BC$400),0)),"/")</f>
        <v>319</v>
      </c>
      <c r="AQ42" s="15"/>
      <c r="AR42" s="15" t="str">
        <f t="shared" si="3"/>
        <v>JS4501</v>
      </c>
    </row>
    <row r="43" spans="1:44" ht="18" customHeight="1">
      <c r="A43" s="4" t="str">
        <f>'Reference Score Calculation'!A169</f>
        <v>JS4502</v>
      </c>
      <c r="B43" s="4" t="str">
        <f>'Reference Score Calculation'!C169</f>
        <v>醫學院</v>
      </c>
      <c r="C43" s="4" t="str">
        <f>'Reference Score Calculation'!D169</f>
        <v>內外全科醫學士課程環球醫學領袖培訓專修組別</v>
      </c>
      <c r="D43" s="4" t="str">
        <f>'Reference Score Calculation'!R169</f>
        <v>MBChB-GPS</v>
      </c>
      <c r="E43" s="392" t="str">
        <f>'Reference Score Calculation'!AB169</f>
        <v>3C3X</v>
      </c>
      <c r="F43" s="395" t="str">
        <f>'Reference Score Calculation'!E169</f>
        <v>4C3X</v>
      </c>
      <c r="G43" s="6">
        <f>'Reference Score Calculation'!G169</f>
        <v>47.5</v>
      </c>
      <c r="H43" s="6">
        <f>'Reference Score Calculation'!H169</f>
        <v>47</v>
      </c>
      <c r="I43" s="6">
        <f>'Reference Score Calculation'!I169</f>
        <v>46</v>
      </c>
      <c r="J43" s="45">
        <f>計分版!J192</f>
        <v>3.6E-9</v>
      </c>
      <c r="K43" s="25">
        <f t="shared" si="0"/>
        <v>-46.9999999964</v>
      </c>
      <c r="L43" s="26">
        <f t="shared" si="1"/>
        <v>-13055555554.555555</v>
      </c>
      <c r="M43" s="36">
        <f>'Reference Score Calculation'!T169</f>
        <v>30</v>
      </c>
      <c r="N43" s="86">
        <f>入學要求!Z178</f>
        <v>0</v>
      </c>
      <c r="O43" s="516"/>
      <c r="P43" s="166">
        <f>入學要求!L178</f>
        <v>3</v>
      </c>
      <c r="Q43" s="166">
        <f>入學要求!M178</f>
        <v>4</v>
      </c>
      <c r="R43" s="166">
        <f>入學要求!N178</f>
        <v>3</v>
      </c>
      <c r="S43" s="166">
        <f>入學要求!O178</f>
        <v>1</v>
      </c>
      <c r="T43" s="166">
        <f>入學要求!P178</f>
        <v>3</v>
      </c>
      <c r="U43" s="166">
        <f>入學要求!Q178</f>
        <v>3</v>
      </c>
      <c r="V43" s="256">
        <f>入學要求!S178</f>
        <v>0</v>
      </c>
      <c r="W43" s="256">
        <f>入學要求!T178</f>
        <v>0</v>
      </c>
      <c r="X43" s="256">
        <f>入學要求!U178</f>
        <v>0</v>
      </c>
      <c r="Y43" s="256">
        <f>入學要求!V178</f>
        <v>0</v>
      </c>
      <c r="Z43" s="256">
        <f>入學要求!W178</f>
        <v>0</v>
      </c>
      <c r="AA43" s="256">
        <f>入學要求!X178</f>
        <v>0</v>
      </c>
      <c r="AB43" s="36">
        <f t="shared" si="2"/>
        <v>2.23</v>
      </c>
      <c r="AC43" s="510"/>
      <c r="AD43" s="36" cm="1">
        <f t="array" ref="AD43">IFERROR(INDEX('Offer Statistics'!$BQ$2:$BQ$400,MATCH(1,($A43='Offer Statistics'!$BB$2:$BB$400)*($AC$2='Offer Statistics'!$BC$2:$BC$400),0)),"/")</f>
        <v>30</v>
      </c>
      <c r="AE43" s="64" cm="1">
        <f t="array" ref="AE43">IFERROR(INDEX('Offer Statistics'!BL$2:BL$400,MATCH(1,($A43='Offer Statistics'!$BB$2:$BB$400)*($AC$2='Offer Statistics'!$BC$2:$BC$400),0)),"/")</f>
        <v>30</v>
      </c>
      <c r="AF43" s="64" cm="1">
        <f t="array" ref="AF43">IFERROR(INDEX('Offer Statistics'!BM$2:BM$400,MATCH(1,($A43='Offer Statistics'!$BB$2:$BB$400)*($AC$2='Offer Statistics'!$BC$2:$BC$400),0)),"/")</f>
        <v>0</v>
      </c>
      <c r="AG43" s="64" cm="1">
        <f t="array" ref="AG43">IFERROR(INDEX('Offer Statistics'!BN$2:BN$400,MATCH(1,($A43='Offer Statistics'!$BB$2:$BB$400)*($AC$2='Offer Statistics'!$BC$2:$BC$400),0)),"/")</f>
        <v>0</v>
      </c>
      <c r="AH43" s="64" cm="1">
        <f t="array" ref="AH43">IFERROR(INDEX('Offer Statistics'!BO$2:BO$400,MATCH(1,($A43='Offer Statistics'!$BB$2:$BB$400)*($AC$2='Offer Statistics'!$BC$2:$BC$400),0)),"/")</f>
        <v>0</v>
      </c>
      <c r="AI43" s="64" cm="1">
        <f t="array" ref="AI43">IFERROR(INDEX('Offer Statistics'!BP$2:BP$400,MATCH(1,($A43='Offer Statistics'!$BB$2:$BB$400)*($AC$2='Offer Statistics'!$BC$2:$BC$400),0)),"/")</f>
        <v>0</v>
      </c>
      <c r="AJ43" s="511"/>
      <c r="AK43" s="36" cm="1">
        <f t="array" ref="AK43">IFERROR(INDEX('Offer Statistics'!$BI$2:$BI$400,MATCH(1,($A43='Offer Statistics'!$BB$2:$BB$400)*($AC$2='Offer Statistics'!$BC$2:$BC$400),0)),"/")</f>
        <v>409</v>
      </c>
      <c r="AL43" s="64" cm="1">
        <f t="array" ref="AL43">IFERROR(INDEX('Offer Statistics'!BD$2:BD$400,MATCH(1,($A43='Offer Statistics'!$BB$2:$BB$400)*($AC$2='Offer Statistics'!$BC$2:$BC$400),0)),"/")</f>
        <v>67</v>
      </c>
      <c r="AM43" s="64" cm="1">
        <f t="array" ref="AM43">IFERROR(INDEX('Offer Statistics'!BE$2:BE$400,MATCH(1,($A43='Offer Statistics'!$BB$2:$BB$400)*($AC$2='Offer Statistics'!$BC$2:$BC$400),0)),"/")</f>
        <v>35</v>
      </c>
      <c r="AN43" s="64" cm="1">
        <f t="array" ref="AN43">IFERROR(INDEX('Offer Statistics'!BF$2:BF$400,MATCH(1,($A43='Offer Statistics'!$BB$2:$BB$400)*($AC$2='Offer Statistics'!$BC$2:$BC$400),0)),"/")</f>
        <v>51</v>
      </c>
      <c r="AO43" s="64" cm="1">
        <f t="array" ref="AO43">IFERROR(INDEX('Offer Statistics'!BG$2:BG$400,MATCH(1,($A43='Offer Statistics'!$BB$2:$BB$400)*($AC$2='Offer Statistics'!$BC$2:$BC$400),0)),"/")</f>
        <v>76</v>
      </c>
      <c r="AP43" s="64" cm="1">
        <f t="array" ref="AP43">IFERROR(INDEX('Offer Statistics'!BH$2:BH$400,MATCH(1,($A43='Offer Statistics'!$BB$2:$BB$400)*($AC$2='Offer Statistics'!$BC$2:$BC$400),0)),"/")</f>
        <v>180</v>
      </c>
      <c r="AQ43" s="15"/>
      <c r="AR43" s="15" t="str">
        <f t="shared" si="3"/>
        <v>JS4502</v>
      </c>
    </row>
    <row r="44" spans="1:44" s="10" customFormat="1" ht="18" customHeight="1">
      <c r="A44" s="4" t="str">
        <f>'Reference Score Calculation'!A170</f>
        <v>JS4513</v>
      </c>
      <c r="B44" s="4" t="str">
        <f>'Reference Score Calculation'!C170</f>
        <v>醫學院</v>
      </c>
      <c r="C44" s="4" t="str">
        <f>'Reference Score Calculation'!D170</f>
        <v>護理學</v>
      </c>
      <c r="D44" s="4" t="str">
        <f>'Reference Score Calculation'!R170</f>
        <v>NURSING</v>
      </c>
      <c r="E44" s="392" t="str">
        <f>'Reference Score Calculation'!AB170</f>
        <v>Best 5</v>
      </c>
      <c r="F44" s="397" t="str">
        <f>'Reference Score Calculation'!E170</f>
        <v>4C2X</v>
      </c>
      <c r="G44" s="6">
        <f>'Reference Score Calculation'!G170</f>
        <v>34.1</v>
      </c>
      <c r="H44" s="6">
        <f>'Reference Score Calculation'!H170</f>
        <v>32.9</v>
      </c>
      <c r="I44" s="6">
        <f>'Reference Score Calculation'!I170</f>
        <v>31.1</v>
      </c>
      <c r="J44" s="45">
        <f>計分版!J193</f>
        <v>2.7499999999999998E-9</v>
      </c>
      <c r="K44" s="25">
        <f t="shared" si="0"/>
        <v>-32.899999997249999</v>
      </c>
      <c r="L44" s="26">
        <f t="shared" si="1"/>
        <v>-11963636362.636364</v>
      </c>
      <c r="M44" s="36">
        <f>'Reference Score Calculation'!T170</f>
        <v>217</v>
      </c>
      <c r="N44" s="86">
        <f>入學要求!Z179</f>
        <v>0</v>
      </c>
      <c r="O44" s="516"/>
      <c r="P44" s="166">
        <f>入學要求!L179</f>
        <v>3</v>
      </c>
      <c r="Q44" s="166">
        <f>入學要求!M179</f>
        <v>3</v>
      </c>
      <c r="R44" s="166">
        <f>入學要求!N179</f>
        <v>2</v>
      </c>
      <c r="S44" s="166">
        <f>入學要求!O179</f>
        <v>1</v>
      </c>
      <c r="T44" s="166">
        <f>入學要求!P179</f>
        <v>3</v>
      </c>
      <c r="U44" s="166">
        <f>入學要求!Q179</f>
        <v>3</v>
      </c>
      <c r="V44" s="256">
        <f>入學要求!S179</f>
        <v>0</v>
      </c>
      <c r="W44" s="256">
        <f>入學要求!T179</f>
        <v>0</v>
      </c>
      <c r="X44" s="256">
        <f>入學要求!U179</f>
        <v>0</v>
      </c>
      <c r="Y44" s="256">
        <f>入學要求!V179</f>
        <v>0</v>
      </c>
      <c r="Z44" s="256">
        <f>入學要求!W179</f>
        <v>0</v>
      </c>
      <c r="AA44" s="256">
        <f>入學要求!X179</f>
        <v>0</v>
      </c>
      <c r="AB44" s="36">
        <f t="shared" si="2"/>
        <v>3.67</v>
      </c>
      <c r="AC44" s="510"/>
      <c r="AD44" s="36" cm="1">
        <f t="array" ref="AD44">IFERROR(INDEX('Offer Statistics'!$BQ$2:$BQ$400,MATCH(1,($A44='Offer Statistics'!$BB$2:$BB$400)*($AC$2='Offer Statistics'!$BC$2:$BC$400),0)),"/")</f>
        <v>245</v>
      </c>
      <c r="AE44" s="64" cm="1">
        <f t="array" ref="AE44">IFERROR(INDEX('Offer Statistics'!BL$2:BL$400,MATCH(1,($A44='Offer Statistics'!$BB$2:$BB$400)*($AC$2='Offer Statistics'!$BC$2:$BC$400),0)),"/")</f>
        <v>245</v>
      </c>
      <c r="AF44" s="64" cm="1">
        <f t="array" ref="AF44">IFERROR(INDEX('Offer Statistics'!BM$2:BM$400,MATCH(1,($A44='Offer Statistics'!$BB$2:$BB$400)*($AC$2='Offer Statistics'!$BC$2:$BC$400),0)),"/")</f>
        <v>0</v>
      </c>
      <c r="AG44" s="64" cm="1">
        <f t="array" ref="AG44">IFERROR(INDEX('Offer Statistics'!BN$2:BN$400,MATCH(1,($A44='Offer Statistics'!$BB$2:$BB$400)*($AC$2='Offer Statistics'!$BC$2:$BC$400),0)),"/")</f>
        <v>0</v>
      </c>
      <c r="AH44" s="64" cm="1">
        <f t="array" ref="AH44">IFERROR(INDEX('Offer Statistics'!BO$2:BO$400,MATCH(1,($A44='Offer Statistics'!$BB$2:$BB$400)*($AC$2='Offer Statistics'!$BC$2:$BC$400),0)),"/")</f>
        <v>0</v>
      </c>
      <c r="AI44" s="64" cm="1">
        <f t="array" ref="AI44">IFERROR(INDEX('Offer Statistics'!BP$2:BP$400,MATCH(1,($A44='Offer Statistics'!$BB$2:$BB$400)*($AC$2='Offer Statistics'!$BC$2:$BC$400),0)),"/")</f>
        <v>0</v>
      </c>
      <c r="AJ44" s="511"/>
      <c r="AK44" s="36" cm="1">
        <f t="array" ref="AK44">IFERROR(INDEX('Offer Statistics'!$BI$2:$BI$400,MATCH(1,($A44='Offer Statistics'!$BB$2:$BB$400)*($AC$2='Offer Statistics'!$BC$2:$BC$400),0)),"/")</f>
        <v>4200</v>
      </c>
      <c r="AL44" s="64" cm="1">
        <f t="array" ref="AL44">IFERROR(INDEX('Offer Statistics'!BD$2:BD$400,MATCH(1,($A44='Offer Statistics'!$BB$2:$BB$400)*($AC$2='Offer Statistics'!$BC$2:$BC$400),0)),"/")</f>
        <v>900</v>
      </c>
      <c r="AM44" s="64" cm="1">
        <f t="array" ref="AM44">IFERROR(INDEX('Offer Statistics'!BE$2:BE$400,MATCH(1,($A44='Offer Statistics'!$BB$2:$BB$400)*($AC$2='Offer Statistics'!$BC$2:$BC$400),0)),"/")</f>
        <v>734</v>
      </c>
      <c r="AN44" s="64" cm="1">
        <f t="array" ref="AN44">IFERROR(INDEX('Offer Statistics'!BF$2:BF$400,MATCH(1,($A44='Offer Statistics'!$BB$2:$BB$400)*($AC$2='Offer Statistics'!$BC$2:$BC$400),0)),"/")</f>
        <v>915</v>
      </c>
      <c r="AO44" s="64" cm="1">
        <f t="array" ref="AO44">IFERROR(INDEX('Offer Statistics'!BG$2:BG$400,MATCH(1,($A44='Offer Statistics'!$BB$2:$BB$400)*($AC$2='Offer Statistics'!$BC$2:$BC$400),0)),"/")</f>
        <v>916</v>
      </c>
      <c r="AP44" s="64" cm="1">
        <f t="array" ref="AP44">IFERROR(INDEX('Offer Statistics'!BH$2:BH$400,MATCH(1,($A44='Offer Statistics'!$BB$2:$BB$400)*($AC$2='Offer Statistics'!$BC$2:$BC$400),0)),"/")</f>
        <v>735</v>
      </c>
      <c r="AQ44" s="15"/>
      <c r="AR44" s="15" t="str">
        <f t="shared" si="3"/>
        <v>JS4513</v>
      </c>
    </row>
    <row r="45" spans="1:44" ht="18" customHeight="1">
      <c r="A45" s="4" t="str">
        <f>'Reference Score Calculation'!A171</f>
        <v>JS4525</v>
      </c>
      <c r="B45" s="4" t="str">
        <f>'Reference Score Calculation'!C171</f>
        <v>醫學院</v>
      </c>
      <c r="C45" s="4" t="str">
        <f>'Reference Score Calculation'!D171</f>
        <v>藥劑學</v>
      </c>
      <c r="D45" s="4" t="str">
        <f>'Reference Score Calculation'!R171</f>
        <v>PHARMACY</v>
      </c>
      <c r="E45" s="392" t="str">
        <f>'Reference Score Calculation'!AB171</f>
        <v>Best 5</v>
      </c>
      <c r="F45" s="395" t="str">
        <f>'Reference Score Calculation'!E171</f>
        <v>4C2X</v>
      </c>
      <c r="G45" s="6">
        <f>'Reference Score Calculation'!G171</f>
        <v>36</v>
      </c>
      <c r="H45" s="6">
        <f>'Reference Score Calculation'!H171</f>
        <v>34.5</v>
      </c>
      <c r="I45" s="6">
        <f>'Reference Score Calculation'!I171</f>
        <v>33</v>
      </c>
      <c r="J45" s="45">
        <f>計分版!J194</f>
        <v>2.7499999999999998E-9</v>
      </c>
      <c r="K45" s="25">
        <f t="shared" si="0"/>
        <v>-34.499999997250001</v>
      </c>
      <c r="L45" s="26">
        <f t="shared" si="1"/>
        <v>-12545454544.454546</v>
      </c>
      <c r="M45" s="36">
        <f>'Reference Score Calculation'!T171</f>
        <v>59</v>
      </c>
      <c r="N45" s="86">
        <f>入學要求!Z180</f>
        <v>0</v>
      </c>
      <c r="O45" s="516"/>
      <c r="P45" s="166">
        <f>入學要求!L180</f>
        <v>3</v>
      </c>
      <c r="Q45" s="166">
        <f>入學要求!M180</f>
        <v>3</v>
      </c>
      <c r="R45" s="166">
        <f>入學要求!N180</f>
        <v>3</v>
      </c>
      <c r="S45" s="166">
        <f>入學要求!O180</f>
        <v>1</v>
      </c>
      <c r="T45" s="166">
        <f>入學要求!P180</f>
        <v>3</v>
      </c>
      <c r="U45" s="166">
        <f>入學要求!Q180</f>
        <v>3</v>
      </c>
      <c r="V45" s="256">
        <f>入學要求!S180</f>
        <v>0</v>
      </c>
      <c r="W45" s="256">
        <f>入學要求!T180</f>
        <v>0</v>
      </c>
      <c r="X45" s="256">
        <f>入學要求!U180</f>
        <v>0</v>
      </c>
      <c r="Y45" s="256">
        <f>入學要求!V180</f>
        <v>0</v>
      </c>
      <c r="Z45" s="256">
        <f>入學要求!W180</f>
        <v>0</v>
      </c>
      <c r="AA45" s="256">
        <f>入學要求!X180</f>
        <v>0</v>
      </c>
      <c r="AB45" s="36">
        <f t="shared" si="2"/>
        <v>5.12</v>
      </c>
      <c r="AC45" s="510"/>
      <c r="AD45" s="36" cm="1">
        <f t="array" ref="AD45">IFERROR(INDEX('Offer Statistics'!$BQ$2:$BQ$400,MATCH(1,($A45='Offer Statistics'!$BB$2:$BB$400)*($AC$2='Offer Statistics'!$BC$2:$BC$400),0)),"/")</f>
        <v>60</v>
      </c>
      <c r="AE45" s="64" cm="1">
        <f t="array" ref="AE45">IFERROR(INDEX('Offer Statistics'!BL$2:BL$400,MATCH(1,($A45='Offer Statistics'!$BB$2:$BB$400)*($AC$2='Offer Statistics'!$BC$2:$BC$400),0)),"/")</f>
        <v>60</v>
      </c>
      <c r="AF45" s="64" cm="1">
        <f t="array" ref="AF45">IFERROR(INDEX('Offer Statistics'!BM$2:BM$400,MATCH(1,($A45='Offer Statistics'!$BB$2:$BB$400)*($AC$2='Offer Statistics'!$BC$2:$BC$400),0)),"/")</f>
        <v>0</v>
      </c>
      <c r="AG45" s="64" cm="1">
        <f t="array" ref="AG45">IFERROR(INDEX('Offer Statistics'!BN$2:BN$400,MATCH(1,($A45='Offer Statistics'!$BB$2:$BB$400)*($AC$2='Offer Statistics'!$BC$2:$BC$400),0)),"/")</f>
        <v>0</v>
      </c>
      <c r="AH45" s="64" cm="1">
        <f t="array" ref="AH45">IFERROR(INDEX('Offer Statistics'!BO$2:BO$400,MATCH(1,($A45='Offer Statistics'!$BB$2:$BB$400)*($AC$2='Offer Statistics'!$BC$2:$BC$400),0)),"/")</f>
        <v>0</v>
      </c>
      <c r="AI45" s="64" cm="1">
        <f t="array" ref="AI45">IFERROR(INDEX('Offer Statistics'!BP$2:BP$400,MATCH(1,($A45='Offer Statistics'!$BB$2:$BB$400)*($AC$2='Offer Statistics'!$BC$2:$BC$400),0)),"/")</f>
        <v>0</v>
      </c>
      <c r="AJ45" s="511"/>
      <c r="AK45" s="36" cm="1">
        <f t="array" ref="AK45">IFERROR(INDEX('Offer Statistics'!$BI$2:$BI$400,MATCH(1,($A45='Offer Statistics'!$BB$2:$BB$400)*($AC$2='Offer Statistics'!$BC$2:$BC$400),0)),"/")</f>
        <v>2058</v>
      </c>
      <c r="AL45" s="64" cm="1">
        <f t="array" ref="AL45">IFERROR(INDEX('Offer Statistics'!BD$2:BD$400,MATCH(1,($A45='Offer Statistics'!$BB$2:$BB$400)*($AC$2='Offer Statistics'!$BC$2:$BC$400),0)),"/")</f>
        <v>307</v>
      </c>
      <c r="AM45" s="64" cm="1">
        <f t="array" ref="AM45">IFERROR(INDEX('Offer Statistics'!BE$2:BE$400,MATCH(1,($A45='Offer Statistics'!$BB$2:$BB$400)*($AC$2='Offer Statistics'!$BC$2:$BC$400),0)),"/")</f>
        <v>233</v>
      </c>
      <c r="AN45" s="64" cm="1">
        <f t="array" ref="AN45">IFERROR(INDEX('Offer Statistics'!BF$2:BF$400,MATCH(1,($A45='Offer Statistics'!$BB$2:$BB$400)*($AC$2='Offer Statistics'!$BC$2:$BC$400),0)),"/")</f>
        <v>414</v>
      </c>
      <c r="AO45" s="64" cm="1">
        <f t="array" ref="AO45">IFERROR(INDEX('Offer Statistics'!BG$2:BG$400,MATCH(1,($A45='Offer Statistics'!$BB$2:$BB$400)*($AC$2='Offer Statistics'!$BC$2:$BC$400),0)),"/")</f>
        <v>586</v>
      </c>
      <c r="AP45" s="64" cm="1">
        <f t="array" ref="AP45">IFERROR(INDEX('Offer Statistics'!BH$2:BH$400,MATCH(1,($A45='Offer Statistics'!$BB$2:$BB$400)*($AC$2='Offer Statistics'!$BC$2:$BC$400),0)),"/")</f>
        <v>518</v>
      </c>
      <c r="AQ45" s="15"/>
      <c r="AR45" s="15" t="str">
        <f t="shared" si="3"/>
        <v>JS4525</v>
      </c>
    </row>
    <row r="46" spans="1:44" s="10" customFormat="1" ht="18" customHeight="1">
      <c r="A46" s="4" t="str">
        <f>'Reference Score Calculation'!A172</f>
        <v>JS4537</v>
      </c>
      <c r="B46" s="4" t="str">
        <f>'Reference Score Calculation'!C172</f>
        <v>醫學院</v>
      </c>
      <c r="C46" s="4" t="str">
        <f>'Reference Score Calculation'!D172</f>
        <v>公共衞生</v>
      </c>
      <c r="D46" s="4" t="str">
        <f>'Reference Score Calculation'!R172</f>
        <v>PUBLIC HEALTH</v>
      </c>
      <c r="E46" s="392" t="str">
        <f>'Reference Score Calculation'!AB172</f>
        <v>Best 5</v>
      </c>
      <c r="F46" s="395" t="str">
        <f>'Reference Score Calculation'!E172</f>
        <v>Best 5</v>
      </c>
      <c r="G46" s="6">
        <f>'Reference Score Calculation'!G172</f>
        <v>24.5</v>
      </c>
      <c r="H46" s="6">
        <f>'Reference Score Calculation'!H172</f>
        <v>24.5</v>
      </c>
      <c r="I46" s="6">
        <f>'Reference Score Calculation'!I172</f>
        <v>23.5</v>
      </c>
      <c r="J46" s="45">
        <f>計分版!J195</f>
        <v>3.9500000000000006E-9</v>
      </c>
      <c r="K46" s="25">
        <f t="shared" si="0"/>
        <v>-24.499999996050001</v>
      </c>
      <c r="L46" s="26">
        <f t="shared" si="1"/>
        <v>-6202531644.5696192</v>
      </c>
      <c r="M46" s="36">
        <f>'Reference Score Calculation'!T172</f>
        <v>31</v>
      </c>
      <c r="N46" s="86">
        <f>入學要求!Z181</f>
        <v>0</v>
      </c>
      <c r="O46" s="516"/>
      <c r="P46" s="166">
        <f>入學要求!L181</f>
        <v>3</v>
      </c>
      <c r="Q46" s="166">
        <f>入學要求!M181</f>
        <v>3</v>
      </c>
      <c r="R46" s="166">
        <f>入學要求!N181</f>
        <v>2</v>
      </c>
      <c r="S46" s="166">
        <f>入學要求!O181</f>
        <v>1</v>
      </c>
      <c r="T46" s="166">
        <f>入學要求!P181</f>
        <v>3</v>
      </c>
      <c r="U46" s="166">
        <f>入學要求!Q181</f>
        <v>3</v>
      </c>
      <c r="V46" s="256">
        <f>入學要求!S181</f>
        <v>0</v>
      </c>
      <c r="W46" s="256">
        <f>入學要求!T181</f>
        <v>0</v>
      </c>
      <c r="X46" s="256">
        <f>入學要求!U181</f>
        <v>0</v>
      </c>
      <c r="Y46" s="256">
        <f>入學要求!V181</f>
        <v>0</v>
      </c>
      <c r="Z46" s="256">
        <f>入學要求!W181</f>
        <v>0</v>
      </c>
      <c r="AA46" s="256">
        <f>入學要求!X181</f>
        <v>0</v>
      </c>
      <c r="AB46" s="36">
        <f t="shared" si="2"/>
        <v>6.93</v>
      </c>
      <c r="AC46" s="510"/>
      <c r="AD46" s="36" cm="1">
        <f t="array" ref="AD46">IFERROR(INDEX('Offer Statistics'!$BQ$2:$BQ$400,MATCH(1,($A46='Offer Statistics'!$BB$2:$BB$400)*($AC$2='Offer Statistics'!$BC$2:$BC$400),0)),"/")</f>
        <v>15</v>
      </c>
      <c r="AE46" s="64" cm="1">
        <f t="array" ref="AE46">IFERROR(INDEX('Offer Statistics'!BL$2:BL$400,MATCH(1,($A46='Offer Statistics'!$BB$2:$BB$400)*($AC$2='Offer Statistics'!$BC$2:$BC$400),0)),"/")</f>
        <v>15</v>
      </c>
      <c r="AF46" s="64" cm="1">
        <f t="array" ref="AF46">IFERROR(INDEX('Offer Statistics'!BM$2:BM$400,MATCH(1,($A46='Offer Statistics'!$BB$2:$BB$400)*($AC$2='Offer Statistics'!$BC$2:$BC$400),0)),"/")</f>
        <v>0</v>
      </c>
      <c r="AG46" s="64" cm="1">
        <f t="array" ref="AG46">IFERROR(INDEX('Offer Statistics'!BN$2:BN$400,MATCH(1,($A46='Offer Statistics'!$BB$2:$BB$400)*($AC$2='Offer Statistics'!$BC$2:$BC$400),0)),"/")</f>
        <v>0</v>
      </c>
      <c r="AH46" s="64" cm="1">
        <f t="array" ref="AH46">IFERROR(INDEX('Offer Statistics'!BO$2:BO$400,MATCH(1,($A46='Offer Statistics'!$BB$2:$BB$400)*($AC$2='Offer Statistics'!$BC$2:$BC$400),0)),"/")</f>
        <v>0</v>
      </c>
      <c r="AI46" s="64" cm="1">
        <f t="array" ref="AI46">IFERROR(INDEX('Offer Statistics'!BP$2:BP$400,MATCH(1,($A46='Offer Statistics'!$BB$2:$BB$400)*($AC$2='Offer Statistics'!$BC$2:$BC$400),0)),"/")</f>
        <v>0</v>
      </c>
      <c r="AJ46" s="511"/>
      <c r="AK46" s="36" cm="1">
        <f t="array" ref="AK46">IFERROR(INDEX('Offer Statistics'!$BI$2:$BI$400,MATCH(1,($A46='Offer Statistics'!$BB$2:$BB$400)*($AC$2='Offer Statistics'!$BC$2:$BC$400),0)),"/")</f>
        <v>2061</v>
      </c>
      <c r="AL46" s="64" cm="1">
        <f t="array" ref="AL46">IFERROR(INDEX('Offer Statistics'!BD$2:BD$400,MATCH(1,($A46='Offer Statistics'!$BB$2:$BB$400)*($AC$2='Offer Statistics'!$BC$2:$BC$400),0)),"/")</f>
        <v>104</v>
      </c>
      <c r="AM46" s="64" cm="1">
        <f t="array" ref="AM46">IFERROR(INDEX('Offer Statistics'!BE$2:BE$400,MATCH(1,($A46='Offer Statistics'!$BB$2:$BB$400)*($AC$2='Offer Statistics'!$BC$2:$BC$400),0)),"/")</f>
        <v>224</v>
      </c>
      <c r="AN46" s="64" cm="1">
        <f t="array" ref="AN46">IFERROR(INDEX('Offer Statistics'!BF$2:BF$400,MATCH(1,($A46='Offer Statistics'!$BB$2:$BB$400)*($AC$2='Offer Statistics'!$BC$2:$BC$400),0)),"/")</f>
        <v>439</v>
      </c>
      <c r="AO46" s="64" cm="1">
        <f t="array" ref="AO46">IFERROR(INDEX('Offer Statistics'!BG$2:BG$400,MATCH(1,($A46='Offer Statistics'!$BB$2:$BB$400)*($AC$2='Offer Statistics'!$BC$2:$BC$400),0)),"/")</f>
        <v>642</v>
      </c>
      <c r="AP46" s="64" cm="1">
        <f t="array" ref="AP46">IFERROR(INDEX('Offer Statistics'!BH$2:BH$400,MATCH(1,($A46='Offer Statistics'!$BB$2:$BB$400)*($AC$2='Offer Statistics'!$BC$2:$BC$400),0)),"/")</f>
        <v>652</v>
      </c>
      <c r="AQ46" s="15"/>
      <c r="AR46" s="15" t="str">
        <f t="shared" si="3"/>
        <v>JS4537</v>
      </c>
    </row>
    <row r="47" spans="1:44" ht="18" customHeight="1">
      <c r="A47" s="4" t="str">
        <f>'Reference Score Calculation'!A173</f>
        <v>JS4542</v>
      </c>
      <c r="B47" s="4" t="str">
        <f>'Reference Score Calculation'!C173</f>
        <v>醫學院</v>
      </c>
      <c r="C47" s="4" t="str">
        <f>'Reference Score Calculation'!D173</f>
        <v>中醫學</v>
      </c>
      <c r="D47" s="4" t="str">
        <f>'Reference Score Calculation'!R173</f>
        <v>CHIN MEDICINE</v>
      </c>
      <c r="E47" s="392" t="str">
        <f>'Reference Score Calculation'!AB173</f>
        <v>Best 5</v>
      </c>
      <c r="F47" s="395" t="str">
        <f>'Reference Score Calculation'!E173</f>
        <v>4C2X</v>
      </c>
      <c r="G47" s="6">
        <f>'Reference Score Calculation'!G173</f>
        <v>34.5</v>
      </c>
      <c r="H47" s="6">
        <f>'Reference Score Calculation'!H173</f>
        <v>32</v>
      </c>
      <c r="I47" s="6">
        <f>'Reference Score Calculation'!I173</f>
        <v>31.5</v>
      </c>
      <c r="J47" s="45">
        <f>計分版!J196</f>
        <v>2.7499999999999998E-9</v>
      </c>
      <c r="K47" s="25">
        <f t="shared" si="0"/>
        <v>-31.999999997250001</v>
      </c>
      <c r="L47" s="26">
        <f t="shared" si="1"/>
        <v>-11636363635.363638</v>
      </c>
      <c r="M47" s="36">
        <f>'Reference Score Calculation'!T173</f>
        <v>20</v>
      </c>
      <c r="N47" s="86">
        <f>入學要求!Z182</f>
        <v>0</v>
      </c>
      <c r="O47" s="516"/>
      <c r="P47" s="166">
        <f>入學要求!L182</f>
        <v>3</v>
      </c>
      <c r="Q47" s="166">
        <f>入學要求!M182</f>
        <v>3</v>
      </c>
      <c r="R47" s="166">
        <f>入學要求!N182</f>
        <v>2</v>
      </c>
      <c r="S47" s="166">
        <f>入學要求!O182</f>
        <v>1</v>
      </c>
      <c r="T47" s="166">
        <f>入學要求!P182</f>
        <v>3</v>
      </c>
      <c r="U47" s="166">
        <f>入學要求!Q182</f>
        <v>3</v>
      </c>
      <c r="V47" s="256">
        <f>入學要求!S182</f>
        <v>0</v>
      </c>
      <c r="W47" s="256">
        <f>入學要求!T182</f>
        <v>0</v>
      </c>
      <c r="X47" s="256">
        <f>入學要求!U182</f>
        <v>0</v>
      </c>
      <c r="Y47" s="256">
        <f>入學要求!V182</f>
        <v>0</v>
      </c>
      <c r="Z47" s="256">
        <f>入學要求!W182</f>
        <v>0</v>
      </c>
      <c r="AA47" s="256">
        <f>入學要求!X182</f>
        <v>0</v>
      </c>
      <c r="AB47" s="36">
        <f t="shared" si="2"/>
        <v>7.07</v>
      </c>
      <c r="AC47" s="510"/>
      <c r="AD47" s="36" cm="1">
        <f t="array" ref="AD47">IFERROR(INDEX('Offer Statistics'!$BQ$2:$BQ$400,MATCH(1,($A47='Offer Statistics'!$BB$2:$BB$400)*($AC$2='Offer Statistics'!$BC$2:$BC$400),0)),"/")</f>
        <v>27</v>
      </c>
      <c r="AE47" s="64" cm="1">
        <f t="array" ref="AE47">IFERROR(INDEX('Offer Statistics'!BL$2:BL$400,MATCH(1,($A47='Offer Statistics'!$BB$2:$BB$400)*($AC$2='Offer Statistics'!$BC$2:$BC$400),0)),"/")</f>
        <v>27</v>
      </c>
      <c r="AF47" s="64" cm="1">
        <f t="array" ref="AF47">IFERROR(INDEX('Offer Statistics'!BM$2:BM$400,MATCH(1,($A47='Offer Statistics'!$BB$2:$BB$400)*($AC$2='Offer Statistics'!$BC$2:$BC$400),0)),"/")</f>
        <v>0</v>
      </c>
      <c r="AG47" s="64" cm="1">
        <f t="array" ref="AG47">IFERROR(INDEX('Offer Statistics'!BN$2:BN$400,MATCH(1,($A47='Offer Statistics'!$BB$2:$BB$400)*($AC$2='Offer Statistics'!$BC$2:$BC$400),0)),"/")</f>
        <v>0</v>
      </c>
      <c r="AH47" s="64" cm="1">
        <f t="array" ref="AH47">IFERROR(INDEX('Offer Statistics'!BO$2:BO$400,MATCH(1,($A47='Offer Statistics'!$BB$2:$BB$400)*($AC$2='Offer Statistics'!$BC$2:$BC$400),0)),"/")</f>
        <v>0</v>
      </c>
      <c r="AI47" s="64" cm="1">
        <f t="array" ref="AI47">IFERROR(INDEX('Offer Statistics'!BP$2:BP$400,MATCH(1,($A47='Offer Statistics'!$BB$2:$BB$400)*($AC$2='Offer Statistics'!$BC$2:$BC$400),0)),"/")</f>
        <v>0</v>
      </c>
      <c r="AJ47" s="511"/>
      <c r="AK47" s="36" cm="1">
        <f t="array" ref="AK47">IFERROR(INDEX('Offer Statistics'!$BI$2:$BI$400,MATCH(1,($A47='Offer Statistics'!$BB$2:$BB$400)*($AC$2='Offer Statistics'!$BC$2:$BC$400),0)),"/")</f>
        <v>1473</v>
      </c>
      <c r="AL47" s="64" cm="1">
        <f t="array" ref="AL47">IFERROR(INDEX('Offer Statistics'!BD$2:BD$400,MATCH(1,($A47='Offer Statistics'!$BB$2:$BB$400)*($AC$2='Offer Statistics'!$BC$2:$BC$400),0)),"/")</f>
        <v>191</v>
      </c>
      <c r="AM47" s="64" cm="1">
        <f t="array" ref="AM47">IFERROR(INDEX('Offer Statistics'!BE$2:BE$400,MATCH(1,($A47='Offer Statistics'!$BB$2:$BB$400)*($AC$2='Offer Statistics'!$BC$2:$BC$400),0)),"/")</f>
        <v>137</v>
      </c>
      <c r="AN47" s="64" cm="1">
        <f t="array" ref="AN47">IFERROR(INDEX('Offer Statistics'!BF$2:BF$400,MATCH(1,($A47='Offer Statistics'!$BB$2:$BB$400)*($AC$2='Offer Statistics'!$BC$2:$BC$400),0)),"/")</f>
        <v>320</v>
      </c>
      <c r="AO47" s="64" cm="1">
        <f t="array" ref="AO47">IFERROR(INDEX('Offer Statistics'!BG$2:BG$400,MATCH(1,($A47='Offer Statistics'!$BB$2:$BB$400)*($AC$2='Offer Statistics'!$BC$2:$BC$400),0)),"/")</f>
        <v>420</v>
      </c>
      <c r="AP47" s="64" cm="1">
        <f t="array" ref="AP47">IFERROR(INDEX('Offer Statistics'!BH$2:BH$400,MATCH(1,($A47='Offer Statistics'!$BB$2:$BB$400)*($AC$2='Offer Statistics'!$BC$2:$BC$400),0)),"/")</f>
        <v>405</v>
      </c>
      <c r="AQ47" s="15"/>
      <c r="AR47" s="15" t="str">
        <f t="shared" si="3"/>
        <v>JS4542</v>
      </c>
    </row>
    <row r="48" spans="1:44" s="10" customFormat="1" ht="18" customHeight="1">
      <c r="A48" s="4" t="str">
        <f>'Reference Score Calculation'!A174</f>
        <v>JS4550</v>
      </c>
      <c r="B48" s="4" t="str">
        <f>'Reference Score Calculation'!C174</f>
        <v>醫學院</v>
      </c>
      <c r="C48" s="4" t="str">
        <f>'Reference Score Calculation'!D174</f>
        <v>生物醫學</v>
      </c>
      <c r="D48" s="4" t="str">
        <f>'Reference Score Calculation'!R174</f>
        <v>BIOMEDICAL SCIENCES</v>
      </c>
      <c r="E48" s="392" t="str">
        <f>'Reference Score Calculation'!AB174</f>
        <v>3C2X</v>
      </c>
      <c r="F48" s="397" t="str">
        <f>'Reference Score Calculation'!E174</f>
        <v>4C2X</v>
      </c>
      <c r="G48" s="6">
        <f>'Reference Score Calculation'!G174</f>
        <v>36</v>
      </c>
      <c r="H48" s="6">
        <f>'Reference Score Calculation'!H174</f>
        <v>35</v>
      </c>
      <c r="I48" s="6">
        <f>'Reference Score Calculation'!I174</f>
        <v>34.5</v>
      </c>
      <c r="J48" s="45">
        <f>計分版!J197</f>
        <v>2.6000000000000001E-9</v>
      </c>
      <c r="K48" s="25">
        <f t="shared" si="0"/>
        <v>-34.999999997400003</v>
      </c>
      <c r="L48" s="26">
        <f t="shared" si="1"/>
        <v>-13461538460.538462</v>
      </c>
      <c r="M48" s="36">
        <f>'Reference Score Calculation'!T174</f>
        <v>19</v>
      </c>
      <c r="N48" s="86">
        <f>入學要求!Z183</f>
        <v>0</v>
      </c>
      <c r="O48" s="516"/>
      <c r="P48" s="166">
        <f>入學要求!L183</f>
        <v>3</v>
      </c>
      <c r="Q48" s="166">
        <f>入學要求!M183</f>
        <v>3</v>
      </c>
      <c r="R48" s="166">
        <f>入學要求!N183</f>
        <v>3</v>
      </c>
      <c r="S48" s="166">
        <f>入學要求!O183</f>
        <v>1</v>
      </c>
      <c r="T48" s="166">
        <f>入學要求!P183</f>
        <v>3</v>
      </c>
      <c r="U48" s="166">
        <f>入學要求!Q183</f>
        <v>3</v>
      </c>
      <c r="V48" s="256">
        <f>入學要求!S183</f>
        <v>0</v>
      </c>
      <c r="W48" s="256">
        <f>入學要求!T183</f>
        <v>0</v>
      </c>
      <c r="X48" s="256">
        <f>入學要求!U183</f>
        <v>0</v>
      </c>
      <c r="Y48" s="256">
        <f>入學要求!V183</f>
        <v>0</v>
      </c>
      <c r="Z48" s="256">
        <f>入學要求!W183</f>
        <v>0</v>
      </c>
      <c r="AA48" s="256">
        <f>入學要求!X183</f>
        <v>0</v>
      </c>
      <c r="AB48" s="36">
        <f t="shared" si="2"/>
        <v>6.72</v>
      </c>
      <c r="AC48" s="510"/>
      <c r="AD48" s="36" cm="1">
        <f t="array" ref="AD48">IFERROR(INDEX('Offer Statistics'!$BQ$2:$BQ$400,MATCH(1,($A48='Offer Statistics'!$BB$2:$BB$400)*($AC$2='Offer Statistics'!$BC$2:$BC$400),0)),"/")</f>
        <v>18</v>
      </c>
      <c r="AE48" s="64" cm="1">
        <f t="array" ref="AE48">IFERROR(INDEX('Offer Statistics'!BL$2:BL$400,MATCH(1,($A48='Offer Statistics'!$BB$2:$BB$400)*($AC$2='Offer Statistics'!$BC$2:$BC$400),0)),"/")</f>
        <v>18</v>
      </c>
      <c r="AF48" s="64" cm="1">
        <f t="array" ref="AF48">IFERROR(INDEX('Offer Statistics'!BM$2:BM$400,MATCH(1,($A48='Offer Statistics'!$BB$2:$BB$400)*($AC$2='Offer Statistics'!$BC$2:$BC$400),0)),"/")</f>
        <v>0</v>
      </c>
      <c r="AG48" s="64" cm="1">
        <f t="array" ref="AG48">IFERROR(INDEX('Offer Statistics'!BN$2:BN$400,MATCH(1,($A48='Offer Statistics'!$BB$2:$BB$400)*($AC$2='Offer Statistics'!$BC$2:$BC$400),0)),"/")</f>
        <v>0</v>
      </c>
      <c r="AH48" s="64" cm="1">
        <f t="array" ref="AH48">IFERROR(INDEX('Offer Statistics'!BO$2:BO$400,MATCH(1,($A48='Offer Statistics'!$BB$2:$BB$400)*($AC$2='Offer Statistics'!$BC$2:$BC$400),0)),"/")</f>
        <v>0</v>
      </c>
      <c r="AI48" s="64" cm="1">
        <f t="array" ref="AI48">IFERROR(INDEX('Offer Statistics'!BP$2:BP$400,MATCH(1,($A48='Offer Statistics'!$BB$2:$BB$400)*($AC$2='Offer Statistics'!$BC$2:$BC$400),0)),"/")</f>
        <v>0</v>
      </c>
      <c r="AJ48" s="511"/>
      <c r="AK48" s="36" cm="1">
        <f t="array" ref="AK48">IFERROR(INDEX('Offer Statistics'!$BI$2:$BI$400,MATCH(1,($A48='Offer Statistics'!$BB$2:$BB$400)*($AC$2='Offer Statistics'!$BC$2:$BC$400),0)),"/")</f>
        <v>1685</v>
      </c>
      <c r="AL48" s="64" cm="1">
        <f t="array" ref="AL48">IFERROR(INDEX('Offer Statistics'!BD$2:BD$400,MATCH(1,($A48='Offer Statistics'!$BB$2:$BB$400)*($AC$2='Offer Statistics'!$BC$2:$BC$400),0)),"/")</f>
        <v>121</v>
      </c>
      <c r="AM48" s="64" cm="1">
        <f t="array" ref="AM48">IFERROR(INDEX('Offer Statistics'!BE$2:BE$400,MATCH(1,($A48='Offer Statistics'!$BB$2:$BB$400)*($AC$2='Offer Statistics'!$BC$2:$BC$400),0)),"/")</f>
        <v>189</v>
      </c>
      <c r="AN48" s="64" cm="1">
        <f t="array" ref="AN48">IFERROR(INDEX('Offer Statistics'!BF$2:BF$400,MATCH(1,($A48='Offer Statistics'!$BB$2:$BB$400)*($AC$2='Offer Statistics'!$BC$2:$BC$400),0)),"/")</f>
        <v>411</v>
      </c>
      <c r="AO48" s="64" cm="1">
        <f t="array" ref="AO48">IFERROR(INDEX('Offer Statistics'!BG$2:BG$400,MATCH(1,($A48='Offer Statistics'!$BB$2:$BB$400)*($AC$2='Offer Statistics'!$BC$2:$BC$400),0)),"/")</f>
        <v>519</v>
      </c>
      <c r="AP48" s="64" cm="1">
        <f t="array" ref="AP48">IFERROR(INDEX('Offer Statistics'!BH$2:BH$400,MATCH(1,($A48='Offer Statistics'!$BB$2:$BB$400)*($AC$2='Offer Statistics'!$BC$2:$BC$400),0)),"/")</f>
        <v>445</v>
      </c>
      <c r="AQ48" s="15"/>
      <c r="AR48" s="15" t="str">
        <f t="shared" si="3"/>
        <v>JS4550</v>
      </c>
    </row>
    <row r="49" spans="1:44" ht="18" customHeight="1">
      <c r="A49" s="4" t="str">
        <f>'Reference Score Calculation'!A175</f>
        <v>JS4601</v>
      </c>
      <c r="B49" s="4" t="str">
        <f>'Reference Score Calculation'!C175</f>
        <v>理學院</v>
      </c>
      <c r="C49" s="4" t="str">
        <f>'Reference Score Calculation'!D175</f>
        <v>理學</v>
      </c>
      <c r="D49" s="4" t="str">
        <f>'Reference Score Calculation'!R175</f>
        <v>SCIENCE</v>
      </c>
      <c r="E49" s="392" t="str">
        <f>'Reference Score Calculation'!AB175</f>
        <v>Best 5</v>
      </c>
      <c r="F49" s="397" t="str">
        <f>'Reference Score Calculation'!E175</f>
        <v>Best 5</v>
      </c>
      <c r="G49" s="6">
        <f>'Reference Score Calculation'!G175</f>
        <v>39</v>
      </c>
      <c r="H49" s="6">
        <f>'Reference Score Calculation'!H175</f>
        <v>35.25</v>
      </c>
      <c r="I49" s="6">
        <f>'Reference Score Calculation'!I175</f>
        <v>33</v>
      </c>
      <c r="J49" s="45">
        <f>計分版!J198</f>
        <v>3.3999999999999998E-9</v>
      </c>
      <c r="K49" s="25">
        <f t="shared" si="0"/>
        <v>-35.249999996600003</v>
      </c>
      <c r="L49" s="26">
        <f t="shared" si="1"/>
        <v>-10367647057.82353</v>
      </c>
      <c r="M49" s="36">
        <f>'Reference Score Calculation'!T175</f>
        <v>352</v>
      </c>
      <c r="N49" s="86">
        <f>入學要求!Z184</f>
        <v>0</v>
      </c>
      <c r="O49" s="516"/>
      <c r="P49" s="166">
        <f>入學要求!L184</f>
        <v>3</v>
      </c>
      <c r="Q49" s="166">
        <f>入學要求!M184</f>
        <v>3</v>
      </c>
      <c r="R49" s="166">
        <f>入學要求!N184</f>
        <v>2</v>
      </c>
      <c r="S49" s="166">
        <f>入學要求!O184</f>
        <v>1</v>
      </c>
      <c r="T49" s="166">
        <f>入學要求!P184</f>
        <v>3</v>
      </c>
      <c r="U49" s="166">
        <f>入學要求!Q184</f>
        <v>3</v>
      </c>
      <c r="V49" s="256">
        <f>入學要求!S184</f>
        <v>0</v>
      </c>
      <c r="W49" s="256">
        <f>入學要求!T184</f>
        <v>0</v>
      </c>
      <c r="X49" s="256">
        <f>入學要求!U184</f>
        <v>0</v>
      </c>
      <c r="Y49" s="256">
        <f>入學要求!V184</f>
        <v>0</v>
      </c>
      <c r="Z49" s="256">
        <f>入學要求!W184</f>
        <v>0</v>
      </c>
      <c r="AA49" s="256">
        <f>入學要求!X184</f>
        <v>0</v>
      </c>
      <c r="AB49" s="36">
        <f t="shared" si="2"/>
        <v>4.87</v>
      </c>
      <c r="AC49" s="510"/>
      <c r="AD49" s="36" cm="1">
        <f t="array" ref="AD49">IFERROR(INDEX('Offer Statistics'!$BQ$2:$BQ$400,MATCH(1,($A49='Offer Statistics'!$BB$2:$BB$400)*($AC$2='Offer Statistics'!$BC$2:$BC$400),0)),"/")</f>
        <v>380</v>
      </c>
      <c r="AE49" s="64" cm="1">
        <f t="array" ref="AE49">IFERROR(INDEX('Offer Statistics'!BL$2:BL$400,MATCH(1,($A49='Offer Statistics'!$BB$2:$BB$400)*($AC$2='Offer Statistics'!$BC$2:$BC$400),0)),"/")</f>
        <v>375</v>
      </c>
      <c r="AF49" s="64" cm="1">
        <f t="array" ref="AF49">IFERROR(INDEX('Offer Statistics'!BM$2:BM$400,MATCH(1,($A49='Offer Statistics'!$BB$2:$BB$400)*($AC$2='Offer Statistics'!$BC$2:$BC$400),0)),"/")</f>
        <v>5</v>
      </c>
      <c r="AG49" s="64" cm="1">
        <f t="array" ref="AG49">IFERROR(INDEX('Offer Statistics'!BN$2:BN$400,MATCH(1,($A49='Offer Statistics'!$BB$2:$BB$400)*($AC$2='Offer Statistics'!$BC$2:$BC$400),0)),"/")</f>
        <v>0</v>
      </c>
      <c r="AH49" s="64" cm="1">
        <f t="array" ref="AH49">IFERROR(INDEX('Offer Statistics'!BO$2:BO$400,MATCH(1,($A49='Offer Statistics'!$BB$2:$BB$400)*($AC$2='Offer Statistics'!$BC$2:$BC$400),0)),"/")</f>
        <v>0</v>
      </c>
      <c r="AI49" s="64" cm="1">
        <f t="array" ref="AI49">IFERROR(INDEX('Offer Statistics'!BP$2:BP$400,MATCH(1,($A49='Offer Statistics'!$BB$2:$BB$400)*($AC$2='Offer Statistics'!$BC$2:$BC$400),0)),"/")</f>
        <v>0</v>
      </c>
      <c r="AJ49" s="511"/>
      <c r="AK49" s="36" cm="1">
        <f t="array" ref="AK49">IFERROR(INDEX('Offer Statistics'!$BI$2:$BI$400,MATCH(1,($A49='Offer Statistics'!$BB$2:$BB$400)*($AC$2='Offer Statistics'!$BC$2:$BC$400),0)),"/")</f>
        <v>5581</v>
      </c>
      <c r="AL49" s="64" cm="1">
        <f t="array" ref="AL49">IFERROR(INDEX('Offer Statistics'!BD$2:BD$400,MATCH(1,($A49='Offer Statistics'!$BB$2:$BB$400)*($AC$2='Offer Statistics'!$BC$2:$BC$400),0)),"/")</f>
        <v>1827</v>
      </c>
      <c r="AM49" s="64" cm="1">
        <f t="array" ref="AM49">IFERROR(INDEX('Offer Statistics'!BE$2:BE$400,MATCH(1,($A49='Offer Statistics'!$BB$2:$BB$400)*($AC$2='Offer Statistics'!$BC$2:$BC$400),0)),"/")</f>
        <v>983</v>
      </c>
      <c r="AN49" s="64" cm="1">
        <f t="array" ref="AN49">IFERROR(INDEX('Offer Statistics'!BF$2:BF$400,MATCH(1,($A49='Offer Statistics'!$BB$2:$BB$400)*($AC$2='Offer Statistics'!$BC$2:$BC$400),0)),"/")</f>
        <v>1002</v>
      </c>
      <c r="AO49" s="64" cm="1">
        <f t="array" ref="AO49">IFERROR(INDEX('Offer Statistics'!BG$2:BG$400,MATCH(1,($A49='Offer Statistics'!$BB$2:$BB$400)*($AC$2='Offer Statistics'!$BC$2:$BC$400),0)),"/")</f>
        <v>1012</v>
      </c>
      <c r="AP49" s="64" cm="1">
        <f t="array" ref="AP49">IFERROR(INDEX('Offer Statistics'!BH$2:BH$400,MATCH(1,($A49='Offer Statistics'!$BB$2:$BB$400)*($AC$2='Offer Statistics'!$BC$2:$BC$400),0)),"/")</f>
        <v>757</v>
      </c>
      <c r="AQ49" s="15"/>
      <c r="AR49" s="15" t="str">
        <f t="shared" si="3"/>
        <v>JS4601</v>
      </c>
    </row>
    <row r="50" spans="1:44" s="10" customFormat="1" ht="18" customHeight="1">
      <c r="A50" s="4" t="str">
        <f>'Reference Score Calculation'!A176</f>
        <v>JS4648</v>
      </c>
      <c r="B50" s="4" t="str">
        <f>'Reference Score Calculation'!C176</f>
        <v>理學院</v>
      </c>
      <c r="C50" s="4" t="str">
        <f>'Reference Score Calculation'!D176</f>
        <v>地球與環境科學</v>
      </c>
      <c r="D50" s="4" t="str">
        <f>'Reference Score Calculation'!R176</f>
        <v>EESC</v>
      </c>
      <c r="E50" s="392" t="str">
        <f>'Reference Score Calculation'!AB176</f>
        <v>Best 5</v>
      </c>
      <c r="F50" s="397" t="str">
        <f>'Reference Score Calculation'!E176</f>
        <v>Best 5</v>
      </c>
      <c r="G50" s="6">
        <f>'Reference Score Calculation'!G176</f>
        <v>56</v>
      </c>
      <c r="H50" s="6">
        <f>'Reference Score Calculation'!H176</f>
        <v>49</v>
      </c>
      <c r="I50" s="6">
        <f>'Reference Score Calculation'!I176</f>
        <v>45</v>
      </c>
      <c r="J50" s="45">
        <f>計分版!J199</f>
        <v>3.3999999999999998E-9</v>
      </c>
      <c r="K50" s="25">
        <f t="shared" si="0"/>
        <v>-48.999999996600003</v>
      </c>
      <c r="L50" s="26">
        <f t="shared" si="1"/>
        <v>-14411764704.882355</v>
      </c>
      <c r="M50" s="36">
        <f>'Reference Score Calculation'!T176</f>
        <v>35</v>
      </c>
      <c r="N50" s="86">
        <f>入學要求!Z185</f>
        <v>0</v>
      </c>
      <c r="O50" s="516"/>
      <c r="P50" s="166">
        <f>入學要求!L185</f>
        <v>3</v>
      </c>
      <c r="Q50" s="166">
        <f>入學要求!M185</f>
        <v>3</v>
      </c>
      <c r="R50" s="166">
        <f>入學要求!N185</f>
        <v>3</v>
      </c>
      <c r="S50" s="166">
        <f>入學要求!O185</f>
        <v>1</v>
      </c>
      <c r="T50" s="166">
        <f>入學要求!P185</f>
        <v>4</v>
      </c>
      <c r="U50" s="166">
        <f>入學要求!Q185</f>
        <v>3</v>
      </c>
      <c r="V50" s="256">
        <f>入學要求!S185</f>
        <v>0</v>
      </c>
      <c r="W50" s="256">
        <f>入學要求!T185</f>
        <v>0</v>
      </c>
      <c r="X50" s="256">
        <f>入學要求!U185</f>
        <v>0</v>
      </c>
      <c r="Y50" s="256">
        <f>入學要求!V185</f>
        <v>0</v>
      </c>
      <c r="Z50" s="256">
        <f>入學要求!W185</f>
        <v>0</v>
      </c>
      <c r="AA50" s="256">
        <f>入學要求!X185</f>
        <v>0</v>
      </c>
      <c r="AB50" s="36">
        <f t="shared" si="2"/>
        <v>4.87</v>
      </c>
      <c r="AC50" s="510"/>
      <c r="AD50" s="36" cm="1">
        <f t="array" ref="AD50">IFERROR(INDEX('Offer Statistics'!$BQ$2:$BQ$400,MATCH(1,($A50='Offer Statistics'!$BB$2:$BB$400)*($AC$2='Offer Statistics'!$BC$2:$BC$400),0)),"/")</f>
        <v>38</v>
      </c>
      <c r="AE50" s="64" cm="1">
        <f t="array" ref="AE50">IFERROR(INDEX('Offer Statistics'!BL$2:BL$400,MATCH(1,($A50='Offer Statistics'!$BB$2:$BB$400)*($AC$2='Offer Statistics'!$BC$2:$BC$400),0)),"/")</f>
        <v>38</v>
      </c>
      <c r="AF50" s="64" cm="1">
        <f t="array" ref="AF50">IFERROR(INDEX('Offer Statistics'!BM$2:BM$400,MATCH(1,($A50='Offer Statistics'!$BB$2:$BB$400)*($AC$2='Offer Statistics'!$BC$2:$BC$400),0)),"/")</f>
        <v>0</v>
      </c>
      <c r="AG50" s="64" cm="1">
        <f t="array" ref="AG50">IFERROR(INDEX('Offer Statistics'!BN$2:BN$400,MATCH(1,($A50='Offer Statistics'!$BB$2:$BB$400)*($AC$2='Offer Statistics'!$BC$2:$BC$400),0)),"/")</f>
        <v>0</v>
      </c>
      <c r="AH50" s="64" cm="1">
        <f t="array" ref="AH50">IFERROR(INDEX('Offer Statistics'!BO$2:BO$400,MATCH(1,($A50='Offer Statistics'!$BB$2:$BB$400)*($AC$2='Offer Statistics'!$BC$2:$BC$400),0)),"/")</f>
        <v>0</v>
      </c>
      <c r="AI50" s="64" cm="1">
        <f t="array" ref="AI50">IFERROR(INDEX('Offer Statistics'!BP$2:BP$400,MATCH(1,($A50='Offer Statistics'!$BB$2:$BB$400)*($AC$2='Offer Statistics'!$BC$2:$BC$400),0)),"/")</f>
        <v>0</v>
      </c>
      <c r="AJ50" s="511"/>
      <c r="AK50" s="36" cm="1">
        <f t="array" ref="AK50">IFERROR(INDEX('Offer Statistics'!$BI$2:$BI$400,MATCH(1,($A50='Offer Statistics'!$BB$2:$BB$400)*($AC$2='Offer Statistics'!$BC$2:$BC$400),0)),"/")</f>
        <v>1576</v>
      </c>
      <c r="AL50" s="64" cm="1">
        <f t="array" ref="AL50">IFERROR(INDEX('Offer Statistics'!BD$2:BD$400,MATCH(1,($A50='Offer Statistics'!$BB$2:$BB$400)*($AC$2='Offer Statistics'!$BC$2:$BC$400),0)),"/")</f>
        <v>185</v>
      </c>
      <c r="AM50" s="64" cm="1">
        <f t="array" ref="AM50">IFERROR(INDEX('Offer Statistics'!BE$2:BE$400,MATCH(1,($A50='Offer Statistics'!$BB$2:$BB$400)*($AC$2='Offer Statistics'!$BC$2:$BC$400),0)),"/")</f>
        <v>236</v>
      </c>
      <c r="AN50" s="64" cm="1">
        <f t="array" ref="AN50">IFERROR(INDEX('Offer Statistics'!BF$2:BF$400,MATCH(1,($A50='Offer Statistics'!$BB$2:$BB$400)*($AC$2='Offer Statistics'!$BC$2:$BC$400),0)),"/")</f>
        <v>345</v>
      </c>
      <c r="AO50" s="64" cm="1">
        <f t="array" ref="AO50">IFERROR(INDEX('Offer Statistics'!BG$2:BG$400,MATCH(1,($A50='Offer Statistics'!$BB$2:$BB$400)*($AC$2='Offer Statistics'!$BC$2:$BC$400),0)),"/")</f>
        <v>456</v>
      </c>
      <c r="AP50" s="64" cm="1">
        <f t="array" ref="AP50">IFERROR(INDEX('Offer Statistics'!BH$2:BH$400,MATCH(1,($A50='Offer Statistics'!$BB$2:$BB$400)*($AC$2='Offer Statistics'!$BC$2:$BC$400),0)),"/")</f>
        <v>354</v>
      </c>
      <c r="AQ50" s="15"/>
      <c r="AR50" s="15" t="str">
        <f t="shared" si="3"/>
        <v>JS4648</v>
      </c>
    </row>
    <row r="51" spans="1:44" ht="18" customHeight="1">
      <c r="A51" s="4" t="str">
        <f>'Reference Score Calculation'!A177</f>
        <v>JS4682</v>
      </c>
      <c r="B51" s="4" t="str">
        <f>'Reference Score Calculation'!C177</f>
        <v>理學院</v>
      </c>
      <c r="C51" s="4" t="str">
        <f>'Reference Score Calculation'!D177</f>
        <v>數學精研</v>
      </c>
      <c r="D51" s="4" t="str">
        <f>'Reference Score Calculation'!R177</f>
        <v>ENRICHMENT MATHEMATICS</v>
      </c>
      <c r="E51" s="392" t="str">
        <f>'Reference Score Calculation'!AB177</f>
        <v>Best 5</v>
      </c>
      <c r="F51" s="394" t="str">
        <f>'Reference Score Calculation'!E177</f>
        <v>Best 5</v>
      </c>
      <c r="G51" s="6">
        <f>'Reference Score Calculation'!G177</f>
        <v>56.25</v>
      </c>
      <c r="H51" s="6">
        <f>'Reference Score Calculation'!H177</f>
        <v>52.5</v>
      </c>
      <c r="I51" s="6">
        <f>'Reference Score Calculation'!I177</f>
        <v>48</v>
      </c>
      <c r="J51" s="45">
        <f>計分版!J200</f>
        <v>5.1000000000000002E-9</v>
      </c>
      <c r="K51" s="25">
        <f t="shared" si="0"/>
        <v>-52.499999994900001</v>
      </c>
      <c r="L51" s="26">
        <f t="shared" si="1"/>
        <v>-10294117646.058823</v>
      </c>
      <c r="M51" s="36">
        <f>'Reference Score Calculation'!T177</f>
        <v>35</v>
      </c>
      <c r="N51" s="86">
        <f>入學要求!Z186</f>
        <v>0</v>
      </c>
      <c r="O51" s="516"/>
      <c r="P51" s="166">
        <f>入學要求!L186</f>
        <v>3</v>
      </c>
      <c r="Q51" s="166">
        <f>入學要求!M186</f>
        <v>3</v>
      </c>
      <c r="R51" s="166">
        <f>入學要求!N186</f>
        <v>4</v>
      </c>
      <c r="S51" s="166">
        <f>入學要求!O186</f>
        <v>1</v>
      </c>
      <c r="T51" s="166">
        <f>入學要求!P186</f>
        <v>3</v>
      </c>
      <c r="U51" s="166">
        <f>入學要求!Q186</f>
        <v>4</v>
      </c>
      <c r="V51" s="256">
        <f>入學要求!S186</f>
        <v>0</v>
      </c>
      <c r="W51" s="256">
        <f>入學要求!T186</f>
        <v>0</v>
      </c>
      <c r="X51" s="256">
        <f>入學要求!U186</f>
        <v>0</v>
      </c>
      <c r="Y51" s="256">
        <f>入學要求!V186</f>
        <v>0</v>
      </c>
      <c r="Z51" s="256">
        <f>入學要求!W186</f>
        <v>0</v>
      </c>
      <c r="AA51" s="256">
        <f>入學要求!X186</f>
        <v>0</v>
      </c>
      <c r="AB51" s="36">
        <f t="shared" si="2"/>
        <v>3.53</v>
      </c>
      <c r="AC51" s="510"/>
      <c r="AD51" s="36" cm="1">
        <f t="array" ref="AD51">IFERROR(INDEX('Offer Statistics'!$BQ$2:$BQ$400,MATCH(1,($A51='Offer Statistics'!$BB$2:$BB$400)*($AC$2='Offer Statistics'!$BC$2:$BC$400),0)),"/")</f>
        <v>32</v>
      </c>
      <c r="AE51" s="64" cm="1">
        <f t="array" ref="AE51">IFERROR(INDEX('Offer Statistics'!BL$2:BL$400,MATCH(1,($A51='Offer Statistics'!$BB$2:$BB$400)*($AC$2='Offer Statistics'!$BC$2:$BC$400),0)),"/")</f>
        <v>32</v>
      </c>
      <c r="AF51" s="64" cm="1">
        <f t="array" ref="AF51">IFERROR(INDEX('Offer Statistics'!BM$2:BM$400,MATCH(1,($A51='Offer Statistics'!$BB$2:$BB$400)*($AC$2='Offer Statistics'!$BC$2:$BC$400),0)),"/")</f>
        <v>0</v>
      </c>
      <c r="AG51" s="64" cm="1">
        <f t="array" ref="AG51">IFERROR(INDEX('Offer Statistics'!BN$2:BN$400,MATCH(1,($A51='Offer Statistics'!$BB$2:$BB$400)*($AC$2='Offer Statistics'!$BC$2:$BC$400),0)),"/")</f>
        <v>0</v>
      </c>
      <c r="AH51" s="64" cm="1">
        <f t="array" ref="AH51">IFERROR(INDEX('Offer Statistics'!BO$2:BO$400,MATCH(1,($A51='Offer Statistics'!$BB$2:$BB$400)*($AC$2='Offer Statistics'!$BC$2:$BC$400),0)),"/")</f>
        <v>0</v>
      </c>
      <c r="AI51" s="64" cm="1">
        <f t="array" ref="AI51">IFERROR(INDEX('Offer Statistics'!BP$2:BP$400,MATCH(1,($A51='Offer Statistics'!$BB$2:$BB$400)*($AC$2='Offer Statistics'!$BC$2:$BC$400),0)),"/")</f>
        <v>0</v>
      </c>
      <c r="AJ51" s="511"/>
      <c r="AK51" s="36" cm="1">
        <f t="array" ref="AK51">IFERROR(INDEX('Offer Statistics'!$BI$2:$BI$400,MATCH(1,($A51='Offer Statistics'!$BB$2:$BB$400)*($AC$2='Offer Statistics'!$BC$2:$BC$400),0)),"/")</f>
        <v>619</v>
      </c>
      <c r="AL51" s="64" cm="1">
        <f t="array" ref="AL51">IFERROR(INDEX('Offer Statistics'!BD$2:BD$400,MATCH(1,($A51='Offer Statistics'!$BB$2:$BB$400)*($AC$2='Offer Statistics'!$BC$2:$BC$400),0)),"/")</f>
        <v>113</v>
      </c>
      <c r="AM51" s="64" cm="1">
        <f t="array" ref="AM51">IFERROR(INDEX('Offer Statistics'!BE$2:BE$400,MATCH(1,($A51='Offer Statistics'!$BB$2:$BB$400)*($AC$2='Offer Statistics'!$BC$2:$BC$400),0)),"/")</f>
        <v>83</v>
      </c>
      <c r="AN51" s="64" cm="1">
        <f t="array" ref="AN51">IFERROR(INDEX('Offer Statistics'!BF$2:BF$400,MATCH(1,($A51='Offer Statistics'!$BB$2:$BB$400)*($AC$2='Offer Statistics'!$BC$2:$BC$400),0)),"/")</f>
        <v>116</v>
      </c>
      <c r="AO51" s="64" cm="1">
        <f t="array" ref="AO51">IFERROR(INDEX('Offer Statistics'!BG$2:BG$400,MATCH(1,($A51='Offer Statistics'!$BB$2:$BB$400)*($AC$2='Offer Statistics'!$BC$2:$BC$400),0)),"/")</f>
        <v>141</v>
      </c>
      <c r="AP51" s="64" cm="1">
        <f t="array" ref="AP51">IFERROR(INDEX('Offer Statistics'!BH$2:BH$400,MATCH(1,($A51='Offer Statistics'!$BB$2:$BB$400)*($AC$2='Offer Statistics'!$BC$2:$BC$400),0)),"/")</f>
        <v>166</v>
      </c>
      <c r="AQ51" s="15"/>
      <c r="AR51" s="15" t="str">
        <f t="shared" si="3"/>
        <v>JS4682</v>
      </c>
    </row>
    <row r="52" spans="1:44" s="10" customFormat="1" ht="18" customHeight="1">
      <c r="A52" s="4" t="str">
        <f>'Reference Score Calculation'!A178</f>
        <v>JS4690</v>
      </c>
      <c r="B52" s="4" t="str">
        <f>'Reference Score Calculation'!C178</f>
        <v>理學院</v>
      </c>
      <c r="C52" s="4" t="str">
        <f>'Reference Score Calculation'!D178</f>
        <v>理論物理精研</v>
      </c>
      <c r="D52" s="4" t="str">
        <f>'Reference Score Calculation'!R178</f>
        <v>THEORETICAL PHYSICS</v>
      </c>
      <c r="E52" s="392" t="str">
        <f>'Reference Score Calculation'!AB178</f>
        <v>Best 5</v>
      </c>
      <c r="F52" s="394" t="str">
        <f>'Reference Score Calculation'!E178</f>
        <v>Best 5</v>
      </c>
      <c r="G52" s="6">
        <f>'Reference Score Calculation'!G178</f>
        <v>48.5</v>
      </c>
      <c r="H52" s="6">
        <f>'Reference Score Calculation'!H178</f>
        <v>45.25</v>
      </c>
      <c r="I52" s="6">
        <f>'Reference Score Calculation'!I178</f>
        <v>43</v>
      </c>
      <c r="J52" s="45">
        <f>計分版!J201</f>
        <v>4.1000000000000003E-9</v>
      </c>
      <c r="K52" s="25">
        <f t="shared" si="0"/>
        <v>-45.249999995899998</v>
      </c>
      <c r="L52" s="26">
        <f t="shared" si="1"/>
        <v>-11036585364.853657</v>
      </c>
      <c r="M52" s="36">
        <f>'Reference Score Calculation'!T178</f>
        <v>20</v>
      </c>
      <c r="N52" s="86">
        <f>入學要求!Z187</f>
        <v>0</v>
      </c>
      <c r="O52" s="516"/>
      <c r="P52" s="166">
        <f>入學要求!L187</f>
        <v>3</v>
      </c>
      <c r="Q52" s="166">
        <f>入學要求!M187</f>
        <v>3</v>
      </c>
      <c r="R52" s="166">
        <f>入學要求!N187</f>
        <v>4</v>
      </c>
      <c r="S52" s="166">
        <f>入學要求!O187</f>
        <v>1</v>
      </c>
      <c r="T52" s="166">
        <f>入學要求!P187</f>
        <v>4</v>
      </c>
      <c r="U52" s="166">
        <f>入學要求!Q187</f>
        <v>3</v>
      </c>
      <c r="V52" s="256">
        <f>入學要求!S187</f>
        <v>0</v>
      </c>
      <c r="W52" s="256">
        <f>入學要求!T187</f>
        <v>0</v>
      </c>
      <c r="X52" s="256">
        <f>入學要求!U187</f>
        <v>0</v>
      </c>
      <c r="Y52" s="256">
        <f>入學要求!V187</f>
        <v>0</v>
      </c>
      <c r="Z52" s="256">
        <f>入學要求!W187</f>
        <v>0</v>
      </c>
      <c r="AA52" s="256">
        <f>入學要求!X187</f>
        <v>0</v>
      </c>
      <c r="AB52" s="36">
        <f t="shared" si="2"/>
        <v>2.85</v>
      </c>
      <c r="AC52" s="510"/>
      <c r="AD52" s="36" cm="1">
        <f t="array" ref="AD52">IFERROR(INDEX('Offer Statistics'!$BQ$2:$BQ$400,MATCH(1,($A52='Offer Statistics'!$BB$2:$BB$400)*($AC$2='Offer Statistics'!$BC$2:$BC$400),0)),"/")</f>
        <v>27</v>
      </c>
      <c r="AE52" s="64" cm="1">
        <f t="array" ref="AE52">IFERROR(INDEX('Offer Statistics'!BL$2:BL$400,MATCH(1,($A52='Offer Statistics'!$BB$2:$BB$400)*($AC$2='Offer Statistics'!$BC$2:$BC$400),0)),"/")</f>
        <v>27</v>
      </c>
      <c r="AF52" s="64" cm="1">
        <f t="array" ref="AF52">IFERROR(INDEX('Offer Statistics'!BM$2:BM$400,MATCH(1,($A52='Offer Statistics'!$BB$2:$BB$400)*($AC$2='Offer Statistics'!$BC$2:$BC$400),0)),"/")</f>
        <v>0</v>
      </c>
      <c r="AG52" s="64" cm="1">
        <f t="array" ref="AG52">IFERROR(INDEX('Offer Statistics'!BN$2:BN$400,MATCH(1,($A52='Offer Statistics'!$BB$2:$BB$400)*($AC$2='Offer Statistics'!$BC$2:$BC$400),0)),"/")</f>
        <v>0</v>
      </c>
      <c r="AH52" s="64" cm="1">
        <f t="array" ref="AH52">IFERROR(INDEX('Offer Statistics'!BO$2:BO$400,MATCH(1,($A52='Offer Statistics'!$BB$2:$BB$400)*($AC$2='Offer Statistics'!$BC$2:$BC$400),0)),"/")</f>
        <v>0</v>
      </c>
      <c r="AI52" s="64" cm="1">
        <f t="array" ref="AI52">IFERROR(INDEX('Offer Statistics'!BP$2:BP$400,MATCH(1,($A52='Offer Statistics'!$BB$2:$BB$400)*($AC$2='Offer Statistics'!$BC$2:$BC$400),0)),"/")</f>
        <v>0</v>
      </c>
      <c r="AJ52" s="511"/>
      <c r="AK52" s="36" cm="1">
        <f t="array" ref="AK52">IFERROR(INDEX('Offer Statistics'!$BI$2:$BI$400,MATCH(1,($A52='Offer Statistics'!$BB$2:$BB$400)*($AC$2='Offer Statistics'!$BC$2:$BC$400),0)),"/")</f>
        <v>402</v>
      </c>
      <c r="AL52" s="64" cm="1">
        <f t="array" ref="AL52">IFERROR(INDEX('Offer Statistics'!BD$2:BD$400,MATCH(1,($A52='Offer Statistics'!$BB$2:$BB$400)*($AC$2='Offer Statistics'!$BC$2:$BC$400),0)),"/")</f>
        <v>77</v>
      </c>
      <c r="AM52" s="64" cm="1">
        <f t="array" ref="AM52">IFERROR(INDEX('Offer Statistics'!BE$2:BE$400,MATCH(1,($A52='Offer Statistics'!$BB$2:$BB$400)*($AC$2='Offer Statistics'!$BC$2:$BC$400),0)),"/")</f>
        <v>60</v>
      </c>
      <c r="AN52" s="64" cm="1">
        <f t="array" ref="AN52">IFERROR(INDEX('Offer Statistics'!BF$2:BF$400,MATCH(1,($A52='Offer Statistics'!$BB$2:$BB$400)*($AC$2='Offer Statistics'!$BC$2:$BC$400),0)),"/")</f>
        <v>79</v>
      </c>
      <c r="AO52" s="64" cm="1">
        <f t="array" ref="AO52">IFERROR(INDEX('Offer Statistics'!BG$2:BG$400,MATCH(1,($A52='Offer Statistics'!$BB$2:$BB$400)*($AC$2='Offer Statistics'!$BC$2:$BC$400),0)),"/")</f>
        <v>99</v>
      </c>
      <c r="AP52" s="64" cm="1">
        <f t="array" ref="AP52">IFERROR(INDEX('Offer Statistics'!BH$2:BH$400,MATCH(1,($A52='Offer Statistics'!$BB$2:$BB$400)*($AC$2='Offer Statistics'!$BC$2:$BC$400),0)),"/")</f>
        <v>87</v>
      </c>
      <c r="AQ52" s="15"/>
      <c r="AR52" s="15" t="str">
        <f t="shared" si="3"/>
        <v>JS4690</v>
      </c>
    </row>
    <row r="53" spans="1:44" ht="18" customHeight="1">
      <c r="A53" s="4" t="str">
        <f>'Reference Score Calculation'!A179</f>
        <v>JS4719</v>
      </c>
      <c r="B53" s="4" t="str">
        <f>'Reference Score Calculation'!C179</f>
        <v>理學院</v>
      </c>
      <c r="C53" s="4" t="str">
        <f>'Reference Score Calculation'!D179</f>
        <v>風險管理科學</v>
      </c>
      <c r="D53" s="4" t="str">
        <f>'Reference Score Calculation'!R179</f>
        <v>RISK MGT SCI</v>
      </c>
      <c r="E53" s="392" t="str">
        <f>'Reference Score Calculation'!AB179</f>
        <v>Best 5</v>
      </c>
      <c r="F53" s="394" t="str">
        <f>'Reference Score Calculation'!E179</f>
        <v>Best 5</v>
      </c>
      <c r="G53" s="6">
        <f>'Reference Score Calculation'!G179</f>
        <v>44.5</v>
      </c>
      <c r="H53" s="6">
        <f>'Reference Score Calculation'!H179</f>
        <v>41.5</v>
      </c>
      <c r="I53" s="6">
        <f>'Reference Score Calculation'!I179</f>
        <v>39</v>
      </c>
      <c r="J53" s="45">
        <f>計分版!J202</f>
        <v>4.3500000000000001E-9</v>
      </c>
      <c r="K53" s="25">
        <f t="shared" si="0"/>
        <v>-41.499999995650001</v>
      </c>
      <c r="L53" s="26">
        <f t="shared" si="1"/>
        <v>-9540229884.0574703</v>
      </c>
      <c r="M53" s="36">
        <f>'Reference Score Calculation'!T179</f>
        <v>25</v>
      </c>
      <c r="N53" s="86">
        <f>入學要求!Z188</f>
        <v>0</v>
      </c>
      <c r="O53" s="516"/>
      <c r="P53" s="166">
        <f>入學要求!L188</f>
        <v>3</v>
      </c>
      <c r="Q53" s="166">
        <f>入學要求!M188</f>
        <v>3</v>
      </c>
      <c r="R53" s="166">
        <f>入學要求!N188</f>
        <v>3</v>
      </c>
      <c r="S53" s="166">
        <f>入學要求!O188</f>
        <v>1</v>
      </c>
      <c r="T53" s="166">
        <f>入學要求!P188</f>
        <v>3</v>
      </c>
      <c r="U53" s="166">
        <f>入學要求!Q188</f>
        <v>3</v>
      </c>
      <c r="V53" s="256">
        <f>入學要求!S188</f>
        <v>0</v>
      </c>
      <c r="W53" s="256">
        <f>入學要求!T188</f>
        <v>0</v>
      </c>
      <c r="X53" s="256">
        <f>入學要求!U188</f>
        <v>0</v>
      </c>
      <c r="Y53" s="256">
        <f>入學要求!V188</f>
        <v>0</v>
      </c>
      <c r="Z53" s="256">
        <f>入學要求!W188</f>
        <v>0</v>
      </c>
      <c r="AA53" s="256">
        <f>入學要求!X188</f>
        <v>0</v>
      </c>
      <c r="AB53" s="36">
        <f t="shared" si="2"/>
        <v>2.97</v>
      </c>
      <c r="AC53" s="510"/>
      <c r="AD53" s="36" cm="1">
        <f t="array" ref="AD53">IFERROR(INDEX('Offer Statistics'!$BQ$2:$BQ$400,MATCH(1,($A53='Offer Statistics'!$BB$2:$BB$400)*($AC$2='Offer Statistics'!$BC$2:$BC$400),0)),"/")</f>
        <v>30</v>
      </c>
      <c r="AE53" s="64" cm="1">
        <f t="array" ref="AE53">IFERROR(INDEX('Offer Statistics'!BL$2:BL$400,MATCH(1,($A53='Offer Statistics'!$BB$2:$BB$400)*($AC$2='Offer Statistics'!$BC$2:$BC$400),0)),"/")</f>
        <v>30</v>
      </c>
      <c r="AF53" s="64" cm="1">
        <f t="array" ref="AF53">IFERROR(INDEX('Offer Statistics'!BM$2:BM$400,MATCH(1,($A53='Offer Statistics'!$BB$2:$BB$400)*($AC$2='Offer Statistics'!$BC$2:$BC$400),0)),"/")</f>
        <v>0</v>
      </c>
      <c r="AG53" s="64" cm="1">
        <f t="array" ref="AG53">IFERROR(INDEX('Offer Statistics'!BN$2:BN$400,MATCH(1,($A53='Offer Statistics'!$BB$2:$BB$400)*($AC$2='Offer Statistics'!$BC$2:$BC$400),0)),"/")</f>
        <v>0</v>
      </c>
      <c r="AH53" s="64" cm="1">
        <f t="array" ref="AH53">IFERROR(INDEX('Offer Statistics'!BO$2:BO$400,MATCH(1,($A53='Offer Statistics'!$BB$2:$BB$400)*($AC$2='Offer Statistics'!$BC$2:$BC$400),0)),"/")</f>
        <v>0</v>
      </c>
      <c r="AI53" s="64" cm="1">
        <f t="array" ref="AI53">IFERROR(INDEX('Offer Statistics'!BP$2:BP$400,MATCH(1,($A53='Offer Statistics'!$BB$2:$BB$400)*($AC$2='Offer Statistics'!$BC$2:$BC$400),0)),"/")</f>
        <v>0</v>
      </c>
      <c r="AJ53" s="511"/>
      <c r="AK53" s="36" cm="1">
        <f t="array" ref="AK53">IFERROR(INDEX('Offer Statistics'!$BI$2:$BI$400,MATCH(1,($A53='Offer Statistics'!$BB$2:$BB$400)*($AC$2='Offer Statistics'!$BC$2:$BC$400),0)),"/")</f>
        <v>795</v>
      </c>
      <c r="AL53" s="64" cm="1">
        <f t="array" ref="AL53">IFERROR(INDEX('Offer Statistics'!BD$2:BD$400,MATCH(1,($A53='Offer Statistics'!$BB$2:$BB$400)*($AC$2='Offer Statistics'!$BC$2:$BC$400),0)),"/")</f>
        <v>89</v>
      </c>
      <c r="AM53" s="64" cm="1">
        <f t="array" ref="AM53">IFERROR(INDEX('Offer Statistics'!BE$2:BE$400,MATCH(1,($A53='Offer Statistics'!$BB$2:$BB$400)*($AC$2='Offer Statistics'!$BC$2:$BC$400),0)),"/")</f>
        <v>60</v>
      </c>
      <c r="AN53" s="64" cm="1">
        <f t="array" ref="AN53">IFERROR(INDEX('Offer Statistics'!BF$2:BF$400,MATCH(1,($A53='Offer Statistics'!$BB$2:$BB$400)*($AC$2='Offer Statistics'!$BC$2:$BC$400),0)),"/")</f>
        <v>171</v>
      </c>
      <c r="AO53" s="64" cm="1">
        <f t="array" ref="AO53">IFERROR(INDEX('Offer Statistics'!BG$2:BG$400,MATCH(1,($A53='Offer Statistics'!$BB$2:$BB$400)*($AC$2='Offer Statistics'!$BC$2:$BC$400),0)),"/")</f>
        <v>238</v>
      </c>
      <c r="AP53" s="64" cm="1">
        <f t="array" ref="AP53">IFERROR(INDEX('Offer Statistics'!BH$2:BH$400,MATCH(1,($A53='Offer Statistics'!$BB$2:$BB$400)*($AC$2='Offer Statistics'!$BC$2:$BC$400),0)),"/")</f>
        <v>237</v>
      </c>
      <c r="AQ53" s="15"/>
      <c r="AR53" s="15" t="str">
        <f t="shared" si="3"/>
        <v>JS4719</v>
      </c>
    </row>
    <row r="54" spans="1:44" s="10" customFormat="1" ht="18" customHeight="1">
      <c r="A54" s="4" t="str">
        <f>'Reference Score Calculation'!A180</f>
        <v>JS4725</v>
      </c>
      <c r="B54" s="4" t="str">
        <f>'Reference Score Calculation'!C180</f>
        <v>理學院/商學院</v>
      </c>
      <c r="C54" s="4" t="str">
        <f>'Reference Score Calculation'!D180</f>
        <v>生物科技、創業與醫療管理</v>
      </c>
      <c r="D54" s="4" t="str">
        <f>'Reference Score Calculation'!R180</f>
        <v>BEHM</v>
      </c>
      <c r="E54" s="392" t="str">
        <f>'Reference Score Calculation'!AB180</f>
        <v>Best 5</v>
      </c>
      <c r="F54" s="395" t="str">
        <f>'Reference Score Calculation'!E180</f>
        <v>Best 5</v>
      </c>
      <c r="G54" s="6">
        <f>'Reference Score Calculation'!G180</f>
        <v>30.5</v>
      </c>
      <c r="H54" s="6">
        <f>'Reference Score Calculation'!H180</f>
        <v>29</v>
      </c>
      <c r="I54" s="6">
        <f>'Reference Score Calculation'!I180</f>
        <v>29</v>
      </c>
      <c r="J54" s="45">
        <f>計分版!J203</f>
        <v>3.9500000000000006E-9</v>
      </c>
      <c r="K54" s="25">
        <f t="shared" si="0"/>
        <v>-28.999999996050001</v>
      </c>
      <c r="L54" s="26">
        <f t="shared" si="1"/>
        <v>-7341772150.8987331</v>
      </c>
      <c r="M54" s="36">
        <f>'Reference Score Calculation'!T180</f>
        <v>15</v>
      </c>
      <c r="N54" s="86">
        <f>入學要求!Z189</f>
        <v>0</v>
      </c>
      <c r="O54" s="516"/>
      <c r="P54" s="166">
        <f>入學要求!L189</f>
        <v>3</v>
      </c>
      <c r="Q54" s="166">
        <f>入學要求!M189</f>
        <v>4</v>
      </c>
      <c r="R54" s="166">
        <f>入學要求!N189</f>
        <v>3</v>
      </c>
      <c r="S54" s="166">
        <f>入學要求!O189</f>
        <v>1</v>
      </c>
      <c r="T54" s="166">
        <f>入學要求!P189</f>
        <v>3</v>
      </c>
      <c r="U54" s="166">
        <f>入學要求!Q189</f>
        <v>3</v>
      </c>
      <c r="V54" s="256">
        <f>入學要求!S189</f>
        <v>0</v>
      </c>
      <c r="W54" s="256">
        <f>入學要求!T189</f>
        <v>0</v>
      </c>
      <c r="X54" s="256">
        <f>入學要求!U189</f>
        <v>0</v>
      </c>
      <c r="Y54" s="256">
        <f>入學要求!V189</f>
        <v>0</v>
      </c>
      <c r="Z54" s="256">
        <f>入學要求!W189</f>
        <v>0</v>
      </c>
      <c r="AA54" s="256">
        <f>入學要求!X189</f>
        <v>0</v>
      </c>
      <c r="AB54" s="36">
        <f t="shared" si="2"/>
        <v>3.93</v>
      </c>
      <c r="AC54" s="510"/>
      <c r="AD54" s="36" cm="1">
        <f t="array" ref="AD54">IFERROR(INDEX('Offer Statistics'!$BQ$2:$BQ$400,MATCH(1,($A54='Offer Statistics'!$BB$2:$BB$400)*($AC$2='Offer Statistics'!$BC$2:$BC$400),0)),"/")</f>
        <v>15</v>
      </c>
      <c r="AE54" s="64" cm="1">
        <f t="array" ref="AE54">IFERROR(INDEX('Offer Statistics'!BL$2:BL$400,MATCH(1,($A54='Offer Statistics'!$BB$2:$BB$400)*($AC$2='Offer Statistics'!$BC$2:$BC$400),0)),"/")</f>
        <v>15</v>
      </c>
      <c r="AF54" s="64" cm="1">
        <f t="array" ref="AF54">IFERROR(INDEX('Offer Statistics'!BM$2:BM$400,MATCH(1,($A54='Offer Statistics'!$BB$2:$BB$400)*($AC$2='Offer Statistics'!$BC$2:$BC$400),0)),"/")</f>
        <v>0</v>
      </c>
      <c r="AG54" s="64" cm="1">
        <f t="array" ref="AG54">IFERROR(INDEX('Offer Statistics'!BN$2:BN$400,MATCH(1,($A54='Offer Statistics'!$BB$2:$BB$400)*($AC$2='Offer Statistics'!$BC$2:$BC$400),0)),"/")</f>
        <v>0</v>
      </c>
      <c r="AH54" s="64" cm="1">
        <f t="array" ref="AH54">IFERROR(INDEX('Offer Statistics'!BO$2:BO$400,MATCH(1,($A54='Offer Statistics'!$BB$2:$BB$400)*($AC$2='Offer Statistics'!$BC$2:$BC$400),0)),"/")</f>
        <v>0</v>
      </c>
      <c r="AI54" s="64" cm="1">
        <f t="array" ref="AI54">IFERROR(INDEX('Offer Statistics'!BP$2:BP$400,MATCH(1,($A54='Offer Statistics'!$BB$2:$BB$400)*($AC$2='Offer Statistics'!$BC$2:$BC$400),0)),"/")</f>
        <v>0</v>
      </c>
      <c r="AJ54" s="511"/>
      <c r="AK54" s="36" cm="1">
        <f t="array" ref="AK54">IFERROR(INDEX('Offer Statistics'!$BI$2:$BI$400,MATCH(1,($A54='Offer Statistics'!$BB$2:$BB$400)*($AC$2='Offer Statistics'!$BC$2:$BC$400),0)),"/")</f>
        <v>1090</v>
      </c>
      <c r="AL54" s="64" cm="1">
        <f t="array" ref="AL54">IFERROR(INDEX('Offer Statistics'!BD$2:BD$400,MATCH(1,($A54='Offer Statistics'!$BB$2:$BB$400)*($AC$2='Offer Statistics'!$BC$2:$BC$400),0)),"/")</f>
        <v>59</v>
      </c>
      <c r="AM54" s="64" cm="1">
        <f t="array" ref="AM54">IFERROR(INDEX('Offer Statistics'!BE$2:BE$400,MATCH(1,($A54='Offer Statistics'!$BB$2:$BB$400)*($AC$2='Offer Statistics'!$BC$2:$BC$400),0)),"/")</f>
        <v>74</v>
      </c>
      <c r="AN54" s="64" cm="1">
        <f t="array" ref="AN54">IFERROR(INDEX('Offer Statistics'!BF$2:BF$400,MATCH(1,($A54='Offer Statistics'!$BB$2:$BB$400)*($AC$2='Offer Statistics'!$BC$2:$BC$400),0)),"/")</f>
        <v>231</v>
      </c>
      <c r="AO54" s="64" cm="1">
        <f t="array" ref="AO54">IFERROR(INDEX('Offer Statistics'!BG$2:BG$400,MATCH(1,($A54='Offer Statistics'!$BB$2:$BB$400)*($AC$2='Offer Statistics'!$BC$2:$BC$400),0)),"/")</f>
        <v>392</v>
      </c>
      <c r="AP54" s="64" cm="1">
        <f t="array" ref="AP54">IFERROR(INDEX('Offer Statistics'!BH$2:BH$400,MATCH(1,($A54='Offer Statistics'!$BB$2:$BB$400)*($AC$2='Offer Statistics'!$BC$2:$BC$400),0)),"/")</f>
        <v>334</v>
      </c>
      <c r="AQ54" s="15"/>
      <c r="AR54" s="15" t="str">
        <f t="shared" si="3"/>
        <v>JS4725</v>
      </c>
    </row>
    <row r="55" spans="1:44" ht="18" customHeight="1">
      <c r="A55" s="4" t="str">
        <f>'Reference Score Calculation'!A181</f>
        <v>JS4733</v>
      </c>
      <c r="B55" s="4" t="str">
        <f>'Reference Score Calculation'!C181</f>
        <v>理學院/工程學院</v>
      </c>
      <c r="C55" s="4" t="str">
        <f>'Reference Score Calculation'!D181</f>
        <v>數學與信息工程學</v>
      </c>
      <c r="D55" s="4" t="str">
        <f>'Reference Score Calculation'!R181</f>
        <v>MIEGN</v>
      </c>
      <c r="E55" s="392" t="str">
        <f>'Reference Score Calculation'!AB181</f>
        <v>Best 5</v>
      </c>
      <c r="F55" s="397" t="str">
        <f>'Reference Score Calculation'!E181</f>
        <v>4C2X</v>
      </c>
      <c r="G55" s="6" t="str">
        <f>'Reference Score Calculation'!G181</f>
        <v>/</v>
      </c>
      <c r="H55" s="6" t="str">
        <f>'Reference Score Calculation'!H181</f>
        <v>/</v>
      </c>
      <c r="I55" s="6" t="str">
        <f>'Reference Score Calculation'!I181</f>
        <v>/</v>
      </c>
      <c r="J55" s="45">
        <f>計分版!J204</f>
        <v>3.05E-9</v>
      </c>
      <c r="K55" s="7" t="str">
        <f t="shared" si="0"/>
        <v>/</v>
      </c>
      <c r="L55" s="8" t="str">
        <f t="shared" si="1"/>
        <v>/</v>
      </c>
      <c r="M55" s="36">
        <f>'Reference Score Calculation'!T181</f>
        <v>13</v>
      </c>
      <c r="N55" s="86">
        <f>入學要求!Z190</f>
        <v>0</v>
      </c>
      <c r="O55" s="516"/>
      <c r="P55" s="166">
        <f>入學要求!L190</f>
        <v>3</v>
      </c>
      <c r="Q55" s="166">
        <f>入學要求!M190</f>
        <v>4</v>
      </c>
      <c r="R55" s="166">
        <f>入學要求!N190</f>
        <v>5</v>
      </c>
      <c r="S55" s="166">
        <f>入學要求!O190</f>
        <v>1</v>
      </c>
      <c r="T55" s="166">
        <f>入學要求!P190</f>
        <v>5</v>
      </c>
      <c r="U55" s="166">
        <f>入學要求!Q190</f>
        <v>4</v>
      </c>
      <c r="V55" s="256">
        <f>入學要求!S190</f>
        <v>0</v>
      </c>
      <c r="W55" s="256">
        <f>入學要求!T190</f>
        <v>0</v>
      </c>
      <c r="X55" s="256">
        <f>入學要求!U190</f>
        <v>0</v>
      </c>
      <c r="Y55" s="256">
        <f>入學要求!V190</f>
        <v>0</v>
      </c>
      <c r="Z55" s="256">
        <f>入學要求!W190</f>
        <v>0</v>
      </c>
      <c r="AA55" s="256">
        <f>入學要求!X190</f>
        <v>0</v>
      </c>
      <c r="AB55" s="36">
        <f t="shared" si="2"/>
        <v>8</v>
      </c>
      <c r="AC55" s="510"/>
      <c r="AD55" s="36" cm="1">
        <f t="array" ref="AD55">IFERROR(INDEX('Offer Statistics'!$BQ$2:$BQ$400,MATCH(1,($A55='Offer Statistics'!$BB$2:$BB$400)*($AC$2='Offer Statistics'!$BC$2:$BC$400),0)),"/")</f>
        <v>4</v>
      </c>
      <c r="AE55" s="64" cm="1">
        <f t="array" ref="AE55">IFERROR(INDEX('Offer Statistics'!BL$2:BL$400,MATCH(1,($A55='Offer Statistics'!$BB$2:$BB$400)*($AC$2='Offer Statistics'!$BC$2:$BC$400),0)),"/")</f>
        <v>3</v>
      </c>
      <c r="AF55" s="64" cm="1">
        <f t="array" ref="AF55">IFERROR(INDEX('Offer Statistics'!BM$2:BM$400,MATCH(1,($A55='Offer Statistics'!$BB$2:$BB$400)*($AC$2='Offer Statistics'!$BC$2:$BC$400),0)),"/")</f>
        <v>0</v>
      </c>
      <c r="AG55" s="64" cm="1">
        <f t="array" ref="AG55">IFERROR(INDEX('Offer Statistics'!BN$2:BN$400,MATCH(1,($A55='Offer Statistics'!$BB$2:$BB$400)*($AC$2='Offer Statistics'!$BC$2:$BC$400),0)),"/")</f>
        <v>1</v>
      </c>
      <c r="AH55" s="64" cm="1">
        <f t="array" ref="AH55">IFERROR(INDEX('Offer Statistics'!BO$2:BO$400,MATCH(1,($A55='Offer Statistics'!$BB$2:$BB$400)*($AC$2='Offer Statistics'!$BC$2:$BC$400),0)),"/")</f>
        <v>0</v>
      </c>
      <c r="AI55" s="64" cm="1">
        <f t="array" ref="AI55">IFERROR(INDEX('Offer Statistics'!BP$2:BP$400,MATCH(1,($A55='Offer Statistics'!$BB$2:$BB$400)*($AC$2='Offer Statistics'!$BC$2:$BC$400),0)),"/")</f>
        <v>0</v>
      </c>
      <c r="AJ55" s="511"/>
      <c r="AK55" s="36" cm="1">
        <f t="array" ref="AK55">IFERROR(INDEX('Offer Statistics'!$BI$2:$BI$400,MATCH(1,($A55='Offer Statistics'!$BB$2:$BB$400)*($AC$2='Offer Statistics'!$BC$2:$BC$400),0)),"/")</f>
        <v>544</v>
      </c>
      <c r="AL55" s="64" cm="1">
        <f t="array" ref="AL55">IFERROR(INDEX('Offer Statistics'!BD$2:BD$400,MATCH(1,($A55='Offer Statistics'!$BB$2:$BB$400)*($AC$2='Offer Statistics'!$BC$2:$BC$400),0)),"/")</f>
        <v>24</v>
      </c>
      <c r="AM55" s="64" cm="1">
        <f t="array" ref="AM55">IFERROR(INDEX('Offer Statistics'!BE$2:BE$400,MATCH(1,($A55='Offer Statistics'!$BB$2:$BB$400)*($AC$2='Offer Statistics'!$BC$2:$BC$400),0)),"/")</f>
        <v>53</v>
      </c>
      <c r="AN55" s="64" cm="1">
        <f t="array" ref="AN55">IFERROR(INDEX('Offer Statistics'!BF$2:BF$400,MATCH(1,($A55='Offer Statistics'!$BB$2:$BB$400)*($AC$2='Offer Statistics'!$BC$2:$BC$400),0)),"/")</f>
        <v>107</v>
      </c>
      <c r="AO55" s="64" cm="1">
        <f t="array" ref="AO55">IFERROR(INDEX('Offer Statistics'!BG$2:BG$400,MATCH(1,($A55='Offer Statistics'!$BB$2:$BB$400)*($AC$2='Offer Statistics'!$BC$2:$BC$400),0)),"/")</f>
        <v>217</v>
      </c>
      <c r="AP55" s="64" cm="1">
        <f t="array" ref="AP55">IFERROR(INDEX('Offer Statistics'!BH$2:BH$400,MATCH(1,($A55='Offer Statistics'!$BB$2:$BB$400)*($AC$2='Offer Statistics'!$BC$2:$BC$400),0)),"/")</f>
        <v>143</v>
      </c>
      <c r="AQ55" s="15"/>
      <c r="AR55" s="15" t="str">
        <f t="shared" si="3"/>
        <v>JS4733</v>
      </c>
    </row>
    <row r="56" spans="1:44" ht="18" customHeight="1">
      <c r="A56" s="4" t="str">
        <f>'Reference Score Calculation'!A182</f>
        <v>JS4750</v>
      </c>
      <c r="B56" s="4" t="str">
        <f>'Reference Score Calculation'!C182</f>
        <v>理學院/工程學院</v>
      </c>
      <c r="C56" s="4" t="str">
        <f>'Reference Score Calculation'!D182</f>
        <v>航天科學與地球信息學＋Ｘ雙主修課程</v>
      </c>
      <c r="D56" s="4" t="str">
        <f>'Reference Score Calculation'!R182</f>
        <v>ASEIDM</v>
      </c>
      <c r="E56" s="392" t="str">
        <f>'Reference Score Calculation'!AB182</f>
        <v>Best 5</v>
      </c>
      <c r="F56" s="397" t="str">
        <f>'Reference Score Calculation'!E182</f>
        <v>24年新科目</v>
      </c>
      <c r="G56" s="6" t="str">
        <f>'Reference Score Calculation'!G182</f>
        <v>/</v>
      </c>
      <c r="H56" s="6" t="str">
        <f>'Reference Score Calculation'!H182</f>
        <v>/</v>
      </c>
      <c r="I56" s="6" t="str">
        <f>'Reference Score Calculation'!I182</f>
        <v>/</v>
      </c>
      <c r="J56" s="45">
        <f>計分版!J205</f>
        <v>0</v>
      </c>
      <c r="K56" s="7" t="str">
        <f t="shared" ref="K56" si="4">IFERROR(IF(K$1="差距(Median)",J56-H56,IF(K$1="差距(UQ)",J56-G56,IF(K$1="差距(LQ)",J56-I56))),"/")</f>
        <v>/</v>
      </c>
      <c r="L56" s="8" t="str">
        <f t="shared" ref="L56" si="5">IFERROR(IF(K$1="差距(Median)",(J56-H56)/J56,IF(K$1="差距(UQ)",(J56-G56)/J56,IF(K$1="差距(LQ)",(J56-I56)/J56))),"/")</f>
        <v>/</v>
      </c>
      <c r="M56" s="36">
        <f>'Reference Score Calculation'!T182</f>
        <v>20</v>
      </c>
      <c r="N56" s="86">
        <f>入學要求!Z191</f>
        <v>0</v>
      </c>
      <c r="O56" s="516"/>
      <c r="P56" s="166">
        <f>入學要求!L191</f>
        <v>3</v>
      </c>
      <c r="Q56" s="166">
        <f>入學要求!M191</f>
        <v>3</v>
      </c>
      <c r="R56" s="166">
        <f>入學要求!N191</f>
        <v>2</v>
      </c>
      <c r="S56" s="166">
        <f>入學要求!O191</f>
        <v>1</v>
      </c>
      <c r="T56" s="166">
        <f>入學要求!P191</f>
        <v>3</v>
      </c>
      <c r="U56" s="166">
        <f>入學要求!Q191</f>
        <v>3</v>
      </c>
      <c r="V56" s="256">
        <f>入學要求!S191</f>
        <v>0</v>
      </c>
      <c r="W56" s="256">
        <f>入學要求!T191</f>
        <v>0</v>
      </c>
      <c r="X56" s="256">
        <f>入學要求!U191</f>
        <v>0</v>
      </c>
      <c r="Y56" s="256">
        <f>入學要求!V191</f>
        <v>0</v>
      </c>
      <c r="Z56" s="256">
        <f>入學要求!W191</f>
        <v>0</v>
      </c>
      <c r="AA56" s="256">
        <f>入學要求!X191</f>
        <v>0</v>
      </c>
      <c r="AB56" s="36" t="str">
        <f t="shared" si="2"/>
        <v>/</v>
      </c>
      <c r="AC56" s="510"/>
      <c r="AD56" s="36" t="str" cm="1">
        <f t="array" ref="AD56">IFERROR(INDEX('Offer Statistics'!$BQ$2:$BQ$400,MATCH(1,($A56='Offer Statistics'!$BB$2:$BB$400)*($AC$2='Offer Statistics'!$BC$2:$BC$400),0)),"/")</f>
        <v>/</v>
      </c>
      <c r="AE56" s="64" t="str" cm="1">
        <f t="array" ref="AE56">IFERROR(INDEX('Offer Statistics'!BL$2:BL$400,MATCH(1,($A56='Offer Statistics'!$BB$2:$BB$400)*($AC$2='Offer Statistics'!$BC$2:$BC$400),0)),"/")</f>
        <v>/</v>
      </c>
      <c r="AF56" s="64" t="str" cm="1">
        <f t="array" ref="AF56">IFERROR(INDEX('Offer Statistics'!BM$2:BM$400,MATCH(1,($A56='Offer Statistics'!$BB$2:$BB$400)*($AC$2='Offer Statistics'!$BC$2:$BC$400),0)),"/")</f>
        <v>/</v>
      </c>
      <c r="AG56" s="64" t="str" cm="1">
        <f t="array" ref="AG56">IFERROR(INDEX('Offer Statistics'!BN$2:BN$400,MATCH(1,($A56='Offer Statistics'!$BB$2:$BB$400)*($AC$2='Offer Statistics'!$BC$2:$BC$400),0)),"/")</f>
        <v>/</v>
      </c>
      <c r="AH56" s="64" t="str" cm="1">
        <f t="array" ref="AH56">IFERROR(INDEX('Offer Statistics'!BO$2:BO$400,MATCH(1,($A56='Offer Statistics'!$BB$2:$BB$400)*($AC$2='Offer Statistics'!$BC$2:$BC$400),0)),"/")</f>
        <v>/</v>
      </c>
      <c r="AI56" s="64" t="str" cm="1">
        <f t="array" ref="AI56">IFERROR(INDEX('Offer Statistics'!BP$2:BP$400,MATCH(1,($A56='Offer Statistics'!$BB$2:$BB$400)*($AC$2='Offer Statistics'!$BC$2:$BC$400),0)),"/")</f>
        <v>/</v>
      </c>
      <c r="AJ56" s="511"/>
      <c r="AK56" s="36" t="str" cm="1">
        <f t="array" ref="AK56">IFERROR(INDEX('Offer Statistics'!$BI$2:$BI$400,MATCH(1,($A56='Offer Statistics'!$BB$2:$BB$400)*($AC$2='Offer Statistics'!$BC$2:$BC$400),0)),"/")</f>
        <v>/</v>
      </c>
      <c r="AL56" s="64" t="str" cm="1">
        <f t="array" ref="AL56">IFERROR(INDEX('Offer Statistics'!BD$2:BD$400,MATCH(1,($A56='Offer Statistics'!$BB$2:$BB$400)*($AC$2='Offer Statistics'!$BC$2:$BC$400),0)),"/")</f>
        <v>/</v>
      </c>
      <c r="AM56" s="64" t="str" cm="1">
        <f t="array" ref="AM56">IFERROR(INDEX('Offer Statistics'!BE$2:BE$400,MATCH(1,($A56='Offer Statistics'!$BB$2:$BB$400)*($AC$2='Offer Statistics'!$BC$2:$BC$400),0)),"/")</f>
        <v>/</v>
      </c>
      <c r="AN56" s="64" t="str" cm="1">
        <f t="array" ref="AN56">IFERROR(INDEX('Offer Statistics'!BF$2:BF$400,MATCH(1,($A56='Offer Statistics'!$BB$2:$BB$400)*($AC$2='Offer Statistics'!$BC$2:$BC$400),0)),"/")</f>
        <v>/</v>
      </c>
      <c r="AO56" s="64" t="str" cm="1">
        <f t="array" ref="AO56">IFERROR(INDEX('Offer Statistics'!BG$2:BG$400,MATCH(1,($A56='Offer Statistics'!$BB$2:$BB$400)*($AC$2='Offer Statistics'!$BC$2:$BC$400),0)),"/")</f>
        <v>/</v>
      </c>
      <c r="AP56" s="64" t="str" cm="1">
        <f t="array" ref="AP56">IFERROR(INDEX('Offer Statistics'!BH$2:BH$400,MATCH(1,($A56='Offer Statistics'!$BB$2:$BB$400)*($AC$2='Offer Statistics'!$BC$2:$BC$400),0)),"/")</f>
        <v>/</v>
      </c>
      <c r="AQ56" s="15"/>
      <c r="AR56" s="15" t="str">
        <f t="shared" si="3"/>
        <v>JS4750</v>
      </c>
    </row>
    <row r="57" spans="1:44" ht="18" customHeight="1">
      <c r="A57" s="4" t="str">
        <f>'Reference Score Calculation'!A183</f>
        <v>JS4760</v>
      </c>
      <c r="B57" s="4" t="str">
        <f>'Reference Score Calculation'!C183</f>
        <v>中大(深圳)</v>
      </c>
      <c r="C57" s="4" t="str">
        <f>'Reference Score Calculation'!D183</f>
        <v>跨學科數據分析及Ｘ 理學士雙主修課程</v>
      </c>
      <c r="D57" s="4" t="str">
        <f>'Reference Score Calculation'!R183</f>
        <v>IDADM</v>
      </c>
      <c r="E57" s="392" t="str">
        <f>'Reference Score Calculation'!AB183</f>
        <v>Best 5</v>
      </c>
      <c r="F57" s="394" t="str">
        <f>'Reference Score Calculation'!E183</f>
        <v>Best 5</v>
      </c>
      <c r="G57" s="6">
        <f>'Reference Score Calculation'!G183</f>
        <v>31</v>
      </c>
      <c r="H57" s="6">
        <f>'Reference Score Calculation'!H183</f>
        <v>29.5</v>
      </c>
      <c r="I57" s="6">
        <f>'Reference Score Calculation'!I183</f>
        <v>25</v>
      </c>
      <c r="J57" s="45">
        <f>計分版!J206</f>
        <v>3.9500000000000006E-9</v>
      </c>
      <c r="K57" s="7">
        <f t="shared" si="0"/>
        <v>-29.499999996050001</v>
      </c>
      <c r="L57" s="8">
        <f t="shared" si="1"/>
        <v>-7468354429.3797455</v>
      </c>
      <c r="M57" s="36">
        <f>'Reference Score Calculation'!T183</f>
        <v>20</v>
      </c>
      <c r="N57" s="86">
        <f>入學要求!Z192</f>
        <v>0</v>
      </c>
      <c r="O57" s="516"/>
      <c r="P57" s="166">
        <f>入學要求!L192</f>
        <v>3</v>
      </c>
      <c r="Q57" s="166">
        <f>入學要求!M192</f>
        <v>3</v>
      </c>
      <c r="R57" s="166">
        <f>入學要求!N192</f>
        <v>3</v>
      </c>
      <c r="S57" s="166">
        <f>入學要求!O192</f>
        <v>1</v>
      </c>
      <c r="T57" s="166">
        <f>入學要求!P192</f>
        <v>3</v>
      </c>
      <c r="U57" s="166">
        <f>入學要求!Q192</f>
        <v>3</v>
      </c>
      <c r="V57" s="256">
        <f>入學要求!S192</f>
        <v>0</v>
      </c>
      <c r="W57" s="256">
        <f>入學要求!T192</f>
        <v>0</v>
      </c>
      <c r="X57" s="256">
        <f>入學要求!U192</f>
        <v>0</v>
      </c>
      <c r="Y57" s="256">
        <f>入學要求!V192</f>
        <v>0</v>
      </c>
      <c r="Z57" s="256">
        <f>入學要求!W192</f>
        <v>0</v>
      </c>
      <c r="AA57" s="256">
        <f>入學要求!X192</f>
        <v>0</v>
      </c>
      <c r="AB57" s="36">
        <f t="shared" si="2"/>
        <v>4.1100000000000003</v>
      </c>
      <c r="AC57" s="510"/>
      <c r="AD57" s="36" cm="1">
        <f t="array" ref="AD57">IFERROR(INDEX('Offer Statistics'!$BQ$2:$BQ$400,MATCH(1,($A57='Offer Statistics'!$BB$2:$BB$400)*($AC$2='Offer Statistics'!$BC$2:$BC$400),0)),"/")</f>
        <v>9</v>
      </c>
      <c r="AE57" s="64" cm="1">
        <f t="array" ref="AE57">IFERROR(INDEX('Offer Statistics'!BL$2:BL$400,MATCH(1,($A57='Offer Statistics'!$BB$2:$BB$400)*($AC$2='Offer Statistics'!$BC$2:$BC$400),0)),"/")</f>
        <v>9</v>
      </c>
      <c r="AF57" s="64" cm="1">
        <f t="array" ref="AF57">IFERROR(INDEX('Offer Statistics'!BM$2:BM$400,MATCH(1,($A57='Offer Statistics'!$BB$2:$BB$400)*($AC$2='Offer Statistics'!$BC$2:$BC$400),0)),"/")</f>
        <v>0</v>
      </c>
      <c r="AG57" s="64" cm="1">
        <f t="array" ref="AG57">IFERROR(INDEX('Offer Statistics'!BN$2:BN$400,MATCH(1,($A57='Offer Statistics'!$BB$2:$BB$400)*($AC$2='Offer Statistics'!$BC$2:$BC$400),0)),"/")</f>
        <v>0</v>
      </c>
      <c r="AH57" s="64" cm="1">
        <f t="array" ref="AH57">IFERROR(INDEX('Offer Statistics'!BO$2:BO$400,MATCH(1,($A57='Offer Statistics'!$BB$2:$BB$400)*($AC$2='Offer Statistics'!$BC$2:$BC$400),0)),"/")</f>
        <v>0</v>
      </c>
      <c r="AI57" s="64" cm="1">
        <f t="array" ref="AI57">IFERROR(INDEX('Offer Statistics'!BP$2:BP$400,MATCH(1,($A57='Offer Statistics'!$BB$2:$BB$400)*($AC$2='Offer Statistics'!$BC$2:$BC$400),0)),"/")</f>
        <v>0</v>
      </c>
      <c r="AJ57" s="511"/>
      <c r="AK57" s="36" cm="1">
        <f t="array" ref="AK57">IFERROR(INDEX('Offer Statistics'!$BI$2:$BI$400,MATCH(1,($A57='Offer Statistics'!$BB$2:$BB$400)*($AC$2='Offer Statistics'!$BC$2:$BC$400),0)),"/")</f>
        <v>163</v>
      </c>
      <c r="AL57" s="64" cm="1">
        <f t="array" ref="AL57">IFERROR(INDEX('Offer Statistics'!BD$2:BD$400,MATCH(1,($A57='Offer Statistics'!$BB$2:$BB$400)*($AC$2='Offer Statistics'!$BC$2:$BC$400),0)),"/")</f>
        <v>37</v>
      </c>
      <c r="AM57" s="64" cm="1">
        <f t="array" ref="AM57">IFERROR(INDEX('Offer Statistics'!BE$2:BE$400,MATCH(1,($A57='Offer Statistics'!$BB$2:$BB$400)*($AC$2='Offer Statistics'!$BC$2:$BC$400),0)),"/")</f>
        <v>23</v>
      </c>
      <c r="AN57" s="64" cm="1">
        <f t="array" ref="AN57">IFERROR(INDEX('Offer Statistics'!BF$2:BF$400,MATCH(1,($A57='Offer Statistics'!$BB$2:$BB$400)*($AC$2='Offer Statistics'!$BC$2:$BC$400),0)),"/")</f>
        <v>29</v>
      </c>
      <c r="AO57" s="64" cm="1">
        <f t="array" ref="AO57">IFERROR(INDEX('Offer Statistics'!BG$2:BG$400,MATCH(1,($A57='Offer Statistics'!$BB$2:$BB$400)*($AC$2='Offer Statistics'!$BC$2:$BC$400),0)),"/")</f>
        <v>32</v>
      </c>
      <c r="AP57" s="64" cm="1">
        <f t="array" ref="AP57">IFERROR(INDEX('Offer Statistics'!BH$2:BH$400,MATCH(1,($A57='Offer Statistics'!$BB$2:$BB$400)*($AC$2='Offer Statistics'!$BC$2:$BC$400),0)),"/")</f>
        <v>42</v>
      </c>
      <c r="AQ57" s="15"/>
      <c r="AR57" s="15" t="str">
        <f>A57</f>
        <v>JS4760</v>
      </c>
    </row>
    <row r="58" spans="1:44" s="10" customFormat="1" ht="18" customHeight="1">
      <c r="A58" s="4" t="str">
        <f>'Reference Score Calculation'!A184</f>
        <v>JS4801</v>
      </c>
      <c r="B58" s="4" t="str">
        <f>'Reference Score Calculation'!C184</f>
        <v>社會科學院</v>
      </c>
      <c r="C58" s="4" t="str">
        <f>'Reference Score Calculation'!D184</f>
        <v>社會科學</v>
      </c>
      <c r="D58" s="4" t="str">
        <f>'Reference Score Calculation'!R184</f>
        <v>SOCIAL SCIENCE</v>
      </c>
      <c r="E58" s="392" t="str">
        <f>'Reference Score Calculation'!AB184</f>
        <v>Best 5</v>
      </c>
      <c r="F58" s="394" t="str">
        <f>'Reference Score Calculation'!E184</f>
        <v>Best 5</v>
      </c>
      <c r="G58" s="6">
        <f>'Reference Score Calculation'!G184</f>
        <v>27.2</v>
      </c>
      <c r="H58" s="6">
        <f>'Reference Score Calculation'!H184</f>
        <v>26.15</v>
      </c>
      <c r="I58" s="6">
        <f>'Reference Score Calculation'!I184</f>
        <v>25.7</v>
      </c>
      <c r="J58" s="45">
        <f>計分版!J207</f>
        <v>3.9500000000000006E-9</v>
      </c>
      <c r="K58" s="25">
        <f t="shared" si="0"/>
        <v>-26.149999996049999</v>
      </c>
      <c r="L58" s="26">
        <f t="shared" si="1"/>
        <v>-6620253163.5569611</v>
      </c>
      <c r="M58" s="36">
        <f>'Reference Score Calculation'!T184</f>
        <v>63</v>
      </c>
      <c r="N58" s="86">
        <f>入學要求!Z193</f>
        <v>0</v>
      </c>
      <c r="O58" s="516"/>
      <c r="P58" s="166">
        <f>入學要求!L193</f>
        <v>3</v>
      </c>
      <c r="Q58" s="166">
        <f>入學要求!M193</f>
        <v>3</v>
      </c>
      <c r="R58" s="166">
        <f>入學要求!N193</f>
        <v>2</v>
      </c>
      <c r="S58" s="166">
        <f>入學要求!O193</f>
        <v>1</v>
      </c>
      <c r="T58" s="166">
        <f>入學要求!P193</f>
        <v>3</v>
      </c>
      <c r="U58" s="166">
        <f>入學要求!Q193</f>
        <v>3</v>
      </c>
      <c r="V58" s="256">
        <f>入學要求!S193</f>
        <v>0</v>
      </c>
      <c r="W58" s="256">
        <f>入學要求!T193</f>
        <v>0</v>
      </c>
      <c r="X58" s="256">
        <f>入學要求!U193</f>
        <v>0</v>
      </c>
      <c r="Y58" s="256">
        <f>入學要求!V193</f>
        <v>0</v>
      </c>
      <c r="Z58" s="256">
        <f>入學要求!W193</f>
        <v>0</v>
      </c>
      <c r="AA58" s="256">
        <f>入學要求!X193</f>
        <v>0</v>
      </c>
      <c r="AB58" s="36">
        <f t="shared" si="2"/>
        <v>9.75</v>
      </c>
      <c r="AC58" s="510"/>
      <c r="AD58" s="36" cm="1">
        <f t="array" ref="AD58">IFERROR(INDEX('Offer Statistics'!$BQ$2:$BQ$400,MATCH(1,($A58='Offer Statistics'!$BB$2:$BB$400)*($AC$2='Offer Statistics'!$BC$2:$BC$400),0)),"/")</f>
        <v>84</v>
      </c>
      <c r="AE58" s="64" cm="1">
        <f t="array" ref="AE58">IFERROR(INDEX('Offer Statistics'!BL$2:BL$400,MATCH(1,($A58='Offer Statistics'!$BB$2:$BB$400)*($AC$2='Offer Statistics'!$BC$2:$BC$400),0)),"/")</f>
        <v>84</v>
      </c>
      <c r="AF58" s="64" cm="1">
        <f t="array" ref="AF58">IFERROR(INDEX('Offer Statistics'!BM$2:BM$400,MATCH(1,($A58='Offer Statistics'!$BB$2:$BB$400)*($AC$2='Offer Statistics'!$BC$2:$BC$400),0)),"/")</f>
        <v>0</v>
      </c>
      <c r="AG58" s="64" cm="1">
        <f t="array" ref="AG58">IFERROR(INDEX('Offer Statistics'!BN$2:BN$400,MATCH(1,($A58='Offer Statistics'!$BB$2:$BB$400)*($AC$2='Offer Statistics'!$BC$2:$BC$400),0)),"/")</f>
        <v>0</v>
      </c>
      <c r="AH58" s="64" cm="1">
        <f t="array" ref="AH58">IFERROR(INDEX('Offer Statistics'!BO$2:BO$400,MATCH(1,($A58='Offer Statistics'!$BB$2:$BB$400)*($AC$2='Offer Statistics'!$BC$2:$BC$400),0)),"/")</f>
        <v>0</v>
      </c>
      <c r="AI58" s="64" cm="1">
        <f t="array" ref="AI58">IFERROR(INDEX('Offer Statistics'!BP$2:BP$400,MATCH(1,($A58='Offer Statistics'!$BB$2:$BB$400)*($AC$2='Offer Statistics'!$BC$2:$BC$400),0)),"/")</f>
        <v>0</v>
      </c>
      <c r="AJ58" s="511"/>
      <c r="AK58" s="36" cm="1">
        <f t="array" ref="AK58">IFERROR(INDEX('Offer Statistics'!$BI$2:$BI$400,MATCH(1,($A58='Offer Statistics'!$BB$2:$BB$400)*($AC$2='Offer Statistics'!$BC$2:$BC$400),0)),"/")</f>
        <v>5308</v>
      </c>
      <c r="AL58" s="64" cm="1">
        <f t="array" ref="AL58">IFERROR(INDEX('Offer Statistics'!BD$2:BD$400,MATCH(1,($A58='Offer Statistics'!$BB$2:$BB$400)*($AC$2='Offer Statistics'!$BC$2:$BC$400),0)),"/")</f>
        <v>819</v>
      </c>
      <c r="AM58" s="64" cm="1">
        <f t="array" ref="AM58">IFERROR(INDEX('Offer Statistics'!BE$2:BE$400,MATCH(1,($A58='Offer Statistics'!$BB$2:$BB$400)*($AC$2='Offer Statistics'!$BC$2:$BC$400),0)),"/")</f>
        <v>692</v>
      </c>
      <c r="AN58" s="64" cm="1">
        <f t="array" ref="AN58">IFERROR(INDEX('Offer Statistics'!BF$2:BF$400,MATCH(1,($A58='Offer Statistics'!$BB$2:$BB$400)*($AC$2='Offer Statistics'!$BC$2:$BC$400),0)),"/")</f>
        <v>1100</v>
      </c>
      <c r="AO58" s="64" cm="1">
        <f t="array" ref="AO58">IFERROR(INDEX('Offer Statistics'!BG$2:BG$400,MATCH(1,($A58='Offer Statistics'!$BB$2:$BB$400)*($AC$2='Offer Statistics'!$BC$2:$BC$400),0)),"/")</f>
        <v>1487</v>
      </c>
      <c r="AP58" s="64" cm="1">
        <f t="array" ref="AP58">IFERROR(INDEX('Offer Statistics'!BH$2:BH$400,MATCH(1,($A58='Offer Statistics'!$BB$2:$BB$400)*($AC$2='Offer Statistics'!$BC$2:$BC$400),0)),"/")</f>
        <v>1210</v>
      </c>
      <c r="AQ58" s="15"/>
      <c r="AR58" s="15" t="str">
        <f t="shared" si="3"/>
        <v>JS4801</v>
      </c>
    </row>
    <row r="59" spans="1:44" ht="18" customHeight="1">
      <c r="A59" s="4" t="str">
        <f>'Reference Score Calculation'!A185</f>
        <v>JS4812</v>
      </c>
      <c r="B59" s="4" t="str">
        <f>'Reference Score Calculation'!C185</f>
        <v>社會科學院</v>
      </c>
      <c r="C59" s="4" t="str">
        <f>'Reference Score Calculation'!D185</f>
        <v>建築學</v>
      </c>
      <c r="D59" s="4" t="str">
        <f>'Reference Score Calculation'!R185</f>
        <v>ARCHITECTURE</v>
      </c>
      <c r="E59" s="392" t="str">
        <f>'Reference Score Calculation'!AB185</f>
        <v>Best 5</v>
      </c>
      <c r="F59" s="394" t="str">
        <f>'Reference Score Calculation'!E185</f>
        <v>Best 5</v>
      </c>
      <c r="G59" s="6">
        <f>'Reference Score Calculation'!G185</f>
        <v>31</v>
      </c>
      <c r="H59" s="6">
        <f>'Reference Score Calculation'!H185</f>
        <v>28</v>
      </c>
      <c r="I59" s="6">
        <f>'Reference Score Calculation'!I185</f>
        <v>27.25</v>
      </c>
      <c r="J59" s="45">
        <f>計分版!J208</f>
        <v>3.9500000000000006E-9</v>
      </c>
      <c r="K59" s="25">
        <f t="shared" si="0"/>
        <v>-27.999999996050001</v>
      </c>
      <c r="L59" s="26">
        <f t="shared" si="1"/>
        <v>-7088607593.9367075</v>
      </c>
      <c r="M59" s="36">
        <f>'Reference Score Calculation'!T185</f>
        <v>31</v>
      </c>
      <c r="N59" s="86">
        <f>入學要求!Z194</f>
        <v>0</v>
      </c>
      <c r="O59" s="516"/>
      <c r="P59" s="166">
        <f>入學要求!L194</f>
        <v>3</v>
      </c>
      <c r="Q59" s="166">
        <f>入學要求!M194</f>
        <v>3</v>
      </c>
      <c r="R59" s="166">
        <f>入學要求!N194</f>
        <v>3</v>
      </c>
      <c r="S59" s="166">
        <f>入學要求!O194</f>
        <v>1</v>
      </c>
      <c r="T59" s="166">
        <f>入學要求!P194</f>
        <v>3</v>
      </c>
      <c r="U59" s="166">
        <f>入學要求!Q194</f>
        <v>3</v>
      </c>
      <c r="V59" s="256">
        <f>入學要求!S194</f>
        <v>0</v>
      </c>
      <c r="W59" s="256">
        <f>入學要求!T194</f>
        <v>0</v>
      </c>
      <c r="X59" s="256">
        <f>入學要求!U194</f>
        <v>0</v>
      </c>
      <c r="Y59" s="256">
        <f>入學要求!V194</f>
        <v>0</v>
      </c>
      <c r="Z59" s="256">
        <f>入學要求!W194</f>
        <v>0</v>
      </c>
      <c r="AA59" s="256">
        <f>入學要求!X194</f>
        <v>0</v>
      </c>
      <c r="AB59" s="36">
        <f t="shared" si="2"/>
        <v>5</v>
      </c>
      <c r="AC59" s="510"/>
      <c r="AD59" s="36" cm="1">
        <f t="array" ref="AD59">IFERROR(INDEX('Offer Statistics'!$BQ$2:$BQ$400,MATCH(1,($A59='Offer Statistics'!$BB$2:$BB$400)*($AC$2='Offer Statistics'!$BC$2:$BC$400),0)),"/")</f>
        <v>33</v>
      </c>
      <c r="AE59" s="64" cm="1">
        <f t="array" ref="AE59">IFERROR(INDEX('Offer Statistics'!BL$2:BL$400,MATCH(1,($A59='Offer Statistics'!$BB$2:$BB$400)*($AC$2='Offer Statistics'!$BC$2:$BC$400),0)),"/")</f>
        <v>33</v>
      </c>
      <c r="AF59" s="64" cm="1">
        <f t="array" ref="AF59">IFERROR(INDEX('Offer Statistics'!BM$2:BM$400,MATCH(1,($A59='Offer Statistics'!$BB$2:$BB$400)*($AC$2='Offer Statistics'!$BC$2:$BC$400),0)),"/")</f>
        <v>0</v>
      </c>
      <c r="AG59" s="64" cm="1">
        <f t="array" ref="AG59">IFERROR(INDEX('Offer Statistics'!BN$2:BN$400,MATCH(1,($A59='Offer Statistics'!$BB$2:$BB$400)*($AC$2='Offer Statistics'!$BC$2:$BC$400),0)),"/")</f>
        <v>0</v>
      </c>
      <c r="AH59" s="64" cm="1">
        <f t="array" ref="AH59">IFERROR(INDEX('Offer Statistics'!BO$2:BO$400,MATCH(1,($A59='Offer Statistics'!$BB$2:$BB$400)*($AC$2='Offer Statistics'!$BC$2:$BC$400),0)),"/")</f>
        <v>0</v>
      </c>
      <c r="AI59" s="64" cm="1">
        <f t="array" ref="AI59">IFERROR(INDEX('Offer Statistics'!BP$2:BP$400,MATCH(1,($A59='Offer Statistics'!$BB$2:$BB$400)*($AC$2='Offer Statistics'!$BC$2:$BC$400),0)),"/")</f>
        <v>0</v>
      </c>
      <c r="AJ59" s="511"/>
      <c r="AK59" s="36" cm="1">
        <f t="array" ref="AK59">IFERROR(INDEX('Offer Statistics'!$BI$2:$BI$400,MATCH(1,($A59='Offer Statistics'!$BB$2:$BB$400)*($AC$2='Offer Statistics'!$BC$2:$BC$400),0)),"/")</f>
        <v>1096</v>
      </c>
      <c r="AL59" s="64" cm="1">
        <f t="array" ref="AL59">IFERROR(INDEX('Offer Statistics'!BD$2:BD$400,MATCH(1,($A59='Offer Statistics'!$BB$2:$BB$400)*($AC$2='Offer Statistics'!$BC$2:$BC$400),0)),"/")</f>
        <v>165</v>
      </c>
      <c r="AM59" s="64" cm="1">
        <f t="array" ref="AM59">IFERROR(INDEX('Offer Statistics'!BE$2:BE$400,MATCH(1,($A59='Offer Statistics'!$BB$2:$BB$400)*($AC$2='Offer Statistics'!$BC$2:$BC$400),0)),"/")</f>
        <v>121</v>
      </c>
      <c r="AN59" s="64" cm="1">
        <f t="array" ref="AN59">IFERROR(INDEX('Offer Statistics'!BF$2:BF$400,MATCH(1,($A59='Offer Statistics'!$BB$2:$BB$400)*($AC$2='Offer Statistics'!$BC$2:$BC$400),0)),"/")</f>
        <v>228</v>
      </c>
      <c r="AO59" s="64" cm="1">
        <f t="array" ref="AO59">IFERROR(INDEX('Offer Statistics'!BG$2:BG$400,MATCH(1,($A59='Offer Statistics'!$BB$2:$BB$400)*($AC$2='Offer Statistics'!$BC$2:$BC$400),0)),"/")</f>
        <v>286</v>
      </c>
      <c r="AP59" s="64" cm="1">
        <f t="array" ref="AP59">IFERROR(INDEX('Offer Statistics'!BH$2:BH$400,MATCH(1,($A59='Offer Statistics'!$BB$2:$BB$400)*($AC$2='Offer Statistics'!$BC$2:$BC$400),0)),"/")</f>
        <v>296</v>
      </c>
      <c r="AQ59" s="15"/>
      <c r="AR59" s="15" t="str">
        <f t="shared" si="3"/>
        <v>JS4812</v>
      </c>
    </row>
    <row r="60" spans="1:44" s="10" customFormat="1" ht="18" customHeight="1">
      <c r="A60" s="4" t="str">
        <f>'Reference Score Calculation'!A186</f>
        <v>JS4824</v>
      </c>
      <c r="B60" s="4" t="str">
        <f>'Reference Score Calculation'!C186</f>
        <v>社會科學院</v>
      </c>
      <c r="C60" s="4" t="str">
        <f>'Reference Score Calculation'!D186</f>
        <v>經濟學</v>
      </c>
      <c r="D60" s="4" t="str">
        <f>'Reference Score Calculation'!R186</f>
        <v>ECONOMICS</v>
      </c>
      <c r="E60" s="392" t="str">
        <f>'Reference Score Calculation'!AB186</f>
        <v>Best 5</v>
      </c>
      <c r="F60" s="394" t="str">
        <f>'Reference Score Calculation'!E186</f>
        <v>Best 5</v>
      </c>
      <c r="G60" s="6">
        <f>'Reference Score Calculation'!G186</f>
        <v>31.5</v>
      </c>
      <c r="H60" s="6">
        <f>'Reference Score Calculation'!H186</f>
        <v>30</v>
      </c>
      <c r="I60" s="6">
        <f>'Reference Score Calculation'!I186</f>
        <v>28.5</v>
      </c>
      <c r="J60" s="45">
        <f>計分版!J209</f>
        <v>4.1000000000000003E-9</v>
      </c>
      <c r="K60" s="25">
        <f t="shared" si="0"/>
        <v>-29.999999995900001</v>
      </c>
      <c r="L60" s="26">
        <f t="shared" si="1"/>
        <v>-7317073169.7317076</v>
      </c>
      <c r="M60" s="36">
        <f>'Reference Score Calculation'!T186</f>
        <v>65</v>
      </c>
      <c r="N60" s="86">
        <f>入學要求!Z195</f>
        <v>0</v>
      </c>
      <c r="O60" s="516"/>
      <c r="P60" s="166">
        <f>入學要求!L195</f>
        <v>3</v>
      </c>
      <c r="Q60" s="166">
        <f>入學要求!M195</f>
        <v>3</v>
      </c>
      <c r="R60" s="166">
        <f>入學要求!N195</f>
        <v>3</v>
      </c>
      <c r="S60" s="166">
        <f>入學要求!O195</f>
        <v>1</v>
      </c>
      <c r="T60" s="166">
        <f>入學要求!P195</f>
        <v>3</v>
      </c>
      <c r="U60" s="166">
        <f>入學要求!Q195</f>
        <v>3</v>
      </c>
      <c r="V60" s="256">
        <f>入學要求!S195</f>
        <v>0</v>
      </c>
      <c r="W60" s="256">
        <f>入學要求!T195</f>
        <v>0</v>
      </c>
      <c r="X60" s="256">
        <f>入學要求!U195</f>
        <v>0</v>
      </c>
      <c r="Y60" s="256">
        <f>入學要求!V195</f>
        <v>0</v>
      </c>
      <c r="Z60" s="256">
        <f>入學要求!W195</f>
        <v>0</v>
      </c>
      <c r="AA60" s="256">
        <f>入學要求!X195</f>
        <v>0</v>
      </c>
      <c r="AB60" s="36">
        <f t="shared" si="2"/>
        <v>9.73</v>
      </c>
      <c r="AC60" s="510"/>
      <c r="AD60" s="36" cm="1">
        <f t="array" ref="AD60">IFERROR(INDEX('Offer Statistics'!$BQ$2:$BQ$400,MATCH(1,($A60='Offer Statistics'!$BB$2:$BB$400)*($AC$2='Offer Statistics'!$BC$2:$BC$400),0)),"/")</f>
        <v>45</v>
      </c>
      <c r="AE60" s="64" cm="1">
        <f t="array" ref="AE60">IFERROR(INDEX('Offer Statistics'!BL$2:BL$400,MATCH(1,($A60='Offer Statistics'!$BB$2:$BB$400)*($AC$2='Offer Statistics'!$BC$2:$BC$400),0)),"/")</f>
        <v>45</v>
      </c>
      <c r="AF60" s="64" cm="1">
        <f t="array" ref="AF60">IFERROR(INDEX('Offer Statistics'!BM$2:BM$400,MATCH(1,($A60='Offer Statistics'!$BB$2:$BB$400)*($AC$2='Offer Statistics'!$BC$2:$BC$400),0)),"/")</f>
        <v>0</v>
      </c>
      <c r="AG60" s="64" cm="1">
        <f t="array" ref="AG60">IFERROR(INDEX('Offer Statistics'!BN$2:BN$400,MATCH(1,($A60='Offer Statistics'!$BB$2:$BB$400)*($AC$2='Offer Statistics'!$BC$2:$BC$400),0)),"/")</f>
        <v>0</v>
      </c>
      <c r="AH60" s="64" cm="1">
        <f t="array" ref="AH60">IFERROR(INDEX('Offer Statistics'!BO$2:BO$400,MATCH(1,($A60='Offer Statistics'!$BB$2:$BB$400)*($AC$2='Offer Statistics'!$BC$2:$BC$400),0)),"/")</f>
        <v>0</v>
      </c>
      <c r="AI60" s="64" cm="1">
        <f t="array" ref="AI60">IFERROR(INDEX('Offer Statistics'!BP$2:BP$400,MATCH(1,($A60='Offer Statistics'!$BB$2:$BB$400)*($AC$2='Offer Statistics'!$BC$2:$BC$400),0)),"/")</f>
        <v>0</v>
      </c>
      <c r="AJ60" s="511"/>
      <c r="AK60" s="36" cm="1">
        <f t="array" ref="AK60">IFERROR(INDEX('Offer Statistics'!$BI$2:$BI$400,MATCH(1,($A60='Offer Statistics'!$BB$2:$BB$400)*($AC$2='Offer Statistics'!$BC$2:$BC$400),0)),"/")</f>
        <v>2694</v>
      </c>
      <c r="AL60" s="64" cm="1">
        <f t="array" ref="AL60">IFERROR(INDEX('Offer Statistics'!BD$2:BD$400,MATCH(1,($A60='Offer Statistics'!$BB$2:$BB$400)*($AC$2='Offer Statistics'!$BC$2:$BC$400),0)),"/")</f>
        <v>438</v>
      </c>
      <c r="AM60" s="64" cm="1">
        <f t="array" ref="AM60">IFERROR(INDEX('Offer Statistics'!BE$2:BE$400,MATCH(1,($A60='Offer Statistics'!$BB$2:$BB$400)*($AC$2='Offer Statistics'!$BC$2:$BC$400),0)),"/")</f>
        <v>335</v>
      </c>
      <c r="AN60" s="64" cm="1">
        <f t="array" ref="AN60">IFERROR(INDEX('Offer Statistics'!BF$2:BF$400,MATCH(1,($A60='Offer Statistics'!$BB$2:$BB$400)*($AC$2='Offer Statistics'!$BC$2:$BC$400),0)),"/")</f>
        <v>552</v>
      </c>
      <c r="AO60" s="64" cm="1">
        <f t="array" ref="AO60">IFERROR(INDEX('Offer Statistics'!BG$2:BG$400,MATCH(1,($A60='Offer Statistics'!$BB$2:$BB$400)*($AC$2='Offer Statistics'!$BC$2:$BC$400),0)),"/")</f>
        <v>739</v>
      </c>
      <c r="AP60" s="64" cm="1">
        <f t="array" ref="AP60">IFERROR(INDEX('Offer Statistics'!BH$2:BH$400,MATCH(1,($A60='Offer Statistics'!$BB$2:$BB$400)*($AC$2='Offer Statistics'!$BC$2:$BC$400),0)),"/")</f>
        <v>630</v>
      </c>
      <c r="AQ60" s="15"/>
      <c r="AR60" s="15" t="str">
        <f t="shared" si="3"/>
        <v>JS4824</v>
      </c>
    </row>
    <row r="61" spans="1:44" ht="18" customHeight="1">
      <c r="A61" s="4" t="str">
        <f>'Reference Score Calculation'!A187</f>
        <v>JS4836</v>
      </c>
      <c r="B61" s="4" t="str">
        <f>'Reference Score Calculation'!C187</f>
        <v>社會科學院</v>
      </c>
      <c r="C61" s="4" t="str">
        <f>'Reference Score Calculation'!D187</f>
        <v>地理與資源管理學</v>
      </c>
      <c r="D61" s="4" t="str">
        <f>'Reference Score Calculation'!R187</f>
        <v>GEO &amp; RES MGT</v>
      </c>
      <c r="E61" s="392" t="str">
        <f>'Reference Score Calculation'!AB187</f>
        <v>Best 5</v>
      </c>
      <c r="F61" s="394" t="str">
        <f>'Reference Score Calculation'!E187</f>
        <v>Best 5</v>
      </c>
      <c r="G61" s="6">
        <f>'Reference Score Calculation'!G187</f>
        <v>31.5</v>
      </c>
      <c r="H61" s="6">
        <f>'Reference Score Calculation'!H187</f>
        <v>30</v>
      </c>
      <c r="I61" s="6">
        <f>'Reference Score Calculation'!I187</f>
        <v>28.5</v>
      </c>
      <c r="J61" s="45">
        <f>計分版!J210</f>
        <v>3.9500000000000006E-9</v>
      </c>
      <c r="K61" s="25">
        <f t="shared" si="0"/>
        <v>-29.999999996050001</v>
      </c>
      <c r="L61" s="26">
        <f t="shared" si="1"/>
        <v>-7594936707.8607588</v>
      </c>
      <c r="M61" s="36">
        <f>'Reference Score Calculation'!T187</f>
        <v>39</v>
      </c>
      <c r="N61" s="86">
        <f>入學要求!Z196</f>
        <v>0</v>
      </c>
      <c r="O61" s="516"/>
      <c r="P61" s="166">
        <f>入學要求!L196</f>
        <v>3</v>
      </c>
      <c r="Q61" s="166">
        <f>入學要求!M196</f>
        <v>3</v>
      </c>
      <c r="R61" s="166">
        <f>入學要求!N196</f>
        <v>2</v>
      </c>
      <c r="S61" s="166">
        <f>入學要求!O196</f>
        <v>1</v>
      </c>
      <c r="T61" s="166">
        <f>入學要求!P196</f>
        <v>3</v>
      </c>
      <c r="U61" s="166">
        <f>入學要求!Q196</f>
        <v>3</v>
      </c>
      <c r="V61" s="256">
        <f>入學要求!S196</f>
        <v>0</v>
      </c>
      <c r="W61" s="256">
        <f>入學要求!T196</f>
        <v>0</v>
      </c>
      <c r="X61" s="256">
        <f>入學要求!U196</f>
        <v>0</v>
      </c>
      <c r="Y61" s="256">
        <f>入學要求!V196</f>
        <v>0</v>
      </c>
      <c r="Z61" s="256">
        <f>入學要求!W196</f>
        <v>0</v>
      </c>
      <c r="AA61" s="256">
        <f>入學要求!X196</f>
        <v>0</v>
      </c>
      <c r="AB61" s="36">
        <f t="shared" si="2"/>
        <v>7.8</v>
      </c>
      <c r="AC61" s="510"/>
      <c r="AD61" s="36" cm="1">
        <f t="array" ref="AD61">IFERROR(INDEX('Offer Statistics'!$BQ$2:$BQ$400,MATCH(1,($A61='Offer Statistics'!$BB$2:$BB$400)*($AC$2='Offer Statistics'!$BC$2:$BC$400),0)),"/")</f>
        <v>45</v>
      </c>
      <c r="AE61" s="64" cm="1">
        <f t="array" ref="AE61">IFERROR(INDEX('Offer Statistics'!BL$2:BL$400,MATCH(1,($A61='Offer Statistics'!$BB$2:$BB$400)*($AC$2='Offer Statistics'!$BC$2:$BC$400),0)),"/")</f>
        <v>45</v>
      </c>
      <c r="AF61" s="64" cm="1">
        <f t="array" ref="AF61">IFERROR(INDEX('Offer Statistics'!BM$2:BM$400,MATCH(1,($A61='Offer Statistics'!$BB$2:$BB$400)*($AC$2='Offer Statistics'!$BC$2:$BC$400),0)),"/")</f>
        <v>0</v>
      </c>
      <c r="AG61" s="64" cm="1">
        <f t="array" ref="AG61">IFERROR(INDEX('Offer Statistics'!BN$2:BN$400,MATCH(1,($A61='Offer Statistics'!$BB$2:$BB$400)*($AC$2='Offer Statistics'!$BC$2:$BC$400),0)),"/")</f>
        <v>0</v>
      </c>
      <c r="AH61" s="64" cm="1">
        <f t="array" ref="AH61">IFERROR(INDEX('Offer Statistics'!BO$2:BO$400,MATCH(1,($A61='Offer Statistics'!$BB$2:$BB$400)*($AC$2='Offer Statistics'!$BC$2:$BC$400),0)),"/")</f>
        <v>0</v>
      </c>
      <c r="AI61" s="64" cm="1">
        <f t="array" ref="AI61">IFERROR(INDEX('Offer Statistics'!BP$2:BP$400,MATCH(1,($A61='Offer Statistics'!$BB$2:$BB$400)*($AC$2='Offer Statistics'!$BC$2:$BC$400),0)),"/")</f>
        <v>0</v>
      </c>
      <c r="AJ61" s="511"/>
      <c r="AK61" s="36" cm="1">
        <f t="array" ref="AK61">IFERROR(INDEX('Offer Statistics'!$BI$2:$BI$400,MATCH(1,($A61='Offer Statistics'!$BB$2:$BB$400)*($AC$2='Offer Statistics'!$BC$2:$BC$400),0)),"/")</f>
        <v>1932</v>
      </c>
      <c r="AL61" s="64" cm="1">
        <f t="array" ref="AL61">IFERROR(INDEX('Offer Statistics'!BD$2:BD$400,MATCH(1,($A61='Offer Statistics'!$BB$2:$BB$400)*($AC$2='Offer Statistics'!$BC$2:$BC$400),0)),"/")</f>
        <v>351</v>
      </c>
      <c r="AM61" s="64" cm="1">
        <f t="array" ref="AM61">IFERROR(INDEX('Offer Statistics'!BE$2:BE$400,MATCH(1,($A61='Offer Statistics'!$BB$2:$BB$400)*($AC$2='Offer Statistics'!$BC$2:$BC$400),0)),"/")</f>
        <v>264</v>
      </c>
      <c r="AN61" s="64" cm="1">
        <f t="array" ref="AN61">IFERROR(INDEX('Offer Statistics'!BF$2:BF$400,MATCH(1,($A61='Offer Statistics'!$BB$2:$BB$400)*($AC$2='Offer Statistics'!$BC$2:$BC$400),0)),"/")</f>
        <v>426</v>
      </c>
      <c r="AO61" s="64" cm="1">
        <f t="array" ref="AO61">IFERROR(INDEX('Offer Statistics'!BG$2:BG$400,MATCH(1,($A61='Offer Statistics'!$BB$2:$BB$400)*($AC$2='Offer Statistics'!$BC$2:$BC$400),0)),"/")</f>
        <v>472</v>
      </c>
      <c r="AP61" s="64" cm="1">
        <f t="array" ref="AP61">IFERROR(INDEX('Offer Statistics'!BH$2:BH$400,MATCH(1,($A61='Offer Statistics'!$BB$2:$BB$400)*($AC$2='Offer Statistics'!$BC$2:$BC$400),0)),"/")</f>
        <v>419</v>
      </c>
      <c r="AQ61" s="15"/>
      <c r="AR61" s="15" t="str">
        <f t="shared" si="3"/>
        <v>JS4836</v>
      </c>
    </row>
    <row r="62" spans="1:44" s="10" customFormat="1" ht="18" customHeight="1">
      <c r="A62" s="4" t="str">
        <f>'Reference Score Calculation'!A188</f>
        <v>JS4838</v>
      </c>
      <c r="B62" s="4" t="str">
        <f>'Reference Score Calculation'!C188</f>
        <v>社會科學院</v>
      </c>
      <c r="C62" s="4" t="str">
        <f>'Reference Score Calculation'!D188</f>
        <v>城市研究</v>
      </c>
      <c r="D62" s="4" t="str">
        <f>'Reference Score Calculation'!R188</f>
        <v>URBAN STUDIES</v>
      </c>
      <c r="E62" s="392" t="str">
        <f>'Reference Score Calculation'!AB188</f>
        <v>Best 5</v>
      </c>
      <c r="F62" s="395" t="str">
        <f>'Reference Score Calculation'!E188</f>
        <v>Best 5</v>
      </c>
      <c r="G62" s="6">
        <f>'Reference Score Calculation'!G188</f>
        <v>27.5</v>
      </c>
      <c r="H62" s="6">
        <f>'Reference Score Calculation'!H188</f>
        <v>24.5</v>
      </c>
      <c r="I62" s="6">
        <f>'Reference Score Calculation'!I188</f>
        <v>24.5</v>
      </c>
      <c r="J62" s="45">
        <f>計分版!J211</f>
        <v>3.9500000000000006E-9</v>
      </c>
      <c r="K62" s="25">
        <f t="shared" si="0"/>
        <v>-24.499999996050001</v>
      </c>
      <c r="L62" s="26">
        <f t="shared" si="1"/>
        <v>-6202531644.5696192</v>
      </c>
      <c r="M62" s="36">
        <f>'Reference Score Calculation'!T188</f>
        <v>19</v>
      </c>
      <c r="N62" s="86">
        <f>入學要求!Z197</f>
        <v>0</v>
      </c>
      <c r="O62" s="516"/>
      <c r="P62" s="166">
        <f>入學要求!L197</f>
        <v>3</v>
      </c>
      <c r="Q62" s="166">
        <f>入學要求!M197</f>
        <v>3</v>
      </c>
      <c r="R62" s="166">
        <f>入學要求!N197</f>
        <v>2</v>
      </c>
      <c r="S62" s="166">
        <f>入學要求!O197</f>
        <v>1</v>
      </c>
      <c r="T62" s="166">
        <f>入學要求!P197</f>
        <v>3</v>
      </c>
      <c r="U62" s="166">
        <f>入學要求!Q197</f>
        <v>3</v>
      </c>
      <c r="V62" s="256">
        <f>入學要求!S197</f>
        <v>0</v>
      </c>
      <c r="W62" s="256">
        <f>入學要求!T197</f>
        <v>0</v>
      </c>
      <c r="X62" s="256">
        <f>入學要求!U197</f>
        <v>0</v>
      </c>
      <c r="Y62" s="256">
        <f>入學要求!V197</f>
        <v>0</v>
      </c>
      <c r="Z62" s="256">
        <f>入學要求!W197</f>
        <v>0</v>
      </c>
      <c r="AA62" s="256">
        <f>入學要求!X197</f>
        <v>0</v>
      </c>
      <c r="AB62" s="36">
        <f t="shared" si="2"/>
        <v>6.52</v>
      </c>
      <c r="AC62" s="510"/>
      <c r="AD62" s="36" cm="1">
        <f t="array" ref="AD62">IFERROR(INDEX('Offer Statistics'!$BQ$2:$BQ$400,MATCH(1,($A62='Offer Statistics'!$BB$2:$BB$400)*($AC$2='Offer Statistics'!$BC$2:$BC$400),0)),"/")</f>
        <v>27</v>
      </c>
      <c r="AE62" s="64" cm="1">
        <f t="array" ref="AE62">IFERROR(INDEX('Offer Statistics'!BL$2:BL$400,MATCH(1,($A62='Offer Statistics'!$BB$2:$BB$400)*($AC$2='Offer Statistics'!$BC$2:$BC$400),0)),"/")</f>
        <v>27</v>
      </c>
      <c r="AF62" s="64" cm="1">
        <f t="array" ref="AF62">IFERROR(INDEX('Offer Statistics'!BM$2:BM$400,MATCH(1,($A62='Offer Statistics'!$BB$2:$BB$400)*($AC$2='Offer Statistics'!$BC$2:$BC$400),0)),"/")</f>
        <v>0</v>
      </c>
      <c r="AG62" s="64" cm="1">
        <f t="array" ref="AG62">IFERROR(INDEX('Offer Statistics'!BN$2:BN$400,MATCH(1,($A62='Offer Statistics'!$BB$2:$BB$400)*($AC$2='Offer Statistics'!$BC$2:$BC$400),0)),"/")</f>
        <v>0</v>
      </c>
      <c r="AH62" s="64" cm="1">
        <f t="array" ref="AH62">IFERROR(INDEX('Offer Statistics'!BO$2:BO$400,MATCH(1,($A62='Offer Statistics'!$BB$2:$BB$400)*($AC$2='Offer Statistics'!$BC$2:$BC$400),0)),"/")</f>
        <v>0</v>
      </c>
      <c r="AI62" s="64" cm="1">
        <f t="array" ref="AI62">IFERROR(INDEX('Offer Statistics'!BP$2:BP$400,MATCH(1,($A62='Offer Statistics'!$BB$2:$BB$400)*($AC$2='Offer Statistics'!$BC$2:$BC$400),0)),"/")</f>
        <v>0</v>
      </c>
      <c r="AJ62" s="511"/>
      <c r="AK62" s="36" cm="1">
        <f t="array" ref="AK62">IFERROR(INDEX('Offer Statistics'!$BI$2:$BI$400,MATCH(1,($A62='Offer Statistics'!$BB$2:$BB$400)*($AC$2='Offer Statistics'!$BC$2:$BC$400),0)),"/")</f>
        <v>1568</v>
      </c>
      <c r="AL62" s="64" cm="1">
        <f t="array" ref="AL62">IFERROR(INDEX('Offer Statistics'!BD$2:BD$400,MATCH(1,($A62='Offer Statistics'!$BB$2:$BB$400)*($AC$2='Offer Statistics'!$BC$2:$BC$400),0)),"/")</f>
        <v>176</v>
      </c>
      <c r="AM62" s="64" cm="1">
        <f t="array" ref="AM62">IFERROR(INDEX('Offer Statistics'!BE$2:BE$400,MATCH(1,($A62='Offer Statistics'!$BB$2:$BB$400)*($AC$2='Offer Statistics'!$BC$2:$BC$400),0)),"/")</f>
        <v>194</v>
      </c>
      <c r="AN62" s="64" cm="1">
        <f t="array" ref="AN62">IFERROR(INDEX('Offer Statistics'!BF$2:BF$400,MATCH(1,($A62='Offer Statistics'!$BB$2:$BB$400)*($AC$2='Offer Statistics'!$BC$2:$BC$400),0)),"/")</f>
        <v>340</v>
      </c>
      <c r="AO62" s="64" cm="1">
        <f t="array" ref="AO62">IFERROR(INDEX('Offer Statistics'!BG$2:BG$400,MATCH(1,($A62='Offer Statistics'!$BB$2:$BB$400)*($AC$2='Offer Statistics'!$BC$2:$BC$400),0)),"/")</f>
        <v>415</v>
      </c>
      <c r="AP62" s="64" cm="1">
        <f t="array" ref="AP62">IFERROR(INDEX('Offer Statistics'!BH$2:BH$400,MATCH(1,($A62='Offer Statistics'!$BB$2:$BB$400)*($AC$2='Offer Statistics'!$BC$2:$BC$400),0)),"/")</f>
        <v>443</v>
      </c>
      <c r="AQ62" s="15"/>
      <c r="AR62" s="15" t="str">
        <f t="shared" si="3"/>
        <v>JS4838</v>
      </c>
    </row>
    <row r="63" spans="1:44" ht="18" customHeight="1">
      <c r="A63" s="4" t="str">
        <f>'Reference Score Calculation'!A189</f>
        <v>JS4848</v>
      </c>
      <c r="B63" s="4" t="str">
        <f>'Reference Score Calculation'!C189</f>
        <v>社會科學院</v>
      </c>
      <c r="C63" s="4" t="str">
        <f>'Reference Score Calculation'!D189</f>
        <v>政治與行政學</v>
      </c>
      <c r="D63" s="4" t="str">
        <f>'Reference Score Calculation'!R189</f>
        <v>GOV'T &amp; PUBLIC ADMIN</v>
      </c>
      <c r="E63" s="392" t="str">
        <f>'Reference Score Calculation'!AB189</f>
        <v>Best 5</v>
      </c>
      <c r="F63" s="397" t="str">
        <f>'Reference Score Calculation'!E189</f>
        <v>Best 5</v>
      </c>
      <c r="G63" s="6">
        <f>'Reference Score Calculation'!G189</f>
        <v>27.75</v>
      </c>
      <c r="H63" s="6">
        <f>'Reference Score Calculation'!H189</f>
        <v>27.375</v>
      </c>
      <c r="I63" s="6">
        <f>'Reference Score Calculation'!I189</f>
        <v>26.75</v>
      </c>
      <c r="J63" s="45">
        <f>計分版!J212</f>
        <v>3.9500000000000006E-9</v>
      </c>
      <c r="K63" s="25">
        <f t="shared" si="0"/>
        <v>-27.374999996050001</v>
      </c>
      <c r="L63" s="26">
        <f t="shared" si="1"/>
        <v>-6930379745.8354425</v>
      </c>
      <c r="M63" s="36">
        <f>'Reference Score Calculation'!T189</f>
        <v>37</v>
      </c>
      <c r="N63" s="86">
        <f>入學要求!Z198</f>
        <v>0</v>
      </c>
      <c r="O63" s="516"/>
      <c r="P63" s="166">
        <f>入學要求!L198</f>
        <v>3</v>
      </c>
      <c r="Q63" s="166">
        <f>入學要求!M198</f>
        <v>3</v>
      </c>
      <c r="R63" s="166">
        <f>入學要求!N198</f>
        <v>2</v>
      </c>
      <c r="S63" s="166">
        <f>入學要求!O198</f>
        <v>1</v>
      </c>
      <c r="T63" s="166">
        <f>入學要求!P198</f>
        <v>3</v>
      </c>
      <c r="U63" s="166">
        <f>入學要求!Q198</f>
        <v>3</v>
      </c>
      <c r="V63" s="256">
        <f>入學要求!S198</f>
        <v>0</v>
      </c>
      <c r="W63" s="256">
        <f>入學要求!T198</f>
        <v>0</v>
      </c>
      <c r="X63" s="256">
        <f>入學要求!U198</f>
        <v>0</v>
      </c>
      <c r="Y63" s="256">
        <f>入學要求!V198</f>
        <v>0</v>
      </c>
      <c r="Z63" s="256">
        <f>入學要求!W198</f>
        <v>0</v>
      </c>
      <c r="AA63" s="256">
        <f>入學要求!X198</f>
        <v>0</v>
      </c>
      <c r="AB63" s="36">
        <f t="shared" si="2"/>
        <v>9.3800000000000008</v>
      </c>
      <c r="AC63" s="510"/>
      <c r="AD63" s="36" cm="1">
        <f t="array" ref="AD63">IFERROR(INDEX('Offer Statistics'!$BQ$2:$BQ$400,MATCH(1,($A63='Offer Statistics'!$BB$2:$BB$400)*($AC$2='Offer Statistics'!$BC$2:$BC$400),0)),"/")</f>
        <v>34</v>
      </c>
      <c r="AE63" s="64" cm="1">
        <f t="array" ref="AE63">IFERROR(INDEX('Offer Statistics'!BL$2:BL$400,MATCH(1,($A63='Offer Statistics'!$BB$2:$BB$400)*($AC$2='Offer Statistics'!$BC$2:$BC$400),0)),"/")</f>
        <v>34</v>
      </c>
      <c r="AF63" s="64" cm="1">
        <f t="array" ref="AF63">IFERROR(INDEX('Offer Statistics'!BM$2:BM$400,MATCH(1,($A63='Offer Statistics'!$BB$2:$BB$400)*($AC$2='Offer Statistics'!$BC$2:$BC$400),0)),"/")</f>
        <v>0</v>
      </c>
      <c r="AG63" s="64" cm="1">
        <f t="array" ref="AG63">IFERROR(INDEX('Offer Statistics'!BN$2:BN$400,MATCH(1,($A63='Offer Statistics'!$BB$2:$BB$400)*($AC$2='Offer Statistics'!$BC$2:$BC$400),0)),"/")</f>
        <v>0</v>
      </c>
      <c r="AH63" s="64" cm="1">
        <f t="array" ref="AH63">IFERROR(INDEX('Offer Statistics'!BO$2:BO$400,MATCH(1,($A63='Offer Statistics'!$BB$2:$BB$400)*($AC$2='Offer Statistics'!$BC$2:$BC$400),0)),"/")</f>
        <v>0</v>
      </c>
      <c r="AI63" s="64" cm="1">
        <f t="array" ref="AI63">IFERROR(INDEX('Offer Statistics'!BP$2:BP$400,MATCH(1,($A63='Offer Statistics'!$BB$2:$BB$400)*($AC$2='Offer Statistics'!$BC$2:$BC$400),0)),"/")</f>
        <v>0</v>
      </c>
      <c r="AJ63" s="511"/>
      <c r="AK63" s="36" cm="1">
        <f t="array" ref="AK63">IFERROR(INDEX('Offer Statistics'!$BI$2:$BI$400,MATCH(1,($A63='Offer Statistics'!$BB$2:$BB$400)*($AC$2='Offer Statistics'!$BC$2:$BC$400),0)),"/")</f>
        <v>1643</v>
      </c>
      <c r="AL63" s="64" cm="1">
        <f t="array" ref="AL63">IFERROR(INDEX('Offer Statistics'!BD$2:BD$400,MATCH(1,($A63='Offer Statistics'!$BB$2:$BB$400)*($AC$2='Offer Statistics'!$BC$2:$BC$400),0)),"/")</f>
        <v>319</v>
      </c>
      <c r="AM63" s="64" cm="1">
        <f t="array" ref="AM63">IFERROR(INDEX('Offer Statistics'!BE$2:BE$400,MATCH(1,($A63='Offer Statistics'!$BB$2:$BB$400)*($AC$2='Offer Statistics'!$BC$2:$BC$400),0)),"/")</f>
        <v>230</v>
      </c>
      <c r="AN63" s="64" cm="1">
        <f t="array" ref="AN63">IFERROR(INDEX('Offer Statistics'!BF$2:BF$400,MATCH(1,($A63='Offer Statistics'!$BB$2:$BB$400)*($AC$2='Offer Statistics'!$BC$2:$BC$400),0)),"/")</f>
        <v>282</v>
      </c>
      <c r="AO63" s="64" cm="1">
        <f t="array" ref="AO63">IFERROR(INDEX('Offer Statistics'!BG$2:BG$400,MATCH(1,($A63='Offer Statistics'!$BB$2:$BB$400)*($AC$2='Offer Statistics'!$BC$2:$BC$400),0)),"/")</f>
        <v>408</v>
      </c>
      <c r="AP63" s="64" cm="1">
        <f t="array" ref="AP63">IFERROR(INDEX('Offer Statistics'!BH$2:BH$400,MATCH(1,($A63='Offer Statistics'!$BB$2:$BB$400)*($AC$2='Offer Statistics'!$BC$2:$BC$400),0)),"/")</f>
        <v>404</v>
      </c>
      <c r="AQ63" s="15"/>
      <c r="AR63" s="15" t="str">
        <f t="shared" si="3"/>
        <v>JS4848</v>
      </c>
    </row>
    <row r="64" spans="1:44" s="10" customFormat="1" ht="18" customHeight="1">
      <c r="A64" s="4" t="str">
        <f>'Reference Score Calculation'!A190</f>
        <v>JS4850</v>
      </c>
      <c r="B64" s="4" t="str">
        <f>'Reference Score Calculation'!C190</f>
        <v>社會科學院</v>
      </c>
      <c r="C64" s="4" t="str">
        <f>'Reference Score Calculation'!D190</f>
        <v>新聞與傳播學</v>
      </c>
      <c r="D64" s="4" t="str">
        <f>'Reference Score Calculation'!R190</f>
        <v>JOURNALISM &amp; COMMUN</v>
      </c>
      <c r="E64" s="392" t="str">
        <f>'Reference Score Calculation'!AB190</f>
        <v>Best 5</v>
      </c>
      <c r="F64" s="394" t="str">
        <f>'Reference Score Calculation'!E190</f>
        <v>Best 5</v>
      </c>
      <c r="G64" s="6">
        <f>'Reference Score Calculation'!G190</f>
        <v>32.75</v>
      </c>
      <c r="H64" s="6">
        <f>'Reference Score Calculation'!H190</f>
        <v>30.65</v>
      </c>
      <c r="I64" s="6">
        <f>'Reference Score Calculation'!I190</f>
        <v>28.85</v>
      </c>
      <c r="J64" s="45">
        <f>計分版!J213</f>
        <v>3.9500000000000006E-9</v>
      </c>
      <c r="K64" s="25">
        <f t="shared" si="0"/>
        <v>-30.649999996049999</v>
      </c>
      <c r="L64" s="26">
        <f t="shared" si="1"/>
        <v>-7759493669.8860741</v>
      </c>
      <c r="M64" s="36">
        <f>'Reference Score Calculation'!T190</f>
        <v>43</v>
      </c>
      <c r="N64" s="86">
        <f>入學要求!Z199</f>
        <v>0</v>
      </c>
      <c r="O64" s="516"/>
      <c r="P64" s="166">
        <f>入學要求!L199</f>
        <v>3</v>
      </c>
      <c r="Q64" s="166">
        <f>入學要求!M199</f>
        <v>3</v>
      </c>
      <c r="R64" s="166">
        <f>入學要求!N199</f>
        <v>2</v>
      </c>
      <c r="S64" s="166">
        <f>入學要求!O199</f>
        <v>1</v>
      </c>
      <c r="T64" s="166">
        <f>入學要求!P199</f>
        <v>3</v>
      </c>
      <c r="U64" s="166">
        <f>入學要求!Q199</f>
        <v>3</v>
      </c>
      <c r="V64" s="256">
        <f>入學要求!S199</f>
        <v>0</v>
      </c>
      <c r="W64" s="256">
        <f>入學要求!T199</f>
        <v>0</v>
      </c>
      <c r="X64" s="256">
        <f>入學要求!U199</f>
        <v>0</v>
      </c>
      <c r="Y64" s="256">
        <f>入學要求!V199</f>
        <v>0</v>
      </c>
      <c r="Z64" s="256">
        <f>入學要求!W199</f>
        <v>0</v>
      </c>
      <c r="AA64" s="256">
        <f>入學要求!X199</f>
        <v>0</v>
      </c>
      <c r="AB64" s="36">
        <f t="shared" si="2"/>
        <v>4.3600000000000003</v>
      </c>
      <c r="AC64" s="510"/>
      <c r="AD64" s="36" cm="1">
        <f t="array" ref="AD64">IFERROR(INDEX('Offer Statistics'!$BQ$2:$BQ$400,MATCH(1,($A64='Offer Statistics'!$BB$2:$BB$400)*($AC$2='Offer Statistics'!$BC$2:$BC$400),0)),"/")</f>
        <v>45</v>
      </c>
      <c r="AE64" s="64" cm="1">
        <f t="array" ref="AE64">IFERROR(INDEX('Offer Statistics'!BL$2:BL$400,MATCH(1,($A64='Offer Statistics'!$BB$2:$BB$400)*($AC$2='Offer Statistics'!$BC$2:$BC$400),0)),"/")</f>
        <v>45</v>
      </c>
      <c r="AF64" s="64" cm="1">
        <f t="array" ref="AF64">IFERROR(INDEX('Offer Statistics'!BM$2:BM$400,MATCH(1,($A64='Offer Statistics'!$BB$2:$BB$400)*($AC$2='Offer Statistics'!$BC$2:$BC$400),0)),"/")</f>
        <v>0</v>
      </c>
      <c r="AG64" s="64" cm="1">
        <f t="array" ref="AG64">IFERROR(INDEX('Offer Statistics'!BN$2:BN$400,MATCH(1,($A64='Offer Statistics'!$BB$2:$BB$400)*($AC$2='Offer Statistics'!$BC$2:$BC$400),0)),"/")</f>
        <v>0</v>
      </c>
      <c r="AH64" s="64" cm="1">
        <f t="array" ref="AH64">IFERROR(INDEX('Offer Statistics'!BO$2:BO$400,MATCH(1,($A64='Offer Statistics'!$BB$2:$BB$400)*($AC$2='Offer Statistics'!$BC$2:$BC$400),0)),"/")</f>
        <v>0</v>
      </c>
      <c r="AI64" s="64" cm="1">
        <f t="array" ref="AI64">IFERROR(INDEX('Offer Statistics'!BP$2:BP$400,MATCH(1,($A64='Offer Statistics'!$BB$2:$BB$400)*($AC$2='Offer Statistics'!$BC$2:$BC$400),0)),"/")</f>
        <v>0</v>
      </c>
      <c r="AJ64" s="511"/>
      <c r="AK64" s="36" cm="1">
        <f t="array" ref="AK64">IFERROR(INDEX('Offer Statistics'!$BI$2:$BI$400,MATCH(1,($A64='Offer Statistics'!$BB$2:$BB$400)*($AC$2='Offer Statistics'!$BC$2:$BC$400),0)),"/")</f>
        <v>1875</v>
      </c>
      <c r="AL64" s="64" cm="1">
        <f t="array" ref="AL64">IFERROR(INDEX('Offer Statistics'!BD$2:BD$400,MATCH(1,($A64='Offer Statistics'!$BB$2:$BB$400)*($AC$2='Offer Statistics'!$BC$2:$BC$400),0)),"/")</f>
        <v>196</v>
      </c>
      <c r="AM64" s="64" cm="1">
        <f t="array" ref="AM64">IFERROR(INDEX('Offer Statistics'!BE$2:BE$400,MATCH(1,($A64='Offer Statistics'!$BB$2:$BB$400)*($AC$2='Offer Statistics'!$BC$2:$BC$400),0)),"/")</f>
        <v>205</v>
      </c>
      <c r="AN64" s="64" cm="1">
        <f t="array" ref="AN64">IFERROR(INDEX('Offer Statistics'!BF$2:BF$400,MATCH(1,($A64='Offer Statistics'!$BB$2:$BB$400)*($AC$2='Offer Statistics'!$BC$2:$BC$400),0)),"/")</f>
        <v>394</v>
      </c>
      <c r="AO64" s="64" cm="1">
        <f t="array" ref="AO64">IFERROR(INDEX('Offer Statistics'!BG$2:BG$400,MATCH(1,($A64='Offer Statistics'!$BB$2:$BB$400)*($AC$2='Offer Statistics'!$BC$2:$BC$400),0)),"/")</f>
        <v>576</v>
      </c>
      <c r="AP64" s="64" cm="1">
        <f t="array" ref="AP64">IFERROR(INDEX('Offer Statistics'!BH$2:BH$400,MATCH(1,($A64='Offer Statistics'!$BB$2:$BB$400)*($AC$2='Offer Statistics'!$BC$2:$BC$400),0)),"/")</f>
        <v>504</v>
      </c>
      <c r="AQ64" s="15"/>
      <c r="AR64" s="15" t="str">
        <f t="shared" si="3"/>
        <v>JS4850</v>
      </c>
    </row>
    <row r="65" spans="1:44" s="10" customFormat="1" ht="18" customHeight="1">
      <c r="A65" s="4" t="str">
        <f>'Reference Score Calculation'!A191</f>
        <v>JS4858</v>
      </c>
      <c r="B65" s="4" t="str">
        <f>'Reference Score Calculation'!C191</f>
        <v>社會科學院</v>
      </c>
      <c r="C65" s="4" t="str">
        <f>'Reference Score Calculation'!D191</f>
        <v>全球傳播</v>
      </c>
      <c r="D65" s="4" t="str">
        <f>'Reference Score Calculation'!R191</f>
        <v>GLOBAL COMM</v>
      </c>
      <c r="E65" s="392" t="str">
        <f>'Reference Score Calculation'!AB191</f>
        <v>Best 5</v>
      </c>
      <c r="F65" s="394" t="str">
        <f>'Reference Score Calculation'!E191</f>
        <v>Best 5</v>
      </c>
      <c r="G65" s="6">
        <f>'Reference Score Calculation'!G191</f>
        <v>32.6</v>
      </c>
      <c r="H65" s="6">
        <f>'Reference Score Calculation'!H191</f>
        <v>28.7</v>
      </c>
      <c r="I65" s="6">
        <f>'Reference Score Calculation'!I191</f>
        <v>27.2</v>
      </c>
      <c r="J65" s="45">
        <f>計分版!J214</f>
        <v>3.9500000000000006E-9</v>
      </c>
      <c r="K65" s="25">
        <f t="shared" si="0"/>
        <v>-28.69999999605</v>
      </c>
      <c r="L65" s="26">
        <f t="shared" si="1"/>
        <v>-7265822783.8101254</v>
      </c>
      <c r="M65" s="36">
        <f>'Reference Score Calculation'!T191</f>
        <v>9</v>
      </c>
      <c r="N65" s="86">
        <f>入學要求!Z200</f>
        <v>0</v>
      </c>
      <c r="O65" s="516"/>
      <c r="P65" s="166">
        <f>入學要求!L200</f>
        <v>3</v>
      </c>
      <c r="Q65" s="166">
        <f>入學要求!M200</f>
        <v>4</v>
      </c>
      <c r="R65" s="166">
        <f>入學要求!N200</f>
        <v>2</v>
      </c>
      <c r="S65" s="166">
        <f>入學要求!O200</f>
        <v>1</v>
      </c>
      <c r="T65" s="166">
        <f>入學要求!P200</f>
        <v>3</v>
      </c>
      <c r="U65" s="166">
        <f>入學要求!Q200</f>
        <v>3</v>
      </c>
      <c r="V65" s="256">
        <f>入學要求!S200</f>
        <v>0</v>
      </c>
      <c r="W65" s="256">
        <f>入學要求!T200</f>
        <v>0</v>
      </c>
      <c r="X65" s="256">
        <f>入學要求!U200</f>
        <v>0</v>
      </c>
      <c r="Y65" s="256">
        <f>入學要求!V200</f>
        <v>0</v>
      </c>
      <c r="Z65" s="256">
        <f>入學要求!W200</f>
        <v>0</v>
      </c>
      <c r="AA65" s="256">
        <f>入學要求!X200</f>
        <v>0</v>
      </c>
      <c r="AB65" s="36">
        <f t="shared" si="2"/>
        <v>4</v>
      </c>
      <c r="AC65" s="510"/>
      <c r="AD65" s="36" cm="1">
        <f t="array" ref="AD65">IFERROR(INDEX('Offer Statistics'!$BQ$2:$BQ$400,MATCH(1,($A65='Offer Statistics'!$BB$2:$BB$400)*($AC$2='Offer Statistics'!$BC$2:$BC$400),0)),"/")</f>
        <v>10</v>
      </c>
      <c r="AE65" s="64" cm="1">
        <f t="array" ref="AE65">IFERROR(INDEX('Offer Statistics'!BL$2:BL$400,MATCH(1,($A65='Offer Statistics'!$BB$2:$BB$400)*($AC$2='Offer Statistics'!$BC$2:$BC$400),0)),"/")</f>
        <v>10</v>
      </c>
      <c r="AF65" s="64" cm="1">
        <f t="array" ref="AF65">IFERROR(INDEX('Offer Statistics'!BM$2:BM$400,MATCH(1,($A65='Offer Statistics'!$BB$2:$BB$400)*($AC$2='Offer Statistics'!$BC$2:$BC$400),0)),"/")</f>
        <v>0</v>
      </c>
      <c r="AG65" s="64" cm="1">
        <f t="array" ref="AG65">IFERROR(INDEX('Offer Statistics'!BN$2:BN$400,MATCH(1,($A65='Offer Statistics'!$BB$2:$BB$400)*($AC$2='Offer Statistics'!$BC$2:$BC$400),0)),"/")</f>
        <v>0</v>
      </c>
      <c r="AH65" s="64" cm="1">
        <f t="array" ref="AH65">IFERROR(INDEX('Offer Statistics'!BO$2:BO$400,MATCH(1,($A65='Offer Statistics'!$BB$2:$BB$400)*($AC$2='Offer Statistics'!$BC$2:$BC$400),0)),"/")</f>
        <v>0</v>
      </c>
      <c r="AI65" s="64" cm="1">
        <f t="array" ref="AI65">IFERROR(INDEX('Offer Statistics'!BP$2:BP$400,MATCH(1,($A65='Offer Statistics'!$BB$2:$BB$400)*($AC$2='Offer Statistics'!$BC$2:$BC$400),0)),"/")</f>
        <v>0</v>
      </c>
      <c r="AJ65" s="511"/>
      <c r="AK65" s="36" cm="1">
        <f t="array" ref="AK65">IFERROR(INDEX('Offer Statistics'!$BI$2:$BI$400,MATCH(1,($A65='Offer Statistics'!$BB$2:$BB$400)*($AC$2='Offer Statistics'!$BC$2:$BC$400),0)),"/")</f>
        <v>637</v>
      </c>
      <c r="AL65" s="64" cm="1">
        <f t="array" ref="AL65">IFERROR(INDEX('Offer Statistics'!BD$2:BD$400,MATCH(1,($A65='Offer Statistics'!$BB$2:$BB$400)*($AC$2='Offer Statistics'!$BC$2:$BC$400),0)),"/")</f>
        <v>40</v>
      </c>
      <c r="AM65" s="64" cm="1">
        <f t="array" ref="AM65">IFERROR(INDEX('Offer Statistics'!BE$2:BE$400,MATCH(1,($A65='Offer Statistics'!$BB$2:$BB$400)*($AC$2='Offer Statistics'!$BC$2:$BC$400),0)),"/")</f>
        <v>62</v>
      </c>
      <c r="AN65" s="64" cm="1">
        <f t="array" ref="AN65">IFERROR(INDEX('Offer Statistics'!BF$2:BF$400,MATCH(1,($A65='Offer Statistics'!$BB$2:$BB$400)*($AC$2='Offer Statistics'!$BC$2:$BC$400),0)),"/")</f>
        <v>130</v>
      </c>
      <c r="AO65" s="64" cm="1">
        <f t="array" ref="AO65">IFERROR(INDEX('Offer Statistics'!BG$2:BG$400,MATCH(1,($A65='Offer Statistics'!$BB$2:$BB$400)*($AC$2='Offer Statistics'!$BC$2:$BC$400),0)),"/")</f>
        <v>189</v>
      </c>
      <c r="AP65" s="64" cm="1">
        <f t="array" ref="AP65">IFERROR(INDEX('Offer Statistics'!BH$2:BH$400,MATCH(1,($A65='Offer Statistics'!$BB$2:$BB$400)*($AC$2='Offer Statistics'!$BC$2:$BC$400),0)),"/")</f>
        <v>216</v>
      </c>
      <c r="AQ65" s="15"/>
      <c r="AR65" s="15" t="str">
        <f t="shared" si="3"/>
        <v>JS4858</v>
      </c>
    </row>
    <row r="66" spans="1:44" s="10" customFormat="1" ht="18" customHeight="1">
      <c r="A66" s="4" t="str">
        <f>'Reference Score Calculation'!A192</f>
        <v>JS4862</v>
      </c>
      <c r="B66" s="4" t="str">
        <f>'Reference Score Calculation'!C192</f>
        <v>社會科學院</v>
      </c>
      <c r="C66" s="4" t="str">
        <f>'Reference Score Calculation'!D192</f>
        <v>心理學</v>
      </c>
      <c r="D66" s="4" t="str">
        <f>'Reference Score Calculation'!R192</f>
        <v>PSYCHOLOGY</v>
      </c>
      <c r="E66" s="392" t="str">
        <f>'Reference Score Calculation'!AB192</f>
        <v>Best 5</v>
      </c>
      <c r="F66" s="394" t="str">
        <f>'Reference Score Calculation'!E192</f>
        <v>Best 5</v>
      </c>
      <c r="G66" s="6">
        <f>'Reference Score Calculation'!G192</f>
        <v>34.5</v>
      </c>
      <c r="H66" s="6">
        <f>'Reference Score Calculation'!H192</f>
        <v>33</v>
      </c>
      <c r="I66" s="6">
        <f>'Reference Score Calculation'!I192</f>
        <v>30.75</v>
      </c>
      <c r="J66" s="45">
        <f>計分版!J215</f>
        <v>3.9500000000000006E-9</v>
      </c>
      <c r="K66" s="25">
        <f t="shared" si="0"/>
        <v>-32.999999996050001</v>
      </c>
      <c r="L66" s="26">
        <f t="shared" si="1"/>
        <v>-8354430378.7468338</v>
      </c>
      <c r="M66" s="36">
        <f>'Reference Score Calculation'!T192</f>
        <v>56</v>
      </c>
      <c r="N66" s="86">
        <f>入學要求!Z201</f>
        <v>0</v>
      </c>
      <c r="O66" s="516"/>
      <c r="P66" s="166">
        <f>入學要求!L201</f>
        <v>3</v>
      </c>
      <c r="Q66" s="166">
        <f>入學要求!M201</f>
        <v>3</v>
      </c>
      <c r="R66" s="166">
        <f>入學要求!N201</f>
        <v>2</v>
      </c>
      <c r="S66" s="166">
        <f>入學要求!O201</f>
        <v>1</v>
      </c>
      <c r="T66" s="166">
        <f>入學要求!P201</f>
        <v>3</v>
      </c>
      <c r="U66" s="166">
        <f>入學要求!Q201</f>
        <v>3</v>
      </c>
      <c r="V66" s="256">
        <f>入學要求!S201</f>
        <v>0</v>
      </c>
      <c r="W66" s="256">
        <f>入學要求!T201</f>
        <v>0</v>
      </c>
      <c r="X66" s="256">
        <f>入學要求!U201</f>
        <v>0</v>
      </c>
      <c r="Y66" s="256">
        <f>入學要求!V201</f>
        <v>0</v>
      </c>
      <c r="Z66" s="256">
        <f>入學要求!W201</f>
        <v>0</v>
      </c>
      <c r="AA66" s="256">
        <f>入學要求!X201</f>
        <v>0</v>
      </c>
      <c r="AB66" s="36">
        <f t="shared" si="2"/>
        <v>5.48</v>
      </c>
      <c r="AC66" s="510"/>
      <c r="AD66" s="36" cm="1">
        <f t="array" ref="AD66">IFERROR(INDEX('Offer Statistics'!$BQ$2:$BQ$400,MATCH(1,($A66='Offer Statistics'!$BB$2:$BB$400)*($AC$2='Offer Statistics'!$BC$2:$BC$400),0)),"/")</f>
        <v>73</v>
      </c>
      <c r="AE66" s="64" cm="1">
        <f t="array" ref="AE66">IFERROR(INDEX('Offer Statistics'!BL$2:BL$400,MATCH(1,($A66='Offer Statistics'!$BB$2:$BB$400)*($AC$2='Offer Statistics'!$BC$2:$BC$400),0)),"/")</f>
        <v>73</v>
      </c>
      <c r="AF66" s="64" cm="1">
        <f t="array" ref="AF66">IFERROR(INDEX('Offer Statistics'!BM$2:BM$400,MATCH(1,($A66='Offer Statistics'!$BB$2:$BB$400)*($AC$2='Offer Statistics'!$BC$2:$BC$400),0)),"/")</f>
        <v>0</v>
      </c>
      <c r="AG66" s="64" cm="1">
        <f t="array" ref="AG66">IFERROR(INDEX('Offer Statistics'!BN$2:BN$400,MATCH(1,($A66='Offer Statistics'!$BB$2:$BB$400)*($AC$2='Offer Statistics'!$BC$2:$BC$400),0)),"/")</f>
        <v>0</v>
      </c>
      <c r="AH66" s="64" cm="1">
        <f t="array" ref="AH66">IFERROR(INDEX('Offer Statistics'!BO$2:BO$400,MATCH(1,($A66='Offer Statistics'!$BB$2:$BB$400)*($AC$2='Offer Statistics'!$BC$2:$BC$400),0)),"/")</f>
        <v>0</v>
      </c>
      <c r="AI66" s="64" cm="1">
        <f t="array" ref="AI66">IFERROR(INDEX('Offer Statistics'!BP$2:BP$400,MATCH(1,($A66='Offer Statistics'!$BB$2:$BB$400)*($AC$2='Offer Statistics'!$BC$2:$BC$400),0)),"/")</f>
        <v>0</v>
      </c>
      <c r="AJ66" s="511"/>
      <c r="AK66" s="36" cm="1">
        <f t="array" ref="AK66">IFERROR(INDEX('Offer Statistics'!$BI$2:$BI$400,MATCH(1,($A66='Offer Statistics'!$BB$2:$BB$400)*($AC$2='Offer Statistics'!$BC$2:$BC$400),0)),"/")</f>
        <v>4393</v>
      </c>
      <c r="AL66" s="64" cm="1">
        <f t="array" ref="AL66">IFERROR(INDEX('Offer Statistics'!BD$2:BD$400,MATCH(1,($A66='Offer Statistics'!$BB$2:$BB$400)*($AC$2='Offer Statistics'!$BC$2:$BC$400),0)),"/")</f>
        <v>400</v>
      </c>
      <c r="AM66" s="64" cm="1">
        <f t="array" ref="AM66">IFERROR(INDEX('Offer Statistics'!BE$2:BE$400,MATCH(1,($A66='Offer Statistics'!$BB$2:$BB$400)*($AC$2='Offer Statistics'!$BC$2:$BC$400),0)),"/")</f>
        <v>468</v>
      </c>
      <c r="AN66" s="64" cm="1">
        <f t="array" ref="AN66">IFERROR(INDEX('Offer Statistics'!BF$2:BF$400,MATCH(1,($A66='Offer Statistics'!$BB$2:$BB$400)*($AC$2='Offer Statistics'!$BC$2:$BC$400),0)),"/")</f>
        <v>985</v>
      </c>
      <c r="AO66" s="64" cm="1">
        <f t="array" ref="AO66">IFERROR(INDEX('Offer Statistics'!BG$2:BG$400,MATCH(1,($A66='Offer Statistics'!$BB$2:$BB$400)*($AC$2='Offer Statistics'!$BC$2:$BC$400),0)),"/")</f>
        <v>1337</v>
      </c>
      <c r="AP66" s="64" cm="1">
        <f t="array" ref="AP66">IFERROR(INDEX('Offer Statistics'!BH$2:BH$400,MATCH(1,($A66='Offer Statistics'!$BB$2:$BB$400)*($AC$2='Offer Statistics'!$BC$2:$BC$400),0)),"/")</f>
        <v>1203</v>
      </c>
      <c r="AQ66" s="15"/>
      <c r="AR66" s="15" t="str">
        <f t="shared" si="3"/>
        <v>JS4862</v>
      </c>
    </row>
    <row r="67" spans="1:44" s="10" customFormat="1" ht="18" customHeight="1">
      <c r="A67" s="4" t="str">
        <f>'Reference Score Calculation'!A193</f>
        <v>JS4874</v>
      </c>
      <c r="B67" s="4" t="str">
        <f>'Reference Score Calculation'!C193</f>
        <v>社會科學院</v>
      </c>
      <c r="C67" s="4" t="str">
        <f>'Reference Score Calculation'!D193</f>
        <v>社會工作</v>
      </c>
      <c r="D67" s="4" t="str">
        <f>'Reference Score Calculation'!R193</f>
        <v>SOCIAL WORK</v>
      </c>
      <c r="E67" s="392" t="str">
        <f>'Reference Score Calculation'!AB193</f>
        <v>Best 5</v>
      </c>
      <c r="F67" s="395" t="str">
        <f>'Reference Score Calculation'!E193</f>
        <v>Best 5</v>
      </c>
      <c r="G67" s="6">
        <f>'Reference Score Calculation'!G193</f>
        <v>29</v>
      </c>
      <c r="H67" s="6">
        <f>'Reference Score Calculation'!H193</f>
        <v>27.5</v>
      </c>
      <c r="I67" s="6">
        <f>'Reference Score Calculation'!I193</f>
        <v>27.5</v>
      </c>
      <c r="J67" s="45">
        <f>計分版!J216</f>
        <v>3.9500000000000006E-9</v>
      </c>
      <c r="K67" s="25">
        <f t="shared" si="0"/>
        <v>-27.499999996050001</v>
      </c>
      <c r="L67" s="26">
        <f t="shared" si="1"/>
        <v>-6962025315.4556952</v>
      </c>
      <c r="M67" s="36">
        <f>'Reference Score Calculation'!T193</f>
        <v>45</v>
      </c>
      <c r="N67" s="86">
        <f>入學要求!Z202</f>
        <v>0</v>
      </c>
      <c r="O67" s="516"/>
      <c r="P67" s="166">
        <f>入學要求!L202</f>
        <v>3</v>
      </c>
      <c r="Q67" s="166">
        <f>入學要求!M202</f>
        <v>3</v>
      </c>
      <c r="R67" s="166">
        <f>入學要求!N202</f>
        <v>2</v>
      </c>
      <c r="S67" s="166">
        <f>入學要求!O202</f>
        <v>1</v>
      </c>
      <c r="T67" s="166">
        <f>入學要求!P202</f>
        <v>3</v>
      </c>
      <c r="U67" s="166">
        <f>入學要求!Q202</f>
        <v>3</v>
      </c>
      <c r="V67" s="256">
        <f>入學要求!S202</f>
        <v>0</v>
      </c>
      <c r="W67" s="256">
        <f>入學要求!T202</f>
        <v>0</v>
      </c>
      <c r="X67" s="256">
        <f>入學要求!U202</f>
        <v>0</v>
      </c>
      <c r="Y67" s="256">
        <f>入學要求!V202</f>
        <v>0</v>
      </c>
      <c r="Z67" s="256">
        <f>入學要求!W202</f>
        <v>0</v>
      </c>
      <c r="AA67" s="256">
        <f>入學要求!X202</f>
        <v>0</v>
      </c>
      <c r="AB67" s="36">
        <f t="shared" si="2"/>
        <v>9.6300000000000008</v>
      </c>
      <c r="AC67" s="510"/>
      <c r="AD67" s="36" cm="1">
        <f t="array" ref="AD67">IFERROR(INDEX('Offer Statistics'!$BQ$2:$BQ$400,MATCH(1,($A67='Offer Statistics'!$BB$2:$BB$400)*($AC$2='Offer Statistics'!$BC$2:$BC$400),0)),"/")</f>
        <v>40</v>
      </c>
      <c r="AE67" s="64" cm="1">
        <f t="array" ref="AE67">IFERROR(INDEX('Offer Statistics'!BL$2:BL$400,MATCH(1,($A67='Offer Statistics'!$BB$2:$BB$400)*($AC$2='Offer Statistics'!$BC$2:$BC$400),0)),"/")</f>
        <v>40</v>
      </c>
      <c r="AF67" s="64" cm="1">
        <f t="array" ref="AF67">IFERROR(INDEX('Offer Statistics'!BM$2:BM$400,MATCH(1,($A67='Offer Statistics'!$BB$2:$BB$400)*($AC$2='Offer Statistics'!$BC$2:$BC$400),0)),"/")</f>
        <v>0</v>
      </c>
      <c r="AG67" s="64" cm="1">
        <f t="array" ref="AG67">IFERROR(INDEX('Offer Statistics'!BN$2:BN$400,MATCH(1,($A67='Offer Statistics'!$BB$2:$BB$400)*($AC$2='Offer Statistics'!$BC$2:$BC$400),0)),"/")</f>
        <v>0</v>
      </c>
      <c r="AH67" s="64" cm="1">
        <f t="array" ref="AH67">IFERROR(INDEX('Offer Statistics'!BO$2:BO$400,MATCH(1,($A67='Offer Statistics'!$BB$2:$BB$400)*($AC$2='Offer Statistics'!$BC$2:$BC$400),0)),"/")</f>
        <v>0</v>
      </c>
      <c r="AI67" s="64" cm="1">
        <f t="array" ref="AI67">IFERROR(INDEX('Offer Statistics'!BP$2:BP$400,MATCH(1,($A67='Offer Statistics'!$BB$2:$BB$400)*($AC$2='Offer Statistics'!$BC$2:$BC$400),0)),"/")</f>
        <v>0</v>
      </c>
      <c r="AJ67" s="511"/>
      <c r="AK67" s="36" cm="1">
        <f t="array" ref="AK67">IFERROR(INDEX('Offer Statistics'!$BI$2:$BI$400,MATCH(1,($A67='Offer Statistics'!$BB$2:$BB$400)*($AC$2='Offer Statistics'!$BC$2:$BC$400),0)),"/")</f>
        <v>3431</v>
      </c>
      <c r="AL67" s="64" cm="1">
        <f t="array" ref="AL67">IFERROR(INDEX('Offer Statistics'!BD$2:BD$400,MATCH(1,($A67='Offer Statistics'!$BB$2:$BB$400)*($AC$2='Offer Statistics'!$BC$2:$BC$400),0)),"/")</f>
        <v>385</v>
      </c>
      <c r="AM67" s="64" cm="1">
        <f t="array" ref="AM67">IFERROR(INDEX('Offer Statistics'!BE$2:BE$400,MATCH(1,($A67='Offer Statistics'!$BB$2:$BB$400)*($AC$2='Offer Statistics'!$BC$2:$BC$400),0)),"/")</f>
        <v>369</v>
      </c>
      <c r="AN67" s="64" cm="1">
        <f t="array" ref="AN67">IFERROR(INDEX('Offer Statistics'!BF$2:BF$400,MATCH(1,($A67='Offer Statistics'!$BB$2:$BB$400)*($AC$2='Offer Statistics'!$BC$2:$BC$400),0)),"/")</f>
        <v>728</v>
      </c>
      <c r="AO67" s="64" cm="1">
        <f t="array" ref="AO67">IFERROR(INDEX('Offer Statistics'!BG$2:BG$400,MATCH(1,($A67='Offer Statistics'!$BB$2:$BB$400)*($AC$2='Offer Statistics'!$BC$2:$BC$400),0)),"/")</f>
        <v>1010</v>
      </c>
      <c r="AP67" s="64" cm="1">
        <f t="array" ref="AP67">IFERROR(INDEX('Offer Statistics'!BH$2:BH$400,MATCH(1,($A67='Offer Statistics'!$BB$2:$BB$400)*($AC$2='Offer Statistics'!$BC$2:$BC$400),0)),"/")</f>
        <v>939</v>
      </c>
      <c r="AQ67" s="15"/>
      <c r="AR67" s="15" t="str">
        <f t="shared" si="3"/>
        <v>JS4874</v>
      </c>
    </row>
    <row r="68" spans="1:44" s="10" customFormat="1" ht="18" customHeight="1">
      <c r="A68" s="4" t="str">
        <f>'Reference Score Calculation'!A194</f>
        <v>JS4886</v>
      </c>
      <c r="B68" s="4" t="str">
        <f>'Reference Score Calculation'!C194</f>
        <v>社會科學院</v>
      </c>
      <c r="C68" s="4" t="str">
        <f>'Reference Score Calculation'!D194</f>
        <v>社會學</v>
      </c>
      <c r="D68" s="4" t="str">
        <f>'Reference Score Calculation'!R194</f>
        <v>SOCIOLOGY</v>
      </c>
      <c r="E68" s="392" t="str">
        <f>'Reference Score Calculation'!AB194</f>
        <v>Best 5</v>
      </c>
      <c r="F68" s="397" t="str">
        <f>'Reference Score Calculation'!E194</f>
        <v>Best 5</v>
      </c>
      <c r="G68" s="6">
        <f>'Reference Score Calculation'!G194</f>
        <v>28.5</v>
      </c>
      <c r="H68" s="6">
        <f>'Reference Score Calculation'!H194</f>
        <v>27.75</v>
      </c>
      <c r="I68" s="6">
        <f>'Reference Score Calculation'!I194</f>
        <v>27</v>
      </c>
      <c r="J68" s="45">
        <f>計分版!J217</f>
        <v>3.9500000000000006E-9</v>
      </c>
      <c r="K68" s="25">
        <f t="shared" ref="K68:K71" si="6">IFERROR(IF(K$1="差距(Median)",J68-H68,IF(K$1="差距(UQ)",J68-G68,IF(K$1="差距(LQ)",J68-I68))),"/")</f>
        <v>-27.749999996050001</v>
      </c>
      <c r="L68" s="26">
        <f t="shared" ref="L68:L71" si="7">IFERROR(IF(K$1="差距(Median)",(J68-H68)/J68,IF(K$1="差距(UQ)",(J68-G68)/J68,IF(K$1="差距(LQ)",(J68-I68)/J68))),"/")</f>
        <v>-7025316454.6962013</v>
      </c>
      <c r="M68" s="36">
        <f>'Reference Score Calculation'!T194</f>
        <v>38</v>
      </c>
      <c r="N68" s="86">
        <f>入學要求!Z203</f>
        <v>0</v>
      </c>
      <c r="O68" s="516"/>
      <c r="P68" s="166">
        <f>入學要求!L203</f>
        <v>3</v>
      </c>
      <c r="Q68" s="166">
        <f>入學要求!M203</f>
        <v>3</v>
      </c>
      <c r="R68" s="166">
        <f>入學要求!N203</f>
        <v>2</v>
      </c>
      <c r="S68" s="166">
        <f>入學要求!O203</f>
        <v>1</v>
      </c>
      <c r="T68" s="166">
        <f>入學要求!P203</f>
        <v>3</v>
      </c>
      <c r="U68" s="166">
        <f>入學要求!Q203</f>
        <v>3</v>
      </c>
      <c r="V68" s="256">
        <f>入學要求!S203</f>
        <v>0</v>
      </c>
      <c r="W68" s="256">
        <f>入學要求!T203</f>
        <v>0</v>
      </c>
      <c r="X68" s="256">
        <f>入學要求!U203</f>
        <v>0</v>
      </c>
      <c r="Y68" s="256">
        <f>入學要求!V203</f>
        <v>0</v>
      </c>
      <c r="Z68" s="256">
        <f>入學要求!W203</f>
        <v>0</v>
      </c>
      <c r="AA68" s="256">
        <f>入學要求!X203</f>
        <v>0</v>
      </c>
      <c r="AB68" s="36">
        <f t="shared" ref="AB68:AB71" si="8">IFERROR(ROUND(AL68/AE68,2),"/")</f>
        <v>8.98</v>
      </c>
      <c r="AC68" s="510"/>
      <c r="AD68" s="36" cm="1">
        <f t="array" ref="AD68">IFERROR(INDEX('Offer Statistics'!$BQ$2:$BQ$400,MATCH(1,($A68='Offer Statistics'!$BB$2:$BB$400)*($AC$2='Offer Statistics'!$BC$2:$BC$400),0)),"/")</f>
        <v>49</v>
      </c>
      <c r="AE68" s="64" cm="1">
        <f t="array" ref="AE68">IFERROR(INDEX('Offer Statistics'!BL$2:BL$400,MATCH(1,($A68='Offer Statistics'!$BB$2:$BB$400)*($AC$2='Offer Statistics'!$BC$2:$BC$400),0)),"/")</f>
        <v>47</v>
      </c>
      <c r="AF68" s="64" cm="1">
        <f t="array" ref="AF68">IFERROR(INDEX('Offer Statistics'!BM$2:BM$400,MATCH(1,($A68='Offer Statistics'!$BB$2:$BB$400)*($AC$2='Offer Statistics'!$BC$2:$BC$400),0)),"/")</f>
        <v>2</v>
      </c>
      <c r="AG68" s="64" cm="1">
        <f t="array" ref="AG68">IFERROR(INDEX('Offer Statistics'!BN$2:BN$400,MATCH(1,($A68='Offer Statistics'!$BB$2:$BB$400)*($AC$2='Offer Statistics'!$BC$2:$BC$400),0)),"/")</f>
        <v>0</v>
      </c>
      <c r="AH68" s="64" cm="1">
        <f t="array" ref="AH68">IFERROR(INDEX('Offer Statistics'!BO$2:BO$400,MATCH(1,($A68='Offer Statistics'!$BB$2:$BB$400)*($AC$2='Offer Statistics'!$BC$2:$BC$400),0)),"/")</f>
        <v>0</v>
      </c>
      <c r="AI68" s="64" cm="1">
        <f t="array" ref="AI68">IFERROR(INDEX('Offer Statistics'!BP$2:BP$400,MATCH(1,($A68='Offer Statistics'!$BB$2:$BB$400)*($AC$2='Offer Statistics'!$BC$2:$BC$400),0)),"/")</f>
        <v>0</v>
      </c>
      <c r="AJ68" s="511"/>
      <c r="AK68" s="36" cm="1">
        <f t="array" ref="AK68">IFERROR(INDEX('Offer Statistics'!$BI$2:$BI$400,MATCH(1,($A68='Offer Statistics'!$BB$2:$BB$400)*($AC$2='Offer Statistics'!$BC$2:$BC$400),0)),"/")</f>
        <v>3364</v>
      </c>
      <c r="AL68" s="64" cm="1">
        <f t="array" ref="AL68">IFERROR(INDEX('Offer Statistics'!BD$2:BD$400,MATCH(1,($A68='Offer Statistics'!$BB$2:$BB$400)*($AC$2='Offer Statistics'!$BC$2:$BC$400),0)),"/")</f>
        <v>422</v>
      </c>
      <c r="AM68" s="64" cm="1">
        <f t="array" ref="AM68">IFERROR(INDEX('Offer Statistics'!BE$2:BE$400,MATCH(1,($A68='Offer Statistics'!$BB$2:$BB$400)*($AC$2='Offer Statistics'!$BC$2:$BC$400),0)),"/")</f>
        <v>399</v>
      </c>
      <c r="AN68" s="64" cm="1">
        <f t="array" ref="AN68">IFERROR(INDEX('Offer Statistics'!BF$2:BF$400,MATCH(1,($A68='Offer Statistics'!$BB$2:$BB$400)*($AC$2='Offer Statistics'!$BC$2:$BC$400),0)),"/")</f>
        <v>668</v>
      </c>
      <c r="AO68" s="64" cm="1">
        <f t="array" ref="AO68">IFERROR(INDEX('Offer Statistics'!BG$2:BG$400,MATCH(1,($A68='Offer Statistics'!$BB$2:$BB$400)*($AC$2='Offer Statistics'!$BC$2:$BC$400),0)),"/")</f>
        <v>983</v>
      </c>
      <c r="AP68" s="64" cm="1">
        <f t="array" ref="AP68">IFERROR(INDEX('Offer Statistics'!BH$2:BH$400,MATCH(1,($A68='Offer Statistics'!$BB$2:$BB$400)*($AC$2='Offer Statistics'!$BC$2:$BC$400),0)),"/")</f>
        <v>892</v>
      </c>
      <c r="AQ68" s="15"/>
      <c r="AR68" s="15" t="str">
        <f t="shared" si="3"/>
        <v>JS4886</v>
      </c>
    </row>
    <row r="69" spans="1:44" s="10" customFormat="1" ht="18" customHeight="1">
      <c r="A69" s="4" t="str">
        <f>'Reference Score Calculation'!A195</f>
        <v>JS4892</v>
      </c>
      <c r="B69" s="4" t="str">
        <f>'Reference Score Calculation'!C195</f>
        <v>社會科學院</v>
      </c>
      <c r="C69" s="4" t="str">
        <f>'Reference Score Calculation'!D195</f>
        <v>全球研究</v>
      </c>
      <c r="D69" s="4" t="str">
        <f>'Reference Score Calculation'!R195</f>
        <v>GLOBAL STUDIES</v>
      </c>
      <c r="E69" s="392" t="str">
        <f>'Reference Score Calculation'!AB195</f>
        <v>Best 5</v>
      </c>
      <c r="F69" s="394" t="str">
        <f>'Reference Score Calculation'!E195</f>
        <v>Best 5</v>
      </c>
      <c r="G69" s="6">
        <f>'Reference Score Calculation'!G195</f>
        <v>29.5</v>
      </c>
      <c r="H69" s="6">
        <f>'Reference Score Calculation'!H195</f>
        <v>26.5</v>
      </c>
      <c r="I69" s="6">
        <f>'Reference Score Calculation'!I195</f>
        <v>25.75</v>
      </c>
      <c r="J69" s="45">
        <f>計分版!J218</f>
        <v>3.9500000000000006E-9</v>
      </c>
      <c r="K69" s="25">
        <f t="shared" si="6"/>
        <v>-26.499999996050001</v>
      </c>
      <c r="L69" s="26">
        <f t="shared" si="7"/>
        <v>-6708860758.4936695</v>
      </c>
      <c r="M69" s="36">
        <f>'Reference Score Calculation'!T195</f>
        <v>19</v>
      </c>
      <c r="N69" s="86">
        <f>入學要求!Z204</f>
        <v>0</v>
      </c>
      <c r="O69" s="516"/>
      <c r="P69" s="166">
        <f>入學要求!L204</f>
        <v>3</v>
      </c>
      <c r="Q69" s="166">
        <f>入學要求!M204</f>
        <v>3</v>
      </c>
      <c r="R69" s="166">
        <f>入學要求!N204</f>
        <v>2</v>
      </c>
      <c r="S69" s="166">
        <f>入學要求!O204</f>
        <v>1</v>
      </c>
      <c r="T69" s="166">
        <f>入學要求!P204</f>
        <v>3</v>
      </c>
      <c r="U69" s="166">
        <f>入學要求!Q204</f>
        <v>3</v>
      </c>
      <c r="V69" s="256">
        <f>入學要求!S204</f>
        <v>0</v>
      </c>
      <c r="W69" s="256">
        <f>入學要求!T204</f>
        <v>0</v>
      </c>
      <c r="X69" s="256">
        <f>入學要求!U204</f>
        <v>0</v>
      </c>
      <c r="Y69" s="256">
        <f>入學要求!V204</f>
        <v>0</v>
      </c>
      <c r="Z69" s="256">
        <f>入學要求!W204</f>
        <v>0</v>
      </c>
      <c r="AA69" s="256">
        <f>入學要求!X204</f>
        <v>0</v>
      </c>
      <c r="AB69" s="36">
        <f t="shared" si="8"/>
        <v>5.25</v>
      </c>
      <c r="AC69" s="510"/>
      <c r="AD69" s="36" cm="1">
        <f t="array" ref="AD69">IFERROR(INDEX('Offer Statistics'!$BQ$2:$BQ$400,MATCH(1,($A69='Offer Statistics'!$BB$2:$BB$400)*($AC$2='Offer Statistics'!$BC$2:$BC$400),0)),"/")</f>
        <v>16</v>
      </c>
      <c r="AE69" s="64" cm="1">
        <f t="array" ref="AE69">IFERROR(INDEX('Offer Statistics'!BL$2:BL$400,MATCH(1,($A69='Offer Statistics'!$BB$2:$BB$400)*($AC$2='Offer Statistics'!$BC$2:$BC$400),0)),"/")</f>
        <v>16</v>
      </c>
      <c r="AF69" s="64" cm="1">
        <f t="array" ref="AF69">IFERROR(INDEX('Offer Statistics'!BM$2:BM$400,MATCH(1,($A69='Offer Statistics'!$BB$2:$BB$400)*($AC$2='Offer Statistics'!$BC$2:$BC$400),0)),"/")</f>
        <v>0</v>
      </c>
      <c r="AG69" s="64" cm="1">
        <f t="array" ref="AG69">IFERROR(INDEX('Offer Statistics'!BN$2:BN$400,MATCH(1,($A69='Offer Statistics'!$BB$2:$BB$400)*($AC$2='Offer Statistics'!$BC$2:$BC$400),0)),"/")</f>
        <v>0</v>
      </c>
      <c r="AH69" s="64" cm="1">
        <f t="array" ref="AH69">IFERROR(INDEX('Offer Statistics'!BO$2:BO$400,MATCH(1,($A69='Offer Statistics'!$BB$2:$BB$400)*($AC$2='Offer Statistics'!$BC$2:$BC$400),0)),"/")</f>
        <v>0</v>
      </c>
      <c r="AI69" s="64" cm="1">
        <f t="array" ref="AI69">IFERROR(INDEX('Offer Statistics'!BP$2:BP$400,MATCH(1,($A69='Offer Statistics'!$BB$2:$BB$400)*($AC$2='Offer Statistics'!$BC$2:$BC$400),0)),"/")</f>
        <v>0</v>
      </c>
      <c r="AJ69" s="511"/>
      <c r="AK69" s="36" cm="1">
        <f t="array" ref="AK69">IFERROR(INDEX('Offer Statistics'!$BI$2:$BI$400,MATCH(1,($A69='Offer Statistics'!$BB$2:$BB$400)*($AC$2='Offer Statistics'!$BC$2:$BC$400),0)),"/")</f>
        <v>1240</v>
      </c>
      <c r="AL69" s="64" cm="1">
        <f t="array" ref="AL69">IFERROR(INDEX('Offer Statistics'!BD$2:BD$400,MATCH(1,($A69='Offer Statistics'!$BB$2:$BB$400)*($AC$2='Offer Statistics'!$BC$2:$BC$400),0)),"/")</f>
        <v>84</v>
      </c>
      <c r="AM69" s="64" cm="1">
        <f t="array" ref="AM69">IFERROR(INDEX('Offer Statistics'!BE$2:BE$400,MATCH(1,($A69='Offer Statistics'!$BB$2:$BB$400)*($AC$2='Offer Statistics'!$BC$2:$BC$400),0)),"/")</f>
        <v>99</v>
      </c>
      <c r="AN69" s="64" cm="1">
        <f t="array" ref="AN69">IFERROR(INDEX('Offer Statistics'!BF$2:BF$400,MATCH(1,($A69='Offer Statistics'!$BB$2:$BB$400)*($AC$2='Offer Statistics'!$BC$2:$BC$400),0)),"/")</f>
        <v>253</v>
      </c>
      <c r="AO69" s="64" cm="1">
        <f t="array" ref="AO69">IFERROR(INDEX('Offer Statistics'!BG$2:BG$400,MATCH(1,($A69='Offer Statistics'!$BB$2:$BB$400)*($AC$2='Offer Statistics'!$BC$2:$BC$400),0)),"/")</f>
        <v>401</v>
      </c>
      <c r="AP69" s="64" cm="1">
        <f t="array" ref="AP69">IFERROR(INDEX('Offer Statistics'!BH$2:BH$400,MATCH(1,($A69='Offer Statistics'!$BB$2:$BB$400)*($AC$2='Offer Statistics'!$BC$2:$BC$400),0)),"/")</f>
        <v>403</v>
      </c>
      <c r="AQ69" s="15"/>
      <c r="AR69" s="15" t="str">
        <f t="shared" ref="AR69:AR71" si="9">A69</f>
        <v>JS4892</v>
      </c>
    </row>
    <row r="70" spans="1:44" s="10" customFormat="1" ht="18" customHeight="1">
      <c r="A70" s="4" t="str">
        <f>'Reference Score Calculation'!A196</f>
        <v>JS4893</v>
      </c>
      <c r="B70" s="4" t="str">
        <f>'Reference Score Calculation'!C196</f>
        <v>社會科學院</v>
      </c>
      <c r="C70" s="4" t="str">
        <f>'Reference Score Calculation'!D196</f>
        <v>數據科學與政策研究</v>
      </c>
      <c r="D70" s="4" t="str">
        <f>'Reference Score Calculation'!R196</f>
        <v>DSPS</v>
      </c>
      <c r="E70" s="392" t="str">
        <f>'Reference Score Calculation'!AB196</f>
        <v>Best 5</v>
      </c>
      <c r="F70" s="395" t="str">
        <f>'Reference Score Calculation'!E196</f>
        <v>Best 5</v>
      </c>
      <c r="G70" s="6">
        <f>'Reference Score Calculation'!G196</f>
        <v>26</v>
      </c>
      <c r="H70" s="6">
        <f>'Reference Score Calculation'!H196</f>
        <v>23</v>
      </c>
      <c r="I70" s="6">
        <f>'Reference Score Calculation'!I196</f>
        <v>21.5</v>
      </c>
      <c r="J70" s="45">
        <f>計分版!J219</f>
        <v>3.9500000000000006E-9</v>
      </c>
      <c r="K70" s="25">
        <f t="shared" si="6"/>
        <v>-22.999999996050001</v>
      </c>
      <c r="L70" s="26">
        <f t="shared" si="7"/>
        <v>-5822784809.1265812</v>
      </c>
      <c r="M70" s="36">
        <f>'Reference Score Calculation'!T196</f>
        <v>19</v>
      </c>
      <c r="N70" s="86">
        <f>入學要求!Z205</f>
        <v>0</v>
      </c>
      <c r="O70" s="516"/>
      <c r="P70" s="166">
        <f>入學要求!L205</f>
        <v>3</v>
      </c>
      <c r="Q70" s="166">
        <f>入學要求!M205</f>
        <v>3</v>
      </c>
      <c r="R70" s="166">
        <f>入學要求!N205</f>
        <v>3</v>
      </c>
      <c r="S70" s="166">
        <f>入學要求!O205</f>
        <v>1</v>
      </c>
      <c r="T70" s="166">
        <f>入學要求!P205</f>
        <v>3</v>
      </c>
      <c r="U70" s="166">
        <f>入學要求!Q205</f>
        <v>3</v>
      </c>
      <c r="V70" s="256">
        <f>入學要求!S205</f>
        <v>0</v>
      </c>
      <c r="W70" s="256">
        <f>入學要求!T205</f>
        <v>0</v>
      </c>
      <c r="X70" s="256">
        <f>入學要求!U205</f>
        <v>0</v>
      </c>
      <c r="Y70" s="256">
        <f>入學要求!V205</f>
        <v>0</v>
      </c>
      <c r="Z70" s="256">
        <f>入學要求!W205</f>
        <v>0</v>
      </c>
      <c r="AA70" s="256">
        <f>入學要求!X205</f>
        <v>0</v>
      </c>
      <c r="AB70" s="36">
        <f t="shared" si="8"/>
        <v>2.75</v>
      </c>
      <c r="AC70" s="510"/>
      <c r="AD70" s="36" cm="1">
        <f t="array" ref="AD70">IFERROR(INDEX('Offer Statistics'!$BQ$2:$BQ$400,MATCH(1,($A70='Offer Statistics'!$BB$2:$BB$400)*($AC$2='Offer Statistics'!$BC$2:$BC$400),0)),"/")</f>
        <v>12</v>
      </c>
      <c r="AE70" s="64" cm="1">
        <f t="array" ref="AE70">IFERROR(INDEX('Offer Statistics'!BL$2:BL$400,MATCH(1,($A70='Offer Statistics'!$BB$2:$BB$400)*($AC$2='Offer Statistics'!$BC$2:$BC$400),0)),"/")</f>
        <v>12</v>
      </c>
      <c r="AF70" s="64" cm="1">
        <f t="array" ref="AF70">IFERROR(INDEX('Offer Statistics'!BM$2:BM$400,MATCH(1,($A70='Offer Statistics'!$BB$2:$BB$400)*($AC$2='Offer Statistics'!$BC$2:$BC$400),0)),"/")</f>
        <v>0</v>
      </c>
      <c r="AG70" s="64" cm="1">
        <f t="array" ref="AG70">IFERROR(INDEX('Offer Statistics'!BN$2:BN$400,MATCH(1,($A70='Offer Statistics'!$BB$2:$BB$400)*($AC$2='Offer Statistics'!$BC$2:$BC$400),0)),"/")</f>
        <v>0</v>
      </c>
      <c r="AH70" s="64" cm="1">
        <f t="array" ref="AH70">IFERROR(INDEX('Offer Statistics'!BO$2:BO$400,MATCH(1,($A70='Offer Statistics'!$BB$2:$BB$400)*($AC$2='Offer Statistics'!$BC$2:$BC$400),0)),"/")</f>
        <v>0</v>
      </c>
      <c r="AI70" s="64" cm="1">
        <f t="array" ref="AI70">IFERROR(INDEX('Offer Statistics'!BP$2:BP$400,MATCH(1,($A70='Offer Statistics'!$BB$2:$BB$400)*($AC$2='Offer Statistics'!$BC$2:$BC$400),0)),"/")</f>
        <v>0</v>
      </c>
      <c r="AJ70" s="511"/>
      <c r="AK70" s="36" cm="1">
        <f t="array" ref="AK70">IFERROR(INDEX('Offer Statistics'!$BI$2:$BI$400,MATCH(1,($A70='Offer Statistics'!$BB$2:$BB$400)*($AC$2='Offer Statistics'!$BC$2:$BC$400),0)),"/")</f>
        <v>528</v>
      </c>
      <c r="AL70" s="64" cm="1">
        <f t="array" ref="AL70">IFERROR(INDEX('Offer Statistics'!BD$2:BD$400,MATCH(1,($A70='Offer Statistics'!$BB$2:$BB$400)*($AC$2='Offer Statistics'!$BC$2:$BC$400),0)),"/")</f>
        <v>33</v>
      </c>
      <c r="AM70" s="64" cm="1">
        <f t="array" ref="AM70">IFERROR(INDEX('Offer Statistics'!BE$2:BE$400,MATCH(1,($A70='Offer Statistics'!$BB$2:$BB$400)*($AC$2='Offer Statistics'!$BC$2:$BC$400),0)),"/")</f>
        <v>41</v>
      </c>
      <c r="AN70" s="64" cm="1">
        <f t="array" ref="AN70">IFERROR(INDEX('Offer Statistics'!BF$2:BF$400,MATCH(1,($A70='Offer Statistics'!$BB$2:$BB$400)*($AC$2='Offer Statistics'!$BC$2:$BC$400),0)),"/")</f>
        <v>84</v>
      </c>
      <c r="AO70" s="64" cm="1">
        <f t="array" ref="AO70">IFERROR(INDEX('Offer Statistics'!BG$2:BG$400,MATCH(1,($A70='Offer Statistics'!$BB$2:$BB$400)*($AC$2='Offer Statistics'!$BC$2:$BC$400),0)),"/")</f>
        <v>181</v>
      </c>
      <c r="AP70" s="64" cm="1">
        <f t="array" ref="AP70">IFERROR(INDEX('Offer Statistics'!BH$2:BH$400,MATCH(1,($A70='Offer Statistics'!$BB$2:$BB$400)*($AC$2='Offer Statistics'!$BC$2:$BC$400),0)),"/")</f>
        <v>189</v>
      </c>
      <c r="AQ70" s="15"/>
      <c r="AR70" s="15" t="str">
        <f t="shared" si="9"/>
        <v>JS4893</v>
      </c>
    </row>
    <row r="71" spans="1:44" s="10" customFormat="1" ht="18" customHeight="1">
      <c r="A71" s="4" t="str">
        <f>'Reference Score Calculation'!A197</f>
        <v>JS4903</v>
      </c>
      <c r="B71" s="4" t="str">
        <f>'Reference Score Calculation'!C197</f>
        <v>法學院</v>
      </c>
      <c r="C71" s="4" t="str">
        <f>'Reference Score Calculation'!D197</f>
        <v>法學士</v>
      </c>
      <c r="D71" s="4" t="str">
        <f>'Reference Score Calculation'!R197</f>
        <v>LLB</v>
      </c>
      <c r="E71" s="392" t="str">
        <f>'Reference Score Calculation'!AB197</f>
        <v>3C2X</v>
      </c>
      <c r="F71" s="397" t="str">
        <f>'Reference Score Calculation'!E197</f>
        <v>4C2X</v>
      </c>
      <c r="G71" s="6">
        <f>'Reference Score Calculation'!G197</f>
        <v>47.5</v>
      </c>
      <c r="H71" s="6">
        <f>'Reference Score Calculation'!H197</f>
        <v>45.25</v>
      </c>
      <c r="I71" s="6">
        <f>'Reference Score Calculation'!I197</f>
        <v>43.75</v>
      </c>
      <c r="J71" s="45">
        <f>計分版!J220</f>
        <v>3.1500000000000001E-9</v>
      </c>
      <c r="K71" s="25">
        <f t="shared" si="6"/>
        <v>-45.249999996850001</v>
      </c>
      <c r="L71" s="26">
        <f t="shared" si="7"/>
        <v>-14365079364.079365</v>
      </c>
      <c r="M71" s="36">
        <f>'Reference Score Calculation'!T197</f>
        <v>73</v>
      </c>
      <c r="N71" s="86">
        <f>入學要求!Z206</f>
        <v>0</v>
      </c>
      <c r="O71" s="516"/>
      <c r="P71" s="167">
        <f>入學要求!L206</f>
        <v>4</v>
      </c>
      <c r="Q71" s="167">
        <f>入學要求!M206</f>
        <v>5</v>
      </c>
      <c r="R71" s="167">
        <f>入學要求!N206</f>
        <v>3</v>
      </c>
      <c r="S71" s="167">
        <f>入學要求!O206</f>
        <v>1</v>
      </c>
      <c r="T71" s="167">
        <f>入學要求!P206</f>
        <v>3</v>
      </c>
      <c r="U71" s="167">
        <f>入學要求!Q206</f>
        <v>3</v>
      </c>
      <c r="V71" s="256">
        <f>入學要求!S206</f>
        <v>0</v>
      </c>
      <c r="W71" s="256">
        <f>入學要求!T206</f>
        <v>0</v>
      </c>
      <c r="X71" s="256">
        <f>入學要求!U206</f>
        <v>0</v>
      </c>
      <c r="Y71" s="256">
        <f>入學要求!V206</f>
        <v>0</v>
      </c>
      <c r="Z71" s="256">
        <f>入學要求!W206</f>
        <v>0</v>
      </c>
      <c r="AA71" s="256">
        <f>入學要求!X206</f>
        <v>0</v>
      </c>
      <c r="AB71" s="36">
        <f t="shared" si="8"/>
        <v>5.37</v>
      </c>
      <c r="AC71" s="510"/>
      <c r="AD71" s="36" cm="1">
        <f t="array" ref="AD71">IFERROR(INDEX('Offer Statistics'!$BQ$2:$BQ$400,MATCH(1,($A71='Offer Statistics'!$BB$2:$BB$400)*($AC$2='Offer Statistics'!$BC$2:$BC$400),0)),"/")</f>
        <v>46</v>
      </c>
      <c r="AE71" s="64" cm="1">
        <f t="array" ref="AE71">IFERROR(INDEX('Offer Statistics'!BL$2:BL$400,MATCH(1,($A71='Offer Statistics'!$BB$2:$BB$400)*($AC$2='Offer Statistics'!$BC$2:$BC$400),0)),"/")</f>
        <v>46</v>
      </c>
      <c r="AF71" s="64" cm="1">
        <f t="array" ref="AF71">IFERROR(INDEX('Offer Statistics'!BM$2:BM$400,MATCH(1,($A71='Offer Statistics'!$BB$2:$BB$400)*($AC$2='Offer Statistics'!$BC$2:$BC$400),0)),"/")</f>
        <v>0</v>
      </c>
      <c r="AG71" s="64" cm="1">
        <f t="array" ref="AG71">IFERROR(INDEX('Offer Statistics'!BN$2:BN$400,MATCH(1,($A71='Offer Statistics'!$BB$2:$BB$400)*($AC$2='Offer Statistics'!$BC$2:$BC$400),0)),"/")</f>
        <v>0</v>
      </c>
      <c r="AH71" s="64" cm="1">
        <f t="array" ref="AH71">IFERROR(INDEX('Offer Statistics'!BO$2:BO$400,MATCH(1,($A71='Offer Statistics'!$BB$2:$BB$400)*($AC$2='Offer Statistics'!$BC$2:$BC$400),0)),"/")</f>
        <v>0</v>
      </c>
      <c r="AI71" s="64" cm="1">
        <f t="array" ref="AI71">IFERROR(INDEX('Offer Statistics'!BP$2:BP$400,MATCH(1,($A71='Offer Statistics'!$BB$2:$BB$400)*($AC$2='Offer Statistics'!$BC$2:$BC$400),0)),"/")</f>
        <v>0</v>
      </c>
      <c r="AJ71" s="511"/>
      <c r="AK71" s="36" cm="1">
        <f t="array" ref="AK71">IFERROR(INDEX('Offer Statistics'!$BI$2:$BI$400,MATCH(1,($A71='Offer Statistics'!$BB$2:$BB$400)*($AC$2='Offer Statistics'!$BC$2:$BC$400),0)),"/")</f>
        <v>999</v>
      </c>
      <c r="AL71" s="64" cm="1">
        <f t="array" ref="AL71">IFERROR(INDEX('Offer Statistics'!BD$2:BD$400,MATCH(1,($A71='Offer Statistics'!$BB$2:$BB$400)*($AC$2='Offer Statistics'!$BC$2:$BC$400),0)),"/")</f>
        <v>247</v>
      </c>
      <c r="AM71" s="64" cm="1">
        <f t="array" ref="AM71">IFERROR(INDEX('Offer Statistics'!BE$2:BE$400,MATCH(1,($A71='Offer Statistics'!$BB$2:$BB$400)*($AC$2='Offer Statistics'!$BC$2:$BC$400),0)),"/")</f>
        <v>110</v>
      </c>
      <c r="AN71" s="64" cm="1">
        <f t="array" ref="AN71">IFERROR(INDEX('Offer Statistics'!BF$2:BF$400,MATCH(1,($A71='Offer Statistics'!$BB$2:$BB$400)*($AC$2='Offer Statistics'!$BC$2:$BC$400),0)),"/")</f>
        <v>170</v>
      </c>
      <c r="AO71" s="64" cm="1">
        <f t="array" ref="AO71">IFERROR(INDEX('Offer Statistics'!BG$2:BG$400,MATCH(1,($A71='Offer Statistics'!$BB$2:$BB$400)*($AC$2='Offer Statistics'!$BC$2:$BC$400),0)),"/")</f>
        <v>241</v>
      </c>
      <c r="AP71" s="64" cm="1">
        <f t="array" ref="AP71">IFERROR(INDEX('Offer Statistics'!BH$2:BH$400,MATCH(1,($A71='Offer Statistics'!$BB$2:$BB$400)*($AC$2='Offer Statistics'!$BC$2:$BC$400),0)),"/")</f>
        <v>231</v>
      </c>
      <c r="AQ71" s="15"/>
      <c r="AR71" s="15" t="str">
        <f t="shared" si="9"/>
        <v>JS4903</v>
      </c>
    </row>
    <row r="72" spans="1:44" ht="18" customHeight="1"/>
    <row r="73" spans="1:44" ht="18" customHeight="1">
      <c r="A73" s="23" t="s">
        <v>3107</v>
      </c>
    </row>
    <row r="74" spans="1:44" ht="18" customHeight="1">
      <c r="A74" s="4" t="s">
        <v>169</v>
      </c>
    </row>
    <row r="75" spans="1:44" ht="18" customHeight="1">
      <c r="A75" s="4" t="s">
        <v>2805</v>
      </c>
    </row>
    <row r="76" spans="1:44" ht="18" customHeight="1"/>
    <row r="77" spans="1:44" ht="18" customHeight="1">
      <c r="A77" s="387" t="s">
        <v>2840</v>
      </c>
      <c r="B77" s="4" t="s">
        <v>2841</v>
      </c>
      <c r="C77" s="23"/>
      <c r="E77" s="15"/>
      <c r="F77" s="15"/>
      <c r="G77" s="4"/>
      <c r="H77" s="4"/>
      <c r="J77" s="4"/>
      <c r="K77" s="4"/>
      <c r="L77" s="36"/>
      <c r="N77" s="4"/>
    </row>
    <row r="78" spans="1:44" ht="18" customHeight="1">
      <c r="A78" s="23"/>
      <c r="B78" s="4" t="s">
        <v>2818</v>
      </c>
      <c r="C78" s="23"/>
      <c r="E78" s="15"/>
      <c r="F78" s="15"/>
      <c r="G78" s="4"/>
      <c r="H78" s="4"/>
      <c r="J78" s="4"/>
      <c r="K78" s="4"/>
      <c r="L78" s="36"/>
      <c r="N78" s="4"/>
    </row>
    <row r="79" spans="1:44" ht="18" customHeight="1">
      <c r="A79" s="23"/>
      <c r="B79" s="474" t="s">
        <v>3132</v>
      </c>
      <c r="C79" s="23"/>
      <c r="E79" s="15"/>
      <c r="F79" s="15"/>
      <c r="G79" s="4"/>
      <c r="H79" s="4"/>
      <c r="J79" s="4"/>
      <c r="K79" s="4"/>
      <c r="L79" s="36"/>
      <c r="N79" s="4"/>
    </row>
    <row r="80" spans="1:44" ht="18" customHeight="1">
      <c r="AE80" s="15" t="s">
        <v>18</v>
      </c>
    </row>
    <row r="81" spans="1:44" ht="18" customHeight="1">
      <c r="A81" s="23" t="s">
        <v>2806</v>
      </c>
      <c r="C81" s="23"/>
      <c r="F81" s="15"/>
      <c r="G81" s="4"/>
      <c r="H81" s="4"/>
      <c r="J81" s="4"/>
      <c r="L81" s="84"/>
      <c r="N81" s="4"/>
      <c r="O81" s="4"/>
      <c r="V81" s="4"/>
      <c r="W81" s="4"/>
      <c r="X81" s="4"/>
      <c r="Y81" s="4"/>
      <c r="Z81" s="4"/>
      <c r="AA81" s="4"/>
      <c r="AB81" s="4"/>
      <c r="AC81" s="4"/>
    </row>
    <row r="82" spans="1:44" ht="18" customHeight="1">
      <c r="A82" s="284" t="s">
        <v>3099</v>
      </c>
      <c r="N82" s="4"/>
      <c r="P82" s="15"/>
      <c r="Q82" s="15"/>
      <c r="R82" s="15"/>
      <c r="S82" s="15"/>
      <c r="T82" s="15"/>
      <c r="U82" s="15"/>
      <c r="AD82" s="15"/>
      <c r="AE82" s="15"/>
      <c r="AF82" s="15"/>
      <c r="AG82" s="15"/>
      <c r="AH82" s="15"/>
      <c r="AI82" s="15"/>
      <c r="AJ82" s="15"/>
      <c r="AK82" s="15"/>
      <c r="AL82" s="15"/>
      <c r="AM82" s="15"/>
      <c r="AN82" s="15"/>
      <c r="AO82" s="15"/>
      <c r="AP82" s="15"/>
      <c r="AR82" s="15"/>
    </row>
    <row r="83" spans="1:44" ht="18" customHeight="1">
      <c r="A83" s="284"/>
      <c r="N83" s="4"/>
      <c r="P83" s="15"/>
      <c r="Q83" s="15"/>
      <c r="R83" s="15"/>
      <c r="S83" s="15"/>
      <c r="T83" s="15"/>
      <c r="U83" s="15"/>
      <c r="AD83" s="15"/>
      <c r="AE83" s="15"/>
      <c r="AF83" s="15"/>
      <c r="AG83" s="15"/>
      <c r="AH83" s="15"/>
      <c r="AI83" s="15"/>
      <c r="AJ83" s="15"/>
      <c r="AK83" s="15"/>
      <c r="AL83" s="15"/>
      <c r="AM83" s="15"/>
      <c r="AN83" s="15"/>
      <c r="AO83" s="15"/>
      <c r="AP83" s="15"/>
      <c r="AR83" s="15"/>
    </row>
    <row r="84" spans="1:44" ht="18" customHeight="1">
      <c r="A84" s="3" t="s">
        <v>133</v>
      </c>
    </row>
    <row r="85" spans="1:44" ht="18" customHeight="1">
      <c r="A85" s="23" t="s">
        <v>3100</v>
      </c>
    </row>
    <row r="86" spans="1:44" ht="18" customHeight="1"/>
    <row r="87" spans="1:44" ht="18" customHeight="1">
      <c r="A87" s="4" t="s">
        <v>3094</v>
      </c>
    </row>
    <row r="88" spans="1:44" ht="18" customHeight="1"/>
    <row r="89" spans="1:44" ht="18" customHeight="1">
      <c r="A89" s="46"/>
      <c r="AC89" s="4"/>
    </row>
    <row r="90" spans="1:44" ht="18" customHeight="1">
      <c r="A90" s="3" t="s">
        <v>135</v>
      </c>
    </row>
    <row r="91" spans="1:44" ht="18" customHeight="1">
      <c r="A91" s="277" t="s">
        <v>3095</v>
      </c>
    </row>
    <row r="92" spans="1:44" ht="18" customHeight="1">
      <c r="A92" s="277" t="s">
        <v>3096</v>
      </c>
    </row>
    <row r="93" spans="1:44" ht="18" customHeight="1">
      <c r="A93" s="273" t="s">
        <v>3097</v>
      </c>
    </row>
    <row r="94" spans="1:44" ht="18" customHeight="1">
      <c r="A94" s="277" t="s">
        <v>3098</v>
      </c>
    </row>
    <row r="95" spans="1:44" ht="18" customHeight="1"/>
    <row r="96" spans="1:44" ht="18" customHeight="1"/>
    <row r="97" ht="18" hidden="1" customHeight="1"/>
    <row r="98" ht="18" hidden="1" customHeight="1"/>
    <row r="99" ht="18" hidden="1" customHeight="1"/>
    <row r="100"/>
    <row r="101"/>
    <row r="102"/>
    <row r="103"/>
    <row r="104"/>
    <row r="105"/>
    <row r="106"/>
    <row r="107"/>
    <row r="108"/>
    <row r="109"/>
    <row r="110"/>
    <row r="111"/>
    <row r="112"/>
    <row r="113"/>
    <row r="114"/>
    <row r="115"/>
    <row r="116"/>
    <row r="117"/>
    <row r="118"/>
    <row r="119"/>
    <row r="120"/>
    <row r="121"/>
    <row r="122"/>
    <row r="123"/>
  </sheetData>
  <sheetProtection sheet="1" objects="1" scenarios="1" sort="0" autoFilter="0" pivotTables="0"/>
  <mergeCells count="5">
    <mergeCell ref="K1:L1"/>
    <mergeCell ref="M13:M14"/>
    <mergeCell ref="AC2:AC71"/>
    <mergeCell ref="AJ2:AJ71"/>
    <mergeCell ref="O2:O71"/>
  </mergeCells>
  <phoneticPr fontId="3" type="noConversion"/>
  <conditionalFormatting sqref="A2:AR13 A14:L14 A15:AR71 N14:AR14">
    <cfRule type="expression" dxfId="186" priority="21720">
      <formula>MOD(ROW(),2)=0</formula>
    </cfRule>
  </conditionalFormatting>
  <conditionalFormatting sqref="G2:I71">
    <cfRule type="expression" dxfId="185" priority="130">
      <formula>$K$1="差距(UQ)"</formula>
    </cfRule>
  </conditionalFormatting>
  <conditionalFormatting sqref="H2:H71">
    <cfRule type="expression" dxfId="184" priority="129">
      <formula>$K$1="差距(Median)"</formula>
    </cfRule>
  </conditionalFormatting>
  <conditionalFormatting sqref="I2:I71">
    <cfRule type="expression" dxfId="183" priority="128">
      <formula>$K$1="差距(LQ)"</formula>
    </cfRule>
  </conditionalFormatting>
  <conditionalFormatting sqref="K2:L71">
    <cfRule type="cellIs" dxfId="182" priority="131" operator="equal">
      <formula>"/"</formula>
    </cfRule>
    <cfRule type="cellIs" dxfId="181" priority="132" operator="lessThan">
      <formula>0</formula>
    </cfRule>
    <cfRule type="cellIs" dxfId="180" priority="133" operator="greaterThan">
      <formula>0</formula>
    </cfRule>
  </conditionalFormatting>
  <conditionalFormatting sqref="N2:N71">
    <cfRule type="cellIs" dxfId="179" priority="125" operator="equal">
      <formula>2</formula>
    </cfRule>
    <cfRule type="cellIs" dxfId="178" priority="126" operator="equal">
      <formula>1</formula>
    </cfRule>
    <cfRule type="cellIs" dxfId="177" priority="127" operator="equal">
      <formula>0</formula>
    </cfRule>
  </conditionalFormatting>
  <conditionalFormatting sqref="P2:U71">
    <cfRule type="expression" dxfId="176" priority="2">
      <formula>V2=0</formula>
    </cfRule>
    <cfRule type="expression" dxfId="175" priority="3">
      <formula>V2=2</formula>
    </cfRule>
    <cfRule type="expression" dxfId="174" priority="4">
      <formula>V2=1</formula>
    </cfRule>
  </conditionalFormatting>
  <conditionalFormatting sqref="AC2 AJ2 AQ2:AQ71">
    <cfRule type="expression" dxfId="173" priority="62">
      <formula>TRUE</formula>
    </cfRule>
  </conditionalFormatting>
  <hyperlinks>
    <hyperlink ref="A94" r:id="rId1" xr:uid="{00000000-0004-0000-0A00-000000000000}"/>
    <hyperlink ref="A93" r:id="rId2" xr:uid="{00000000-0004-0000-0A00-000001000000}"/>
    <hyperlink ref="A92" r:id="rId3" xr:uid="{00000000-0004-0000-0A00-000002000000}"/>
    <hyperlink ref="A91" r:id="rId4" xr:uid="{00000000-0004-0000-0A00-000003000000}"/>
  </hyperlinks>
  <pageMargins left="0.7" right="0.7" top="0.75" bottom="0.75" header="0.3" footer="0.3"/>
  <pageSetup paperSize="9" orientation="portrait" r:id="rId5"/>
  <drawing r:id="rId6"/>
  <legacyDrawing r:id="rId7"/>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00000000-0002-0000-0A00-000000000000}">
          <x14:formula1>
            <xm:f>選單!$K$1:$K$3</xm:f>
          </x14:formula1>
          <xm:sqref>K1:L1</xm:sqref>
        </x14:dataValidation>
        <x14:dataValidation type="list" allowBlank="1" showInputMessage="1" showErrorMessage="1" xr:uid="{794EA0E5-6CB4-4713-837A-0AE484514FF8}">
          <x14:formula1>
            <xm:f>選單!$J$1:$J$6</xm:f>
          </x14:formula1>
          <xm:sqref>AC2:AC71</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工作表9">
    <tabColor theme="4" tint="0.59999389629810485"/>
  </sheetPr>
  <dimension ref="A1:BD54"/>
  <sheetViews>
    <sheetView workbookViewId="0"/>
    <sheetView workbookViewId="1">
      <selection activeCell="I18" sqref="I18"/>
    </sheetView>
  </sheetViews>
  <sheetFormatPr defaultColWidth="0" defaultRowHeight="13.8" zeroHeight="1"/>
  <cols>
    <col min="1" max="1" width="7.19921875" style="4" customWidth="1"/>
    <col min="2" max="2" width="9.19921875" style="4" customWidth="1"/>
    <col min="3" max="3" width="19.3984375" style="4" customWidth="1"/>
    <col min="4" max="4" width="8.69921875" style="4" customWidth="1"/>
    <col min="5" max="5" width="12.3984375" style="4" customWidth="1"/>
    <col min="6" max="6" width="12.8984375" style="36" customWidth="1"/>
    <col min="7" max="9" width="7.69921875" style="15" customWidth="1"/>
    <col min="10" max="10" width="7.69921875" style="22" customWidth="1"/>
    <col min="11" max="11" width="7.69921875" style="23" customWidth="1"/>
    <col min="12" max="13" width="4.69921875" style="15" customWidth="1"/>
    <col min="14" max="14" width="15.69921875" style="15" customWidth="1"/>
    <col min="15" max="20" width="2.19921875" style="15" customWidth="1"/>
    <col min="21" max="26" width="2.19921875" style="15" hidden="1" customWidth="1"/>
    <col min="27" max="27" width="11.19921875" style="15" customWidth="1"/>
    <col min="28" max="28" width="8.69921875" style="4" customWidth="1"/>
    <col min="29" max="34" width="6.19921875" style="4" customWidth="1"/>
    <col min="35" max="35" width="8.69921875" style="4" customWidth="1"/>
    <col min="36" max="41" width="6.19921875" style="4" customWidth="1"/>
    <col min="42" max="42" width="3.19921875" style="4" customWidth="1"/>
    <col min="43" max="43" width="8.19921875" style="15" customWidth="1"/>
    <col min="44" max="56" width="0" style="4" hidden="1" customWidth="1"/>
    <col min="57" max="16384" width="9" style="4" hidden="1"/>
  </cols>
  <sheetData>
    <row r="1" spans="1:43" s="31" customFormat="1" ht="18" customHeight="1">
      <c r="A1" s="31" t="s">
        <v>110</v>
      </c>
      <c r="B1" s="31" t="s">
        <v>111</v>
      </c>
      <c r="C1" s="31" t="s">
        <v>112</v>
      </c>
      <c r="E1" s="32" t="s">
        <v>2897</v>
      </c>
      <c r="F1" s="32" t="s">
        <v>2839</v>
      </c>
      <c r="G1" s="72" t="s">
        <v>108</v>
      </c>
      <c r="H1" s="72" t="s">
        <v>106</v>
      </c>
      <c r="I1" s="32" t="s">
        <v>114</v>
      </c>
      <c r="J1" s="518" t="s">
        <v>115</v>
      </c>
      <c r="K1" s="518"/>
      <c r="L1" s="32" t="s">
        <v>38</v>
      </c>
      <c r="M1" s="32" t="s">
        <v>116</v>
      </c>
      <c r="N1" s="32"/>
      <c r="O1" s="32" t="s">
        <v>117</v>
      </c>
      <c r="P1" s="32" t="s">
        <v>118</v>
      </c>
      <c r="Q1" s="32" t="s">
        <v>119</v>
      </c>
      <c r="R1" s="32" t="s">
        <v>2807</v>
      </c>
      <c r="S1" s="32" t="s">
        <v>121</v>
      </c>
      <c r="T1" s="32" t="s">
        <v>122</v>
      </c>
      <c r="U1" s="32"/>
      <c r="V1" s="32"/>
      <c r="W1" s="32"/>
      <c r="X1" s="32"/>
      <c r="Y1" s="32"/>
      <c r="Z1" s="32"/>
      <c r="AA1" s="32" t="s">
        <v>123</v>
      </c>
      <c r="AB1" s="32" t="s">
        <v>124</v>
      </c>
      <c r="AC1" s="32" t="s">
        <v>141</v>
      </c>
      <c r="AD1" s="32" t="s">
        <v>126</v>
      </c>
      <c r="AE1" s="32" t="s">
        <v>127</v>
      </c>
      <c r="AF1" s="32" t="s">
        <v>128</v>
      </c>
      <c r="AG1" s="32" t="s">
        <v>129</v>
      </c>
      <c r="AH1" s="32" t="s">
        <v>130</v>
      </c>
      <c r="AI1" s="32" t="s">
        <v>142</v>
      </c>
      <c r="AJ1" s="32" t="s">
        <v>141</v>
      </c>
      <c r="AK1" s="32" t="s">
        <v>126</v>
      </c>
      <c r="AL1" s="32" t="s">
        <v>127</v>
      </c>
      <c r="AM1" s="32" t="s">
        <v>128</v>
      </c>
      <c r="AN1" s="32" t="s">
        <v>129</v>
      </c>
      <c r="AO1" s="32" t="s">
        <v>130</v>
      </c>
      <c r="AQ1" s="32"/>
    </row>
    <row r="2" spans="1:43" s="10" customFormat="1" ht="18" customHeight="1">
      <c r="A2" s="4" t="str">
        <f>'Reference Score Calculation'!A200</f>
        <v>JS5101</v>
      </c>
      <c r="B2" s="4" t="str">
        <f>'Reference Score Calculation'!C200</f>
        <v>理學院</v>
      </c>
      <c r="C2" s="4" t="str">
        <f>'Reference Score Calculation'!D200</f>
        <v>國際科研</v>
      </c>
      <c r="D2" s="4" t="str">
        <f>'Reference Score Calculation'!R200</f>
        <v>IRE</v>
      </c>
      <c r="E2" s="392" t="str">
        <f>'Reference Score Calculation'!AB200</f>
        <v>英數Best3</v>
      </c>
      <c r="F2" s="419" t="str">
        <f>'Reference Score Calculation'!E200</f>
        <v>英數Best3</v>
      </c>
      <c r="G2" s="6">
        <f>'Reference Score Calculation'!H200</f>
        <v>36.5</v>
      </c>
      <c r="H2" s="6">
        <f>'Reference Score Calculation'!I200</f>
        <v>34.630000000000003</v>
      </c>
      <c r="I2" s="45">
        <f>計分版!J223</f>
        <v>1.6000000000000001E-9</v>
      </c>
      <c r="J2" s="174">
        <f>IFERROR(IF(J$1="差距(Median)",I2-G2,IF(J$1="差距(UQ)",I2-#REF!,IF(J$1="差距(LQ)",I2-H2))),"/")</f>
        <v>-36.4999999984</v>
      </c>
      <c r="K2" s="175">
        <f>IFERROR(IF(J$1="差距(Median)",(I2-G2)/I2,IF(J$1="差距(UQ)",(I2-#REF!)/I2,IF(J$1="差距(LQ)",(I2-H2)/I2))),"/")</f>
        <v>-22812499999</v>
      </c>
      <c r="L2" s="36">
        <f>'Reference Score Calculation'!T200</f>
        <v>21</v>
      </c>
      <c r="M2" s="86">
        <f>入學要求!Z209</f>
        <v>0</v>
      </c>
      <c r="N2" s="516" t="s">
        <v>2521</v>
      </c>
      <c r="O2" s="164">
        <f>入學要求!L209</f>
        <v>3</v>
      </c>
      <c r="P2" s="164">
        <f>入學要求!M209</f>
        <v>3</v>
      </c>
      <c r="Q2" s="164">
        <f>入學要求!N209</f>
        <v>2</v>
      </c>
      <c r="R2" s="164">
        <f>入學要求!O209</f>
        <v>1</v>
      </c>
      <c r="S2" s="164">
        <f>入學要求!P209</f>
        <v>3</v>
      </c>
      <c r="T2" s="164">
        <f>入學要求!Q209</f>
        <v>3</v>
      </c>
      <c r="U2" s="256">
        <f>入學要求!S209</f>
        <v>0</v>
      </c>
      <c r="V2" s="256">
        <f>入學要求!T209</f>
        <v>0</v>
      </c>
      <c r="W2" s="256">
        <f>入學要求!U209</f>
        <v>0</v>
      </c>
      <c r="X2" s="256">
        <f>入學要求!V209</f>
        <v>0</v>
      </c>
      <c r="Y2" s="256">
        <f>入學要求!W209</f>
        <v>0</v>
      </c>
      <c r="Z2" s="256">
        <f>入學要求!X209</f>
        <v>0</v>
      </c>
      <c r="AA2" s="36">
        <f>IFERROR(ROUND(AK2/AD2,2),"/")</f>
        <v>3.65</v>
      </c>
      <c r="AB2" s="510" t="s">
        <v>2513</v>
      </c>
      <c r="AC2" s="36" cm="1">
        <f t="array" ref="AC2">IFERROR(INDEX('Offer Statistics'!CH$2:CH$400,MATCH(1,($A2='Offer Statistics'!$BS$2:$BS$400)*($AB$2='Offer Statistics'!$BT$2:$BT$400),0)),"/")</f>
        <v>20</v>
      </c>
      <c r="AD2" s="64" cm="1">
        <f t="array" ref="AD2">IFERROR(INDEX('Offer Statistics'!CC$2:CC$400,MATCH(1,($A2='Offer Statistics'!$BS$2:$BS$400)*($AB$2='Offer Statistics'!$BT$2:$BT$400),0)),"/")</f>
        <v>20</v>
      </c>
      <c r="AE2" s="64" cm="1">
        <f t="array" ref="AE2">IFERROR(INDEX('Offer Statistics'!CD$2:CD$400,MATCH(1,($A2='Offer Statistics'!$BS$2:$BS$400)*($AB$2='Offer Statistics'!$BT$2:$BT$400),0)),"/")</f>
        <v>0</v>
      </c>
      <c r="AF2" s="64" cm="1">
        <f t="array" ref="AF2">IFERROR(INDEX('Offer Statistics'!CE$2:CE$400,MATCH(1,($A2='Offer Statistics'!$BS$2:$BS$400)*($AB$2='Offer Statistics'!$BT$2:$BT$400),0)),"/")</f>
        <v>0</v>
      </c>
      <c r="AG2" s="64" cm="1">
        <f t="array" ref="AG2">IFERROR(INDEX('Offer Statistics'!CF$2:CF$400,MATCH(1,($A2='Offer Statistics'!$BS$2:$BS$400)*($AB$2='Offer Statistics'!$BT$2:$BT$400),0)),"/")</f>
        <v>0</v>
      </c>
      <c r="AH2" s="64" cm="1">
        <f t="array" ref="AH2">IFERROR(INDEX('Offer Statistics'!CG$2:CG$400,MATCH(1,($A2='Offer Statistics'!$BS$2:$BS$400)*($AB$2='Offer Statistics'!$BT$2:$BT$400),0)),"/")</f>
        <v>0</v>
      </c>
      <c r="AI2" s="511" t="str">
        <f>AB2</f>
        <v>2023年</v>
      </c>
      <c r="AJ2" s="36" cm="1">
        <f t="array" ref="AJ2">IFERROR(INDEX('Offer Statistics'!BZ$2:BZ$400,MATCH(1,($A2='Offer Statistics'!$BS$2:$BS$400)*($AB$2='Offer Statistics'!$BT$2:$BT$400),0)),"/")</f>
        <v>351</v>
      </c>
      <c r="AK2" s="64" cm="1">
        <f t="array" ref="AK2">IFERROR(INDEX('Offer Statistics'!BU$2:BU$400,MATCH(1,($A2='Offer Statistics'!$BS$2:$BS$400)*($AB$2='Offer Statistics'!$BT$2:$BT$400),0)),"/")</f>
        <v>73</v>
      </c>
      <c r="AL2" s="64" cm="1">
        <f t="array" ref="AL2">IFERROR(INDEX('Offer Statistics'!BV$2:BV$400,MATCH(1,($A2='Offer Statistics'!$BS$2:$BS$400)*($AB$2='Offer Statistics'!$BT$2:$BT$400),0)),"/")</f>
        <v>50</v>
      </c>
      <c r="AM2" s="64" cm="1">
        <f t="array" ref="AM2">IFERROR(INDEX('Offer Statistics'!BW$2:BW$400,MATCH(1,($A2='Offer Statistics'!$BS$2:$BS$400)*($AB$2='Offer Statistics'!$BT$2:$BT$400),0)),"/")</f>
        <v>64</v>
      </c>
      <c r="AN2" s="64" cm="1">
        <f t="array" ref="AN2">IFERROR(INDEX('Offer Statistics'!BX$2:BX$400,MATCH(1,($A2='Offer Statistics'!$BS$2:$BS$400)*($AB$2='Offer Statistics'!$BT$2:$BT$400),0)),"/")</f>
        <v>85</v>
      </c>
      <c r="AO2" s="64" cm="1">
        <f t="array" ref="AO2">IFERROR(INDEX('Offer Statistics'!BY$2:BY$400,MATCH(1,($A2='Offer Statistics'!$BS$2:$BS$400)*($AB$2='Offer Statistics'!$BT$2:$BT$400),0)),"/")</f>
        <v>79</v>
      </c>
      <c r="AP2" s="4"/>
      <c r="AQ2" s="15" t="str">
        <f>A2</f>
        <v>JS5101</v>
      </c>
    </row>
    <row r="3" spans="1:43" ht="18" customHeight="1">
      <c r="A3" s="4" t="str">
        <f>'Reference Score Calculation'!A201</f>
        <v>JS5102</v>
      </c>
      <c r="B3" s="4" t="str">
        <f>'Reference Score Calculation'!C201</f>
        <v>理學院</v>
      </c>
      <c r="C3" s="4" t="str">
        <f>'Reference Score Calculation'!D201</f>
        <v>理學Ａ組</v>
      </c>
      <c r="D3" s="4" t="str">
        <f>'Reference Score Calculation'!R201</f>
        <v>SSCI-A</v>
      </c>
      <c r="E3" s="392" t="str">
        <f>'Reference Score Calculation'!AB201</f>
        <v>英數Best3</v>
      </c>
      <c r="F3" s="419" t="str">
        <f>'Reference Score Calculation'!E201</f>
        <v>英數Best3</v>
      </c>
      <c r="G3" s="6">
        <f>'Reference Score Calculation'!H201</f>
        <v>29</v>
      </c>
      <c r="H3" s="6">
        <f>'Reference Score Calculation'!I201</f>
        <v>27</v>
      </c>
      <c r="I3" s="45">
        <f>計分版!J224</f>
        <v>2.5000000000000001E-9</v>
      </c>
      <c r="J3" s="174">
        <f>IFERROR(IF(J$1="差距(Median)",I3-G3,IF(J$1="差距(UQ)",I3-#REF!,IF(J$1="差距(LQ)",I3-H3))),"/")</f>
        <v>-28.999999997500002</v>
      </c>
      <c r="K3" s="175">
        <f>IFERROR(IF(J$1="差距(Median)",(I3-G3)/I3,IF(J$1="差距(UQ)",(I3-#REF!)/I3,IF(J$1="差距(LQ)",(I3-H3)/I3))),"/")</f>
        <v>-11599999999</v>
      </c>
      <c r="L3" s="511" t="str">
        <f>'Reference Score Calculation'!T201</f>
        <v>431*</v>
      </c>
      <c r="M3" s="86">
        <f>入學要求!Z210</f>
        <v>0</v>
      </c>
      <c r="N3" s="516"/>
      <c r="O3" s="172">
        <f>入學要求!L210</f>
        <v>3</v>
      </c>
      <c r="P3" s="172">
        <f>入學要求!M210</f>
        <v>3</v>
      </c>
      <c r="Q3" s="172">
        <f>入學要求!N210</f>
        <v>2</v>
      </c>
      <c r="R3" s="172">
        <f>入學要求!O210</f>
        <v>1</v>
      </c>
      <c r="S3" s="172">
        <f>入學要求!P210</f>
        <v>3</v>
      </c>
      <c r="T3" s="172">
        <f>入學要求!Q210</f>
        <v>3</v>
      </c>
      <c r="U3" s="256">
        <f>入學要求!S210</f>
        <v>0</v>
      </c>
      <c r="V3" s="256">
        <f>入學要求!T210</f>
        <v>0</v>
      </c>
      <c r="W3" s="256">
        <f>入學要求!U210</f>
        <v>0</v>
      </c>
      <c r="X3" s="256">
        <f>入學要求!V210</f>
        <v>0</v>
      </c>
      <c r="Y3" s="256">
        <f>入學要求!W210</f>
        <v>0</v>
      </c>
      <c r="Z3" s="256">
        <f>入學要求!X210</f>
        <v>0</v>
      </c>
      <c r="AA3" s="36">
        <f t="shared" ref="AA3:AA27" si="0">IFERROR(ROUND(AK3/AD3,2),"/")</f>
        <v>3.69</v>
      </c>
      <c r="AB3" s="510"/>
      <c r="AC3" s="36" cm="1">
        <f t="array" ref="AC3">IFERROR(INDEX('Offer Statistics'!CH$2:CH$400,MATCH(1,($A3='Offer Statistics'!$BS$2:$BS$400)*($AB$2='Offer Statistics'!$BT$2:$BT$400),0)),"/")</f>
        <v>178</v>
      </c>
      <c r="AD3" s="64" cm="1">
        <f t="array" ref="AD3">IFERROR(INDEX('Offer Statistics'!CC$2:CC$400,MATCH(1,($A3='Offer Statistics'!$BS$2:$BS$400)*($AB$2='Offer Statistics'!$BT$2:$BT$400),0)),"/")</f>
        <v>172</v>
      </c>
      <c r="AE3" s="64" cm="1">
        <f t="array" ref="AE3">IFERROR(INDEX('Offer Statistics'!CD$2:CD$400,MATCH(1,($A3='Offer Statistics'!$BS$2:$BS$400)*($AB$2='Offer Statistics'!$BT$2:$BT$400),0)),"/")</f>
        <v>6</v>
      </c>
      <c r="AF3" s="64" cm="1">
        <f t="array" ref="AF3">IFERROR(INDEX('Offer Statistics'!CE$2:CE$400,MATCH(1,($A3='Offer Statistics'!$BS$2:$BS$400)*($AB$2='Offer Statistics'!$BT$2:$BT$400),0)),"/")</f>
        <v>0</v>
      </c>
      <c r="AG3" s="64" cm="1">
        <f t="array" ref="AG3">IFERROR(INDEX('Offer Statistics'!CF$2:CF$400,MATCH(1,($A3='Offer Statistics'!$BS$2:$BS$400)*($AB$2='Offer Statistics'!$BT$2:$BT$400),0)),"/")</f>
        <v>0</v>
      </c>
      <c r="AH3" s="64" cm="1">
        <f t="array" ref="AH3">IFERROR(INDEX('Offer Statistics'!CG$2:CG$400,MATCH(1,($A3='Offer Statistics'!$BS$2:$BS$400)*($AB$2='Offer Statistics'!$BT$2:$BT$400),0)),"/")</f>
        <v>0</v>
      </c>
      <c r="AI3" s="511"/>
      <c r="AJ3" s="36" cm="1">
        <f t="array" ref="AJ3">IFERROR(INDEX('Offer Statistics'!BZ$2:BZ$400,MATCH(1,($A3='Offer Statistics'!$BS$2:$BS$400)*($AB$2='Offer Statistics'!$BT$2:$BT$400),0)),"/")</f>
        <v>2476</v>
      </c>
      <c r="AK3" s="64" cm="1">
        <f t="array" ref="AK3">IFERROR(INDEX('Offer Statistics'!BU$2:BU$400,MATCH(1,($A3='Offer Statistics'!$BS$2:$BS$400)*($AB$2='Offer Statistics'!$BT$2:$BT$400),0)),"/")</f>
        <v>634</v>
      </c>
      <c r="AL3" s="64" cm="1">
        <f t="array" ref="AL3">IFERROR(INDEX('Offer Statistics'!BV$2:BV$400,MATCH(1,($A3='Offer Statistics'!$BS$2:$BS$400)*($AB$2='Offer Statistics'!$BT$2:$BT$400),0)),"/")</f>
        <v>534</v>
      </c>
      <c r="AM3" s="64" cm="1">
        <f t="array" ref="AM3">IFERROR(INDEX('Offer Statistics'!BW$2:BW$400,MATCH(1,($A3='Offer Statistics'!$BS$2:$BS$400)*($AB$2='Offer Statistics'!$BT$2:$BT$400),0)),"/")</f>
        <v>518</v>
      </c>
      <c r="AN3" s="64" cm="1">
        <f t="array" ref="AN3">IFERROR(INDEX('Offer Statistics'!BX$2:BX$400,MATCH(1,($A3='Offer Statistics'!$BS$2:$BS$400)*($AB$2='Offer Statistics'!$BT$2:$BT$400),0)),"/")</f>
        <v>463</v>
      </c>
      <c r="AO3" s="64" cm="1">
        <f t="array" ref="AO3">IFERROR(INDEX('Offer Statistics'!BY$2:BY$400,MATCH(1,($A3='Offer Statistics'!$BS$2:$BS$400)*($AB$2='Offer Statistics'!$BT$2:$BT$400),0)),"/")</f>
        <v>327</v>
      </c>
      <c r="AQ3" s="15" t="str">
        <f t="shared" ref="AQ3:AQ27" si="1">A3</f>
        <v>JS5102</v>
      </c>
    </row>
    <row r="4" spans="1:43" s="10" customFormat="1" ht="18" customHeight="1">
      <c r="A4" s="4" t="str">
        <f>'Reference Score Calculation'!A202</f>
        <v>JS5103</v>
      </c>
      <c r="B4" s="4" t="str">
        <f>'Reference Score Calculation'!C202</f>
        <v>理學院</v>
      </c>
      <c r="C4" s="4" t="str">
        <f>'Reference Score Calculation'!D202</f>
        <v>理學Ｂ組</v>
      </c>
      <c r="D4" s="4" t="str">
        <f>'Reference Score Calculation'!R202</f>
        <v>SSCI-B</v>
      </c>
      <c r="E4" s="392" t="str">
        <f>'Reference Score Calculation'!AB202</f>
        <v>英數Best3</v>
      </c>
      <c r="F4" s="419" t="str">
        <f>'Reference Score Calculation'!E202</f>
        <v>英數Best3</v>
      </c>
      <c r="G4" s="6">
        <f>'Reference Score Calculation'!H202</f>
        <v>30</v>
      </c>
      <c r="H4" s="6">
        <f>'Reference Score Calculation'!I202</f>
        <v>28.5</v>
      </c>
      <c r="I4" s="45">
        <f>計分版!J225</f>
        <v>2.2500000000000003E-9</v>
      </c>
      <c r="J4" s="174">
        <f>IFERROR(IF(J$1="差距(Median)",I4-G4,IF(J$1="差距(UQ)",I4-#REF!,IF(J$1="差距(LQ)",I4-H4))),"/")</f>
        <v>-29.999999997749999</v>
      </c>
      <c r="K4" s="175">
        <f>IFERROR(IF(J$1="差距(Median)",(I4-G4)/I4,IF(J$1="差距(UQ)",(I4-#REF!)/I4,IF(J$1="差距(LQ)",(I4-H4)/I4))),"/")</f>
        <v>-13333333332.33333</v>
      </c>
      <c r="L4" s="511"/>
      <c r="M4" s="86">
        <f>入學要求!Z211</f>
        <v>0</v>
      </c>
      <c r="N4" s="516"/>
      <c r="O4" s="172">
        <f>入學要求!L211</f>
        <v>3</v>
      </c>
      <c r="P4" s="172">
        <f>入學要求!M211</f>
        <v>3</v>
      </c>
      <c r="Q4" s="172">
        <f>入學要求!N211</f>
        <v>2</v>
      </c>
      <c r="R4" s="172">
        <f>入學要求!O211</f>
        <v>1</v>
      </c>
      <c r="S4" s="172">
        <f>入學要求!P211</f>
        <v>3</v>
      </c>
      <c r="T4" s="172">
        <f>入學要求!Q211</f>
        <v>3</v>
      </c>
      <c r="U4" s="256">
        <f>入學要求!S211</f>
        <v>0</v>
      </c>
      <c r="V4" s="256">
        <f>入學要求!T211</f>
        <v>0</v>
      </c>
      <c r="W4" s="256">
        <f>入學要求!U211</f>
        <v>0</v>
      </c>
      <c r="X4" s="256">
        <f>入學要求!V211</f>
        <v>0</v>
      </c>
      <c r="Y4" s="256">
        <f>入學要求!W211</f>
        <v>0</v>
      </c>
      <c r="Z4" s="256">
        <f>入學要求!X211</f>
        <v>0</v>
      </c>
      <c r="AA4" s="36">
        <f t="shared" si="0"/>
        <v>3.36</v>
      </c>
      <c r="AB4" s="510"/>
      <c r="AC4" s="36" cm="1">
        <f t="array" ref="AC4">IFERROR(INDEX('Offer Statistics'!CH$2:CH$400,MATCH(1,($A4='Offer Statistics'!$BS$2:$BS$400)*($AB$2='Offer Statistics'!$BT$2:$BT$400),0)),"/")</f>
        <v>264</v>
      </c>
      <c r="AD4" s="64" cm="1">
        <f t="array" ref="AD4">IFERROR(INDEX('Offer Statistics'!CC$2:CC$400,MATCH(1,($A4='Offer Statistics'!$BS$2:$BS$400)*($AB$2='Offer Statistics'!$BT$2:$BT$400),0)),"/")</f>
        <v>255</v>
      </c>
      <c r="AE4" s="64" cm="1">
        <f t="array" ref="AE4">IFERROR(INDEX('Offer Statistics'!CD$2:CD$400,MATCH(1,($A4='Offer Statistics'!$BS$2:$BS$400)*($AB$2='Offer Statistics'!$BT$2:$BT$400),0)),"/")</f>
        <v>9</v>
      </c>
      <c r="AF4" s="64" cm="1">
        <f t="array" ref="AF4">IFERROR(INDEX('Offer Statistics'!CE$2:CE$400,MATCH(1,($A4='Offer Statistics'!$BS$2:$BS$400)*($AB$2='Offer Statistics'!$BT$2:$BT$400),0)),"/")</f>
        <v>0</v>
      </c>
      <c r="AG4" s="64" cm="1">
        <f t="array" ref="AG4">IFERROR(INDEX('Offer Statistics'!CF$2:CF$400,MATCH(1,($A4='Offer Statistics'!$BS$2:$BS$400)*($AB$2='Offer Statistics'!$BT$2:$BT$400),0)),"/")</f>
        <v>0</v>
      </c>
      <c r="AH4" s="64" cm="1">
        <f t="array" ref="AH4">IFERROR(INDEX('Offer Statistics'!CG$2:CG$400,MATCH(1,($A4='Offer Statistics'!$BS$2:$BS$400)*($AB$2='Offer Statistics'!$BT$2:$BT$400),0)),"/")</f>
        <v>0</v>
      </c>
      <c r="AI4" s="511"/>
      <c r="AJ4" s="36" cm="1">
        <f t="array" ref="AJ4">IFERROR(INDEX('Offer Statistics'!BZ$2:BZ$400,MATCH(1,($A4='Offer Statistics'!$BS$2:$BS$400)*($AB$2='Offer Statistics'!$BT$2:$BT$400),0)),"/")</f>
        <v>2943</v>
      </c>
      <c r="AK4" s="64" cm="1">
        <f t="array" ref="AK4">IFERROR(INDEX('Offer Statistics'!BU$2:BU$400,MATCH(1,($A4='Offer Statistics'!$BS$2:$BS$400)*($AB$2='Offer Statistics'!$BT$2:$BT$400),0)),"/")</f>
        <v>858</v>
      </c>
      <c r="AL4" s="64" cm="1">
        <f t="array" ref="AL4">IFERROR(INDEX('Offer Statistics'!BV$2:BV$400,MATCH(1,($A4='Offer Statistics'!$BS$2:$BS$400)*($AB$2='Offer Statistics'!$BT$2:$BT$400),0)),"/")</f>
        <v>642</v>
      </c>
      <c r="AM4" s="64" cm="1">
        <f t="array" ref="AM4">IFERROR(INDEX('Offer Statistics'!BW$2:BW$400,MATCH(1,($A4='Offer Statistics'!$BS$2:$BS$400)*($AB$2='Offer Statistics'!$BT$2:$BT$400),0)),"/")</f>
        <v>595</v>
      </c>
      <c r="AN4" s="64" cm="1">
        <f t="array" ref="AN4">IFERROR(INDEX('Offer Statistics'!BX$2:BX$400,MATCH(1,($A4='Offer Statistics'!$BS$2:$BS$400)*($AB$2='Offer Statistics'!$BT$2:$BT$400),0)),"/")</f>
        <v>513</v>
      </c>
      <c r="AO4" s="64" cm="1">
        <f t="array" ref="AO4">IFERROR(INDEX('Offer Statistics'!BY$2:BY$400,MATCH(1,($A4='Offer Statistics'!$BS$2:$BS$400)*($AB$2='Offer Statistics'!$BT$2:$BT$400),0)),"/")</f>
        <v>335</v>
      </c>
      <c r="AP4" s="4"/>
      <c r="AQ4" s="15" t="str">
        <f t="shared" si="1"/>
        <v>JS5103</v>
      </c>
    </row>
    <row r="5" spans="1:43" s="10" customFormat="1" ht="18" customHeight="1">
      <c r="A5" s="4" t="str">
        <f>'Reference Score Calculation'!A203</f>
        <v>JS5181</v>
      </c>
      <c r="B5" s="4" t="str">
        <f>'Reference Score Calculation'!C203</f>
        <v>理學院</v>
      </c>
      <c r="C5" s="4" t="str">
        <f>'Reference Score Calculation'!D203</f>
        <v>理學Ａ組– 延伸主修人工智能</v>
      </c>
      <c r="D5" s="4" t="str">
        <f>'Reference Score Calculation'!R203</f>
        <v>SSCI-A (AI)</v>
      </c>
      <c r="E5" s="392" t="str">
        <f>'Reference Score Calculation'!AB203</f>
        <v>英數Best3</v>
      </c>
      <c r="F5" s="419" t="str">
        <f>'Reference Score Calculation'!E203</f>
        <v>英數Best3</v>
      </c>
      <c r="G5" s="6">
        <f>'Reference Score Calculation'!H203</f>
        <v>36</v>
      </c>
      <c r="H5" s="6">
        <f>'Reference Score Calculation'!I203</f>
        <v>34.5</v>
      </c>
      <c r="I5" s="45">
        <f>計分版!J226</f>
        <v>2.5000000000000001E-9</v>
      </c>
      <c r="J5" s="174">
        <f>IFERROR(IF(J$1="差距(Median)",I5-G5,IF(J$1="差距(UQ)",I5-#REF!,IF(J$1="差距(LQ)",I5-H5))),"/")</f>
        <v>-35.999999997499998</v>
      </c>
      <c r="K5" s="175">
        <f>IFERROR(IF(J$1="差距(Median)",(I5-G5)/I5,IF(J$1="差距(UQ)",(I5-#REF!)/I5,IF(J$1="差距(LQ)",(I5-H5)/I5))),"/")</f>
        <v>-14399999998.999998</v>
      </c>
      <c r="L5" s="36">
        <f>'Reference Score Calculation'!T203</f>
        <v>41</v>
      </c>
      <c r="M5" s="86">
        <f>入學要求!Z212</f>
        <v>0</v>
      </c>
      <c r="N5" s="516"/>
      <c r="O5" s="172">
        <f>入學要求!L212</f>
        <v>3</v>
      </c>
      <c r="P5" s="172">
        <f>入學要求!M212</f>
        <v>3</v>
      </c>
      <c r="Q5" s="172">
        <f>入學要求!N212</f>
        <v>3</v>
      </c>
      <c r="R5" s="172">
        <f>入學要求!O212</f>
        <v>1</v>
      </c>
      <c r="S5" s="172">
        <f>入學要求!P212</f>
        <v>3</v>
      </c>
      <c r="T5" s="172">
        <f>入學要求!Q212</f>
        <v>3</v>
      </c>
      <c r="U5" s="256">
        <f>入學要求!S212</f>
        <v>0</v>
      </c>
      <c r="V5" s="256">
        <f>入學要求!T212</f>
        <v>0</v>
      </c>
      <c r="W5" s="256">
        <f>入學要求!U212</f>
        <v>0</v>
      </c>
      <c r="X5" s="256">
        <f>入學要求!V212</f>
        <v>0</v>
      </c>
      <c r="Y5" s="256">
        <f>入學要求!W212</f>
        <v>0</v>
      </c>
      <c r="Z5" s="256">
        <f>入學要求!X212</f>
        <v>0</v>
      </c>
      <c r="AA5" s="36">
        <f t="shared" si="0"/>
        <v>4</v>
      </c>
      <c r="AB5" s="510"/>
      <c r="AC5" s="36" cm="1">
        <f t="array" ref="AC5">IFERROR(INDEX('Offer Statistics'!CH$2:CH$400,MATCH(1,($A5='Offer Statistics'!$BS$2:$BS$400)*($AB$2='Offer Statistics'!$BT$2:$BT$400),0)),"/")</f>
        <v>33</v>
      </c>
      <c r="AD5" s="64" cm="1">
        <f t="array" ref="AD5">IFERROR(INDEX('Offer Statistics'!CC$2:CC$400,MATCH(1,($A5='Offer Statistics'!$BS$2:$BS$400)*($AB$2='Offer Statistics'!$BT$2:$BT$400),0)),"/")</f>
        <v>33</v>
      </c>
      <c r="AE5" s="64" cm="1">
        <f t="array" ref="AE5">IFERROR(INDEX('Offer Statistics'!CD$2:CD$400,MATCH(1,($A5='Offer Statistics'!$BS$2:$BS$400)*($AB$2='Offer Statistics'!$BT$2:$BT$400),0)),"/")</f>
        <v>0</v>
      </c>
      <c r="AF5" s="64" cm="1">
        <f t="array" ref="AF5">IFERROR(INDEX('Offer Statistics'!CE$2:CE$400,MATCH(1,($A5='Offer Statistics'!$BS$2:$BS$400)*($AB$2='Offer Statistics'!$BT$2:$BT$400),0)),"/")</f>
        <v>0</v>
      </c>
      <c r="AG5" s="64" cm="1">
        <f t="array" ref="AG5">IFERROR(INDEX('Offer Statistics'!CF$2:CF$400,MATCH(1,($A5='Offer Statistics'!$BS$2:$BS$400)*($AB$2='Offer Statistics'!$BT$2:$BT$400),0)),"/")</f>
        <v>0</v>
      </c>
      <c r="AH5" s="64" cm="1">
        <f t="array" ref="AH5">IFERROR(INDEX('Offer Statistics'!CG$2:CG$400,MATCH(1,($A5='Offer Statistics'!$BS$2:$BS$400)*($AB$2='Offer Statistics'!$BT$2:$BT$400),0)),"/")</f>
        <v>0</v>
      </c>
      <c r="AI5" s="511"/>
      <c r="AJ5" s="36" cm="1">
        <f t="array" ref="AJ5">IFERROR(INDEX('Offer Statistics'!BZ$2:BZ$400,MATCH(1,($A5='Offer Statistics'!$BS$2:$BS$400)*($AB$2='Offer Statistics'!$BT$2:$BT$400),0)),"/")</f>
        <v>1015</v>
      </c>
      <c r="AK5" s="64" cm="1">
        <f t="array" ref="AK5">IFERROR(INDEX('Offer Statistics'!BU$2:BU$400,MATCH(1,($A5='Offer Statistics'!$BS$2:$BS$400)*($AB$2='Offer Statistics'!$BT$2:$BT$400),0)),"/")</f>
        <v>132</v>
      </c>
      <c r="AL5" s="64" cm="1">
        <f t="array" ref="AL5">IFERROR(INDEX('Offer Statistics'!BV$2:BV$400,MATCH(1,($A5='Offer Statistics'!$BS$2:$BS$400)*($AB$2='Offer Statistics'!$BT$2:$BT$400),0)),"/")</f>
        <v>177</v>
      </c>
      <c r="AM5" s="64" cm="1">
        <f t="array" ref="AM5">IFERROR(INDEX('Offer Statistics'!BW$2:BW$400,MATCH(1,($A5='Offer Statistics'!$BS$2:$BS$400)*($AB$2='Offer Statistics'!$BT$2:$BT$400),0)),"/")</f>
        <v>261</v>
      </c>
      <c r="AN5" s="64" cm="1">
        <f t="array" ref="AN5">IFERROR(INDEX('Offer Statistics'!BX$2:BX$400,MATCH(1,($A5='Offer Statistics'!$BS$2:$BS$400)*($AB$2='Offer Statistics'!$BT$2:$BT$400),0)),"/")</f>
        <v>249</v>
      </c>
      <c r="AO5" s="64" cm="1">
        <f t="array" ref="AO5">IFERROR(INDEX('Offer Statistics'!BY$2:BY$400,MATCH(1,($A5='Offer Statistics'!$BS$2:$BS$400)*($AB$2='Offer Statistics'!$BT$2:$BT$400),0)),"/")</f>
        <v>196</v>
      </c>
      <c r="AP5" s="4"/>
      <c r="AQ5" s="15" t="str">
        <f t="shared" si="1"/>
        <v>JS5181</v>
      </c>
    </row>
    <row r="6" spans="1:43" ht="18" customHeight="1">
      <c r="A6" s="4" t="str">
        <f>'Reference Score Calculation'!A204</f>
        <v>JS5200</v>
      </c>
      <c r="B6" s="4" t="str">
        <f>'Reference Score Calculation'!C204</f>
        <v>工學院</v>
      </c>
      <c r="C6" s="4" t="str">
        <f>'Reference Score Calculation'!D204</f>
        <v>工程學</v>
      </c>
      <c r="D6" s="4" t="str">
        <f>'Reference Score Calculation'!R204</f>
        <v>ENGG</v>
      </c>
      <c r="E6" s="392" t="str">
        <f>'Reference Score Calculation'!AB204</f>
        <v>英數Best3</v>
      </c>
      <c r="F6" s="36" t="str">
        <f>'Reference Score Calculation'!E204</f>
        <v>英數Best3</v>
      </c>
      <c r="G6" s="6">
        <f>'Reference Score Calculation'!H204</f>
        <v>35.5</v>
      </c>
      <c r="H6" s="6">
        <f>'Reference Score Calculation'!I204</f>
        <v>34</v>
      </c>
      <c r="I6" s="45">
        <f>計分版!J227</f>
        <v>2.5000000000000001E-9</v>
      </c>
      <c r="J6" s="174">
        <f>IFERROR(IF(J$1="差距(Median)",I6-G6,IF(J$1="差距(UQ)",I6-#REF!,IF(J$1="差距(LQ)",I6-H6))),"/")</f>
        <v>-35.499999997499998</v>
      </c>
      <c r="K6" s="175">
        <f>IFERROR(IF(J$1="差距(Median)",(I6-G6)/I6,IF(J$1="差距(UQ)",(I6-#REF!)/I6,IF(J$1="差距(LQ)",(I6-H6)/I6))),"/")</f>
        <v>-14199999998.999998</v>
      </c>
      <c r="L6" s="36">
        <f>'Reference Score Calculation'!T204</f>
        <v>532</v>
      </c>
      <c r="M6" s="86">
        <f>入學要求!Z213</f>
        <v>0</v>
      </c>
      <c r="N6" s="516"/>
      <c r="O6" s="172">
        <f>入學要求!L213</f>
        <v>3</v>
      </c>
      <c r="P6" s="172">
        <f>入學要求!M213</f>
        <v>3</v>
      </c>
      <c r="Q6" s="172">
        <f>入學要求!N213</f>
        <v>3</v>
      </c>
      <c r="R6" s="172">
        <f>入學要求!O213</f>
        <v>1</v>
      </c>
      <c r="S6" s="172">
        <f>入學要求!P213</f>
        <v>3</v>
      </c>
      <c r="T6" s="172">
        <f>入學要求!Q213</f>
        <v>3</v>
      </c>
      <c r="U6" s="256">
        <f>入學要求!S213</f>
        <v>0</v>
      </c>
      <c r="V6" s="256">
        <f>入學要求!T213</f>
        <v>0</v>
      </c>
      <c r="W6" s="256">
        <f>入學要求!U213</f>
        <v>0</v>
      </c>
      <c r="X6" s="256">
        <f>入學要求!V213</f>
        <v>0</v>
      </c>
      <c r="Y6" s="256">
        <f>入學要求!W213</f>
        <v>0</v>
      </c>
      <c r="Z6" s="256">
        <f>入學要求!X213</f>
        <v>0</v>
      </c>
      <c r="AA6" s="36">
        <f t="shared" si="0"/>
        <v>3.33</v>
      </c>
      <c r="AB6" s="510"/>
      <c r="AC6" s="36" cm="1">
        <f t="array" ref="AC6">IFERROR(INDEX('Offer Statistics'!CH$2:CH$400,MATCH(1,($A6='Offer Statistics'!$BS$2:$BS$400)*($AB$2='Offer Statistics'!$BT$2:$BT$400),0)),"/")</f>
        <v>385</v>
      </c>
      <c r="AD6" s="64" cm="1">
        <f t="array" ref="AD6">IFERROR(INDEX('Offer Statistics'!CC$2:CC$400,MATCH(1,($A6='Offer Statistics'!$BS$2:$BS$400)*($AB$2='Offer Statistics'!$BT$2:$BT$400),0)),"/")</f>
        <v>381</v>
      </c>
      <c r="AE6" s="64" cm="1">
        <f t="array" ref="AE6">IFERROR(INDEX('Offer Statistics'!CD$2:CD$400,MATCH(1,($A6='Offer Statistics'!$BS$2:$BS$400)*($AB$2='Offer Statistics'!$BT$2:$BT$400),0)),"/")</f>
        <v>4</v>
      </c>
      <c r="AF6" s="64" cm="1">
        <f t="array" ref="AF6">IFERROR(INDEX('Offer Statistics'!CE$2:CE$400,MATCH(1,($A6='Offer Statistics'!$BS$2:$BS$400)*($AB$2='Offer Statistics'!$BT$2:$BT$400),0)),"/")</f>
        <v>0</v>
      </c>
      <c r="AG6" s="64" cm="1">
        <f t="array" ref="AG6">IFERROR(INDEX('Offer Statistics'!CF$2:CF$400,MATCH(1,($A6='Offer Statistics'!$BS$2:$BS$400)*($AB$2='Offer Statistics'!$BT$2:$BT$400),0)),"/")</f>
        <v>0</v>
      </c>
      <c r="AH6" s="64" cm="1">
        <f t="array" ref="AH6">IFERROR(INDEX('Offer Statistics'!CG$2:CG$400,MATCH(1,($A6='Offer Statistics'!$BS$2:$BS$400)*($AB$2='Offer Statistics'!$BT$2:$BT$400),0)),"/")</f>
        <v>0</v>
      </c>
      <c r="AI6" s="511"/>
      <c r="AJ6" s="36" cm="1">
        <f t="array" ref="AJ6">IFERROR(INDEX('Offer Statistics'!BZ$2:BZ$400,MATCH(1,($A6='Offer Statistics'!$BS$2:$BS$400)*($AB$2='Offer Statistics'!$BT$2:$BT$400),0)),"/")</f>
        <v>3636</v>
      </c>
      <c r="AK6" s="64" cm="1">
        <f t="array" ref="AK6">IFERROR(INDEX('Offer Statistics'!BU$2:BU$400,MATCH(1,($A6='Offer Statistics'!$BS$2:$BS$400)*($AB$2='Offer Statistics'!$BT$2:$BT$400),0)),"/")</f>
        <v>1268</v>
      </c>
      <c r="AL6" s="64" cm="1">
        <f t="array" ref="AL6">IFERROR(INDEX('Offer Statistics'!BV$2:BV$400,MATCH(1,($A6='Offer Statistics'!$BS$2:$BS$400)*($AB$2='Offer Statistics'!$BT$2:$BT$400),0)),"/")</f>
        <v>663</v>
      </c>
      <c r="AM6" s="64" cm="1">
        <f t="array" ref="AM6">IFERROR(INDEX('Offer Statistics'!BW$2:BW$400,MATCH(1,($A6='Offer Statistics'!$BS$2:$BS$400)*($AB$2='Offer Statistics'!$BT$2:$BT$400),0)),"/")</f>
        <v>654</v>
      </c>
      <c r="AN6" s="64" cm="1">
        <f t="array" ref="AN6">IFERROR(INDEX('Offer Statistics'!BX$2:BX$400,MATCH(1,($A6='Offer Statistics'!$BS$2:$BS$400)*($AB$2='Offer Statistics'!$BT$2:$BT$400),0)),"/")</f>
        <v>570</v>
      </c>
      <c r="AO6" s="64" cm="1">
        <f t="array" ref="AO6">IFERROR(INDEX('Offer Statistics'!BY$2:BY$400,MATCH(1,($A6='Offer Statistics'!$BS$2:$BS$400)*($AB$2='Offer Statistics'!$BT$2:$BT$400),0)),"/")</f>
        <v>481</v>
      </c>
      <c r="AQ6" s="15" t="str">
        <f t="shared" si="1"/>
        <v>JS5200</v>
      </c>
    </row>
    <row r="7" spans="1:43" s="10" customFormat="1" ht="18" customHeight="1">
      <c r="A7" s="4" t="str">
        <f>'Reference Score Calculation'!A205</f>
        <v>JS5282</v>
      </c>
      <c r="B7" s="4" t="str">
        <f>'Reference Score Calculation'!C205</f>
        <v>工學院</v>
      </c>
      <c r="C7" s="4" t="str">
        <f>'Reference Score Calculation'!D205</f>
        <v>工程學– 延伸主修人工智能</v>
      </c>
      <c r="D7" s="4" t="str">
        <f>'Reference Score Calculation'!R205</f>
        <v>ENGG+AI</v>
      </c>
      <c r="E7" s="392" t="str">
        <f>'Reference Score Calculation'!AB205</f>
        <v>英數Best3</v>
      </c>
      <c r="F7" s="36" t="str">
        <f>'Reference Score Calculation'!E205</f>
        <v>英數Best3</v>
      </c>
      <c r="G7" s="6">
        <f>'Reference Score Calculation'!H205</f>
        <v>46.5</v>
      </c>
      <c r="H7" s="6">
        <f>'Reference Score Calculation'!I205</f>
        <v>43.25</v>
      </c>
      <c r="I7" s="45">
        <f>計分版!J228</f>
        <v>2.5000000000000001E-9</v>
      </c>
      <c r="J7" s="174">
        <f>IFERROR(IF(J$1="差距(Median)",I7-G7,IF(J$1="差距(UQ)",I7-#REF!,IF(J$1="差距(LQ)",I7-H7))),"/")</f>
        <v>-46.499999997499998</v>
      </c>
      <c r="K7" s="175">
        <f>IFERROR(IF(J$1="差距(Median)",(I7-G7)/I7,IF(J$1="差距(UQ)",(I7-#REF!)/I7,IF(J$1="差距(LQ)",(I7-H7)/I7))),"/")</f>
        <v>-18599999999</v>
      </c>
      <c r="L7" s="36">
        <f>'Reference Score Calculation'!T205</f>
        <v>152</v>
      </c>
      <c r="M7" s="86">
        <f>入學要求!Z214</f>
        <v>0</v>
      </c>
      <c r="N7" s="516"/>
      <c r="O7" s="172">
        <f>入學要求!L214</f>
        <v>3</v>
      </c>
      <c r="P7" s="172">
        <f>入學要求!M214</f>
        <v>3</v>
      </c>
      <c r="Q7" s="172">
        <f>入學要求!N214</f>
        <v>3</v>
      </c>
      <c r="R7" s="172">
        <f>入學要求!O214</f>
        <v>1</v>
      </c>
      <c r="S7" s="172">
        <f>入學要求!P214</f>
        <v>3</v>
      </c>
      <c r="T7" s="172">
        <f>入學要求!Q214</f>
        <v>3</v>
      </c>
      <c r="U7" s="256">
        <f>入學要求!S214</f>
        <v>0</v>
      </c>
      <c r="V7" s="256">
        <f>入學要求!T214</f>
        <v>0</v>
      </c>
      <c r="W7" s="256">
        <f>入學要求!U214</f>
        <v>0</v>
      </c>
      <c r="X7" s="256">
        <f>入學要求!V214</f>
        <v>0</v>
      </c>
      <c r="Y7" s="256">
        <f>入學要求!W214</f>
        <v>0</v>
      </c>
      <c r="Z7" s="256">
        <f>入學要求!X214</f>
        <v>0</v>
      </c>
      <c r="AA7" s="36">
        <f t="shared" si="0"/>
        <v>2.5099999999999998</v>
      </c>
      <c r="AB7" s="510"/>
      <c r="AC7" s="36" cm="1">
        <f t="array" ref="AC7">IFERROR(INDEX('Offer Statistics'!CH$2:CH$400,MATCH(1,($A7='Offer Statistics'!$BS$2:$BS$400)*($AB$2='Offer Statistics'!$BT$2:$BT$400),0)),"/")</f>
        <v>140</v>
      </c>
      <c r="AD7" s="64" cm="1">
        <f t="array" ref="AD7">IFERROR(INDEX('Offer Statistics'!CC$2:CC$400,MATCH(1,($A7='Offer Statistics'!$BS$2:$BS$400)*($AB$2='Offer Statistics'!$BT$2:$BT$400),0)),"/")</f>
        <v>140</v>
      </c>
      <c r="AE7" s="64" cm="1">
        <f t="array" ref="AE7">IFERROR(INDEX('Offer Statistics'!CD$2:CD$400,MATCH(1,($A7='Offer Statistics'!$BS$2:$BS$400)*($AB$2='Offer Statistics'!$BT$2:$BT$400),0)),"/")</f>
        <v>0</v>
      </c>
      <c r="AF7" s="64" cm="1">
        <f t="array" ref="AF7">IFERROR(INDEX('Offer Statistics'!CE$2:CE$400,MATCH(1,($A7='Offer Statistics'!$BS$2:$BS$400)*($AB$2='Offer Statistics'!$BT$2:$BT$400),0)),"/")</f>
        <v>0</v>
      </c>
      <c r="AG7" s="64" cm="1">
        <f t="array" ref="AG7">IFERROR(INDEX('Offer Statistics'!CF$2:CF$400,MATCH(1,($A7='Offer Statistics'!$BS$2:$BS$400)*($AB$2='Offer Statistics'!$BT$2:$BT$400),0)),"/")</f>
        <v>0</v>
      </c>
      <c r="AH7" s="64" cm="1">
        <f t="array" ref="AH7">IFERROR(INDEX('Offer Statistics'!CG$2:CG$400,MATCH(1,($A7='Offer Statistics'!$BS$2:$BS$400)*($AB$2='Offer Statistics'!$BT$2:$BT$400),0)),"/")</f>
        <v>0</v>
      </c>
      <c r="AI7" s="511"/>
      <c r="AJ7" s="36" cm="1">
        <f t="array" ref="AJ7">IFERROR(INDEX('Offer Statistics'!BZ$2:BZ$400,MATCH(1,($A7='Offer Statistics'!$BS$2:$BS$400)*($AB$2='Offer Statistics'!$BT$2:$BT$400),0)),"/")</f>
        <v>1494</v>
      </c>
      <c r="AK7" s="64" cm="1">
        <f t="array" ref="AK7">IFERROR(INDEX('Offer Statistics'!BU$2:BU$400,MATCH(1,($A7='Offer Statistics'!$BS$2:$BS$400)*($AB$2='Offer Statistics'!$BT$2:$BT$400),0)),"/")</f>
        <v>352</v>
      </c>
      <c r="AL7" s="64" cm="1">
        <f t="array" ref="AL7">IFERROR(INDEX('Offer Statistics'!BV$2:BV$400,MATCH(1,($A7='Offer Statistics'!$BS$2:$BS$400)*($AB$2='Offer Statistics'!$BT$2:$BT$400),0)),"/")</f>
        <v>218</v>
      </c>
      <c r="AM7" s="64" cm="1">
        <f t="array" ref="AM7">IFERROR(INDEX('Offer Statistics'!BW$2:BW$400,MATCH(1,($A7='Offer Statistics'!$BS$2:$BS$400)*($AB$2='Offer Statistics'!$BT$2:$BT$400),0)),"/")</f>
        <v>298</v>
      </c>
      <c r="AN7" s="64" cm="1">
        <f t="array" ref="AN7">IFERROR(INDEX('Offer Statistics'!BX$2:BX$400,MATCH(1,($A7='Offer Statistics'!$BS$2:$BS$400)*($AB$2='Offer Statistics'!$BT$2:$BT$400),0)),"/")</f>
        <v>328</v>
      </c>
      <c r="AO7" s="64" cm="1">
        <f t="array" ref="AO7">IFERROR(INDEX('Offer Statistics'!BY$2:BY$400,MATCH(1,($A7='Offer Statistics'!$BS$2:$BS$400)*($AB$2='Offer Statistics'!$BT$2:$BT$400),0)),"/")</f>
        <v>298</v>
      </c>
      <c r="AP7" s="4"/>
      <c r="AQ7" s="15" t="str">
        <f t="shared" si="1"/>
        <v>JS5282</v>
      </c>
    </row>
    <row r="8" spans="1:43" ht="18" customHeight="1">
      <c r="A8" s="4" t="str">
        <f>'Reference Score Calculation'!A206</f>
        <v>JS5300</v>
      </c>
      <c r="B8" s="4" t="str">
        <f>'Reference Score Calculation'!C206</f>
        <v>商學院</v>
      </c>
      <c r="C8" s="4" t="str">
        <f>'Reference Score Calculation'!D206</f>
        <v>工商管理</v>
      </c>
      <c r="D8" s="4" t="str">
        <f>'Reference Score Calculation'!R206</f>
        <v>B&amp;M</v>
      </c>
      <c r="E8" s="392" t="str">
        <f>'Reference Score Calculation'!AB206</f>
        <v>英數Best3</v>
      </c>
      <c r="F8" s="36" t="str">
        <f>'Reference Score Calculation'!E206</f>
        <v>英數Best4</v>
      </c>
      <c r="G8" s="6">
        <f>'Reference Score Calculation'!H206</f>
        <v>35</v>
      </c>
      <c r="H8" s="6">
        <f>'Reference Score Calculation'!I206</f>
        <v>34</v>
      </c>
      <c r="I8" s="45">
        <f>計分版!J229</f>
        <v>4.0000000000000002E-9</v>
      </c>
      <c r="J8" s="174">
        <f>IFERROR(IF(J$1="差距(Median)",I8-G8,IF(J$1="差距(UQ)",I8-#REF!,IF(J$1="差距(LQ)",I8-H8))),"/")</f>
        <v>-34.999999996</v>
      </c>
      <c r="K8" s="175">
        <f>IFERROR(IF(J$1="差距(Median)",(I8-G8)/I8,IF(J$1="差距(UQ)",(I8-#REF!)/I8,IF(J$1="差距(LQ)",(I8-H8)/I8))),"/")</f>
        <v>-8749999999</v>
      </c>
      <c r="L8" s="36">
        <f>'Reference Score Calculation'!T206</f>
        <v>377</v>
      </c>
      <c r="M8" s="86">
        <f>入學要求!Z215</f>
        <v>0</v>
      </c>
      <c r="N8" s="516"/>
      <c r="O8" s="172">
        <f>入學要求!L215</f>
        <v>3</v>
      </c>
      <c r="P8" s="172">
        <f>入學要求!M215</f>
        <v>4</v>
      </c>
      <c r="Q8" s="172">
        <f>入學要求!N215</f>
        <v>3</v>
      </c>
      <c r="R8" s="172">
        <f>入學要求!O215</f>
        <v>1</v>
      </c>
      <c r="S8" s="172">
        <f>入學要求!P215</f>
        <v>3</v>
      </c>
      <c r="T8" s="172">
        <f>入學要求!Q215</f>
        <v>3</v>
      </c>
      <c r="U8" s="256">
        <f>入學要求!S215</f>
        <v>0</v>
      </c>
      <c r="V8" s="256">
        <f>入學要求!T215</f>
        <v>0</v>
      </c>
      <c r="W8" s="256">
        <f>入學要求!U215</f>
        <v>0</v>
      </c>
      <c r="X8" s="256">
        <f>入學要求!V215</f>
        <v>0</v>
      </c>
      <c r="Y8" s="256">
        <f>入學要求!W215</f>
        <v>0</v>
      </c>
      <c r="Z8" s="256">
        <f>入學要求!X215</f>
        <v>0</v>
      </c>
      <c r="AA8" s="36">
        <f t="shared" si="0"/>
        <v>2.97</v>
      </c>
      <c r="AB8" s="510"/>
      <c r="AC8" s="36" cm="1">
        <f t="array" ref="AC8">IFERROR(INDEX('Offer Statistics'!CH$2:CH$400,MATCH(1,($A8='Offer Statistics'!$BS$2:$BS$400)*($AB$2='Offer Statistics'!$BT$2:$BT$400),0)),"/")</f>
        <v>300</v>
      </c>
      <c r="AD8" s="64" cm="1">
        <f t="array" ref="AD8">IFERROR(INDEX('Offer Statistics'!CC$2:CC$400,MATCH(1,($A8='Offer Statistics'!$BS$2:$BS$400)*($AB$2='Offer Statistics'!$BT$2:$BT$400),0)),"/")</f>
        <v>300</v>
      </c>
      <c r="AE8" s="64" cm="1">
        <f t="array" ref="AE8">IFERROR(INDEX('Offer Statistics'!CD$2:CD$400,MATCH(1,($A8='Offer Statistics'!$BS$2:$BS$400)*($AB$2='Offer Statistics'!$BT$2:$BT$400),0)),"/")</f>
        <v>0</v>
      </c>
      <c r="AF8" s="64" cm="1">
        <f t="array" ref="AF8">IFERROR(INDEX('Offer Statistics'!CE$2:CE$400,MATCH(1,($A8='Offer Statistics'!$BS$2:$BS$400)*($AB$2='Offer Statistics'!$BT$2:$BT$400),0)),"/")</f>
        <v>0</v>
      </c>
      <c r="AG8" s="64" cm="1">
        <f t="array" ref="AG8">IFERROR(INDEX('Offer Statistics'!CF$2:CF$400,MATCH(1,($A8='Offer Statistics'!$BS$2:$BS$400)*($AB$2='Offer Statistics'!$BT$2:$BT$400),0)),"/")</f>
        <v>0</v>
      </c>
      <c r="AH8" s="64" cm="1">
        <f t="array" ref="AH8">IFERROR(INDEX('Offer Statistics'!CG$2:CG$400,MATCH(1,($A8='Offer Statistics'!$BS$2:$BS$400)*($AB$2='Offer Statistics'!$BT$2:$BT$400),0)),"/")</f>
        <v>0</v>
      </c>
      <c r="AI8" s="511"/>
      <c r="AJ8" s="36" cm="1">
        <f t="array" ref="AJ8">IFERROR(INDEX('Offer Statistics'!BZ$2:BZ$400,MATCH(1,($A8='Offer Statistics'!$BS$2:$BS$400)*($AB$2='Offer Statistics'!$BT$2:$BT$400),0)),"/")</f>
        <v>2886</v>
      </c>
      <c r="AK8" s="64" cm="1">
        <f t="array" ref="AK8">IFERROR(INDEX('Offer Statistics'!BU$2:BU$400,MATCH(1,($A8='Offer Statistics'!$BS$2:$BS$400)*($AB$2='Offer Statistics'!$BT$2:$BT$400),0)),"/")</f>
        <v>892</v>
      </c>
      <c r="AL8" s="64" cm="1">
        <f t="array" ref="AL8">IFERROR(INDEX('Offer Statistics'!BV$2:BV$400,MATCH(1,($A8='Offer Statistics'!$BS$2:$BS$400)*($AB$2='Offer Statistics'!$BT$2:$BT$400),0)),"/")</f>
        <v>352</v>
      </c>
      <c r="AM8" s="64" cm="1">
        <f t="array" ref="AM8">IFERROR(INDEX('Offer Statistics'!BW$2:BW$400,MATCH(1,($A8='Offer Statistics'!$BS$2:$BS$400)*($AB$2='Offer Statistics'!$BT$2:$BT$400),0)),"/")</f>
        <v>468</v>
      </c>
      <c r="AN8" s="64" cm="1">
        <f t="array" ref="AN8">IFERROR(INDEX('Offer Statistics'!BX$2:BX$400,MATCH(1,($A8='Offer Statistics'!$BS$2:$BS$400)*($AB$2='Offer Statistics'!$BT$2:$BT$400),0)),"/")</f>
        <v>625</v>
      </c>
      <c r="AO8" s="64" cm="1">
        <f t="array" ref="AO8">IFERROR(INDEX('Offer Statistics'!BY$2:BY$400,MATCH(1,($A8='Offer Statistics'!$BS$2:$BS$400)*($AB$2='Offer Statistics'!$BT$2:$BT$400),0)),"/")</f>
        <v>549</v>
      </c>
      <c r="AQ8" s="15" t="str">
        <f t="shared" si="1"/>
        <v>JS5300</v>
      </c>
    </row>
    <row r="9" spans="1:43" s="10" customFormat="1" ht="18" customHeight="1">
      <c r="A9" s="4" t="str">
        <f>'Reference Score Calculation'!A207</f>
        <v>JS5311</v>
      </c>
      <c r="B9" s="4" t="str">
        <f>'Reference Score Calculation'!C207</f>
        <v>商學院</v>
      </c>
      <c r="C9" s="4" t="str">
        <f>'Reference Score Calculation'!D207</f>
        <v>工商管理學士（經濟學）</v>
      </c>
      <c r="D9" s="4" t="str">
        <f>'Reference Score Calculation'!R207</f>
        <v>ECON</v>
      </c>
      <c r="E9" s="392" t="str">
        <f>'Reference Score Calculation'!AB207</f>
        <v>英數Best3</v>
      </c>
      <c r="F9" s="36" t="str">
        <f>'Reference Score Calculation'!E207</f>
        <v>英數Best4</v>
      </c>
      <c r="G9" s="6">
        <f>'Reference Score Calculation'!H207</f>
        <v>38</v>
      </c>
      <c r="H9" s="6">
        <f>'Reference Score Calculation'!I207</f>
        <v>36.5</v>
      </c>
      <c r="I9" s="45">
        <f>計分版!J230</f>
        <v>4.0000000000000002E-9</v>
      </c>
      <c r="J9" s="174">
        <f>IFERROR(IF(J$1="差距(Median)",I9-G9,IF(J$1="差距(UQ)",I9-#REF!,IF(J$1="差距(LQ)",I9-H9))),"/")</f>
        <v>-37.999999996</v>
      </c>
      <c r="K9" s="175">
        <f>IFERROR(IF(J$1="差距(Median)",(I9-G9)/I9,IF(J$1="差距(UQ)",(I9-#REF!)/I9,IF(J$1="差距(LQ)",(I9-H9)/I9))),"/")</f>
        <v>-9499999999</v>
      </c>
      <c r="L9" s="36" t="str">
        <f>'Reference Score Calculation'!T207</f>
        <v>125*</v>
      </c>
      <c r="M9" s="86">
        <f>入學要求!Z216</f>
        <v>0</v>
      </c>
      <c r="N9" s="516"/>
      <c r="O9" s="172">
        <f>入學要求!L216</f>
        <v>3</v>
      </c>
      <c r="P9" s="172">
        <f>入學要求!M216</f>
        <v>4</v>
      </c>
      <c r="Q9" s="172">
        <f>入學要求!N216</f>
        <v>3</v>
      </c>
      <c r="R9" s="172">
        <f>入學要求!O216</f>
        <v>1</v>
      </c>
      <c r="S9" s="172">
        <f>入學要求!P216</f>
        <v>3</v>
      </c>
      <c r="T9" s="172">
        <f>入學要求!Q216</f>
        <v>3</v>
      </c>
      <c r="U9" s="256">
        <f>入學要求!S216</f>
        <v>0</v>
      </c>
      <c r="V9" s="256">
        <f>入學要求!T216</f>
        <v>0</v>
      </c>
      <c r="W9" s="256">
        <f>入學要求!U216</f>
        <v>0</v>
      </c>
      <c r="X9" s="256">
        <f>入學要求!V216</f>
        <v>0</v>
      </c>
      <c r="Y9" s="256">
        <f>入學要求!W216</f>
        <v>0</v>
      </c>
      <c r="Z9" s="256">
        <f>入學要求!X216</f>
        <v>0</v>
      </c>
      <c r="AA9" s="36">
        <f t="shared" si="0"/>
        <v>3.34</v>
      </c>
      <c r="AB9" s="510"/>
      <c r="AC9" s="36" cm="1">
        <f t="array" ref="AC9">IFERROR(INDEX('Offer Statistics'!CH$2:CH$400,MATCH(1,($A9='Offer Statistics'!$BS$2:$BS$400)*($AB$2='Offer Statistics'!$BT$2:$BT$400),0)),"/")</f>
        <v>29</v>
      </c>
      <c r="AD9" s="64" cm="1">
        <f t="array" ref="AD9">IFERROR(INDEX('Offer Statistics'!CC$2:CC$400,MATCH(1,($A9='Offer Statistics'!$BS$2:$BS$400)*($AB$2='Offer Statistics'!$BT$2:$BT$400),0)),"/")</f>
        <v>29</v>
      </c>
      <c r="AE9" s="64" cm="1">
        <f t="array" ref="AE9">IFERROR(INDEX('Offer Statistics'!CD$2:CD$400,MATCH(1,($A9='Offer Statistics'!$BS$2:$BS$400)*($AB$2='Offer Statistics'!$BT$2:$BT$400),0)),"/")</f>
        <v>0</v>
      </c>
      <c r="AF9" s="64" cm="1">
        <f t="array" ref="AF9">IFERROR(INDEX('Offer Statistics'!CE$2:CE$400,MATCH(1,($A9='Offer Statistics'!$BS$2:$BS$400)*($AB$2='Offer Statistics'!$BT$2:$BT$400),0)),"/")</f>
        <v>0</v>
      </c>
      <c r="AG9" s="64" cm="1">
        <f t="array" ref="AG9">IFERROR(INDEX('Offer Statistics'!CF$2:CF$400,MATCH(1,($A9='Offer Statistics'!$BS$2:$BS$400)*($AB$2='Offer Statistics'!$BT$2:$BT$400),0)),"/")</f>
        <v>0</v>
      </c>
      <c r="AH9" s="64" cm="1">
        <f t="array" ref="AH9">IFERROR(INDEX('Offer Statistics'!CG$2:CG$400,MATCH(1,($A9='Offer Statistics'!$BS$2:$BS$400)*($AB$2='Offer Statistics'!$BT$2:$BT$400),0)),"/")</f>
        <v>0</v>
      </c>
      <c r="AI9" s="511"/>
      <c r="AJ9" s="36" cm="1">
        <f t="array" ref="AJ9">IFERROR(INDEX('Offer Statistics'!BZ$2:BZ$400,MATCH(1,($A9='Offer Statistics'!$BS$2:$BS$400)*($AB$2='Offer Statistics'!$BT$2:$BT$400),0)),"/")</f>
        <v>1186</v>
      </c>
      <c r="AK9" s="64" cm="1">
        <f t="array" ref="AK9">IFERROR(INDEX('Offer Statistics'!BU$2:BU$400,MATCH(1,($A9='Offer Statistics'!$BS$2:$BS$400)*($AB$2='Offer Statistics'!$BT$2:$BT$400),0)),"/")</f>
        <v>97</v>
      </c>
      <c r="AL9" s="64" cm="1">
        <f t="array" ref="AL9">IFERROR(INDEX('Offer Statistics'!BV$2:BV$400,MATCH(1,($A9='Offer Statistics'!$BS$2:$BS$400)*($AB$2='Offer Statistics'!$BT$2:$BT$400),0)),"/")</f>
        <v>129</v>
      </c>
      <c r="AM9" s="64" cm="1">
        <f t="array" ref="AM9">IFERROR(INDEX('Offer Statistics'!BW$2:BW$400,MATCH(1,($A9='Offer Statistics'!$BS$2:$BS$400)*($AB$2='Offer Statistics'!$BT$2:$BT$400),0)),"/")</f>
        <v>248</v>
      </c>
      <c r="AN9" s="64" cm="1">
        <f t="array" ref="AN9">IFERROR(INDEX('Offer Statistics'!BX$2:BX$400,MATCH(1,($A9='Offer Statistics'!$BS$2:$BS$400)*($AB$2='Offer Statistics'!$BT$2:$BT$400),0)),"/")</f>
        <v>406</v>
      </c>
      <c r="AO9" s="64" cm="1">
        <f t="array" ref="AO9">IFERROR(INDEX('Offer Statistics'!BY$2:BY$400,MATCH(1,($A9='Offer Statistics'!$BS$2:$BS$400)*($AB$2='Offer Statistics'!$BT$2:$BT$400),0)),"/")</f>
        <v>306</v>
      </c>
      <c r="AP9" s="4"/>
      <c r="AQ9" s="15" t="str">
        <f t="shared" si="1"/>
        <v>JS5311</v>
      </c>
    </row>
    <row r="10" spans="1:43" ht="18" customHeight="1">
      <c r="A10" s="4" t="str">
        <f>'Reference Score Calculation'!A208</f>
        <v>JS5312</v>
      </c>
      <c r="B10" s="4" t="str">
        <f>'Reference Score Calculation'!C208</f>
        <v>商學院</v>
      </c>
      <c r="C10" s="4" t="str">
        <f>'Reference Score Calculation'!D208</f>
        <v>工商管理學士（金融學）</v>
      </c>
      <c r="D10" s="4" t="str">
        <f>'Reference Score Calculation'!R208</f>
        <v>FINA</v>
      </c>
      <c r="E10" s="392" t="str">
        <f>'Reference Score Calculation'!AB208</f>
        <v>英數Best3</v>
      </c>
      <c r="F10" s="36" t="str">
        <f>'Reference Score Calculation'!E208</f>
        <v>英數Best4</v>
      </c>
      <c r="G10" s="6">
        <f>'Reference Score Calculation'!H208</f>
        <v>47.5</v>
      </c>
      <c r="H10" s="6">
        <f>'Reference Score Calculation'!I208</f>
        <v>46</v>
      </c>
      <c r="I10" s="45">
        <f>計分版!J231</f>
        <v>3.3999999999999998E-9</v>
      </c>
      <c r="J10" s="174">
        <f>IFERROR(IF(J$1="差距(Median)",I10-G10,IF(J$1="差距(UQ)",I10-#REF!,IF(J$1="差距(LQ)",I10-H10))),"/")</f>
        <v>-47.499999996600003</v>
      </c>
      <c r="K10" s="175">
        <f>IFERROR(IF(J$1="差距(Median)",(I10-G10)/I10,IF(J$1="差距(UQ)",(I10-#REF!)/I10,IF(J$1="差距(LQ)",(I10-H10)/I10))),"/")</f>
        <v>-13970588234.294119</v>
      </c>
      <c r="L10" s="36">
        <f>'Reference Score Calculation'!T208</f>
        <v>30</v>
      </c>
      <c r="M10" s="86">
        <f>入學要求!Z217</f>
        <v>0</v>
      </c>
      <c r="N10" s="516"/>
      <c r="O10" s="172">
        <f>入學要求!L217</f>
        <v>3</v>
      </c>
      <c r="P10" s="172">
        <f>入學要求!M217</f>
        <v>4</v>
      </c>
      <c r="Q10" s="172">
        <f>入學要求!N217</f>
        <v>3</v>
      </c>
      <c r="R10" s="172">
        <f>入學要求!O217</f>
        <v>1</v>
      </c>
      <c r="S10" s="172">
        <f>入學要求!P217</f>
        <v>3</v>
      </c>
      <c r="T10" s="172">
        <f>入學要求!Q217</f>
        <v>3</v>
      </c>
      <c r="U10" s="256">
        <f>入學要求!S217</f>
        <v>0</v>
      </c>
      <c r="V10" s="256">
        <f>入學要求!T217</f>
        <v>0</v>
      </c>
      <c r="W10" s="256">
        <f>入學要求!U217</f>
        <v>0</v>
      </c>
      <c r="X10" s="256">
        <f>入學要求!V217</f>
        <v>0</v>
      </c>
      <c r="Y10" s="256">
        <f>入學要求!W217</f>
        <v>0</v>
      </c>
      <c r="Z10" s="256">
        <f>入學要求!X217</f>
        <v>0</v>
      </c>
      <c r="AA10" s="36">
        <f t="shared" si="0"/>
        <v>3.13</v>
      </c>
      <c r="AB10" s="510"/>
      <c r="AC10" s="36" cm="1">
        <f t="array" ref="AC10">IFERROR(INDEX('Offer Statistics'!CH$2:CH$400,MATCH(1,($A10='Offer Statistics'!$BS$2:$BS$400)*($AB$2='Offer Statistics'!$BT$2:$BT$400),0)),"/")</f>
        <v>45</v>
      </c>
      <c r="AD10" s="64" cm="1">
        <f t="array" ref="AD10">IFERROR(INDEX('Offer Statistics'!CC$2:CC$400,MATCH(1,($A10='Offer Statistics'!$BS$2:$BS$400)*($AB$2='Offer Statistics'!$BT$2:$BT$400),0)),"/")</f>
        <v>45</v>
      </c>
      <c r="AE10" s="64" cm="1">
        <f t="array" ref="AE10">IFERROR(INDEX('Offer Statistics'!CD$2:CD$400,MATCH(1,($A10='Offer Statistics'!$BS$2:$BS$400)*($AB$2='Offer Statistics'!$BT$2:$BT$400),0)),"/")</f>
        <v>0</v>
      </c>
      <c r="AF10" s="64" cm="1">
        <f t="array" ref="AF10">IFERROR(INDEX('Offer Statistics'!CE$2:CE$400,MATCH(1,($A10='Offer Statistics'!$BS$2:$BS$400)*($AB$2='Offer Statistics'!$BT$2:$BT$400),0)),"/")</f>
        <v>0</v>
      </c>
      <c r="AG10" s="64" cm="1">
        <f t="array" ref="AG10">IFERROR(INDEX('Offer Statistics'!CF$2:CF$400,MATCH(1,($A10='Offer Statistics'!$BS$2:$BS$400)*($AB$2='Offer Statistics'!$BT$2:$BT$400),0)),"/")</f>
        <v>0</v>
      </c>
      <c r="AH10" s="64" cm="1">
        <f t="array" ref="AH10">IFERROR(INDEX('Offer Statistics'!CG$2:CG$400,MATCH(1,($A10='Offer Statistics'!$BS$2:$BS$400)*($AB$2='Offer Statistics'!$BT$2:$BT$400),0)),"/")</f>
        <v>0</v>
      </c>
      <c r="AI10" s="511"/>
      <c r="AJ10" s="36" cm="1">
        <f t="array" ref="AJ10">IFERROR(INDEX('Offer Statistics'!BZ$2:BZ$400,MATCH(1,($A10='Offer Statistics'!$BS$2:$BS$400)*($AB$2='Offer Statistics'!$BT$2:$BT$400),0)),"/")</f>
        <v>1078</v>
      </c>
      <c r="AK10" s="64" cm="1">
        <f t="array" ref="AK10">IFERROR(INDEX('Offer Statistics'!BU$2:BU$400,MATCH(1,($A10='Offer Statistics'!$BS$2:$BS$400)*($AB$2='Offer Statistics'!$BT$2:$BT$400),0)),"/")</f>
        <v>141</v>
      </c>
      <c r="AL10" s="64" cm="1">
        <f t="array" ref="AL10">IFERROR(INDEX('Offer Statistics'!BV$2:BV$400,MATCH(1,($A10='Offer Statistics'!$BS$2:$BS$400)*($AB$2='Offer Statistics'!$BT$2:$BT$400),0)),"/")</f>
        <v>103</v>
      </c>
      <c r="AM10" s="64" cm="1">
        <f t="array" ref="AM10">IFERROR(INDEX('Offer Statistics'!BW$2:BW$400,MATCH(1,($A10='Offer Statistics'!$BS$2:$BS$400)*($AB$2='Offer Statistics'!$BT$2:$BT$400),0)),"/")</f>
        <v>211</v>
      </c>
      <c r="AN10" s="64" cm="1">
        <f t="array" ref="AN10">IFERROR(INDEX('Offer Statistics'!BX$2:BX$400,MATCH(1,($A10='Offer Statistics'!$BS$2:$BS$400)*($AB$2='Offer Statistics'!$BT$2:$BT$400),0)),"/")</f>
        <v>323</v>
      </c>
      <c r="AO10" s="64" cm="1">
        <f t="array" ref="AO10">IFERROR(INDEX('Offer Statistics'!BY$2:BY$400,MATCH(1,($A10='Offer Statistics'!$BS$2:$BS$400)*($AB$2='Offer Statistics'!$BT$2:$BT$400),0)),"/")</f>
        <v>300</v>
      </c>
      <c r="AQ10" s="15" t="str">
        <f t="shared" si="1"/>
        <v>JS5312</v>
      </c>
    </row>
    <row r="11" spans="1:43" s="10" customFormat="1" ht="18" customHeight="1">
      <c r="A11" s="4" t="str">
        <f>'Reference Score Calculation'!A209</f>
        <v>JS5313</v>
      </c>
      <c r="B11" s="4" t="str">
        <f>'Reference Score Calculation'!C209</f>
        <v>商學院</v>
      </c>
      <c r="C11" s="4" t="str">
        <f>'Reference Score Calculation'!D209</f>
        <v>工商管理學士（環球商業管理）</v>
      </c>
      <c r="D11" s="4" t="str">
        <f>'Reference Score Calculation'!R209</f>
        <v>GBUS</v>
      </c>
      <c r="E11" s="392" t="str">
        <f>'Reference Score Calculation'!AB209</f>
        <v>英數Best3</v>
      </c>
      <c r="F11" s="36" t="str">
        <f>'Reference Score Calculation'!E209</f>
        <v>英數Best4</v>
      </c>
      <c r="G11" s="6">
        <f>'Reference Score Calculation'!H209</f>
        <v>59</v>
      </c>
      <c r="H11" s="6">
        <f>'Reference Score Calculation'!I209</f>
        <v>56</v>
      </c>
      <c r="I11" s="45">
        <f>計分版!J232</f>
        <v>4.0000000000000002E-9</v>
      </c>
      <c r="J11" s="174">
        <f>IFERROR(IF(J$1="差距(Median)",I11-G11,IF(J$1="差距(UQ)",I11-#REF!,IF(J$1="差距(LQ)",I11-H11))),"/")</f>
        <v>-58.999999996</v>
      </c>
      <c r="K11" s="175">
        <f>IFERROR(IF(J$1="差距(Median)",(I11-G11)/I11,IF(J$1="差距(UQ)",(I11-#REF!)/I11,IF(J$1="差距(LQ)",(I11-H11)/I11))),"/")</f>
        <v>-14749999998.999998</v>
      </c>
      <c r="L11" s="36">
        <f>'Reference Score Calculation'!T209</f>
        <v>26</v>
      </c>
      <c r="M11" s="86">
        <f>入學要求!Z218</f>
        <v>0</v>
      </c>
      <c r="N11" s="516"/>
      <c r="O11" s="172">
        <f>入學要求!L218</f>
        <v>3</v>
      </c>
      <c r="P11" s="172">
        <f>入學要求!M218</f>
        <v>4</v>
      </c>
      <c r="Q11" s="172">
        <f>入學要求!N218</f>
        <v>3</v>
      </c>
      <c r="R11" s="172">
        <f>入學要求!O218</f>
        <v>1</v>
      </c>
      <c r="S11" s="172">
        <f>入學要求!P218</f>
        <v>3</v>
      </c>
      <c r="T11" s="172">
        <f>入學要求!Q218</f>
        <v>3</v>
      </c>
      <c r="U11" s="256">
        <f>入學要求!S218</f>
        <v>0</v>
      </c>
      <c r="V11" s="256">
        <f>入學要求!T218</f>
        <v>0</v>
      </c>
      <c r="W11" s="256">
        <f>入學要求!U218</f>
        <v>0</v>
      </c>
      <c r="X11" s="256">
        <f>入學要求!V218</f>
        <v>0</v>
      </c>
      <c r="Y11" s="256">
        <f>入學要求!W218</f>
        <v>0</v>
      </c>
      <c r="Z11" s="256">
        <f>入學要求!X218</f>
        <v>0</v>
      </c>
      <c r="AA11" s="36">
        <f t="shared" si="0"/>
        <v>3.95</v>
      </c>
      <c r="AB11" s="510"/>
      <c r="AC11" s="36" cm="1">
        <f t="array" ref="AC11">IFERROR(INDEX('Offer Statistics'!CH$2:CH$400,MATCH(1,($A11='Offer Statistics'!$BS$2:$BS$400)*($AB$2='Offer Statistics'!$BT$2:$BT$400),0)),"/")</f>
        <v>20</v>
      </c>
      <c r="AD11" s="64" cm="1">
        <f t="array" ref="AD11">IFERROR(INDEX('Offer Statistics'!CC$2:CC$400,MATCH(1,($A11='Offer Statistics'!$BS$2:$BS$400)*($AB$2='Offer Statistics'!$BT$2:$BT$400),0)),"/")</f>
        <v>20</v>
      </c>
      <c r="AE11" s="64" cm="1">
        <f t="array" ref="AE11">IFERROR(INDEX('Offer Statistics'!CD$2:CD$400,MATCH(1,($A11='Offer Statistics'!$BS$2:$BS$400)*($AB$2='Offer Statistics'!$BT$2:$BT$400),0)),"/")</f>
        <v>0</v>
      </c>
      <c r="AF11" s="64" cm="1">
        <f t="array" ref="AF11">IFERROR(INDEX('Offer Statistics'!CE$2:CE$400,MATCH(1,($A11='Offer Statistics'!$BS$2:$BS$400)*($AB$2='Offer Statistics'!$BT$2:$BT$400),0)),"/")</f>
        <v>0</v>
      </c>
      <c r="AG11" s="64" cm="1">
        <f t="array" ref="AG11">IFERROR(INDEX('Offer Statistics'!CF$2:CF$400,MATCH(1,($A11='Offer Statistics'!$BS$2:$BS$400)*($AB$2='Offer Statistics'!$BT$2:$BT$400),0)),"/")</f>
        <v>0</v>
      </c>
      <c r="AH11" s="64" cm="1">
        <f t="array" ref="AH11">IFERROR(INDEX('Offer Statistics'!CG$2:CG$400,MATCH(1,($A11='Offer Statistics'!$BS$2:$BS$400)*($AB$2='Offer Statistics'!$BT$2:$BT$400),0)),"/")</f>
        <v>0</v>
      </c>
      <c r="AI11" s="511"/>
      <c r="AJ11" s="36" cm="1">
        <f t="array" ref="AJ11">IFERROR(INDEX('Offer Statistics'!BZ$2:BZ$400,MATCH(1,($A11='Offer Statistics'!$BS$2:$BS$400)*($AB$2='Offer Statistics'!$BT$2:$BT$400),0)),"/")</f>
        <v>647</v>
      </c>
      <c r="AK11" s="64" cm="1">
        <f t="array" ref="AK11">IFERROR(INDEX('Offer Statistics'!BU$2:BU$400,MATCH(1,($A11='Offer Statistics'!$BS$2:$BS$400)*($AB$2='Offer Statistics'!$BT$2:$BT$400),0)),"/")</f>
        <v>79</v>
      </c>
      <c r="AL11" s="64" cm="1">
        <f t="array" ref="AL11">IFERROR(INDEX('Offer Statistics'!BV$2:BV$400,MATCH(1,($A11='Offer Statistics'!$BS$2:$BS$400)*($AB$2='Offer Statistics'!$BT$2:$BT$400),0)),"/")</f>
        <v>69</v>
      </c>
      <c r="AM11" s="64" cm="1">
        <f t="array" ref="AM11">IFERROR(INDEX('Offer Statistics'!BW$2:BW$400,MATCH(1,($A11='Offer Statistics'!$BS$2:$BS$400)*($AB$2='Offer Statistics'!$BT$2:$BT$400),0)),"/")</f>
        <v>124</v>
      </c>
      <c r="AN11" s="64" cm="1">
        <f t="array" ref="AN11">IFERROR(INDEX('Offer Statistics'!BX$2:BX$400,MATCH(1,($A11='Offer Statistics'!$BS$2:$BS$400)*($AB$2='Offer Statistics'!$BT$2:$BT$400),0)),"/")</f>
        <v>177</v>
      </c>
      <c r="AO11" s="64" cm="1">
        <f t="array" ref="AO11">IFERROR(INDEX('Offer Statistics'!BY$2:BY$400,MATCH(1,($A11='Offer Statistics'!$BS$2:$BS$400)*($AB$2='Offer Statistics'!$BT$2:$BT$400),0)),"/")</f>
        <v>198</v>
      </c>
      <c r="AP11" s="4"/>
      <c r="AQ11" s="15" t="str">
        <f t="shared" si="1"/>
        <v>JS5313</v>
      </c>
    </row>
    <row r="12" spans="1:43" ht="18" customHeight="1">
      <c r="A12" s="4" t="str">
        <f>'Reference Score Calculation'!A210</f>
        <v>JS5314</v>
      </c>
      <c r="B12" s="4" t="str">
        <f>'Reference Score Calculation'!C210</f>
        <v>商學院</v>
      </c>
      <c r="C12" s="4" t="str">
        <f>'Reference Score Calculation'!D210</f>
        <v>工商管理學士（資訊系統學）</v>
      </c>
      <c r="D12" s="4" t="str">
        <f>'Reference Score Calculation'!R210</f>
        <v>IS</v>
      </c>
      <c r="E12" s="392" t="str">
        <f>'Reference Score Calculation'!AB210</f>
        <v>英數Best3</v>
      </c>
      <c r="F12" s="36" t="str">
        <f>'Reference Score Calculation'!E210</f>
        <v>英數Best4</v>
      </c>
      <c r="G12" s="6">
        <f>'Reference Score Calculation'!H210</f>
        <v>38.5</v>
      </c>
      <c r="H12" s="6">
        <f>'Reference Score Calculation'!I210</f>
        <v>37</v>
      </c>
      <c r="I12" s="45">
        <f>計分版!J233</f>
        <v>4.0000000000000002E-9</v>
      </c>
      <c r="J12" s="174">
        <f>IFERROR(IF(J$1="差距(Median)",I12-G12,IF(J$1="差距(UQ)",I12-#REF!,IF(J$1="差距(LQ)",I12-H12))),"/")</f>
        <v>-38.499999996</v>
      </c>
      <c r="K12" s="175">
        <f>IFERROR(IF(J$1="差距(Median)",(I12-G12)/I12,IF(J$1="差距(UQ)",(I12-#REF!)/I12,IF(J$1="差距(LQ)",(I12-H12)/I12))),"/")</f>
        <v>-9624999999</v>
      </c>
      <c r="L12" s="511" t="str">
        <f>'Reference Score Calculation'!T210</f>
        <v>125*</v>
      </c>
      <c r="M12" s="86">
        <f>入學要求!Z219</f>
        <v>0</v>
      </c>
      <c r="N12" s="516"/>
      <c r="O12" s="172">
        <f>入學要求!L219</f>
        <v>3</v>
      </c>
      <c r="P12" s="172">
        <f>入學要求!M219</f>
        <v>4</v>
      </c>
      <c r="Q12" s="172">
        <f>入學要求!N219</f>
        <v>3</v>
      </c>
      <c r="R12" s="172">
        <f>入學要求!O219</f>
        <v>1</v>
      </c>
      <c r="S12" s="172">
        <f>入學要求!P219</f>
        <v>3</v>
      </c>
      <c r="T12" s="172">
        <f>入學要求!Q219</f>
        <v>3</v>
      </c>
      <c r="U12" s="256">
        <f>入學要求!S219</f>
        <v>0</v>
      </c>
      <c r="V12" s="256">
        <f>入學要求!T219</f>
        <v>0</v>
      </c>
      <c r="W12" s="256">
        <f>入學要求!U219</f>
        <v>0</v>
      </c>
      <c r="X12" s="256">
        <f>入學要求!V219</f>
        <v>0</v>
      </c>
      <c r="Y12" s="256">
        <f>入學要求!W219</f>
        <v>0</v>
      </c>
      <c r="Z12" s="256">
        <f>入學要求!X219</f>
        <v>0</v>
      </c>
      <c r="AA12" s="36">
        <f t="shared" si="0"/>
        <v>2.42</v>
      </c>
      <c r="AB12" s="510"/>
      <c r="AC12" s="36" cm="1">
        <f t="array" ref="AC12">IFERROR(INDEX('Offer Statistics'!CH$2:CH$400,MATCH(1,($A12='Offer Statistics'!$BS$2:$BS$400)*($AB$2='Offer Statistics'!$BT$2:$BT$400),0)),"/")</f>
        <v>45</v>
      </c>
      <c r="AD12" s="64" cm="1">
        <f t="array" ref="AD12">IFERROR(INDEX('Offer Statistics'!CC$2:CC$400,MATCH(1,($A12='Offer Statistics'!$BS$2:$BS$400)*($AB$2='Offer Statistics'!$BT$2:$BT$400),0)),"/")</f>
        <v>45</v>
      </c>
      <c r="AE12" s="64" cm="1">
        <f t="array" ref="AE12">IFERROR(INDEX('Offer Statistics'!CD$2:CD$400,MATCH(1,($A12='Offer Statistics'!$BS$2:$BS$400)*($AB$2='Offer Statistics'!$BT$2:$BT$400),0)),"/")</f>
        <v>0</v>
      </c>
      <c r="AF12" s="64" cm="1">
        <f t="array" ref="AF12">IFERROR(INDEX('Offer Statistics'!CE$2:CE$400,MATCH(1,($A12='Offer Statistics'!$BS$2:$BS$400)*($AB$2='Offer Statistics'!$BT$2:$BT$400),0)),"/")</f>
        <v>0</v>
      </c>
      <c r="AG12" s="64" cm="1">
        <f t="array" ref="AG12">IFERROR(INDEX('Offer Statistics'!CF$2:CF$400,MATCH(1,($A12='Offer Statistics'!$BS$2:$BS$400)*($AB$2='Offer Statistics'!$BT$2:$BT$400),0)),"/")</f>
        <v>0</v>
      </c>
      <c r="AH12" s="64" cm="1">
        <f t="array" ref="AH12">IFERROR(INDEX('Offer Statistics'!CG$2:CG$400,MATCH(1,($A12='Offer Statistics'!$BS$2:$BS$400)*($AB$2='Offer Statistics'!$BT$2:$BT$400),0)),"/")</f>
        <v>0</v>
      </c>
      <c r="AI12" s="511"/>
      <c r="AJ12" s="36" cm="1">
        <f t="array" ref="AJ12">IFERROR(INDEX('Offer Statistics'!BZ$2:BZ$400,MATCH(1,($A12='Offer Statistics'!$BS$2:$BS$400)*($AB$2='Offer Statistics'!$BT$2:$BT$400),0)),"/")</f>
        <v>756</v>
      </c>
      <c r="AK12" s="64" cm="1">
        <f t="array" ref="AK12">IFERROR(INDEX('Offer Statistics'!BU$2:BU$400,MATCH(1,($A12='Offer Statistics'!$BS$2:$BS$400)*($AB$2='Offer Statistics'!$BT$2:$BT$400),0)),"/")</f>
        <v>109</v>
      </c>
      <c r="AL12" s="64" cm="1">
        <f t="array" ref="AL12">IFERROR(INDEX('Offer Statistics'!BV$2:BV$400,MATCH(1,($A12='Offer Statistics'!$BS$2:$BS$400)*($AB$2='Offer Statistics'!$BT$2:$BT$400),0)),"/")</f>
        <v>64</v>
      </c>
      <c r="AM12" s="64" cm="1">
        <f t="array" ref="AM12">IFERROR(INDEX('Offer Statistics'!BW$2:BW$400,MATCH(1,($A12='Offer Statistics'!$BS$2:$BS$400)*($AB$2='Offer Statistics'!$BT$2:$BT$400),0)),"/")</f>
        <v>148</v>
      </c>
      <c r="AN12" s="64" cm="1">
        <f t="array" ref="AN12">IFERROR(INDEX('Offer Statistics'!BX$2:BX$400,MATCH(1,($A12='Offer Statistics'!$BS$2:$BS$400)*($AB$2='Offer Statistics'!$BT$2:$BT$400),0)),"/")</f>
        <v>238</v>
      </c>
      <c r="AO12" s="64" cm="1">
        <f t="array" ref="AO12">IFERROR(INDEX('Offer Statistics'!BY$2:BY$400,MATCH(1,($A12='Offer Statistics'!$BS$2:$BS$400)*($AB$2='Offer Statistics'!$BT$2:$BT$400),0)),"/")</f>
        <v>197</v>
      </c>
      <c r="AQ12" s="15" t="str">
        <f t="shared" si="1"/>
        <v>JS5314</v>
      </c>
    </row>
    <row r="13" spans="1:43" s="10" customFormat="1" ht="18" customHeight="1">
      <c r="A13" s="4" t="str">
        <f>'Reference Score Calculation'!A211</f>
        <v>JS5315</v>
      </c>
      <c r="B13" s="4" t="str">
        <f>'Reference Score Calculation'!C211</f>
        <v>商學院</v>
      </c>
      <c r="C13" s="4" t="str">
        <f>'Reference Score Calculation'!D211</f>
        <v>工商管理學士（管理學）</v>
      </c>
      <c r="D13" s="4" t="str">
        <f>'Reference Score Calculation'!R211</f>
        <v>MGMT</v>
      </c>
      <c r="E13" s="392" t="str">
        <f>'Reference Score Calculation'!AB211</f>
        <v>英數Best3</v>
      </c>
      <c r="F13" s="36" t="str">
        <f>'Reference Score Calculation'!E211</f>
        <v>英數Best4</v>
      </c>
      <c r="G13" s="6">
        <f>'Reference Score Calculation'!H211</f>
        <v>35.5</v>
      </c>
      <c r="H13" s="6">
        <f>'Reference Score Calculation'!I211</f>
        <v>35.5</v>
      </c>
      <c r="I13" s="45">
        <f>計分版!J234</f>
        <v>4.0000000000000002E-9</v>
      </c>
      <c r="J13" s="174">
        <f>IFERROR(IF(J$1="差距(Median)",I13-G13,IF(J$1="差距(UQ)",I13-#REF!,IF(J$1="差距(LQ)",I13-H13))),"/")</f>
        <v>-35.499999996</v>
      </c>
      <c r="K13" s="175">
        <f>IFERROR(IF(J$1="差距(Median)",(I13-G13)/I13,IF(J$1="差距(UQ)",(I13-#REF!)/I13,IF(J$1="差距(LQ)",(I13-H13)/I13))),"/")</f>
        <v>-8874999999</v>
      </c>
      <c r="L13" s="511"/>
      <c r="M13" s="86">
        <f>入學要求!Z220</f>
        <v>0</v>
      </c>
      <c r="N13" s="516"/>
      <c r="O13" s="172">
        <f>入學要求!L220</f>
        <v>3</v>
      </c>
      <c r="P13" s="172">
        <f>入學要求!M220</f>
        <v>4</v>
      </c>
      <c r="Q13" s="172">
        <f>入學要求!N220</f>
        <v>3</v>
      </c>
      <c r="R13" s="172">
        <f>入學要求!O220</f>
        <v>1</v>
      </c>
      <c r="S13" s="172">
        <f>入學要求!P220</f>
        <v>3</v>
      </c>
      <c r="T13" s="172">
        <f>入學要求!Q220</f>
        <v>3</v>
      </c>
      <c r="U13" s="256">
        <f>入學要求!S220</f>
        <v>0</v>
      </c>
      <c r="V13" s="256">
        <f>入學要求!T220</f>
        <v>0</v>
      </c>
      <c r="W13" s="256">
        <f>入學要求!U220</f>
        <v>0</v>
      </c>
      <c r="X13" s="256">
        <f>入學要求!V220</f>
        <v>0</v>
      </c>
      <c r="Y13" s="256">
        <f>入學要求!W220</f>
        <v>0</v>
      </c>
      <c r="Z13" s="256">
        <f>入學要求!X220</f>
        <v>0</v>
      </c>
      <c r="AA13" s="36">
        <f t="shared" si="0"/>
        <v>8.57</v>
      </c>
      <c r="AB13" s="510"/>
      <c r="AC13" s="36" cm="1">
        <f t="array" ref="AC13">IFERROR(INDEX('Offer Statistics'!CH$2:CH$400,MATCH(1,($A13='Offer Statistics'!$BS$2:$BS$400)*($AB$2='Offer Statistics'!$BT$2:$BT$400),0)),"/")</f>
        <v>7</v>
      </c>
      <c r="AD13" s="64" cm="1">
        <f t="array" ref="AD13">IFERROR(INDEX('Offer Statistics'!CC$2:CC$400,MATCH(1,($A13='Offer Statistics'!$BS$2:$BS$400)*($AB$2='Offer Statistics'!$BT$2:$BT$400),0)),"/")</f>
        <v>7</v>
      </c>
      <c r="AE13" s="64" cm="1">
        <f t="array" ref="AE13">IFERROR(INDEX('Offer Statistics'!CD$2:CD$400,MATCH(1,($A13='Offer Statistics'!$BS$2:$BS$400)*($AB$2='Offer Statistics'!$BT$2:$BT$400),0)),"/")</f>
        <v>0</v>
      </c>
      <c r="AF13" s="64" cm="1">
        <f t="array" ref="AF13">IFERROR(INDEX('Offer Statistics'!CE$2:CE$400,MATCH(1,($A13='Offer Statistics'!$BS$2:$BS$400)*($AB$2='Offer Statistics'!$BT$2:$BT$400),0)),"/")</f>
        <v>0</v>
      </c>
      <c r="AG13" s="64" cm="1">
        <f t="array" ref="AG13">IFERROR(INDEX('Offer Statistics'!CF$2:CF$400,MATCH(1,($A13='Offer Statistics'!$BS$2:$BS$400)*($AB$2='Offer Statistics'!$BT$2:$BT$400),0)),"/")</f>
        <v>0</v>
      </c>
      <c r="AH13" s="64" cm="1">
        <f t="array" ref="AH13">IFERROR(INDEX('Offer Statistics'!CG$2:CG$400,MATCH(1,($A13='Offer Statistics'!$BS$2:$BS$400)*($AB$2='Offer Statistics'!$BT$2:$BT$400),0)),"/")</f>
        <v>0</v>
      </c>
      <c r="AI13" s="511"/>
      <c r="AJ13" s="36" cm="1">
        <f t="array" ref="AJ13">IFERROR(INDEX('Offer Statistics'!BZ$2:BZ$400,MATCH(1,($A13='Offer Statistics'!$BS$2:$BS$400)*($AB$2='Offer Statistics'!$BT$2:$BT$400),0)),"/")</f>
        <v>1451</v>
      </c>
      <c r="AK13" s="64" cm="1">
        <f t="array" ref="AK13">IFERROR(INDEX('Offer Statistics'!BU$2:BU$400,MATCH(1,($A13='Offer Statistics'!$BS$2:$BS$400)*($AB$2='Offer Statistics'!$BT$2:$BT$400),0)),"/")</f>
        <v>60</v>
      </c>
      <c r="AL13" s="64" cm="1">
        <f t="array" ref="AL13">IFERROR(INDEX('Offer Statistics'!BV$2:BV$400,MATCH(1,($A13='Offer Statistics'!$BS$2:$BS$400)*($AB$2='Offer Statistics'!$BT$2:$BT$400),0)),"/")</f>
        <v>171</v>
      </c>
      <c r="AM13" s="64" cm="1">
        <f t="array" ref="AM13">IFERROR(INDEX('Offer Statistics'!BW$2:BW$400,MATCH(1,($A13='Offer Statistics'!$BS$2:$BS$400)*($AB$2='Offer Statistics'!$BT$2:$BT$400),0)),"/")</f>
        <v>329</v>
      </c>
      <c r="AN13" s="64" cm="1">
        <f t="array" ref="AN13">IFERROR(INDEX('Offer Statistics'!BX$2:BX$400,MATCH(1,($A13='Offer Statistics'!$BS$2:$BS$400)*($AB$2='Offer Statistics'!$BT$2:$BT$400),0)),"/")</f>
        <v>466</v>
      </c>
      <c r="AO13" s="64" cm="1">
        <f t="array" ref="AO13">IFERROR(INDEX('Offer Statistics'!BY$2:BY$400,MATCH(1,($A13='Offer Statistics'!$BS$2:$BS$400)*($AB$2='Offer Statistics'!$BT$2:$BT$400),0)),"/")</f>
        <v>425</v>
      </c>
      <c r="AP13" s="4"/>
      <c r="AQ13" s="15" t="str">
        <f t="shared" si="1"/>
        <v>JS5315</v>
      </c>
    </row>
    <row r="14" spans="1:43" ht="18" customHeight="1">
      <c r="A14" s="4" t="str">
        <f>'Reference Score Calculation'!A212</f>
        <v>JS5316</v>
      </c>
      <c r="B14" s="4" t="str">
        <f>'Reference Score Calculation'!C212</f>
        <v>商學院</v>
      </c>
      <c r="C14" s="4" t="str">
        <f>'Reference Score Calculation'!D212</f>
        <v>工商管理學士（市場學）</v>
      </c>
      <c r="D14" s="4" t="str">
        <f>'Reference Score Calculation'!R212</f>
        <v>MARK</v>
      </c>
      <c r="E14" s="392" t="str">
        <f>'Reference Score Calculation'!AB212</f>
        <v>英數Best3</v>
      </c>
      <c r="F14" s="36" t="str">
        <f>'Reference Score Calculation'!E212</f>
        <v>英數Best4</v>
      </c>
      <c r="G14" s="6">
        <f>'Reference Score Calculation'!H212</f>
        <v>38</v>
      </c>
      <c r="H14" s="6">
        <f>'Reference Score Calculation'!I212</f>
        <v>36.130000000000003</v>
      </c>
      <c r="I14" s="45">
        <f>計分版!J235</f>
        <v>4.0000000000000002E-9</v>
      </c>
      <c r="J14" s="174">
        <f>IFERROR(IF(J$1="差距(Median)",I14-G14,IF(J$1="差距(UQ)",I14-#REF!,IF(J$1="差距(LQ)",I14-H14))),"/")</f>
        <v>-37.999999996</v>
      </c>
      <c r="K14" s="175">
        <f>IFERROR(IF(J$1="差距(Median)",(I14-G14)/I14,IF(J$1="差距(UQ)",(I14-#REF!)/I14,IF(J$1="差距(LQ)",(I14-H14)/I14))),"/")</f>
        <v>-9499999999</v>
      </c>
      <c r="L14" s="511"/>
      <c r="M14" s="86">
        <f>入學要求!Z221</f>
        <v>0</v>
      </c>
      <c r="N14" s="516"/>
      <c r="O14" s="172">
        <f>入學要求!L221</f>
        <v>3</v>
      </c>
      <c r="P14" s="172">
        <f>入學要求!M221</f>
        <v>4</v>
      </c>
      <c r="Q14" s="172">
        <f>入學要求!N221</f>
        <v>3</v>
      </c>
      <c r="R14" s="172">
        <f>入學要求!O221</f>
        <v>1</v>
      </c>
      <c r="S14" s="172">
        <f>入學要求!P221</f>
        <v>3</v>
      </c>
      <c r="T14" s="172">
        <f>入學要求!Q221</f>
        <v>3</v>
      </c>
      <c r="U14" s="256">
        <f>入學要求!S221</f>
        <v>0</v>
      </c>
      <c r="V14" s="256">
        <f>入學要求!T221</f>
        <v>0</v>
      </c>
      <c r="W14" s="256">
        <f>入學要求!U221</f>
        <v>0</v>
      </c>
      <c r="X14" s="256">
        <f>入學要求!V221</f>
        <v>0</v>
      </c>
      <c r="Y14" s="256">
        <f>入學要求!W221</f>
        <v>0</v>
      </c>
      <c r="Z14" s="256">
        <f>入學要求!X221</f>
        <v>0</v>
      </c>
      <c r="AA14" s="36">
        <f t="shared" si="0"/>
        <v>6</v>
      </c>
      <c r="AB14" s="510"/>
      <c r="AC14" s="36" cm="1">
        <f t="array" ref="AC14">IFERROR(INDEX('Offer Statistics'!CH$2:CH$400,MATCH(1,($A14='Offer Statistics'!$BS$2:$BS$400)*($AB$2='Offer Statistics'!$BT$2:$BT$400),0)),"/")</f>
        <v>20</v>
      </c>
      <c r="AD14" s="64" cm="1">
        <f t="array" ref="AD14">IFERROR(INDEX('Offer Statistics'!CC$2:CC$400,MATCH(1,($A14='Offer Statistics'!$BS$2:$BS$400)*($AB$2='Offer Statistics'!$BT$2:$BT$400),0)),"/")</f>
        <v>20</v>
      </c>
      <c r="AE14" s="64" cm="1">
        <f t="array" ref="AE14">IFERROR(INDEX('Offer Statistics'!CD$2:CD$400,MATCH(1,($A14='Offer Statistics'!$BS$2:$BS$400)*($AB$2='Offer Statistics'!$BT$2:$BT$400),0)),"/")</f>
        <v>0</v>
      </c>
      <c r="AF14" s="64" cm="1">
        <f t="array" ref="AF14">IFERROR(INDEX('Offer Statistics'!CE$2:CE$400,MATCH(1,($A14='Offer Statistics'!$BS$2:$BS$400)*($AB$2='Offer Statistics'!$BT$2:$BT$400),0)),"/")</f>
        <v>0</v>
      </c>
      <c r="AG14" s="64" cm="1">
        <f t="array" ref="AG14">IFERROR(INDEX('Offer Statistics'!CF$2:CF$400,MATCH(1,($A14='Offer Statistics'!$BS$2:$BS$400)*($AB$2='Offer Statistics'!$BT$2:$BT$400),0)),"/")</f>
        <v>0</v>
      </c>
      <c r="AH14" s="64" cm="1">
        <f t="array" ref="AH14">IFERROR(INDEX('Offer Statistics'!CG$2:CG$400,MATCH(1,($A14='Offer Statistics'!$BS$2:$BS$400)*($AB$2='Offer Statistics'!$BT$2:$BT$400),0)),"/")</f>
        <v>0</v>
      </c>
      <c r="AI14" s="511"/>
      <c r="AJ14" s="36" cm="1">
        <f t="array" ref="AJ14">IFERROR(INDEX('Offer Statistics'!BZ$2:BZ$400,MATCH(1,($A14='Offer Statistics'!$BS$2:$BS$400)*($AB$2='Offer Statistics'!$BT$2:$BT$400),0)),"/")</f>
        <v>1706</v>
      </c>
      <c r="AK14" s="64" cm="1">
        <f t="array" ref="AK14">IFERROR(INDEX('Offer Statistics'!BU$2:BU$400,MATCH(1,($A14='Offer Statistics'!$BS$2:$BS$400)*($AB$2='Offer Statistics'!$BT$2:$BT$400),0)),"/")</f>
        <v>120</v>
      </c>
      <c r="AL14" s="64" cm="1">
        <f t="array" ref="AL14">IFERROR(INDEX('Offer Statistics'!BV$2:BV$400,MATCH(1,($A14='Offer Statistics'!$BS$2:$BS$400)*($AB$2='Offer Statistics'!$BT$2:$BT$400),0)),"/")</f>
        <v>179</v>
      </c>
      <c r="AM14" s="64" cm="1">
        <f t="array" ref="AM14">IFERROR(INDEX('Offer Statistics'!BW$2:BW$400,MATCH(1,($A14='Offer Statistics'!$BS$2:$BS$400)*($AB$2='Offer Statistics'!$BT$2:$BT$400),0)),"/")</f>
        <v>369</v>
      </c>
      <c r="AN14" s="64" cm="1">
        <f t="array" ref="AN14">IFERROR(INDEX('Offer Statistics'!BX$2:BX$400,MATCH(1,($A14='Offer Statistics'!$BS$2:$BS$400)*($AB$2='Offer Statistics'!$BT$2:$BT$400),0)),"/")</f>
        <v>549</v>
      </c>
      <c r="AO14" s="64" cm="1">
        <f t="array" ref="AO14">IFERROR(INDEX('Offer Statistics'!BY$2:BY$400,MATCH(1,($A14='Offer Statistics'!$BS$2:$BS$400)*($AB$2='Offer Statistics'!$BT$2:$BT$400),0)),"/")</f>
        <v>489</v>
      </c>
      <c r="AQ14" s="15" t="str">
        <f t="shared" si="1"/>
        <v>JS5316</v>
      </c>
    </row>
    <row r="15" spans="1:43" s="10" customFormat="1" ht="18" customHeight="1">
      <c r="A15" s="4" t="str">
        <f>'Reference Score Calculation'!A213</f>
        <v>JS5317</v>
      </c>
      <c r="B15" s="4" t="str">
        <f>'Reference Score Calculation'!C213</f>
        <v>商學院</v>
      </c>
      <c r="C15" s="4" t="str">
        <f>'Reference Score Calculation'!D213</f>
        <v>工商管理學士（營運管理學）</v>
      </c>
      <c r="D15" s="4" t="str">
        <f>'Reference Score Calculation'!R213</f>
        <v>OM</v>
      </c>
      <c r="E15" s="392" t="str">
        <f>'Reference Score Calculation'!AB213</f>
        <v>英數Best3</v>
      </c>
      <c r="F15" s="36" t="str">
        <f>'Reference Score Calculation'!E213</f>
        <v>英數Best4</v>
      </c>
      <c r="G15" s="6" t="str">
        <f>'Reference Score Calculation'!H213</f>
        <v>/</v>
      </c>
      <c r="H15" s="6" t="str">
        <f>'Reference Score Calculation'!I213</f>
        <v>/</v>
      </c>
      <c r="I15" s="45">
        <f>計分版!J236</f>
        <v>4.0000000000000002E-9</v>
      </c>
      <c r="J15" s="271" t="str">
        <f>IFERROR(IF(J$1="差距(Median)",I15-G15,IF(J$1="差距(UQ)",I15-#REF!,IF(J$1="差距(LQ)",I15-H15))),"/")</f>
        <v>/</v>
      </c>
      <c r="K15" s="272" t="str">
        <f>IFERROR(IF(J$1="差距(Median)",(I15-G15)/I15,IF(J$1="差距(UQ)",(I15-#REF!)/I15,IF(J$1="差距(LQ)",(I15-H15)/I15))),"/")</f>
        <v>/</v>
      </c>
      <c r="L15" s="511"/>
      <c r="M15" s="86">
        <f>入學要求!Z222</f>
        <v>0</v>
      </c>
      <c r="N15" s="516"/>
      <c r="O15" s="172">
        <f>入學要求!L222</f>
        <v>3</v>
      </c>
      <c r="P15" s="172">
        <f>入學要求!M222</f>
        <v>4</v>
      </c>
      <c r="Q15" s="172">
        <f>入學要求!N222</f>
        <v>3</v>
      </c>
      <c r="R15" s="172">
        <f>入學要求!O222</f>
        <v>1</v>
      </c>
      <c r="S15" s="172">
        <f>入學要求!P222</f>
        <v>3</v>
      </c>
      <c r="T15" s="172">
        <f>入學要求!Q222</f>
        <v>3</v>
      </c>
      <c r="U15" s="256">
        <f>入學要求!S222</f>
        <v>0</v>
      </c>
      <c r="V15" s="256">
        <f>入學要求!T222</f>
        <v>0</v>
      </c>
      <c r="W15" s="256">
        <f>入學要求!U222</f>
        <v>0</v>
      </c>
      <c r="X15" s="256">
        <f>入學要求!V222</f>
        <v>0</v>
      </c>
      <c r="Y15" s="256">
        <f>入學要求!W222</f>
        <v>0</v>
      </c>
      <c r="Z15" s="256">
        <f>入學要求!X222</f>
        <v>0</v>
      </c>
      <c r="AA15" s="36" t="str">
        <f>IFERROR(ROUND(AK15/AD15,2),"/")</f>
        <v>/</v>
      </c>
      <c r="AB15" s="510"/>
      <c r="AC15" s="36" cm="1">
        <f t="array" ref="AC15">IFERROR(INDEX('Offer Statistics'!CH$2:CH$400,MATCH(1,($A15='Offer Statistics'!$BS$2:$BS$400)*($AB$2='Offer Statistics'!$BT$2:$BT$400),0)),"/")</f>
        <v>0</v>
      </c>
      <c r="AD15" s="64" cm="1">
        <f t="array" ref="AD15">IFERROR(INDEX('Offer Statistics'!CC$2:CC$400,MATCH(1,($A15='Offer Statistics'!$BS$2:$BS$400)*($AB$2='Offer Statistics'!$BT$2:$BT$400),0)),"/")</f>
        <v>0</v>
      </c>
      <c r="AE15" s="64" cm="1">
        <f t="array" ref="AE15">IFERROR(INDEX('Offer Statistics'!CD$2:CD$400,MATCH(1,($A15='Offer Statistics'!$BS$2:$BS$400)*($AB$2='Offer Statistics'!$BT$2:$BT$400),0)),"/")</f>
        <v>0</v>
      </c>
      <c r="AF15" s="64" cm="1">
        <f t="array" ref="AF15">IFERROR(INDEX('Offer Statistics'!CE$2:CE$400,MATCH(1,($A15='Offer Statistics'!$BS$2:$BS$400)*($AB$2='Offer Statistics'!$BT$2:$BT$400),0)),"/")</f>
        <v>0</v>
      </c>
      <c r="AG15" s="64" cm="1">
        <f t="array" ref="AG15">IFERROR(INDEX('Offer Statistics'!CF$2:CF$400,MATCH(1,($A15='Offer Statistics'!$BS$2:$BS$400)*($AB$2='Offer Statistics'!$BT$2:$BT$400),0)),"/")</f>
        <v>0</v>
      </c>
      <c r="AH15" s="64" cm="1">
        <f t="array" ref="AH15">IFERROR(INDEX('Offer Statistics'!CG$2:CG$400,MATCH(1,($A15='Offer Statistics'!$BS$2:$BS$400)*($AB$2='Offer Statistics'!$BT$2:$BT$400),0)),"/")</f>
        <v>0</v>
      </c>
      <c r="AI15" s="511"/>
      <c r="AJ15" s="36" cm="1">
        <f t="array" ref="AJ15">IFERROR(INDEX('Offer Statistics'!BZ$2:BZ$400,MATCH(1,($A15='Offer Statistics'!$BS$2:$BS$400)*($AB$2='Offer Statistics'!$BT$2:$BT$400),0)),"/")</f>
        <v>583</v>
      </c>
      <c r="AK15" s="64" cm="1">
        <f t="array" ref="AK15">IFERROR(INDEX('Offer Statistics'!BU$2:BU$400,MATCH(1,($A15='Offer Statistics'!$BS$2:$BS$400)*($AB$2='Offer Statistics'!$BT$2:$BT$400),0)),"/")</f>
        <v>21</v>
      </c>
      <c r="AL15" s="64" cm="1">
        <f t="array" ref="AL15">IFERROR(INDEX('Offer Statistics'!BV$2:BV$400,MATCH(1,($A15='Offer Statistics'!$BS$2:$BS$400)*($AB$2='Offer Statistics'!$BT$2:$BT$400),0)),"/")</f>
        <v>42</v>
      </c>
      <c r="AM15" s="64" cm="1">
        <f t="array" ref="AM15">IFERROR(INDEX('Offer Statistics'!BW$2:BW$400,MATCH(1,($A15='Offer Statistics'!$BS$2:$BS$400)*($AB$2='Offer Statistics'!$BT$2:$BT$400),0)),"/")</f>
        <v>101</v>
      </c>
      <c r="AN15" s="64" cm="1">
        <f t="array" ref="AN15">IFERROR(INDEX('Offer Statistics'!BX$2:BX$400,MATCH(1,($A15='Offer Statistics'!$BS$2:$BS$400)*($AB$2='Offer Statistics'!$BT$2:$BT$400),0)),"/")</f>
        <v>213</v>
      </c>
      <c r="AO15" s="64" cm="1">
        <f t="array" ref="AO15">IFERROR(INDEX('Offer Statistics'!BY$2:BY$400,MATCH(1,($A15='Offer Statistics'!$BS$2:$BS$400)*($AB$2='Offer Statistics'!$BT$2:$BT$400),0)),"/")</f>
        <v>206</v>
      </c>
      <c r="AP15" s="4"/>
      <c r="AQ15" s="15" t="str">
        <f t="shared" si="1"/>
        <v>JS5317</v>
      </c>
    </row>
    <row r="16" spans="1:43" ht="18" customHeight="1">
      <c r="A16" s="4" t="str">
        <f>'Reference Score Calculation'!A214</f>
        <v>JS5318</v>
      </c>
      <c r="B16" s="4" t="str">
        <f>'Reference Score Calculation'!C214</f>
        <v>商學院</v>
      </c>
      <c r="C16" s="4" t="str">
        <f>'Reference Score Calculation'!D214</f>
        <v>工商管理學士（專業會計學）</v>
      </c>
      <c r="D16" s="4" t="str">
        <f>'Reference Score Calculation'!R214</f>
        <v>ACCT</v>
      </c>
      <c r="E16" s="392" t="str">
        <f>'Reference Score Calculation'!AB214</f>
        <v>英數Best3</v>
      </c>
      <c r="F16" s="36" t="str">
        <f>'Reference Score Calculation'!E214</f>
        <v>英數Best4</v>
      </c>
      <c r="G16" s="6">
        <f>'Reference Score Calculation'!H214</f>
        <v>37</v>
      </c>
      <c r="H16" s="6">
        <f>'Reference Score Calculation'!I214</f>
        <v>36.5</v>
      </c>
      <c r="I16" s="45">
        <f>計分版!J237</f>
        <v>4.0000000000000002E-9</v>
      </c>
      <c r="J16" s="174">
        <f>IFERROR(IF(J$1="差距(Median)",I16-G16,IF(J$1="差距(UQ)",I16-#REF!,IF(J$1="差距(LQ)",I16-H16))),"/")</f>
        <v>-36.999999996</v>
      </c>
      <c r="K16" s="175">
        <f>IFERROR(IF(J$1="差距(Median)",(I16-G16)/I16,IF(J$1="差距(UQ)",(I16-#REF!)/I16,IF(J$1="差距(LQ)",(I16-H16)/I16))),"/")</f>
        <v>-9249999999</v>
      </c>
      <c r="L16" s="36">
        <f>'Reference Score Calculation'!T214</f>
        <v>60</v>
      </c>
      <c r="M16" s="86">
        <f>入學要求!Z223</f>
        <v>0</v>
      </c>
      <c r="N16" s="516"/>
      <c r="O16" s="172">
        <f>入學要求!L223</f>
        <v>3</v>
      </c>
      <c r="P16" s="172">
        <f>入學要求!M223</f>
        <v>4</v>
      </c>
      <c r="Q16" s="172">
        <f>入學要求!N223</f>
        <v>3</v>
      </c>
      <c r="R16" s="172">
        <f>入學要求!O223</f>
        <v>1</v>
      </c>
      <c r="S16" s="172">
        <f>入學要求!P223</f>
        <v>3</v>
      </c>
      <c r="T16" s="172">
        <f>入學要求!Q223</f>
        <v>3</v>
      </c>
      <c r="U16" s="256">
        <f>入學要求!S223</f>
        <v>0</v>
      </c>
      <c r="V16" s="256">
        <f>入學要求!T223</f>
        <v>0</v>
      </c>
      <c r="W16" s="256">
        <f>入學要求!U223</f>
        <v>0</v>
      </c>
      <c r="X16" s="256">
        <f>入學要求!V223</f>
        <v>0</v>
      </c>
      <c r="Y16" s="256">
        <f>入學要求!W223</f>
        <v>0</v>
      </c>
      <c r="Z16" s="256">
        <f>入學要求!X223</f>
        <v>0</v>
      </c>
      <c r="AA16" s="36">
        <f t="shared" si="0"/>
        <v>3.57</v>
      </c>
      <c r="AB16" s="510"/>
      <c r="AC16" s="36" cm="1">
        <f t="array" ref="AC16">IFERROR(INDEX('Offer Statistics'!CH$2:CH$400,MATCH(1,($A16='Offer Statistics'!$BS$2:$BS$400)*($AB$2='Offer Statistics'!$BT$2:$BT$400),0)),"/")</f>
        <v>49</v>
      </c>
      <c r="AD16" s="64" cm="1">
        <f t="array" ref="AD16">IFERROR(INDEX('Offer Statistics'!CC$2:CC$400,MATCH(1,($A16='Offer Statistics'!$BS$2:$BS$400)*($AB$2='Offer Statistics'!$BT$2:$BT$400),0)),"/")</f>
        <v>49</v>
      </c>
      <c r="AE16" s="64" cm="1">
        <f t="array" ref="AE16">IFERROR(INDEX('Offer Statistics'!CD$2:CD$400,MATCH(1,($A16='Offer Statistics'!$BS$2:$BS$400)*($AB$2='Offer Statistics'!$BT$2:$BT$400),0)),"/")</f>
        <v>0</v>
      </c>
      <c r="AF16" s="64" cm="1">
        <f t="array" ref="AF16">IFERROR(INDEX('Offer Statistics'!CE$2:CE$400,MATCH(1,($A16='Offer Statistics'!$BS$2:$BS$400)*($AB$2='Offer Statistics'!$BT$2:$BT$400),0)),"/")</f>
        <v>0</v>
      </c>
      <c r="AG16" s="64" cm="1">
        <f t="array" ref="AG16">IFERROR(INDEX('Offer Statistics'!CF$2:CF$400,MATCH(1,($A16='Offer Statistics'!$BS$2:$BS$400)*($AB$2='Offer Statistics'!$BT$2:$BT$400),0)),"/")</f>
        <v>0</v>
      </c>
      <c r="AH16" s="64" cm="1">
        <f t="array" ref="AH16">IFERROR(INDEX('Offer Statistics'!CG$2:CG$400,MATCH(1,($A16='Offer Statistics'!$BS$2:$BS$400)*($AB$2='Offer Statistics'!$BT$2:$BT$400),0)),"/")</f>
        <v>0</v>
      </c>
      <c r="AI16" s="511"/>
      <c r="AJ16" s="36" cm="1">
        <f t="array" ref="AJ16">IFERROR(INDEX('Offer Statistics'!BZ$2:BZ$400,MATCH(1,($A16='Offer Statistics'!$BS$2:$BS$400)*($AB$2='Offer Statistics'!$BT$2:$BT$400),0)),"/")</f>
        <v>1202</v>
      </c>
      <c r="AK16" s="64" cm="1">
        <f t="array" ref="AK16">IFERROR(INDEX('Offer Statistics'!BU$2:BU$400,MATCH(1,($A16='Offer Statistics'!$BS$2:$BS$400)*($AB$2='Offer Statistics'!$BT$2:$BT$400),0)),"/")</f>
        <v>175</v>
      </c>
      <c r="AL16" s="64" cm="1">
        <f t="array" ref="AL16">IFERROR(INDEX('Offer Statistics'!BV$2:BV$400,MATCH(1,($A16='Offer Statistics'!$BS$2:$BS$400)*($AB$2='Offer Statistics'!$BT$2:$BT$400),0)),"/")</f>
        <v>153</v>
      </c>
      <c r="AM16" s="64" cm="1">
        <f t="array" ref="AM16">IFERROR(INDEX('Offer Statistics'!BW$2:BW$400,MATCH(1,($A16='Offer Statistics'!$BS$2:$BS$400)*($AB$2='Offer Statistics'!$BT$2:$BT$400),0)),"/")</f>
        <v>244</v>
      </c>
      <c r="AN16" s="64" cm="1">
        <f t="array" ref="AN16">IFERROR(INDEX('Offer Statistics'!BX$2:BX$400,MATCH(1,($A16='Offer Statistics'!$BS$2:$BS$400)*($AB$2='Offer Statistics'!$BT$2:$BT$400),0)),"/")</f>
        <v>324</v>
      </c>
      <c r="AO16" s="64" cm="1">
        <f t="array" ref="AO16">IFERROR(INDEX('Offer Statistics'!BY$2:BY$400,MATCH(1,($A16='Offer Statistics'!$BS$2:$BS$400)*($AB$2='Offer Statistics'!$BT$2:$BT$400),0)),"/")</f>
        <v>306</v>
      </c>
      <c r="AQ16" s="15" t="str">
        <f t="shared" si="1"/>
        <v>JS5318</v>
      </c>
    </row>
    <row r="17" spans="1:43" s="10" customFormat="1" ht="18" customHeight="1">
      <c r="A17" s="4" t="str">
        <f>'Reference Score Calculation'!A215</f>
        <v>JS5331</v>
      </c>
      <c r="B17" s="4" t="str">
        <f>'Reference Score Calculation'!C215</f>
        <v>商學院</v>
      </c>
      <c r="C17" s="4" t="str">
        <f>'Reference Score Calculation'!D215</f>
        <v>理學士（經濟及金融學）</v>
      </c>
      <c r="D17" s="4" t="str">
        <f>'Reference Score Calculation'!R215</f>
        <v>ECOF</v>
      </c>
      <c r="E17" s="392" t="str">
        <f>'Reference Score Calculation'!AB215</f>
        <v>英數Best3</v>
      </c>
      <c r="F17" s="36" t="str">
        <f>'Reference Score Calculation'!E215</f>
        <v>英數Best4</v>
      </c>
      <c r="G17" s="6">
        <f>'Reference Score Calculation'!H215</f>
        <v>52.75</v>
      </c>
      <c r="H17" s="6">
        <f>'Reference Score Calculation'!I215</f>
        <v>51.25</v>
      </c>
      <c r="I17" s="45">
        <f>計分版!J238</f>
        <v>3.3999999999999998E-9</v>
      </c>
      <c r="J17" s="174">
        <f>IFERROR(IF(J$1="差距(Median)",I17-G17,IF(J$1="差距(UQ)",I17-#REF!,IF(J$1="差距(LQ)",I17-H17))),"/")</f>
        <v>-52.749999996600003</v>
      </c>
      <c r="K17" s="175">
        <f>IFERROR(IF(J$1="差距(Median)",(I17-G17)/I17,IF(J$1="差距(UQ)",(I17-#REF!)/I17,IF(J$1="差距(LQ)",(I17-H17)/I17))),"/")</f>
        <v>-15514705881.352943</v>
      </c>
      <c r="L17" s="36">
        <f>'Reference Score Calculation'!T215</f>
        <v>26</v>
      </c>
      <c r="M17" s="86">
        <f>入學要求!Z224</f>
        <v>0</v>
      </c>
      <c r="N17" s="516"/>
      <c r="O17" s="172">
        <f>入學要求!L224</f>
        <v>3</v>
      </c>
      <c r="P17" s="172">
        <f>入學要求!M224</f>
        <v>4</v>
      </c>
      <c r="Q17" s="172">
        <f>入學要求!N224</f>
        <v>3</v>
      </c>
      <c r="R17" s="172">
        <f>入學要求!O224</f>
        <v>1</v>
      </c>
      <c r="S17" s="172">
        <f>入學要求!P224</f>
        <v>3</v>
      </c>
      <c r="T17" s="172">
        <f>入學要求!Q224</f>
        <v>3</v>
      </c>
      <c r="U17" s="256">
        <f>入學要求!S224</f>
        <v>0</v>
      </c>
      <c r="V17" s="256">
        <f>入學要求!T224</f>
        <v>0</v>
      </c>
      <c r="W17" s="256">
        <f>入學要求!U224</f>
        <v>0</v>
      </c>
      <c r="X17" s="256">
        <f>入學要求!V224</f>
        <v>0</v>
      </c>
      <c r="Y17" s="256">
        <f>入學要求!W224</f>
        <v>0</v>
      </c>
      <c r="Z17" s="256">
        <f>入學要求!X224</f>
        <v>0</v>
      </c>
      <c r="AA17" s="36">
        <f t="shared" si="0"/>
        <v>3.21</v>
      </c>
      <c r="AB17" s="510"/>
      <c r="AC17" s="36" cm="1">
        <f t="array" ref="AC17">IFERROR(INDEX('Offer Statistics'!CH$2:CH$400,MATCH(1,($A17='Offer Statistics'!$BS$2:$BS$400)*($AB$2='Offer Statistics'!$BT$2:$BT$400),0)),"/")</f>
        <v>33</v>
      </c>
      <c r="AD17" s="64" cm="1">
        <f t="array" ref="AD17">IFERROR(INDEX('Offer Statistics'!CC$2:CC$400,MATCH(1,($A17='Offer Statistics'!$BS$2:$BS$400)*($AB$2='Offer Statistics'!$BT$2:$BT$400),0)),"/")</f>
        <v>33</v>
      </c>
      <c r="AE17" s="64" cm="1">
        <f t="array" ref="AE17">IFERROR(INDEX('Offer Statistics'!CD$2:CD$400,MATCH(1,($A17='Offer Statistics'!$BS$2:$BS$400)*($AB$2='Offer Statistics'!$BT$2:$BT$400),0)),"/")</f>
        <v>0</v>
      </c>
      <c r="AF17" s="64" cm="1">
        <f t="array" ref="AF17">IFERROR(INDEX('Offer Statistics'!CE$2:CE$400,MATCH(1,($A17='Offer Statistics'!$BS$2:$BS$400)*($AB$2='Offer Statistics'!$BT$2:$BT$400),0)),"/")</f>
        <v>0</v>
      </c>
      <c r="AG17" s="64" cm="1">
        <f t="array" ref="AG17">IFERROR(INDEX('Offer Statistics'!CF$2:CF$400,MATCH(1,($A17='Offer Statistics'!$BS$2:$BS$400)*($AB$2='Offer Statistics'!$BT$2:$BT$400),0)),"/")</f>
        <v>0</v>
      </c>
      <c r="AH17" s="64" cm="1">
        <f t="array" ref="AH17">IFERROR(INDEX('Offer Statistics'!CG$2:CG$400,MATCH(1,($A17='Offer Statistics'!$BS$2:$BS$400)*($AB$2='Offer Statistics'!$BT$2:$BT$400),0)),"/")</f>
        <v>0</v>
      </c>
      <c r="AI17" s="511"/>
      <c r="AJ17" s="36" cm="1">
        <f t="array" ref="AJ17">IFERROR(INDEX('Offer Statistics'!BZ$2:BZ$400,MATCH(1,($A17='Offer Statistics'!$BS$2:$BS$400)*($AB$2='Offer Statistics'!$BT$2:$BT$400),0)),"/")</f>
        <v>801</v>
      </c>
      <c r="AK17" s="64" cm="1">
        <f t="array" ref="AK17">IFERROR(INDEX('Offer Statistics'!BU$2:BU$400,MATCH(1,($A17='Offer Statistics'!$BS$2:$BS$400)*($AB$2='Offer Statistics'!$BT$2:$BT$400),0)),"/")</f>
        <v>106</v>
      </c>
      <c r="AL17" s="64" cm="1">
        <f t="array" ref="AL17">IFERROR(INDEX('Offer Statistics'!BV$2:BV$400,MATCH(1,($A17='Offer Statistics'!$BS$2:$BS$400)*($AB$2='Offer Statistics'!$BT$2:$BT$400),0)),"/")</f>
        <v>94</v>
      </c>
      <c r="AM17" s="64" cm="1">
        <f t="array" ref="AM17">IFERROR(INDEX('Offer Statistics'!BW$2:BW$400,MATCH(1,($A17='Offer Statistics'!$BS$2:$BS$400)*($AB$2='Offer Statistics'!$BT$2:$BT$400),0)),"/")</f>
        <v>125</v>
      </c>
      <c r="AN17" s="64" cm="1">
        <f t="array" ref="AN17">IFERROR(INDEX('Offer Statistics'!BX$2:BX$400,MATCH(1,($A17='Offer Statistics'!$BS$2:$BS$400)*($AB$2='Offer Statistics'!$BT$2:$BT$400),0)),"/")</f>
        <v>245</v>
      </c>
      <c r="AO17" s="64" cm="1">
        <f t="array" ref="AO17">IFERROR(INDEX('Offer Statistics'!BY$2:BY$400,MATCH(1,($A17='Offer Statistics'!$BS$2:$BS$400)*($AB$2='Offer Statistics'!$BT$2:$BT$400),0)),"/")</f>
        <v>231</v>
      </c>
      <c r="AP17" s="4"/>
      <c r="AQ17" s="15" t="str">
        <f t="shared" si="1"/>
        <v>JS5331</v>
      </c>
    </row>
    <row r="18" spans="1:43" ht="18" customHeight="1">
      <c r="A18" s="4" t="str">
        <f>'Reference Score Calculation'!A216</f>
        <v>JS5332</v>
      </c>
      <c r="B18" s="4" t="str">
        <f>'Reference Score Calculation'!C216</f>
        <v>商學院</v>
      </c>
      <c r="C18" s="4" t="str">
        <f>'Reference Score Calculation'!D216</f>
        <v>理學士（量化金融學）</v>
      </c>
      <c r="D18" s="4" t="str">
        <f>'Reference Score Calculation'!R216</f>
        <v>QFIN</v>
      </c>
      <c r="E18" s="392" t="str">
        <f>'Reference Score Calculation'!AB216</f>
        <v>英數Best3</v>
      </c>
      <c r="F18" s="36" t="str">
        <f>'Reference Score Calculation'!E216</f>
        <v>英數Best4</v>
      </c>
      <c r="G18" s="6">
        <f>'Reference Score Calculation'!H216</f>
        <v>62.5</v>
      </c>
      <c r="H18" s="6">
        <f>'Reference Score Calculation'!I216</f>
        <v>60.25</v>
      </c>
      <c r="I18" s="45">
        <f>計分版!J239</f>
        <v>3.3999999999999998E-9</v>
      </c>
      <c r="J18" s="174">
        <f>IFERROR(IF(J$1="差距(Median)",I18-G18,IF(J$1="差距(UQ)",I18-#REF!,IF(J$1="差距(LQ)",I18-H18))),"/")</f>
        <v>-62.499999996600003</v>
      </c>
      <c r="K18" s="175">
        <f>IFERROR(IF(J$1="差距(Median)",(I18-G18)/I18,IF(J$1="差距(UQ)",(I18-#REF!)/I18,IF(J$1="差距(LQ)",(I18-H18)/I18))),"/")</f>
        <v>-18382352940.176472</v>
      </c>
      <c r="L18" s="36">
        <f>'Reference Score Calculation'!T216</f>
        <v>20</v>
      </c>
      <c r="M18" s="86">
        <f>入學要求!Z225</f>
        <v>0</v>
      </c>
      <c r="N18" s="516"/>
      <c r="O18" s="172">
        <f>入學要求!L225</f>
        <v>3</v>
      </c>
      <c r="P18" s="172">
        <f>入學要求!M225</f>
        <v>4</v>
      </c>
      <c r="Q18" s="172">
        <f>入學要求!N225</f>
        <v>3</v>
      </c>
      <c r="R18" s="172">
        <f>入學要求!O225</f>
        <v>1</v>
      </c>
      <c r="S18" s="172">
        <f>入學要求!P225</f>
        <v>3</v>
      </c>
      <c r="T18" s="172">
        <f>入學要求!Q225</f>
        <v>3</v>
      </c>
      <c r="U18" s="256">
        <f>入學要求!S225</f>
        <v>0</v>
      </c>
      <c r="V18" s="256">
        <f>入學要求!T225</f>
        <v>0</v>
      </c>
      <c r="W18" s="256">
        <f>入學要求!U225</f>
        <v>0</v>
      </c>
      <c r="X18" s="256">
        <f>入學要求!V225</f>
        <v>0</v>
      </c>
      <c r="Y18" s="256">
        <f>入學要求!W225</f>
        <v>0</v>
      </c>
      <c r="Z18" s="256">
        <f>入學要求!X225</f>
        <v>0</v>
      </c>
      <c r="AA18" s="36">
        <f t="shared" si="0"/>
        <v>2.92</v>
      </c>
      <c r="AB18" s="510"/>
      <c r="AC18" s="36" cm="1">
        <f t="array" ref="AC18">IFERROR(INDEX('Offer Statistics'!CH$2:CH$400,MATCH(1,($A18='Offer Statistics'!$BS$2:$BS$400)*($AB$2='Offer Statistics'!$BT$2:$BT$400),0)),"/")</f>
        <v>13</v>
      </c>
      <c r="AD18" s="64" cm="1">
        <f t="array" ref="AD18">IFERROR(INDEX('Offer Statistics'!CC$2:CC$400,MATCH(1,($A18='Offer Statistics'!$BS$2:$BS$400)*($AB$2='Offer Statistics'!$BT$2:$BT$400),0)),"/")</f>
        <v>13</v>
      </c>
      <c r="AE18" s="64" cm="1">
        <f t="array" ref="AE18">IFERROR(INDEX('Offer Statistics'!CD$2:CD$400,MATCH(1,($A18='Offer Statistics'!$BS$2:$BS$400)*($AB$2='Offer Statistics'!$BT$2:$BT$400),0)),"/")</f>
        <v>0</v>
      </c>
      <c r="AF18" s="64" cm="1">
        <f t="array" ref="AF18">IFERROR(INDEX('Offer Statistics'!CE$2:CE$400,MATCH(1,($A18='Offer Statistics'!$BS$2:$BS$400)*($AB$2='Offer Statistics'!$BT$2:$BT$400),0)),"/")</f>
        <v>0</v>
      </c>
      <c r="AG18" s="64" cm="1">
        <f t="array" ref="AG18">IFERROR(INDEX('Offer Statistics'!CF$2:CF$400,MATCH(1,($A18='Offer Statistics'!$BS$2:$BS$400)*($AB$2='Offer Statistics'!$BT$2:$BT$400),0)),"/")</f>
        <v>0</v>
      </c>
      <c r="AH18" s="64" cm="1">
        <f t="array" ref="AH18">IFERROR(INDEX('Offer Statistics'!CG$2:CG$400,MATCH(1,($A18='Offer Statistics'!$BS$2:$BS$400)*($AB$2='Offer Statistics'!$BT$2:$BT$400),0)),"/")</f>
        <v>0</v>
      </c>
      <c r="AI18" s="511"/>
      <c r="AJ18" s="36" cm="1">
        <f t="array" ref="AJ18">IFERROR(INDEX('Offer Statistics'!BZ$2:BZ$400,MATCH(1,($A18='Offer Statistics'!$BS$2:$BS$400)*($AB$2='Offer Statistics'!$BT$2:$BT$400),0)),"/")</f>
        <v>342</v>
      </c>
      <c r="AK18" s="64" cm="1">
        <f t="array" ref="AK18">IFERROR(INDEX('Offer Statistics'!BU$2:BU$400,MATCH(1,($A18='Offer Statistics'!$BS$2:$BS$400)*($AB$2='Offer Statistics'!$BT$2:$BT$400),0)),"/")</f>
        <v>38</v>
      </c>
      <c r="AL18" s="64" cm="1">
        <f t="array" ref="AL18">IFERROR(INDEX('Offer Statistics'!BV$2:BV$400,MATCH(1,($A18='Offer Statistics'!$BS$2:$BS$400)*($AB$2='Offer Statistics'!$BT$2:$BT$400),0)),"/")</f>
        <v>30</v>
      </c>
      <c r="AM18" s="64" cm="1">
        <f t="array" ref="AM18">IFERROR(INDEX('Offer Statistics'!BW$2:BW$400,MATCH(1,($A18='Offer Statistics'!$BS$2:$BS$400)*($AB$2='Offer Statistics'!$BT$2:$BT$400),0)),"/")</f>
        <v>76</v>
      </c>
      <c r="AN18" s="64" cm="1">
        <f t="array" ref="AN18">IFERROR(INDEX('Offer Statistics'!BX$2:BX$400,MATCH(1,($A18='Offer Statistics'!$BS$2:$BS$400)*($AB$2='Offer Statistics'!$BT$2:$BT$400),0)),"/")</f>
        <v>93</v>
      </c>
      <c r="AO18" s="64" cm="1">
        <f t="array" ref="AO18">IFERROR(INDEX('Offer Statistics'!BY$2:BY$400,MATCH(1,($A18='Offer Statistics'!$BS$2:$BS$400)*($AB$2='Offer Statistics'!$BT$2:$BT$400),0)),"/")</f>
        <v>105</v>
      </c>
      <c r="AQ18" s="15" t="str">
        <f t="shared" si="1"/>
        <v>JS5332</v>
      </c>
    </row>
    <row r="19" spans="1:43" s="10" customFormat="1" ht="18" customHeight="1">
      <c r="A19" s="4" t="str">
        <f>'Reference Score Calculation'!A217</f>
        <v>JS5411</v>
      </c>
      <c r="B19" s="4" t="str">
        <f>'Reference Score Calculation'!C217</f>
        <v>人文社會科學學院</v>
      </c>
      <c r="C19" s="4" t="str">
        <f>'Reference Score Calculation'!D217</f>
        <v>理學士（環球中國研究）</v>
      </c>
      <c r="D19" s="4" t="str">
        <f>'Reference Score Calculation'!R217</f>
        <v>GCS</v>
      </c>
      <c r="E19" s="392" t="str">
        <f>'Reference Score Calculation'!AB217</f>
        <v>中英Best3</v>
      </c>
      <c r="F19" s="36" t="str">
        <f>'Reference Score Calculation'!E217</f>
        <v>中英Best4</v>
      </c>
      <c r="G19" s="6">
        <f>'Reference Score Calculation'!H217</f>
        <v>29.5</v>
      </c>
      <c r="H19" s="6">
        <f>'Reference Score Calculation'!I217</f>
        <v>29</v>
      </c>
      <c r="I19" s="45">
        <f>計分版!J240</f>
        <v>4.0000000000000002E-9</v>
      </c>
      <c r="J19" s="174">
        <f>IFERROR(IF(J$1="差距(Median)",I19-G19,IF(J$1="差距(UQ)",I19-#REF!,IF(J$1="差距(LQ)",I19-H19))),"/")</f>
        <v>-29.499999996</v>
      </c>
      <c r="K19" s="175">
        <f>IFERROR(IF(J$1="差距(Median)",(I19-G19)/I19,IF(J$1="差距(UQ)",(I19-#REF!)/I19,IF(J$1="差距(LQ)",(I19-H19)/I19))),"/")</f>
        <v>-7374999998.999999</v>
      </c>
      <c r="L19" s="36">
        <f>'Reference Score Calculation'!T217</f>
        <v>50</v>
      </c>
      <c r="M19" s="86">
        <f>入學要求!Z226</f>
        <v>0</v>
      </c>
      <c r="N19" s="516"/>
      <c r="O19" s="172">
        <f>入學要求!L226</f>
        <v>3</v>
      </c>
      <c r="P19" s="172">
        <f>入學要求!M226</f>
        <v>3</v>
      </c>
      <c r="Q19" s="172">
        <f>入學要求!N226</f>
        <v>2</v>
      </c>
      <c r="R19" s="172">
        <f>入學要求!O226</f>
        <v>1</v>
      </c>
      <c r="S19" s="172">
        <f>入學要求!P226</f>
        <v>3</v>
      </c>
      <c r="T19" s="172">
        <f>入學要求!Q226</f>
        <v>3</v>
      </c>
      <c r="U19" s="256">
        <f>入學要求!S226</f>
        <v>0</v>
      </c>
      <c r="V19" s="256">
        <f>入學要求!T226</f>
        <v>0</v>
      </c>
      <c r="W19" s="256">
        <f>入學要求!U226</f>
        <v>0</v>
      </c>
      <c r="X19" s="256">
        <f>入學要求!V226</f>
        <v>0</v>
      </c>
      <c r="Y19" s="256">
        <f>入學要求!W226</f>
        <v>0</v>
      </c>
      <c r="Z19" s="256">
        <f>入學要求!X226</f>
        <v>0</v>
      </c>
      <c r="AA19" s="36">
        <f t="shared" si="0"/>
        <v>2.68</v>
      </c>
      <c r="AB19" s="510"/>
      <c r="AC19" s="36" cm="1">
        <f t="array" ref="AC19">IFERROR(INDEX('Offer Statistics'!CH$2:CH$400,MATCH(1,($A19='Offer Statistics'!$BS$2:$BS$400)*($AB$2='Offer Statistics'!$BT$2:$BT$400),0)),"/")</f>
        <v>52</v>
      </c>
      <c r="AD19" s="64" cm="1">
        <f t="array" ref="AD19">IFERROR(INDEX('Offer Statistics'!CC$2:CC$400,MATCH(1,($A19='Offer Statistics'!$BS$2:$BS$400)*($AB$2='Offer Statistics'!$BT$2:$BT$400),0)),"/")</f>
        <v>50</v>
      </c>
      <c r="AE19" s="64" cm="1">
        <f t="array" ref="AE19">IFERROR(INDEX('Offer Statistics'!CD$2:CD$400,MATCH(1,($A19='Offer Statistics'!$BS$2:$BS$400)*($AB$2='Offer Statistics'!$BT$2:$BT$400),0)),"/")</f>
        <v>2</v>
      </c>
      <c r="AF19" s="64" cm="1">
        <f t="array" ref="AF19">IFERROR(INDEX('Offer Statistics'!CE$2:CE$400,MATCH(1,($A19='Offer Statistics'!$BS$2:$BS$400)*($AB$2='Offer Statistics'!$BT$2:$BT$400),0)),"/")</f>
        <v>0</v>
      </c>
      <c r="AG19" s="64" cm="1">
        <f t="array" ref="AG19">IFERROR(INDEX('Offer Statistics'!CF$2:CF$400,MATCH(1,($A19='Offer Statistics'!$BS$2:$BS$400)*($AB$2='Offer Statistics'!$BT$2:$BT$400),0)),"/")</f>
        <v>0</v>
      </c>
      <c r="AH19" s="64" cm="1">
        <f t="array" ref="AH19">IFERROR(INDEX('Offer Statistics'!CG$2:CG$400,MATCH(1,($A19='Offer Statistics'!$BS$2:$BS$400)*($AB$2='Offer Statistics'!$BT$2:$BT$400),0)),"/")</f>
        <v>0</v>
      </c>
      <c r="AI19" s="511"/>
      <c r="AJ19" s="36" cm="1">
        <f t="array" ref="AJ19">IFERROR(INDEX('Offer Statistics'!BZ$2:BZ$400,MATCH(1,($A19='Offer Statistics'!$BS$2:$BS$400)*($AB$2='Offer Statistics'!$BT$2:$BT$400),0)),"/")</f>
        <v>545</v>
      </c>
      <c r="AK19" s="64" cm="1">
        <f t="array" ref="AK19">IFERROR(INDEX('Offer Statistics'!BU$2:BU$400,MATCH(1,($A19='Offer Statistics'!$BS$2:$BS$400)*($AB$2='Offer Statistics'!$BT$2:$BT$400),0)),"/")</f>
        <v>134</v>
      </c>
      <c r="AL19" s="64" cm="1">
        <f t="array" ref="AL19">IFERROR(INDEX('Offer Statistics'!BV$2:BV$400,MATCH(1,($A19='Offer Statistics'!$BS$2:$BS$400)*($AB$2='Offer Statistics'!$BT$2:$BT$400),0)),"/")</f>
        <v>88</v>
      </c>
      <c r="AM19" s="64" cm="1">
        <f t="array" ref="AM19">IFERROR(INDEX('Offer Statistics'!BW$2:BW$400,MATCH(1,($A19='Offer Statistics'!$BS$2:$BS$400)*($AB$2='Offer Statistics'!$BT$2:$BT$400),0)),"/")</f>
        <v>81</v>
      </c>
      <c r="AN19" s="64" cm="1">
        <f t="array" ref="AN19">IFERROR(INDEX('Offer Statistics'!BX$2:BX$400,MATCH(1,($A19='Offer Statistics'!$BS$2:$BS$400)*($AB$2='Offer Statistics'!$BT$2:$BT$400),0)),"/")</f>
        <v>105</v>
      </c>
      <c r="AO19" s="64" cm="1">
        <f t="array" ref="AO19">IFERROR(INDEX('Offer Statistics'!BY$2:BY$400,MATCH(1,($A19='Offer Statistics'!$BS$2:$BS$400)*($AB$2='Offer Statistics'!$BT$2:$BT$400),0)),"/")</f>
        <v>137</v>
      </c>
      <c r="AP19" s="4"/>
      <c r="AQ19" s="15" t="str">
        <f t="shared" si="1"/>
        <v>JS5411</v>
      </c>
    </row>
    <row r="20" spans="1:43" ht="18" customHeight="1">
      <c r="A20" s="4" t="str">
        <f>'Reference Score Calculation'!A218</f>
        <v>JS5412</v>
      </c>
      <c r="B20" s="4" t="str">
        <f>'Reference Score Calculation'!C218</f>
        <v>人文社會科學學院</v>
      </c>
      <c r="C20" s="4" t="str">
        <f>'Reference Score Calculation'!D218</f>
        <v>理學士（定量社會數據分析）</v>
      </c>
      <c r="D20" s="4" t="str">
        <f>'Reference Score Calculation'!R218</f>
        <v>QSA</v>
      </c>
      <c r="E20" s="392" t="str">
        <f>'Reference Score Calculation'!AB218</f>
        <v>英數Best3</v>
      </c>
      <c r="F20" s="36" t="str">
        <f>'Reference Score Calculation'!E218</f>
        <v>英數Best4</v>
      </c>
      <c r="G20" s="6">
        <f>'Reference Score Calculation'!H218</f>
        <v>34</v>
      </c>
      <c r="H20" s="6">
        <f>'Reference Score Calculation'!I218</f>
        <v>33.25</v>
      </c>
      <c r="I20" s="45">
        <f>計分版!J241</f>
        <v>4.1499999999999999E-9</v>
      </c>
      <c r="J20" s="174">
        <f>IFERROR(IF(J$1="差距(Median)",I20-G20,IF(J$1="差距(UQ)",I20-#REF!,IF(J$1="差距(LQ)",I20-H20))),"/")</f>
        <v>-33.999999995849997</v>
      </c>
      <c r="K20" s="175">
        <f>IFERROR(IF(J$1="差距(Median)",(I20-G20)/I20,IF(J$1="差距(UQ)",(I20-#REF!)/I20,IF(J$1="差距(LQ)",(I20-H20)/I20))),"/")</f>
        <v>-8192771083.3373489</v>
      </c>
      <c r="L20" s="36">
        <f>'Reference Score Calculation'!T218</f>
        <v>28</v>
      </c>
      <c r="M20" s="86">
        <f>入學要求!Z227</f>
        <v>0</v>
      </c>
      <c r="N20" s="516"/>
      <c r="O20" s="172">
        <f>入學要求!L227</f>
        <v>3</v>
      </c>
      <c r="P20" s="172">
        <f>入學要求!M227</f>
        <v>3</v>
      </c>
      <c r="Q20" s="172">
        <f>入學要求!N227</f>
        <v>3</v>
      </c>
      <c r="R20" s="172">
        <f>入學要求!O227</f>
        <v>1</v>
      </c>
      <c r="S20" s="172">
        <f>入學要求!P227</f>
        <v>3</v>
      </c>
      <c r="T20" s="172">
        <f>入學要求!Q227</f>
        <v>3</v>
      </c>
      <c r="U20" s="256">
        <f>入學要求!S227</f>
        <v>0</v>
      </c>
      <c r="V20" s="256">
        <f>入學要求!T227</f>
        <v>0</v>
      </c>
      <c r="W20" s="256">
        <f>入學要求!U227</f>
        <v>0</v>
      </c>
      <c r="X20" s="256">
        <f>入學要求!V227</f>
        <v>0</v>
      </c>
      <c r="Y20" s="256">
        <f>入學要求!W227</f>
        <v>0</v>
      </c>
      <c r="Z20" s="256">
        <f>入學要求!X227</f>
        <v>0</v>
      </c>
      <c r="AA20" s="36">
        <f t="shared" si="0"/>
        <v>3.3</v>
      </c>
      <c r="AB20" s="510"/>
      <c r="AC20" s="36" cm="1">
        <f t="array" ref="AC20">IFERROR(INDEX('Offer Statistics'!CH$2:CH$400,MATCH(1,($A20='Offer Statistics'!$BS$2:$BS$400)*($AB$2='Offer Statistics'!$BT$2:$BT$400),0)),"/")</f>
        <v>34</v>
      </c>
      <c r="AD20" s="64" cm="1">
        <f t="array" ref="AD20">IFERROR(INDEX('Offer Statistics'!CC$2:CC$400,MATCH(1,($A20='Offer Statistics'!$BS$2:$BS$400)*($AB$2='Offer Statistics'!$BT$2:$BT$400),0)),"/")</f>
        <v>33</v>
      </c>
      <c r="AE20" s="64" cm="1">
        <f t="array" ref="AE20">IFERROR(INDEX('Offer Statistics'!CD$2:CD$400,MATCH(1,($A20='Offer Statistics'!$BS$2:$BS$400)*($AB$2='Offer Statistics'!$BT$2:$BT$400),0)),"/")</f>
        <v>1</v>
      </c>
      <c r="AF20" s="64" cm="1">
        <f t="array" ref="AF20">IFERROR(INDEX('Offer Statistics'!CE$2:CE$400,MATCH(1,($A20='Offer Statistics'!$BS$2:$BS$400)*($AB$2='Offer Statistics'!$BT$2:$BT$400),0)),"/")</f>
        <v>0</v>
      </c>
      <c r="AG20" s="64" cm="1">
        <f t="array" ref="AG20">IFERROR(INDEX('Offer Statistics'!CF$2:CF$400,MATCH(1,($A20='Offer Statistics'!$BS$2:$BS$400)*($AB$2='Offer Statistics'!$BT$2:$BT$400),0)),"/")</f>
        <v>0</v>
      </c>
      <c r="AH20" s="64" cm="1">
        <f t="array" ref="AH20">IFERROR(INDEX('Offer Statistics'!CG$2:CG$400,MATCH(1,($A20='Offer Statistics'!$BS$2:$BS$400)*($AB$2='Offer Statistics'!$BT$2:$BT$400),0)),"/")</f>
        <v>0</v>
      </c>
      <c r="AI20" s="511"/>
      <c r="AJ20" s="36" cm="1">
        <f t="array" ref="AJ20">IFERROR(INDEX('Offer Statistics'!BZ$2:BZ$400,MATCH(1,($A20='Offer Statistics'!$BS$2:$BS$400)*($AB$2='Offer Statistics'!$BT$2:$BT$400),0)),"/")</f>
        <v>454</v>
      </c>
      <c r="AK20" s="64" cm="1">
        <f t="array" ref="AK20">IFERROR(INDEX('Offer Statistics'!BU$2:BU$400,MATCH(1,($A20='Offer Statistics'!$BS$2:$BS$400)*($AB$2='Offer Statistics'!$BT$2:$BT$400),0)),"/")</f>
        <v>109</v>
      </c>
      <c r="AL20" s="64" cm="1">
        <f t="array" ref="AL20">IFERROR(INDEX('Offer Statistics'!BV$2:BV$400,MATCH(1,($A20='Offer Statistics'!$BS$2:$BS$400)*($AB$2='Offer Statistics'!$BT$2:$BT$400),0)),"/")</f>
        <v>70</v>
      </c>
      <c r="AM20" s="64" cm="1">
        <f t="array" ref="AM20">IFERROR(INDEX('Offer Statistics'!BW$2:BW$400,MATCH(1,($A20='Offer Statistics'!$BS$2:$BS$400)*($AB$2='Offer Statistics'!$BT$2:$BT$400),0)),"/")</f>
        <v>84</v>
      </c>
      <c r="AN20" s="64" cm="1">
        <f t="array" ref="AN20">IFERROR(INDEX('Offer Statistics'!BX$2:BX$400,MATCH(1,($A20='Offer Statistics'!$BS$2:$BS$400)*($AB$2='Offer Statistics'!$BT$2:$BT$400),0)),"/")</f>
        <v>85</v>
      </c>
      <c r="AO20" s="64" cm="1">
        <f t="array" ref="AO20">IFERROR(INDEX('Offer Statistics'!BY$2:BY$400,MATCH(1,($A20='Offer Statistics'!$BS$2:$BS$400)*($AB$2='Offer Statistics'!$BT$2:$BT$400),0)),"/")</f>
        <v>106</v>
      </c>
      <c r="AQ20" s="15" t="str">
        <f t="shared" si="1"/>
        <v>JS5412</v>
      </c>
    </row>
    <row r="21" spans="1:43" s="10" customFormat="1" ht="18" customHeight="1">
      <c r="A21" s="4" t="str">
        <f>'Reference Score Calculation'!A219</f>
        <v>JS5711</v>
      </c>
      <c r="B21" s="4" t="str">
        <f>'Reference Score Calculation'!C219</f>
        <v>工學院</v>
      </c>
      <c r="C21" s="4" t="str">
        <f>'Reference Score Calculation'!D219</f>
        <v>理學士（綜合系統與設計）</v>
      </c>
      <c r="D21" s="4" t="str">
        <f>'Reference Score Calculation'!R219</f>
        <v>ISDN</v>
      </c>
      <c r="E21" s="392" t="str">
        <f>'Reference Score Calculation'!AB219</f>
        <v>英數Best3</v>
      </c>
      <c r="F21" s="421" t="str">
        <f>'Reference Score Calculation'!E219</f>
        <v>英數Best3</v>
      </c>
      <c r="G21" s="6">
        <f>'Reference Score Calculation'!H219</f>
        <v>40.75</v>
      </c>
      <c r="H21" s="6">
        <f>'Reference Score Calculation'!I219</f>
        <v>37</v>
      </c>
      <c r="I21" s="45">
        <f>計分版!J242</f>
        <v>2.5000000000000001E-9</v>
      </c>
      <c r="J21" s="174">
        <f>IFERROR(IF(J$1="差距(Median)",I21-G21,IF(J$1="差距(UQ)",I21-#REF!,IF(J$1="差距(LQ)",I21-H21))),"/")</f>
        <v>-40.749999997499998</v>
      </c>
      <c r="K21" s="175">
        <f>IFERROR(IF(J$1="差距(Median)",(I21-G21)/I21,IF(J$1="差距(UQ)",(I21-#REF!)/I21,IF(J$1="差距(LQ)",(I21-H21)/I21))),"/")</f>
        <v>-16299999998.999998</v>
      </c>
      <c r="L21" s="36">
        <f>'Reference Score Calculation'!T219</f>
        <v>25</v>
      </c>
      <c r="M21" s="86">
        <f>入學要求!Z228</f>
        <v>0</v>
      </c>
      <c r="N21" s="516"/>
      <c r="O21" s="172">
        <f>入學要求!L228</f>
        <v>3</v>
      </c>
      <c r="P21" s="172">
        <f>入學要求!M228</f>
        <v>3</v>
      </c>
      <c r="Q21" s="172">
        <f>入學要求!N228</f>
        <v>3</v>
      </c>
      <c r="R21" s="172">
        <f>入學要求!O228</f>
        <v>1</v>
      </c>
      <c r="S21" s="172">
        <f>入學要求!P228</f>
        <v>3</v>
      </c>
      <c r="T21" s="172">
        <f>入學要求!Q228</f>
        <v>3</v>
      </c>
      <c r="U21" s="256">
        <f>入學要求!S228</f>
        <v>0</v>
      </c>
      <c r="V21" s="256">
        <f>入學要求!T228</f>
        <v>0</v>
      </c>
      <c r="W21" s="256">
        <f>入學要求!U228</f>
        <v>0</v>
      </c>
      <c r="X21" s="256">
        <f>入學要求!V228</f>
        <v>0</v>
      </c>
      <c r="Y21" s="256">
        <f>入學要求!W228</f>
        <v>0</v>
      </c>
      <c r="Z21" s="256">
        <f>入學要求!X228</f>
        <v>0</v>
      </c>
      <c r="AA21" s="36">
        <f>IFERROR(ROUND(AK21/AD21,2),"/")</f>
        <v>3.56</v>
      </c>
      <c r="AB21" s="510"/>
      <c r="AC21" s="36" cm="1">
        <f t="array" ref="AC21">IFERROR(INDEX('Offer Statistics'!CH$2:CH$400,MATCH(1,($A21='Offer Statistics'!$BS$2:$BS$400)*($AB$2='Offer Statistics'!$BT$2:$BT$400),0)),"/")</f>
        <v>9</v>
      </c>
      <c r="AD21" s="64" cm="1">
        <f t="array" ref="AD21">IFERROR(INDEX('Offer Statistics'!CC$2:CC$400,MATCH(1,($A21='Offer Statistics'!$BS$2:$BS$400)*($AB$2='Offer Statistics'!$BT$2:$BT$400),0)),"/")</f>
        <v>9</v>
      </c>
      <c r="AE21" s="64" cm="1">
        <f t="array" ref="AE21">IFERROR(INDEX('Offer Statistics'!CD$2:CD$400,MATCH(1,($A21='Offer Statistics'!$BS$2:$BS$400)*($AB$2='Offer Statistics'!$BT$2:$BT$400),0)),"/")</f>
        <v>0</v>
      </c>
      <c r="AF21" s="64" cm="1">
        <f t="array" ref="AF21">IFERROR(INDEX('Offer Statistics'!CE$2:CE$400,MATCH(1,($A21='Offer Statistics'!$BS$2:$BS$400)*($AB$2='Offer Statistics'!$BT$2:$BT$400),0)),"/")</f>
        <v>0</v>
      </c>
      <c r="AG21" s="64" cm="1">
        <f t="array" ref="AG21">IFERROR(INDEX('Offer Statistics'!CF$2:CF$400,MATCH(1,($A21='Offer Statistics'!$BS$2:$BS$400)*($AB$2='Offer Statistics'!$BT$2:$BT$400),0)),"/")</f>
        <v>0</v>
      </c>
      <c r="AH21" s="64" cm="1">
        <f t="array" ref="AH21">IFERROR(INDEX('Offer Statistics'!CG$2:CG$400,MATCH(1,($A21='Offer Statistics'!$BS$2:$BS$400)*($AB$2='Offer Statistics'!$BT$2:$BT$400),0)),"/")</f>
        <v>0</v>
      </c>
      <c r="AI21" s="511"/>
      <c r="AJ21" s="36" cm="1">
        <f t="array" ref="AJ21">IFERROR(INDEX('Offer Statistics'!BZ$2:BZ$400,MATCH(1,($A21='Offer Statistics'!$BS$2:$BS$400)*($AB$2='Offer Statistics'!$BT$2:$BT$400),0)),"/")</f>
        <v>322</v>
      </c>
      <c r="AK21" s="64" cm="1">
        <f t="array" ref="AK21">IFERROR(INDEX('Offer Statistics'!BU$2:BU$400,MATCH(1,($A21='Offer Statistics'!$BS$2:$BS$400)*($AB$2='Offer Statistics'!$BT$2:$BT$400),0)),"/")</f>
        <v>32</v>
      </c>
      <c r="AL21" s="64" cm="1">
        <f t="array" ref="AL21">IFERROR(INDEX('Offer Statistics'!BV$2:BV$400,MATCH(1,($A21='Offer Statistics'!$BS$2:$BS$400)*($AB$2='Offer Statistics'!$BT$2:$BT$400),0)),"/")</f>
        <v>38</v>
      </c>
      <c r="AM21" s="64" cm="1">
        <f t="array" ref="AM21">IFERROR(INDEX('Offer Statistics'!BW$2:BW$400,MATCH(1,($A21='Offer Statistics'!$BS$2:$BS$400)*($AB$2='Offer Statistics'!$BT$2:$BT$400),0)),"/")</f>
        <v>68</v>
      </c>
      <c r="AN21" s="64" cm="1">
        <f t="array" ref="AN21">IFERROR(INDEX('Offer Statistics'!BX$2:BX$400,MATCH(1,($A21='Offer Statistics'!$BS$2:$BS$400)*($AB$2='Offer Statistics'!$BT$2:$BT$400),0)),"/")</f>
        <v>88</v>
      </c>
      <c r="AO21" s="64" cm="1">
        <f t="array" ref="AO21">IFERROR(INDEX('Offer Statistics'!BY$2:BY$400,MATCH(1,($A21='Offer Statistics'!$BS$2:$BS$400)*($AB$2='Offer Statistics'!$BT$2:$BT$400),0)),"/")</f>
        <v>96</v>
      </c>
      <c r="AP21" s="4"/>
      <c r="AQ21" s="15" t="str">
        <f>A21</f>
        <v>JS5711</v>
      </c>
    </row>
    <row r="22" spans="1:43" s="10" customFormat="1" ht="18" customHeight="1">
      <c r="A22" s="4" t="str">
        <f>'Reference Score Calculation'!A220</f>
        <v>JS5811</v>
      </c>
      <c r="B22" s="4" t="str">
        <f>'Reference Score Calculation'!C220</f>
        <v>跨學科課程</v>
      </c>
      <c r="C22" s="4" t="str">
        <f>'Reference Score Calculation'!D220</f>
        <v>理學士（生物科技及商學）</v>
      </c>
      <c r="D22" s="4" t="str">
        <f>'Reference Score Calculation'!R220</f>
        <v>BIBU</v>
      </c>
      <c r="E22" s="392" t="str">
        <f>'Reference Score Calculation'!AB220</f>
        <v>英數Best3</v>
      </c>
      <c r="F22" s="36" t="str">
        <f>'Reference Score Calculation'!E220</f>
        <v>英數Best4</v>
      </c>
      <c r="G22" s="6">
        <f>'Reference Score Calculation'!H220</f>
        <v>42.25</v>
      </c>
      <c r="H22" s="6">
        <f>'Reference Score Calculation'!I220</f>
        <v>40.630000000000003</v>
      </c>
      <c r="I22" s="45">
        <f>計分版!J243</f>
        <v>3.2999999999999998E-9</v>
      </c>
      <c r="J22" s="174">
        <f>IFERROR(IF(J$1="差距(Median)",I22-G22,IF(J$1="差距(UQ)",I22-#REF!,IF(J$1="差距(LQ)",I22-H22))),"/")</f>
        <v>-42.249999996699998</v>
      </c>
      <c r="K22" s="175">
        <f>IFERROR(IF(J$1="差距(Median)",(I22-G22)/I22,IF(J$1="差距(UQ)",(I22-#REF!)/I22,IF(J$1="差距(LQ)",(I22-H22)/I22))),"/")</f>
        <v>-12803030302.030304</v>
      </c>
      <c r="L22" s="36">
        <f>'Reference Score Calculation'!T220</f>
        <v>26</v>
      </c>
      <c r="M22" s="86">
        <f>入學要求!Z229</f>
        <v>0</v>
      </c>
      <c r="N22" s="516"/>
      <c r="O22" s="172">
        <f>入學要求!L229</f>
        <v>3</v>
      </c>
      <c r="P22" s="172">
        <f>入學要求!M229</f>
        <v>4</v>
      </c>
      <c r="Q22" s="172">
        <f>入學要求!N229</f>
        <v>3</v>
      </c>
      <c r="R22" s="172">
        <f>入學要求!O229</f>
        <v>1</v>
      </c>
      <c r="S22" s="172">
        <f>入學要求!P229</f>
        <v>3</v>
      </c>
      <c r="T22" s="172">
        <f>入學要求!Q229</f>
        <v>3</v>
      </c>
      <c r="U22" s="256">
        <f>入學要求!S229</f>
        <v>0</v>
      </c>
      <c r="V22" s="256">
        <f>入學要求!T229</f>
        <v>0</v>
      </c>
      <c r="W22" s="256">
        <f>入學要求!U229</f>
        <v>0</v>
      </c>
      <c r="X22" s="256">
        <f>入學要求!V229</f>
        <v>0</v>
      </c>
      <c r="Y22" s="256">
        <f>入學要求!W229</f>
        <v>0</v>
      </c>
      <c r="Z22" s="256">
        <f>入學要求!X229</f>
        <v>0</v>
      </c>
      <c r="AA22" s="36">
        <f t="shared" si="0"/>
        <v>2.33</v>
      </c>
      <c r="AB22" s="510"/>
      <c r="AC22" s="36" cm="1">
        <f t="array" ref="AC22">IFERROR(INDEX('Offer Statistics'!CH$2:CH$400,MATCH(1,($A22='Offer Statistics'!$BS$2:$BS$400)*($AB$2='Offer Statistics'!$BT$2:$BT$400),0)),"/")</f>
        <v>15</v>
      </c>
      <c r="AD22" s="64" cm="1">
        <f t="array" ref="AD22">IFERROR(INDEX('Offer Statistics'!CC$2:CC$400,MATCH(1,($A22='Offer Statistics'!$BS$2:$BS$400)*($AB$2='Offer Statistics'!$BT$2:$BT$400),0)),"/")</f>
        <v>15</v>
      </c>
      <c r="AE22" s="64" cm="1">
        <f t="array" ref="AE22">IFERROR(INDEX('Offer Statistics'!CD$2:CD$400,MATCH(1,($A22='Offer Statistics'!$BS$2:$BS$400)*($AB$2='Offer Statistics'!$BT$2:$BT$400),0)),"/")</f>
        <v>0</v>
      </c>
      <c r="AF22" s="64" cm="1">
        <f t="array" ref="AF22">IFERROR(INDEX('Offer Statistics'!CE$2:CE$400,MATCH(1,($A22='Offer Statistics'!$BS$2:$BS$400)*($AB$2='Offer Statistics'!$BT$2:$BT$400),0)),"/")</f>
        <v>0</v>
      </c>
      <c r="AG22" s="64" cm="1">
        <f t="array" ref="AG22">IFERROR(INDEX('Offer Statistics'!CF$2:CF$400,MATCH(1,($A22='Offer Statistics'!$BS$2:$BS$400)*($AB$2='Offer Statistics'!$BT$2:$BT$400),0)),"/")</f>
        <v>0</v>
      </c>
      <c r="AH22" s="64" cm="1">
        <f t="array" ref="AH22">IFERROR(INDEX('Offer Statistics'!CG$2:CG$400,MATCH(1,($A22='Offer Statistics'!$BS$2:$BS$400)*($AB$2='Offer Statistics'!$BT$2:$BT$400),0)),"/")</f>
        <v>0</v>
      </c>
      <c r="AI22" s="511"/>
      <c r="AJ22" s="36" cm="1">
        <f t="array" ref="AJ22">IFERROR(INDEX('Offer Statistics'!BZ$2:BZ$400,MATCH(1,($A22='Offer Statistics'!$BS$2:$BS$400)*($AB$2='Offer Statistics'!$BT$2:$BT$400),0)),"/")</f>
        <v>561</v>
      </c>
      <c r="AK22" s="64" cm="1">
        <f t="array" ref="AK22">IFERROR(INDEX('Offer Statistics'!BU$2:BU$400,MATCH(1,($A22='Offer Statistics'!$BS$2:$BS$400)*($AB$2='Offer Statistics'!$BT$2:$BT$400),0)),"/")</f>
        <v>35</v>
      </c>
      <c r="AL22" s="64" cm="1">
        <f t="array" ref="AL22">IFERROR(INDEX('Offer Statistics'!BV$2:BV$400,MATCH(1,($A22='Offer Statistics'!$BS$2:$BS$400)*($AB$2='Offer Statistics'!$BT$2:$BT$400),0)),"/")</f>
        <v>57</v>
      </c>
      <c r="AM22" s="64" cm="1">
        <f t="array" ref="AM22">IFERROR(INDEX('Offer Statistics'!BW$2:BW$400,MATCH(1,($A22='Offer Statistics'!$BS$2:$BS$400)*($AB$2='Offer Statistics'!$BT$2:$BT$400),0)),"/")</f>
        <v>95</v>
      </c>
      <c r="AN22" s="64" cm="1">
        <f t="array" ref="AN22">IFERROR(INDEX('Offer Statistics'!BX$2:BX$400,MATCH(1,($A22='Offer Statistics'!$BS$2:$BS$400)*($AB$2='Offer Statistics'!$BT$2:$BT$400),0)),"/")</f>
        <v>194</v>
      </c>
      <c r="AO22" s="64" cm="1">
        <f t="array" ref="AO22">IFERROR(INDEX('Offer Statistics'!BY$2:BY$400,MATCH(1,($A22='Offer Statistics'!$BS$2:$BS$400)*($AB$2='Offer Statistics'!$BT$2:$BT$400),0)),"/")</f>
        <v>180</v>
      </c>
      <c r="AP22" s="4"/>
      <c r="AQ22" s="15" t="str">
        <f t="shared" si="1"/>
        <v>JS5811</v>
      </c>
    </row>
    <row r="23" spans="1:43" ht="18" customHeight="1">
      <c r="A23" s="4" t="str">
        <f>'Reference Score Calculation'!A221</f>
        <v>JS5812</v>
      </c>
      <c r="B23" s="4" t="str">
        <f>'Reference Score Calculation'!C221</f>
        <v>跨學科課程</v>
      </c>
      <c r="C23" s="4" t="str">
        <f>'Reference Score Calculation'!D221</f>
        <v>理學士（環境管理及科技）</v>
      </c>
      <c r="D23" s="4" t="str">
        <f>'Reference Score Calculation'!R221</f>
        <v>EVMT</v>
      </c>
      <c r="E23" s="392" t="str">
        <f>'Reference Score Calculation'!AB221</f>
        <v>英數Best3</v>
      </c>
      <c r="F23" s="36" t="str">
        <f>'Reference Score Calculation'!E221</f>
        <v>英數Best4</v>
      </c>
      <c r="G23" s="6">
        <f>'Reference Score Calculation'!H221</f>
        <v>32.25</v>
      </c>
      <c r="H23" s="6">
        <f>'Reference Score Calculation'!I221</f>
        <v>30</v>
      </c>
      <c r="I23" s="45">
        <f>計分版!J244</f>
        <v>4.0000000000000002E-9</v>
      </c>
      <c r="J23" s="174">
        <f>IFERROR(IF(J$1="差距(Median)",I23-G23,IF(J$1="差距(UQ)",I23-#REF!,IF(J$1="差距(LQ)",I23-H23))),"/")</f>
        <v>-32.249999996</v>
      </c>
      <c r="K23" s="175">
        <f>IFERROR(IF(J$1="差距(Median)",(I23-G23)/I23,IF(J$1="差距(UQ)",(I23-#REF!)/I23,IF(J$1="差距(LQ)",(I23-H23)/I23))),"/")</f>
        <v>-8062499998.999999</v>
      </c>
      <c r="L23" s="36">
        <f>'Reference Score Calculation'!T221</f>
        <v>16</v>
      </c>
      <c r="M23" s="86">
        <f>入學要求!Z230</f>
        <v>0</v>
      </c>
      <c r="N23" s="516"/>
      <c r="O23" s="172">
        <f>入學要求!L230</f>
        <v>3</v>
      </c>
      <c r="P23" s="172">
        <f>入學要求!M230</f>
        <v>4</v>
      </c>
      <c r="Q23" s="172">
        <f>入學要求!N230</f>
        <v>3</v>
      </c>
      <c r="R23" s="172">
        <f>入學要求!O230</f>
        <v>1</v>
      </c>
      <c r="S23" s="172">
        <f>入學要求!P230</f>
        <v>3</v>
      </c>
      <c r="T23" s="172">
        <f>入學要求!Q230</f>
        <v>3</v>
      </c>
      <c r="U23" s="256">
        <f>入學要求!S230</f>
        <v>0</v>
      </c>
      <c r="V23" s="256">
        <f>入學要求!T230</f>
        <v>0</v>
      </c>
      <c r="W23" s="256">
        <f>入學要求!U230</f>
        <v>0</v>
      </c>
      <c r="X23" s="256">
        <f>入學要求!V230</f>
        <v>0</v>
      </c>
      <c r="Y23" s="256">
        <f>入學要求!W230</f>
        <v>0</v>
      </c>
      <c r="Z23" s="256">
        <f>入學要求!X230</f>
        <v>0</v>
      </c>
      <c r="AA23" s="36">
        <f t="shared" si="0"/>
        <v>3.7</v>
      </c>
      <c r="AB23" s="510"/>
      <c r="AC23" s="36" cm="1">
        <f t="array" ref="AC23">IFERROR(INDEX('Offer Statistics'!CH$2:CH$400,MATCH(1,($A23='Offer Statistics'!$BS$2:$BS$400)*($AB$2='Offer Statistics'!$BT$2:$BT$400),0)),"/")</f>
        <v>10</v>
      </c>
      <c r="AD23" s="64" cm="1">
        <f t="array" ref="AD23">IFERROR(INDEX('Offer Statistics'!CC$2:CC$400,MATCH(1,($A23='Offer Statistics'!$BS$2:$BS$400)*($AB$2='Offer Statistics'!$BT$2:$BT$400),0)),"/")</f>
        <v>10</v>
      </c>
      <c r="AE23" s="64" cm="1">
        <f t="array" ref="AE23">IFERROR(INDEX('Offer Statistics'!CD$2:CD$400,MATCH(1,($A23='Offer Statistics'!$BS$2:$BS$400)*($AB$2='Offer Statistics'!$BT$2:$BT$400),0)),"/")</f>
        <v>0</v>
      </c>
      <c r="AF23" s="64" cm="1">
        <f t="array" ref="AF23">IFERROR(INDEX('Offer Statistics'!CE$2:CE$400,MATCH(1,($A23='Offer Statistics'!$BS$2:$BS$400)*($AB$2='Offer Statistics'!$BT$2:$BT$400),0)),"/")</f>
        <v>0</v>
      </c>
      <c r="AG23" s="64" cm="1">
        <f t="array" ref="AG23">IFERROR(INDEX('Offer Statistics'!CF$2:CF$400,MATCH(1,($A23='Offer Statistics'!$BS$2:$BS$400)*($AB$2='Offer Statistics'!$BT$2:$BT$400),0)),"/")</f>
        <v>0</v>
      </c>
      <c r="AH23" s="64" cm="1">
        <f t="array" ref="AH23">IFERROR(INDEX('Offer Statistics'!CG$2:CG$400,MATCH(1,($A23='Offer Statistics'!$BS$2:$BS$400)*($AB$2='Offer Statistics'!$BT$2:$BT$400),0)),"/")</f>
        <v>0</v>
      </c>
      <c r="AI23" s="511"/>
      <c r="AJ23" s="36" cm="1">
        <f t="array" ref="AJ23">IFERROR(INDEX('Offer Statistics'!BZ$2:BZ$400,MATCH(1,($A23='Offer Statistics'!$BS$2:$BS$400)*($AB$2='Offer Statistics'!$BT$2:$BT$400),0)),"/")</f>
        <v>446</v>
      </c>
      <c r="AK23" s="64" cm="1">
        <f t="array" ref="AK23">IFERROR(INDEX('Offer Statistics'!BU$2:BU$400,MATCH(1,($A23='Offer Statistics'!$BS$2:$BS$400)*($AB$2='Offer Statistics'!$BT$2:$BT$400),0)),"/")</f>
        <v>37</v>
      </c>
      <c r="AL23" s="64" cm="1">
        <f t="array" ref="AL23">IFERROR(INDEX('Offer Statistics'!BV$2:BV$400,MATCH(1,($A23='Offer Statistics'!$BS$2:$BS$400)*($AB$2='Offer Statistics'!$BT$2:$BT$400),0)),"/")</f>
        <v>58</v>
      </c>
      <c r="AM23" s="64" cm="1">
        <f t="array" ref="AM23">IFERROR(INDEX('Offer Statistics'!BW$2:BW$400,MATCH(1,($A23='Offer Statistics'!$BS$2:$BS$400)*($AB$2='Offer Statistics'!$BT$2:$BT$400),0)),"/")</f>
        <v>82</v>
      </c>
      <c r="AN23" s="64" cm="1">
        <f t="array" ref="AN23">IFERROR(INDEX('Offer Statistics'!BX$2:BX$400,MATCH(1,($A23='Offer Statistics'!$BS$2:$BS$400)*($AB$2='Offer Statistics'!$BT$2:$BT$400),0)),"/")</f>
        <v>121</v>
      </c>
      <c r="AO23" s="64" cm="1">
        <f t="array" ref="AO23">IFERROR(INDEX('Offer Statistics'!BY$2:BY$400,MATCH(1,($A23='Offer Statistics'!$BS$2:$BS$400)*($AB$2='Offer Statistics'!$BT$2:$BT$400),0)),"/")</f>
        <v>148</v>
      </c>
      <c r="AQ23" s="15" t="str">
        <f t="shared" si="1"/>
        <v>JS5812</v>
      </c>
    </row>
    <row r="24" spans="1:43" s="10" customFormat="1" ht="18" customHeight="1">
      <c r="A24" s="4" t="str">
        <f>'Reference Score Calculation'!A222</f>
        <v>JS5813</v>
      </c>
      <c r="B24" s="4" t="str">
        <f>'Reference Score Calculation'!C222</f>
        <v>跨學科課程</v>
      </c>
      <c r="C24" s="4" t="str">
        <f>'Reference Score Calculation'!D222</f>
        <v>理學士（數學與經濟學）</v>
      </c>
      <c r="D24" s="4" t="str">
        <f>'Reference Score Calculation'!R222</f>
        <v>MAEC</v>
      </c>
      <c r="E24" s="392" t="str">
        <f>'Reference Score Calculation'!AB222</f>
        <v>英數Best4</v>
      </c>
      <c r="F24" s="419" t="str">
        <f>'Reference Score Calculation'!E222</f>
        <v>英數Best4</v>
      </c>
      <c r="G24" s="6">
        <f>'Reference Score Calculation'!H222</f>
        <v>45</v>
      </c>
      <c r="H24" s="6">
        <f>'Reference Score Calculation'!I222</f>
        <v>43.5</v>
      </c>
      <c r="I24" s="45">
        <f>計分版!J245</f>
        <v>3.7E-9</v>
      </c>
      <c r="J24" s="174">
        <f>IFERROR(IF(J$1="差距(Median)",I24-G24,IF(J$1="差距(UQ)",I24-#REF!,IF(J$1="差距(LQ)",I24-H24))),"/")</f>
        <v>-44.999999996299998</v>
      </c>
      <c r="K24" s="175">
        <f>IFERROR(IF(J$1="差距(Median)",(I24-G24)/I24,IF(J$1="差距(UQ)",(I24-#REF!)/I24,IF(J$1="差距(LQ)",(I24-H24)/I24))),"/")</f>
        <v>-12162162161.162161</v>
      </c>
      <c r="L24" s="36">
        <f>'Reference Score Calculation'!T222</f>
        <v>16</v>
      </c>
      <c r="M24" s="86">
        <f>入學要求!Z231</f>
        <v>0</v>
      </c>
      <c r="N24" s="516"/>
      <c r="O24" s="172">
        <f>入學要求!L231</f>
        <v>3</v>
      </c>
      <c r="P24" s="172">
        <f>入學要求!M231</f>
        <v>4</v>
      </c>
      <c r="Q24" s="172">
        <f>入學要求!N231</f>
        <v>3</v>
      </c>
      <c r="R24" s="172">
        <f>入學要求!O231</f>
        <v>1</v>
      </c>
      <c r="S24" s="172">
        <f>入學要求!P231</f>
        <v>3</v>
      </c>
      <c r="T24" s="172">
        <f>入學要求!Q231</f>
        <v>3</v>
      </c>
      <c r="U24" s="256">
        <f>入學要求!S231</f>
        <v>0</v>
      </c>
      <c r="V24" s="256">
        <f>入學要求!T231</f>
        <v>0</v>
      </c>
      <c r="W24" s="256">
        <f>入學要求!U231</f>
        <v>0</v>
      </c>
      <c r="X24" s="256">
        <f>入學要求!V231</f>
        <v>0</v>
      </c>
      <c r="Y24" s="256">
        <f>入學要求!W231</f>
        <v>0</v>
      </c>
      <c r="Z24" s="256">
        <f>入學要求!X231</f>
        <v>0</v>
      </c>
      <c r="AA24" s="36">
        <f t="shared" si="0"/>
        <v>2.95</v>
      </c>
      <c r="AB24" s="510"/>
      <c r="AC24" s="36" cm="1">
        <f t="array" ref="AC24">IFERROR(INDEX('Offer Statistics'!CH$2:CH$400,MATCH(1,($A24='Offer Statistics'!$BS$2:$BS$400)*($AB$2='Offer Statistics'!$BT$2:$BT$400),0)),"/")</f>
        <v>19</v>
      </c>
      <c r="AD24" s="64" cm="1">
        <f t="array" ref="AD24">IFERROR(INDEX('Offer Statistics'!CC$2:CC$400,MATCH(1,($A24='Offer Statistics'!$BS$2:$BS$400)*($AB$2='Offer Statistics'!$BT$2:$BT$400),0)),"/")</f>
        <v>19</v>
      </c>
      <c r="AE24" s="64" cm="1">
        <f t="array" ref="AE24">IFERROR(INDEX('Offer Statistics'!CD$2:CD$400,MATCH(1,($A24='Offer Statistics'!$BS$2:$BS$400)*($AB$2='Offer Statistics'!$BT$2:$BT$400),0)),"/")</f>
        <v>0</v>
      </c>
      <c r="AF24" s="64" cm="1">
        <f t="array" ref="AF24">IFERROR(INDEX('Offer Statistics'!CE$2:CE$400,MATCH(1,($A24='Offer Statistics'!$BS$2:$BS$400)*($AB$2='Offer Statistics'!$BT$2:$BT$400),0)),"/")</f>
        <v>0</v>
      </c>
      <c r="AG24" s="64" cm="1">
        <f t="array" ref="AG24">IFERROR(INDEX('Offer Statistics'!CF$2:CF$400,MATCH(1,($A24='Offer Statistics'!$BS$2:$BS$400)*($AB$2='Offer Statistics'!$BT$2:$BT$400),0)),"/")</f>
        <v>0</v>
      </c>
      <c r="AH24" s="64" cm="1">
        <f t="array" ref="AH24">IFERROR(INDEX('Offer Statistics'!CG$2:CG$400,MATCH(1,($A24='Offer Statistics'!$BS$2:$BS$400)*($AB$2='Offer Statistics'!$BT$2:$BT$400),0)),"/")</f>
        <v>0</v>
      </c>
      <c r="AI24" s="511"/>
      <c r="AJ24" s="36" cm="1">
        <f t="array" ref="AJ24">IFERROR(INDEX('Offer Statistics'!BZ$2:BZ$400,MATCH(1,($A24='Offer Statistics'!$BS$2:$BS$400)*($AB$2='Offer Statistics'!$BT$2:$BT$400),0)),"/")</f>
        <v>525</v>
      </c>
      <c r="AK24" s="64" cm="1">
        <f t="array" ref="AK24">IFERROR(INDEX('Offer Statistics'!BU$2:BU$400,MATCH(1,($A24='Offer Statistics'!$BS$2:$BS$400)*($AB$2='Offer Statistics'!$BT$2:$BT$400),0)),"/")</f>
        <v>56</v>
      </c>
      <c r="AL24" s="64" cm="1">
        <f t="array" ref="AL24">IFERROR(INDEX('Offer Statistics'!BV$2:BV$400,MATCH(1,($A24='Offer Statistics'!$BS$2:$BS$400)*($AB$2='Offer Statistics'!$BT$2:$BT$400),0)),"/")</f>
        <v>73</v>
      </c>
      <c r="AM24" s="64" cm="1">
        <f t="array" ref="AM24">IFERROR(INDEX('Offer Statistics'!BW$2:BW$400,MATCH(1,($A24='Offer Statistics'!$BS$2:$BS$400)*($AB$2='Offer Statistics'!$BT$2:$BT$400),0)),"/")</f>
        <v>93</v>
      </c>
      <c r="AN24" s="64" cm="1">
        <f t="array" ref="AN24">IFERROR(INDEX('Offer Statistics'!BX$2:BX$400,MATCH(1,($A24='Offer Statistics'!$BS$2:$BS$400)*($AB$2='Offer Statistics'!$BT$2:$BT$400),0)),"/")</f>
        <v>142</v>
      </c>
      <c r="AO24" s="64" cm="1">
        <f t="array" ref="AO24">IFERROR(INDEX('Offer Statistics'!BY$2:BY$400,MATCH(1,($A24='Offer Statistics'!$BS$2:$BS$400)*($AB$2='Offer Statistics'!$BT$2:$BT$400),0)),"/")</f>
        <v>161</v>
      </c>
      <c r="AP24" s="4"/>
      <c r="AQ24" s="15" t="str">
        <f t="shared" si="1"/>
        <v>JS5813</v>
      </c>
    </row>
    <row r="25" spans="1:43" ht="18" customHeight="1">
      <c r="A25" s="4" t="str">
        <f>'Reference Score Calculation'!A223</f>
        <v>JS5814</v>
      </c>
      <c r="B25" s="4" t="str">
        <f>'Reference Score Calculation'!C223</f>
        <v>跨學科課程</v>
      </c>
      <c r="C25" s="4" t="str">
        <f>'Reference Score Calculation'!D223</f>
        <v>理學士（風險管理及商業智能學）</v>
      </c>
      <c r="D25" s="4" t="str">
        <f>'Reference Score Calculation'!R223</f>
        <v>RMBI</v>
      </c>
      <c r="E25" s="392" t="str">
        <f>'Reference Score Calculation'!AB223</f>
        <v>英數Best4</v>
      </c>
      <c r="F25" s="36" t="str">
        <f>'Reference Score Calculation'!E223</f>
        <v>英數Best4</v>
      </c>
      <c r="G25" s="6">
        <f>'Reference Score Calculation'!H223</f>
        <v>48.5</v>
      </c>
      <c r="H25" s="6">
        <f>'Reference Score Calculation'!I223</f>
        <v>46.75</v>
      </c>
      <c r="I25" s="45">
        <f>計分版!J246</f>
        <v>4.1499999999999999E-9</v>
      </c>
      <c r="J25" s="174">
        <f>IFERROR(IF(J$1="差距(Median)",I25-G25,IF(J$1="差距(UQ)",I25-#REF!,IF(J$1="差距(LQ)",I25-H25))),"/")</f>
        <v>-48.499999995849997</v>
      </c>
      <c r="K25" s="175">
        <f>IFERROR(IF(J$1="差距(Median)",(I25-G25)/I25,IF(J$1="差距(UQ)",(I25-#REF!)/I25,IF(J$1="差距(LQ)",(I25-H25)/I25))),"/")</f>
        <v>-11686746986.951807</v>
      </c>
      <c r="L25" s="36">
        <f>'Reference Score Calculation'!T223</f>
        <v>23</v>
      </c>
      <c r="M25" s="86">
        <f>入學要求!Z232</f>
        <v>0</v>
      </c>
      <c r="N25" s="516"/>
      <c r="O25" s="172">
        <f>入學要求!L232</f>
        <v>3</v>
      </c>
      <c r="P25" s="172">
        <f>入學要求!M232</f>
        <v>4</v>
      </c>
      <c r="Q25" s="172">
        <f>入學要求!N232</f>
        <v>3</v>
      </c>
      <c r="R25" s="172">
        <f>入學要求!O232</f>
        <v>1</v>
      </c>
      <c r="S25" s="172">
        <f>入學要求!P232</f>
        <v>3</v>
      </c>
      <c r="T25" s="172">
        <f>入學要求!Q232</f>
        <v>3</v>
      </c>
      <c r="U25" s="256">
        <f>入學要求!S232</f>
        <v>0</v>
      </c>
      <c r="V25" s="256">
        <f>入學要求!T232</f>
        <v>0</v>
      </c>
      <c r="W25" s="256">
        <f>入學要求!U232</f>
        <v>0</v>
      </c>
      <c r="X25" s="256">
        <f>入學要求!V232</f>
        <v>0</v>
      </c>
      <c r="Y25" s="256">
        <f>入學要求!W232</f>
        <v>0</v>
      </c>
      <c r="Z25" s="256">
        <f>入學要求!X232</f>
        <v>0</v>
      </c>
      <c r="AA25" s="36">
        <f t="shared" si="0"/>
        <v>1.84</v>
      </c>
      <c r="AB25" s="510"/>
      <c r="AC25" s="36" cm="1">
        <f t="array" ref="AC25">IFERROR(INDEX('Offer Statistics'!CH$2:CH$400,MATCH(1,($A25='Offer Statistics'!$BS$2:$BS$400)*($AB$2='Offer Statistics'!$BT$2:$BT$400),0)),"/")</f>
        <v>19</v>
      </c>
      <c r="AD25" s="64" cm="1">
        <f t="array" ref="AD25">IFERROR(INDEX('Offer Statistics'!CC$2:CC$400,MATCH(1,($A25='Offer Statistics'!$BS$2:$BS$400)*($AB$2='Offer Statistics'!$BT$2:$BT$400),0)),"/")</f>
        <v>19</v>
      </c>
      <c r="AE25" s="64" cm="1">
        <f t="array" ref="AE25">IFERROR(INDEX('Offer Statistics'!CD$2:CD$400,MATCH(1,($A25='Offer Statistics'!$BS$2:$BS$400)*($AB$2='Offer Statistics'!$BT$2:$BT$400),0)),"/")</f>
        <v>0</v>
      </c>
      <c r="AF25" s="64" cm="1">
        <f t="array" ref="AF25">IFERROR(INDEX('Offer Statistics'!CE$2:CE$400,MATCH(1,($A25='Offer Statistics'!$BS$2:$BS$400)*($AB$2='Offer Statistics'!$BT$2:$BT$400),0)),"/")</f>
        <v>0</v>
      </c>
      <c r="AG25" s="64" cm="1">
        <f t="array" ref="AG25">IFERROR(INDEX('Offer Statistics'!CF$2:CF$400,MATCH(1,($A25='Offer Statistics'!$BS$2:$BS$400)*($AB$2='Offer Statistics'!$BT$2:$BT$400),0)),"/")</f>
        <v>0</v>
      </c>
      <c r="AH25" s="64" cm="1">
        <f t="array" ref="AH25">IFERROR(INDEX('Offer Statistics'!CG$2:CG$400,MATCH(1,($A25='Offer Statistics'!$BS$2:$BS$400)*($AB$2='Offer Statistics'!$BT$2:$BT$400),0)),"/")</f>
        <v>0</v>
      </c>
      <c r="AI25" s="511"/>
      <c r="AJ25" s="36" cm="1">
        <f t="array" ref="AJ25">IFERROR(INDEX('Offer Statistics'!BZ$2:BZ$400,MATCH(1,($A25='Offer Statistics'!$BS$2:$BS$400)*($AB$2='Offer Statistics'!$BT$2:$BT$400),0)),"/")</f>
        <v>455</v>
      </c>
      <c r="AK25" s="64" cm="1">
        <f t="array" ref="AK25">IFERROR(INDEX('Offer Statistics'!BU$2:BU$400,MATCH(1,($A25='Offer Statistics'!$BS$2:$BS$400)*($AB$2='Offer Statistics'!$BT$2:$BT$400),0)),"/")</f>
        <v>35</v>
      </c>
      <c r="AL25" s="64" cm="1">
        <f t="array" ref="AL25">IFERROR(INDEX('Offer Statistics'!BV$2:BV$400,MATCH(1,($A25='Offer Statistics'!$BS$2:$BS$400)*($AB$2='Offer Statistics'!$BT$2:$BT$400),0)),"/")</f>
        <v>39</v>
      </c>
      <c r="AM25" s="64" cm="1">
        <f t="array" ref="AM25">IFERROR(INDEX('Offer Statistics'!BW$2:BW$400,MATCH(1,($A25='Offer Statistics'!$BS$2:$BS$400)*($AB$2='Offer Statistics'!$BT$2:$BT$400),0)),"/")</f>
        <v>83</v>
      </c>
      <c r="AN25" s="64" cm="1">
        <f t="array" ref="AN25">IFERROR(INDEX('Offer Statistics'!BX$2:BX$400,MATCH(1,($A25='Offer Statistics'!$BS$2:$BS$400)*($AB$2='Offer Statistics'!$BT$2:$BT$400),0)),"/")</f>
        <v>170</v>
      </c>
      <c r="AO25" s="64" cm="1">
        <f t="array" ref="AO25">IFERROR(INDEX('Offer Statistics'!BY$2:BY$400,MATCH(1,($A25='Offer Statistics'!$BS$2:$BS$400)*($AB$2='Offer Statistics'!$BT$2:$BT$400),0)),"/")</f>
        <v>128</v>
      </c>
      <c r="AQ25" s="15" t="str">
        <f t="shared" si="1"/>
        <v>JS5814</v>
      </c>
    </row>
    <row r="26" spans="1:43" ht="18" customHeight="1">
      <c r="A26" s="4" t="str">
        <f>'Reference Score Calculation'!A224</f>
        <v>JS5822</v>
      </c>
      <c r="B26" s="4" t="str">
        <f>'Reference Score Calculation'!C224</f>
        <v>跨學科課程</v>
      </c>
      <c r="C26" s="4" t="str">
        <f>'Reference Score Calculation'!D224</f>
        <v>理學士（可持續發展及綠色金融）</v>
      </c>
      <c r="D26" s="4" t="str">
        <f>'Reference Score Calculation'!R224</f>
        <v>SGFN</v>
      </c>
      <c r="E26" s="392" t="str">
        <f>'Reference Score Calculation'!AB224</f>
        <v>英數Best4</v>
      </c>
      <c r="F26" s="36" t="str">
        <f>'Reference Score Calculation'!E224</f>
        <v>英數Best4</v>
      </c>
      <c r="G26" s="6">
        <f>'Reference Score Calculation'!H224</f>
        <v>43.75</v>
      </c>
      <c r="H26" s="6">
        <f>'Reference Score Calculation'!I224</f>
        <v>41.75</v>
      </c>
      <c r="I26" s="45">
        <f>計分版!J247</f>
        <v>3.3999999999999998E-9</v>
      </c>
      <c r="J26" s="174">
        <f>IFERROR(IF(J$1="差距(Median)",I26-G26,IF(J$1="差距(UQ)",I26-#REF!,IF(J$1="差距(LQ)",I26-H26))),"/")</f>
        <v>-43.749999996600003</v>
      </c>
      <c r="K26" s="175">
        <f>IFERROR(IF(J$1="差距(Median)",(I26-G26)/I26,IF(J$1="差距(UQ)",(I26-#REF!)/I26,IF(J$1="差距(LQ)",(I26-H26)/I26))),"/")</f>
        <v>-12867647057.82353</v>
      </c>
      <c r="L26" s="36">
        <f>'Reference Score Calculation'!T224</f>
        <v>18</v>
      </c>
      <c r="M26" s="86">
        <f>入學要求!Z233</f>
        <v>0</v>
      </c>
      <c r="N26" s="516"/>
      <c r="O26" s="172">
        <f>入學要求!L233</f>
        <v>3</v>
      </c>
      <c r="P26" s="172">
        <f>入學要求!M233</f>
        <v>4</v>
      </c>
      <c r="Q26" s="172">
        <f>入學要求!N233</f>
        <v>3</v>
      </c>
      <c r="R26" s="172">
        <f>入學要求!O233</f>
        <v>1</v>
      </c>
      <c r="S26" s="172">
        <f>入學要求!P233</f>
        <v>3</v>
      </c>
      <c r="T26" s="172">
        <f>入學要求!Q233</f>
        <v>3</v>
      </c>
      <c r="U26" s="256">
        <f>入學要求!S233</f>
        <v>0</v>
      </c>
      <c r="V26" s="256">
        <f>入學要求!T233</f>
        <v>0</v>
      </c>
      <c r="W26" s="256">
        <f>入學要求!U233</f>
        <v>0</v>
      </c>
      <c r="X26" s="256">
        <f>入學要求!V233</f>
        <v>0</v>
      </c>
      <c r="Y26" s="256">
        <f>入學要求!W233</f>
        <v>0</v>
      </c>
      <c r="Z26" s="256">
        <f>入學要求!X233</f>
        <v>0</v>
      </c>
      <c r="AA26" s="36">
        <f t="shared" si="0"/>
        <v>2.89</v>
      </c>
      <c r="AB26" s="510"/>
      <c r="AC26" s="36" cm="1">
        <f t="array" ref="AC26">IFERROR(INDEX('Offer Statistics'!CH$2:CH$400,MATCH(1,($A26='Offer Statistics'!$BS$2:$BS$400)*($AB$2='Offer Statistics'!$BT$2:$BT$400),0)),"/")</f>
        <v>9</v>
      </c>
      <c r="AD26" s="64" cm="1">
        <f t="array" ref="AD26">IFERROR(INDEX('Offer Statistics'!CC$2:CC$400,MATCH(1,($A26='Offer Statistics'!$BS$2:$BS$400)*($AB$2='Offer Statistics'!$BT$2:$BT$400),0)),"/")</f>
        <v>9</v>
      </c>
      <c r="AE26" s="64" cm="1">
        <f t="array" ref="AE26">IFERROR(INDEX('Offer Statistics'!CD$2:CD$400,MATCH(1,($A26='Offer Statistics'!$BS$2:$BS$400)*($AB$2='Offer Statistics'!$BT$2:$BT$400),0)),"/")</f>
        <v>0</v>
      </c>
      <c r="AF26" s="64" cm="1">
        <f t="array" ref="AF26">IFERROR(INDEX('Offer Statistics'!CE$2:CE$400,MATCH(1,($A26='Offer Statistics'!$BS$2:$BS$400)*($AB$2='Offer Statistics'!$BT$2:$BT$400),0)),"/")</f>
        <v>0</v>
      </c>
      <c r="AG26" s="64" cm="1">
        <f t="array" ref="AG26">IFERROR(INDEX('Offer Statistics'!CF$2:CF$400,MATCH(1,($A26='Offer Statistics'!$BS$2:$BS$400)*($AB$2='Offer Statistics'!$BT$2:$BT$400),0)),"/")</f>
        <v>0</v>
      </c>
      <c r="AH26" s="64" cm="1">
        <f t="array" ref="AH26">IFERROR(INDEX('Offer Statistics'!CG$2:CG$400,MATCH(1,($A26='Offer Statistics'!$BS$2:$BS$400)*($AB$2='Offer Statistics'!$BT$2:$BT$400),0)),"/")</f>
        <v>0</v>
      </c>
      <c r="AI26" s="511"/>
      <c r="AJ26" s="36" cm="1">
        <f t="array" ref="AJ26">IFERROR(INDEX('Offer Statistics'!BZ$2:BZ$400,MATCH(1,($A26='Offer Statistics'!$BS$2:$BS$400)*($AB$2='Offer Statistics'!$BT$2:$BT$400),0)),"/")</f>
        <v>256</v>
      </c>
      <c r="AK26" s="64" cm="1">
        <f t="array" ref="AK26">IFERROR(INDEX('Offer Statistics'!BU$2:BU$400,MATCH(1,($A26='Offer Statistics'!$BS$2:$BS$400)*($AB$2='Offer Statistics'!$BT$2:$BT$400),0)),"/")</f>
        <v>26</v>
      </c>
      <c r="AL26" s="64" cm="1">
        <f t="array" ref="AL26">IFERROR(INDEX('Offer Statistics'!BV$2:BV$400,MATCH(1,($A26='Offer Statistics'!$BS$2:$BS$400)*($AB$2='Offer Statistics'!$BT$2:$BT$400),0)),"/")</f>
        <v>17</v>
      </c>
      <c r="AM26" s="64" cm="1">
        <f t="array" ref="AM26">IFERROR(INDEX('Offer Statistics'!BW$2:BW$400,MATCH(1,($A26='Offer Statistics'!$BS$2:$BS$400)*($AB$2='Offer Statistics'!$BT$2:$BT$400),0)),"/")</f>
        <v>45</v>
      </c>
      <c r="AN26" s="64" cm="1">
        <f t="array" ref="AN26">IFERROR(INDEX('Offer Statistics'!BX$2:BX$400,MATCH(1,($A26='Offer Statistics'!$BS$2:$BS$400)*($AB$2='Offer Statistics'!$BT$2:$BT$400),0)),"/")</f>
        <v>69</v>
      </c>
      <c r="AO26" s="64" cm="1">
        <f t="array" ref="AO26">IFERROR(INDEX('Offer Statistics'!BY$2:BY$400,MATCH(1,($A26='Offer Statistics'!$BS$2:$BS$400)*($AB$2='Offer Statistics'!$BT$2:$BT$400),0)),"/")</f>
        <v>99</v>
      </c>
    </row>
    <row r="27" spans="1:43" s="10" customFormat="1" ht="18" customHeight="1">
      <c r="A27" s="4" t="str">
        <f>'Reference Score Calculation'!A225</f>
        <v>JS5901</v>
      </c>
      <c r="B27" s="4" t="str">
        <f>'Reference Score Calculation'!C225</f>
        <v>跨學科課程</v>
      </c>
      <c r="C27" s="4" t="str">
        <f>'Reference Score Calculation'!D225</f>
        <v>科技及管理學雙學位課程</v>
      </c>
      <c r="D27" s="4" t="str">
        <f>'Reference Score Calculation'!R225</f>
        <v>T&amp;M-DDP</v>
      </c>
      <c r="E27" s="392" t="str">
        <f>'Reference Score Calculation'!AB225</f>
        <v>英數Best4</v>
      </c>
      <c r="F27" s="36" t="str">
        <f>'Reference Score Calculation'!E225</f>
        <v>英數Best4</v>
      </c>
      <c r="G27" s="6">
        <f>'Reference Score Calculation'!H225</f>
        <v>65.75</v>
      </c>
      <c r="H27" s="6">
        <f>'Reference Score Calculation'!I225</f>
        <v>64.25</v>
      </c>
      <c r="I27" s="45">
        <f>計分版!J248</f>
        <v>3.2999999999999998E-9</v>
      </c>
      <c r="J27" s="174">
        <f>IFERROR(IF(J$1="差距(Median)",I27-G27,IF(J$1="差距(UQ)",I27-#REF!,IF(J$1="差距(LQ)",I27-H27))),"/")</f>
        <v>-65.749999996699998</v>
      </c>
      <c r="K27" s="175">
        <f>IFERROR(IF(J$1="差距(Median)",(I27-G27)/I27,IF(J$1="差距(UQ)",(I27-#REF!)/I27,IF(J$1="差距(LQ)",(I27-H27)/I27))),"/")</f>
        <v>-19924242423.242424</v>
      </c>
      <c r="L27" s="36">
        <f>'Reference Score Calculation'!T225</f>
        <v>22</v>
      </c>
      <c r="M27" s="86">
        <f>入學要求!Z234</f>
        <v>0</v>
      </c>
      <c r="N27" s="516"/>
      <c r="O27" s="173">
        <f>入學要求!L234</f>
        <v>3</v>
      </c>
      <c r="P27" s="173">
        <f>入學要求!M234</f>
        <v>4</v>
      </c>
      <c r="Q27" s="173">
        <f>入學要求!N234</f>
        <v>3</v>
      </c>
      <c r="R27" s="173">
        <f>入學要求!O234</f>
        <v>1</v>
      </c>
      <c r="S27" s="173">
        <f>入學要求!P234</f>
        <v>3</v>
      </c>
      <c r="T27" s="173">
        <f>入學要求!Q234</f>
        <v>3</v>
      </c>
      <c r="U27" s="256">
        <f>入學要求!S234</f>
        <v>0</v>
      </c>
      <c r="V27" s="256">
        <f>入學要求!T234</f>
        <v>0</v>
      </c>
      <c r="W27" s="256">
        <f>入學要求!U234</f>
        <v>0</v>
      </c>
      <c r="X27" s="256">
        <f>入學要求!V234</f>
        <v>0</v>
      </c>
      <c r="Y27" s="256">
        <f>入學要求!W234</f>
        <v>0</v>
      </c>
      <c r="Z27" s="256">
        <f>入學要求!X234</f>
        <v>0</v>
      </c>
      <c r="AA27" s="36">
        <f t="shared" si="0"/>
        <v>3.85</v>
      </c>
      <c r="AB27" s="510"/>
      <c r="AC27" s="36" cm="1">
        <f t="array" ref="AC27">IFERROR(INDEX('Offer Statistics'!CH$2:CH$400,MATCH(1,($A27='Offer Statistics'!$BS$2:$BS$400)*($AB$2='Offer Statistics'!$BT$2:$BT$400),0)),"/")</f>
        <v>13</v>
      </c>
      <c r="AD27" s="64" cm="1">
        <f t="array" ref="AD27">IFERROR(INDEX('Offer Statistics'!CC$2:CC$400,MATCH(1,($A27='Offer Statistics'!$BS$2:$BS$400)*($AB$2='Offer Statistics'!$BT$2:$BT$400),0)),"/")</f>
        <v>13</v>
      </c>
      <c r="AE27" s="64" cm="1">
        <f t="array" ref="AE27">IFERROR(INDEX('Offer Statistics'!CD$2:CD$400,MATCH(1,($A27='Offer Statistics'!$BS$2:$BS$400)*($AB$2='Offer Statistics'!$BT$2:$BT$400),0)),"/")</f>
        <v>0</v>
      </c>
      <c r="AF27" s="64" cm="1">
        <f t="array" ref="AF27">IFERROR(INDEX('Offer Statistics'!CE$2:CE$400,MATCH(1,($A27='Offer Statistics'!$BS$2:$BS$400)*($AB$2='Offer Statistics'!$BT$2:$BT$400),0)),"/")</f>
        <v>0</v>
      </c>
      <c r="AG27" s="64" cm="1">
        <f t="array" ref="AG27">IFERROR(INDEX('Offer Statistics'!CF$2:CF$400,MATCH(1,($A27='Offer Statistics'!$BS$2:$BS$400)*($AB$2='Offer Statistics'!$BT$2:$BT$400),0)),"/")</f>
        <v>0</v>
      </c>
      <c r="AH27" s="64" cm="1">
        <f t="array" ref="AH27">IFERROR(INDEX('Offer Statistics'!CG$2:CG$400,MATCH(1,($A27='Offer Statistics'!$BS$2:$BS$400)*($AB$2='Offer Statistics'!$BT$2:$BT$400),0)),"/")</f>
        <v>0</v>
      </c>
      <c r="AI27" s="511"/>
      <c r="AJ27" s="36" cm="1">
        <f t="array" ref="AJ27">IFERROR(INDEX('Offer Statistics'!BZ$2:BZ$400,MATCH(1,($A27='Offer Statistics'!$BS$2:$BS$400)*($AB$2='Offer Statistics'!$BT$2:$BT$400),0)),"/")</f>
        <v>343</v>
      </c>
      <c r="AK27" s="64" cm="1">
        <f t="array" ref="AK27">IFERROR(INDEX('Offer Statistics'!BU$2:BU$400,MATCH(1,($A27='Offer Statistics'!$BS$2:$BS$400)*($AB$2='Offer Statistics'!$BT$2:$BT$400),0)),"/")</f>
        <v>50</v>
      </c>
      <c r="AL27" s="64" cm="1">
        <f t="array" ref="AL27">IFERROR(INDEX('Offer Statistics'!BV$2:BV$400,MATCH(1,($A27='Offer Statistics'!$BS$2:$BS$400)*($AB$2='Offer Statistics'!$BT$2:$BT$400),0)),"/")</f>
        <v>34</v>
      </c>
      <c r="AM27" s="64" cm="1">
        <f t="array" ref="AM27">IFERROR(INDEX('Offer Statistics'!BW$2:BW$400,MATCH(1,($A27='Offer Statistics'!$BS$2:$BS$400)*($AB$2='Offer Statistics'!$BT$2:$BT$400),0)),"/")</f>
        <v>65</v>
      </c>
      <c r="AN27" s="64" cm="1">
        <f t="array" ref="AN27">IFERROR(INDEX('Offer Statistics'!BX$2:BX$400,MATCH(1,($A27='Offer Statistics'!$BS$2:$BS$400)*($AB$2='Offer Statistics'!$BT$2:$BT$400),0)),"/")</f>
        <v>97</v>
      </c>
      <c r="AO27" s="64" cm="1">
        <f t="array" ref="AO27">IFERROR(INDEX('Offer Statistics'!BY$2:BY$400,MATCH(1,($A27='Offer Statistics'!$BS$2:$BS$400)*($AB$2='Offer Statistics'!$BT$2:$BT$400),0)),"/")</f>
        <v>97</v>
      </c>
      <c r="AP27" s="4"/>
      <c r="AQ27" s="15" t="str">
        <f t="shared" si="1"/>
        <v>JS5901</v>
      </c>
    </row>
    <row r="28" spans="1:43" ht="18" customHeight="1"/>
    <row r="29" spans="1:43" ht="18" customHeight="1">
      <c r="A29" s="3" t="s">
        <v>3106</v>
      </c>
    </row>
    <row r="30" spans="1:43" ht="18" customHeight="1">
      <c r="A30" s="4" t="s">
        <v>195</v>
      </c>
    </row>
    <row r="31" spans="1:43" ht="18" customHeight="1">
      <c r="A31" s="4" t="s">
        <v>3108</v>
      </c>
    </row>
    <row r="32" spans="1:43" ht="18" customHeight="1">
      <c r="A32" s="4" t="s">
        <v>196</v>
      </c>
      <c r="AD32" s="36" t="s">
        <v>18</v>
      </c>
    </row>
    <row r="33" spans="1:44" ht="18" customHeight="1"/>
    <row r="34" spans="1:44" ht="17.7" customHeight="1">
      <c r="A34" s="4" t="s">
        <v>2805</v>
      </c>
    </row>
    <row r="35" spans="1:44" ht="17.7" customHeight="1"/>
    <row r="36" spans="1:44" ht="18" customHeight="1">
      <c r="A36" s="387" t="s">
        <v>2840</v>
      </c>
      <c r="B36" s="4" t="s">
        <v>2841</v>
      </c>
      <c r="C36" s="23"/>
      <c r="E36" s="15"/>
      <c r="F36" s="15"/>
      <c r="G36" s="4"/>
      <c r="H36" s="4"/>
      <c r="J36" s="4"/>
      <c r="K36" s="4"/>
      <c r="L36" s="36"/>
      <c r="N36" s="4"/>
      <c r="P36" s="4"/>
      <c r="Q36" s="4"/>
      <c r="R36" s="4"/>
      <c r="S36" s="4"/>
      <c r="T36" s="4"/>
      <c r="U36" s="4"/>
      <c r="AB36" s="15"/>
      <c r="AC36" s="15"/>
      <c r="AQ36" s="4"/>
    </row>
    <row r="37" spans="1:44" ht="18" customHeight="1">
      <c r="A37" s="23"/>
      <c r="B37" s="4" t="s">
        <v>2818</v>
      </c>
      <c r="C37" s="23"/>
      <c r="E37" s="15"/>
      <c r="F37" s="15"/>
      <c r="G37" s="4"/>
      <c r="H37" s="4"/>
      <c r="J37" s="4"/>
      <c r="K37" s="4"/>
      <c r="L37" s="36"/>
      <c r="N37" s="4"/>
      <c r="P37" s="4"/>
      <c r="Q37" s="4"/>
      <c r="R37" s="4"/>
      <c r="S37" s="4"/>
      <c r="T37" s="4"/>
      <c r="U37" s="4"/>
      <c r="AB37" s="15"/>
      <c r="AC37" s="15"/>
      <c r="AQ37" s="4"/>
    </row>
    <row r="38" spans="1:44" ht="18" customHeight="1">
      <c r="A38" s="23"/>
      <c r="B38" s="474" t="s">
        <v>3132</v>
      </c>
      <c r="C38" s="23"/>
      <c r="E38" s="15"/>
      <c r="F38" s="15"/>
      <c r="G38" s="4"/>
      <c r="H38" s="4"/>
      <c r="J38" s="4"/>
      <c r="K38" s="4"/>
      <c r="L38" s="36"/>
      <c r="N38" s="4"/>
      <c r="P38" s="4"/>
      <c r="Q38" s="4"/>
      <c r="R38" s="4"/>
      <c r="S38" s="4"/>
      <c r="T38" s="4"/>
      <c r="U38" s="4"/>
      <c r="AB38" s="15"/>
      <c r="AC38" s="15"/>
      <c r="AQ38" s="4"/>
    </row>
    <row r="39" spans="1:44" ht="18" customHeight="1">
      <c r="C39" s="23"/>
      <c r="F39" s="15"/>
      <c r="G39" s="4"/>
      <c r="H39" s="4"/>
      <c r="J39" s="4"/>
      <c r="K39" s="4"/>
      <c r="L39" s="36"/>
      <c r="N39" s="4"/>
      <c r="O39" s="4"/>
      <c r="P39" s="4"/>
      <c r="Q39" s="4"/>
      <c r="R39" s="4"/>
      <c r="S39" s="4"/>
      <c r="T39" s="4"/>
      <c r="U39" s="4"/>
      <c r="V39" s="4"/>
      <c r="W39" s="4"/>
      <c r="X39" s="4"/>
      <c r="Y39" s="4"/>
      <c r="Z39" s="4"/>
      <c r="AA39" s="4"/>
      <c r="AQ39" s="4"/>
    </row>
    <row r="40" spans="1:44" ht="18" customHeight="1">
      <c r="A40" s="23" t="s">
        <v>2806</v>
      </c>
      <c r="J40" s="15"/>
      <c r="K40" s="22"/>
      <c r="L40" s="23"/>
      <c r="N40" s="4"/>
      <c r="U40" s="4"/>
      <c r="V40" s="4"/>
      <c r="W40" s="4"/>
      <c r="X40" s="4"/>
      <c r="Y40" s="4"/>
      <c r="Z40" s="4"/>
      <c r="AA40" s="4"/>
      <c r="AB40" s="15"/>
      <c r="AC40" s="15"/>
      <c r="AD40" s="15"/>
      <c r="AE40" s="15"/>
      <c r="AF40" s="15"/>
      <c r="AG40" s="15"/>
      <c r="AH40" s="15"/>
      <c r="AI40" s="15"/>
      <c r="AJ40" s="15"/>
      <c r="AK40" s="15"/>
      <c r="AL40" s="15"/>
      <c r="AM40" s="15"/>
      <c r="AN40" s="15"/>
      <c r="AO40" s="15"/>
      <c r="AP40" s="15"/>
      <c r="AQ40" s="4"/>
      <c r="AR40" s="15"/>
    </row>
    <row r="41" spans="1:44" ht="18" customHeight="1">
      <c r="A41" s="284" t="s">
        <v>3099</v>
      </c>
    </row>
    <row r="42" spans="1:44" ht="18" customHeight="1">
      <c r="A42" s="284"/>
    </row>
    <row r="43" spans="1:44" ht="18" customHeight="1">
      <c r="A43" s="3" t="s">
        <v>133</v>
      </c>
    </row>
    <row r="44" spans="1:44" ht="18" customHeight="1">
      <c r="A44" s="4" t="s">
        <v>197</v>
      </c>
    </row>
    <row r="45" spans="1:44" ht="18" customHeight="1"/>
    <row r="46" spans="1:44" ht="18" customHeight="1">
      <c r="A46" s="4" t="s">
        <v>3094</v>
      </c>
    </row>
    <row r="47" spans="1:44" ht="18" customHeight="1"/>
    <row r="48" spans="1:44" ht="18" customHeight="1">
      <c r="A48" s="3" t="s">
        <v>135</v>
      </c>
    </row>
    <row r="49" spans="1:9" ht="18" customHeight="1">
      <c r="A49" s="273" t="s">
        <v>3105</v>
      </c>
      <c r="B49" s="171"/>
      <c r="C49" s="171"/>
    </row>
    <row r="50" spans="1:9" ht="18" customHeight="1">
      <c r="A50" s="277" t="s">
        <v>3104</v>
      </c>
      <c r="B50" s="171"/>
      <c r="C50" s="171"/>
      <c r="I50" s="3"/>
    </row>
    <row r="51" spans="1:9" ht="18" customHeight="1">
      <c r="A51" s="273" t="s">
        <v>3103</v>
      </c>
      <c r="B51" s="171"/>
      <c r="C51" s="171"/>
      <c r="I51" s="4"/>
    </row>
    <row r="52" spans="1:9" ht="18" customHeight="1">
      <c r="A52" s="171"/>
      <c r="B52" s="171"/>
      <c r="C52" s="171"/>
    </row>
    <row r="53" spans="1:9">
      <c r="A53" s="171"/>
      <c r="B53" s="171"/>
      <c r="C53" s="171"/>
    </row>
    <row r="54" spans="1:9"/>
  </sheetData>
  <sheetProtection sheet="1" objects="1" scenarios="1" sort="0" autoFilter="0" pivotTables="0"/>
  <mergeCells count="6">
    <mergeCell ref="N2:N27"/>
    <mergeCell ref="AB2:AB27"/>
    <mergeCell ref="AI2:AI27"/>
    <mergeCell ref="J1:K1"/>
    <mergeCell ref="L3:L4"/>
    <mergeCell ref="L12:L15"/>
  </mergeCells>
  <phoneticPr fontId="3" type="noConversion"/>
  <conditionalFormatting sqref="A2:XFD2 A3:M3 M4 A5:M12 M13:M15 A16:M27 A13:K15 A4:K4 AJ3:XFD27 O3:AA27 AC3:AH27">
    <cfRule type="expression" dxfId="172" priority="1365">
      <formula>MOD(ROW(),2)=0</formula>
    </cfRule>
  </conditionalFormatting>
  <conditionalFormatting sqref="G2:G27">
    <cfRule type="expression" dxfId="171" priority="116">
      <formula>$J$1="差距(Median)"</formula>
    </cfRule>
  </conditionalFormatting>
  <conditionalFormatting sqref="H2:H27">
    <cfRule type="expression" dxfId="170" priority="103">
      <formula>$J$1="差距(LQ)"</formula>
    </cfRule>
  </conditionalFormatting>
  <conditionalFormatting sqref="J2:K27">
    <cfRule type="cellIs" dxfId="169" priority="56" operator="equal">
      <formula>"/"</formula>
    </cfRule>
    <cfRule type="cellIs" dxfId="168" priority="57" operator="lessThan">
      <formula>0</formula>
    </cfRule>
    <cfRule type="cellIs" dxfId="167" priority="58" operator="greaterThan">
      <formula>0</formula>
    </cfRule>
  </conditionalFormatting>
  <conditionalFormatting sqref="J15:K15">
    <cfRule type="expression" dxfId="166" priority="59">
      <formula>MOD(ROW(),2)=0</formula>
    </cfRule>
  </conditionalFormatting>
  <conditionalFormatting sqref="J26:K26">
    <cfRule type="cellIs" dxfId="165" priority="1" operator="equal">
      <formula>"/"</formula>
    </cfRule>
    <cfRule type="cellIs" dxfId="164" priority="2" operator="lessThan">
      <formula>0</formula>
    </cfRule>
    <cfRule type="cellIs" dxfId="163" priority="3" operator="greaterThan">
      <formula>0</formula>
    </cfRule>
    <cfRule type="expression" dxfId="162" priority="4">
      <formula>MOD(ROW(),2)=0</formula>
    </cfRule>
  </conditionalFormatting>
  <conditionalFormatting sqref="M2:M27">
    <cfRule type="cellIs" dxfId="161" priority="100" operator="equal">
      <formula>2</formula>
    </cfRule>
    <cfRule type="cellIs" dxfId="160" priority="101" operator="equal">
      <formula>1</formula>
    </cfRule>
    <cfRule type="cellIs" dxfId="159" priority="102" operator="equal">
      <formula>0</formula>
    </cfRule>
  </conditionalFormatting>
  <conditionalFormatting sqref="O2:T27">
    <cfRule type="expression" dxfId="158" priority="5">
      <formula>U2=0</formula>
    </cfRule>
    <cfRule type="expression" dxfId="157" priority="6">
      <formula>U2=2</formula>
    </cfRule>
    <cfRule type="expression" dxfId="156" priority="7">
      <formula>U2=1</formula>
    </cfRule>
  </conditionalFormatting>
  <conditionalFormatting sqref="AB2 AI2 AP2:AP28">
    <cfRule type="expression" dxfId="155" priority="8">
      <formula>TRUE</formula>
    </cfRule>
  </conditionalFormatting>
  <hyperlinks>
    <hyperlink ref="A50" r:id="rId1" location="jupas-interview" xr:uid="{00000000-0004-0000-0B00-000000000000}"/>
    <hyperlink ref="A51" r:id="rId2" xr:uid="{00000000-0004-0000-0B00-000001000000}"/>
    <hyperlink ref="A49" r:id="rId3" xr:uid="{00000000-0004-0000-0B00-000002000000}"/>
  </hyperlinks>
  <pageMargins left="0.7" right="0.7" top="0.75" bottom="0.75" header="0.3" footer="0.3"/>
  <drawing r:id="rId4"/>
  <legacyDrawing r:id="rId5"/>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B00-000000000000}">
          <x14:formula1>
            <xm:f>選單!$K$2:$K$3</xm:f>
          </x14:formula1>
          <xm:sqref>J1:K1</xm:sqref>
        </x14:dataValidation>
        <x14:dataValidation type="list" allowBlank="1" showInputMessage="1" showErrorMessage="1" xr:uid="{849A14F2-71E3-4523-85D4-7389DDF6CF04}">
          <x14:formula1>
            <xm:f>選單!$J$1:$J$6</xm:f>
          </x14:formula1>
          <xm:sqref>AB2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工作表10">
    <tabColor theme="9" tint="-0.249977111117893"/>
  </sheetPr>
  <dimension ref="A1:AZ93"/>
  <sheetViews>
    <sheetView workbookViewId="0"/>
    <sheetView workbookViewId="1">
      <selection activeCell="O2" sqref="O2:O50"/>
    </sheetView>
  </sheetViews>
  <sheetFormatPr defaultColWidth="0" defaultRowHeight="13.8" zeroHeight="1"/>
  <cols>
    <col min="1" max="1" width="7.19921875" style="4" customWidth="1"/>
    <col min="2" max="2" width="8.69921875" style="4" customWidth="1"/>
    <col min="3" max="3" width="22.19921875" style="4" customWidth="1"/>
    <col min="4" max="4" width="7.69921875" style="4" customWidth="1"/>
    <col min="5" max="5" width="12.296875" style="4" customWidth="1"/>
    <col min="6" max="6" width="11.5" style="36" customWidth="1"/>
    <col min="7" max="10" width="7.69921875" style="15" customWidth="1"/>
    <col min="11" max="11" width="7.69921875" style="22" customWidth="1"/>
    <col min="12" max="12" width="7.69921875" style="23" customWidth="1"/>
    <col min="13" max="13" width="4.69921875" style="15" customWidth="1"/>
    <col min="14" max="14" width="4.69921875" style="4" customWidth="1"/>
    <col min="15" max="15" width="14.5" style="15" customWidth="1"/>
    <col min="16" max="21" width="2.19921875" style="15" customWidth="1"/>
    <col min="22" max="27" width="2.19921875" style="15" hidden="1" customWidth="1"/>
    <col min="28" max="28" width="10.69921875" style="15" customWidth="1"/>
    <col min="29" max="29" width="8.69921875" style="15" customWidth="1"/>
    <col min="30" max="30" width="6.19921875" style="15" customWidth="1"/>
    <col min="31" max="31" width="6.19921875" style="16" customWidth="1"/>
    <col min="32" max="35" width="6.19921875" style="15" customWidth="1"/>
    <col min="36" max="36" width="8.69921875" style="15" customWidth="1"/>
    <col min="37" max="42" width="6.19921875" style="15" customWidth="1"/>
    <col min="43" max="43" width="3.19921875" style="4" customWidth="1"/>
    <col min="44" max="44" width="8.19921875" style="15" customWidth="1"/>
    <col min="45" max="52" width="0" style="4" hidden="1" customWidth="1"/>
    <col min="53" max="16384" width="9" style="4" hidden="1"/>
  </cols>
  <sheetData>
    <row r="1" spans="1:44" s="24" customFormat="1" ht="18" customHeight="1">
      <c r="A1" s="24" t="s">
        <v>110</v>
      </c>
      <c r="B1" s="24" t="s">
        <v>111</v>
      </c>
      <c r="C1" s="24" t="s">
        <v>112</v>
      </c>
      <c r="E1" s="24" t="s">
        <v>2897</v>
      </c>
      <c r="F1" s="74" t="s">
        <v>2839</v>
      </c>
      <c r="G1" s="74" t="s">
        <v>34</v>
      </c>
      <c r="H1" s="74" t="s">
        <v>108</v>
      </c>
      <c r="I1" s="74" t="s">
        <v>106</v>
      </c>
      <c r="J1" s="74" t="s">
        <v>114</v>
      </c>
      <c r="K1" s="519" t="s">
        <v>115</v>
      </c>
      <c r="L1" s="519"/>
      <c r="M1" s="74" t="s">
        <v>38</v>
      </c>
      <c r="N1" s="24" t="s">
        <v>116</v>
      </c>
      <c r="O1" s="74"/>
      <c r="P1" s="74" t="s">
        <v>117</v>
      </c>
      <c r="Q1" s="74" t="s">
        <v>118</v>
      </c>
      <c r="R1" s="74" t="s">
        <v>119</v>
      </c>
      <c r="S1" s="74" t="s">
        <v>120</v>
      </c>
      <c r="T1" s="74" t="s">
        <v>121</v>
      </c>
      <c r="U1" s="74" t="s">
        <v>122</v>
      </c>
      <c r="V1" s="74"/>
      <c r="W1" s="74"/>
      <c r="X1" s="74"/>
      <c r="Y1" s="74"/>
      <c r="Z1" s="74"/>
      <c r="AA1" s="74"/>
      <c r="AB1" s="74" t="s">
        <v>123</v>
      </c>
      <c r="AC1" s="74" t="s">
        <v>124</v>
      </c>
      <c r="AD1" s="74" t="s">
        <v>141</v>
      </c>
      <c r="AE1" s="74" t="s">
        <v>126</v>
      </c>
      <c r="AF1" s="74" t="s">
        <v>127</v>
      </c>
      <c r="AG1" s="74" t="s">
        <v>128</v>
      </c>
      <c r="AH1" s="74" t="s">
        <v>129</v>
      </c>
      <c r="AI1" s="74" t="s">
        <v>130</v>
      </c>
      <c r="AJ1" s="74" t="s">
        <v>142</v>
      </c>
      <c r="AK1" s="74" t="s">
        <v>141</v>
      </c>
      <c r="AL1" s="74" t="s">
        <v>126</v>
      </c>
      <c r="AM1" s="74" t="s">
        <v>127</v>
      </c>
      <c r="AN1" s="74" t="s">
        <v>128</v>
      </c>
      <c r="AO1" s="74" t="s">
        <v>129</v>
      </c>
      <c r="AP1" s="74" t="s">
        <v>130</v>
      </c>
      <c r="AR1" s="74"/>
    </row>
    <row r="2" spans="1:44" ht="18" customHeight="1">
      <c r="A2" s="4" t="str">
        <f>'Reference Score Calculation'!A228</f>
        <v>JS6004</v>
      </c>
      <c r="B2" s="4" t="str">
        <f>'Reference Score Calculation'!C228</f>
        <v>建築學院</v>
      </c>
      <c r="C2" s="4" t="str">
        <f>'Reference Score Calculation'!D228</f>
        <v>建築學文學士</v>
      </c>
      <c r="D2" s="4" t="str">
        <f>'Reference Score Calculation'!R228</f>
        <v>BA(AS)</v>
      </c>
      <c r="E2" s="392" t="str">
        <f>'Reference Score Calculation'!AB228</f>
        <v>Best 5</v>
      </c>
      <c r="F2" s="365" t="str">
        <f>'Reference Score Calculation'!E228</f>
        <v>Best 6</v>
      </c>
      <c r="G2" s="6">
        <f>'Reference Score Calculation'!G228</f>
        <v>36</v>
      </c>
      <c r="H2" s="6">
        <f>'Reference Score Calculation'!H228</f>
        <v>32</v>
      </c>
      <c r="I2" s="6">
        <f>'Reference Score Calculation'!I228</f>
        <v>32</v>
      </c>
      <c r="J2" s="45">
        <f>計分版!J251</f>
        <v>4.3500000000000001E-9</v>
      </c>
      <c r="K2" s="25">
        <f>IFERROR(IF(K$1="差距(Median)",J2-H2,IF(K$1="差距(UQ)",J2-G2,IF(K$1="差距(LQ)",J2-I2))),"/")</f>
        <v>-31.999999995650001</v>
      </c>
      <c r="L2" s="26">
        <f>IFERROR(IF(K$1="差距(Median)",(J2-H2)/J2,IF(K$1="差距(UQ)",(J2-G2)/J2,IF(K$1="差距(LQ)",(J2-I2)/J2))),"/")</f>
        <v>-7356321838.0804596</v>
      </c>
      <c r="M2" s="36">
        <f>'Reference Score Calculation'!T228</f>
        <v>54</v>
      </c>
      <c r="N2" s="54">
        <f>入學要求!Z237</f>
        <v>0</v>
      </c>
      <c r="O2" s="516" t="s">
        <v>2521</v>
      </c>
      <c r="P2" s="274">
        <f>入學要求!L237</f>
        <v>3</v>
      </c>
      <c r="Q2" s="274">
        <f>入學要求!M237</f>
        <v>3</v>
      </c>
      <c r="R2" s="274">
        <f>入學要求!N237</f>
        <v>2</v>
      </c>
      <c r="S2" s="274">
        <f>入學要求!O237</f>
        <v>1</v>
      </c>
      <c r="T2" s="274">
        <f>入學要求!P237</f>
        <v>3</v>
      </c>
      <c r="U2" s="274">
        <f>入學要求!Q237</f>
        <v>3</v>
      </c>
      <c r="V2" s="256">
        <f>入學要求!S237</f>
        <v>0</v>
      </c>
      <c r="W2" s="256">
        <f>入學要求!T237</f>
        <v>0</v>
      </c>
      <c r="X2" s="256">
        <f>入學要求!U237</f>
        <v>0</v>
      </c>
      <c r="Y2" s="256">
        <f>入學要求!V237</f>
        <v>0</v>
      </c>
      <c r="Z2" s="256">
        <f>入學要求!W237</f>
        <v>0</v>
      </c>
      <c r="AA2" s="256">
        <f>入學要求!X237</f>
        <v>0</v>
      </c>
      <c r="AB2" s="36">
        <f>IFERROR(ROUND(AK2/AD2,2),"/")</f>
        <v>18.87</v>
      </c>
      <c r="AC2" s="510" t="s">
        <v>2513</v>
      </c>
      <c r="AD2" s="36" cm="1">
        <f t="array" ref="AD2">IFERROR(INDEX('Offer Statistics'!DA$2:DA$400,MATCH(1,($A2='Offer Statistics'!$CL$2:$CL$400)*($AC$2='Offer Statistics'!$CM$2:$CM$400),0)),"/")</f>
        <v>38</v>
      </c>
      <c r="AE2" s="64" cm="1">
        <f t="array" ref="AE2">IFERROR(INDEX('Offer Statistics'!CV$2:CV$400,MATCH(1,($A2='Offer Statistics'!$CL$2:$CL$400)*($AC$2='Offer Statistics'!$CM$2:$CM$400),0)),"/")</f>
        <v>38</v>
      </c>
      <c r="AF2" s="64" cm="1">
        <f t="array" ref="AF2">IFERROR(INDEX('Offer Statistics'!CW$2:CW$400,MATCH(1,($A2='Offer Statistics'!$CL$2:$CL$400)*($AC$2='Offer Statistics'!$CM$2:$CM$400),0)),"/")</f>
        <v>0</v>
      </c>
      <c r="AG2" s="64" cm="1">
        <f t="array" ref="AG2">IFERROR(INDEX('Offer Statistics'!CX$2:CX$400,MATCH(1,($A2='Offer Statistics'!$CL$2:$CL$400)*($AC$2='Offer Statistics'!$CM$2:$CM$400),0)),"/")</f>
        <v>0</v>
      </c>
      <c r="AH2" s="64" cm="1">
        <f t="array" ref="AH2">IFERROR(INDEX('Offer Statistics'!CY$2:CY$400,MATCH(1,($A2='Offer Statistics'!$CL$2:$CL$400)*($AC$2='Offer Statistics'!$CM$2:$CM$400),0)),"/")</f>
        <v>0</v>
      </c>
      <c r="AI2" s="64" cm="1">
        <f t="array" ref="AI2">IFERROR(INDEX('Offer Statistics'!CZ$2:CZ$400,MATCH(1,($A2='Offer Statistics'!$CL$2:$CL$400)*($AC$2='Offer Statistics'!$CM$2:$CM$400),0)),"/")</f>
        <v>0</v>
      </c>
      <c r="AJ2" s="511" t="str">
        <f>AC2</f>
        <v>2023年</v>
      </c>
      <c r="AK2" s="36" cm="1">
        <f t="array" ref="AK2">IFERROR(INDEX('Offer Statistics'!CS$2:CS$400,MATCH(1,($A2='Offer Statistics'!$CL$2:$CL$400)*($AC$2='Offer Statistics'!$CM$2:$CM$400),0)),"/")</f>
        <v>717</v>
      </c>
      <c r="AL2" s="64" cm="1">
        <f t="array" ref="AL2">IFERROR(INDEX('Offer Statistics'!CN$2:CN$400,MATCH(1,($A2='Offer Statistics'!$CL$2:$CL$400)*($AC$2='Offer Statistics'!$CM$2:$CM$400),0)),"/")</f>
        <v>122</v>
      </c>
      <c r="AM2" s="64" cm="1">
        <f t="array" ref="AM2">IFERROR(INDEX('Offer Statistics'!CO$2:CO$400,MATCH(1,($A2='Offer Statistics'!$CL$2:$CL$400)*($AC$2='Offer Statistics'!$CM$2:$CM$400),0)),"/")</f>
        <v>63</v>
      </c>
      <c r="AN2" s="64" cm="1">
        <f t="array" ref="AN2">IFERROR(INDEX('Offer Statistics'!CP$2:CP$400,MATCH(1,($A2='Offer Statistics'!$CL$2:$CL$400)*($AC$2='Offer Statistics'!$CM$2:$CM$400),0)),"/")</f>
        <v>132</v>
      </c>
      <c r="AO2" s="64" cm="1">
        <f t="array" ref="AO2">IFERROR(INDEX('Offer Statistics'!CQ$2:CQ$400,MATCH(1,($A2='Offer Statistics'!$CL$2:$CL$400)*($AC$2='Offer Statistics'!$CM$2:$CM$400),0)),"/")</f>
        <v>188</v>
      </c>
      <c r="AP2" s="64" cm="1">
        <f t="array" ref="AP2">IFERROR(INDEX('Offer Statistics'!CR$2:CR$400,MATCH(1,($A2='Offer Statistics'!$CL$2:$CL$400)*($AC$2='Offer Statistics'!$CM$2:$CM$400),0)),"/")</f>
        <v>212</v>
      </c>
      <c r="AR2" s="15" t="str">
        <f>A2</f>
        <v>JS6004</v>
      </c>
    </row>
    <row r="3" spans="1:44" ht="18" customHeight="1">
      <c r="A3" s="4" t="str">
        <f>'Reference Score Calculation'!A229</f>
        <v>JS6016</v>
      </c>
      <c r="B3" s="4" t="str">
        <f>'Reference Score Calculation'!C229</f>
        <v>建築學院</v>
      </c>
      <c r="C3" s="4" t="str">
        <f>'Reference Score Calculation'!D229</f>
        <v>理學士(測量學)</v>
      </c>
      <c r="D3" s="4" t="str">
        <f>'Reference Score Calculation'!R229</f>
        <v xml:space="preserve">	BSC(SURV)</v>
      </c>
      <c r="E3" s="392" t="str">
        <f>'Reference Score Calculation'!AB229</f>
        <v>Best 5</v>
      </c>
      <c r="F3" s="365" t="str">
        <f>'Reference Score Calculation'!E229</f>
        <v>Best 5</v>
      </c>
      <c r="G3" s="6">
        <f>'Reference Score Calculation'!G229</f>
        <v>31</v>
      </c>
      <c r="H3" s="6">
        <f>'Reference Score Calculation'!H229</f>
        <v>29</v>
      </c>
      <c r="I3" s="6">
        <f>'Reference Score Calculation'!I229</f>
        <v>28</v>
      </c>
      <c r="J3" s="45">
        <f>計分版!J252</f>
        <v>3.9500000000000006E-9</v>
      </c>
      <c r="K3" s="25">
        <f t="shared" ref="K3:K50" si="0">IFERROR(IF(K$1="差距(Median)",J3-H3,IF(K$1="差距(UQ)",J3-G3,IF(K$1="差距(LQ)",J3-I3))),"/")</f>
        <v>-28.999999996050001</v>
      </c>
      <c r="L3" s="26">
        <f t="shared" ref="L3:L50" si="1">IFERROR(IF(K$1="差距(Median)",(J3-H3)/J3,IF(K$1="差距(UQ)",(J3-G3)/J3,IF(K$1="差距(LQ)",(J3-I3)/J3))),"/")</f>
        <v>-7341772150.8987331</v>
      </c>
      <c r="M3" s="36">
        <f>'Reference Score Calculation'!T229</f>
        <v>42</v>
      </c>
      <c r="N3" s="54">
        <f>入學要求!Z238</f>
        <v>0</v>
      </c>
      <c r="O3" s="516"/>
      <c r="P3" s="275">
        <f>入學要求!L238</f>
        <v>3</v>
      </c>
      <c r="Q3" s="275">
        <f>入學要求!M238</f>
        <v>3</v>
      </c>
      <c r="R3" s="275">
        <f>入學要求!N238</f>
        <v>2</v>
      </c>
      <c r="S3" s="275">
        <f>入學要求!O238</f>
        <v>1</v>
      </c>
      <c r="T3" s="275">
        <f>入學要求!P238</f>
        <v>3</v>
      </c>
      <c r="U3" s="275">
        <f>入學要求!Q238</f>
        <v>3</v>
      </c>
      <c r="V3" s="256">
        <f>入學要求!S238</f>
        <v>0</v>
      </c>
      <c r="W3" s="256">
        <f>入學要求!T238</f>
        <v>0</v>
      </c>
      <c r="X3" s="256">
        <f>入學要求!U238</f>
        <v>0</v>
      </c>
      <c r="Y3" s="256">
        <f>入學要求!V238</f>
        <v>0</v>
      </c>
      <c r="Z3" s="256">
        <f>入學要求!W238</f>
        <v>0</v>
      </c>
      <c r="AA3" s="256">
        <f>入學要求!X238</f>
        <v>0</v>
      </c>
      <c r="AB3" s="36">
        <f t="shared" ref="AB3:AB50" si="2">IFERROR(ROUND(AK3/AD3,2),"/")</f>
        <v>16.079999999999998</v>
      </c>
      <c r="AC3" s="510"/>
      <c r="AD3" s="36" cm="1">
        <f t="array" ref="AD3">IFERROR(INDEX('Offer Statistics'!DA$2:DA$400,MATCH(1,($A3='Offer Statistics'!$CL$2:$CL$400)*($AC$2='Offer Statistics'!$CM$2:$CM$400),0)),"/")</f>
        <v>61</v>
      </c>
      <c r="AE3" s="64" cm="1">
        <f t="array" ref="AE3">IFERROR(INDEX('Offer Statistics'!CV$2:CV$400,MATCH(1,($A3='Offer Statistics'!$CL$2:$CL$400)*($AC$2='Offer Statistics'!$CM$2:$CM$400),0)),"/")</f>
        <v>61</v>
      </c>
      <c r="AF3" s="64" cm="1">
        <f t="array" ref="AF3">IFERROR(INDEX('Offer Statistics'!CW$2:CW$400,MATCH(1,($A3='Offer Statistics'!$CL$2:$CL$400)*($AC$2='Offer Statistics'!$CM$2:$CM$400),0)),"/")</f>
        <v>0</v>
      </c>
      <c r="AG3" s="64" cm="1">
        <f t="array" ref="AG3">IFERROR(INDEX('Offer Statistics'!CX$2:CX$400,MATCH(1,($A3='Offer Statistics'!$CL$2:$CL$400)*($AC$2='Offer Statistics'!$CM$2:$CM$400),0)),"/")</f>
        <v>0</v>
      </c>
      <c r="AH3" s="64" cm="1">
        <f t="array" ref="AH3">IFERROR(INDEX('Offer Statistics'!CY$2:CY$400,MATCH(1,($A3='Offer Statistics'!$CL$2:$CL$400)*($AC$2='Offer Statistics'!$CM$2:$CM$400),0)),"/")</f>
        <v>0</v>
      </c>
      <c r="AI3" s="64" cm="1">
        <f t="array" ref="AI3">IFERROR(INDEX('Offer Statistics'!CZ$2:CZ$400,MATCH(1,($A3='Offer Statistics'!$CL$2:$CL$400)*($AC$2='Offer Statistics'!$CM$2:$CM$400),0)),"/")</f>
        <v>0</v>
      </c>
      <c r="AJ3" s="511"/>
      <c r="AK3" s="36" cm="1">
        <f t="array" ref="AK3">IFERROR(INDEX('Offer Statistics'!CS$2:CS$400,MATCH(1,($A3='Offer Statistics'!$CL$2:$CL$400)*($AC$2='Offer Statistics'!$CM$2:$CM$400),0)),"/")</f>
        <v>981</v>
      </c>
      <c r="AL3" s="64" cm="1">
        <f t="array" ref="AL3">IFERROR(INDEX('Offer Statistics'!CN$2:CN$400,MATCH(1,($A3='Offer Statistics'!$CL$2:$CL$400)*($AC$2='Offer Statistics'!$CM$2:$CM$400),0)),"/")</f>
        <v>180</v>
      </c>
      <c r="AM3" s="64" cm="1">
        <f t="array" ref="AM3">IFERROR(INDEX('Offer Statistics'!CO$2:CO$400,MATCH(1,($A3='Offer Statistics'!$CL$2:$CL$400)*($AC$2='Offer Statistics'!$CM$2:$CM$400),0)),"/")</f>
        <v>115</v>
      </c>
      <c r="AN3" s="64" cm="1">
        <f t="array" ref="AN3">IFERROR(INDEX('Offer Statistics'!CP$2:CP$400,MATCH(1,($A3='Offer Statistics'!$CL$2:$CL$400)*($AC$2='Offer Statistics'!$CM$2:$CM$400),0)),"/")</f>
        <v>188</v>
      </c>
      <c r="AO3" s="64" cm="1">
        <f t="array" ref="AO3">IFERROR(INDEX('Offer Statistics'!CQ$2:CQ$400,MATCH(1,($A3='Offer Statistics'!$CL$2:$CL$400)*($AC$2='Offer Statistics'!$CM$2:$CM$400),0)),"/")</f>
        <v>230</v>
      </c>
      <c r="AP3" s="64" cm="1">
        <f t="array" ref="AP3">IFERROR(INDEX('Offer Statistics'!CR$2:CR$400,MATCH(1,($A3='Offer Statistics'!$CL$2:$CL$400)*($AC$2='Offer Statistics'!$CM$2:$CM$400),0)),"/")</f>
        <v>268</v>
      </c>
      <c r="AR3" s="15" t="str">
        <f t="shared" ref="AR3:AR50" si="3">A3</f>
        <v>JS6016</v>
      </c>
    </row>
    <row r="4" spans="1:44" ht="18" customHeight="1">
      <c r="A4" s="4" t="str">
        <f>'Reference Score Calculation'!A230</f>
        <v>JS6028</v>
      </c>
      <c r="B4" s="4" t="str">
        <f>'Reference Score Calculation'!C230</f>
        <v>建築學院</v>
      </c>
      <c r="C4" s="4" t="str">
        <f>'Reference Score Calculation'!D230</f>
        <v>園境學文學士</v>
      </c>
      <c r="D4" s="4" t="str">
        <f>'Reference Score Calculation'!R230</f>
        <v xml:space="preserve">	BA(LS)</v>
      </c>
      <c r="E4" s="392" t="str">
        <f>'Reference Score Calculation'!AB230</f>
        <v>Best 5</v>
      </c>
      <c r="F4" s="365" t="str">
        <f>'Reference Score Calculation'!E230</f>
        <v>Best 5</v>
      </c>
      <c r="G4" s="6">
        <f>'Reference Score Calculation'!G230</f>
        <v>26</v>
      </c>
      <c r="H4" s="6">
        <f>'Reference Score Calculation'!H230</f>
        <v>26</v>
      </c>
      <c r="I4" s="6">
        <f>'Reference Score Calculation'!I230</f>
        <v>25</v>
      </c>
      <c r="J4" s="45">
        <f>計分版!J253</f>
        <v>3.9500000000000006E-9</v>
      </c>
      <c r="K4" s="25">
        <f t="shared" si="0"/>
        <v>-25.999999996050001</v>
      </c>
      <c r="L4" s="26">
        <f t="shared" si="1"/>
        <v>-6582278480.0126572</v>
      </c>
      <c r="M4" s="36">
        <f>'Reference Score Calculation'!T230</f>
        <v>12</v>
      </c>
      <c r="N4" s="54">
        <f>入學要求!Z239</f>
        <v>0</v>
      </c>
      <c r="O4" s="516"/>
      <c r="P4" s="275">
        <f>入學要求!L239</f>
        <v>3</v>
      </c>
      <c r="Q4" s="275">
        <f>入學要求!M239</f>
        <v>3</v>
      </c>
      <c r="R4" s="275">
        <f>入學要求!N239</f>
        <v>2</v>
      </c>
      <c r="S4" s="275">
        <f>入學要求!O239</f>
        <v>1</v>
      </c>
      <c r="T4" s="275">
        <f>入學要求!P239</f>
        <v>3</v>
      </c>
      <c r="U4" s="275">
        <f>入學要求!Q239</f>
        <v>3</v>
      </c>
      <c r="V4" s="256">
        <f>入學要求!S239</f>
        <v>0</v>
      </c>
      <c r="W4" s="256">
        <f>入學要求!T239</f>
        <v>0</v>
      </c>
      <c r="X4" s="256">
        <f>入學要求!U239</f>
        <v>0</v>
      </c>
      <c r="Y4" s="256">
        <f>入學要求!V239</f>
        <v>0</v>
      </c>
      <c r="Z4" s="256">
        <f>入學要求!W239</f>
        <v>0</v>
      </c>
      <c r="AA4" s="256">
        <f>入學要求!X239</f>
        <v>0</v>
      </c>
      <c r="AB4" s="36">
        <f t="shared" si="2"/>
        <v>80</v>
      </c>
      <c r="AC4" s="510"/>
      <c r="AD4" s="36" cm="1">
        <f t="array" ref="AD4">IFERROR(INDEX('Offer Statistics'!DA$2:DA$400,MATCH(1,($A4='Offer Statistics'!$CL$2:$CL$400)*($AC$2='Offer Statistics'!$CM$2:$CM$400),0)),"/")</f>
        <v>7</v>
      </c>
      <c r="AE4" s="64" cm="1">
        <f t="array" ref="AE4">IFERROR(INDEX('Offer Statistics'!CV$2:CV$400,MATCH(1,($A4='Offer Statistics'!$CL$2:$CL$400)*($AC$2='Offer Statistics'!$CM$2:$CM$400),0)),"/")</f>
        <v>7</v>
      </c>
      <c r="AF4" s="64" cm="1">
        <f t="array" ref="AF4">IFERROR(INDEX('Offer Statistics'!CW$2:CW$400,MATCH(1,($A4='Offer Statistics'!$CL$2:$CL$400)*($AC$2='Offer Statistics'!$CM$2:$CM$400),0)),"/")</f>
        <v>0</v>
      </c>
      <c r="AG4" s="64" cm="1">
        <f t="array" ref="AG4">IFERROR(INDEX('Offer Statistics'!CX$2:CX$400,MATCH(1,($A4='Offer Statistics'!$CL$2:$CL$400)*($AC$2='Offer Statistics'!$CM$2:$CM$400),0)),"/")</f>
        <v>0</v>
      </c>
      <c r="AH4" s="64" cm="1">
        <f t="array" ref="AH4">IFERROR(INDEX('Offer Statistics'!CY$2:CY$400,MATCH(1,($A4='Offer Statistics'!$CL$2:$CL$400)*($AC$2='Offer Statistics'!$CM$2:$CM$400),0)),"/")</f>
        <v>0</v>
      </c>
      <c r="AI4" s="64" cm="1">
        <f t="array" ref="AI4">IFERROR(INDEX('Offer Statistics'!CZ$2:CZ$400,MATCH(1,($A4='Offer Statistics'!$CL$2:$CL$400)*($AC$2='Offer Statistics'!$CM$2:$CM$400),0)),"/")</f>
        <v>0</v>
      </c>
      <c r="AJ4" s="511"/>
      <c r="AK4" s="36" cm="1">
        <f t="array" ref="AK4">IFERROR(INDEX('Offer Statistics'!CS$2:CS$400,MATCH(1,($A4='Offer Statistics'!$CL$2:$CL$400)*($AC$2='Offer Statistics'!$CM$2:$CM$400),0)),"/")</f>
        <v>560</v>
      </c>
      <c r="AL4" s="64" cm="1">
        <f t="array" ref="AL4">IFERROR(INDEX('Offer Statistics'!CN$2:CN$400,MATCH(1,($A4='Offer Statistics'!$CL$2:$CL$400)*($AC$2='Offer Statistics'!$CM$2:$CM$400),0)),"/")</f>
        <v>38</v>
      </c>
      <c r="AM4" s="64" cm="1">
        <f t="array" ref="AM4">IFERROR(INDEX('Offer Statistics'!CO$2:CO$400,MATCH(1,($A4='Offer Statistics'!$CL$2:$CL$400)*($AC$2='Offer Statistics'!$CM$2:$CM$400),0)),"/")</f>
        <v>61</v>
      </c>
      <c r="AN4" s="64" cm="1">
        <f t="array" ref="AN4">IFERROR(INDEX('Offer Statistics'!CP$2:CP$400,MATCH(1,($A4='Offer Statistics'!$CL$2:$CL$400)*($AC$2='Offer Statistics'!$CM$2:$CM$400),0)),"/")</f>
        <v>116</v>
      </c>
      <c r="AO4" s="64" cm="1">
        <f t="array" ref="AO4">IFERROR(INDEX('Offer Statistics'!CQ$2:CQ$400,MATCH(1,($A4='Offer Statistics'!$CL$2:$CL$400)*($AC$2='Offer Statistics'!$CM$2:$CM$400),0)),"/")</f>
        <v>151</v>
      </c>
      <c r="AP4" s="64" cm="1">
        <f t="array" ref="AP4">IFERROR(INDEX('Offer Statistics'!CR$2:CR$400,MATCH(1,($A4='Offer Statistics'!$CL$2:$CL$400)*($AC$2='Offer Statistics'!$CM$2:$CM$400),0)),"/")</f>
        <v>194</v>
      </c>
      <c r="AR4" s="15" t="str">
        <f t="shared" si="3"/>
        <v>JS6028</v>
      </c>
    </row>
    <row r="5" spans="1:44" ht="18" customHeight="1">
      <c r="A5" s="4" t="str">
        <f>'Reference Score Calculation'!A231</f>
        <v>JS6042</v>
      </c>
      <c r="B5" s="4" t="str">
        <f>'Reference Score Calculation'!C231</f>
        <v>建築學院</v>
      </c>
      <c r="C5" s="4" t="str">
        <f>'Reference Score Calculation'!D231</f>
        <v>文學士(城市研究)</v>
      </c>
      <c r="D5" s="4" t="str">
        <f>'Reference Score Calculation'!R231</f>
        <v xml:space="preserve">	BA(US)</v>
      </c>
      <c r="E5" s="392" t="str">
        <f>'Reference Score Calculation'!AB231</f>
        <v>Best 5</v>
      </c>
      <c r="F5" s="365" t="str">
        <f>'Reference Score Calculation'!E231</f>
        <v>Best 5</v>
      </c>
      <c r="G5" s="6">
        <f>'Reference Score Calculation'!G231</f>
        <v>32</v>
      </c>
      <c r="H5" s="6">
        <f>'Reference Score Calculation'!H231</f>
        <v>29</v>
      </c>
      <c r="I5" s="6">
        <f>'Reference Score Calculation'!I231</f>
        <v>26</v>
      </c>
      <c r="J5" s="45">
        <f>計分版!J254</f>
        <v>3.9500000000000006E-9</v>
      </c>
      <c r="K5" s="25">
        <f t="shared" si="0"/>
        <v>-28.999999996050001</v>
      </c>
      <c r="L5" s="26">
        <f t="shared" si="1"/>
        <v>-7341772150.8987331</v>
      </c>
      <c r="M5" s="36">
        <f>'Reference Score Calculation'!T231</f>
        <v>17</v>
      </c>
      <c r="N5" s="54">
        <f>入學要求!Z240</f>
        <v>0</v>
      </c>
      <c r="O5" s="516"/>
      <c r="P5" s="275">
        <f>入學要求!L240</f>
        <v>3</v>
      </c>
      <c r="Q5" s="275">
        <f>入學要求!M240</f>
        <v>3</v>
      </c>
      <c r="R5" s="275">
        <f>入學要求!N240</f>
        <v>2</v>
      </c>
      <c r="S5" s="275">
        <f>入學要求!O240</f>
        <v>1</v>
      </c>
      <c r="T5" s="275">
        <f>入學要求!P240</f>
        <v>3</v>
      </c>
      <c r="U5" s="275">
        <f>入學要求!Q240</f>
        <v>3</v>
      </c>
      <c r="V5" s="256">
        <f>入學要求!S240</f>
        <v>0</v>
      </c>
      <c r="W5" s="256">
        <f>入學要求!T240</f>
        <v>0</v>
      </c>
      <c r="X5" s="256">
        <f>入學要求!U240</f>
        <v>0</v>
      </c>
      <c r="Y5" s="256">
        <f>入學要求!V240</f>
        <v>0</v>
      </c>
      <c r="Z5" s="256">
        <f>入學要求!W240</f>
        <v>0</v>
      </c>
      <c r="AA5" s="256">
        <f>入學要求!X240</f>
        <v>0</v>
      </c>
      <c r="AB5" s="36">
        <f t="shared" si="2"/>
        <v>32.729999999999997</v>
      </c>
      <c r="AC5" s="510"/>
      <c r="AD5" s="36" cm="1">
        <f t="array" ref="AD5">IFERROR(INDEX('Offer Statistics'!DA$2:DA$400,MATCH(1,($A5='Offer Statistics'!$CL$2:$CL$400)*($AC$2='Offer Statistics'!$CM$2:$CM$400),0)),"/")</f>
        <v>26</v>
      </c>
      <c r="AE5" s="64" cm="1">
        <f t="array" ref="AE5">IFERROR(INDEX('Offer Statistics'!CV$2:CV$400,MATCH(1,($A5='Offer Statistics'!$CL$2:$CL$400)*($AC$2='Offer Statistics'!$CM$2:$CM$400),0)),"/")</f>
        <v>26</v>
      </c>
      <c r="AF5" s="64" cm="1">
        <f t="array" ref="AF5">IFERROR(INDEX('Offer Statistics'!CW$2:CW$400,MATCH(1,($A5='Offer Statistics'!$CL$2:$CL$400)*($AC$2='Offer Statistics'!$CM$2:$CM$400),0)),"/")</f>
        <v>0</v>
      </c>
      <c r="AG5" s="64" cm="1">
        <f t="array" ref="AG5">IFERROR(INDEX('Offer Statistics'!CX$2:CX$400,MATCH(1,($A5='Offer Statistics'!$CL$2:$CL$400)*($AC$2='Offer Statistics'!$CM$2:$CM$400),0)),"/")</f>
        <v>0</v>
      </c>
      <c r="AH5" s="64" cm="1">
        <f t="array" ref="AH5">IFERROR(INDEX('Offer Statistics'!CY$2:CY$400,MATCH(1,($A5='Offer Statistics'!$CL$2:$CL$400)*($AC$2='Offer Statistics'!$CM$2:$CM$400),0)),"/")</f>
        <v>0</v>
      </c>
      <c r="AI5" s="64" cm="1">
        <f t="array" ref="AI5">IFERROR(INDEX('Offer Statistics'!CZ$2:CZ$400,MATCH(1,($A5='Offer Statistics'!$CL$2:$CL$400)*($AC$2='Offer Statistics'!$CM$2:$CM$400),0)),"/")</f>
        <v>0</v>
      </c>
      <c r="AJ5" s="511"/>
      <c r="AK5" s="36" cm="1">
        <f t="array" ref="AK5">IFERROR(INDEX('Offer Statistics'!CS$2:CS$400,MATCH(1,($A5='Offer Statistics'!$CL$2:$CL$400)*($AC$2='Offer Statistics'!$CM$2:$CM$400),0)),"/")</f>
        <v>851</v>
      </c>
      <c r="AL5" s="64" cm="1">
        <f t="array" ref="AL5">IFERROR(INDEX('Offer Statistics'!CN$2:CN$400,MATCH(1,($A5='Offer Statistics'!$CL$2:$CL$400)*($AC$2='Offer Statistics'!$CM$2:$CM$400),0)),"/")</f>
        <v>101</v>
      </c>
      <c r="AM5" s="64" cm="1">
        <f t="array" ref="AM5">IFERROR(INDEX('Offer Statistics'!CO$2:CO$400,MATCH(1,($A5='Offer Statistics'!$CL$2:$CL$400)*($AC$2='Offer Statistics'!$CM$2:$CM$400),0)),"/")</f>
        <v>76</v>
      </c>
      <c r="AN5" s="64" cm="1">
        <f t="array" ref="AN5">IFERROR(INDEX('Offer Statistics'!CP$2:CP$400,MATCH(1,($A5='Offer Statistics'!$CL$2:$CL$400)*($AC$2='Offer Statistics'!$CM$2:$CM$400),0)),"/")</f>
        <v>184</v>
      </c>
      <c r="AO5" s="64" cm="1">
        <f t="array" ref="AO5">IFERROR(INDEX('Offer Statistics'!CQ$2:CQ$400,MATCH(1,($A5='Offer Statistics'!$CL$2:$CL$400)*($AC$2='Offer Statistics'!$CM$2:$CM$400),0)),"/")</f>
        <v>225</v>
      </c>
      <c r="AP5" s="64" cm="1">
        <f t="array" ref="AP5">IFERROR(INDEX('Offer Statistics'!CR$2:CR$400,MATCH(1,($A5='Offer Statistics'!$CL$2:$CL$400)*($AC$2='Offer Statistics'!$CM$2:$CM$400),0)),"/")</f>
        <v>265</v>
      </c>
      <c r="AR5" s="15" t="str">
        <f t="shared" si="3"/>
        <v>JS6042</v>
      </c>
    </row>
    <row r="6" spans="1:44" ht="18" customHeight="1">
      <c r="A6" s="4" t="str">
        <f>'Reference Score Calculation'!A232</f>
        <v>JS6054</v>
      </c>
      <c r="B6" s="4" t="str">
        <f>'Reference Score Calculation'!C232</f>
        <v>文學院</v>
      </c>
      <c r="C6" s="4" t="str">
        <f>'Reference Score Calculation'!D232</f>
        <v>文學士</v>
      </c>
      <c r="D6" s="4" t="str">
        <f>'Reference Score Calculation'!R232</f>
        <v xml:space="preserve">	BA</v>
      </c>
      <c r="E6" s="392" t="str">
        <f>'Reference Score Calculation'!AB232</f>
        <v>Best 5</v>
      </c>
      <c r="F6" s="386" t="str">
        <f>'Reference Score Calculation'!E232</f>
        <v>Best 5</v>
      </c>
      <c r="G6" s="6">
        <f>'Reference Score Calculation'!G232</f>
        <v>33</v>
      </c>
      <c r="H6" s="6">
        <f>'Reference Score Calculation'!H232</f>
        <v>31</v>
      </c>
      <c r="I6" s="6">
        <f>'Reference Score Calculation'!I232</f>
        <v>30</v>
      </c>
      <c r="J6" s="45">
        <f>計分版!J255</f>
        <v>3.6500000000000004E-9</v>
      </c>
      <c r="K6" s="25">
        <f t="shared" si="0"/>
        <v>-30.999999996349999</v>
      </c>
      <c r="L6" s="26">
        <f t="shared" si="1"/>
        <v>-8493150683.9315052</v>
      </c>
      <c r="M6" s="36">
        <f>'Reference Score Calculation'!T232</f>
        <v>289</v>
      </c>
      <c r="N6" s="54">
        <f>入學要求!Z241</f>
        <v>0</v>
      </c>
      <c r="O6" s="516"/>
      <c r="P6" s="275">
        <f>入學要求!L241</f>
        <v>3</v>
      </c>
      <c r="Q6" s="275">
        <f>入學要求!M241</f>
        <v>3</v>
      </c>
      <c r="R6" s="275">
        <f>入學要求!N241</f>
        <v>2</v>
      </c>
      <c r="S6" s="275">
        <f>入學要求!O241</f>
        <v>1</v>
      </c>
      <c r="T6" s="275">
        <f>入學要求!P241</f>
        <v>3</v>
      </c>
      <c r="U6" s="275">
        <f>入學要求!Q241</f>
        <v>3</v>
      </c>
      <c r="V6" s="256">
        <f>入學要求!S241</f>
        <v>0</v>
      </c>
      <c r="W6" s="256">
        <f>入學要求!T241</f>
        <v>0</v>
      </c>
      <c r="X6" s="256">
        <f>入學要求!U241</f>
        <v>0</v>
      </c>
      <c r="Y6" s="256">
        <f>入學要求!V241</f>
        <v>0</v>
      </c>
      <c r="Z6" s="256">
        <f>入學要求!W241</f>
        <v>0</v>
      </c>
      <c r="AA6" s="256">
        <f>入學要求!X241</f>
        <v>0</v>
      </c>
      <c r="AB6" s="36">
        <f t="shared" si="2"/>
        <v>14.26</v>
      </c>
      <c r="AC6" s="510"/>
      <c r="AD6" s="36" cm="1">
        <f t="array" ref="AD6">IFERROR(INDEX('Offer Statistics'!DA$2:DA$400,MATCH(1,($A6='Offer Statistics'!$CL$2:$CL$400)*($AC$2='Offer Statistics'!$CM$2:$CM$400),0)),"/")</f>
        <v>221</v>
      </c>
      <c r="AE6" s="64" cm="1">
        <f t="array" ref="AE6">IFERROR(INDEX('Offer Statistics'!CV$2:CV$400,MATCH(1,($A6='Offer Statistics'!$CL$2:$CL$400)*($AC$2='Offer Statistics'!$CM$2:$CM$400),0)),"/")</f>
        <v>221</v>
      </c>
      <c r="AF6" s="64" cm="1">
        <f t="array" ref="AF6">IFERROR(INDEX('Offer Statistics'!CW$2:CW$400,MATCH(1,($A6='Offer Statistics'!$CL$2:$CL$400)*($AC$2='Offer Statistics'!$CM$2:$CM$400),0)),"/")</f>
        <v>0</v>
      </c>
      <c r="AG6" s="64" cm="1">
        <f t="array" ref="AG6">IFERROR(INDEX('Offer Statistics'!CX$2:CX$400,MATCH(1,($A6='Offer Statistics'!$CL$2:$CL$400)*($AC$2='Offer Statistics'!$CM$2:$CM$400),0)),"/")</f>
        <v>0</v>
      </c>
      <c r="AH6" s="64" cm="1">
        <f t="array" ref="AH6">IFERROR(INDEX('Offer Statistics'!CY$2:CY$400,MATCH(1,($A6='Offer Statistics'!$CL$2:$CL$400)*($AC$2='Offer Statistics'!$CM$2:$CM$400),0)),"/")</f>
        <v>0</v>
      </c>
      <c r="AI6" s="64" cm="1">
        <f t="array" ref="AI6">IFERROR(INDEX('Offer Statistics'!CZ$2:CZ$400,MATCH(1,($A6='Offer Statistics'!$CL$2:$CL$400)*($AC$2='Offer Statistics'!$CM$2:$CM$400),0)),"/")</f>
        <v>0</v>
      </c>
      <c r="AJ6" s="511"/>
      <c r="AK6" s="36" cm="1">
        <f t="array" ref="AK6">IFERROR(INDEX('Offer Statistics'!CS$2:CS$400,MATCH(1,($A6='Offer Statistics'!$CL$2:$CL$400)*($AC$2='Offer Statistics'!$CM$2:$CM$400),0)),"/")</f>
        <v>3151</v>
      </c>
      <c r="AL6" s="64" cm="1">
        <f t="array" ref="AL6">IFERROR(INDEX('Offer Statistics'!CN$2:CN$400,MATCH(1,($A6='Offer Statistics'!$CL$2:$CL$400)*($AC$2='Offer Statistics'!$CM$2:$CM$400),0)),"/")</f>
        <v>982</v>
      </c>
      <c r="AM6" s="64" cm="1">
        <f t="array" ref="AM6">IFERROR(INDEX('Offer Statistics'!CO$2:CO$400,MATCH(1,($A6='Offer Statistics'!$CL$2:$CL$400)*($AC$2='Offer Statistics'!$CM$2:$CM$400),0)),"/")</f>
        <v>428</v>
      </c>
      <c r="AN6" s="64" cm="1">
        <f t="array" ref="AN6">IFERROR(INDEX('Offer Statistics'!CP$2:CP$400,MATCH(1,($A6='Offer Statistics'!$CL$2:$CL$400)*($AC$2='Offer Statistics'!$CM$2:$CM$400),0)),"/")</f>
        <v>553</v>
      </c>
      <c r="AO6" s="64" cm="1">
        <f t="array" ref="AO6">IFERROR(INDEX('Offer Statistics'!CQ$2:CQ$400,MATCH(1,($A6='Offer Statistics'!$CL$2:$CL$400)*($AC$2='Offer Statistics'!$CM$2:$CM$400),0)),"/")</f>
        <v>603</v>
      </c>
      <c r="AP6" s="64" cm="1">
        <f t="array" ref="AP6">IFERROR(INDEX('Offer Statistics'!CR$2:CR$400,MATCH(1,($A6='Offer Statistics'!$CL$2:$CL$400)*($AC$2='Offer Statistics'!$CM$2:$CM$400),0)),"/")</f>
        <v>585</v>
      </c>
      <c r="AR6" s="15" t="str">
        <f t="shared" si="3"/>
        <v>JS6054</v>
      </c>
    </row>
    <row r="7" spans="1:44" ht="18" customHeight="1">
      <c r="A7" s="4" t="str">
        <f>'Reference Score Calculation'!A233</f>
        <v>JS6286</v>
      </c>
      <c r="B7" s="4" t="str">
        <f>'Reference Score Calculation'!C233</f>
        <v>文學院</v>
      </c>
      <c r="C7" s="4" t="str">
        <f>'Reference Score Calculation'!D233</f>
        <v>文學士(人文及數碼科技)</v>
      </c>
      <c r="D7" s="4" t="str">
        <f>'Reference Score Calculation'!R233</f>
        <v>BA(HDT)</v>
      </c>
      <c r="E7" s="392" t="str">
        <f>'Reference Score Calculation'!AB233</f>
        <v>Best 5</v>
      </c>
      <c r="F7" s="386" t="str">
        <f>'Reference Score Calculation'!E233</f>
        <v>Best 5</v>
      </c>
      <c r="G7" s="6">
        <f>'Reference Score Calculation'!G233</f>
        <v>35</v>
      </c>
      <c r="H7" s="6">
        <f>'Reference Score Calculation'!H233</f>
        <v>33</v>
      </c>
      <c r="I7" s="6">
        <f>'Reference Score Calculation'!I233</f>
        <v>30</v>
      </c>
      <c r="J7" s="45">
        <f>計分版!J256</f>
        <v>3.6500000000000004E-9</v>
      </c>
      <c r="K7" s="25">
        <f t="shared" si="0"/>
        <v>-32.999999996349999</v>
      </c>
      <c r="L7" s="26">
        <f t="shared" si="1"/>
        <v>-9041095889.4109573</v>
      </c>
      <c r="M7" s="36">
        <f>'Reference Score Calculation'!T233</f>
        <v>50</v>
      </c>
      <c r="N7" s="54">
        <f>入學要求!Z242</f>
        <v>0</v>
      </c>
      <c r="O7" s="516"/>
      <c r="P7" s="275">
        <f>入學要求!L242</f>
        <v>3</v>
      </c>
      <c r="Q7" s="275">
        <f>入學要求!M242</f>
        <v>3</v>
      </c>
      <c r="R7" s="275">
        <f>入學要求!N242</f>
        <v>3</v>
      </c>
      <c r="S7" s="275">
        <f>入學要求!O242</f>
        <v>1</v>
      </c>
      <c r="T7" s="275">
        <f>入學要求!P242</f>
        <v>3</v>
      </c>
      <c r="U7" s="275">
        <f>入學要求!Q242</f>
        <v>3</v>
      </c>
      <c r="V7" s="256">
        <f>入學要求!S242</f>
        <v>0</v>
      </c>
      <c r="W7" s="256">
        <f>入學要求!T242</f>
        <v>0</v>
      </c>
      <c r="X7" s="256">
        <f>入學要求!U242</f>
        <v>0</v>
      </c>
      <c r="Y7" s="256">
        <f>入學要求!V242</f>
        <v>0</v>
      </c>
      <c r="Z7" s="256">
        <f>入學要求!W242</f>
        <v>0</v>
      </c>
      <c r="AA7" s="256">
        <f>入學要求!X242</f>
        <v>0</v>
      </c>
      <c r="AB7" s="36">
        <f t="shared" si="2"/>
        <v>21.27</v>
      </c>
      <c r="AC7" s="510"/>
      <c r="AD7" s="36" cm="1">
        <f t="array" ref="AD7">IFERROR(INDEX('Offer Statistics'!DA$2:DA$400,MATCH(1,($A7='Offer Statistics'!$CL$2:$CL$400)*($AC$2='Offer Statistics'!$CM$2:$CM$400),0)),"/")</f>
        <v>15</v>
      </c>
      <c r="AE7" s="64" cm="1">
        <f t="array" ref="AE7">IFERROR(INDEX('Offer Statistics'!CV$2:CV$400,MATCH(1,($A7='Offer Statistics'!$CL$2:$CL$400)*($AC$2='Offer Statistics'!$CM$2:$CM$400),0)),"/")</f>
        <v>15</v>
      </c>
      <c r="AF7" s="64" cm="1">
        <f t="array" ref="AF7">IFERROR(INDEX('Offer Statistics'!CW$2:CW$400,MATCH(1,($A7='Offer Statistics'!$CL$2:$CL$400)*($AC$2='Offer Statistics'!$CM$2:$CM$400),0)),"/")</f>
        <v>0</v>
      </c>
      <c r="AG7" s="64" cm="1">
        <f t="array" ref="AG7">IFERROR(INDEX('Offer Statistics'!CX$2:CX$400,MATCH(1,($A7='Offer Statistics'!$CL$2:$CL$400)*($AC$2='Offer Statistics'!$CM$2:$CM$400),0)),"/")</f>
        <v>0</v>
      </c>
      <c r="AH7" s="64" cm="1">
        <f t="array" ref="AH7">IFERROR(INDEX('Offer Statistics'!CY$2:CY$400,MATCH(1,($A7='Offer Statistics'!$CL$2:$CL$400)*($AC$2='Offer Statistics'!$CM$2:$CM$400),0)),"/")</f>
        <v>0</v>
      </c>
      <c r="AI7" s="64" cm="1">
        <f t="array" ref="AI7">IFERROR(INDEX('Offer Statistics'!CZ$2:CZ$400,MATCH(1,($A7='Offer Statistics'!$CL$2:$CL$400)*($AC$2='Offer Statistics'!$CM$2:$CM$400),0)),"/")</f>
        <v>0</v>
      </c>
      <c r="AJ7" s="511"/>
      <c r="AK7" s="36" cm="1">
        <f t="array" ref="AK7">IFERROR(INDEX('Offer Statistics'!CS$2:CS$400,MATCH(1,($A7='Offer Statistics'!$CL$2:$CL$400)*($AC$2='Offer Statistics'!$CM$2:$CM$400),0)),"/")</f>
        <v>319</v>
      </c>
      <c r="AL7" s="64" cm="1">
        <f t="array" ref="AL7">IFERROR(INDEX('Offer Statistics'!CN$2:CN$400,MATCH(1,($A7='Offer Statistics'!$CL$2:$CL$400)*($AC$2='Offer Statistics'!$CM$2:$CM$400),0)),"/")</f>
        <v>47</v>
      </c>
      <c r="AM7" s="64" cm="1">
        <f t="array" ref="AM7">IFERROR(INDEX('Offer Statistics'!CO$2:CO$400,MATCH(1,($A7='Offer Statistics'!$CL$2:$CL$400)*($AC$2='Offer Statistics'!$CM$2:$CM$400),0)),"/")</f>
        <v>34</v>
      </c>
      <c r="AN7" s="64" cm="1">
        <f t="array" ref="AN7">IFERROR(INDEX('Offer Statistics'!CP$2:CP$400,MATCH(1,($A7='Offer Statistics'!$CL$2:$CL$400)*($AC$2='Offer Statistics'!$CM$2:$CM$400),0)),"/")</f>
        <v>60</v>
      </c>
      <c r="AO7" s="64" cm="1">
        <f t="array" ref="AO7">IFERROR(INDEX('Offer Statistics'!CQ$2:CQ$400,MATCH(1,($A7='Offer Statistics'!$CL$2:$CL$400)*($AC$2='Offer Statistics'!$CM$2:$CM$400),0)),"/")</f>
        <v>79</v>
      </c>
      <c r="AP7" s="64" cm="1">
        <f t="array" ref="AP7">IFERROR(INDEX('Offer Statistics'!CR$2:CR$400,MATCH(1,($A7='Offer Statistics'!$CL$2:$CL$400)*($AC$2='Offer Statistics'!$CM$2:$CM$400),0)),"/")</f>
        <v>99</v>
      </c>
      <c r="AR7" s="15" t="str">
        <f t="shared" si="3"/>
        <v>JS6286</v>
      </c>
    </row>
    <row r="8" spans="1:44" ht="18" customHeight="1">
      <c r="A8" s="4" t="str">
        <f>'Reference Score Calculation'!A234</f>
        <v>JS6755</v>
      </c>
      <c r="B8" s="4" t="str">
        <f>'Reference Score Calculation'!C234</f>
        <v>經濟及工商管理學院</v>
      </c>
      <c r="C8" s="4" t="str">
        <f>'Reference Score Calculation'!D234</f>
        <v>工商管理學學士</v>
      </c>
      <c r="D8" s="4" t="str">
        <f>'Reference Score Calculation'!R234</f>
        <v>BBA</v>
      </c>
      <c r="E8" s="392" t="str">
        <f>'Reference Score Calculation'!AB234</f>
        <v>Best 5</v>
      </c>
      <c r="F8" s="386" t="str">
        <f>'Reference Score Calculation'!E234</f>
        <v>Best 6</v>
      </c>
      <c r="G8" s="6">
        <f>'Reference Score Calculation'!G234</f>
        <v>39</v>
      </c>
      <c r="H8" s="6">
        <f>'Reference Score Calculation'!H234</f>
        <v>37</v>
      </c>
      <c r="I8" s="6">
        <f>'Reference Score Calculation'!I234</f>
        <v>36</v>
      </c>
      <c r="J8" s="45">
        <f>計分版!J257</f>
        <v>3.7500000000000005E-9</v>
      </c>
      <c r="K8" s="25">
        <f t="shared" si="0"/>
        <v>-36.999999996249997</v>
      </c>
      <c r="L8" s="26">
        <f t="shared" si="1"/>
        <v>-9866666665.6666641</v>
      </c>
      <c r="M8" s="511" t="str">
        <f>'Reference Score Calculation'!T234</f>
        <v>220*</v>
      </c>
      <c r="N8" s="54">
        <f>入學要求!Z243</f>
        <v>0</v>
      </c>
      <c r="O8" s="516"/>
      <c r="P8" s="275">
        <f>入學要求!L243</f>
        <v>3</v>
      </c>
      <c r="Q8" s="275">
        <f>入學要求!M243</f>
        <v>4</v>
      </c>
      <c r="R8" s="275">
        <f>入學要求!N243</f>
        <v>3</v>
      </c>
      <c r="S8" s="275">
        <f>入學要求!O243</f>
        <v>1</v>
      </c>
      <c r="T8" s="275">
        <f>入學要求!P243</f>
        <v>3</v>
      </c>
      <c r="U8" s="275">
        <f>入學要求!Q243</f>
        <v>3</v>
      </c>
      <c r="V8" s="256">
        <f>入學要求!S243</f>
        <v>0</v>
      </c>
      <c r="W8" s="256">
        <f>入學要求!T243</f>
        <v>0</v>
      </c>
      <c r="X8" s="256">
        <f>入學要求!U243</f>
        <v>0</v>
      </c>
      <c r="Y8" s="256">
        <f>入學要求!V243</f>
        <v>0</v>
      </c>
      <c r="Z8" s="256">
        <f>入學要求!W243</f>
        <v>0</v>
      </c>
      <c r="AA8" s="256">
        <f>入學要求!X243</f>
        <v>0</v>
      </c>
      <c r="AB8" s="36">
        <f t="shared" si="2"/>
        <v>44.7</v>
      </c>
      <c r="AC8" s="510"/>
      <c r="AD8" s="36" cm="1">
        <f t="array" ref="AD8">IFERROR(INDEX('Offer Statistics'!DA$2:DA$400,MATCH(1,($A8='Offer Statistics'!$CL$2:$CL$400)*($AC$2='Offer Statistics'!$CM$2:$CM$400),0)),"/")</f>
        <v>50</v>
      </c>
      <c r="AE8" s="64" cm="1">
        <f t="array" ref="AE8">IFERROR(INDEX('Offer Statistics'!CV$2:CV$400,MATCH(1,($A8='Offer Statistics'!$CL$2:$CL$400)*($AC$2='Offer Statistics'!$CM$2:$CM$400),0)),"/")</f>
        <v>50</v>
      </c>
      <c r="AF8" s="64" cm="1">
        <f t="array" ref="AF8">IFERROR(INDEX('Offer Statistics'!CW$2:CW$400,MATCH(1,($A8='Offer Statistics'!$CL$2:$CL$400)*($AC$2='Offer Statistics'!$CM$2:$CM$400),0)),"/")</f>
        <v>0</v>
      </c>
      <c r="AG8" s="64" cm="1">
        <f t="array" ref="AG8">IFERROR(INDEX('Offer Statistics'!CX$2:CX$400,MATCH(1,($A8='Offer Statistics'!$CL$2:$CL$400)*($AC$2='Offer Statistics'!$CM$2:$CM$400),0)),"/")</f>
        <v>0</v>
      </c>
      <c r="AH8" s="64" cm="1">
        <f t="array" ref="AH8">IFERROR(INDEX('Offer Statistics'!CY$2:CY$400,MATCH(1,($A8='Offer Statistics'!$CL$2:$CL$400)*($AC$2='Offer Statistics'!$CM$2:$CM$400),0)),"/")</f>
        <v>0</v>
      </c>
      <c r="AI8" s="64" cm="1">
        <f t="array" ref="AI8">IFERROR(INDEX('Offer Statistics'!CZ$2:CZ$400,MATCH(1,($A8='Offer Statistics'!$CL$2:$CL$400)*($AC$2='Offer Statistics'!$CM$2:$CM$400),0)),"/")</f>
        <v>0</v>
      </c>
      <c r="AJ8" s="511"/>
      <c r="AK8" s="36" cm="1">
        <f t="array" ref="AK8">IFERROR(INDEX('Offer Statistics'!CS$2:CS$400,MATCH(1,($A8='Offer Statistics'!$CL$2:$CL$400)*($AC$2='Offer Statistics'!$CM$2:$CM$400),0)),"/")</f>
        <v>2235</v>
      </c>
      <c r="AL8" s="64" cm="1">
        <f t="array" ref="AL8">IFERROR(INDEX('Offer Statistics'!CN$2:CN$400,MATCH(1,($A8='Offer Statistics'!$CL$2:$CL$400)*($AC$2='Offer Statistics'!$CM$2:$CM$400),0)),"/")</f>
        <v>351</v>
      </c>
      <c r="AM8" s="64" cm="1">
        <f t="array" ref="AM8">IFERROR(INDEX('Offer Statistics'!CO$2:CO$400,MATCH(1,($A8='Offer Statistics'!$CL$2:$CL$400)*($AC$2='Offer Statistics'!$CM$2:$CM$400),0)),"/")</f>
        <v>328</v>
      </c>
      <c r="AN8" s="64" cm="1">
        <f t="array" ref="AN8">IFERROR(INDEX('Offer Statistics'!CP$2:CP$400,MATCH(1,($A8='Offer Statistics'!$CL$2:$CL$400)*($AC$2='Offer Statistics'!$CM$2:$CM$400),0)),"/")</f>
        <v>440</v>
      </c>
      <c r="AO8" s="64" cm="1">
        <f t="array" ref="AO8">IFERROR(INDEX('Offer Statistics'!CQ$2:CQ$400,MATCH(1,($A8='Offer Statistics'!$CL$2:$CL$400)*($AC$2='Offer Statistics'!$CM$2:$CM$400),0)),"/")</f>
        <v>597</v>
      </c>
      <c r="AP8" s="64" cm="1">
        <f t="array" ref="AP8">IFERROR(INDEX('Offer Statistics'!CR$2:CR$400,MATCH(1,($A8='Offer Statistics'!$CL$2:$CL$400)*($AC$2='Offer Statistics'!$CM$2:$CM$400),0)),"/")</f>
        <v>519</v>
      </c>
      <c r="AR8" s="15" t="str">
        <f>A8</f>
        <v>JS6755</v>
      </c>
    </row>
    <row r="9" spans="1:44" ht="18" customHeight="1">
      <c r="A9" s="4" t="str">
        <f>'Reference Score Calculation'!A235</f>
        <v>JS6767</v>
      </c>
      <c r="B9" s="4" t="str">
        <f>'Reference Score Calculation'!C235</f>
        <v>經濟及工商管理學院</v>
      </c>
      <c r="C9" s="4" t="str">
        <f>'Reference Score Calculation'!D235</f>
        <v>經濟學學士 / 經濟金融學學士</v>
      </c>
      <c r="D9" s="4" t="str">
        <f>'Reference Score Calculation'!R235</f>
        <v xml:space="preserve">	BEcon/BEcon&amp;Fin</v>
      </c>
      <c r="E9" s="392" t="str">
        <f>'Reference Score Calculation'!AB235</f>
        <v>Best 5</v>
      </c>
      <c r="F9" s="386" t="str">
        <f>'Reference Score Calculation'!E235</f>
        <v>Best 6</v>
      </c>
      <c r="G9" s="6">
        <f>'Reference Score Calculation'!G235</f>
        <v>42</v>
      </c>
      <c r="H9" s="6">
        <f>'Reference Score Calculation'!H235</f>
        <v>41</v>
      </c>
      <c r="I9" s="6">
        <f>'Reference Score Calculation'!I235</f>
        <v>40</v>
      </c>
      <c r="J9" s="45">
        <f>計分版!J258</f>
        <v>3.7500000000000005E-9</v>
      </c>
      <c r="K9" s="25">
        <f t="shared" si="0"/>
        <v>-40.999999996249997</v>
      </c>
      <c r="L9" s="26">
        <f t="shared" si="1"/>
        <v>-10933333332.33333</v>
      </c>
      <c r="M9" s="511"/>
      <c r="N9" s="54">
        <f>入學要求!Z244</f>
        <v>0</v>
      </c>
      <c r="O9" s="516"/>
      <c r="P9" s="275">
        <f>入學要求!L244</f>
        <v>3</v>
      </c>
      <c r="Q9" s="275">
        <f>入學要求!M244</f>
        <v>4</v>
      </c>
      <c r="R9" s="275">
        <f>入學要求!N244</f>
        <v>3</v>
      </c>
      <c r="S9" s="275">
        <f>入學要求!O244</f>
        <v>1</v>
      </c>
      <c r="T9" s="275">
        <f>入學要求!P244</f>
        <v>3</v>
      </c>
      <c r="U9" s="275">
        <f>入學要求!Q244</f>
        <v>3</v>
      </c>
      <c r="V9" s="256">
        <f>入學要求!S244</f>
        <v>0</v>
      </c>
      <c r="W9" s="256">
        <f>入學要求!T244</f>
        <v>0</v>
      </c>
      <c r="X9" s="256">
        <f>入學要求!U244</f>
        <v>0</v>
      </c>
      <c r="Y9" s="256">
        <f>入學要求!V244</f>
        <v>0</v>
      </c>
      <c r="Z9" s="256">
        <f>入學要求!W244</f>
        <v>0</v>
      </c>
      <c r="AA9" s="256">
        <f>入學要求!X244</f>
        <v>0</v>
      </c>
      <c r="AB9" s="36">
        <f t="shared" si="2"/>
        <v>30.23</v>
      </c>
      <c r="AC9" s="510"/>
      <c r="AD9" s="36" cm="1">
        <f t="array" ref="AD9">IFERROR(INDEX('Offer Statistics'!DA$2:DA$400,MATCH(1,($A9='Offer Statistics'!$CL$2:$CL$400)*($AC$2='Offer Statistics'!$CM$2:$CM$400),0)),"/")</f>
        <v>60</v>
      </c>
      <c r="AE9" s="64" cm="1">
        <f t="array" ref="AE9">IFERROR(INDEX('Offer Statistics'!CV$2:CV$400,MATCH(1,($A9='Offer Statistics'!$CL$2:$CL$400)*($AC$2='Offer Statistics'!$CM$2:$CM$400),0)),"/")</f>
        <v>60</v>
      </c>
      <c r="AF9" s="64" cm="1">
        <f t="array" ref="AF9">IFERROR(INDEX('Offer Statistics'!CW$2:CW$400,MATCH(1,($A9='Offer Statistics'!$CL$2:$CL$400)*($AC$2='Offer Statistics'!$CM$2:$CM$400),0)),"/")</f>
        <v>0</v>
      </c>
      <c r="AG9" s="64" cm="1">
        <f t="array" ref="AG9">IFERROR(INDEX('Offer Statistics'!CX$2:CX$400,MATCH(1,($A9='Offer Statistics'!$CL$2:$CL$400)*($AC$2='Offer Statistics'!$CM$2:$CM$400),0)),"/")</f>
        <v>0</v>
      </c>
      <c r="AH9" s="64" cm="1">
        <f t="array" ref="AH9">IFERROR(INDEX('Offer Statistics'!CY$2:CY$400,MATCH(1,($A9='Offer Statistics'!$CL$2:$CL$400)*($AC$2='Offer Statistics'!$CM$2:$CM$400),0)),"/")</f>
        <v>0</v>
      </c>
      <c r="AI9" s="64" cm="1">
        <f t="array" ref="AI9">IFERROR(INDEX('Offer Statistics'!CZ$2:CZ$400,MATCH(1,($A9='Offer Statistics'!$CL$2:$CL$400)*($AC$2='Offer Statistics'!$CM$2:$CM$400),0)),"/")</f>
        <v>0</v>
      </c>
      <c r="AJ9" s="511"/>
      <c r="AK9" s="36" cm="1">
        <f t="array" ref="AK9">IFERROR(INDEX('Offer Statistics'!CS$2:CS$400,MATCH(1,($A9='Offer Statistics'!$CL$2:$CL$400)*($AC$2='Offer Statistics'!$CM$2:$CM$400),0)),"/")</f>
        <v>1814</v>
      </c>
      <c r="AL9" s="64" cm="1">
        <f t="array" ref="AL9">IFERROR(INDEX('Offer Statistics'!CN$2:CN$400,MATCH(1,($A9='Offer Statistics'!$CL$2:$CL$400)*($AC$2='Offer Statistics'!$CM$2:$CM$400),0)),"/")</f>
        <v>327</v>
      </c>
      <c r="AM9" s="64" cm="1">
        <f t="array" ref="AM9">IFERROR(INDEX('Offer Statistics'!CO$2:CO$400,MATCH(1,($A9='Offer Statistics'!$CL$2:$CL$400)*($AC$2='Offer Statistics'!$CM$2:$CM$400),0)),"/")</f>
        <v>221</v>
      </c>
      <c r="AN9" s="64" cm="1">
        <f t="array" ref="AN9">IFERROR(INDEX('Offer Statistics'!CP$2:CP$400,MATCH(1,($A9='Offer Statistics'!$CL$2:$CL$400)*($AC$2='Offer Statistics'!$CM$2:$CM$400),0)),"/")</f>
        <v>343</v>
      </c>
      <c r="AO9" s="64" cm="1">
        <f t="array" ref="AO9">IFERROR(INDEX('Offer Statistics'!CQ$2:CQ$400,MATCH(1,($A9='Offer Statistics'!$CL$2:$CL$400)*($AC$2='Offer Statistics'!$CM$2:$CM$400),0)),"/")</f>
        <v>483</v>
      </c>
      <c r="AP9" s="64" cm="1">
        <f t="array" ref="AP9">IFERROR(INDEX('Offer Statistics'!CR$2:CR$400,MATCH(1,($A9='Offer Statistics'!$CL$2:$CL$400)*($AC$2='Offer Statistics'!$CM$2:$CM$400),0)),"/")</f>
        <v>440</v>
      </c>
      <c r="AR9" s="15" t="str">
        <f t="shared" si="3"/>
        <v>JS6767</v>
      </c>
    </row>
    <row r="10" spans="1:44" ht="18" customHeight="1">
      <c r="A10" s="4" t="str">
        <f>'Reference Score Calculation'!A236</f>
        <v>JS6781</v>
      </c>
      <c r="B10" s="4" t="str">
        <f>'Reference Score Calculation'!C236</f>
        <v>經濟及工商管理學院</v>
      </c>
      <c r="C10" s="4" t="str">
        <f>'Reference Score Calculation'!D236</f>
        <v>工商管理學學士 / 工商管理學學士(會計及財務)</v>
      </c>
      <c r="D10" s="4" t="str">
        <f>'Reference Score Calculation'!R236</f>
        <v xml:space="preserve">	BBA/BBA(Acc&amp;Fin)</v>
      </c>
      <c r="E10" s="392" t="str">
        <f>'Reference Score Calculation'!AB236</f>
        <v>Best 5</v>
      </c>
      <c r="F10" s="386" t="str">
        <f>'Reference Score Calculation'!E236</f>
        <v>Best 6</v>
      </c>
      <c r="G10" s="6">
        <f>'Reference Score Calculation'!G236</f>
        <v>40</v>
      </c>
      <c r="H10" s="6">
        <f>'Reference Score Calculation'!H236</f>
        <v>38</v>
      </c>
      <c r="I10" s="6">
        <f>'Reference Score Calculation'!I236</f>
        <v>37</v>
      </c>
      <c r="J10" s="45">
        <f>計分版!J259</f>
        <v>3.7500000000000005E-9</v>
      </c>
      <c r="K10" s="25">
        <f t="shared" si="0"/>
        <v>-37.999999996249997</v>
      </c>
      <c r="L10" s="26">
        <f t="shared" si="1"/>
        <v>-10133333332.333332</v>
      </c>
      <c r="M10" s="511"/>
      <c r="N10" s="54">
        <f>入學要求!Z245</f>
        <v>0</v>
      </c>
      <c r="O10" s="516"/>
      <c r="P10" s="275">
        <f>入學要求!L245</f>
        <v>3</v>
      </c>
      <c r="Q10" s="275">
        <f>入學要求!M245</f>
        <v>4</v>
      </c>
      <c r="R10" s="275">
        <f>入學要求!N245</f>
        <v>3</v>
      </c>
      <c r="S10" s="275">
        <f>入學要求!O245</f>
        <v>1</v>
      </c>
      <c r="T10" s="275">
        <f>入學要求!P245</f>
        <v>3</v>
      </c>
      <c r="U10" s="275">
        <f>入學要求!Q245</f>
        <v>3</v>
      </c>
      <c r="V10" s="256">
        <f>入學要求!S245</f>
        <v>0</v>
      </c>
      <c r="W10" s="256">
        <f>入學要求!T245</f>
        <v>0</v>
      </c>
      <c r="X10" s="256">
        <f>入學要求!U245</f>
        <v>0</v>
      </c>
      <c r="Y10" s="256">
        <f>入學要求!V245</f>
        <v>0</v>
      </c>
      <c r="Z10" s="256">
        <f>入學要求!W245</f>
        <v>0</v>
      </c>
      <c r="AA10" s="256">
        <f>入學要求!X245</f>
        <v>0</v>
      </c>
      <c r="AB10" s="36">
        <f t="shared" si="2"/>
        <v>19.829999999999998</v>
      </c>
      <c r="AC10" s="510"/>
      <c r="AD10" s="36" cm="1">
        <f t="array" ref="AD10">IFERROR(INDEX('Offer Statistics'!DA$2:DA$400,MATCH(1,($A10='Offer Statistics'!$CL$2:$CL$400)*($AC$2='Offer Statistics'!$CM$2:$CM$400),0)),"/")</f>
        <v>90</v>
      </c>
      <c r="AE10" s="64" cm="1">
        <f t="array" ref="AE10">IFERROR(INDEX('Offer Statistics'!CV$2:CV$400,MATCH(1,($A10='Offer Statistics'!$CL$2:$CL$400)*($AC$2='Offer Statistics'!$CM$2:$CM$400),0)),"/")</f>
        <v>90</v>
      </c>
      <c r="AF10" s="64" cm="1">
        <f t="array" ref="AF10">IFERROR(INDEX('Offer Statistics'!CW$2:CW$400,MATCH(1,($A10='Offer Statistics'!$CL$2:$CL$400)*($AC$2='Offer Statistics'!$CM$2:$CM$400),0)),"/")</f>
        <v>0</v>
      </c>
      <c r="AG10" s="64" cm="1">
        <f t="array" ref="AG10">IFERROR(INDEX('Offer Statistics'!CX$2:CX$400,MATCH(1,($A10='Offer Statistics'!$CL$2:$CL$400)*($AC$2='Offer Statistics'!$CM$2:$CM$400),0)),"/")</f>
        <v>0</v>
      </c>
      <c r="AH10" s="64" cm="1">
        <f t="array" ref="AH10">IFERROR(INDEX('Offer Statistics'!CY$2:CY$400,MATCH(1,($A10='Offer Statistics'!$CL$2:$CL$400)*($AC$2='Offer Statistics'!$CM$2:$CM$400),0)),"/")</f>
        <v>0</v>
      </c>
      <c r="AI10" s="64" cm="1">
        <f t="array" ref="AI10">IFERROR(INDEX('Offer Statistics'!CZ$2:CZ$400,MATCH(1,($A10='Offer Statistics'!$CL$2:$CL$400)*($AC$2='Offer Statistics'!$CM$2:$CM$400),0)),"/")</f>
        <v>0</v>
      </c>
      <c r="AJ10" s="511"/>
      <c r="AK10" s="36" cm="1">
        <f t="array" ref="AK10">IFERROR(INDEX('Offer Statistics'!CS$2:CS$400,MATCH(1,($A10='Offer Statistics'!$CL$2:$CL$400)*($AC$2='Offer Statistics'!$CM$2:$CM$400),0)),"/")</f>
        <v>1785</v>
      </c>
      <c r="AL10" s="64" cm="1">
        <f t="array" ref="AL10">IFERROR(INDEX('Offer Statistics'!CN$2:CN$400,MATCH(1,($A10='Offer Statistics'!$CL$2:$CL$400)*($AC$2='Offer Statistics'!$CM$2:$CM$400),0)),"/")</f>
        <v>357</v>
      </c>
      <c r="AM10" s="64" cm="1">
        <f t="array" ref="AM10">IFERROR(INDEX('Offer Statistics'!CO$2:CO$400,MATCH(1,($A10='Offer Statistics'!$CL$2:$CL$400)*($AC$2='Offer Statistics'!$CM$2:$CM$400),0)),"/")</f>
        <v>210</v>
      </c>
      <c r="AN10" s="64" cm="1">
        <f t="array" ref="AN10">IFERROR(INDEX('Offer Statistics'!CP$2:CP$400,MATCH(1,($A10='Offer Statistics'!$CL$2:$CL$400)*($AC$2='Offer Statistics'!$CM$2:$CM$400),0)),"/")</f>
        <v>322</v>
      </c>
      <c r="AO10" s="64" cm="1">
        <f t="array" ref="AO10">IFERROR(INDEX('Offer Statistics'!CQ$2:CQ$400,MATCH(1,($A10='Offer Statistics'!$CL$2:$CL$400)*($AC$2='Offer Statistics'!$CM$2:$CM$400),0)),"/")</f>
        <v>462</v>
      </c>
      <c r="AP10" s="64" cm="1">
        <f t="array" ref="AP10">IFERROR(INDEX('Offer Statistics'!CR$2:CR$400,MATCH(1,($A10='Offer Statistics'!$CL$2:$CL$400)*($AC$2='Offer Statistics'!$CM$2:$CM$400),0)),"/")</f>
        <v>434</v>
      </c>
      <c r="AR10" s="15" t="str">
        <f t="shared" si="3"/>
        <v>JS6781</v>
      </c>
    </row>
    <row r="11" spans="1:44" ht="18" customHeight="1">
      <c r="A11" s="4" t="str">
        <f>'Reference Score Calculation'!A237</f>
        <v>JS6860</v>
      </c>
      <c r="B11" s="4" t="str">
        <f>'Reference Score Calculation'!C237</f>
        <v>經濟及工商管理學院</v>
      </c>
      <c r="C11" s="4" t="str">
        <f>'Reference Score Calculation'!D237</f>
        <v>金融學學士(資產管理及私人銀行)</v>
      </c>
      <c r="D11" s="4" t="str">
        <f>'Reference Score Calculation'!R237</f>
        <v xml:space="preserve">	BFin(AMPB)</v>
      </c>
      <c r="E11" s="392" t="str">
        <f>'Reference Score Calculation'!AB237</f>
        <v>Best 6</v>
      </c>
      <c r="F11" s="391" t="str">
        <f>'Reference Score Calculation'!E237</f>
        <v>Best 6</v>
      </c>
      <c r="G11" s="6">
        <f>'Reference Score Calculation'!G237</f>
        <v>48</v>
      </c>
      <c r="H11" s="6">
        <f>'Reference Score Calculation'!H237</f>
        <v>46</v>
      </c>
      <c r="I11" s="6">
        <f>'Reference Score Calculation'!I237</f>
        <v>46</v>
      </c>
      <c r="J11" s="45">
        <f>計分版!J260</f>
        <v>3.7500000000000005E-9</v>
      </c>
      <c r="K11" s="25">
        <f t="shared" si="0"/>
        <v>-45.999999996249997</v>
      </c>
      <c r="L11" s="26">
        <f t="shared" si="1"/>
        <v>-12266666665.666664</v>
      </c>
      <c r="M11" s="36">
        <f>'Reference Score Calculation'!T237</f>
        <v>30</v>
      </c>
      <c r="N11" s="54">
        <f>入學要求!Z246</f>
        <v>0</v>
      </c>
      <c r="O11" s="516"/>
      <c r="P11" s="275">
        <f>入學要求!L246</f>
        <v>3</v>
      </c>
      <c r="Q11" s="275">
        <f>入學要求!M246</f>
        <v>4</v>
      </c>
      <c r="R11" s="275">
        <f>入學要求!N246</f>
        <v>3</v>
      </c>
      <c r="S11" s="275">
        <f>入學要求!O246</f>
        <v>1</v>
      </c>
      <c r="T11" s="275">
        <f>入學要求!P246</f>
        <v>3</v>
      </c>
      <c r="U11" s="275">
        <f>入學要求!Q246</f>
        <v>3</v>
      </c>
      <c r="V11" s="256">
        <f>入學要求!S246</f>
        <v>0</v>
      </c>
      <c r="W11" s="256">
        <f>入學要求!T246</f>
        <v>0</v>
      </c>
      <c r="X11" s="256">
        <f>入學要求!U246</f>
        <v>0</v>
      </c>
      <c r="Y11" s="256">
        <f>入學要求!V246</f>
        <v>0</v>
      </c>
      <c r="Z11" s="256">
        <f>入學要求!W246</f>
        <v>0</v>
      </c>
      <c r="AA11" s="256">
        <f>入學要求!X246</f>
        <v>0</v>
      </c>
      <c r="AB11" s="36">
        <f t="shared" si="2"/>
        <v>23.73</v>
      </c>
      <c r="AC11" s="510"/>
      <c r="AD11" s="36" cm="1">
        <f t="array" ref="AD11">IFERROR(INDEX('Offer Statistics'!DA$2:DA$400,MATCH(1,($A11='Offer Statistics'!$CL$2:$CL$400)*($AC$2='Offer Statistics'!$CM$2:$CM$400),0)),"/")</f>
        <v>26</v>
      </c>
      <c r="AE11" s="64" cm="1">
        <f t="array" ref="AE11">IFERROR(INDEX('Offer Statistics'!CV$2:CV$400,MATCH(1,($A11='Offer Statistics'!$CL$2:$CL$400)*($AC$2='Offer Statistics'!$CM$2:$CM$400),0)),"/")</f>
        <v>26</v>
      </c>
      <c r="AF11" s="64" cm="1">
        <f t="array" ref="AF11">IFERROR(INDEX('Offer Statistics'!CW$2:CW$400,MATCH(1,($A11='Offer Statistics'!$CL$2:$CL$400)*($AC$2='Offer Statistics'!$CM$2:$CM$400),0)),"/")</f>
        <v>0</v>
      </c>
      <c r="AG11" s="64" cm="1">
        <f t="array" ref="AG11">IFERROR(INDEX('Offer Statistics'!CX$2:CX$400,MATCH(1,($A11='Offer Statistics'!$CL$2:$CL$400)*($AC$2='Offer Statistics'!$CM$2:$CM$400),0)),"/")</f>
        <v>0</v>
      </c>
      <c r="AH11" s="64" cm="1">
        <f t="array" ref="AH11">IFERROR(INDEX('Offer Statistics'!CY$2:CY$400,MATCH(1,($A11='Offer Statistics'!$CL$2:$CL$400)*($AC$2='Offer Statistics'!$CM$2:$CM$400),0)),"/")</f>
        <v>0</v>
      </c>
      <c r="AI11" s="64" cm="1">
        <f t="array" ref="AI11">IFERROR(INDEX('Offer Statistics'!CZ$2:CZ$400,MATCH(1,($A11='Offer Statistics'!$CL$2:$CL$400)*($AC$2='Offer Statistics'!$CM$2:$CM$400),0)),"/")</f>
        <v>0</v>
      </c>
      <c r="AJ11" s="511"/>
      <c r="AK11" s="36" cm="1">
        <f t="array" ref="AK11">IFERROR(INDEX('Offer Statistics'!CS$2:CS$400,MATCH(1,($A11='Offer Statistics'!$CL$2:$CL$400)*($AC$2='Offer Statistics'!$CM$2:$CM$400),0)),"/")</f>
        <v>617</v>
      </c>
      <c r="AL11" s="64" cm="1">
        <f t="array" ref="AL11">IFERROR(INDEX('Offer Statistics'!CN$2:CN$400,MATCH(1,($A11='Offer Statistics'!$CL$2:$CL$400)*($AC$2='Offer Statistics'!$CM$2:$CM$400),0)),"/")</f>
        <v>113</v>
      </c>
      <c r="AM11" s="64" cm="1">
        <f t="array" ref="AM11">IFERROR(INDEX('Offer Statistics'!CO$2:CO$400,MATCH(1,($A11='Offer Statistics'!$CL$2:$CL$400)*($AC$2='Offer Statistics'!$CM$2:$CM$400),0)),"/")</f>
        <v>64</v>
      </c>
      <c r="AN11" s="64" cm="1">
        <f t="array" ref="AN11">IFERROR(INDEX('Offer Statistics'!CP$2:CP$400,MATCH(1,($A11='Offer Statistics'!$CL$2:$CL$400)*($AC$2='Offer Statistics'!$CM$2:$CM$400),0)),"/")</f>
        <v>97</v>
      </c>
      <c r="AO11" s="64" cm="1">
        <f t="array" ref="AO11">IFERROR(INDEX('Offer Statistics'!CQ$2:CQ$400,MATCH(1,($A11='Offer Statistics'!$CL$2:$CL$400)*($AC$2='Offer Statistics'!$CM$2:$CM$400),0)),"/")</f>
        <v>176</v>
      </c>
      <c r="AP11" s="64" cm="1">
        <f t="array" ref="AP11">IFERROR(INDEX('Offer Statistics'!CR$2:CR$400,MATCH(1,($A11='Offer Statistics'!$CL$2:$CL$400)*($AC$2='Offer Statistics'!$CM$2:$CM$400),0)),"/")</f>
        <v>167</v>
      </c>
      <c r="AR11" s="15" t="str">
        <f t="shared" si="3"/>
        <v>JS6860</v>
      </c>
    </row>
    <row r="12" spans="1:44" ht="18" customHeight="1">
      <c r="A12" s="4" t="str">
        <f>'Reference Score Calculation'!A238</f>
        <v>JS6793</v>
      </c>
      <c r="B12" s="4" t="str">
        <f>'Reference Score Calculation'!C238</f>
        <v>經濟及工商管理學院</v>
      </c>
      <c r="C12" s="4" t="str">
        <f>'Reference Score Calculation'!D238</f>
        <v>工商管理學學士(資訊系統)</v>
      </c>
      <c r="D12" s="4" t="str">
        <f>'Reference Score Calculation'!R238</f>
        <v xml:space="preserve">	BBA(IS)</v>
      </c>
      <c r="E12" s="392" t="str">
        <f>'Reference Score Calculation'!AB238</f>
        <v>Best 5</v>
      </c>
      <c r="F12" s="386" t="str">
        <f>'Reference Score Calculation'!E238</f>
        <v>Best 6</v>
      </c>
      <c r="G12" s="6">
        <f>'Reference Score Calculation'!G238</f>
        <v>39</v>
      </c>
      <c r="H12" s="6">
        <f>'Reference Score Calculation'!H238</f>
        <v>36</v>
      </c>
      <c r="I12" s="6">
        <f>'Reference Score Calculation'!I238</f>
        <v>35</v>
      </c>
      <c r="J12" s="45">
        <f>計分版!J261</f>
        <v>3.7500000000000005E-9</v>
      </c>
      <c r="K12" s="25">
        <f t="shared" si="0"/>
        <v>-35.999999996249997</v>
      </c>
      <c r="L12" s="26">
        <f t="shared" si="1"/>
        <v>-9599999998.9999981</v>
      </c>
      <c r="M12" s="36">
        <f>'Reference Score Calculation'!T238</f>
        <v>15</v>
      </c>
      <c r="N12" s="54">
        <f>入學要求!Z247</f>
        <v>0</v>
      </c>
      <c r="O12" s="516"/>
      <c r="P12" s="275">
        <f>入學要求!L247</f>
        <v>3</v>
      </c>
      <c r="Q12" s="275">
        <f>入學要求!M247</f>
        <v>4</v>
      </c>
      <c r="R12" s="275">
        <f>入學要求!N247</f>
        <v>3</v>
      </c>
      <c r="S12" s="275">
        <f>入學要求!O247</f>
        <v>1</v>
      </c>
      <c r="T12" s="275">
        <f>入學要求!P247</f>
        <v>3</v>
      </c>
      <c r="U12" s="275">
        <f>入學要求!Q247</f>
        <v>3</v>
      </c>
      <c r="V12" s="256">
        <f>入學要求!S247</f>
        <v>0</v>
      </c>
      <c r="W12" s="256">
        <f>入學要求!T247</f>
        <v>0</v>
      </c>
      <c r="X12" s="256">
        <f>入學要求!U247</f>
        <v>0</v>
      </c>
      <c r="Y12" s="256">
        <f>入學要求!V247</f>
        <v>0</v>
      </c>
      <c r="Z12" s="256">
        <f>入學要求!W247</f>
        <v>0</v>
      </c>
      <c r="AA12" s="256">
        <f>入學要求!X247</f>
        <v>0</v>
      </c>
      <c r="AB12" s="36">
        <f t="shared" si="2"/>
        <v>37.64</v>
      </c>
      <c r="AC12" s="510"/>
      <c r="AD12" s="36" cm="1">
        <f t="array" ref="AD12">IFERROR(INDEX('Offer Statistics'!DA$2:DA$400,MATCH(1,($A12='Offer Statistics'!$CL$2:$CL$400)*($AC$2='Offer Statistics'!$CM$2:$CM$400),0)),"/")</f>
        <v>25</v>
      </c>
      <c r="AE12" s="64" cm="1">
        <f t="array" ref="AE12">IFERROR(INDEX('Offer Statistics'!CV$2:CV$400,MATCH(1,($A12='Offer Statistics'!$CL$2:$CL$400)*($AC$2='Offer Statistics'!$CM$2:$CM$400),0)),"/")</f>
        <v>25</v>
      </c>
      <c r="AF12" s="64" cm="1">
        <f t="array" ref="AF12">IFERROR(INDEX('Offer Statistics'!CW$2:CW$400,MATCH(1,($A12='Offer Statistics'!$CL$2:$CL$400)*($AC$2='Offer Statistics'!$CM$2:$CM$400),0)),"/")</f>
        <v>0</v>
      </c>
      <c r="AG12" s="64" cm="1">
        <f t="array" ref="AG12">IFERROR(INDEX('Offer Statistics'!CX$2:CX$400,MATCH(1,($A12='Offer Statistics'!$CL$2:$CL$400)*($AC$2='Offer Statistics'!$CM$2:$CM$400),0)),"/")</f>
        <v>0</v>
      </c>
      <c r="AH12" s="64" cm="1">
        <f t="array" ref="AH12">IFERROR(INDEX('Offer Statistics'!CY$2:CY$400,MATCH(1,($A12='Offer Statistics'!$CL$2:$CL$400)*($AC$2='Offer Statistics'!$CM$2:$CM$400),0)),"/")</f>
        <v>0</v>
      </c>
      <c r="AI12" s="64" cm="1">
        <f t="array" ref="AI12">IFERROR(INDEX('Offer Statistics'!CZ$2:CZ$400,MATCH(1,($A12='Offer Statistics'!$CL$2:$CL$400)*($AC$2='Offer Statistics'!$CM$2:$CM$400),0)),"/")</f>
        <v>0</v>
      </c>
      <c r="AJ12" s="511"/>
      <c r="AK12" s="36" cm="1">
        <f t="array" ref="AK12">IFERROR(INDEX('Offer Statistics'!CS$2:CS$400,MATCH(1,($A12='Offer Statistics'!$CL$2:$CL$400)*($AC$2='Offer Statistics'!$CM$2:$CM$400),0)),"/")</f>
        <v>941</v>
      </c>
      <c r="AL12" s="64" cm="1">
        <f t="array" ref="AL12">IFERROR(INDEX('Offer Statistics'!CN$2:CN$400,MATCH(1,($A12='Offer Statistics'!$CL$2:$CL$400)*($AC$2='Offer Statistics'!$CM$2:$CM$400),0)),"/")</f>
        <v>63</v>
      </c>
      <c r="AM12" s="64" cm="1">
        <f t="array" ref="AM12">IFERROR(INDEX('Offer Statistics'!CO$2:CO$400,MATCH(1,($A12='Offer Statistics'!$CL$2:$CL$400)*($AC$2='Offer Statistics'!$CM$2:$CM$400),0)),"/")</f>
        <v>94</v>
      </c>
      <c r="AN12" s="64" cm="1">
        <f t="array" ref="AN12">IFERROR(INDEX('Offer Statistics'!CP$2:CP$400,MATCH(1,($A12='Offer Statistics'!$CL$2:$CL$400)*($AC$2='Offer Statistics'!$CM$2:$CM$400),0)),"/")</f>
        <v>206</v>
      </c>
      <c r="AO12" s="64" cm="1">
        <f t="array" ref="AO12">IFERROR(INDEX('Offer Statistics'!CQ$2:CQ$400,MATCH(1,($A12='Offer Statistics'!$CL$2:$CL$400)*($AC$2='Offer Statistics'!$CM$2:$CM$400),0)),"/")</f>
        <v>294</v>
      </c>
      <c r="AP12" s="64" cm="1">
        <f t="array" ref="AP12">IFERROR(INDEX('Offer Statistics'!CR$2:CR$400,MATCH(1,($A12='Offer Statistics'!$CL$2:$CL$400)*($AC$2='Offer Statistics'!$CM$2:$CM$400),0)),"/")</f>
        <v>284</v>
      </c>
      <c r="AR12" s="15" t="str">
        <f t="shared" si="3"/>
        <v>JS6793</v>
      </c>
    </row>
    <row r="13" spans="1:44" ht="18" customHeight="1">
      <c r="A13" s="4" t="str">
        <f>'Reference Score Calculation'!A239</f>
        <v>JS6808</v>
      </c>
      <c r="B13" s="4" t="str">
        <f>'Reference Score Calculation'!C239</f>
        <v>經濟及工商管理學院</v>
      </c>
      <c r="C13" s="4" t="str">
        <f>'Reference Score Calculation'!D239</f>
        <v>工商管理學學士(法學)及法學士 (雙學位課程)</v>
      </c>
      <c r="D13" s="4" t="str">
        <f>'Reference Score Calculation'!R239</f>
        <v xml:space="preserve">	BBA(Law)&amp;LLB</v>
      </c>
      <c r="E13" s="392" t="str">
        <f>'Reference Score Calculation'!AB239</f>
        <v>Best 6</v>
      </c>
      <c r="F13" s="391" t="str">
        <f>'Reference Score Calculation'!E239</f>
        <v>Best 6</v>
      </c>
      <c r="G13" s="6">
        <f>'Reference Score Calculation'!G239</f>
        <v>49</v>
      </c>
      <c r="H13" s="6">
        <f>'Reference Score Calculation'!H239</f>
        <v>46</v>
      </c>
      <c r="I13" s="6">
        <f>'Reference Score Calculation'!I239</f>
        <v>45</v>
      </c>
      <c r="J13" s="45">
        <f>計分版!J262</f>
        <v>3.7500000000000005E-9</v>
      </c>
      <c r="K13" s="25">
        <f t="shared" si="0"/>
        <v>-45.999999996249997</v>
      </c>
      <c r="L13" s="26">
        <f t="shared" si="1"/>
        <v>-12266666665.666664</v>
      </c>
      <c r="M13" s="36">
        <f>'Reference Score Calculation'!T239</f>
        <v>80</v>
      </c>
      <c r="N13" s="54">
        <f>入學要求!Z248</f>
        <v>0</v>
      </c>
      <c r="O13" s="516"/>
      <c r="P13" s="275">
        <f>入學要求!L248</f>
        <v>4</v>
      </c>
      <c r="Q13" s="275">
        <f>入學要求!M248</f>
        <v>5</v>
      </c>
      <c r="R13" s="275">
        <f>入學要求!N248</f>
        <v>4</v>
      </c>
      <c r="S13" s="275">
        <f>入學要求!O248</f>
        <v>1</v>
      </c>
      <c r="T13" s="275">
        <f>入學要求!P248</f>
        <v>3</v>
      </c>
      <c r="U13" s="275">
        <f>入學要求!Q248</f>
        <v>3</v>
      </c>
      <c r="V13" s="256">
        <f>入學要求!S248</f>
        <v>0</v>
      </c>
      <c r="W13" s="256">
        <f>入學要求!T248</f>
        <v>0</v>
      </c>
      <c r="X13" s="256">
        <f>入學要求!U248</f>
        <v>0</v>
      </c>
      <c r="Y13" s="256">
        <f>入學要求!V248</f>
        <v>0</v>
      </c>
      <c r="Z13" s="256">
        <f>入學要求!W248</f>
        <v>0</v>
      </c>
      <c r="AA13" s="256">
        <f>入學要求!X248</f>
        <v>0</v>
      </c>
      <c r="AB13" s="36">
        <f t="shared" si="2"/>
        <v>8</v>
      </c>
      <c r="AC13" s="510"/>
      <c r="AD13" s="36" cm="1">
        <f t="array" ref="AD13">IFERROR(INDEX('Offer Statistics'!DA$2:DA$400,MATCH(1,($A13='Offer Statistics'!$CL$2:$CL$400)*($AC$2='Offer Statistics'!$CM$2:$CM$400),0)),"/")</f>
        <v>80</v>
      </c>
      <c r="AE13" s="64" cm="1">
        <f t="array" ref="AE13">IFERROR(INDEX('Offer Statistics'!CV$2:CV$400,MATCH(1,($A13='Offer Statistics'!$CL$2:$CL$400)*($AC$2='Offer Statistics'!$CM$2:$CM$400),0)),"/")</f>
        <v>80</v>
      </c>
      <c r="AF13" s="64" cm="1">
        <f t="array" ref="AF13">IFERROR(INDEX('Offer Statistics'!CW$2:CW$400,MATCH(1,($A13='Offer Statistics'!$CL$2:$CL$400)*($AC$2='Offer Statistics'!$CM$2:$CM$400),0)),"/")</f>
        <v>0</v>
      </c>
      <c r="AG13" s="64" cm="1">
        <f t="array" ref="AG13">IFERROR(INDEX('Offer Statistics'!CX$2:CX$400,MATCH(1,($A13='Offer Statistics'!$CL$2:$CL$400)*($AC$2='Offer Statistics'!$CM$2:$CM$400),0)),"/")</f>
        <v>0</v>
      </c>
      <c r="AH13" s="64" cm="1">
        <f t="array" ref="AH13">IFERROR(INDEX('Offer Statistics'!CY$2:CY$400,MATCH(1,($A13='Offer Statistics'!$CL$2:$CL$400)*($AC$2='Offer Statistics'!$CM$2:$CM$400),0)),"/")</f>
        <v>0</v>
      </c>
      <c r="AI13" s="64" cm="1">
        <f t="array" ref="AI13">IFERROR(INDEX('Offer Statistics'!CZ$2:CZ$400,MATCH(1,($A13='Offer Statistics'!$CL$2:$CL$400)*($AC$2='Offer Statistics'!$CM$2:$CM$400),0)),"/")</f>
        <v>0</v>
      </c>
      <c r="AJ13" s="511"/>
      <c r="AK13" s="36" cm="1">
        <f t="array" ref="AK13">IFERROR(INDEX('Offer Statistics'!CS$2:CS$400,MATCH(1,($A13='Offer Statistics'!$CL$2:$CL$400)*($AC$2='Offer Statistics'!$CM$2:$CM$400),0)),"/")</f>
        <v>640</v>
      </c>
      <c r="AL13" s="64" cm="1">
        <f t="array" ref="AL13">IFERROR(INDEX('Offer Statistics'!CN$2:CN$400,MATCH(1,($A13='Offer Statistics'!$CL$2:$CL$400)*($AC$2='Offer Statistics'!$CM$2:$CM$400),0)),"/")</f>
        <v>187</v>
      </c>
      <c r="AM13" s="64" cm="1">
        <f t="array" ref="AM13">IFERROR(INDEX('Offer Statistics'!CO$2:CO$400,MATCH(1,($A13='Offer Statistics'!$CL$2:$CL$400)*($AC$2='Offer Statistics'!$CM$2:$CM$400),0)),"/")</f>
        <v>63</v>
      </c>
      <c r="AN13" s="64" cm="1">
        <f t="array" ref="AN13">IFERROR(INDEX('Offer Statistics'!CP$2:CP$400,MATCH(1,($A13='Offer Statistics'!$CL$2:$CL$400)*($AC$2='Offer Statistics'!$CM$2:$CM$400),0)),"/")</f>
        <v>103</v>
      </c>
      <c r="AO13" s="64" cm="1">
        <f t="array" ref="AO13">IFERROR(INDEX('Offer Statistics'!CQ$2:CQ$400,MATCH(1,($A13='Offer Statistics'!$CL$2:$CL$400)*($AC$2='Offer Statistics'!$CM$2:$CM$400),0)),"/")</f>
        <v>124</v>
      </c>
      <c r="AP13" s="64" cm="1">
        <f t="array" ref="AP13">IFERROR(INDEX('Offer Statistics'!CR$2:CR$400,MATCH(1,($A13='Offer Statistics'!$CL$2:$CL$400)*($AC$2='Offer Statistics'!$CM$2:$CM$400),0)),"/")</f>
        <v>163</v>
      </c>
      <c r="AR13" s="15" t="str">
        <f t="shared" si="3"/>
        <v>JS6808</v>
      </c>
    </row>
    <row r="14" spans="1:44" ht="18" customHeight="1">
      <c r="A14" s="4" t="str">
        <f>'Reference Score Calculation'!A240</f>
        <v>JS6846</v>
      </c>
      <c r="B14" s="4" t="str">
        <f>'Reference Score Calculation'!C240</f>
        <v>經濟及工商管理學院</v>
      </c>
      <c r="C14" s="4" t="str">
        <f>'Reference Score Calculation'!D240</f>
        <v>理學士(營銷分析及科技)</v>
      </c>
      <c r="D14" s="4" t="str">
        <f>'Reference Score Calculation'!R240</f>
        <v>BSc(MAT)</v>
      </c>
      <c r="E14" s="392" t="str">
        <f>'Reference Score Calculation'!AB240</f>
        <v>Best 5</v>
      </c>
      <c r="F14" s="386" t="str">
        <f>'Reference Score Calculation'!E240</f>
        <v>Best 6</v>
      </c>
      <c r="G14" s="6">
        <f>'Reference Score Calculation'!G240</f>
        <v>36</v>
      </c>
      <c r="H14" s="6">
        <f>'Reference Score Calculation'!H240</f>
        <v>35</v>
      </c>
      <c r="I14" s="6">
        <f>'Reference Score Calculation'!I240</f>
        <v>33</v>
      </c>
      <c r="J14" s="45">
        <f>計分版!J263</f>
        <v>3.7500000000000005E-9</v>
      </c>
      <c r="K14" s="25">
        <f t="shared" si="0"/>
        <v>-34.999999996249997</v>
      </c>
      <c r="L14" s="26">
        <f t="shared" si="1"/>
        <v>-9333333332.3333321</v>
      </c>
      <c r="M14" s="36">
        <f>'Reference Score Calculation'!T240</f>
        <v>25</v>
      </c>
      <c r="N14" s="54">
        <f>入學要求!Z249</f>
        <v>0</v>
      </c>
      <c r="O14" s="516"/>
      <c r="P14" s="275">
        <f>入學要求!L249</f>
        <v>3</v>
      </c>
      <c r="Q14" s="275">
        <f>入學要求!M249</f>
        <v>4</v>
      </c>
      <c r="R14" s="275">
        <f>入學要求!N249</f>
        <v>3</v>
      </c>
      <c r="S14" s="275">
        <f>入學要求!O249</f>
        <v>1</v>
      </c>
      <c r="T14" s="275">
        <f>入學要求!P249</f>
        <v>3</v>
      </c>
      <c r="U14" s="275">
        <f>入學要求!Q249</f>
        <v>3</v>
      </c>
      <c r="V14" s="256">
        <f>入學要求!S249</f>
        <v>0</v>
      </c>
      <c r="W14" s="256">
        <f>入學要求!T249</f>
        <v>0</v>
      </c>
      <c r="X14" s="256">
        <f>入學要求!U249</f>
        <v>0</v>
      </c>
      <c r="Y14" s="256">
        <f>入學要求!V249</f>
        <v>0</v>
      </c>
      <c r="Z14" s="256">
        <f>入學要求!W249</f>
        <v>0</v>
      </c>
      <c r="AA14" s="256">
        <f>入學要求!X249</f>
        <v>0</v>
      </c>
      <c r="AB14" s="36">
        <f t="shared" si="2"/>
        <v>17.170000000000002</v>
      </c>
      <c r="AC14" s="510"/>
      <c r="AD14" s="36" cm="1">
        <f t="array" ref="AD14">IFERROR(INDEX('Offer Statistics'!DA$2:DA$400,MATCH(1,($A14='Offer Statistics'!$CL$2:$CL$400)*($AC$2='Offer Statistics'!$CM$2:$CM$400),0)),"/")</f>
        <v>30</v>
      </c>
      <c r="AE14" s="64" cm="1">
        <f t="array" ref="AE14">IFERROR(INDEX('Offer Statistics'!CV$2:CV$400,MATCH(1,($A14='Offer Statistics'!$CL$2:$CL$400)*($AC$2='Offer Statistics'!$CM$2:$CM$400),0)),"/")</f>
        <v>29</v>
      </c>
      <c r="AF14" s="64" cm="1">
        <f t="array" ref="AF14">IFERROR(INDEX('Offer Statistics'!CW$2:CW$400,MATCH(1,($A14='Offer Statistics'!$CL$2:$CL$400)*($AC$2='Offer Statistics'!$CM$2:$CM$400),0)),"/")</f>
        <v>1</v>
      </c>
      <c r="AG14" s="64" cm="1">
        <f t="array" ref="AG14">IFERROR(INDEX('Offer Statistics'!CX$2:CX$400,MATCH(1,($A14='Offer Statistics'!$CL$2:$CL$400)*($AC$2='Offer Statistics'!$CM$2:$CM$400),0)),"/")</f>
        <v>0</v>
      </c>
      <c r="AH14" s="64" cm="1">
        <f t="array" ref="AH14">IFERROR(INDEX('Offer Statistics'!CY$2:CY$400,MATCH(1,($A14='Offer Statistics'!$CL$2:$CL$400)*($AC$2='Offer Statistics'!$CM$2:$CM$400),0)),"/")</f>
        <v>0</v>
      </c>
      <c r="AI14" s="64" cm="1">
        <f t="array" ref="AI14">IFERROR(INDEX('Offer Statistics'!CZ$2:CZ$400,MATCH(1,($A14='Offer Statistics'!$CL$2:$CL$400)*($AC$2='Offer Statistics'!$CM$2:$CM$400),0)),"/")</f>
        <v>0</v>
      </c>
      <c r="AJ14" s="511"/>
      <c r="AK14" s="36" cm="1">
        <f t="array" ref="AK14">IFERROR(INDEX('Offer Statistics'!CS$2:CS$400,MATCH(1,($A14='Offer Statistics'!$CL$2:$CL$400)*($AC$2='Offer Statistics'!$CM$2:$CM$400),0)),"/")</f>
        <v>515</v>
      </c>
      <c r="AL14" s="64" cm="1">
        <f t="array" ref="AL14">IFERROR(INDEX('Offer Statistics'!CN$2:CN$400,MATCH(1,($A14='Offer Statistics'!$CL$2:$CL$400)*($AC$2='Offer Statistics'!$CM$2:$CM$400),0)),"/")</f>
        <v>52</v>
      </c>
      <c r="AM14" s="64" cm="1">
        <f t="array" ref="AM14">IFERROR(INDEX('Offer Statistics'!CO$2:CO$400,MATCH(1,($A14='Offer Statistics'!$CL$2:$CL$400)*($AC$2='Offer Statistics'!$CM$2:$CM$400),0)),"/")</f>
        <v>47</v>
      </c>
      <c r="AN14" s="64" cm="1">
        <f t="array" ref="AN14">IFERROR(INDEX('Offer Statistics'!CP$2:CP$400,MATCH(1,($A14='Offer Statistics'!$CL$2:$CL$400)*($AC$2='Offer Statistics'!$CM$2:$CM$400),0)),"/")</f>
        <v>83</v>
      </c>
      <c r="AO14" s="64" cm="1">
        <f t="array" ref="AO14">IFERROR(INDEX('Offer Statistics'!CQ$2:CQ$400,MATCH(1,($A14='Offer Statistics'!$CL$2:$CL$400)*($AC$2='Offer Statistics'!$CM$2:$CM$400),0)),"/")</f>
        <v>156</v>
      </c>
      <c r="AP14" s="64" cm="1">
        <f t="array" ref="AP14">IFERROR(INDEX('Offer Statistics'!CR$2:CR$400,MATCH(1,($A14='Offer Statistics'!$CL$2:$CL$400)*($AC$2='Offer Statistics'!$CM$2:$CM$400),0)),"/")</f>
        <v>177</v>
      </c>
      <c r="AR14" s="15" t="str">
        <f t="shared" si="3"/>
        <v>JS6846</v>
      </c>
    </row>
    <row r="15" spans="1:44" ht="18" customHeight="1">
      <c r="A15" s="4" t="str">
        <f>'Reference Score Calculation'!A241</f>
        <v>JS6884</v>
      </c>
      <c r="B15" s="4" t="str">
        <f>'Reference Score Calculation'!C241</f>
        <v>經濟及工商管理學院</v>
      </c>
      <c r="C15" s="4" t="str">
        <f>'Reference Score Calculation'!D241</f>
        <v>理學士(計量金融)</v>
      </c>
      <c r="D15" s="4" t="str">
        <f>'Reference Score Calculation'!R241</f>
        <v xml:space="preserve">	BSc(QFin)</v>
      </c>
      <c r="E15" s="392" t="str">
        <f>'Reference Score Calculation'!AB241</f>
        <v>Best 6</v>
      </c>
      <c r="F15" s="391" t="str">
        <f>'Reference Score Calculation'!E241</f>
        <v>Best 6</v>
      </c>
      <c r="G15" s="6">
        <f>'Reference Score Calculation'!G241</f>
        <v>50</v>
      </c>
      <c r="H15" s="6">
        <f>'Reference Score Calculation'!H241</f>
        <v>48</v>
      </c>
      <c r="I15" s="6">
        <f>'Reference Score Calculation'!I241</f>
        <v>47</v>
      </c>
      <c r="J15" s="45">
        <f>計分版!J264</f>
        <v>3.7E-9</v>
      </c>
      <c r="K15" s="25">
        <f t="shared" si="0"/>
        <v>-47.999999996299998</v>
      </c>
      <c r="L15" s="26">
        <f t="shared" si="1"/>
        <v>-12972972971.972973</v>
      </c>
      <c r="M15" s="36">
        <f>'Reference Score Calculation'!T241</f>
        <v>25</v>
      </c>
      <c r="N15" s="54">
        <f>入學要求!Z250</f>
        <v>0</v>
      </c>
      <c r="O15" s="516"/>
      <c r="P15" s="275">
        <f>入學要求!L250</f>
        <v>3</v>
      </c>
      <c r="Q15" s="275">
        <f>入學要求!M250</f>
        <v>4</v>
      </c>
      <c r="R15" s="275">
        <f>入學要求!N250</f>
        <v>3</v>
      </c>
      <c r="S15" s="275">
        <f>入學要求!O250</f>
        <v>1</v>
      </c>
      <c r="T15" s="275">
        <f>入學要求!P250</f>
        <v>3</v>
      </c>
      <c r="U15" s="275">
        <f>入學要求!Q250</f>
        <v>3</v>
      </c>
      <c r="V15" s="256">
        <f>入學要求!S250</f>
        <v>0</v>
      </c>
      <c r="W15" s="256">
        <f>入學要求!T250</f>
        <v>0</v>
      </c>
      <c r="X15" s="256">
        <f>入學要求!U250</f>
        <v>0</v>
      </c>
      <c r="Y15" s="256">
        <f>入學要求!V250</f>
        <v>0</v>
      </c>
      <c r="Z15" s="256">
        <f>入學要求!W250</f>
        <v>0</v>
      </c>
      <c r="AA15" s="256">
        <f>入學要求!X250</f>
        <v>0</v>
      </c>
      <c r="AB15" s="36">
        <f t="shared" si="2"/>
        <v>19.75</v>
      </c>
      <c r="AC15" s="510"/>
      <c r="AD15" s="36" cm="1">
        <f t="array" ref="AD15">IFERROR(INDEX('Offer Statistics'!DA$2:DA$400,MATCH(1,($A15='Offer Statistics'!$CL$2:$CL$400)*($AC$2='Offer Statistics'!$CM$2:$CM$400),0)),"/")</f>
        <v>24</v>
      </c>
      <c r="AE15" s="64" cm="1">
        <f t="array" ref="AE15">IFERROR(INDEX('Offer Statistics'!CV$2:CV$400,MATCH(1,($A15='Offer Statistics'!$CL$2:$CL$400)*($AC$2='Offer Statistics'!$CM$2:$CM$400),0)),"/")</f>
        <v>24</v>
      </c>
      <c r="AF15" s="64" cm="1">
        <f t="array" ref="AF15">IFERROR(INDEX('Offer Statistics'!CW$2:CW$400,MATCH(1,($A15='Offer Statistics'!$CL$2:$CL$400)*($AC$2='Offer Statistics'!$CM$2:$CM$400),0)),"/")</f>
        <v>0</v>
      </c>
      <c r="AG15" s="64" cm="1">
        <f t="array" ref="AG15">IFERROR(INDEX('Offer Statistics'!CX$2:CX$400,MATCH(1,($A15='Offer Statistics'!$CL$2:$CL$400)*($AC$2='Offer Statistics'!$CM$2:$CM$400),0)),"/")</f>
        <v>0</v>
      </c>
      <c r="AH15" s="64" cm="1">
        <f t="array" ref="AH15">IFERROR(INDEX('Offer Statistics'!CY$2:CY$400,MATCH(1,($A15='Offer Statistics'!$CL$2:$CL$400)*($AC$2='Offer Statistics'!$CM$2:$CM$400),0)),"/")</f>
        <v>0</v>
      </c>
      <c r="AI15" s="64" cm="1">
        <f t="array" ref="AI15">IFERROR(INDEX('Offer Statistics'!CZ$2:CZ$400,MATCH(1,($A15='Offer Statistics'!$CL$2:$CL$400)*($AC$2='Offer Statistics'!$CM$2:$CM$400),0)),"/")</f>
        <v>0</v>
      </c>
      <c r="AJ15" s="511"/>
      <c r="AK15" s="36" cm="1">
        <f t="array" ref="AK15">IFERROR(INDEX('Offer Statistics'!CS$2:CS$400,MATCH(1,($A15='Offer Statistics'!$CL$2:$CL$400)*($AC$2='Offer Statistics'!$CM$2:$CM$400),0)),"/")</f>
        <v>474</v>
      </c>
      <c r="AL15" s="64" cm="1">
        <f t="array" ref="AL15">IFERROR(INDEX('Offer Statistics'!CN$2:CN$400,MATCH(1,($A15='Offer Statistics'!$CL$2:$CL$400)*($AC$2='Offer Statistics'!$CM$2:$CM$400),0)),"/")</f>
        <v>103</v>
      </c>
      <c r="AM15" s="64" cm="1">
        <f t="array" ref="AM15">IFERROR(INDEX('Offer Statistics'!CO$2:CO$400,MATCH(1,($A15='Offer Statistics'!$CL$2:$CL$400)*($AC$2='Offer Statistics'!$CM$2:$CM$400),0)),"/")</f>
        <v>37</v>
      </c>
      <c r="AN15" s="64" cm="1">
        <f t="array" ref="AN15">IFERROR(INDEX('Offer Statistics'!CP$2:CP$400,MATCH(1,($A15='Offer Statistics'!$CL$2:$CL$400)*($AC$2='Offer Statistics'!$CM$2:$CM$400),0)),"/")</f>
        <v>116</v>
      </c>
      <c r="AO15" s="64" cm="1">
        <f t="array" ref="AO15">IFERROR(INDEX('Offer Statistics'!CQ$2:CQ$400,MATCH(1,($A15='Offer Statistics'!$CL$2:$CL$400)*($AC$2='Offer Statistics'!$CM$2:$CM$400),0)),"/")</f>
        <v>107</v>
      </c>
      <c r="AP15" s="64" cm="1">
        <f t="array" ref="AP15">IFERROR(INDEX('Offer Statistics'!CR$2:CR$400,MATCH(1,($A15='Offer Statistics'!$CL$2:$CL$400)*($AC$2='Offer Statistics'!$CM$2:$CM$400),0)),"/")</f>
        <v>111</v>
      </c>
      <c r="AR15" s="15" t="str">
        <f t="shared" si="3"/>
        <v>JS6884</v>
      </c>
    </row>
    <row r="16" spans="1:44" ht="18" customHeight="1">
      <c r="A16" s="4" t="str">
        <f>'Reference Score Calculation'!A242</f>
        <v>JS6896</v>
      </c>
      <c r="B16" s="4" t="str">
        <f>'Reference Score Calculation'!C242</f>
        <v>經濟及工商管理學院</v>
      </c>
      <c r="C16" s="4" t="str">
        <f>'Reference Score Calculation'!D242</f>
        <v>工商管理學學士(國際商業及環球管理)</v>
      </c>
      <c r="D16" s="4" t="str">
        <f>'Reference Score Calculation'!R242</f>
        <v>BBA(IBGM)</v>
      </c>
      <c r="E16" s="392" t="str">
        <f>'Reference Score Calculation'!AB242</f>
        <v>Best 6</v>
      </c>
      <c r="F16" s="391" t="str">
        <f>'Reference Score Calculation'!E242</f>
        <v>Best 6</v>
      </c>
      <c r="G16" s="6">
        <f>'Reference Score Calculation'!G242</f>
        <v>55</v>
      </c>
      <c r="H16" s="6">
        <f>'Reference Score Calculation'!H242</f>
        <v>53</v>
      </c>
      <c r="I16" s="6">
        <f>'Reference Score Calculation'!I242</f>
        <v>52</v>
      </c>
      <c r="J16" s="45">
        <f>計分版!J265</f>
        <v>3.7500000000000005E-9</v>
      </c>
      <c r="K16" s="25">
        <f t="shared" si="0"/>
        <v>-52.999999996249997</v>
      </c>
      <c r="L16" s="26">
        <f t="shared" si="1"/>
        <v>-14133333332.33333</v>
      </c>
      <c r="M16" s="36">
        <f>'Reference Score Calculation'!T242</f>
        <v>31</v>
      </c>
      <c r="N16" s="54">
        <f>入學要求!Z251</f>
        <v>0</v>
      </c>
      <c r="O16" s="516"/>
      <c r="P16" s="275">
        <f>入學要求!L251</f>
        <v>3</v>
      </c>
      <c r="Q16" s="275">
        <f>入學要求!M251</f>
        <v>5</v>
      </c>
      <c r="R16" s="275">
        <f>入學要求!N251</f>
        <v>4</v>
      </c>
      <c r="S16" s="275">
        <f>入學要求!O251</f>
        <v>1</v>
      </c>
      <c r="T16" s="275">
        <f>入學要求!P251</f>
        <v>3</v>
      </c>
      <c r="U16" s="275">
        <f>入學要求!Q251</f>
        <v>3</v>
      </c>
      <c r="V16" s="256">
        <f>入學要求!S251</f>
        <v>0</v>
      </c>
      <c r="W16" s="256">
        <f>入學要求!T251</f>
        <v>0</v>
      </c>
      <c r="X16" s="256">
        <f>入學要求!U251</f>
        <v>0</v>
      </c>
      <c r="Y16" s="256">
        <f>入學要求!V251</f>
        <v>0</v>
      </c>
      <c r="Z16" s="256">
        <f>入學要求!W251</f>
        <v>0</v>
      </c>
      <c r="AA16" s="256">
        <f>入學要求!X251</f>
        <v>0</v>
      </c>
      <c r="AB16" s="36">
        <f t="shared" si="2"/>
        <v>30.94</v>
      </c>
      <c r="AC16" s="510"/>
      <c r="AD16" s="36" cm="1">
        <f t="array" ref="AD16">IFERROR(INDEX('Offer Statistics'!DA$2:DA$400,MATCH(1,($A16='Offer Statistics'!$CL$2:$CL$400)*($AC$2='Offer Statistics'!$CM$2:$CM$400),0)),"/")</f>
        <v>18</v>
      </c>
      <c r="AE16" s="64" cm="1">
        <f t="array" ref="AE16">IFERROR(INDEX('Offer Statistics'!CV$2:CV$400,MATCH(1,($A16='Offer Statistics'!$CL$2:$CL$400)*($AC$2='Offer Statistics'!$CM$2:$CM$400),0)),"/")</f>
        <v>18</v>
      </c>
      <c r="AF16" s="64" cm="1">
        <f t="array" ref="AF16">IFERROR(INDEX('Offer Statistics'!CW$2:CW$400,MATCH(1,($A16='Offer Statistics'!$CL$2:$CL$400)*($AC$2='Offer Statistics'!$CM$2:$CM$400),0)),"/")</f>
        <v>0</v>
      </c>
      <c r="AG16" s="64" cm="1">
        <f t="array" ref="AG16">IFERROR(INDEX('Offer Statistics'!CX$2:CX$400,MATCH(1,($A16='Offer Statistics'!$CL$2:$CL$400)*($AC$2='Offer Statistics'!$CM$2:$CM$400),0)),"/")</f>
        <v>0</v>
      </c>
      <c r="AH16" s="64" cm="1">
        <f t="array" ref="AH16">IFERROR(INDEX('Offer Statistics'!CY$2:CY$400,MATCH(1,($A16='Offer Statistics'!$CL$2:$CL$400)*($AC$2='Offer Statistics'!$CM$2:$CM$400),0)),"/")</f>
        <v>0</v>
      </c>
      <c r="AI16" s="64" cm="1">
        <f t="array" ref="AI16">IFERROR(INDEX('Offer Statistics'!CZ$2:CZ$400,MATCH(1,($A16='Offer Statistics'!$CL$2:$CL$400)*($AC$2='Offer Statistics'!$CM$2:$CM$400),0)),"/")</f>
        <v>0</v>
      </c>
      <c r="AJ16" s="511"/>
      <c r="AK16" s="36" cm="1">
        <f t="array" ref="AK16">IFERROR(INDEX('Offer Statistics'!CS$2:CS$400,MATCH(1,($A16='Offer Statistics'!$CL$2:$CL$400)*($AC$2='Offer Statistics'!$CM$2:$CM$400),0)),"/")</f>
        <v>557</v>
      </c>
      <c r="AL16" s="64" cm="1">
        <f t="array" ref="AL16">IFERROR(INDEX('Offer Statistics'!CN$2:CN$400,MATCH(1,($A16='Offer Statistics'!$CL$2:$CL$400)*($AC$2='Offer Statistics'!$CM$2:$CM$400),0)),"/")</f>
        <v>76</v>
      </c>
      <c r="AM16" s="64" cm="1">
        <f t="array" ref="AM16">IFERROR(INDEX('Offer Statistics'!CO$2:CO$400,MATCH(1,($A16='Offer Statistics'!$CL$2:$CL$400)*($AC$2='Offer Statistics'!$CM$2:$CM$400),0)),"/")</f>
        <v>59</v>
      </c>
      <c r="AN16" s="64" cm="1">
        <f t="array" ref="AN16">IFERROR(INDEX('Offer Statistics'!CP$2:CP$400,MATCH(1,($A16='Offer Statistics'!$CL$2:$CL$400)*($AC$2='Offer Statistics'!$CM$2:$CM$400),0)),"/")</f>
        <v>115</v>
      </c>
      <c r="AO16" s="64" cm="1">
        <f t="array" ref="AO16">IFERROR(INDEX('Offer Statistics'!CQ$2:CQ$400,MATCH(1,($A16='Offer Statistics'!$CL$2:$CL$400)*($AC$2='Offer Statistics'!$CM$2:$CM$400),0)),"/")</f>
        <v>160</v>
      </c>
      <c r="AP16" s="64" cm="1">
        <f t="array" ref="AP16">IFERROR(INDEX('Offer Statistics'!CR$2:CR$400,MATCH(1,($A16='Offer Statistics'!$CL$2:$CL$400)*($AC$2='Offer Statistics'!$CM$2:$CM$400),0)),"/")</f>
        <v>147</v>
      </c>
      <c r="AR16" s="15" t="str">
        <f t="shared" si="3"/>
        <v>JS6896</v>
      </c>
    </row>
    <row r="17" spans="1:44" ht="18" customHeight="1">
      <c r="A17" s="4" t="str">
        <f>'Reference Score Calculation'!A243</f>
        <v>JS6107</v>
      </c>
      <c r="B17" s="4" t="str">
        <f>'Reference Score Calculation'!C243</f>
        <v>牙醫學院</v>
      </c>
      <c r="C17" s="4" t="str">
        <f>'Reference Score Calculation'!D243</f>
        <v>牙醫學士</v>
      </c>
      <c r="D17" s="4" t="str">
        <f>'Reference Score Calculation'!R243</f>
        <v>BDS</v>
      </c>
      <c r="E17" s="392" t="str">
        <f>'Reference Score Calculation'!AB243</f>
        <v>Best 6</v>
      </c>
      <c r="F17" s="391" t="str">
        <f>'Reference Score Calculation'!E243</f>
        <v>Best 6</v>
      </c>
      <c r="G17" s="6">
        <f>'Reference Score Calculation'!G243</f>
        <v>49</v>
      </c>
      <c r="H17" s="6">
        <f>'Reference Score Calculation'!H243</f>
        <v>48</v>
      </c>
      <c r="I17" s="6">
        <f>'Reference Score Calculation'!I243</f>
        <v>46</v>
      </c>
      <c r="J17" s="45">
        <f>計分版!J266</f>
        <v>4.08E-9</v>
      </c>
      <c r="K17" s="25">
        <f t="shared" si="0"/>
        <v>-47.99999999592</v>
      </c>
      <c r="L17" s="26">
        <f t="shared" si="1"/>
        <v>-11764705881.352942</v>
      </c>
      <c r="M17" s="36">
        <f>'Reference Score Calculation'!T243</f>
        <v>90</v>
      </c>
      <c r="N17" s="54">
        <f>入學要求!Z252</f>
        <v>0</v>
      </c>
      <c r="O17" s="516"/>
      <c r="P17" s="275">
        <f>入學要求!L252</f>
        <v>3</v>
      </c>
      <c r="Q17" s="275">
        <f>入學要求!M252</f>
        <v>4</v>
      </c>
      <c r="R17" s="275">
        <f>入學要求!N252</f>
        <v>3</v>
      </c>
      <c r="S17" s="275">
        <f>入學要求!O252</f>
        <v>1</v>
      </c>
      <c r="T17" s="275">
        <f>入學要求!P252</f>
        <v>3</v>
      </c>
      <c r="U17" s="275">
        <f>入學要求!Q252</f>
        <v>3</v>
      </c>
      <c r="V17" s="256">
        <f>入學要求!S252</f>
        <v>0</v>
      </c>
      <c r="W17" s="256">
        <f>入學要求!T252</f>
        <v>0</v>
      </c>
      <c r="X17" s="256">
        <f>入學要求!U252</f>
        <v>0</v>
      </c>
      <c r="Y17" s="256">
        <f>入學要求!V252</f>
        <v>0</v>
      </c>
      <c r="Z17" s="256">
        <f>入學要求!W252</f>
        <v>0</v>
      </c>
      <c r="AA17" s="256">
        <f>入學要求!X252</f>
        <v>0</v>
      </c>
      <c r="AB17" s="36">
        <f t="shared" si="2"/>
        <v>18.2</v>
      </c>
      <c r="AC17" s="510"/>
      <c r="AD17" s="36" cm="1">
        <f t="array" ref="AD17">IFERROR(INDEX('Offer Statistics'!DA$2:DA$400,MATCH(1,($A17='Offer Statistics'!$CL$2:$CL$400)*($AC$2='Offer Statistics'!$CM$2:$CM$400),0)),"/")</f>
        <v>65</v>
      </c>
      <c r="AE17" s="64" cm="1">
        <f t="array" ref="AE17">IFERROR(INDEX('Offer Statistics'!CV$2:CV$400,MATCH(1,($A17='Offer Statistics'!$CL$2:$CL$400)*($AC$2='Offer Statistics'!$CM$2:$CM$400),0)),"/")</f>
        <v>65</v>
      </c>
      <c r="AF17" s="64" cm="1">
        <f t="array" ref="AF17">IFERROR(INDEX('Offer Statistics'!CW$2:CW$400,MATCH(1,($A17='Offer Statistics'!$CL$2:$CL$400)*($AC$2='Offer Statistics'!$CM$2:$CM$400),0)),"/")</f>
        <v>0</v>
      </c>
      <c r="AG17" s="64" cm="1">
        <f t="array" ref="AG17">IFERROR(INDEX('Offer Statistics'!CX$2:CX$400,MATCH(1,($A17='Offer Statistics'!$CL$2:$CL$400)*($AC$2='Offer Statistics'!$CM$2:$CM$400),0)),"/")</f>
        <v>0</v>
      </c>
      <c r="AH17" s="64" cm="1">
        <f t="array" ref="AH17">IFERROR(INDEX('Offer Statistics'!CY$2:CY$400,MATCH(1,($A17='Offer Statistics'!$CL$2:$CL$400)*($AC$2='Offer Statistics'!$CM$2:$CM$400),0)),"/")</f>
        <v>0</v>
      </c>
      <c r="AI17" s="64" cm="1">
        <f t="array" ref="AI17">IFERROR(INDEX('Offer Statistics'!CZ$2:CZ$400,MATCH(1,($A17='Offer Statistics'!$CL$2:$CL$400)*($AC$2='Offer Statistics'!$CM$2:$CM$400),0)),"/")</f>
        <v>0</v>
      </c>
      <c r="AJ17" s="511"/>
      <c r="AK17" s="36" cm="1">
        <f t="array" ref="AK17">IFERROR(INDEX('Offer Statistics'!CS$2:CS$400,MATCH(1,($A17='Offer Statistics'!$CL$2:$CL$400)*($AC$2='Offer Statistics'!$CM$2:$CM$400),0)),"/")</f>
        <v>1183</v>
      </c>
      <c r="AL17" s="64" cm="1">
        <f t="array" ref="AL17">IFERROR(INDEX('Offer Statistics'!CN$2:CN$400,MATCH(1,($A17='Offer Statistics'!$CL$2:$CL$400)*($AC$2='Offer Statistics'!$CM$2:$CM$400),0)),"/")</f>
        <v>260</v>
      </c>
      <c r="AM17" s="64" cm="1">
        <f t="array" ref="AM17">IFERROR(INDEX('Offer Statistics'!CO$2:CO$400,MATCH(1,($A17='Offer Statistics'!$CL$2:$CL$400)*($AC$2='Offer Statistics'!$CM$2:$CM$400),0)),"/")</f>
        <v>125</v>
      </c>
      <c r="AN17" s="64" cm="1">
        <f t="array" ref="AN17">IFERROR(INDEX('Offer Statistics'!CP$2:CP$400,MATCH(1,($A17='Offer Statistics'!$CL$2:$CL$400)*($AC$2='Offer Statistics'!$CM$2:$CM$400),0)),"/")</f>
        <v>178</v>
      </c>
      <c r="AO17" s="64" cm="1">
        <f t="array" ref="AO17">IFERROR(INDEX('Offer Statistics'!CQ$2:CQ$400,MATCH(1,($A17='Offer Statistics'!$CL$2:$CL$400)*($AC$2='Offer Statistics'!$CM$2:$CM$400),0)),"/")</f>
        <v>230</v>
      </c>
      <c r="AP17" s="64" cm="1">
        <f t="array" ref="AP17">IFERROR(INDEX('Offer Statistics'!CR$2:CR$400,MATCH(1,($A17='Offer Statistics'!$CL$2:$CL$400)*($AC$2='Offer Statistics'!$CM$2:$CM$400),0)),"/")</f>
        <v>390</v>
      </c>
      <c r="AR17" s="15" t="str">
        <f t="shared" si="3"/>
        <v>JS6107</v>
      </c>
    </row>
    <row r="18" spans="1:44" ht="18" customHeight="1">
      <c r="A18" s="4" t="str">
        <f>'Reference Score Calculation'!A244</f>
        <v>JS6066</v>
      </c>
      <c r="B18" s="4" t="str">
        <f>'Reference Score Calculation'!C244</f>
        <v>教育學院</v>
      </c>
      <c r="C18" s="4" t="str">
        <f>'Reference Score Calculation'!D244</f>
        <v>文學士及教育學士(語文教育) - 英文教育 (雙學位課程)</v>
      </c>
      <c r="D18" s="4" t="str">
        <f>'Reference Score Calculation'!R244</f>
        <v>BA&amp;BED(LangEd)-Eng</v>
      </c>
      <c r="E18" s="392" t="str">
        <f>'Reference Score Calculation'!AB244</f>
        <v>Best 5</v>
      </c>
      <c r="F18" s="391" t="str">
        <f>'Reference Score Calculation'!E244</f>
        <v>Best 5</v>
      </c>
      <c r="G18" s="6">
        <f>'Reference Score Calculation'!G244</f>
        <v>36</v>
      </c>
      <c r="H18" s="6">
        <f>'Reference Score Calculation'!H244</f>
        <v>35</v>
      </c>
      <c r="I18" s="6">
        <f>'Reference Score Calculation'!I244</f>
        <v>34</v>
      </c>
      <c r="J18" s="45">
        <f>計分版!J267</f>
        <v>3.2999999999999998E-9</v>
      </c>
      <c r="K18" s="25">
        <f t="shared" si="0"/>
        <v>-34.999999996699998</v>
      </c>
      <c r="L18" s="26">
        <f t="shared" si="1"/>
        <v>-10606060605.060606</v>
      </c>
      <c r="M18" s="36">
        <f>'Reference Score Calculation'!T244</f>
        <v>17</v>
      </c>
      <c r="N18" s="54">
        <f>入學要求!Z253</f>
        <v>0</v>
      </c>
      <c r="O18" s="516"/>
      <c r="P18" s="275">
        <f>入學要求!L253</f>
        <v>3</v>
      </c>
      <c r="Q18" s="275">
        <f>入學要求!M253</f>
        <v>3</v>
      </c>
      <c r="R18" s="275">
        <f>入學要求!N253</f>
        <v>2</v>
      </c>
      <c r="S18" s="275">
        <f>入學要求!O253</f>
        <v>1</v>
      </c>
      <c r="T18" s="275">
        <f>入學要求!P253</f>
        <v>3</v>
      </c>
      <c r="U18" s="275">
        <f>入學要求!Q253</f>
        <v>3</v>
      </c>
      <c r="V18" s="256">
        <f>入學要求!S253</f>
        <v>0</v>
      </c>
      <c r="W18" s="256">
        <f>入學要求!T253</f>
        <v>0</v>
      </c>
      <c r="X18" s="256">
        <f>入學要求!U253</f>
        <v>0</v>
      </c>
      <c r="Y18" s="256">
        <f>入學要求!V253</f>
        <v>0</v>
      </c>
      <c r="Z18" s="256">
        <f>入學要求!W253</f>
        <v>0</v>
      </c>
      <c r="AA18" s="256">
        <f>入學要求!X253</f>
        <v>0</v>
      </c>
      <c r="AB18" s="36">
        <f t="shared" si="2"/>
        <v>60.33</v>
      </c>
      <c r="AC18" s="510"/>
      <c r="AD18" s="36" cm="1">
        <f t="array" ref="AD18">IFERROR(INDEX('Offer Statistics'!DA$2:DA$400,MATCH(1,($A18='Offer Statistics'!$CL$2:$CL$400)*($AC$2='Offer Statistics'!$CM$2:$CM$400),0)),"/")</f>
        <v>15</v>
      </c>
      <c r="AE18" s="64" cm="1">
        <f t="array" ref="AE18">IFERROR(INDEX('Offer Statistics'!CV$2:CV$400,MATCH(1,($A18='Offer Statistics'!$CL$2:$CL$400)*($AC$2='Offer Statistics'!$CM$2:$CM$400),0)),"/")</f>
        <v>15</v>
      </c>
      <c r="AF18" s="64" cm="1">
        <f t="array" ref="AF18">IFERROR(INDEX('Offer Statistics'!CW$2:CW$400,MATCH(1,($A18='Offer Statistics'!$CL$2:$CL$400)*($AC$2='Offer Statistics'!$CM$2:$CM$400),0)),"/")</f>
        <v>0</v>
      </c>
      <c r="AG18" s="64" cm="1">
        <f t="array" ref="AG18">IFERROR(INDEX('Offer Statistics'!CX$2:CX$400,MATCH(1,($A18='Offer Statistics'!$CL$2:$CL$400)*($AC$2='Offer Statistics'!$CM$2:$CM$400),0)),"/")</f>
        <v>0</v>
      </c>
      <c r="AH18" s="64" cm="1">
        <f t="array" ref="AH18">IFERROR(INDEX('Offer Statistics'!CY$2:CY$400,MATCH(1,($A18='Offer Statistics'!$CL$2:$CL$400)*($AC$2='Offer Statistics'!$CM$2:$CM$400),0)),"/")</f>
        <v>0</v>
      </c>
      <c r="AI18" s="64" cm="1">
        <f t="array" ref="AI18">IFERROR(INDEX('Offer Statistics'!CZ$2:CZ$400,MATCH(1,($A18='Offer Statistics'!$CL$2:$CL$400)*($AC$2='Offer Statistics'!$CM$2:$CM$400),0)),"/")</f>
        <v>0</v>
      </c>
      <c r="AJ18" s="511"/>
      <c r="AK18" s="36" cm="1">
        <f t="array" ref="AK18">IFERROR(INDEX('Offer Statistics'!CS$2:CS$400,MATCH(1,($A18='Offer Statistics'!$CL$2:$CL$400)*($AC$2='Offer Statistics'!$CM$2:$CM$400),0)),"/")</f>
        <v>905</v>
      </c>
      <c r="AL18" s="64" cm="1">
        <f t="array" ref="AL18">IFERROR(INDEX('Offer Statistics'!CN$2:CN$400,MATCH(1,($A18='Offer Statistics'!$CL$2:$CL$400)*($AC$2='Offer Statistics'!$CM$2:$CM$400),0)),"/")</f>
        <v>148</v>
      </c>
      <c r="AM18" s="64" cm="1">
        <f t="array" ref="AM18">IFERROR(INDEX('Offer Statistics'!CO$2:CO$400,MATCH(1,($A18='Offer Statistics'!$CL$2:$CL$400)*($AC$2='Offer Statistics'!$CM$2:$CM$400),0)),"/")</f>
        <v>139</v>
      </c>
      <c r="AN18" s="64" cm="1">
        <f t="array" ref="AN18">IFERROR(INDEX('Offer Statistics'!CP$2:CP$400,MATCH(1,($A18='Offer Statistics'!$CL$2:$CL$400)*($AC$2='Offer Statistics'!$CM$2:$CM$400),0)),"/")</f>
        <v>164</v>
      </c>
      <c r="AO18" s="64" cm="1">
        <f t="array" ref="AO18">IFERROR(INDEX('Offer Statistics'!CQ$2:CQ$400,MATCH(1,($A18='Offer Statistics'!$CL$2:$CL$400)*($AC$2='Offer Statistics'!$CM$2:$CM$400),0)),"/")</f>
        <v>237</v>
      </c>
      <c r="AP18" s="64" cm="1">
        <f t="array" ref="AP18">IFERROR(INDEX('Offer Statistics'!CR$2:CR$400,MATCH(1,($A18='Offer Statistics'!$CL$2:$CL$400)*($AC$2='Offer Statistics'!$CM$2:$CM$400),0)),"/")</f>
        <v>217</v>
      </c>
      <c r="AR18" s="15" t="str">
        <f t="shared" si="3"/>
        <v>JS6066</v>
      </c>
    </row>
    <row r="19" spans="1:44" ht="18" customHeight="1">
      <c r="A19" s="4" t="str">
        <f>'Reference Score Calculation'!A245</f>
        <v>JS6080</v>
      </c>
      <c r="B19" s="4" t="str">
        <f>'Reference Score Calculation'!C245</f>
        <v>教育學院</v>
      </c>
      <c r="C19" s="4" t="str">
        <f>'Reference Score Calculation'!D245</f>
        <v>文學士及教育學士(語文教育) - 中文教育 (雙學位課程)</v>
      </c>
      <c r="D19" s="4" t="str">
        <f>'Reference Score Calculation'!R245</f>
        <v xml:space="preserve">	BA&amp;BED(LangEd)-Chin</v>
      </c>
      <c r="E19" s="392" t="str">
        <f>'Reference Score Calculation'!AB245</f>
        <v>Best 5</v>
      </c>
      <c r="F19" s="391" t="str">
        <f>'Reference Score Calculation'!E245</f>
        <v>Best 5</v>
      </c>
      <c r="G19" s="6">
        <f>'Reference Score Calculation'!G245</f>
        <v>39</v>
      </c>
      <c r="H19" s="6">
        <f>'Reference Score Calculation'!H245</f>
        <v>37</v>
      </c>
      <c r="I19" s="6">
        <f>'Reference Score Calculation'!I245</f>
        <v>35</v>
      </c>
      <c r="J19" s="45">
        <f>計分版!J268</f>
        <v>3.6E-9</v>
      </c>
      <c r="K19" s="25">
        <f t="shared" si="0"/>
        <v>-36.9999999964</v>
      </c>
      <c r="L19" s="26">
        <f t="shared" si="1"/>
        <v>-10277777776.777779</v>
      </c>
      <c r="M19" s="36">
        <f>'Reference Score Calculation'!T245</f>
        <v>17</v>
      </c>
      <c r="N19" s="54">
        <f>入學要求!Z254</f>
        <v>0</v>
      </c>
      <c r="O19" s="516"/>
      <c r="P19" s="275">
        <f>入學要求!L254</f>
        <v>3</v>
      </c>
      <c r="Q19" s="275">
        <f>入學要求!M254</f>
        <v>3</v>
      </c>
      <c r="R19" s="275">
        <f>入學要求!N254</f>
        <v>2</v>
      </c>
      <c r="S19" s="275">
        <f>入學要求!O254</f>
        <v>1</v>
      </c>
      <c r="T19" s="275">
        <f>入學要求!P254</f>
        <v>3</v>
      </c>
      <c r="U19" s="275">
        <f>入學要求!Q254</f>
        <v>3</v>
      </c>
      <c r="V19" s="256">
        <f>入學要求!S254</f>
        <v>0</v>
      </c>
      <c r="W19" s="256">
        <f>入學要求!T254</f>
        <v>0</v>
      </c>
      <c r="X19" s="256">
        <f>入學要求!U254</f>
        <v>0</v>
      </c>
      <c r="Y19" s="256">
        <f>入學要求!V254</f>
        <v>0</v>
      </c>
      <c r="Z19" s="256">
        <f>入學要求!W254</f>
        <v>0</v>
      </c>
      <c r="AA19" s="256">
        <f>入學要求!X254</f>
        <v>0</v>
      </c>
      <c r="AB19" s="36">
        <f t="shared" si="2"/>
        <v>60.33</v>
      </c>
      <c r="AC19" s="510"/>
      <c r="AD19" s="36" cm="1">
        <f t="array" ref="AD19">IFERROR(INDEX('Offer Statistics'!DA$2:DA$400,MATCH(1,($A19='Offer Statistics'!$CL$2:$CL$400)*($AC$2='Offer Statistics'!$CM$2:$CM$400),0)),"/")</f>
        <v>15</v>
      </c>
      <c r="AE19" s="64" cm="1">
        <f t="array" ref="AE19">IFERROR(INDEX('Offer Statistics'!CV$2:CV$400,MATCH(1,($A19='Offer Statistics'!$CL$2:$CL$400)*($AC$2='Offer Statistics'!$CM$2:$CM$400),0)),"/")</f>
        <v>15</v>
      </c>
      <c r="AF19" s="64" cm="1">
        <f t="array" ref="AF19">IFERROR(INDEX('Offer Statistics'!CW$2:CW$400,MATCH(1,($A19='Offer Statistics'!$CL$2:$CL$400)*($AC$2='Offer Statistics'!$CM$2:$CM$400),0)),"/")</f>
        <v>0</v>
      </c>
      <c r="AG19" s="64" cm="1">
        <f t="array" ref="AG19">IFERROR(INDEX('Offer Statistics'!CX$2:CX$400,MATCH(1,($A19='Offer Statistics'!$CL$2:$CL$400)*($AC$2='Offer Statistics'!$CM$2:$CM$400),0)),"/")</f>
        <v>0</v>
      </c>
      <c r="AH19" s="64" cm="1">
        <f t="array" ref="AH19">IFERROR(INDEX('Offer Statistics'!CY$2:CY$400,MATCH(1,($A19='Offer Statistics'!$CL$2:$CL$400)*($AC$2='Offer Statistics'!$CM$2:$CM$400),0)),"/")</f>
        <v>0</v>
      </c>
      <c r="AI19" s="64" cm="1">
        <f t="array" ref="AI19">IFERROR(INDEX('Offer Statistics'!CZ$2:CZ$400,MATCH(1,($A19='Offer Statistics'!$CL$2:$CL$400)*($AC$2='Offer Statistics'!$CM$2:$CM$400),0)),"/")</f>
        <v>0</v>
      </c>
      <c r="AJ19" s="511"/>
      <c r="AK19" s="36" cm="1">
        <f t="array" ref="AK19">IFERROR(INDEX('Offer Statistics'!CS$2:CS$400,MATCH(1,($A19='Offer Statistics'!$CL$2:$CL$400)*($AC$2='Offer Statistics'!$CM$2:$CM$400),0)),"/")</f>
        <v>905</v>
      </c>
      <c r="AL19" s="64" cm="1">
        <f t="array" ref="AL19">IFERROR(INDEX('Offer Statistics'!CN$2:CN$400,MATCH(1,($A19='Offer Statistics'!$CL$2:$CL$400)*($AC$2='Offer Statistics'!$CM$2:$CM$400),0)),"/")</f>
        <v>137</v>
      </c>
      <c r="AM19" s="64" cm="1">
        <f t="array" ref="AM19">IFERROR(INDEX('Offer Statistics'!CO$2:CO$400,MATCH(1,($A19='Offer Statistics'!$CL$2:$CL$400)*($AC$2='Offer Statistics'!$CM$2:$CM$400),0)),"/")</f>
        <v>119</v>
      </c>
      <c r="AN19" s="64" cm="1">
        <f t="array" ref="AN19">IFERROR(INDEX('Offer Statistics'!CP$2:CP$400,MATCH(1,($A19='Offer Statistics'!$CL$2:$CL$400)*($AC$2='Offer Statistics'!$CM$2:$CM$400),0)),"/")</f>
        <v>173</v>
      </c>
      <c r="AO19" s="64" cm="1">
        <f t="array" ref="AO19">IFERROR(INDEX('Offer Statistics'!CQ$2:CQ$400,MATCH(1,($A19='Offer Statistics'!$CL$2:$CL$400)*($AC$2='Offer Statistics'!$CM$2:$CM$400),0)),"/")</f>
        <v>257</v>
      </c>
      <c r="AP19" s="64" cm="1">
        <f t="array" ref="AP19">IFERROR(INDEX('Offer Statistics'!CR$2:CR$400,MATCH(1,($A19='Offer Statistics'!$CL$2:$CL$400)*($AC$2='Offer Statistics'!$CM$2:$CM$400),0)),"/")</f>
        <v>219</v>
      </c>
      <c r="AR19" s="15" t="str">
        <f t="shared" si="3"/>
        <v>JS6080</v>
      </c>
    </row>
    <row r="20" spans="1:44" ht="18" customHeight="1">
      <c r="A20" s="4" t="str">
        <f>'Reference Score Calculation'!A246</f>
        <v>JS6092</v>
      </c>
      <c r="B20" s="4" t="str">
        <f>'Reference Score Calculation'!C246</f>
        <v>教育學院</v>
      </c>
      <c r="C20" s="4" t="str">
        <f>'Reference Score Calculation'!D246</f>
        <v>教育學士(幼兒教育及特殊教育)</v>
      </c>
      <c r="D20" s="4" t="str">
        <f>'Reference Score Calculation'!R246</f>
        <v xml:space="preserve">	BED(ECE&amp;SE)</v>
      </c>
      <c r="E20" s="392" t="str">
        <f>'Reference Score Calculation'!AB246</f>
        <v>Best 5</v>
      </c>
      <c r="F20" s="365" t="str">
        <f>'Reference Score Calculation'!E246</f>
        <v>Best 5</v>
      </c>
      <c r="G20" s="6">
        <f>'Reference Score Calculation'!G246</f>
        <v>27</v>
      </c>
      <c r="H20" s="6">
        <f>'Reference Score Calculation'!H246</f>
        <v>25</v>
      </c>
      <c r="I20" s="6">
        <f>'Reference Score Calculation'!I246</f>
        <v>24</v>
      </c>
      <c r="J20" s="45">
        <f>計分版!J269</f>
        <v>3.1800000000000002E-9</v>
      </c>
      <c r="K20" s="25">
        <f t="shared" si="0"/>
        <v>-24.999999996820002</v>
      </c>
      <c r="L20" s="26">
        <f t="shared" si="1"/>
        <v>-7861635219.1257858</v>
      </c>
      <c r="M20" s="36">
        <f>'Reference Score Calculation'!T246</f>
        <v>18</v>
      </c>
      <c r="N20" s="54">
        <f>入學要求!Z255</f>
        <v>0</v>
      </c>
      <c r="O20" s="516"/>
      <c r="P20" s="275">
        <f>入學要求!L255</f>
        <v>3</v>
      </c>
      <c r="Q20" s="275">
        <f>入學要求!M255</f>
        <v>3</v>
      </c>
      <c r="R20" s="275">
        <f>入學要求!N255</f>
        <v>2</v>
      </c>
      <c r="S20" s="275">
        <f>入學要求!O255</f>
        <v>1</v>
      </c>
      <c r="T20" s="275">
        <f>入學要求!P255</f>
        <v>3</v>
      </c>
      <c r="U20" s="275">
        <f>入學要求!Q255</f>
        <v>3</v>
      </c>
      <c r="V20" s="256">
        <f>入學要求!S255</f>
        <v>0</v>
      </c>
      <c r="W20" s="256">
        <f>入學要求!T255</f>
        <v>0</v>
      </c>
      <c r="X20" s="256">
        <f>入學要求!U255</f>
        <v>0</v>
      </c>
      <c r="Y20" s="256">
        <f>入學要求!V255</f>
        <v>0</v>
      </c>
      <c r="Z20" s="256">
        <f>入學要求!W255</f>
        <v>0</v>
      </c>
      <c r="AA20" s="256">
        <f>入學要求!X255</f>
        <v>0</v>
      </c>
      <c r="AB20" s="36">
        <f t="shared" si="2"/>
        <v>212.2</v>
      </c>
      <c r="AC20" s="510"/>
      <c r="AD20" s="36" cm="1">
        <f t="array" ref="AD20">IFERROR(INDEX('Offer Statistics'!DA$2:DA$400,MATCH(1,($A20='Offer Statistics'!$CL$2:$CL$400)*($AC$2='Offer Statistics'!$CM$2:$CM$400),0)),"/")</f>
        <v>10</v>
      </c>
      <c r="AE20" s="64" cm="1">
        <f t="array" ref="AE20">IFERROR(INDEX('Offer Statistics'!CV$2:CV$400,MATCH(1,($A20='Offer Statistics'!$CL$2:$CL$400)*($AC$2='Offer Statistics'!$CM$2:$CM$400),0)),"/")</f>
        <v>10</v>
      </c>
      <c r="AF20" s="64" cm="1">
        <f t="array" ref="AF20">IFERROR(INDEX('Offer Statistics'!CW$2:CW$400,MATCH(1,($A20='Offer Statistics'!$CL$2:$CL$400)*($AC$2='Offer Statistics'!$CM$2:$CM$400),0)),"/")</f>
        <v>0</v>
      </c>
      <c r="AG20" s="64" cm="1">
        <f t="array" ref="AG20">IFERROR(INDEX('Offer Statistics'!CX$2:CX$400,MATCH(1,($A20='Offer Statistics'!$CL$2:$CL$400)*($AC$2='Offer Statistics'!$CM$2:$CM$400),0)),"/")</f>
        <v>0</v>
      </c>
      <c r="AH20" s="64" cm="1">
        <f t="array" ref="AH20">IFERROR(INDEX('Offer Statistics'!CY$2:CY$400,MATCH(1,($A20='Offer Statistics'!$CL$2:$CL$400)*($AC$2='Offer Statistics'!$CM$2:$CM$400),0)),"/")</f>
        <v>0</v>
      </c>
      <c r="AI20" s="64" cm="1">
        <f t="array" ref="AI20">IFERROR(INDEX('Offer Statistics'!CZ$2:CZ$400,MATCH(1,($A20='Offer Statistics'!$CL$2:$CL$400)*($AC$2='Offer Statistics'!$CM$2:$CM$400),0)),"/")</f>
        <v>0</v>
      </c>
      <c r="AJ20" s="511"/>
      <c r="AK20" s="36" cm="1">
        <f t="array" ref="AK20">IFERROR(INDEX('Offer Statistics'!CS$2:CS$400,MATCH(1,($A20='Offer Statistics'!$CL$2:$CL$400)*($AC$2='Offer Statistics'!$CM$2:$CM$400),0)),"/")</f>
        <v>2122</v>
      </c>
      <c r="AL20" s="64" cm="1">
        <f t="array" ref="AL20">IFERROR(INDEX('Offer Statistics'!CN$2:CN$400,MATCH(1,($A20='Offer Statistics'!$CL$2:$CL$400)*($AC$2='Offer Statistics'!$CM$2:$CM$400),0)),"/")</f>
        <v>210</v>
      </c>
      <c r="AM20" s="64" cm="1">
        <f t="array" ref="AM20">IFERROR(INDEX('Offer Statistics'!CO$2:CO$400,MATCH(1,($A20='Offer Statistics'!$CL$2:$CL$400)*($AC$2='Offer Statistics'!$CM$2:$CM$400),0)),"/")</f>
        <v>290</v>
      </c>
      <c r="AN20" s="64" cm="1">
        <f t="array" ref="AN20">IFERROR(INDEX('Offer Statistics'!CP$2:CP$400,MATCH(1,($A20='Offer Statistics'!$CL$2:$CL$400)*($AC$2='Offer Statistics'!$CM$2:$CM$400),0)),"/")</f>
        <v>469</v>
      </c>
      <c r="AO20" s="64" cm="1">
        <f t="array" ref="AO20">IFERROR(INDEX('Offer Statistics'!CQ$2:CQ$400,MATCH(1,($A20='Offer Statistics'!$CL$2:$CL$400)*($AC$2='Offer Statistics'!$CM$2:$CM$400),0)),"/")</f>
        <v>621</v>
      </c>
      <c r="AP20" s="64" cm="1">
        <f t="array" ref="AP20">IFERROR(INDEX('Offer Statistics'!CR$2:CR$400,MATCH(1,($A20='Offer Statistics'!$CL$2:$CL$400)*($AC$2='Offer Statistics'!$CM$2:$CM$400),0)),"/")</f>
        <v>532</v>
      </c>
      <c r="AR20" s="15" t="str">
        <f t="shared" si="3"/>
        <v>JS6092</v>
      </c>
    </row>
    <row r="21" spans="1:44" ht="18" customHeight="1">
      <c r="A21" s="4" t="str">
        <f>'Reference Score Calculation'!A247</f>
        <v>JS6119</v>
      </c>
      <c r="B21" s="4" t="str">
        <f>'Reference Score Calculation'!C247</f>
        <v>教育學院</v>
      </c>
      <c r="C21" s="4" t="str">
        <f>'Reference Score Calculation'!D247</f>
        <v>教育學士及理學士 (雙學位課程)</v>
      </c>
      <c r="D21" s="4" t="str">
        <f>'Reference Score Calculation'!R247</f>
        <v xml:space="preserve">	BED&amp;BSC</v>
      </c>
      <c r="E21" s="392" t="str">
        <f>'Reference Score Calculation'!AB247</f>
        <v>Best 5</v>
      </c>
      <c r="F21" s="391" t="str">
        <f>'Reference Score Calculation'!E247</f>
        <v>Best 5</v>
      </c>
      <c r="G21" s="6">
        <f>'Reference Score Calculation'!G247</f>
        <v>43</v>
      </c>
      <c r="H21" s="6">
        <f>'Reference Score Calculation'!H247</f>
        <v>42</v>
      </c>
      <c r="I21" s="6">
        <f>'Reference Score Calculation'!I247</f>
        <v>40</v>
      </c>
      <c r="J21" s="45">
        <f>計分版!J270</f>
        <v>2.1500000000000002E-9</v>
      </c>
      <c r="K21" s="25">
        <f t="shared" si="0"/>
        <v>-41.999999997849997</v>
      </c>
      <c r="L21" s="26">
        <f t="shared" si="1"/>
        <v>-19534883719.930229</v>
      </c>
      <c r="M21" s="36">
        <f>'Reference Score Calculation'!T247</f>
        <v>16</v>
      </c>
      <c r="N21" s="54">
        <f>入學要求!Z256</f>
        <v>0</v>
      </c>
      <c r="O21" s="516"/>
      <c r="P21" s="275">
        <f>入學要求!L256</f>
        <v>3</v>
      </c>
      <c r="Q21" s="275">
        <f>入學要求!M256</f>
        <v>3</v>
      </c>
      <c r="R21" s="275">
        <f>入學要求!N256</f>
        <v>2</v>
      </c>
      <c r="S21" s="275">
        <f>入學要求!O256</f>
        <v>1</v>
      </c>
      <c r="T21" s="275">
        <f>入學要求!P256</f>
        <v>3</v>
      </c>
      <c r="U21" s="275">
        <f>入學要求!Q256</f>
        <v>3</v>
      </c>
      <c r="V21" s="256">
        <f>入學要求!S256</f>
        <v>0</v>
      </c>
      <c r="W21" s="256">
        <f>入學要求!T256</f>
        <v>0</v>
      </c>
      <c r="X21" s="256">
        <f>入學要求!U256</f>
        <v>0</v>
      </c>
      <c r="Y21" s="256">
        <f>入學要求!V256</f>
        <v>0</v>
      </c>
      <c r="Z21" s="256">
        <f>入學要求!W256</f>
        <v>0</v>
      </c>
      <c r="AA21" s="256">
        <f>入學要求!X256</f>
        <v>0</v>
      </c>
      <c r="AB21" s="36">
        <f t="shared" si="2"/>
        <v>46.89</v>
      </c>
      <c r="AC21" s="510"/>
      <c r="AD21" s="36" cm="1">
        <f t="array" ref="AD21">IFERROR(INDEX('Offer Statistics'!DA$2:DA$400,MATCH(1,($A21='Offer Statistics'!$CL$2:$CL$400)*($AC$2='Offer Statistics'!$CM$2:$CM$400),0)),"/")</f>
        <v>18</v>
      </c>
      <c r="AE21" s="64" cm="1">
        <f t="array" ref="AE21">IFERROR(INDEX('Offer Statistics'!CV$2:CV$400,MATCH(1,($A21='Offer Statistics'!$CL$2:$CL$400)*($AC$2='Offer Statistics'!$CM$2:$CM$400),0)),"/")</f>
        <v>18</v>
      </c>
      <c r="AF21" s="64" cm="1">
        <f t="array" ref="AF21">IFERROR(INDEX('Offer Statistics'!CW$2:CW$400,MATCH(1,($A21='Offer Statistics'!$CL$2:$CL$400)*($AC$2='Offer Statistics'!$CM$2:$CM$400),0)),"/")</f>
        <v>0</v>
      </c>
      <c r="AG21" s="64" cm="1">
        <f t="array" ref="AG21">IFERROR(INDEX('Offer Statistics'!CX$2:CX$400,MATCH(1,($A21='Offer Statistics'!$CL$2:$CL$400)*($AC$2='Offer Statistics'!$CM$2:$CM$400),0)),"/")</f>
        <v>0</v>
      </c>
      <c r="AH21" s="64" cm="1">
        <f t="array" ref="AH21">IFERROR(INDEX('Offer Statistics'!CY$2:CY$400,MATCH(1,($A21='Offer Statistics'!$CL$2:$CL$400)*($AC$2='Offer Statistics'!$CM$2:$CM$400),0)),"/")</f>
        <v>0</v>
      </c>
      <c r="AI21" s="64" cm="1">
        <f t="array" ref="AI21">IFERROR(INDEX('Offer Statistics'!CZ$2:CZ$400,MATCH(1,($A21='Offer Statistics'!$CL$2:$CL$400)*($AC$2='Offer Statistics'!$CM$2:$CM$400),0)),"/")</f>
        <v>0</v>
      </c>
      <c r="AJ21" s="511"/>
      <c r="AK21" s="36" cm="1">
        <f t="array" ref="AK21">IFERROR(INDEX('Offer Statistics'!CS$2:CS$400,MATCH(1,($A21='Offer Statistics'!$CL$2:$CL$400)*($AC$2='Offer Statistics'!$CM$2:$CM$400),0)),"/")</f>
        <v>844</v>
      </c>
      <c r="AL21" s="64" cm="1">
        <f t="array" ref="AL21">IFERROR(INDEX('Offer Statistics'!CN$2:CN$400,MATCH(1,($A21='Offer Statistics'!$CL$2:$CL$400)*($AC$2='Offer Statistics'!$CM$2:$CM$400),0)),"/")</f>
        <v>99</v>
      </c>
      <c r="AM21" s="64" cm="1">
        <f t="array" ref="AM21">IFERROR(INDEX('Offer Statistics'!CO$2:CO$400,MATCH(1,($A21='Offer Statistics'!$CL$2:$CL$400)*($AC$2='Offer Statistics'!$CM$2:$CM$400),0)),"/")</f>
        <v>105</v>
      </c>
      <c r="AN21" s="64" cm="1">
        <f t="array" ref="AN21">IFERROR(INDEX('Offer Statistics'!CP$2:CP$400,MATCH(1,($A21='Offer Statistics'!$CL$2:$CL$400)*($AC$2='Offer Statistics'!$CM$2:$CM$400),0)),"/")</f>
        <v>163</v>
      </c>
      <c r="AO21" s="64" cm="1">
        <f t="array" ref="AO21">IFERROR(INDEX('Offer Statistics'!CQ$2:CQ$400,MATCH(1,($A21='Offer Statistics'!$CL$2:$CL$400)*($AC$2='Offer Statistics'!$CM$2:$CM$400),0)),"/")</f>
        <v>242</v>
      </c>
      <c r="AP21" s="64" cm="1">
        <f t="array" ref="AP21">IFERROR(INDEX('Offer Statistics'!CR$2:CR$400,MATCH(1,($A21='Offer Statistics'!$CL$2:$CL$400)*($AC$2='Offer Statistics'!$CM$2:$CM$400),0)),"/")</f>
        <v>235</v>
      </c>
      <c r="AR21" s="15" t="str">
        <f t="shared" si="3"/>
        <v>JS6119</v>
      </c>
    </row>
    <row r="22" spans="1:44" ht="18" customHeight="1">
      <c r="A22" s="4" t="str">
        <f>'Reference Score Calculation'!A248</f>
        <v>JS6157</v>
      </c>
      <c r="B22" s="4" t="str">
        <f>'Reference Score Calculation'!C248</f>
        <v>教育學院</v>
      </c>
      <c r="C22" s="4" t="str">
        <f>'Reference Score Calculation'!D248</f>
        <v>理學士(言語及聽覺科學)</v>
      </c>
      <c r="D22" s="4" t="str">
        <f>'Reference Score Calculation'!R248</f>
        <v xml:space="preserve">	BSC(SPEECH)</v>
      </c>
      <c r="E22" s="392" t="str">
        <f>'Reference Score Calculation'!AB248</f>
        <v>Best 5</v>
      </c>
      <c r="F22" s="365" t="str">
        <f>'Reference Score Calculation'!E248</f>
        <v>Best 6</v>
      </c>
      <c r="G22" s="6">
        <f>'Reference Score Calculation'!G248</f>
        <v>39</v>
      </c>
      <c r="H22" s="6">
        <f>'Reference Score Calculation'!H248</f>
        <v>38</v>
      </c>
      <c r="I22" s="6">
        <f>'Reference Score Calculation'!I248</f>
        <v>36</v>
      </c>
      <c r="J22" s="45">
        <f>計分版!J271</f>
        <v>3.9000000000000002E-9</v>
      </c>
      <c r="K22" s="25">
        <f t="shared" si="0"/>
        <v>-37.999999996100001</v>
      </c>
      <c r="L22" s="26">
        <f t="shared" si="1"/>
        <v>-9743589742.5897427</v>
      </c>
      <c r="M22" s="36">
        <f>'Reference Score Calculation'!T248</f>
        <v>48</v>
      </c>
      <c r="N22" s="54">
        <f>入學要求!Z257</f>
        <v>0</v>
      </c>
      <c r="O22" s="516"/>
      <c r="P22" s="275">
        <f>入學要求!L257</f>
        <v>3</v>
      </c>
      <c r="Q22" s="275">
        <f>入學要求!M257</f>
        <v>4</v>
      </c>
      <c r="R22" s="275">
        <f>入學要求!N257</f>
        <v>2</v>
      </c>
      <c r="S22" s="275">
        <f>入學要求!O257</f>
        <v>1</v>
      </c>
      <c r="T22" s="275">
        <f>入學要求!P257</f>
        <v>3</v>
      </c>
      <c r="U22" s="275">
        <f>入學要求!Q257</f>
        <v>3</v>
      </c>
      <c r="V22" s="256">
        <f>入學要求!S257</f>
        <v>0</v>
      </c>
      <c r="W22" s="256">
        <f>入學要求!T257</f>
        <v>0</v>
      </c>
      <c r="X22" s="256">
        <f>入學要求!U257</f>
        <v>0</v>
      </c>
      <c r="Y22" s="256">
        <f>入學要求!V257</f>
        <v>0</v>
      </c>
      <c r="Z22" s="256">
        <f>入學要求!W257</f>
        <v>0</v>
      </c>
      <c r="AA22" s="256">
        <f>入學要求!X257</f>
        <v>0</v>
      </c>
      <c r="AB22" s="36">
        <f t="shared" si="2"/>
        <v>14.32</v>
      </c>
      <c r="AC22" s="510"/>
      <c r="AD22" s="36" cm="1">
        <f t="array" ref="AD22">IFERROR(INDEX('Offer Statistics'!DA$2:DA$400,MATCH(1,($A22='Offer Statistics'!$CL$2:$CL$400)*($AC$2='Offer Statistics'!$CM$2:$CM$400),0)),"/")</f>
        <v>59</v>
      </c>
      <c r="AE22" s="64" cm="1">
        <f t="array" ref="AE22">IFERROR(INDEX('Offer Statistics'!CV$2:CV$400,MATCH(1,($A22='Offer Statistics'!$CL$2:$CL$400)*($AC$2='Offer Statistics'!$CM$2:$CM$400),0)),"/")</f>
        <v>59</v>
      </c>
      <c r="AF22" s="64" cm="1">
        <f t="array" ref="AF22">IFERROR(INDEX('Offer Statistics'!CW$2:CW$400,MATCH(1,($A22='Offer Statistics'!$CL$2:$CL$400)*($AC$2='Offer Statistics'!$CM$2:$CM$400),0)),"/")</f>
        <v>0</v>
      </c>
      <c r="AG22" s="64" cm="1">
        <f t="array" ref="AG22">IFERROR(INDEX('Offer Statistics'!CX$2:CX$400,MATCH(1,($A22='Offer Statistics'!$CL$2:$CL$400)*($AC$2='Offer Statistics'!$CM$2:$CM$400),0)),"/")</f>
        <v>0</v>
      </c>
      <c r="AH22" s="64" cm="1">
        <f t="array" ref="AH22">IFERROR(INDEX('Offer Statistics'!CY$2:CY$400,MATCH(1,($A22='Offer Statistics'!$CL$2:$CL$400)*($AC$2='Offer Statistics'!$CM$2:$CM$400),0)),"/")</f>
        <v>0</v>
      </c>
      <c r="AI22" s="64" cm="1">
        <f t="array" ref="AI22">IFERROR(INDEX('Offer Statistics'!CZ$2:CZ$400,MATCH(1,($A22='Offer Statistics'!$CL$2:$CL$400)*($AC$2='Offer Statistics'!$CM$2:$CM$400),0)),"/")</f>
        <v>0</v>
      </c>
      <c r="AJ22" s="511"/>
      <c r="AK22" s="36" cm="1">
        <f t="array" ref="AK22">IFERROR(INDEX('Offer Statistics'!CS$2:CS$400,MATCH(1,($A22='Offer Statistics'!$CL$2:$CL$400)*($AC$2='Offer Statistics'!$CM$2:$CM$400),0)),"/")</f>
        <v>845</v>
      </c>
      <c r="AL22" s="64" cm="1">
        <f t="array" ref="AL22">IFERROR(INDEX('Offer Statistics'!CN$2:CN$400,MATCH(1,($A22='Offer Statistics'!$CL$2:$CL$400)*($AC$2='Offer Statistics'!$CM$2:$CM$400),0)),"/")</f>
        <v>155</v>
      </c>
      <c r="AM22" s="64" cm="1">
        <f t="array" ref="AM22">IFERROR(INDEX('Offer Statistics'!CO$2:CO$400,MATCH(1,($A22='Offer Statistics'!$CL$2:$CL$400)*($AC$2='Offer Statistics'!$CM$2:$CM$400),0)),"/")</f>
        <v>87</v>
      </c>
      <c r="AN22" s="64" cm="1">
        <f t="array" ref="AN22">IFERROR(INDEX('Offer Statistics'!CP$2:CP$400,MATCH(1,($A22='Offer Statistics'!$CL$2:$CL$400)*($AC$2='Offer Statistics'!$CM$2:$CM$400),0)),"/")</f>
        <v>174</v>
      </c>
      <c r="AO22" s="64" cm="1">
        <f t="array" ref="AO22">IFERROR(INDEX('Offer Statistics'!CQ$2:CQ$400,MATCH(1,($A22='Offer Statistics'!$CL$2:$CL$400)*($AC$2='Offer Statistics'!$CM$2:$CM$400),0)),"/")</f>
        <v>215</v>
      </c>
      <c r="AP22" s="64" cm="1">
        <f t="array" ref="AP22">IFERROR(INDEX('Offer Statistics'!CR$2:CR$400,MATCH(1,($A22='Offer Statistics'!$CL$2:$CL$400)*($AC$2='Offer Statistics'!$CM$2:$CM$400),0)),"/")</f>
        <v>214</v>
      </c>
      <c r="AR22" s="15" t="str">
        <f t="shared" si="3"/>
        <v>JS6157</v>
      </c>
    </row>
    <row r="23" spans="1:44" ht="18" customHeight="1">
      <c r="A23" s="4" t="str">
        <f>'Reference Score Calculation'!A249</f>
        <v>JS6262</v>
      </c>
      <c r="B23" s="4" t="str">
        <f>'Reference Score Calculation'!C249</f>
        <v>工程學院</v>
      </c>
      <c r="C23" s="4" t="str">
        <f>'Reference Score Calculation'!D249</f>
        <v>工學學士(數據科學及工程)</v>
      </c>
      <c r="D23" s="4" t="str">
        <f>'Reference Score Calculation'!R249</f>
        <v>BEng(DS&amp;E)</v>
      </c>
      <c r="E23" s="392" t="str">
        <f>'Reference Score Calculation'!AB249</f>
        <v>Best 5</v>
      </c>
      <c r="F23" s="365" t="str">
        <f>'Reference Score Calculation'!E249</f>
        <v>Best 5</v>
      </c>
      <c r="G23" s="6">
        <f>'Reference Score Calculation'!G249</f>
        <v>31</v>
      </c>
      <c r="H23" s="6">
        <f>'Reference Score Calculation'!H249</f>
        <v>30</v>
      </c>
      <c r="I23" s="6">
        <f>'Reference Score Calculation'!I249</f>
        <v>28</v>
      </c>
      <c r="J23" s="45">
        <f>計分版!J272</f>
        <v>3.1500000000000001E-9</v>
      </c>
      <c r="K23" s="25">
        <f t="shared" si="0"/>
        <v>-29.999999996850001</v>
      </c>
      <c r="L23" s="26">
        <f t="shared" si="1"/>
        <v>-9523809522.8095245</v>
      </c>
      <c r="M23" s="36">
        <f>'Reference Score Calculation'!T249</f>
        <v>30</v>
      </c>
      <c r="N23" s="54">
        <f>入學要求!Z258</f>
        <v>0</v>
      </c>
      <c r="O23" s="516"/>
      <c r="P23" s="275">
        <f>入學要求!L258</f>
        <v>3</v>
      </c>
      <c r="Q23" s="275">
        <f>入學要求!M258</f>
        <v>3</v>
      </c>
      <c r="R23" s="275">
        <f>入學要求!N258</f>
        <v>3</v>
      </c>
      <c r="S23" s="275">
        <f>入學要求!O258</f>
        <v>1</v>
      </c>
      <c r="T23" s="275">
        <f>入學要求!P258</f>
        <v>3</v>
      </c>
      <c r="U23" s="275">
        <f>入學要求!Q258</f>
        <v>3</v>
      </c>
      <c r="V23" s="256">
        <f>入學要求!S258</f>
        <v>0</v>
      </c>
      <c r="W23" s="256">
        <f>入學要求!T258</f>
        <v>0</v>
      </c>
      <c r="X23" s="256">
        <f>入學要求!U258</f>
        <v>0</v>
      </c>
      <c r="Y23" s="256">
        <f>入學要求!V258</f>
        <v>0</v>
      </c>
      <c r="Z23" s="256">
        <f>入學要求!W258</f>
        <v>0</v>
      </c>
      <c r="AA23" s="256">
        <f>入學要求!X258</f>
        <v>0</v>
      </c>
      <c r="AB23" s="36">
        <f t="shared" si="2"/>
        <v>32.630000000000003</v>
      </c>
      <c r="AC23" s="510"/>
      <c r="AD23" s="36" cm="1">
        <f t="array" ref="AD23">IFERROR(INDEX('Offer Statistics'!DA$2:DA$400,MATCH(1,($A23='Offer Statistics'!$CL$2:$CL$400)*($AC$2='Offer Statistics'!$CM$2:$CM$400),0)),"/")</f>
        <v>30</v>
      </c>
      <c r="AE23" s="64" cm="1">
        <f t="array" ref="AE23">IFERROR(INDEX('Offer Statistics'!CV$2:CV$400,MATCH(1,($A23='Offer Statistics'!$CL$2:$CL$400)*($AC$2='Offer Statistics'!$CM$2:$CM$400),0)),"/")</f>
        <v>30</v>
      </c>
      <c r="AF23" s="64" cm="1">
        <f t="array" ref="AF23">IFERROR(INDEX('Offer Statistics'!CW$2:CW$400,MATCH(1,($A23='Offer Statistics'!$CL$2:$CL$400)*($AC$2='Offer Statistics'!$CM$2:$CM$400),0)),"/")</f>
        <v>0</v>
      </c>
      <c r="AG23" s="64" cm="1">
        <f t="array" ref="AG23">IFERROR(INDEX('Offer Statistics'!CX$2:CX$400,MATCH(1,($A23='Offer Statistics'!$CL$2:$CL$400)*($AC$2='Offer Statistics'!$CM$2:$CM$400),0)),"/")</f>
        <v>0</v>
      </c>
      <c r="AH23" s="64" cm="1">
        <f t="array" ref="AH23">IFERROR(INDEX('Offer Statistics'!CY$2:CY$400,MATCH(1,($A23='Offer Statistics'!$CL$2:$CL$400)*($AC$2='Offer Statistics'!$CM$2:$CM$400),0)),"/")</f>
        <v>0</v>
      </c>
      <c r="AI23" s="64" cm="1">
        <f t="array" ref="AI23">IFERROR(INDEX('Offer Statistics'!CZ$2:CZ$400,MATCH(1,($A23='Offer Statistics'!$CL$2:$CL$400)*($AC$2='Offer Statistics'!$CM$2:$CM$400),0)),"/")</f>
        <v>0</v>
      </c>
      <c r="AJ23" s="511"/>
      <c r="AK23" s="36" cm="1">
        <f t="array" ref="AK23">IFERROR(INDEX('Offer Statistics'!CS$2:CS$400,MATCH(1,($A23='Offer Statistics'!$CL$2:$CL$400)*($AC$2='Offer Statistics'!$CM$2:$CM$400),0)),"/")</f>
        <v>979</v>
      </c>
      <c r="AL23" s="64" cm="1">
        <f t="array" ref="AL23">IFERROR(INDEX('Offer Statistics'!CN$2:CN$400,MATCH(1,($A23='Offer Statistics'!$CL$2:$CL$400)*($AC$2='Offer Statistics'!$CM$2:$CM$400),0)),"/")</f>
        <v>95</v>
      </c>
      <c r="AM23" s="64" cm="1">
        <f t="array" ref="AM23">IFERROR(INDEX('Offer Statistics'!CO$2:CO$400,MATCH(1,($A23='Offer Statistics'!$CL$2:$CL$400)*($AC$2='Offer Statistics'!$CM$2:$CM$400),0)),"/")</f>
        <v>88</v>
      </c>
      <c r="AN23" s="64" cm="1">
        <f t="array" ref="AN23">IFERROR(INDEX('Offer Statistics'!CP$2:CP$400,MATCH(1,($A23='Offer Statistics'!$CL$2:$CL$400)*($AC$2='Offer Statistics'!$CM$2:$CM$400),0)),"/")</f>
        <v>211</v>
      </c>
      <c r="AO23" s="64" cm="1">
        <f t="array" ref="AO23">IFERROR(INDEX('Offer Statistics'!CQ$2:CQ$400,MATCH(1,($A23='Offer Statistics'!$CL$2:$CL$400)*($AC$2='Offer Statistics'!$CM$2:$CM$400),0)),"/")</f>
        <v>302</v>
      </c>
      <c r="AP23" s="64" cm="1">
        <f t="array" ref="AP23">IFERROR(INDEX('Offer Statistics'!CR$2:CR$400,MATCH(1,($A23='Offer Statistics'!$CL$2:$CL$400)*($AC$2='Offer Statistics'!$CM$2:$CM$400),0)),"/")</f>
        <v>283</v>
      </c>
      <c r="AR23" s="15" t="str">
        <f t="shared" si="3"/>
        <v>JS6262</v>
      </c>
    </row>
    <row r="24" spans="1:44" ht="18" customHeight="1">
      <c r="A24" s="4" t="str">
        <f>'Reference Score Calculation'!A250</f>
        <v>JS6925</v>
      </c>
      <c r="B24" s="4" t="str">
        <f>'Reference Score Calculation'!C250</f>
        <v>工程學院</v>
      </c>
      <c r="C24" s="4" t="str">
        <f>'Reference Score Calculation'!D250</f>
        <v>工學學士(生物醫學工程)</v>
      </c>
      <c r="D24" s="4" t="str">
        <f>'Reference Score Calculation'!R250</f>
        <v xml:space="preserve">	BENG(BME)</v>
      </c>
      <c r="E24" s="392" t="str">
        <f>'Reference Score Calculation'!AB250</f>
        <v>Best 5</v>
      </c>
      <c r="F24" s="365" t="str">
        <f>'Reference Score Calculation'!E250</f>
        <v>Best 5</v>
      </c>
      <c r="G24" s="6">
        <f>'Reference Score Calculation'!G250</f>
        <v>31</v>
      </c>
      <c r="H24" s="6">
        <f>'Reference Score Calculation'!H250</f>
        <v>28</v>
      </c>
      <c r="I24" s="6">
        <f>'Reference Score Calculation'!I250</f>
        <v>27</v>
      </c>
      <c r="J24" s="45">
        <f>計分版!J273</f>
        <v>3.1500000000000001E-9</v>
      </c>
      <c r="K24" s="25">
        <f t="shared" si="0"/>
        <v>-27.999999996850001</v>
      </c>
      <c r="L24" s="26">
        <f t="shared" si="1"/>
        <v>-8888888887.8888893</v>
      </c>
      <c r="M24" s="36">
        <f>'Reference Score Calculation'!T250</f>
        <v>35</v>
      </c>
      <c r="N24" s="54">
        <f>入學要求!Z259</f>
        <v>0</v>
      </c>
      <c r="O24" s="516"/>
      <c r="P24" s="275">
        <f>入學要求!L259</f>
        <v>3</v>
      </c>
      <c r="Q24" s="275">
        <f>入學要求!M259</f>
        <v>3</v>
      </c>
      <c r="R24" s="275">
        <f>入學要求!N259</f>
        <v>3</v>
      </c>
      <c r="S24" s="275">
        <f>入學要求!O259</f>
        <v>1</v>
      </c>
      <c r="T24" s="275">
        <f>入學要求!P259</f>
        <v>3</v>
      </c>
      <c r="U24" s="275">
        <f>入學要求!Q259</f>
        <v>3</v>
      </c>
      <c r="V24" s="256">
        <f>入學要求!S259</f>
        <v>0</v>
      </c>
      <c r="W24" s="256">
        <f>入學要求!T259</f>
        <v>0</v>
      </c>
      <c r="X24" s="256">
        <f>入學要求!U259</f>
        <v>0</v>
      </c>
      <c r="Y24" s="256">
        <f>入學要求!V259</f>
        <v>0</v>
      </c>
      <c r="Z24" s="256">
        <f>入學要求!W259</f>
        <v>0</v>
      </c>
      <c r="AA24" s="256">
        <f>入學要求!X259</f>
        <v>0</v>
      </c>
      <c r="AB24" s="36">
        <f t="shared" si="2"/>
        <v>56.18</v>
      </c>
      <c r="AC24" s="510"/>
      <c r="AD24" s="36" cm="1">
        <f t="array" ref="AD24">IFERROR(INDEX('Offer Statistics'!DA$2:DA$400,MATCH(1,($A24='Offer Statistics'!$CL$2:$CL$400)*($AC$2='Offer Statistics'!$CM$2:$CM$400),0)),"/")</f>
        <v>17</v>
      </c>
      <c r="AE24" s="64" cm="1">
        <f t="array" ref="AE24">IFERROR(INDEX('Offer Statistics'!CV$2:CV$400,MATCH(1,($A24='Offer Statistics'!$CL$2:$CL$400)*($AC$2='Offer Statistics'!$CM$2:$CM$400),0)),"/")</f>
        <v>17</v>
      </c>
      <c r="AF24" s="64" cm="1">
        <f t="array" ref="AF24">IFERROR(INDEX('Offer Statistics'!CW$2:CW$400,MATCH(1,($A24='Offer Statistics'!$CL$2:$CL$400)*($AC$2='Offer Statistics'!$CM$2:$CM$400),0)),"/")</f>
        <v>0</v>
      </c>
      <c r="AG24" s="64" cm="1">
        <f t="array" ref="AG24">IFERROR(INDEX('Offer Statistics'!CX$2:CX$400,MATCH(1,($A24='Offer Statistics'!$CL$2:$CL$400)*($AC$2='Offer Statistics'!$CM$2:$CM$400),0)),"/")</f>
        <v>0</v>
      </c>
      <c r="AH24" s="64" cm="1">
        <f t="array" ref="AH24">IFERROR(INDEX('Offer Statistics'!CY$2:CY$400,MATCH(1,($A24='Offer Statistics'!$CL$2:$CL$400)*($AC$2='Offer Statistics'!$CM$2:$CM$400),0)),"/")</f>
        <v>0</v>
      </c>
      <c r="AI24" s="64" cm="1">
        <f t="array" ref="AI24">IFERROR(INDEX('Offer Statistics'!CZ$2:CZ$400,MATCH(1,($A24='Offer Statistics'!$CL$2:$CL$400)*($AC$2='Offer Statistics'!$CM$2:$CM$400),0)),"/")</f>
        <v>0</v>
      </c>
      <c r="AJ24" s="511"/>
      <c r="AK24" s="36" cm="1">
        <f t="array" ref="AK24">IFERROR(INDEX('Offer Statistics'!CS$2:CS$400,MATCH(1,($A24='Offer Statistics'!$CL$2:$CL$400)*($AC$2='Offer Statistics'!$CM$2:$CM$400),0)),"/")</f>
        <v>955</v>
      </c>
      <c r="AL24" s="64" cm="1">
        <f t="array" ref="AL24">IFERROR(INDEX('Offer Statistics'!CN$2:CN$400,MATCH(1,($A24='Offer Statistics'!$CL$2:$CL$400)*($AC$2='Offer Statistics'!$CM$2:$CM$400),0)),"/")</f>
        <v>57</v>
      </c>
      <c r="AM24" s="64" cm="1">
        <f t="array" ref="AM24">IFERROR(INDEX('Offer Statistics'!CO$2:CO$400,MATCH(1,($A24='Offer Statistics'!$CL$2:$CL$400)*($AC$2='Offer Statistics'!$CM$2:$CM$400),0)),"/")</f>
        <v>92</v>
      </c>
      <c r="AN24" s="64" cm="1">
        <f t="array" ref="AN24">IFERROR(INDEX('Offer Statistics'!CP$2:CP$400,MATCH(1,($A24='Offer Statistics'!$CL$2:$CL$400)*($AC$2='Offer Statistics'!$CM$2:$CM$400),0)),"/")</f>
        <v>208</v>
      </c>
      <c r="AO24" s="64" cm="1">
        <f t="array" ref="AO24">IFERROR(INDEX('Offer Statistics'!CQ$2:CQ$400,MATCH(1,($A24='Offer Statistics'!$CL$2:$CL$400)*($AC$2='Offer Statistics'!$CM$2:$CM$400),0)),"/")</f>
        <v>306</v>
      </c>
      <c r="AP24" s="64" cm="1">
        <f t="array" ref="AP24">IFERROR(INDEX('Offer Statistics'!CR$2:CR$400,MATCH(1,($A24='Offer Statistics'!$CL$2:$CL$400)*($AC$2='Offer Statistics'!$CM$2:$CM$400),0)),"/")</f>
        <v>292</v>
      </c>
      <c r="AR24" s="15" t="str">
        <f t="shared" si="3"/>
        <v>JS6925</v>
      </c>
    </row>
    <row r="25" spans="1:44" ht="18" customHeight="1">
      <c r="A25" s="4" t="str">
        <f>'Reference Score Calculation'!A251</f>
        <v>JS6937</v>
      </c>
      <c r="B25" s="4" t="str">
        <f>'Reference Score Calculation'!C251</f>
        <v>工程學院</v>
      </c>
      <c r="C25" s="4" t="str">
        <f>'Reference Score Calculation'!D251</f>
        <v>環球工程與商業課程</v>
      </c>
      <c r="D25" s="4" t="str">
        <f>'Reference Score Calculation'!R251</f>
        <v>GEBP</v>
      </c>
      <c r="E25" s="392" t="str">
        <f>'Reference Score Calculation'!AB251</f>
        <v>Best 5</v>
      </c>
      <c r="F25" s="365" t="str">
        <f>'Reference Score Calculation'!E251</f>
        <v>Best 5</v>
      </c>
      <c r="G25" s="6">
        <f>'Reference Score Calculation'!G251</f>
        <v>34</v>
      </c>
      <c r="H25" s="6">
        <f>'Reference Score Calculation'!H251</f>
        <v>31</v>
      </c>
      <c r="I25" s="6">
        <f>'Reference Score Calculation'!I251</f>
        <v>29</v>
      </c>
      <c r="J25" s="45">
        <f>計分版!J274</f>
        <v>3.1500000000000001E-9</v>
      </c>
      <c r="K25" s="25">
        <f t="shared" si="0"/>
        <v>-30.999999996850001</v>
      </c>
      <c r="L25" s="26">
        <f t="shared" si="1"/>
        <v>-9841269840.2698421</v>
      </c>
      <c r="M25" s="36" t="str">
        <f>'Reference Score Calculation'!T251</f>
        <v>355*</v>
      </c>
      <c r="N25" s="54">
        <f>入學要求!Z260</f>
        <v>0</v>
      </c>
      <c r="O25" s="516"/>
      <c r="P25" s="275">
        <f>入學要求!L260</f>
        <v>3</v>
      </c>
      <c r="Q25" s="275">
        <f>入學要求!M260</f>
        <v>4</v>
      </c>
      <c r="R25" s="275">
        <f>入學要求!N260</f>
        <v>4</v>
      </c>
      <c r="S25" s="275">
        <f>入學要求!O260</f>
        <v>1</v>
      </c>
      <c r="T25" s="275">
        <f>入學要求!P260</f>
        <v>3</v>
      </c>
      <c r="U25" s="275">
        <f>入學要求!Q260</f>
        <v>3</v>
      </c>
      <c r="V25" s="256">
        <f>入學要求!S260</f>
        <v>0</v>
      </c>
      <c r="W25" s="256">
        <f>入學要求!T260</f>
        <v>0</v>
      </c>
      <c r="X25" s="256">
        <f>入學要求!U260</f>
        <v>0</v>
      </c>
      <c r="Y25" s="256">
        <f>入學要求!V260</f>
        <v>0</v>
      </c>
      <c r="Z25" s="256">
        <f>入學要求!W260</f>
        <v>0</v>
      </c>
      <c r="AA25" s="256">
        <f>入學要求!X260</f>
        <v>0</v>
      </c>
      <c r="AB25" s="36">
        <f t="shared" si="2"/>
        <v>16.95</v>
      </c>
      <c r="AC25" s="510"/>
      <c r="AD25" s="36" cm="1">
        <f t="array" ref="AD25">IFERROR(INDEX('Offer Statistics'!DA$2:DA$400,MATCH(1,($A25='Offer Statistics'!$CL$2:$CL$400)*($AC$2='Offer Statistics'!$CM$2:$CM$400),0)),"/")</f>
        <v>20</v>
      </c>
      <c r="AE25" s="64" cm="1">
        <f t="array" ref="AE25">IFERROR(INDEX('Offer Statistics'!CV$2:CV$400,MATCH(1,($A25='Offer Statistics'!$CL$2:$CL$400)*($AC$2='Offer Statistics'!$CM$2:$CM$400),0)),"/")</f>
        <v>20</v>
      </c>
      <c r="AF25" s="64" cm="1">
        <f t="array" ref="AF25">IFERROR(INDEX('Offer Statistics'!CW$2:CW$400,MATCH(1,($A25='Offer Statistics'!$CL$2:$CL$400)*($AC$2='Offer Statistics'!$CM$2:$CM$400),0)),"/")</f>
        <v>0</v>
      </c>
      <c r="AG25" s="64" cm="1">
        <f t="array" ref="AG25">IFERROR(INDEX('Offer Statistics'!CX$2:CX$400,MATCH(1,($A25='Offer Statistics'!$CL$2:$CL$400)*($AC$2='Offer Statistics'!$CM$2:$CM$400),0)),"/")</f>
        <v>0</v>
      </c>
      <c r="AH25" s="64" cm="1">
        <f t="array" ref="AH25">IFERROR(INDEX('Offer Statistics'!CY$2:CY$400,MATCH(1,($A25='Offer Statistics'!$CL$2:$CL$400)*($AC$2='Offer Statistics'!$CM$2:$CM$400),0)),"/")</f>
        <v>0</v>
      </c>
      <c r="AI25" s="64" cm="1">
        <f t="array" ref="AI25">IFERROR(INDEX('Offer Statistics'!CZ$2:CZ$400,MATCH(1,($A25='Offer Statistics'!$CL$2:$CL$400)*($AC$2='Offer Statistics'!$CM$2:$CM$400),0)),"/")</f>
        <v>0</v>
      </c>
      <c r="AJ25" s="511"/>
      <c r="AK25" s="36" cm="1">
        <f t="array" ref="AK25">IFERROR(INDEX('Offer Statistics'!CS$2:CS$400,MATCH(1,($A25='Offer Statistics'!$CL$2:$CL$400)*($AC$2='Offer Statistics'!$CM$2:$CM$400),0)),"/")</f>
        <v>339</v>
      </c>
      <c r="AL25" s="64" cm="1">
        <f t="array" ref="AL25">IFERROR(INDEX('Offer Statistics'!CN$2:CN$400,MATCH(1,($A25='Offer Statistics'!$CL$2:$CL$400)*($AC$2='Offer Statistics'!$CM$2:$CM$400),0)),"/")</f>
        <v>62</v>
      </c>
      <c r="AM25" s="64" cm="1">
        <f t="array" ref="AM25">IFERROR(INDEX('Offer Statistics'!CO$2:CO$400,MATCH(1,($A25='Offer Statistics'!$CL$2:$CL$400)*($AC$2='Offer Statistics'!$CM$2:$CM$400),0)),"/")</f>
        <v>32</v>
      </c>
      <c r="AN25" s="64" cm="1">
        <f t="array" ref="AN25">IFERROR(INDEX('Offer Statistics'!CP$2:CP$400,MATCH(1,($A25='Offer Statistics'!$CL$2:$CL$400)*($AC$2='Offer Statistics'!$CM$2:$CM$400),0)),"/")</f>
        <v>56</v>
      </c>
      <c r="AO25" s="64" cm="1">
        <f t="array" ref="AO25">IFERROR(INDEX('Offer Statistics'!CQ$2:CQ$400,MATCH(1,($A25='Offer Statistics'!$CL$2:$CL$400)*($AC$2='Offer Statistics'!$CM$2:$CM$400),0)),"/")</f>
        <v>97</v>
      </c>
      <c r="AP25" s="64" cm="1">
        <f t="array" ref="AP25">IFERROR(INDEX('Offer Statistics'!CR$2:CR$400,MATCH(1,($A25='Offer Statistics'!$CL$2:$CL$400)*($AC$2='Offer Statistics'!$CM$2:$CM$400),0)),"/")</f>
        <v>92</v>
      </c>
      <c r="AR25" s="15" t="str">
        <f t="shared" si="3"/>
        <v>JS6937</v>
      </c>
    </row>
    <row r="26" spans="1:44" ht="18" customHeight="1">
      <c r="A26" s="4" t="str">
        <f>'Reference Score Calculation'!A252</f>
        <v>JS6951</v>
      </c>
      <c r="B26" s="4" t="str">
        <f>'Reference Score Calculation'!C252</f>
        <v>工程學院</v>
      </c>
      <c r="C26" s="4" t="str">
        <f>'Reference Score Calculation'!D252</f>
        <v>工學學士(工程科學)</v>
      </c>
      <c r="D26" s="4" t="str">
        <f>'Reference Score Calculation'!R252</f>
        <v xml:space="preserve">	BENG(EngSc)</v>
      </c>
      <c r="E26" s="392" t="str">
        <f>'Reference Score Calculation'!AB252</f>
        <v>Best 5</v>
      </c>
      <c r="F26" s="365" t="str">
        <f>'Reference Score Calculation'!E252</f>
        <v>Best 5</v>
      </c>
      <c r="G26" s="6">
        <f>'Reference Score Calculation'!G252</f>
        <v>28</v>
      </c>
      <c r="H26" s="6">
        <f>'Reference Score Calculation'!H252</f>
        <v>26</v>
      </c>
      <c r="I26" s="6">
        <f>'Reference Score Calculation'!I252</f>
        <v>25</v>
      </c>
      <c r="J26" s="45">
        <f>計分版!J275</f>
        <v>3.1500000000000001E-9</v>
      </c>
      <c r="K26" s="25">
        <f t="shared" si="0"/>
        <v>-25.999999996850001</v>
      </c>
      <c r="L26" s="26">
        <f t="shared" si="1"/>
        <v>-8253968252.9682541</v>
      </c>
      <c r="M26" s="36">
        <f>'Reference Score Calculation'!T252</f>
        <v>18</v>
      </c>
      <c r="N26" s="54">
        <f>入學要求!Z261</f>
        <v>0</v>
      </c>
      <c r="O26" s="516"/>
      <c r="P26" s="275">
        <f>入學要求!L261</f>
        <v>3</v>
      </c>
      <c r="Q26" s="275">
        <f>入學要求!M261</f>
        <v>3</v>
      </c>
      <c r="R26" s="275">
        <f>入學要求!N261</f>
        <v>3</v>
      </c>
      <c r="S26" s="275">
        <f>入學要求!O261</f>
        <v>1</v>
      </c>
      <c r="T26" s="275">
        <f>入學要求!P261</f>
        <v>3</v>
      </c>
      <c r="U26" s="275">
        <f>入學要求!Q261</f>
        <v>3</v>
      </c>
      <c r="V26" s="256">
        <f>入學要求!S261</f>
        <v>0</v>
      </c>
      <c r="W26" s="256">
        <f>入學要求!T261</f>
        <v>0</v>
      </c>
      <c r="X26" s="256">
        <f>入學要求!U261</f>
        <v>0</v>
      </c>
      <c r="Y26" s="256">
        <f>入學要求!V261</f>
        <v>0</v>
      </c>
      <c r="Z26" s="256">
        <f>入學要求!W261</f>
        <v>0</v>
      </c>
      <c r="AA26" s="256">
        <f>入學要求!X261</f>
        <v>0</v>
      </c>
      <c r="AB26" s="36">
        <f t="shared" si="2"/>
        <v>72.06</v>
      </c>
      <c r="AC26" s="510"/>
      <c r="AD26" s="36" cm="1">
        <f t="array" ref="AD26">IFERROR(INDEX('Offer Statistics'!DA$2:DA$400,MATCH(1,($A26='Offer Statistics'!$CL$2:$CL$400)*($AC$2='Offer Statistics'!$CM$2:$CM$400),0)),"/")</f>
        <v>17</v>
      </c>
      <c r="AE26" s="64" cm="1">
        <f t="array" ref="AE26">IFERROR(INDEX('Offer Statistics'!CV$2:CV$400,MATCH(1,($A26='Offer Statistics'!$CL$2:$CL$400)*($AC$2='Offer Statistics'!$CM$2:$CM$400),0)),"/")</f>
        <v>17</v>
      </c>
      <c r="AF26" s="64" cm="1">
        <f t="array" ref="AF26">IFERROR(INDEX('Offer Statistics'!CW$2:CW$400,MATCH(1,($A26='Offer Statistics'!$CL$2:$CL$400)*($AC$2='Offer Statistics'!$CM$2:$CM$400),0)),"/")</f>
        <v>0</v>
      </c>
      <c r="AG26" s="64" cm="1">
        <f t="array" ref="AG26">IFERROR(INDEX('Offer Statistics'!CX$2:CX$400,MATCH(1,($A26='Offer Statistics'!$CL$2:$CL$400)*($AC$2='Offer Statistics'!$CM$2:$CM$400),0)),"/")</f>
        <v>0</v>
      </c>
      <c r="AH26" s="64" cm="1">
        <f t="array" ref="AH26">IFERROR(INDEX('Offer Statistics'!CY$2:CY$400,MATCH(1,($A26='Offer Statistics'!$CL$2:$CL$400)*($AC$2='Offer Statistics'!$CM$2:$CM$400),0)),"/")</f>
        <v>0</v>
      </c>
      <c r="AI26" s="64" cm="1">
        <f t="array" ref="AI26">IFERROR(INDEX('Offer Statistics'!CZ$2:CZ$400,MATCH(1,($A26='Offer Statistics'!$CL$2:$CL$400)*($AC$2='Offer Statistics'!$CM$2:$CM$400),0)),"/")</f>
        <v>0</v>
      </c>
      <c r="AJ26" s="511"/>
      <c r="AK26" s="36" cm="1">
        <f t="array" ref="AK26">IFERROR(INDEX('Offer Statistics'!CS$2:CS$400,MATCH(1,($A26='Offer Statistics'!$CL$2:$CL$400)*($AC$2='Offer Statistics'!$CM$2:$CM$400),0)),"/")</f>
        <v>1225</v>
      </c>
      <c r="AL26" s="64" cm="1">
        <f t="array" ref="AL26">IFERROR(INDEX('Offer Statistics'!CN$2:CN$400,MATCH(1,($A26='Offer Statistics'!$CL$2:$CL$400)*($AC$2='Offer Statistics'!$CM$2:$CM$400),0)),"/")</f>
        <v>91</v>
      </c>
      <c r="AM26" s="64" cm="1">
        <f t="array" ref="AM26">IFERROR(INDEX('Offer Statistics'!CO$2:CO$400,MATCH(1,($A26='Offer Statistics'!$CL$2:$CL$400)*($AC$2='Offer Statistics'!$CM$2:$CM$400),0)),"/")</f>
        <v>137</v>
      </c>
      <c r="AN26" s="64" cm="1">
        <f t="array" ref="AN26">IFERROR(INDEX('Offer Statistics'!CP$2:CP$400,MATCH(1,($A26='Offer Statistics'!$CL$2:$CL$400)*($AC$2='Offer Statistics'!$CM$2:$CM$400),0)),"/")</f>
        <v>256</v>
      </c>
      <c r="AO26" s="64" cm="1">
        <f t="array" ref="AO26">IFERROR(INDEX('Offer Statistics'!CQ$2:CQ$400,MATCH(1,($A26='Offer Statistics'!$CL$2:$CL$400)*($AC$2='Offer Statistics'!$CM$2:$CM$400),0)),"/")</f>
        <v>399</v>
      </c>
      <c r="AP26" s="64" cm="1">
        <f t="array" ref="AP26">IFERROR(INDEX('Offer Statistics'!CR$2:CR$400,MATCH(1,($A26='Offer Statistics'!$CL$2:$CL$400)*($AC$2='Offer Statistics'!$CM$2:$CM$400),0)),"/")</f>
        <v>342</v>
      </c>
      <c r="AR26" s="15" t="str">
        <f t="shared" si="3"/>
        <v>JS6951</v>
      </c>
    </row>
    <row r="27" spans="1:44" ht="18" customHeight="1">
      <c r="A27" s="4" t="str">
        <f>'Reference Score Calculation'!A253</f>
        <v>JS6963</v>
      </c>
      <c r="B27" s="4" t="str">
        <f>'Reference Score Calculation'!C253</f>
        <v>工程學院</v>
      </c>
      <c r="C27" s="4" t="str">
        <f>'Reference Score Calculation'!D253</f>
        <v>工學學士</v>
      </c>
      <c r="D27" s="4" t="str">
        <f>'Reference Score Calculation'!R253</f>
        <v xml:space="preserve">	BENG</v>
      </c>
      <c r="E27" s="392" t="str">
        <f>'Reference Score Calculation'!AB253</f>
        <v>Best 5</v>
      </c>
      <c r="F27" s="365" t="str">
        <f>'Reference Score Calculation'!E253</f>
        <v>Best 5</v>
      </c>
      <c r="G27" s="6">
        <f>'Reference Score Calculation'!G253</f>
        <v>26</v>
      </c>
      <c r="H27" s="6">
        <f>'Reference Score Calculation'!H253</f>
        <v>25</v>
      </c>
      <c r="I27" s="6">
        <f>'Reference Score Calculation'!I253</f>
        <v>23</v>
      </c>
      <c r="J27" s="45">
        <f>計分版!J276</f>
        <v>3.1500000000000001E-9</v>
      </c>
      <c r="K27" s="25">
        <f t="shared" si="0"/>
        <v>-24.999999996850001</v>
      </c>
      <c r="L27" s="26">
        <f t="shared" si="1"/>
        <v>-7936507935.5079365</v>
      </c>
      <c r="M27" s="36" t="str">
        <f>'Reference Score Calculation'!T253</f>
        <v>355*</v>
      </c>
      <c r="N27" s="54">
        <f>入學要求!Z262</f>
        <v>0</v>
      </c>
      <c r="O27" s="516"/>
      <c r="P27" s="275">
        <f>入學要求!L262</f>
        <v>3</v>
      </c>
      <c r="Q27" s="275">
        <f>入學要求!M262</f>
        <v>3</v>
      </c>
      <c r="R27" s="275">
        <f>入學要求!N262</f>
        <v>3</v>
      </c>
      <c r="S27" s="275">
        <f>入學要求!O262</f>
        <v>1</v>
      </c>
      <c r="T27" s="275">
        <f>入學要求!P262</f>
        <v>3</v>
      </c>
      <c r="U27" s="275">
        <f>入學要求!Q262</f>
        <v>3</v>
      </c>
      <c r="V27" s="256">
        <f>入學要求!S262</f>
        <v>0</v>
      </c>
      <c r="W27" s="256">
        <f>入學要求!T262</f>
        <v>0</v>
      </c>
      <c r="X27" s="256">
        <f>入學要求!U262</f>
        <v>0</v>
      </c>
      <c r="Y27" s="256">
        <f>入學要求!V262</f>
        <v>0</v>
      </c>
      <c r="Z27" s="256">
        <f>入學要求!W262</f>
        <v>0</v>
      </c>
      <c r="AA27" s="256">
        <f>入學要求!X262</f>
        <v>0</v>
      </c>
      <c r="AB27" s="36">
        <f t="shared" si="2"/>
        <v>10.74</v>
      </c>
      <c r="AC27" s="510"/>
      <c r="AD27" s="36" cm="1">
        <f t="array" ref="AD27">IFERROR(INDEX('Offer Statistics'!DA$2:DA$400,MATCH(1,($A27='Offer Statistics'!$CL$2:$CL$400)*($AC$2='Offer Statistics'!$CM$2:$CM$400),0)),"/")</f>
        <v>276</v>
      </c>
      <c r="AE27" s="64" cm="1">
        <f t="array" ref="AE27">IFERROR(INDEX('Offer Statistics'!CV$2:CV$400,MATCH(1,($A27='Offer Statistics'!$CL$2:$CL$400)*($AC$2='Offer Statistics'!$CM$2:$CM$400),0)),"/")</f>
        <v>273</v>
      </c>
      <c r="AF27" s="64" cm="1">
        <f t="array" ref="AF27">IFERROR(INDEX('Offer Statistics'!CW$2:CW$400,MATCH(1,($A27='Offer Statistics'!$CL$2:$CL$400)*($AC$2='Offer Statistics'!$CM$2:$CM$400),0)),"/")</f>
        <v>3</v>
      </c>
      <c r="AG27" s="64" cm="1">
        <f t="array" ref="AG27">IFERROR(INDEX('Offer Statistics'!CX$2:CX$400,MATCH(1,($A27='Offer Statistics'!$CL$2:$CL$400)*($AC$2='Offer Statistics'!$CM$2:$CM$400),0)),"/")</f>
        <v>0</v>
      </c>
      <c r="AH27" s="64" cm="1">
        <f t="array" ref="AH27">IFERROR(INDEX('Offer Statistics'!CY$2:CY$400,MATCH(1,($A27='Offer Statistics'!$CL$2:$CL$400)*($AC$2='Offer Statistics'!$CM$2:$CM$400),0)),"/")</f>
        <v>0</v>
      </c>
      <c r="AI27" s="64" cm="1">
        <f t="array" ref="AI27">IFERROR(INDEX('Offer Statistics'!CZ$2:CZ$400,MATCH(1,($A27='Offer Statistics'!$CL$2:$CL$400)*($AC$2='Offer Statistics'!$CM$2:$CM$400),0)),"/")</f>
        <v>0</v>
      </c>
      <c r="AJ27" s="511"/>
      <c r="AK27" s="36" cm="1">
        <f t="array" ref="AK27">IFERROR(INDEX('Offer Statistics'!CS$2:CS$400,MATCH(1,($A27='Offer Statistics'!$CL$2:$CL$400)*($AC$2='Offer Statistics'!$CM$2:$CM$400),0)),"/")</f>
        <v>2963</v>
      </c>
      <c r="AL27" s="64" cm="1">
        <f t="array" ref="AL27">IFERROR(INDEX('Offer Statistics'!CN$2:CN$400,MATCH(1,($A27='Offer Statistics'!$CL$2:$CL$400)*($AC$2='Offer Statistics'!$CM$2:$CM$400),0)),"/")</f>
        <v>816</v>
      </c>
      <c r="AM27" s="64" cm="1">
        <f t="array" ref="AM27">IFERROR(INDEX('Offer Statistics'!CO$2:CO$400,MATCH(1,($A27='Offer Statistics'!$CL$2:$CL$400)*($AC$2='Offer Statistics'!$CM$2:$CM$400),0)),"/")</f>
        <v>496</v>
      </c>
      <c r="AN27" s="64" cm="1">
        <f t="array" ref="AN27">IFERROR(INDEX('Offer Statistics'!CP$2:CP$400,MATCH(1,($A27='Offer Statistics'!$CL$2:$CL$400)*($AC$2='Offer Statistics'!$CM$2:$CM$400),0)),"/")</f>
        <v>521</v>
      </c>
      <c r="AO27" s="64" cm="1">
        <f t="array" ref="AO27">IFERROR(INDEX('Offer Statistics'!CQ$2:CQ$400,MATCH(1,($A27='Offer Statistics'!$CL$2:$CL$400)*($AC$2='Offer Statistics'!$CM$2:$CM$400),0)),"/")</f>
        <v>611</v>
      </c>
      <c r="AP27" s="64" cm="1">
        <f t="array" ref="AP27">IFERROR(INDEX('Offer Statistics'!CR$2:CR$400,MATCH(1,($A27='Offer Statistics'!$CL$2:$CL$400)*($AC$2='Offer Statistics'!$CM$2:$CM$400),0)),"/")</f>
        <v>519</v>
      </c>
      <c r="AR27" s="15" t="str">
        <f t="shared" si="3"/>
        <v>JS6963</v>
      </c>
    </row>
    <row r="28" spans="1:44" ht="18" customHeight="1">
      <c r="A28" s="4" t="str">
        <f>'Reference Score Calculation'!A254</f>
        <v>JS6078</v>
      </c>
      <c r="B28" s="4" t="str">
        <f>'Reference Score Calculation'!C254</f>
        <v>法律學院</v>
      </c>
      <c r="C28" s="4" t="str">
        <f>'Reference Score Calculation'!D254</f>
        <v>文學士及法學士 (雙學位課程)</v>
      </c>
      <c r="D28" s="4" t="str">
        <f>'Reference Score Calculation'!R254</f>
        <v xml:space="preserve">	BA&amp;LLB</v>
      </c>
      <c r="E28" s="392" t="str">
        <f>'Reference Score Calculation'!AB254</f>
        <v>Best 6</v>
      </c>
      <c r="F28" s="390" t="str">
        <f>'Reference Score Calculation'!E254</f>
        <v>Best 6</v>
      </c>
      <c r="G28" s="6">
        <f>'Reference Score Calculation'!G254</f>
        <v>40</v>
      </c>
      <c r="H28" s="6">
        <f>'Reference Score Calculation'!H254</f>
        <v>39</v>
      </c>
      <c r="I28" s="6">
        <f>'Reference Score Calculation'!I254</f>
        <v>37</v>
      </c>
      <c r="J28" s="45">
        <f>計分版!J277</f>
        <v>3.7E-9</v>
      </c>
      <c r="K28" s="25">
        <f t="shared" si="0"/>
        <v>-38.999999996299998</v>
      </c>
      <c r="L28" s="26">
        <f t="shared" si="1"/>
        <v>-10540540539.540541</v>
      </c>
      <c r="M28" s="36">
        <f>'Reference Score Calculation'!T254</f>
        <v>20</v>
      </c>
      <c r="N28" s="54">
        <f>入學要求!Z263</f>
        <v>0</v>
      </c>
      <c r="O28" s="516"/>
      <c r="P28" s="275">
        <f>入學要求!L263</f>
        <v>4</v>
      </c>
      <c r="Q28" s="275">
        <f>入學要求!M263</f>
        <v>5</v>
      </c>
      <c r="R28" s="275">
        <f>入學要求!N263</f>
        <v>3</v>
      </c>
      <c r="S28" s="275">
        <f>入學要求!O263</f>
        <v>1</v>
      </c>
      <c r="T28" s="275">
        <f>入學要求!P263</f>
        <v>3</v>
      </c>
      <c r="U28" s="275">
        <f>入學要求!Q263</f>
        <v>3</v>
      </c>
      <c r="V28" s="256">
        <f>入學要求!S263</f>
        <v>0</v>
      </c>
      <c r="W28" s="256">
        <f>入學要求!T263</f>
        <v>0</v>
      </c>
      <c r="X28" s="256">
        <f>入學要求!U263</f>
        <v>0</v>
      </c>
      <c r="Y28" s="256">
        <f>入學要求!V263</f>
        <v>0</v>
      </c>
      <c r="Z28" s="256">
        <f>入學要求!W263</f>
        <v>0</v>
      </c>
      <c r="AA28" s="256">
        <f>入學要求!X263</f>
        <v>0</v>
      </c>
      <c r="AB28" s="36">
        <f t="shared" si="2"/>
        <v>13.15</v>
      </c>
      <c r="AC28" s="510"/>
      <c r="AD28" s="36" cm="1">
        <f t="array" ref="AD28">IFERROR(INDEX('Offer Statistics'!DA$2:DA$400,MATCH(1,($A28='Offer Statistics'!$CL$2:$CL$400)*($AC$2='Offer Statistics'!$CM$2:$CM$400),0)),"/")</f>
        <v>27</v>
      </c>
      <c r="AE28" s="64" cm="1">
        <f t="array" ref="AE28">IFERROR(INDEX('Offer Statistics'!CV$2:CV$400,MATCH(1,($A28='Offer Statistics'!$CL$2:$CL$400)*($AC$2='Offer Statistics'!$CM$2:$CM$400),0)),"/")</f>
        <v>27</v>
      </c>
      <c r="AF28" s="64" cm="1">
        <f t="array" ref="AF28">IFERROR(INDEX('Offer Statistics'!CW$2:CW$400,MATCH(1,($A28='Offer Statistics'!$CL$2:$CL$400)*($AC$2='Offer Statistics'!$CM$2:$CM$400),0)),"/")</f>
        <v>0</v>
      </c>
      <c r="AG28" s="64" cm="1">
        <f t="array" ref="AG28">IFERROR(INDEX('Offer Statistics'!CX$2:CX$400,MATCH(1,($A28='Offer Statistics'!$CL$2:$CL$400)*($AC$2='Offer Statistics'!$CM$2:$CM$400),0)),"/")</f>
        <v>0</v>
      </c>
      <c r="AH28" s="64" cm="1">
        <f t="array" ref="AH28">IFERROR(INDEX('Offer Statistics'!CY$2:CY$400,MATCH(1,($A28='Offer Statistics'!$CL$2:$CL$400)*($AC$2='Offer Statistics'!$CM$2:$CM$400),0)),"/")</f>
        <v>0</v>
      </c>
      <c r="AI28" s="64" cm="1">
        <f t="array" ref="AI28">IFERROR(INDEX('Offer Statistics'!CZ$2:CZ$400,MATCH(1,($A28='Offer Statistics'!$CL$2:$CL$400)*($AC$2='Offer Statistics'!$CM$2:$CM$400),0)),"/")</f>
        <v>0</v>
      </c>
      <c r="AJ28" s="511"/>
      <c r="AK28" s="36" cm="1">
        <f t="array" ref="AK28">IFERROR(INDEX('Offer Statistics'!CS$2:CS$400,MATCH(1,($A28='Offer Statistics'!$CL$2:$CL$400)*($AC$2='Offer Statistics'!$CM$2:$CM$400),0)),"/")</f>
        <v>355</v>
      </c>
      <c r="AL28" s="64" cm="1">
        <f t="array" ref="AL28">IFERROR(INDEX('Offer Statistics'!CN$2:CN$400,MATCH(1,($A28='Offer Statistics'!$CL$2:$CL$400)*($AC$2='Offer Statistics'!$CM$2:$CM$400),0)),"/")</f>
        <v>64</v>
      </c>
      <c r="AM28" s="64" cm="1">
        <f t="array" ref="AM28">IFERROR(INDEX('Offer Statistics'!CO$2:CO$400,MATCH(1,($A28='Offer Statistics'!$CL$2:$CL$400)*($AC$2='Offer Statistics'!$CM$2:$CM$400),0)),"/")</f>
        <v>37</v>
      </c>
      <c r="AN28" s="64" cm="1">
        <f t="array" ref="AN28">IFERROR(INDEX('Offer Statistics'!CP$2:CP$400,MATCH(1,($A28='Offer Statistics'!$CL$2:$CL$400)*($AC$2='Offer Statistics'!$CM$2:$CM$400),0)),"/")</f>
        <v>64</v>
      </c>
      <c r="AO28" s="64" cm="1">
        <f t="array" ref="AO28">IFERROR(INDEX('Offer Statistics'!CQ$2:CQ$400,MATCH(1,($A28='Offer Statistics'!$CL$2:$CL$400)*($AC$2='Offer Statistics'!$CM$2:$CM$400),0)),"/")</f>
        <v>95</v>
      </c>
      <c r="AP28" s="64" cm="1">
        <f t="array" ref="AP28">IFERROR(INDEX('Offer Statistics'!CR$2:CR$400,MATCH(1,($A28='Offer Statistics'!$CL$2:$CL$400)*($AC$2='Offer Statistics'!$CM$2:$CM$400),0)),"/")</f>
        <v>95</v>
      </c>
      <c r="AR28" s="15" t="str">
        <f t="shared" si="3"/>
        <v>JS6078</v>
      </c>
    </row>
    <row r="29" spans="1:44" ht="18" customHeight="1">
      <c r="A29" s="4" t="str">
        <f>'Reference Score Calculation'!A255</f>
        <v>JS6406</v>
      </c>
      <c r="B29" s="4" t="str">
        <f>'Reference Score Calculation'!C255</f>
        <v>法律學院</v>
      </c>
      <c r="C29" s="4" t="str">
        <f>'Reference Score Calculation'!D255</f>
        <v>法學士</v>
      </c>
      <c r="D29" s="4" t="str">
        <f>'Reference Score Calculation'!R255</f>
        <v xml:space="preserve">	LLB</v>
      </c>
      <c r="E29" s="392" t="str">
        <f>'Reference Score Calculation'!AB255</f>
        <v>Best 6</v>
      </c>
      <c r="F29" s="390" t="str">
        <f>'Reference Score Calculation'!E255</f>
        <v>Best 6</v>
      </c>
      <c r="G29" s="6">
        <f>'Reference Score Calculation'!G255</f>
        <v>36</v>
      </c>
      <c r="H29" s="6">
        <f>'Reference Score Calculation'!H255</f>
        <v>35</v>
      </c>
      <c r="I29" s="6">
        <f>'Reference Score Calculation'!I255</f>
        <v>33</v>
      </c>
      <c r="J29" s="45">
        <f>計分版!J278</f>
        <v>3.7E-9</v>
      </c>
      <c r="K29" s="25">
        <f t="shared" si="0"/>
        <v>-34.999999996299998</v>
      </c>
      <c r="L29" s="26">
        <f t="shared" si="1"/>
        <v>-9459459458.4594593</v>
      </c>
      <c r="M29" s="36">
        <f>'Reference Score Calculation'!T255</f>
        <v>93</v>
      </c>
      <c r="N29" s="54">
        <f>入學要求!Z264</f>
        <v>0</v>
      </c>
      <c r="O29" s="516"/>
      <c r="P29" s="275">
        <f>入學要求!L264</f>
        <v>4</v>
      </c>
      <c r="Q29" s="275">
        <f>入學要求!M264</f>
        <v>5</v>
      </c>
      <c r="R29" s="275">
        <f>入學要求!N264</f>
        <v>3</v>
      </c>
      <c r="S29" s="275">
        <f>入學要求!O264</f>
        <v>1</v>
      </c>
      <c r="T29" s="275">
        <f>入學要求!P264</f>
        <v>3</v>
      </c>
      <c r="U29" s="275">
        <f>入學要求!Q264</f>
        <v>3</v>
      </c>
      <c r="V29" s="256">
        <f>入學要求!S264</f>
        <v>0</v>
      </c>
      <c r="W29" s="256">
        <f>入學要求!T264</f>
        <v>0</v>
      </c>
      <c r="X29" s="256">
        <f>入學要求!U264</f>
        <v>0</v>
      </c>
      <c r="Y29" s="256">
        <f>入學要求!V264</f>
        <v>0</v>
      </c>
      <c r="Z29" s="256">
        <f>入學要求!W264</f>
        <v>0</v>
      </c>
      <c r="AA29" s="256">
        <f>入學要求!X264</f>
        <v>0</v>
      </c>
      <c r="AB29" s="36">
        <f t="shared" si="2"/>
        <v>10.88</v>
      </c>
      <c r="AC29" s="510"/>
      <c r="AD29" s="36" cm="1">
        <f t="array" ref="AD29">IFERROR(INDEX('Offer Statistics'!DA$2:DA$400,MATCH(1,($A29='Offer Statistics'!$CL$2:$CL$400)*($AC$2='Offer Statistics'!$CM$2:$CM$400),0)),"/")</f>
        <v>93</v>
      </c>
      <c r="AE29" s="64" cm="1">
        <f t="array" ref="AE29">IFERROR(INDEX('Offer Statistics'!CV$2:CV$400,MATCH(1,($A29='Offer Statistics'!$CL$2:$CL$400)*($AC$2='Offer Statistics'!$CM$2:$CM$400),0)),"/")</f>
        <v>93</v>
      </c>
      <c r="AF29" s="64" cm="1">
        <f t="array" ref="AF29">IFERROR(INDEX('Offer Statistics'!CW$2:CW$400,MATCH(1,($A29='Offer Statistics'!$CL$2:$CL$400)*($AC$2='Offer Statistics'!$CM$2:$CM$400),0)),"/")</f>
        <v>0</v>
      </c>
      <c r="AG29" s="64" cm="1">
        <f t="array" ref="AG29">IFERROR(INDEX('Offer Statistics'!CX$2:CX$400,MATCH(1,($A29='Offer Statistics'!$CL$2:$CL$400)*($AC$2='Offer Statistics'!$CM$2:$CM$400),0)),"/")</f>
        <v>0</v>
      </c>
      <c r="AH29" s="64" cm="1">
        <f t="array" ref="AH29">IFERROR(INDEX('Offer Statistics'!CY$2:CY$400,MATCH(1,($A29='Offer Statistics'!$CL$2:$CL$400)*($AC$2='Offer Statistics'!$CM$2:$CM$400),0)),"/")</f>
        <v>0</v>
      </c>
      <c r="AI29" s="64" cm="1">
        <f t="array" ref="AI29">IFERROR(INDEX('Offer Statistics'!CZ$2:CZ$400,MATCH(1,($A29='Offer Statistics'!$CL$2:$CL$400)*($AC$2='Offer Statistics'!$CM$2:$CM$400),0)),"/")</f>
        <v>0</v>
      </c>
      <c r="AJ29" s="511"/>
      <c r="AK29" s="36" cm="1">
        <f t="array" ref="AK29">IFERROR(INDEX('Offer Statistics'!CS$2:CS$400,MATCH(1,($A29='Offer Statistics'!$CL$2:$CL$400)*($AC$2='Offer Statistics'!$CM$2:$CM$400),0)),"/")</f>
        <v>1012</v>
      </c>
      <c r="AL29" s="64" cm="1">
        <f t="array" ref="AL29">IFERROR(INDEX('Offer Statistics'!CN$2:CN$400,MATCH(1,($A29='Offer Statistics'!$CL$2:$CL$400)*($AC$2='Offer Statistics'!$CM$2:$CM$400),0)),"/")</f>
        <v>281</v>
      </c>
      <c r="AM29" s="64" cm="1">
        <f t="array" ref="AM29">IFERROR(INDEX('Offer Statistics'!CO$2:CO$400,MATCH(1,($A29='Offer Statistics'!$CL$2:$CL$400)*($AC$2='Offer Statistics'!$CM$2:$CM$400),0)),"/")</f>
        <v>107</v>
      </c>
      <c r="AN29" s="64" cm="1">
        <f t="array" ref="AN29">IFERROR(INDEX('Offer Statistics'!CP$2:CP$400,MATCH(1,($A29='Offer Statistics'!$CL$2:$CL$400)*($AC$2='Offer Statistics'!$CM$2:$CM$400),0)),"/")</f>
        <v>148</v>
      </c>
      <c r="AO29" s="64" cm="1">
        <f t="array" ref="AO29">IFERROR(INDEX('Offer Statistics'!CQ$2:CQ$400,MATCH(1,($A29='Offer Statistics'!$CL$2:$CL$400)*($AC$2='Offer Statistics'!$CM$2:$CM$400),0)),"/")</f>
        <v>212</v>
      </c>
      <c r="AP29" s="64" cm="1">
        <f t="array" ref="AP29">IFERROR(INDEX('Offer Statistics'!CR$2:CR$400,MATCH(1,($A29='Offer Statistics'!$CL$2:$CL$400)*($AC$2='Offer Statistics'!$CM$2:$CM$400),0)),"/")</f>
        <v>264</v>
      </c>
      <c r="AR29" s="15" t="str">
        <f t="shared" si="3"/>
        <v>JS6406</v>
      </c>
    </row>
    <row r="30" spans="1:44" ht="18" customHeight="1">
      <c r="A30" s="4" t="str">
        <f>'Reference Score Calculation'!A256</f>
        <v>JS6418</v>
      </c>
      <c r="B30" s="4" t="str">
        <f>'Reference Score Calculation'!C256</f>
        <v>醫學院</v>
      </c>
      <c r="C30" s="4" t="str">
        <f>'Reference Score Calculation'!D256</f>
        <v>護理學學士菁英領袖培育專修組別</v>
      </c>
      <c r="D30" s="4" t="str">
        <f>'Reference Score Calculation'!R256</f>
        <v>BNURS-ALT</v>
      </c>
      <c r="E30" s="392" t="str">
        <f>'Reference Score Calculation'!AB256</f>
        <v>Best 5</v>
      </c>
      <c r="F30" s="365" t="str">
        <f>'Reference Score Calculation'!E256</f>
        <v>Best 5</v>
      </c>
      <c r="G30" s="6">
        <f>'Reference Score Calculation'!G256</f>
        <v>38</v>
      </c>
      <c r="H30" s="6">
        <f>'Reference Score Calculation'!H256</f>
        <v>36</v>
      </c>
      <c r="I30" s="6">
        <f>'Reference Score Calculation'!I256</f>
        <v>35</v>
      </c>
      <c r="J30" s="45">
        <f>計分版!J279</f>
        <v>3.9500000000000006E-9</v>
      </c>
      <c r="K30" s="25">
        <f t="shared" si="0"/>
        <v>-35.999999996050001</v>
      </c>
      <c r="L30" s="26">
        <f t="shared" si="1"/>
        <v>-9113924049.6329098</v>
      </c>
      <c r="M30" s="36" t="str">
        <f>'Reference Score Calculation'!T256</f>
        <v>210*</v>
      </c>
      <c r="N30" s="54">
        <f>入學要求!Z265</f>
        <v>0</v>
      </c>
      <c r="O30" s="516"/>
      <c r="P30" s="275">
        <f>入學要求!L265</f>
        <v>3</v>
      </c>
      <c r="Q30" s="275">
        <f>入學要求!M265</f>
        <v>3</v>
      </c>
      <c r="R30" s="275">
        <f>入學要求!N265</f>
        <v>2</v>
      </c>
      <c r="S30" s="275">
        <f>入學要求!O265</f>
        <v>1</v>
      </c>
      <c r="T30" s="275">
        <f>入學要求!P265</f>
        <v>3</v>
      </c>
      <c r="U30" s="275">
        <f>入學要求!Q265</f>
        <v>3</v>
      </c>
      <c r="V30" s="256">
        <f>入學要求!S265</f>
        <v>0</v>
      </c>
      <c r="W30" s="256">
        <f>入學要求!T265</f>
        <v>0</v>
      </c>
      <c r="X30" s="256">
        <f>入學要求!U265</f>
        <v>0</v>
      </c>
      <c r="Y30" s="256">
        <f>入學要求!V265</f>
        <v>0</v>
      </c>
      <c r="Z30" s="256">
        <f>入學要求!W265</f>
        <v>0</v>
      </c>
      <c r="AA30" s="256">
        <f>入學要求!X265</f>
        <v>0</v>
      </c>
      <c r="AB30" s="36">
        <f t="shared" si="2"/>
        <v>102.88</v>
      </c>
      <c r="AC30" s="510"/>
      <c r="AD30" s="36" cm="1">
        <f t="array" ref="AD30">IFERROR(INDEX('Offer Statistics'!DA$2:DA$400,MATCH(1,($A30='Offer Statistics'!$CL$2:$CL$400)*($AC$2='Offer Statistics'!$CM$2:$CM$400),0)),"/")</f>
        <v>8</v>
      </c>
      <c r="AE30" s="64" cm="1">
        <f t="array" ref="AE30">IFERROR(INDEX('Offer Statistics'!CV$2:CV$400,MATCH(1,($A30='Offer Statistics'!$CL$2:$CL$400)*($AC$2='Offer Statistics'!$CM$2:$CM$400),0)),"/")</f>
        <v>8</v>
      </c>
      <c r="AF30" s="64" cm="1">
        <f t="array" ref="AF30">IFERROR(INDEX('Offer Statistics'!CW$2:CW$400,MATCH(1,($A30='Offer Statistics'!$CL$2:$CL$400)*($AC$2='Offer Statistics'!$CM$2:$CM$400),0)),"/")</f>
        <v>0</v>
      </c>
      <c r="AG30" s="64" cm="1">
        <f t="array" ref="AG30">IFERROR(INDEX('Offer Statistics'!CX$2:CX$400,MATCH(1,($A30='Offer Statistics'!$CL$2:$CL$400)*($AC$2='Offer Statistics'!$CM$2:$CM$400),0)),"/")</f>
        <v>0</v>
      </c>
      <c r="AH30" s="64" cm="1">
        <f t="array" ref="AH30">IFERROR(INDEX('Offer Statistics'!CY$2:CY$400,MATCH(1,($A30='Offer Statistics'!$CL$2:$CL$400)*($AC$2='Offer Statistics'!$CM$2:$CM$400),0)),"/")</f>
        <v>0</v>
      </c>
      <c r="AI30" s="64" cm="1">
        <f t="array" ref="AI30">IFERROR(INDEX('Offer Statistics'!CZ$2:CZ$400,MATCH(1,($A30='Offer Statistics'!$CL$2:$CL$400)*($AC$2='Offer Statistics'!$CM$2:$CM$400),0)),"/")</f>
        <v>0</v>
      </c>
      <c r="AJ30" s="511"/>
      <c r="AK30" s="36" cm="1">
        <f t="array" ref="AK30">IFERROR(INDEX('Offer Statistics'!CS$2:CS$400,MATCH(1,($A30='Offer Statistics'!$CL$2:$CL$400)*($AC$2='Offer Statistics'!$CM$2:$CM$400),0)),"/")</f>
        <v>823</v>
      </c>
      <c r="AL30" s="64" cm="1">
        <f t="array" ref="AL30">IFERROR(INDEX('Offer Statistics'!CN$2:CN$400,MATCH(1,($A30='Offer Statistics'!$CL$2:$CL$400)*($AC$2='Offer Statistics'!$CM$2:$CM$400),0)),"/")</f>
        <v>70</v>
      </c>
      <c r="AM30" s="64" cm="1">
        <f t="array" ref="AM30">IFERROR(INDEX('Offer Statistics'!CO$2:CO$400,MATCH(1,($A30='Offer Statistics'!$CL$2:$CL$400)*($AC$2='Offer Statistics'!$CM$2:$CM$400),0)),"/")</f>
        <v>114</v>
      </c>
      <c r="AN30" s="64" cm="1">
        <f t="array" ref="AN30">IFERROR(INDEX('Offer Statistics'!CP$2:CP$400,MATCH(1,($A30='Offer Statistics'!$CL$2:$CL$400)*($AC$2='Offer Statistics'!$CM$2:$CM$400),0)),"/")</f>
        <v>222</v>
      </c>
      <c r="AO30" s="64" cm="1">
        <f t="array" ref="AO30">IFERROR(INDEX('Offer Statistics'!CQ$2:CQ$400,MATCH(1,($A30='Offer Statistics'!$CL$2:$CL$400)*($AC$2='Offer Statistics'!$CM$2:$CM$400),0)),"/")</f>
        <v>205</v>
      </c>
      <c r="AP30" s="64" cm="1">
        <f t="array" ref="AP30">IFERROR(INDEX('Offer Statistics'!CR$2:CR$400,MATCH(1,($A30='Offer Statistics'!$CL$2:$CL$400)*($AC$2='Offer Statistics'!$CM$2:$CM$400),0)),"/")</f>
        <v>212</v>
      </c>
      <c r="AR30" s="15" t="str">
        <f t="shared" si="3"/>
        <v>JS6418</v>
      </c>
    </row>
    <row r="31" spans="1:44" ht="18" customHeight="1">
      <c r="A31" s="4" t="str">
        <f>'Reference Score Calculation'!A257</f>
        <v>JS6456</v>
      </c>
      <c r="B31" s="4" t="str">
        <f>'Reference Score Calculation'!C257</f>
        <v>醫學院</v>
      </c>
      <c r="C31" s="4" t="str">
        <f>'Reference Score Calculation'!D257</f>
        <v>內外全科醫學士</v>
      </c>
      <c r="D31" s="4" t="str">
        <f>'Reference Score Calculation'!R257</f>
        <v xml:space="preserve">	MBBS</v>
      </c>
      <c r="E31" s="392" t="str">
        <f>'Reference Score Calculation'!AB257</f>
        <v>Best 6</v>
      </c>
      <c r="F31" s="390" t="str">
        <f>'Reference Score Calculation'!E257</f>
        <v>Best 6</v>
      </c>
      <c r="G31" s="6">
        <f>'Reference Score Calculation'!G257</f>
        <v>47</v>
      </c>
      <c r="H31" s="6">
        <f>'Reference Score Calculation'!H257</f>
        <v>45</v>
      </c>
      <c r="I31" s="6">
        <f>'Reference Score Calculation'!I257</f>
        <v>44</v>
      </c>
      <c r="J31" s="45">
        <f>計分版!J280</f>
        <v>3.9000000000000002E-9</v>
      </c>
      <c r="K31" s="25">
        <f t="shared" si="0"/>
        <v>-44.999999996100001</v>
      </c>
      <c r="L31" s="26">
        <f t="shared" si="1"/>
        <v>-11538461537.461538</v>
      </c>
      <c r="M31" s="36">
        <f>'Reference Score Calculation'!T257</f>
        <v>295</v>
      </c>
      <c r="N31" s="54">
        <f>入學要求!Z266</f>
        <v>0</v>
      </c>
      <c r="O31" s="516"/>
      <c r="P31" s="275">
        <f>入學要求!L266</f>
        <v>3</v>
      </c>
      <c r="Q31" s="275">
        <f>入學要求!M266</f>
        <v>4</v>
      </c>
      <c r="R31" s="275">
        <f>入學要求!N266</f>
        <v>2</v>
      </c>
      <c r="S31" s="275">
        <f>入學要求!O266</f>
        <v>1</v>
      </c>
      <c r="T31" s="275">
        <f>入學要求!P266</f>
        <v>3</v>
      </c>
      <c r="U31" s="275">
        <f>入學要求!Q266</f>
        <v>3</v>
      </c>
      <c r="V31" s="256">
        <f>入學要求!S266</f>
        <v>0</v>
      </c>
      <c r="W31" s="256">
        <f>入學要求!T266</f>
        <v>0</v>
      </c>
      <c r="X31" s="256">
        <f>入學要求!U266</f>
        <v>0</v>
      </c>
      <c r="Y31" s="256">
        <f>入學要求!V266</f>
        <v>0</v>
      </c>
      <c r="Z31" s="256">
        <f>入學要求!W266</f>
        <v>0</v>
      </c>
      <c r="AA31" s="256">
        <f>入學要求!X266</f>
        <v>0</v>
      </c>
      <c r="AB31" s="36">
        <f t="shared" si="2"/>
        <v>11.3</v>
      </c>
      <c r="AC31" s="510"/>
      <c r="AD31" s="36" cm="1">
        <f t="array" ref="AD31">IFERROR(INDEX('Offer Statistics'!DA$2:DA$400,MATCH(1,($A31='Offer Statistics'!$CL$2:$CL$400)*($AC$2='Offer Statistics'!$CM$2:$CM$400),0)),"/")</f>
        <v>132</v>
      </c>
      <c r="AE31" s="64" cm="1">
        <f t="array" ref="AE31">IFERROR(INDEX('Offer Statistics'!CV$2:CV$400,MATCH(1,($A31='Offer Statistics'!$CL$2:$CL$400)*($AC$2='Offer Statistics'!$CM$2:$CM$400),0)),"/")</f>
        <v>132</v>
      </c>
      <c r="AF31" s="64" cm="1">
        <f t="array" ref="AF31">IFERROR(INDEX('Offer Statistics'!CW$2:CW$400,MATCH(1,($A31='Offer Statistics'!$CL$2:$CL$400)*($AC$2='Offer Statistics'!$CM$2:$CM$400),0)),"/")</f>
        <v>0</v>
      </c>
      <c r="AG31" s="64" cm="1">
        <f t="array" ref="AG31">IFERROR(INDEX('Offer Statistics'!CX$2:CX$400,MATCH(1,($A31='Offer Statistics'!$CL$2:$CL$400)*($AC$2='Offer Statistics'!$CM$2:$CM$400),0)),"/")</f>
        <v>0</v>
      </c>
      <c r="AH31" s="64" cm="1">
        <f t="array" ref="AH31">IFERROR(INDEX('Offer Statistics'!CY$2:CY$400,MATCH(1,($A31='Offer Statistics'!$CL$2:$CL$400)*($AC$2='Offer Statistics'!$CM$2:$CM$400),0)),"/")</f>
        <v>0</v>
      </c>
      <c r="AI31" s="64" cm="1">
        <f t="array" ref="AI31">IFERROR(INDEX('Offer Statistics'!CZ$2:CZ$400,MATCH(1,($A31='Offer Statistics'!$CL$2:$CL$400)*($AC$2='Offer Statistics'!$CM$2:$CM$400),0)),"/")</f>
        <v>0</v>
      </c>
      <c r="AJ31" s="511"/>
      <c r="AK31" s="36" cm="1">
        <f t="array" ref="AK31">IFERROR(INDEX('Offer Statistics'!CS$2:CS$400,MATCH(1,($A31='Offer Statistics'!$CL$2:$CL$400)*($AC$2='Offer Statistics'!$CM$2:$CM$400),0)),"/")</f>
        <v>1492</v>
      </c>
      <c r="AL31" s="64" cm="1">
        <f t="array" ref="AL31">IFERROR(INDEX('Offer Statistics'!CN$2:CN$400,MATCH(1,($A31='Offer Statistics'!$CL$2:$CL$400)*($AC$2='Offer Statistics'!$CM$2:$CM$400),0)),"/")</f>
        <v>618</v>
      </c>
      <c r="AM31" s="64" cm="1">
        <f t="array" ref="AM31">IFERROR(INDEX('Offer Statistics'!CO$2:CO$400,MATCH(1,($A31='Offer Statistics'!$CL$2:$CL$400)*($AC$2='Offer Statistics'!$CM$2:$CM$400),0)),"/")</f>
        <v>77</v>
      </c>
      <c r="AN31" s="64" cm="1">
        <f t="array" ref="AN31">IFERROR(INDEX('Offer Statistics'!CP$2:CP$400,MATCH(1,($A31='Offer Statistics'!$CL$2:$CL$400)*($AC$2='Offer Statistics'!$CM$2:$CM$400),0)),"/")</f>
        <v>160</v>
      </c>
      <c r="AO31" s="64" cm="1">
        <f t="array" ref="AO31">IFERROR(INDEX('Offer Statistics'!CQ$2:CQ$400,MATCH(1,($A31='Offer Statistics'!$CL$2:$CL$400)*($AC$2='Offer Statistics'!$CM$2:$CM$400),0)),"/")</f>
        <v>213</v>
      </c>
      <c r="AP31" s="64" cm="1">
        <f t="array" ref="AP31">IFERROR(INDEX('Offer Statistics'!CR$2:CR$400,MATCH(1,($A31='Offer Statistics'!$CL$2:$CL$400)*($AC$2='Offer Statistics'!$CM$2:$CM$400),0)),"/")</f>
        <v>424</v>
      </c>
      <c r="AR31" s="15" t="str">
        <f t="shared" si="3"/>
        <v>JS6456</v>
      </c>
    </row>
    <row r="32" spans="1:44" ht="18" customHeight="1">
      <c r="A32" s="4" t="str">
        <f>'Reference Score Calculation'!A258</f>
        <v>JS6468</v>
      </c>
      <c r="B32" s="4" t="str">
        <f>'Reference Score Calculation'!C258</f>
        <v>醫學院</v>
      </c>
      <c r="C32" s="4" t="str">
        <f>'Reference Score Calculation'!D258</f>
        <v>護理學學士</v>
      </c>
      <c r="D32" s="4" t="str">
        <f>'Reference Score Calculation'!R258</f>
        <v xml:space="preserve">	BNURS</v>
      </c>
      <c r="E32" s="392" t="str">
        <f>'Reference Score Calculation'!AB258</f>
        <v>Best 5</v>
      </c>
      <c r="F32" s="365" t="str">
        <f>'Reference Score Calculation'!E258</f>
        <v>Best 5</v>
      </c>
      <c r="G32" s="6">
        <f>'Reference Score Calculation'!G258</f>
        <v>28</v>
      </c>
      <c r="H32" s="6">
        <f>'Reference Score Calculation'!H258</f>
        <v>27</v>
      </c>
      <c r="I32" s="6">
        <f>'Reference Score Calculation'!I258</f>
        <v>26</v>
      </c>
      <c r="J32" s="45">
        <f>計分版!J281</f>
        <v>3.9500000000000006E-9</v>
      </c>
      <c r="K32" s="25">
        <f t="shared" si="0"/>
        <v>-26.999999996050001</v>
      </c>
      <c r="L32" s="26">
        <f t="shared" si="1"/>
        <v>-6835443036.9746828</v>
      </c>
      <c r="M32" s="36" t="str">
        <f>'Reference Score Calculation'!T258</f>
        <v>210*</v>
      </c>
      <c r="N32" s="54">
        <f>入學要求!Z267</f>
        <v>0</v>
      </c>
      <c r="O32" s="516"/>
      <c r="P32" s="275">
        <f>入學要求!L267</f>
        <v>3</v>
      </c>
      <c r="Q32" s="275">
        <f>入學要求!M267</f>
        <v>3</v>
      </c>
      <c r="R32" s="275">
        <f>入學要求!N267</f>
        <v>2</v>
      </c>
      <c r="S32" s="275">
        <f>入學要求!O267</f>
        <v>1</v>
      </c>
      <c r="T32" s="275">
        <f>入學要求!P267</f>
        <v>3</v>
      </c>
      <c r="U32" s="275">
        <f>入學要求!Q267</f>
        <v>3</v>
      </c>
      <c r="V32" s="256">
        <f>入學要求!S267</f>
        <v>0</v>
      </c>
      <c r="W32" s="256">
        <f>入學要求!T267</f>
        <v>0</v>
      </c>
      <c r="X32" s="256">
        <f>入學要求!U267</f>
        <v>0</v>
      </c>
      <c r="Y32" s="256">
        <f>入學要求!V267</f>
        <v>0</v>
      </c>
      <c r="Z32" s="256">
        <f>入學要求!W267</f>
        <v>0</v>
      </c>
      <c r="AA32" s="256">
        <f>入學要求!X267</f>
        <v>0</v>
      </c>
      <c r="AB32" s="36">
        <f t="shared" si="2"/>
        <v>28.16</v>
      </c>
      <c r="AC32" s="510"/>
      <c r="AD32" s="36" cm="1">
        <f t="array" ref="AD32">IFERROR(INDEX('Offer Statistics'!DA$2:DA$400,MATCH(1,($A32='Offer Statistics'!$CL$2:$CL$400)*($AC$2='Offer Statistics'!$CM$2:$CM$400),0)),"/")</f>
        <v>158</v>
      </c>
      <c r="AE32" s="64" cm="1">
        <f t="array" ref="AE32">IFERROR(INDEX('Offer Statistics'!CV$2:CV$400,MATCH(1,($A32='Offer Statistics'!$CL$2:$CL$400)*($AC$2='Offer Statistics'!$CM$2:$CM$400),0)),"/")</f>
        <v>158</v>
      </c>
      <c r="AF32" s="64" cm="1">
        <f t="array" ref="AF32">IFERROR(INDEX('Offer Statistics'!CW$2:CW$400,MATCH(1,($A32='Offer Statistics'!$CL$2:$CL$400)*($AC$2='Offer Statistics'!$CM$2:$CM$400),0)),"/")</f>
        <v>0</v>
      </c>
      <c r="AG32" s="64" cm="1">
        <f t="array" ref="AG32">IFERROR(INDEX('Offer Statistics'!CX$2:CX$400,MATCH(1,($A32='Offer Statistics'!$CL$2:$CL$400)*($AC$2='Offer Statistics'!$CM$2:$CM$400),0)),"/")</f>
        <v>0</v>
      </c>
      <c r="AH32" s="64" cm="1">
        <f t="array" ref="AH32">IFERROR(INDEX('Offer Statistics'!CY$2:CY$400,MATCH(1,($A32='Offer Statistics'!$CL$2:$CL$400)*($AC$2='Offer Statistics'!$CM$2:$CM$400),0)),"/")</f>
        <v>0</v>
      </c>
      <c r="AI32" s="64" cm="1">
        <f t="array" ref="AI32">IFERROR(INDEX('Offer Statistics'!CZ$2:CZ$400,MATCH(1,($A32='Offer Statistics'!$CL$2:$CL$400)*($AC$2='Offer Statistics'!$CM$2:$CM$400),0)),"/")</f>
        <v>0</v>
      </c>
      <c r="AJ32" s="511"/>
      <c r="AK32" s="36" cm="1">
        <f t="array" ref="AK32">IFERROR(INDEX('Offer Statistics'!CS$2:CS$400,MATCH(1,($A32='Offer Statistics'!$CL$2:$CL$400)*($AC$2='Offer Statistics'!$CM$2:$CM$400),0)),"/")</f>
        <v>4449</v>
      </c>
      <c r="AL32" s="64" cm="1">
        <f t="array" ref="AL32">IFERROR(INDEX('Offer Statistics'!CN$2:CN$400,MATCH(1,($A32='Offer Statistics'!$CL$2:$CL$400)*($AC$2='Offer Statistics'!$CM$2:$CM$400),0)),"/")</f>
        <v>877</v>
      </c>
      <c r="AM32" s="64" cm="1">
        <f t="array" ref="AM32">IFERROR(INDEX('Offer Statistics'!CO$2:CO$400,MATCH(1,($A32='Offer Statistics'!$CL$2:$CL$400)*($AC$2='Offer Statistics'!$CM$2:$CM$400),0)),"/")</f>
        <v>877</v>
      </c>
      <c r="AN32" s="64" cm="1">
        <f t="array" ref="AN32">IFERROR(INDEX('Offer Statistics'!CP$2:CP$400,MATCH(1,($A32='Offer Statistics'!$CL$2:$CL$400)*($AC$2='Offer Statistics'!$CM$2:$CM$400),0)),"/")</f>
        <v>982</v>
      </c>
      <c r="AO32" s="64" cm="1">
        <f t="array" ref="AO32">IFERROR(INDEX('Offer Statistics'!CQ$2:CQ$400,MATCH(1,($A32='Offer Statistics'!$CL$2:$CL$400)*($AC$2='Offer Statistics'!$CM$2:$CM$400),0)),"/")</f>
        <v>941</v>
      </c>
      <c r="AP32" s="64" cm="1">
        <f t="array" ref="AP32">IFERROR(INDEX('Offer Statistics'!CR$2:CR$400,MATCH(1,($A32='Offer Statistics'!$CL$2:$CL$400)*($AC$2='Offer Statistics'!$CM$2:$CM$400),0)),"/")</f>
        <v>772</v>
      </c>
      <c r="AR32" s="15" t="str">
        <f t="shared" si="3"/>
        <v>JS6468</v>
      </c>
    </row>
    <row r="33" spans="1:44" ht="18" customHeight="1">
      <c r="A33" s="4" t="str">
        <f>'Reference Score Calculation'!A259</f>
        <v>JS6470</v>
      </c>
      <c r="B33" s="4" t="str">
        <f>'Reference Score Calculation'!C259</f>
        <v>醫學院</v>
      </c>
      <c r="C33" s="4" t="str">
        <f>'Reference Score Calculation'!D259</f>
        <v>理學士(生物訊息學)</v>
      </c>
      <c r="D33" s="4" t="str">
        <f>'Reference Score Calculation'!R259</f>
        <v>BSc(Bioinformatics)</v>
      </c>
      <c r="E33" s="392" t="str">
        <f>'Reference Score Calculation'!AB259</f>
        <v>Best 6</v>
      </c>
      <c r="F33" s="390" t="str">
        <f>'Reference Score Calculation'!E259</f>
        <v>Best 6</v>
      </c>
      <c r="G33" s="6">
        <f>'Reference Score Calculation'!G259</f>
        <v>38</v>
      </c>
      <c r="H33" s="6">
        <f>'Reference Score Calculation'!H259</f>
        <v>36</v>
      </c>
      <c r="I33" s="6">
        <f>'Reference Score Calculation'!I259</f>
        <v>35</v>
      </c>
      <c r="J33" s="45">
        <f>計分版!J282</f>
        <v>3.9000000000000002E-9</v>
      </c>
      <c r="K33" s="25">
        <f t="shared" si="0"/>
        <v>-35.999999996100001</v>
      </c>
      <c r="L33" s="26">
        <f t="shared" si="1"/>
        <v>-9230769229.7692299</v>
      </c>
      <c r="M33" s="36">
        <f>'Reference Score Calculation'!T259</f>
        <v>15</v>
      </c>
      <c r="N33" s="54">
        <f>入學要求!Z268</f>
        <v>0</v>
      </c>
      <c r="O33" s="516"/>
      <c r="P33" s="275">
        <f>入學要求!L268</f>
        <v>3</v>
      </c>
      <c r="Q33" s="275">
        <f>入學要求!M268</f>
        <v>4</v>
      </c>
      <c r="R33" s="275">
        <f>入學要求!N268</f>
        <v>4</v>
      </c>
      <c r="S33" s="275">
        <f>入學要求!O268</f>
        <v>1</v>
      </c>
      <c r="T33" s="275">
        <f>入學要求!P268</f>
        <v>3</v>
      </c>
      <c r="U33" s="275">
        <f>入學要求!Q268</f>
        <v>3</v>
      </c>
      <c r="V33" s="256">
        <f>入學要求!S268</f>
        <v>0</v>
      </c>
      <c r="W33" s="256">
        <f>入學要求!T268</f>
        <v>0</v>
      </c>
      <c r="X33" s="256">
        <f>入學要求!U268</f>
        <v>0</v>
      </c>
      <c r="Y33" s="256">
        <f>入學要求!V268</f>
        <v>0</v>
      </c>
      <c r="Z33" s="256">
        <f>入學要求!W268</f>
        <v>0</v>
      </c>
      <c r="AA33" s="256">
        <f>入學要求!X268</f>
        <v>0</v>
      </c>
      <c r="AB33" s="36">
        <f t="shared" si="2"/>
        <v>83.57</v>
      </c>
      <c r="AC33" s="510"/>
      <c r="AD33" s="36" cm="1">
        <f t="array" ref="AD33">IFERROR(INDEX('Offer Statistics'!DA$2:DA$400,MATCH(1,($A33='Offer Statistics'!$CL$2:$CL$400)*($AC$2='Offer Statistics'!$CM$2:$CM$400),0)),"/")</f>
        <v>7</v>
      </c>
      <c r="AE33" s="64" cm="1">
        <f t="array" ref="AE33">IFERROR(INDEX('Offer Statistics'!CV$2:CV$400,MATCH(1,($A33='Offer Statistics'!$CL$2:$CL$400)*($AC$2='Offer Statistics'!$CM$2:$CM$400),0)),"/")</f>
        <v>7</v>
      </c>
      <c r="AF33" s="64" cm="1">
        <f t="array" ref="AF33">IFERROR(INDEX('Offer Statistics'!CW$2:CW$400,MATCH(1,($A33='Offer Statistics'!$CL$2:$CL$400)*($AC$2='Offer Statistics'!$CM$2:$CM$400),0)),"/")</f>
        <v>0</v>
      </c>
      <c r="AG33" s="64" cm="1">
        <f t="array" ref="AG33">IFERROR(INDEX('Offer Statistics'!CX$2:CX$400,MATCH(1,($A33='Offer Statistics'!$CL$2:$CL$400)*($AC$2='Offer Statistics'!$CM$2:$CM$400),0)),"/")</f>
        <v>0</v>
      </c>
      <c r="AH33" s="64" cm="1">
        <f t="array" ref="AH33">IFERROR(INDEX('Offer Statistics'!CY$2:CY$400,MATCH(1,($A33='Offer Statistics'!$CL$2:$CL$400)*($AC$2='Offer Statistics'!$CM$2:$CM$400),0)),"/")</f>
        <v>0</v>
      </c>
      <c r="AI33" s="64" cm="1">
        <f t="array" ref="AI33">IFERROR(INDEX('Offer Statistics'!CZ$2:CZ$400,MATCH(1,($A33='Offer Statistics'!$CL$2:$CL$400)*($AC$2='Offer Statistics'!$CM$2:$CM$400),0)),"/")</f>
        <v>0</v>
      </c>
      <c r="AJ33" s="511"/>
      <c r="AK33" s="36" cm="1">
        <f t="array" ref="AK33">IFERROR(INDEX('Offer Statistics'!CS$2:CS$400,MATCH(1,($A33='Offer Statistics'!$CL$2:$CL$400)*($AC$2='Offer Statistics'!$CM$2:$CM$400),0)),"/")</f>
        <v>585</v>
      </c>
      <c r="AL33" s="64" cm="1">
        <f t="array" ref="AL33">IFERROR(INDEX('Offer Statistics'!CN$2:CN$400,MATCH(1,($A33='Offer Statistics'!$CL$2:$CL$400)*($AC$2='Offer Statistics'!$CM$2:$CM$400),0)),"/")</f>
        <v>25</v>
      </c>
      <c r="AM33" s="64" cm="1">
        <f t="array" ref="AM33">IFERROR(INDEX('Offer Statistics'!CO$2:CO$400,MATCH(1,($A33='Offer Statistics'!$CL$2:$CL$400)*($AC$2='Offer Statistics'!$CM$2:$CM$400),0)),"/")</f>
        <v>61</v>
      </c>
      <c r="AN33" s="64" cm="1">
        <f t="array" ref="AN33">IFERROR(INDEX('Offer Statistics'!CP$2:CP$400,MATCH(1,($A33='Offer Statistics'!$CL$2:$CL$400)*($AC$2='Offer Statistics'!$CM$2:$CM$400),0)),"/")</f>
        <v>121</v>
      </c>
      <c r="AO33" s="64" cm="1">
        <f t="array" ref="AO33">IFERROR(INDEX('Offer Statistics'!CQ$2:CQ$400,MATCH(1,($A33='Offer Statistics'!$CL$2:$CL$400)*($AC$2='Offer Statistics'!$CM$2:$CM$400),0)),"/")</f>
        <v>192</v>
      </c>
      <c r="AP33" s="64" cm="1">
        <f t="array" ref="AP33">IFERROR(INDEX('Offer Statistics'!CR$2:CR$400,MATCH(1,($A33='Offer Statistics'!$CL$2:$CL$400)*($AC$2='Offer Statistics'!$CM$2:$CM$400),0)),"/")</f>
        <v>186</v>
      </c>
      <c r="AR33" s="15" t="str">
        <f t="shared" si="3"/>
        <v>JS6470</v>
      </c>
    </row>
    <row r="34" spans="1:44" ht="18" customHeight="1">
      <c r="A34" s="4" t="str">
        <f>'Reference Score Calculation'!A260</f>
        <v>JS6482</v>
      </c>
      <c r="B34" s="4" t="str">
        <f>'Reference Score Calculation'!C260</f>
        <v>醫學院</v>
      </c>
      <c r="C34" s="4" t="str">
        <f>'Reference Score Calculation'!D260</f>
        <v>中醫全科學士</v>
      </c>
      <c r="D34" s="4" t="str">
        <f>'Reference Score Calculation'!R260</f>
        <v>BChinMed</v>
      </c>
      <c r="E34" s="392" t="str">
        <f>'Reference Score Calculation'!AB260</f>
        <v>Best 5</v>
      </c>
      <c r="F34" s="365" t="str">
        <f>'Reference Score Calculation'!E260</f>
        <v>Best 5</v>
      </c>
      <c r="G34" s="6">
        <f>'Reference Score Calculation'!G260</f>
        <v>34</v>
      </c>
      <c r="H34" s="6">
        <f>'Reference Score Calculation'!H260</f>
        <v>31</v>
      </c>
      <c r="I34" s="6">
        <f>'Reference Score Calculation'!I260</f>
        <v>30</v>
      </c>
      <c r="J34" s="45">
        <f>計分版!J283</f>
        <v>3.9500000000000006E-9</v>
      </c>
      <c r="K34" s="25">
        <f t="shared" si="0"/>
        <v>-30.999999996050001</v>
      </c>
      <c r="L34" s="26">
        <f t="shared" si="1"/>
        <v>-7848101264.8227835</v>
      </c>
      <c r="M34" s="36">
        <f>'Reference Score Calculation'!T260</f>
        <v>24</v>
      </c>
      <c r="N34" s="54">
        <f>入學要求!Z269</f>
        <v>0</v>
      </c>
      <c r="O34" s="516"/>
      <c r="P34" s="275">
        <f>入學要求!L269</f>
        <v>3</v>
      </c>
      <c r="Q34" s="275">
        <f>入學要求!M269</f>
        <v>3</v>
      </c>
      <c r="R34" s="275">
        <f>入學要求!N269</f>
        <v>2</v>
      </c>
      <c r="S34" s="275">
        <f>入學要求!O269</f>
        <v>1</v>
      </c>
      <c r="T34" s="275">
        <f>入學要求!P269</f>
        <v>3</v>
      </c>
      <c r="U34" s="275">
        <f>入學要求!Q269</f>
        <v>3</v>
      </c>
      <c r="V34" s="256">
        <f>入學要求!S269</f>
        <v>0</v>
      </c>
      <c r="W34" s="256">
        <f>入學要求!T269</f>
        <v>0</v>
      </c>
      <c r="X34" s="256">
        <f>入學要求!U269</f>
        <v>0</v>
      </c>
      <c r="Y34" s="256">
        <f>入學要求!V269</f>
        <v>0</v>
      </c>
      <c r="Z34" s="256">
        <f>入學要求!W269</f>
        <v>0</v>
      </c>
      <c r="AA34" s="256">
        <f>入學要求!X269</f>
        <v>0</v>
      </c>
      <c r="AB34" s="36">
        <f t="shared" si="2"/>
        <v>62.75</v>
      </c>
      <c r="AC34" s="510"/>
      <c r="AD34" s="36" cm="1">
        <f t="array" ref="AD34">IFERROR(INDEX('Offer Statistics'!DA$2:DA$400,MATCH(1,($A34='Offer Statistics'!$CL$2:$CL$400)*($AC$2='Offer Statistics'!$CM$2:$CM$400),0)),"/")</f>
        <v>20</v>
      </c>
      <c r="AE34" s="64" cm="1">
        <f t="array" ref="AE34">IFERROR(INDEX('Offer Statistics'!CV$2:CV$400,MATCH(1,($A34='Offer Statistics'!$CL$2:$CL$400)*($AC$2='Offer Statistics'!$CM$2:$CM$400),0)),"/")</f>
        <v>20</v>
      </c>
      <c r="AF34" s="64" cm="1">
        <f t="array" ref="AF34">IFERROR(INDEX('Offer Statistics'!CW$2:CW$400,MATCH(1,($A34='Offer Statistics'!$CL$2:$CL$400)*($AC$2='Offer Statistics'!$CM$2:$CM$400),0)),"/")</f>
        <v>0</v>
      </c>
      <c r="AG34" s="64" cm="1">
        <f t="array" ref="AG34">IFERROR(INDEX('Offer Statistics'!CX$2:CX$400,MATCH(1,($A34='Offer Statistics'!$CL$2:$CL$400)*($AC$2='Offer Statistics'!$CM$2:$CM$400),0)),"/")</f>
        <v>0</v>
      </c>
      <c r="AH34" s="64" cm="1">
        <f t="array" ref="AH34">IFERROR(INDEX('Offer Statistics'!CY$2:CY$400,MATCH(1,($A34='Offer Statistics'!$CL$2:$CL$400)*($AC$2='Offer Statistics'!$CM$2:$CM$400),0)),"/")</f>
        <v>0</v>
      </c>
      <c r="AI34" s="64" cm="1">
        <f t="array" ref="AI34">IFERROR(INDEX('Offer Statistics'!CZ$2:CZ$400,MATCH(1,($A34='Offer Statistics'!$CL$2:$CL$400)*($AC$2='Offer Statistics'!$CM$2:$CM$400),0)),"/")</f>
        <v>0</v>
      </c>
      <c r="AJ34" s="511"/>
      <c r="AK34" s="36" cm="1">
        <f t="array" ref="AK34">IFERROR(INDEX('Offer Statistics'!CS$2:CS$400,MATCH(1,($A34='Offer Statistics'!$CL$2:$CL$400)*($AC$2='Offer Statistics'!$CM$2:$CM$400),0)),"/")</f>
        <v>1255</v>
      </c>
      <c r="AL34" s="64" cm="1">
        <f t="array" ref="AL34">IFERROR(INDEX('Offer Statistics'!CN$2:CN$400,MATCH(1,($A34='Offer Statistics'!$CL$2:$CL$400)*($AC$2='Offer Statistics'!$CM$2:$CM$400),0)),"/")</f>
        <v>140</v>
      </c>
      <c r="AM34" s="64" cm="1">
        <f t="array" ref="AM34">IFERROR(INDEX('Offer Statistics'!CO$2:CO$400,MATCH(1,($A34='Offer Statistics'!$CL$2:$CL$400)*($AC$2='Offer Statistics'!$CM$2:$CM$400),0)),"/")</f>
        <v>119</v>
      </c>
      <c r="AN34" s="64" cm="1">
        <f t="array" ref="AN34">IFERROR(INDEX('Offer Statistics'!CP$2:CP$400,MATCH(1,($A34='Offer Statistics'!$CL$2:$CL$400)*($AC$2='Offer Statistics'!$CM$2:$CM$400),0)),"/")</f>
        <v>242</v>
      </c>
      <c r="AO34" s="64" cm="1">
        <f t="array" ref="AO34">IFERROR(INDEX('Offer Statistics'!CQ$2:CQ$400,MATCH(1,($A34='Offer Statistics'!$CL$2:$CL$400)*($AC$2='Offer Statistics'!$CM$2:$CM$400),0)),"/")</f>
        <v>390</v>
      </c>
      <c r="AP34" s="64" cm="1">
        <f t="array" ref="AP34">IFERROR(INDEX('Offer Statistics'!CR$2:CR$400,MATCH(1,($A34='Offer Statistics'!$CL$2:$CL$400)*($AC$2='Offer Statistics'!$CM$2:$CM$400),0)),"/")</f>
        <v>364</v>
      </c>
      <c r="AR34" s="15" t="str">
        <f t="shared" si="3"/>
        <v>JS6482</v>
      </c>
    </row>
    <row r="35" spans="1:44" ht="18" customHeight="1">
      <c r="A35" s="4" t="str">
        <f>'Reference Score Calculation'!A261</f>
        <v>JS6494</v>
      </c>
      <c r="B35" s="4" t="str">
        <f>'Reference Score Calculation'!C261</f>
        <v>醫學院</v>
      </c>
      <c r="C35" s="4" t="str">
        <f>'Reference Score Calculation'!D261</f>
        <v>藥劑學學士</v>
      </c>
      <c r="D35" s="4" t="str">
        <f>'Reference Score Calculation'!R261</f>
        <v>BPharm</v>
      </c>
      <c r="E35" s="392" t="str">
        <f>'Reference Score Calculation'!AB261</f>
        <v>Best 6</v>
      </c>
      <c r="F35" s="390" t="str">
        <f>'Reference Score Calculation'!E261</f>
        <v>Best 6</v>
      </c>
      <c r="G35" s="6">
        <f>'Reference Score Calculation'!G261</f>
        <v>41</v>
      </c>
      <c r="H35" s="6">
        <f>'Reference Score Calculation'!H261</f>
        <v>39</v>
      </c>
      <c r="I35" s="6">
        <f>'Reference Score Calculation'!I261</f>
        <v>38</v>
      </c>
      <c r="J35" s="45">
        <f>計分版!J284</f>
        <v>3.9000000000000002E-9</v>
      </c>
      <c r="K35" s="25">
        <f t="shared" si="0"/>
        <v>-38.999999996100001</v>
      </c>
      <c r="L35" s="26">
        <f t="shared" si="1"/>
        <v>-9999999999</v>
      </c>
      <c r="M35" s="36">
        <f>'Reference Score Calculation'!T261</f>
        <v>35</v>
      </c>
      <c r="N35" s="54">
        <f>入學要求!Z270</f>
        <v>0</v>
      </c>
      <c r="O35" s="516"/>
      <c r="P35" s="275">
        <f>入學要求!L270</f>
        <v>3</v>
      </c>
      <c r="Q35" s="275">
        <f>入學要求!M270</f>
        <v>4</v>
      </c>
      <c r="R35" s="275">
        <f>入學要求!N270</f>
        <v>2</v>
      </c>
      <c r="S35" s="275">
        <f>入學要求!O270</f>
        <v>1</v>
      </c>
      <c r="T35" s="275">
        <f>入學要求!P270</f>
        <v>3</v>
      </c>
      <c r="U35" s="275">
        <f>入學要求!Q270</f>
        <v>3</v>
      </c>
      <c r="V35" s="256">
        <f>入學要求!S270</f>
        <v>0</v>
      </c>
      <c r="W35" s="256">
        <f>入學要求!T270</f>
        <v>0</v>
      </c>
      <c r="X35" s="256">
        <f>入學要求!U270</f>
        <v>0</v>
      </c>
      <c r="Y35" s="256">
        <f>入學要求!V270</f>
        <v>0</v>
      </c>
      <c r="Z35" s="256">
        <f>入學要求!W270</f>
        <v>0</v>
      </c>
      <c r="AA35" s="256">
        <f>入學要求!X270</f>
        <v>0</v>
      </c>
      <c r="AB35" s="36">
        <f t="shared" si="2"/>
        <v>46.8</v>
      </c>
      <c r="AC35" s="510"/>
      <c r="AD35" s="36" cm="1">
        <f t="array" ref="AD35">IFERROR(INDEX('Offer Statistics'!DA$2:DA$400,MATCH(1,($A35='Offer Statistics'!$CL$2:$CL$400)*($AC$2='Offer Statistics'!$CM$2:$CM$400),0)),"/")</f>
        <v>30</v>
      </c>
      <c r="AE35" s="64" cm="1">
        <f t="array" ref="AE35">IFERROR(INDEX('Offer Statistics'!CV$2:CV$400,MATCH(1,($A35='Offer Statistics'!$CL$2:$CL$400)*($AC$2='Offer Statistics'!$CM$2:$CM$400),0)),"/")</f>
        <v>30</v>
      </c>
      <c r="AF35" s="64" cm="1">
        <f t="array" ref="AF35">IFERROR(INDEX('Offer Statistics'!CW$2:CW$400,MATCH(1,($A35='Offer Statistics'!$CL$2:$CL$400)*($AC$2='Offer Statistics'!$CM$2:$CM$400),0)),"/")</f>
        <v>0</v>
      </c>
      <c r="AG35" s="64" cm="1">
        <f t="array" ref="AG35">IFERROR(INDEX('Offer Statistics'!CX$2:CX$400,MATCH(1,($A35='Offer Statistics'!$CL$2:$CL$400)*($AC$2='Offer Statistics'!$CM$2:$CM$400),0)),"/")</f>
        <v>0</v>
      </c>
      <c r="AH35" s="64" cm="1">
        <f t="array" ref="AH35">IFERROR(INDEX('Offer Statistics'!CY$2:CY$400,MATCH(1,($A35='Offer Statistics'!$CL$2:$CL$400)*($AC$2='Offer Statistics'!$CM$2:$CM$400),0)),"/")</f>
        <v>0</v>
      </c>
      <c r="AI35" s="64" cm="1">
        <f t="array" ref="AI35">IFERROR(INDEX('Offer Statistics'!CZ$2:CZ$400,MATCH(1,($A35='Offer Statistics'!$CL$2:$CL$400)*($AC$2='Offer Statistics'!$CM$2:$CM$400),0)),"/")</f>
        <v>0</v>
      </c>
      <c r="AJ35" s="511"/>
      <c r="AK35" s="36" cm="1">
        <f t="array" ref="AK35">IFERROR(INDEX('Offer Statistics'!CS$2:CS$400,MATCH(1,($A35='Offer Statistics'!$CL$2:$CL$400)*($AC$2='Offer Statistics'!$CM$2:$CM$400),0)),"/")</f>
        <v>1404</v>
      </c>
      <c r="AL35" s="64" cm="1">
        <f t="array" ref="AL35">IFERROR(INDEX('Offer Statistics'!CN$2:CN$400,MATCH(1,($A35='Offer Statistics'!$CL$2:$CL$400)*($AC$2='Offer Statistics'!$CM$2:$CM$400),0)),"/")</f>
        <v>114</v>
      </c>
      <c r="AM35" s="64" cm="1">
        <f t="array" ref="AM35">IFERROR(INDEX('Offer Statistics'!CO$2:CO$400,MATCH(1,($A35='Offer Statistics'!$CL$2:$CL$400)*($AC$2='Offer Statistics'!$CM$2:$CM$400),0)),"/")</f>
        <v>144</v>
      </c>
      <c r="AN35" s="64" cm="1">
        <f t="array" ref="AN35">IFERROR(INDEX('Offer Statistics'!CP$2:CP$400,MATCH(1,($A35='Offer Statistics'!$CL$2:$CL$400)*($AC$2='Offer Statistics'!$CM$2:$CM$400),0)),"/")</f>
        <v>337</v>
      </c>
      <c r="AO35" s="64" cm="1">
        <f t="array" ref="AO35">IFERROR(INDEX('Offer Statistics'!CQ$2:CQ$400,MATCH(1,($A35='Offer Statistics'!$CL$2:$CL$400)*($AC$2='Offer Statistics'!$CM$2:$CM$400),0)),"/")</f>
        <v>440</v>
      </c>
      <c r="AP35" s="64" cm="1">
        <f t="array" ref="AP35">IFERROR(INDEX('Offer Statistics'!CR$2:CR$400,MATCH(1,($A35='Offer Statistics'!$CL$2:$CL$400)*($AC$2='Offer Statistics'!$CM$2:$CM$400),0)),"/")</f>
        <v>369</v>
      </c>
      <c r="AR35" s="15" t="str">
        <f t="shared" si="3"/>
        <v>JS6494</v>
      </c>
    </row>
    <row r="36" spans="1:44" ht="18" customHeight="1">
      <c r="A36" s="4" t="str">
        <f>'Reference Score Calculation'!A262</f>
        <v>JS6949</v>
      </c>
      <c r="B36" s="4" t="str">
        <f>'Reference Score Calculation'!C262</f>
        <v>醫學院</v>
      </c>
      <c r="C36" s="4" t="str">
        <f>'Reference Score Calculation'!D262</f>
        <v>生物醫學學士</v>
      </c>
      <c r="D36" s="4" t="str">
        <f>'Reference Score Calculation'!R262</f>
        <v xml:space="preserve">	BBiomedSc</v>
      </c>
      <c r="E36" s="392" t="str">
        <f>'Reference Score Calculation'!AB262</f>
        <v>Best 6</v>
      </c>
      <c r="F36" s="390" t="str">
        <f>'Reference Score Calculation'!E262</f>
        <v>Best 6</v>
      </c>
      <c r="G36" s="6">
        <f>'Reference Score Calculation'!G262</f>
        <v>41</v>
      </c>
      <c r="H36" s="6">
        <f>'Reference Score Calculation'!H262</f>
        <v>39</v>
      </c>
      <c r="I36" s="6">
        <f>'Reference Score Calculation'!I262</f>
        <v>39</v>
      </c>
      <c r="J36" s="45">
        <f>計分版!J285</f>
        <v>3.9000000000000002E-9</v>
      </c>
      <c r="K36" s="25">
        <f t="shared" si="0"/>
        <v>-38.999999996100001</v>
      </c>
      <c r="L36" s="26">
        <f t="shared" si="1"/>
        <v>-9999999999</v>
      </c>
      <c r="M36" s="36">
        <f>'Reference Score Calculation'!T262</f>
        <v>38</v>
      </c>
      <c r="N36" s="54">
        <f>入學要求!Z271</f>
        <v>0</v>
      </c>
      <c r="O36" s="516"/>
      <c r="P36" s="275">
        <f>入學要求!L271</f>
        <v>3</v>
      </c>
      <c r="Q36" s="275">
        <f>入學要求!M271</f>
        <v>4</v>
      </c>
      <c r="R36" s="275">
        <f>入學要求!N271</f>
        <v>2</v>
      </c>
      <c r="S36" s="275">
        <f>入學要求!O271</f>
        <v>1</v>
      </c>
      <c r="T36" s="275">
        <f>入學要求!P271</f>
        <v>3</v>
      </c>
      <c r="U36" s="275">
        <f>入學要求!Q271</f>
        <v>3</v>
      </c>
      <c r="V36" s="256">
        <f>入學要求!S271</f>
        <v>0</v>
      </c>
      <c r="W36" s="256">
        <f>入學要求!T271</f>
        <v>0</v>
      </c>
      <c r="X36" s="256">
        <f>入學要求!U271</f>
        <v>0</v>
      </c>
      <c r="Y36" s="256">
        <f>入學要求!V271</f>
        <v>0</v>
      </c>
      <c r="Z36" s="256">
        <f>入學要求!W271</f>
        <v>0</v>
      </c>
      <c r="AA36" s="256">
        <f>入學要求!X271</f>
        <v>0</v>
      </c>
      <c r="AB36" s="36">
        <f t="shared" si="2"/>
        <v>40.450000000000003</v>
      </c>
      <c r="AC36" s="510"/>
      <c r="AD36" s="36" cm="1">
        <f t="array" ref="AD36">IFERROR(INDEX('Offer Statistics'!DA$2:DA$400,MATCH(1,($A36='Offer Statistics'!$CL$2:$CL$400)*($AC$2='Offer Statistics'!$CM$2:$CM$400),0)),"/")</f>
        <v>33</v>
      </c>
      <c r="AE36" s="64" cm="1">
        <f t="array" ref="AE36">IFERROR(INDEX('Offer Statistics'!CV$2:CV$400,MATCH(1,($A36='Offer Statistics'!$CL$2:$CL$400)*($AC$2='Offer Statistics'!$CM$2:$CM$400),0)),"/")</f>
        <v>32</v>
      </c>
      <c r="AF36" s="64" cm="1">
        <f t="array" ref="AF36">IFERROR(INDEX('Offer Statistics'!CW$2:CW$400,MATCH(1,($A36='Offer Statistics'!$CL$2:$CL$400)*($AC$2='Offer Statistics'!$CM$2:$CM$400),0)),"/")</f>
        <v>1</v>
      </c>
      <c r="AG36" s="64" cm="1">
        <f t="array" ref="AG36">IFERROR(INDEX('Offer Statistics'!CX$2:CX$400,MATCH(1,($A36='Offer Statistics'!$CL$2:$CL$400)*($AC$2='Offer Statistics'!$CM$2:$CM$400),0)),"/")</f>
        <v>0</v>
      </c>
      <c r="AH36" s="64" cm="1">
        <f t="array" ref="AH36">IFERROR(INDEX('Offer Statistics'!CY$2:CY$400,MATCH(1,($A36='Offer Statistics'!$CL$2:$CL$400)*($AC$2='Offer Statistics'!$CM$2:$CM$400),0)),"/")</f>
        <v>0</v>
      </c>
      <c r="AI36" s="64" cm="1">
        <f t="array" ref="AI36">IFERROR(INDEX('Offer Statistics'!CZ$2:CZ$400,MATCH(1,($A36='Offer Statistics'!$CL$2:$CL$400)*($AC$2='Offer Statistics'!$CM$2:$CM$400),0)),"/")</f>
        <v>0</v>
      </c>
      <c r="AJ36" s="511"/>
      <c r="AK36" s="36" cm="1">
        <f t="array" ref="AK36">IFERROR(INDEX('Offer Statistics'!CS$2:CS$400,MATCH(1,($A36='Offer Statistics'!$CL$2:$CL$400)*($AC$2='Offer Statistics'!$CM$2:$CM$400),0)),"/")</f>
        <v>1335</v>
      </c>
      <c r="AL36" s="64" cm="1">
        <f t="array" ref="AL36">IFERROR(INDEX('Offer Statistics'!CN$2:CN$400,MATCH(1,($A36='Offer Statistics'!$CL$2:$CL$400)*($AC$2='Offer Statistics'!$CM$2:$CM$400),0)),"/")</f>
        <v>120</v>
      </c>
      <c r="AM36" s="64" cm="1">
        <f t="array" ref="AM36">IFERROR(INDEX('Offer Statistics'!CO$2:CO$400,MATCH(1,($A36='Offer Statistics'!$CL$2:$CL$400)*($AC$2='Offer Statistics'!$CM$2:$CM$400),0)),"/")</f>
        <v>158</v>
      </c>
      <c r="AN36" s="64" cm="1">
        <f t="array" ref="AN36">IFERROR(INDEX('Offer Statistics'!CP$2:CP$400,MATCH(1,($A36='Offer Statistics'!$CL$2:$CL$400)*($AC$2='Offer Statistics'!$CM$2:$CM$400),0)),"/")</f>
        <v>304</v>
      </c>
      <c r="AO36" s="64" cm="1">
        <f t="array" ref="AO36">IFERROR(INDEX('Offer Statistics'!CQ$2:CQ$400,MATCH(1,($A36='Offer Statistics'!$CL$2:$CL$400)*($AC$2='Offer Statistics'!$CM$2:$CM$400),0)),"/")</f>
        <v>386</v>
      </c>
      <c r="AP36" s="64" cm="1">
        <f t="array" ref="AP36">IFERROR(INDEX('Offer Statistics'!CR$2:CR$400,MATCH(1,($A36='Offer Statistics'!$CL$2:$CL$400)*($AC$2='Offer Statistics'!$CM$2:$CM$400),0)),"/")</f>
        <v>367</v>
      </c>
      <c r="AR36" s="15" t="str">
        <f t="shared" si="3"/>
        <v>JS6949</v>
      </c>
    </row>
    <row r="37" spans="1:44" ht="18" customHeight="1">
      <c r="A37" s="4" t="str">
        <f>'Reference Score Calculation'!A263</f>
        <v>JS6688</v>
      </c>
      <c r="B37" s="4" t="str">
        <f>'Reference Score Calculation'!C263</f>
        <v>理學院</v>
      </c>
      <c r="C37" s="4" t="str">
        <f>'Reference Score Calculation'!D263</f>
        <v>科研專才啟導課程</v>
      </c>
      <c r="D37" s="4" t="str">
        <f>'Reference Score Calculation'!R263</f>
        <v>SMC</v>
      </c>
      <c r="E37" s="392" t="str">
        <f>'Reference Score Calculation'!AB263</f>
        <v>Best 5</v>
      </c>
      <c r="F37" s="386" t="str">
        <f>'Reference Score Calculation'!E263</f>
        <v>Best 5</v>
      </c>
      <c r="G37" s="6">
        <f>'Reference Score Calculation'!G263</f>
        <v>40</v>
      </c>
      <c r="H37" s="6">
        <f>'Reference Score Calculation'!H263</f>
        <v>37</v>
      </c>
      <c r="I37" s="6">
        <f>'Reference Score Calculation'!I263</f>
        <v>35</v>
      </c>
      <c r="J37" s="45">
        <f>計分版!J286</f>
        <v>2.7499999999999998E-9</v>
      </c>
      <c r="K37" s="25">
        <f t="shared" si="0"/>
        <v>-36.999999997250001</v>
      </c>
      <c r="L37" s="26">
        <f t="shared" si="1"/>
        <v>-13454545453.545456</v>
      </c>
      <c r="M37" s="36">
        <f>'Reference Score Calculation'!T263</f>
        <v>24</v>
      </c>
      <c r="N37" s="54">
        <f>入學要求!Z272</f>
        <v>0</v>
      </c>
      <c r="O37" s="516"/>
      <c r="P37" s="275">
        <f>入學要求!L272</f>
        <v>3</v>
      </c>
      <c r="Q37" s="275">
        <f>入學要求!M272</f>
        <v>5</v>
      </c>
      <c r="R37" s="275">
        <f>入學要求!N272</f>
        <v>4</v>
      </c>
      <c r="S37" s="275">
        <f>入學要求!O272</f>
        <v>1</v>
      </c>
      <c r="T37" s="275">
        <f>入學要求!P272</f>
        <v>3</v>
      </c>
      <c r="U37" s="275">
        <f>入學要求!Q272</f>
        <v>3</v>
      </c>
      <c r="V37" s="256">
        <f>入學要求!S272</f>
        <v>0</v>
      </c>
      <c r="W37" s="256">
        <f>入學要求!T272</f>
        <v>0</v>
      </c>
      <c r="X37" s="256">
        <f>入學要求!U272</f>
        <v>0</v>
      </c>
      <c r="Y37" s="256">
        <f>入學要求!V272</f>
        <v>0</v>
      </c>
      <c r="Z37" s="256">
        <f>入學要求!W272</f>
        <v>0</v>
      </c>
      <c r="AA37" s="256">
        <f>入學要求!X272</f>
        <v>0</v>
      </c>
      <c r="AB37" s="36">
        <f t="shared" si="2"/>
        <v>18.100000000000001</v>
      </c>
      <c r="AC37" s="510"/>
      <c r="AD37" s="36" cm="1">
        <f t="array" ref="AD37">IFERROR(INDEX('Offer Statistics'!DA$2:DA$400,MATCH(1,($A37='Offer Statistics'!$CL$2:$CL$400)*($AC$2='Offer Statistics'!$CM$2:$CM$400),0)),"/")</f>
        <v>21</v>
      </c>
      <c r="AE37" s="64" cm="1">
        <f t="array" ref="AE37">IFERROR(INDEX('Offer Statistics'!CV$2:CV$400,MATCH(1,($A37='Offer Statistics'!$CL$2:$CL$400)*($AC$2='Offer Statistics'!$CM$2:$CM$400),0)),"/")</f>
        <v>21</v>
      </c>
      <c r="AF37" s="64" cm="1">
        <f t="array" ref="AF37">IFERROR(INDEX('Offer Statistics'!CW$2:CW$400,MATCH(1,($A37='Offer Statistics'!$CL$2:$CL$400)*($AC$2='Offer Statistics'!$CM$2:$CM$400),0)),"/")</f>
        <v>0</v>
      </c>
      <c r="AG37" s="64" cm="1">
        <f t="array" ref="AG37">IFERROR(INDEX('Offer Statistics'!CX$2:CX$400,MATCH(1,($A37='Offer Statistics'!$CL$2:$CL$400)*($AC$2='Offer Statistics'!$CM$2:$CM$400),0)),"/")</f>
        <v>0</v>
      </c>
      <c r="AH37" s="64" cm="1">
        <f t="array" ref="AH37">IFERROR(INDEX('Offer Statistics'!CY$2:CY$400,MATCH(1,($A37='Offer Statistics'!$CL$2:$CL$400)*($AC$2='Offer Statistics'!$CM$2:$CM$400),0)),"/")</f>
        <v>0</v>
      </c>
      <c r="AI37" s="64" cm="1">
        <f t="array" ref="AI37">IFERROR(INDEX('Offer Statistics'!CZ$2:CZ$400,MATCH(1,($A37='Offer Statistics'!$CL$2:$CL$400)*($AC$2='Offer Statistics'!$CM$2:$CM$400),0)),"/")</f>
        <v>0</v>
      </c>
      <c r="AJ37" s="511"/>
      <c r="AK37" s="36" cm="1">
        <f t="array" ref="AK37">IFERROR(INDEX('Offer Statistics'!CS$2:CS$400,MATCH(1,($A37='Offer Statistics'!$CL$2:$CL$400)*($AC$2='Offer Statistics'!$CM$2:$CM$400),0)),"/")</f>
        <v>380</v>
      </c>
      <c r="AL37" s="64" cm="1">
        <f t="array" ref="AL37">IFERROR(INDEX('Offer Statistics'!CN$2:CN$400,MATCH(1,($A37='Offer Statistics'!$CL$2:$CL$400)*($AC$2='Offer Statistics'!$CM$2:$CM$400),0)),"/")</f>
        <v>89</v>
      </c>
      <c r="AM37" s="64" cm="1">
        <f t="array" ref="AM37">IFERROR(INDEX('Offer Statistics'!CO$2:CO$400,MATCH(1,($A37='Offer Statistics'!$CL$2:$CL$400)*($AC$2='Offer Statistics'!$CM$2:$CM$400),0)),"/")</f>
        <v>60</v>
      </c>
      <c r="AN37" s="64" cm="1">
        <f t="array" ref="AN37">IFERROR(INDEX('Offer Statistics'!CP$2:CP$400,MATCH(1,($A37='Offer Statistics'!$CL$2:$CL$400)*($AC$2='Offer Statistics'!$CM$2:$CM$400),0)),"/")</f>
        <v>71</v>
      </c>
      <c r="AO37" s="64" cm="1">
        <f t="array" ref="AO37">IFERROR(INDEX('Offer Statistics'!CQ$2:CQ$400,MATCH(1,($A37='Offer Statistics'!$CL$2:$CL$400)*($AC$2='Offer Statistics'!$CM$2:$CM$400),0)),"/")</f>
        <v>85</v>
      </c>
      <c r="AP37" s="64" cm="1">
        <f t="array" ref="AP37">IFERROR(INDEX('Offer Statistics'!CR$2:CR$400,MATCH(1,($A37='Offer Statistics'!$CL$2:$CL$400)*($AC$2='Offer Statistics'!$CM$2:$CM$400),0)),"/")</f>
        <v>75</v>
      </c>
      <c r="AR37" s="15" t="str">
        <f t="shared" si="3"/>
        <v>JS6688</v>
      </c>
    </row>
    <row r="38" spans="1:44" ht="18" customHeight="1">
      <c r="A38" s="4" t="str">
        <f>'Reference Score Calculation'!A264</f>
        <v>JS6729</v>
      </c>
      <c r="B38" s="4" t="str">
        <f>'Reference Score Calculation'!C264</f>
        <v>理學院</v>
      </c>
      <c r="C38" s="4" t="str">
        <f>'Reference Score Calculation'!D264</f>
        <v>理學士(精算學)</v>
      </c>
      <c r="D38" s="4" t="str">
        <f>'Reference Score Calculation'!R264</f>
        <v xml:space="preserve">	BSC(AC)</v>
      </c>
      <c r="E38" s="392" t="str">
        <f>'Reference Score Calculation'!AB264</f>
        <v>Best 5</v>
      </c>
      <c r="F38" s="386" t="str">
        <f>'Reference Score Calculation'!E264</f>
        <v>Best 5</v>
      </c>
      <c r="G38" s="6">
        <f>'Reference Score Calculation'!G264</f>
        <v>34</v>
      </c>
      <c r="H38" s="6">
        <f>'Reference Score Calculation'!H264</f>
        <v>32</v>
      </c>
      <c r="I38" s="6">
        <f>'Reference Score Calculation'!I264</f>
        <v>31</v>
      </c>
      <c r="J38" s="45">
        <f>計分版!J287</f>
        <v>2.9000000000000003E-9</v>
      </c>
      <c r="K38" s="25">
        <f t="shared" si="0"/>
        <v>-31.999999997100002</v>
      </c>
      <c r="L38" s="26">
        <f t="shared" si="1"/>
        <v>-11034482757.620689</v>
      </c>
      <c r="M38" s="36">
        <f>'Reference Score Calculation'!T264</f>
        <v>50</v>
      </c>
      <c r="N38" s="54">
        <f>入學要求!Z273</f>
        <v>0</v>
      </c>
      <c r="O38" s="516"/>
      <c r="P38" s="275">
        <f>入學要求!L273</f>
        <v>3</v>
      </c>
      <c r="Q38" s="275">
        <f>入學要求!M273</f>
        <v>3</v>
      </c>
      <c r="R38" s="275">
        <f>入學要求!N273</f>
        <v>4</v>
      </c>
      <c r="S38" s="275">
        <f>入學要求!O273</f>
        <v>1</v>
      </c>
      <c r="T38" s="275">
        <f>入學要求!P273</f>
        <v>3</v>
      </c>
      <c r="U38" s="275">
        <f>入學要求!Q273</f>
        <v>4</v>
      </c>
      <c r="V38" s="256">
        <f>入學要求!S273</f>
        <v>0</v>
      </c>
      <c r="W38" s="256">
        <f>入學要求!T273</f>
        <v>0</v>
      </c>
      <c r="X38" s="256">
        <f>入學要求!U273</f>
        <v>0</v>
      </c>
      <c r="Y38" s="256">
        <f>入學要求!V273</f>
        <v>0</v>
      </c>
      <c r="Z38" s="256">
        <f>入學要求!W273</f>
        <v>0</v>
      </c>
      <c r="AA38" s="256">
        <f>入學要求!X273</f>
        <v>0</v>
      </c>
      <c r="AB38" s="36">
        <f t="shared" si="2"/>
        <v>9.4700000000000006</v>
      </c>
      <c r="AC38" s="510"/>
      <c r="AD38" s="36" cm="1">
        <f t="array" ref="AD38">IFERROR(INDEX('Offer Statistics'!DA$2:DA$400,MATCH(1,($A38='Offer Statistics'!$CL$2:$CL$400)*($AC$2='Offer Statistics'!$CM$2:$CM$400),0)),"/")</f>
        <v>74</v>
      </c>
      <c r="AE38" s="64" cm="1">
        <f t="array" ref="AE38">IFERROR(INDEX('Offer Statistics'!CV$2:CV$400,MATCH(1,($A38='Offer Statistics'!$CL$2:$CL$400)*($AC$2='Offer Statistics'!$CM$2:$CM$400),0)),"/")</f>
        <v>74</v>
      </c>
      <c r="AF38" s="64" cm="1">
        <f t="array" ref="AF38">IFERROR(INDEX('Offer Statistics'!CW$2:CW$400,MATCH(1,($A38='Offer Statistics'!$CL$2:$CL$400)*($AC$2='Offer Statistics'!$CM$2:$CM$400),0)),"/")</f>
        <v>0</v>
      </c>
      <c r="AG38" s="64" cm="1">
        <f t="array" ref="AG38">IFERROR(INDEX('Offer Statistics'!CX$2:CX$400,MATCH(1,($A38='Offer Statistics'!$CL$2:$CL$400)*($AC$2='Offer Statistics'!$CM$2:$CM$400),0)),"/")</f>
        <v>0</v>
      </c>
      <c r="AH38" s="64" cm="1">
        <f t="array" ref="AH38">IFERROR(INDEX('Offer Statistics'!CY$2:CY$400,MATCH(1,($A38='Offer Statistics'!$CL$2:$CL$400)*($AC$2='Offer Statistics'!$CM$2:$CM$400),0)),"/")</f>
        <v>0</v>
      </c>
      <c r="AI38" s="64" cm="1">
        <f t="array" ref="AI38">IFERROR(INDEX('Offer Statistics'!CZ$2:CZ$400,MATCH(1,($A38='Offer Statistics'!$CL$2:$CL$400)*($AC$2='Offer Statistics'!$CM$2:$CM$400),0)),"/")</f>
        <v>0</v>
      </c>
      <c r="AJ38" s="511"/>
      <c r="AK38" s="36" cm="1">
        <f t="array" ref="AK38">IFERROR(INDEX('Offer Statistics'!CS$2:CS$400,MATCH(1,($A38='Offer Statistics'!$CL$2:$CL$400)*($AC$2='Offer Statistics'!$CM$2:$CM$400),0)),"/")</f>
        <v>701</v>
      </c>
      <c r="AL38" s="64" cm="1">
        <f t="array" ref="AL38">IFERROR(INDEX('Offer Statistics'!CN$2:CN$400,MATCH(1,($A38='Offer Statistics'!$CL$2:$CL$400)*($AC$2='Offer Statistics'!$CM$2:$CM$400),0)),"/")</f>
        <v>171</v>
      </c>
      <c r="AM38" s="64" cm="1">
        <f t="array" ref="AM38">IFERROR(INDEX('Offer Statistics'!CO$2:CO$400,MATCH(1,($A38='Offer Statistics'!$CL$2:$CL$400)*($AC$2='Offer Statistics'!$CM$2:$CM$400),0)),"/")</f>
        <v>77</v>
      </c>
      <c r="AN38" s="64" cm="1">
        <f t="array" ref="AN38">IFERROR(INDEX('Offer Statistics'!CP$2:CP$400,MATCH(1,($A38='Offer Statistics'!$CL$2:$CL$400)*($AC$2='Offer Statistics'!$CM$2:$CM$400),0)),"/")</f>
        <v>140</v>
      </c>
      <c r="AO38" s="64" cm="1">
        <f t="array" ref="AO38">IFERROR(INDEX('Offer Statistics'!CQ$2:CQ$400,MATCH(1,($A38='Offer Statistics'!$CL$2:$CL$400)*($AC$2='Offer Statistics'!$CM$2:$CM$400),0)),"/")</f>
        <v>161</v>
      </c>
      <c r="AP38" s="64" cm="1">
        <f t="array" ref="AP38">IFERROR(INDEX('Offer Statistics'!CR$2:CR$400,MATCH(1,($A38='Offer Statistics'!$CL$2:$CL$400)*($AC$2='Offer Statistics'!$CM$2:$CM$400),0)),"/")</f>
        <v>152</v>
      </c>
      <c r="AR38" s="15" t="str">
        <f t="shared" si="3"/>
        <v>JS6729</v>
      </c>
    </row>
    <row r="39" spans="1:44" ht="18" customHeight="1">
      <c r="A39" s="4" t="str">
        <f>'Reference Score Calculation'!A265</f>
        <v>JS6858</v>
      </c>
      <c r="B39" s="4" t="str">
        <f>'Reference Score Calculation'!C265</f>
        <v>理學院</v>
      </c>
      <c r="C39" s="4" t="str">
        <f>'Reference Score Calculation'!D265</f>
        <v>理學士及法學士(雙學位課程)</v>
      </c>
      <c r="D39" s="4" t="str">
        <f>'Reference Score Calculation'!R265</f>
        <v>BSc&amp;LLB</v>
      </c>
      <c r="E39" s="392" t="str">
        <f>'Reference Score Calculation'!AB265</f>
        <v>Best 6</v>
      </c>
      <c r="F39" s="391" t="str">
        <f>'Reference Score Calculation'!E265</f>
        <v>Best 6</v>
      </c>
      <c r="G39" s="6">
        <f>'Reference Score Calculation'!G265</f>
        <v>60</v>
      </c>
      <c r="H39" s="6">
        <f>'Reference Score Calculation'!H265</f>
        <v>54</v>
      </c>
      <c r="I39" s="6">
        <f>'Reference Score Calculation'!I265</f>
        <v>53</v>
      </c>
      <c r="J39" s="45">
        <f>計分版!J288</f>
        <v>4.0000000000000002E-9</v>
      </c>
      <c r="K39" s="25">
        <f t="shared" si="0"/>
        <v>-53.999999996</v>
      </c>
      <c r="L39" s="26">
        <f t="shared" si="1"/>
        <v>-13499999999</v>
      </c>
      <c r="M39" s="36">
        <f>'Reference Score Calculation'!T265</f>
        <v>20</v>
      </c>
      <c r="N39" s="54">
        <f>入學要求!Z274</f>
        <v>0</v>
      </c>
      <c r="O39" s="516"/>
      <c r="P39" s="275">
        <f>入學要求!L274</f>
        <v>4</v>
      </c>
      <c r="Q39" s="275">
        <f>入學要求!M274</f>
        <v>5</v>
      </c>
      <c r="R39" s="275">
        <f>入學要求!N274</f>
        <v>2</v>
      </c>
      <c r="S39" s="275">
        <f>入學要求!O274</f>
        <v>1</v>
      </c>
      <c r="T39" s="275">
        <f>入學要求!P274</f>
        <v>3</v>
      </c>
      <c r="U39" s="275">
        <f>入學要求!Q274</f>
        <v>3</v>
      </c>
      <c r="V39" s="256">
        <f>入學要求!S274</f>
        <v>0</v>
      </c>
      <c r="W39" s="256">
        <f>入學要求!T274</f>
        <v>0</v>
      </c>
      <c r="X39" s="256">
        <f>入學要求!U274</f>
        <v>0</v>
      </c>
      <c r="Y39" s="256">
        <f>入學要求!V274</f>
        <v>0</v>
      </c>
      <c r="Z39" s="256">
        <f>入學要求!W274</f>
        <v>0</v>
      </c>
      <c r="AA39" s="256">
        <f>入學要求!X274</f>
        <v>0</v>
      </c>
      <c r="AB39" s="36">
        <f t="shared" si="2"/>
        <v>14.88</v>
      </c>
      <c r="AC39" s="510"/>
      <c r="AD39" s="36" cm="1">
        <f t="array" ref="AD39">IFERROR(INDEX('Offer Statistics'!DA$2:DA$400,MATCH(1,($A39='Offer Statistics'!$CL$2:$CL$400)*($AC$2='Offer Statistics'!$CM$2:$CM$400),0)),"/")</f>
        <v>17</v>
      </c>
      <c r="AE39" s="64" cm="1">
        <f t="array" ref="AE39">IFERROR(INDEX('Offer Statistics'!CV$2:CV$400,MATCH(1,($A39='Offer Statistics'!$CL$2:$CL$400)*($AC$2='Offer Statistics'!$CM$2:$CM$400),0)),"/")</f>
        <v>17</v>
      </c>
      <c r="AF39" s="64" cm="1">
        <f t="array" ref="AF39">IFERROR(INDEX('Offer Statistics'!CW$2:CW$400,MATCH(1,($A39='Offer Statistics'!$CL$2:$CL$400)*($AC$2='Offer Statistics'!$CM$2:$CM$400),0)),"/")</f>
        <v>0</v>
      </c>
      <c r="AG39" s="64" cm="1">
        <f t="array" ref="AG39">IFERROR(INDEX('Offer Statistics'!CX$2:CX$400,MATCH(1,($A39='Offer Statistics'!$CL$2:$CL$400)*($AC$2='Offer Statistics'!$CM$2:$CM$400),0)),"/")</f>
        <v>0</v>
      </c>
      <c r="AH39" s="64" cm="1">
        <f t="array" ref="AH39">IFERROR(INDEX('Offer Statistics'!CY$2:CY$400,MATCH(1,($A39='Offer Statistics'!$CL$2:$CL$400)*($AC$2='Offer Statistics'!$CM$2:$CM$400),0)),"/")</f>
        <v>0</v>
      </c>
      <c r="AI39" s="64" cm="1">
        <f t="array" ref="AI39">IFERROR(INDEX('Offer Statistics'!CZ$2:CZ$400,MATCH(1,($A39='Offer Statistics'!$CL$2:$CL$400)*($AC$2='Offer Statistics'!$CM$2:$CM$400),0)),"/")</f>
        <v>0</v>
      </c>
      <c r="AJ39" s="511"/>
      <c r="AK39" s="36" cm="1">
        <f t="array" ref="AK39">IFERROR(INDEX('Offer Statistics'!CS$2:CS$400,MATCH(1,($A39='Offer Statistics'!$CL$2:$CL$400)*($AC$2='Offer Statistics'!$CM$2:$CM$400),0)),"/")</f>
        <v>253</v>
      </c>
      <c r="AL39" s="64" cm="1">
        <f t="array" ref="AL39">IFERROR(INDEX('Offer Statistics'!CN$2:CN$400,MATCH(1,($A39='Offer Statistics'!$CL$2:$CL$400)*($AC$2='Offer Statistics'!$CM$2:$CM$400),0)),"/")</f>
        <v>41</v>
      </c>
      <c r="AM39" s="64" cm="1">
        <f t="array" ref="AM39">IFERROR(INDEX('Offer Statistics'!CO$2:CO$400,MATCH(1,($A39='Offer Statistics'!$CL$2:$CL$400)*($AC$2='Offer Statistics'!$CM$2:$CM$400),0)),"/")</f>
        <v>33</v>
      </c>
      <c r="AN39" s="64" cm="1">
        <f t="array" ref="AN39">IFERROR(INDEX('Offer Statistics'!CP$2:CP$400,MATCH(1,($A39='Offer Statistics'!$CL$2:$CL$400)*($AC$2='Offer Statistics'!$CM$2:$CM$400),0)),"/")</f>
        <v>48</v>
      </c>
      <c r="AO39" s="64" cm="1">
        <f t="array" ref="AO39">IFERROR(INDEX('Offer Statistics'!CQ$2:CQ$400,MATCH(1,($A39='Offer Statistics'!$CL$2:$CL$400)*($AC$2='Offer Statistics'!$CM$2:$CM$400),0)),"/")</f>
        <v>60</v>
      </c>
      <c r="AP39" s="64" cm="1">
        <f t="array" ref="AP39">IFERROR(INDEX('Offer Statistics'!CR$2:CR$400,MATCH(1,($A39='Offer Statistics'!$CL$2:$CL$400)*($AC$2='Offer Statistics'!$CM$2:$CM$400),0)),"/")</f>
        <v>71</v>
      </c>
      <c r="AR39" s="15" t="str">
        <f t="shared" si="3"/>
        <v>JS6858</v>
      </c>
    </row>
    <row r="40" spans="1:44" ht="18" customHeight="1">
      <c r="A40" s="4" t="str">
        <f>'Reference Score Calculation'!A266</f>
        <v>JS6901</v>
      </c>
      <c r="B40" s="4" t="str">
        <f>'Reference Score Calculation'!C266</f>
        <v>理學院</v>
      </c>
      <c r="C40" s="4" t="str">
        <f>'Reference Score Calculation'!D266</f>
        <v>理學士</v>
      </c>
      <c r="D40" s="4" t="str">
        <f>'Reference Score Calculation'!R266</f>
        <v xml:space="preserve">	BSC</v>
      </c>
      <c r="E40" s="392" t="str">
        <f>'Reference Score Calculation'!AB266</f>
        <v>Best 5</v>
      </c>
      <c r="F40" s="386" t="str">
        <f>'Reference Score Calculation'!E266</f>
        <v>Best 5</v>
      </c>
      <c r="G40" s="6">
        <f>'Reference Score Calculation'!G266</f>
        <v>34</v>
      </c>
      <c r="H40" s="6">
        <f>'Reference Score Calculation'!H266</f>
        <v>32</v>
      </c>
      <c r="I40" s="6">
        <f>'Reference Score Calculation'!I266</f>
        <v>29</v>
      </c>
      <c r="J40" s="45">
        <f>計分版!J289</f>
        <v>2.2500000000000003E-9</v>
      </c>
      <c r="K40" s="25">
        <f t="shared" si="0"/>
        <v>-31.999999997749999</v>
      </c>
      <c r="L40" s="26">
        <f t="shared" si="1"/>
        <v>-14222222221.222219</v>
      </c>
      <c r="M40" s="36">
        <f>'Reference Score Calculation'!T266</f>
        <v>305</v>
      </c>
      <c r="N40" s="54">
        <f>入學要求!Z275</f>
        <v>0</v>
      </c>
      <c r="O40" s="516"/>
      <c r="P40" s="275">
        <f>入學要求!L275</f>
        <v>3</v>
      </c>
      <c r="Q40" s="275">
        <f>入學要求!M275</f>
        <v>3</v>
      </c>
      <c r="R40" s="275">
        <f>入學要求!N275</f>
        <v>2</v>
      </c>
      <c r="S40" s="275">
        <f>入學要求!O275</f>
        <v>1</v>
      </c>
      <c r="T40" s="275">
        <f>入學要求!P275</f>
        <v>3</v>
      </c>
      <c r="U40" s="275">
        <f>入學要求!Q275</f>
        <v>3</v>
      </c>
      <c r="V40" s="256">
        <f>入學要求!S275</f>
        <v>0</v>
      </c>
      <c r="W40" s="256">
        <f>入學要求!T275</f>
        <v>0</v>
      </c>
      <c r="X40" s="256">
        <f>入學要求!U275</f>
        <v>0</v>
      </c>
      <c r="Y40" s="256">
        <f>入學要求!V275</f>
        <v>0</v>
      </c>
      <c r="Z40" s="256">
        <f>入學要求!W275</f>
        <v>0</v>
      </c>
      <c r="AA40" s="256">
        <f>入學要求!X275</f>
        <v>0</v>
      </c>
      <c r="AB40" s="36">
        <f t="shared" si="2"/>
        <v>16.43</v>
      </c>
      <c r="AC40" s="510"/>
      <c r="AD40" s="36" cm="1">
        <f t="array" ref="AD40">IFERROR(INDEX('Offer Statistics'!DA$2:DA$400,MATCH(1,($A40='Offer Statistics'!$CL$2:$CL$400)*($AC$2='Offer Statistics'!$CM$2:$CM$400),0)),"/")</f>
        <v>256</v>
      </c>
      <c r="AE40" s="64" cm="1">
        <f t="array" ref="AE40">IFERROR(INDEX('Offer Statistics'!CV$2:CV$400,MATCH(1,($A40='Offer Statistics'!$CL$2:$CL$400)*($AC$2='Offer Statistics'!$CM$2:$CM$400),0)),"/")</f>
        <v>256</v>
      </c>
      <c r="AF40" s="64" cm="1">
        <f t="array" ref="AF40">IFERROR(INDEX('Offer Statistics'!CW$2:CW$400,MATCH(1,($A40='Offer Statistics'!$CL$2:$CL$400)*($AC$2='Offer Statistics'!$CM$2:$CM$400),0)),"/")</f>
        <v>0</v>
      </c>
      <c r="AG40" s="64" cm="1">
        <f t="array" ref="AG40">IFERROR(INDEX('Offer Statistics'!CX$2:CX$400,MATCH(1,($A40='Offer Statistics'!$CL$2:$CL$400)*($AC$2='Offer Statistics'!$CM$2:$CM$400),0)),"/")</f>
        <v>0</v>
      </c>
      <c r="AH40" s="64" cm="1">
        <f t="array" ref="AH40">IFERROR(INDEX('Offer Statistics'!CY$2:CY$400,MATCH(1,($A40='Offer Statistics'!$CL$2:$CL$400)*($AC$2='Offer Statistics'!$CM$2:$CM$400),0)),"/")</f>
        <v>0</v>
      </c>
      <c r="AI40" s="64" cm="1">
        <f t="array" ref="AI40">IFERROR(INDEX('Offer Statistics'!CZ$2:CZ$400,MATCH(1,($A40='Offer Statistics'!$CL$2:$CL$400)*($AC$2='Offer Statistics'!$CM$2:$CM$400),0)),"/")</f>
        <v>0</v>
      </c>
      <c r="AJ40" s="511"/>
      <c r="AK40" s="36" cm="1">
        <f t="array" ref="AK40">IFERROR(INDEX('Offer Statistics'!CS$2:CS$400,MATCH(1,($A40='Offer Statistics'!$CL$2:$CL$400)*($AC$2='Offer Statistics'!$CM$2:$CM$400),0)),"/")</f>
        <v>4206</v>
      </c>
      <c r="AL40" s="64" cm="1">
        <f t="array" ref="AL40">IFERROR(INDEX('Offer Statistics'!CN$2:CN$400,MATCH(1,($A40='Offer Statistics'!$CL$2:$CL$400)*($AC$2='Offer Statistics'!$CM$2:$CM$400),0)),"/")</f>
        <v>1172</v>
      </c>
      <c r="AM40" s="64" cm="1">
        <f t="array" ref="AM40">IFERROR(INDEX('Offer Statistics'!CO$2:CO$400,MATCH(1,($A40='Offer Statistics'!$CL$2:$CL$400)*($AC$2='Offer Statistics'!$CM$2:$CM$400),0)),"/")</f>
        <v>812</v>
      </c>
      <c r="AN40" s="64" cm="1">
        <f t="array" ref="AN40">IFERROR(INDEX('Offer Statistics'!CP$2:CP$400,MATCH(1,($A40='Offer Statistics'!$CL$2:$CL$400)*($AC$2='Offer Statistics'!$CM$2:$CM$400),0)),"/")</f>
        <v>736</v>
      </c>
      <c r="AO40" s="64" cm="1">
        <f t="array" ref="AO40">IFERROR(INDEX('Offer Statistics'!CQ$2:CQ$400,MATCH(1,($A40='Offer Statistics'!$CL$2:$CL$400)*($AC$2='Offer Statistics'!$CM$2:$CM$400),0)),"/")</f>
        <v>837</v>
      </c>
      <c r="AP40" s="64" cm="1">
        <f t="array" ref="AP40">IFERROR(INDEX('Offer Statistics'!CR$2:CR$400,MATCH(1,($A40='Offer Statistics'!$CL$2:$CL$400)*($AC$2='Offer Statistics'!$CM$2:$CM$400),0)),"/")</f>
        <v>649</v>
      </c>
      <c r="AR40" s="15" t="str">
        <f t="shared" si="3"/>
        <v>JS6901</v>
      </c>
    </row>
    <row r="41" spans="1:44" ht="18" customHeight="1">
      <c r="A41" s="4" t="str">
        <f>'Reference Score Calculation'!A267</f>
        <v>JS6705</v>
      </c>
      <c r="B41" s="4" t="str">
        <f>'Reference Score Calculation'!C267</f>
        <v>社會科學院</v>
      </c>
      <c r="C41" s="4" t="str">
        <f>'Reference Score Calculation'!D267</f>
        <v>心理學學士</v>
      </c>
      <c r="D41" s="4" t="str">
        <f>'Reference Score Calculation'!R267</f>
        <v>BPsych</v>
      </c>
      <c r="E41" s="392" t="str">
        <f>'Reference Score Calculation'!AB267</f>
        <v>Best 5</v>
      </c>
      <c r="F41" s="365" t="str">
        <f>'Reference Score Calculation'!E267</f>
        <v>Best 5</v>
      </c>
      <c r="G41" s="6">
        <f>'Reference Score Calculation'!G267</f>
        <v>31</v>
      </c>
      <c r="H41" s="6">
        <f>'Reference Score Calculation'!H267</f>
        <v>29</v>
      </c>
      <c r="I41" s="6">
        <f>'Reference Score Calculation'!I267</f>
        <v>28</v>
      </c>
      <c r="J41" s="45">
        <f>計分版!J290</f>
        <v>3.9500000000000006E-9</v>
      </c>
      <c r="K41" s="25">
        <f t="shared" si="0"/>
        <v>-28.999999996050001</v>
      </c>
      <c r="L41" s="26">
        <f t="shared" si="1"/>
        <v>-7341772150.8987331</v>
      </c>
      <c r="M41" s="36">
        <f>'Reference Score Calculation'!T267</f>
        <v>70</v>
      </c>
      <c r="N41" s="54">
        <f>入學要求!Z276</f>
        <v>0</v>
      </c>
      <c r="O41" s="516"/>
      <c r="P41" s="275">
        <f>入學要求!L276</f>
        <v>3</v>
      </c>
      <c r="Q41" s="275">
        <f>入學要求!M276</f>
        <v>3</v>
      </c>
      <c r="R41" s="275">
        <f>入學要求!N276</f>
        <v>2</v>
      </c>
      <c r="S41" s="275">
        <f>入學要求!O276</f>
        <v>1</v>
      </c>
      <c r="T41" s="275">
        <f>入學要求!P276</f>
        <v>3</v>
      </c>
      <c r="U41" s="275">
        <f>入學要求!Q276</f>
        <v>3</v>
      </c>
      <c r="V41" s="256">
        <f>入學要求!S276</f>
        <v>0</v>
      </c>
      <c r="W41" s="256">
        <f>入學要求!T276</f>
        <v>0</v>
      </c>
      <c r="X41" s="256">
        <f>入學要求!U276</f>
        <v>0</v>
      </c>
      <c r="Y41" s="256">
        <f>入學要求!V276</f>
        <v>0</v>
      </c>
      <c r="Z41" s="256">
        <f>入學要求!W276</f>
        <v>0</v>
      </c>
      <c r="AA41" s="256">
        <f>入學要求!X276</f>
        <v>0</v>
      </c>
      <c r="AB41" s="36">
        <f t="shared" si="2"/>
        <v>70.959999999999994</v>
      </c>
      <c r="AC41" s="510"/>
      <c r="AD41" s="36" cm="1">
        <f t="array" ref="AD41">IFERROR(INDEX('Offer Statistics'!DA$2:DA$400,MATCH(1,($A41='Offer Statistics'!$CL$2:$CL$400)*($AC$2='Offer Statistics'!$CM$2:$CM$400),0)),"/")</f>
        <v>48</v>
      </c>
      <c r="AE41" s="64" cm="1">
        <f t="array" ref="AE41">IFERROR(INDEX('Offer Statistics'!CV$2:CV$400,MATCH(1,($A41='Offer Statistics'!$CL$2:$CL$400)*($AC$2='Offer Statistics'!$CM$2:$CM$400),0)),"/")</f>
        <v>48</v>
      </c>
      <c r="AF41" s="64" cm="1">
        <f t="array" ref="AF41">IFERROR(INDEX('Offer Statistics'!CW$2:CW$400,MATCH(1,($A41='Offer Statistics'!$CL$2:$CL$400)*($AC$2='Offer Statistics'!$CM$2:$CM$400),0)),"/")</f>
        <v>0</v>
      </c>
      <c r="AG41" s="64" cm="1">
        <f t="array" ref="AG41">IFERROR(INDEX('Offer Statistics'!CX$2:CX$400,MATCH(1,($A41='Offer Statistics'!$CL$2:$CL$400)*($AC$2='Offer Statistics'!$CM$2:$CM$400),0)),"/")</f>
        <v>0</v>
      </c>
      <c r="AH41" s="64" cm="1">
        <f t="array" ref="AH41">IFERROR(INDEX('Offer Statistics'!CY$2:CY$400,MATCH(1,($A41='Offer Statistics'!$CL$2:$CL$400)*($AC$2='Offer Statistics'!$CM$2:$CM$400),0)),"/")</f>
        <v>0</v>
      </c>
      <c r="AI41" s="64" cm="1">
        <f t="array" ref="AI41">IFERROR(INDEX('Offer Statistics'!CZ$2:CZ$400,MATCH(1,($A41='Offer Statistics'!$CL$2:$CL$400)*($AC$2='Offer Statistics'!$CM$2:$CM$400),0)),"/")</f>
        <v>0</v>
      </c>
      <c r="AJ41" s="511"/>
      <c r="AK41" s="36" cm="1">
        <f t="array" ref="AK41">IFERROR(INDEX('Offer Statistics'!CS$2:CS$400,MATCH(1,($A41='Offer Statistics'!$CL$2:$CL$400)*($AC$2='Offer Statistics'!$CM$2:$CM$400),0)),"/")</f>
        <v>3406</v>
      </c>
      <c r="AL41" s="64" cm="1">
        <f t="array" ref="AL41">IFERROR(INDEX('Offer Statistics'!CN$2:CN$400,MATCH(1,($A41='Offer Statistics'!$CL$2:$CL$400)*($AC$2='Offer Statistics'!$CM$2:$CM$400),0)),"/")</f>
        <v>315</v>
      </c>
      <c r="AM41" s="64" cm="1">
        <f t="array" ref="AM41">IFERROR(INDEX('Offer Statistics'!CO$2:CO$400,MATCH(1,($A41='Offer Statistics'!$CL$2:$CL$400)*($AC$2='Offer Statistics'!$CM$2:$CM$400),0)),"/")</f>
        <v>348</v>
      </c>
      <c r="AN41" s="64" cm="1">
        <f t="array" ref="AN41">IFERROR(INDEX('Offer Statistics'!CP$2:CP$400,MATCH(1,($A41='Offer Statistics'!$CL$2:$CL$400)*($AC$2='Offer Statistics'!$CM$2:$CM$400),0)),"/")</f>
        <v>686</v>
      </c>
      <c r="AO41" s="64" cm="1">
        <f t="array" ref="AO41">IFERROR(INDEX('Offer Statistics'!CQ$2:CQ$400,MATCH(1,($A41='Offer Statistics'!$CL$2:$CL$400)*($AC$2='Offer Statistics'!$CM$2:$CM$400),0)),"/")</f>
        <v>1064</v>
      </c>
      <c r="AP41" s="64" cm="1">
        <f t="array" ref="AP41">IFERROR(INDEX('Offer Statistics'!CR$2:CR$400,MATCH(1,($A41='Offer Statistics'!$CL$2:$CL$400)*($AC$2='Offer Statistics'!$CM$2:$CM$400),0)),"/")</f>
        <v>993</v>
      </c>
      <c r="AR41" s="15" t="str">
        <f t="shared" si="3"/>
        <v>JS6705</v>
      </c>
    </row>
    <row r="42" spans="1:44" ht="18" customHeight="1">
      <c r="A42" s="4" t="str">
        <f>'Reference Score Calculation'!A268</f>
        <v>JS6717</v>
      </c>
      <c r="B42" s="4" t="str">
        <f>'Reference Score Calculation'!C268</f>
        <v>社會科學院</v>
      </c>
      <c r="C42" s="4" t="str">
        <f>'Reference Score Calculation'!D268</f>
        <v>社會科學學士</v>
      </c>
      <c r="D42" s="4" t="str">
        <f>'Reference Score Calculation'!R268</f>
        <v xml:space="preserve">	BSS</v>
      </c>
      <c r="E42" s="392" t="str">
        <f>'Reference Score Calculation'!AB268</f>
        <v>Best 5</v>
      </c>
      <c r="F42" s="365" t="str">
        <f>'Reference Score Calculation'!E268</f>
        <v>Best 5</v>
      </c>
      <c r="G42" s="6">
        <f>'Reference Score Calculation'!G268</f>
        <v>28</v>
      </c>
      <c r="H42" s="6">
        <f>'Reference Score Calculation'!H268</f>
        <v>26</v>
      </c>
      <c r="I42" s="6">
        <f>'Reference Score Calculation'!I268</f>
        <v>25</v>
      </c>
      <c r="J42" s="45">
        <f>計分版!J291</f>
        <v>3.9500000000000006E-9</v>
      </c>
      <c r="K42" s="25">
        <f t="shared" si="0"/>
        <v>-25.999999996050001</v>
      </c>
      <c r="L42" s="26">
        <f t="shared" si="1"/>
        <v>-6582278480.0126572</v>
      </c>
      <c r="M42" s="36">
        <f>'Reference Score Calculation'!T268</f>
        <v>114</v>
      </c>
      <c r="N42" s="54">
        <f>入學要求!Z277</f>
        <v>0</v>
      </c>
      <c r="O42" s="516"/>
      <c r="P42" s="275">
        <f>入學要求!L277</f>
        <v>3</v>
      </c>
      <c r="Q42" s="275">
        <f>入學要求!M277</f>
        <v>3</v>
      </c>
      <c r="R42" s="275">
        <f>入學要求!N277</f>
        <v>2</v>
      </c>
      <c r="S42" s="275">
        <f>入學要求!O277</f>
        <v>1</v>
      </c>
      <c r="T42" s="275">
        <f>入學要求!P277</f>
        <v>3</v>
      </c>
      <c r="U42" s="275">
        <f>入學要求!Q277</f>
        <v>3</v>
      </c>
      <c r="V42" s="256">
        <f>入學要求!S277</f>
        <v>0</v>
      </c>
      <c r="W42" s="256">
        <f>入學要求!T277</f>
        <v>0</v>
      </c>
      <c r="X42" s="256">
        <f>入學要求!U277</f>
        <v>0</v>
      </c>
      <c r="Y42" s="256">
        <f>入學要求!V277</f>
        <v>0</v>
      </c>
      <c r="Z42" s="256">
        <f>入學要求!W277</f>
        <v>0</v>
      </c>
      <c r="AA42" s="256">
        <f>入學要求!X277</f>
        <v>0</v>
      </c>
      <c r="AB42" s="36">
        <f t="shared" si="2"/>
        <v>49.86</v>
      </c>
      <c r="AC42" s="510"/>
      <c r="AD42" s="36" cm="1">
        <f t="array" ref="AD42">IFERROR(INDEX('Offer Statistics'!DA$2:DA$400,MATCH(1,($A42='Offer Statistics'!$CL$2:$CL$400)*($AC$2='Offer Statistics'!$CM$2:$CM$400),0)),"/")</f>
        <v>76</v>
      </c>
      <c r="AE42" s="64" cm="1">
        <f t="array" ref="AE42">IFERROR(INDEX('Offer Statistics'!CV$2:CV$400,MATCH(1,($A42='Offer Statistics'!$CL$2:$CL$400)*($AC$2='Offer Statistics'!$CM$2:$CM$400),0)),"/")</f>
        <v>76</v>
      </c>
      <c r="AF42" s="64" cm="1">
        <f t="array" ref="AF42">IFERROR(INDEX('Offer Statistics'!CW$2:CW$400,MATCH(1,($A42='Offer Statistics'!$CL$2:$CL$400)*($AC$2='Offer Statistics'!$CM$2:$CM$400),0)),"/")</f>
        <v>0</v>
      </c>
      <c r="AG42" s="64" cm="1">
        <f t="array" ref="AG42">IFERROR(INDEX('Offer Statistics'!CX$2:CX$400,MATCH(1,($A42='Offer Statistics'!$CL$2:$CL$400)*($AC$2='Offer Statistics'!$CM$2:$CM$400),0)),"/")</f>
        <v>0</v>
      </c>
      <c r="AH42" s="64" cm="1">
        <f t="array" ref="AH42">IFERROR(INDEX('Offer Statistics'!CY$2:CY$400,MATCH(1,($A42='Offer Statistics'!$CL$2:$CL$400)*($AC$2='Offer Statistics'!$CM$2:$CM$400),0)),"/")</f>
        <v>0</v>
      </c>
      <c r="AI42" s="64" cm="1">
        <f t="array" ref="AI42">IFERROR(INDEX('Offer Statistics'!CZ$2:CZ$400,MATCH(1,($A42='Offer Statistics'!$CL$2:$CL$400)*($AC$2='Offer Statistics'!$CM$2:$CM$400),0)),"/")</f>
        <v>0</v>
      </c>
      <c r="AJ42" s="511"/>
      <c r="AK42" s="36" cm="1">
        <f t="array" ref="AK42">IFERROR(INDEX('Offer Statistics'!CS$2:CS$400,MATCH(1,($A42='Offer Statistics'!$CL$2:$CL$400)*($AC$2='Offer Statistics'!$CM$2:$CM$400),0)),"/")</f>
        <v>3789</v>
      </c>
      <c r="AL42" s="64" cm="1">
        <f t="array" ref="AL42">IFERROR(INDEX('Offer Statistics'!CN$2:CN$400,MATCH(1,($A42='Offer Statistics'!$CL$2:$CL$400)*($AC$2='Offer Statistics'!$CM$2:$CM$400),0)),"/")</f>
        <v>378</v>
      </c>
      <c r="AM42" s="64" cm="1">
        <f t="array" ref="AM42">IFERROR(INDEX('Offer Statistics'!CO$2:CO$400,MATCH(1,($A42='Offer Statistics'!$CL$2:$CL$400)*($AC$2='Offer Statistics'!$CM$2:$CM$400),0)),"/")</f>
        <v>437</v>
      </c>
      <c r="AN42" s="64" cm="1">
        <f t="array" ref="AN42">IFERROR(INDEX('Offer Statistics'!CP$2:CP$400,MATCH(1,($A42='Offer Statistics'!$CL$2:$CL$400)*($AC$2='Offer Statistics'!$CM$2:$CM$400),0)),"/")</f>
        <v>727</v>
      </c>
      <c r="AO42" s="64" cm="1">
        <f t="array" ref="AO42">IFERROR(INDEX('Offer Statistics'!CQ$2:CQ$400,MATCH(1,($A42='Offer Statistics'!$CL$2:$CL$400)*($AC$2='Offer Statistics'!$CM$2:$CM$400),0)),"/")</f>
        <v>1150</v>
      </c>
      <c r="AP42" s="64" cm="1">
        <f t="array" ref="AP42">IFERROR(INDEX('Offer Statistics'!CR$2:CR$400,MATCH(1,($A42='Offer Statistics'!$CL$2:$CL$400)*($AC$2='Offer Statistics'!$CM$2:$CM$400),0)),"/")</f>
        <v>1097</v>
      </c>
      <c r="AR42" s="15" t="str">
        <f t="shared" si="3"/>
        <v>JS6717</v>
      </c>
    </row>
    <row r="43" spans="1:44" ht="18" customHeight="1">
      <c r="A43" s="4" t="str">
        <f>'Reference Score Calculation'!A269</f>
        <v>JS6731</v>
      </c>
      <c r="B43" s="4" t="str">
        <f>'Reference Score Calculation'!C269</f>
        <v>社會科學院</v>
      </c>
      <c r="C43" s="4" t="str">
        <f>'Reference Score Calculation'!D269</f>
        <v>社會工作學學士</v>
      </c>
      <c r="D43" s="4" t="str">
        <f>'Reference Score Calculation'!R269</f>
        <v>BSW</v>
      </c>
      <c r="E43" s="392" t="str">
        <f>'Reference Score Calculation'!AB269</f>
        <v>Best 5</v>
      </c>
      <c r="F43" s="365" t="str">
        <f>'Reference Score Calculation'!E269</f>
        <v>Best 5</v>
      </c>
      <c r="G43" s="6">
        <f>'Reference Score Calculation'!G269</f>
        <v>28</v>
      </c>
      <c r="H43" s="6">
        <f>'Reference Score Calculation'!H269</f>
        <v>28</v>
      </c>
      <c r="I43" s="6">
        <f>'Reference Score Calculation'!I269</f>
        <v>26</v>
      </c>
      <c r="J43" s="45">
        <f>計分版!J292</f>
        <v>3.9500000000000006E-9</v>
      </c>
      <c r="K43" s="25">
        <f t="shared" si="0"/>
        <v>-27.999999996050001</v>
      </c>
      <c r="L43" s="26">
        <f t="shared" si="1"/>
        <v>-7088607593.9367075</v>
      </c>
      <c r="M43" s="36">
        <f>'Reference Score Calculation'!T269</f>
        <v>30</v>
      </c>
      <c r="N43" s="54">
        <f>入學要求!Z278</f>
        <v>0</v>
      </c>
      <c r="O43" s="516"/>
      <c r="P43" s="275">
        <f>入學要求!L278</f>
        <v>3</v>
      </c>
      <c r="Q43" s="275">
        <f>入學要求!M278</f>
        <v>3</v>
      </c>
      <c r="R43" s="275">
        <f>入學要求!N278</f>
        <v>2</v>
      </c>
      <c r="S43" s="275">
        <f>入學要求!O278</f>
        <v>1</v>
      </c>
      <c r="T43" s="275">
        <f>入學要求!P278</f>
        <v>3</v>
      </c>
      <c r="U43" s="275">
        <f>入學要求!Q278</f>
        <v>3</v>
      </c>
      <c r="V43" s="256">
        <f>入學要求!S278</f>
        <v>0</v>
      </c>
      <c r="W43" s="256">
        <f>入學要求!T278</f>
        <v>0</v>
      </c>
      <c r="X43" s="256">
        <f>入學要求!U278</f>
        <v>0</v>
      </c>
      <c r="Y43" s="256">
        <f>入學要求!V278</f>
        <v>0</v>
      </c>
      <c r="Z43" s="256">
        <f>入學要求!W278</f>
        <v>0</v>
      </c>
      <c r="AA43" s="256">
        <f>入學要求!X278</f>
        <v>0</v>
      </c>
      <c r="AB43" s="36">
        <f t="shared" si="2"/>
        <v>99.2</v>
      </c>
      <c r="AC43" s="510"/>
      <c r="AD43" s="36" cm="1">
        <f t="array" ref="AD43">IFERROR(INDEX('Offer Statistics'!DA$2:DA$400,MATCH(1,($A43='Offer Statistics'!$CL$2:$CL$400)*($AC$2='Offer Statistics'!$CM$2:$CM$400),0)),"/")</f>
        <v>25</v>
      </c>
      <c r="AE43" s="64" cm="1">
        <f t="array" ref="AE43">IFERROR(INDEX('Offer Statistics'!CV$2:CV$400,MATCH(1,($A43='Offer Statistics'!$CL$2:$CL$400)*($AC$2='Offer Statistics'!$CM$2:$CM$400),0)),"/")</f>
        <v>25</v>
      </c>
      <c r="AF43" s="64" cm="1">
        <f t="array" ref="AF43">IFERROR(INDEX('Offer Statistics'!CW$2:CW$400,MATCH(1,($A43='Offer Statistics'!$CL$2:$CL$400)*($AC$2='Offer Statistics'!$CM$2:$CM$400),0)),"/")</f>
        <v>0</v>
      </c>
      <c r="AG43" s="64" cm="1">
        <f t="array" ref="AG43">IFERROR(INDEX('Offer Statistics'!CX$2:CX$400,MATCH(1,($A43='Offer Statistics'!$CL$2:$CL$400)*($AC$2='Offer Statistics'!$CM$2:$CM$400),0)),"/")</f>
        <v>0</v>
      </c>
      <c r="AH43" s="64" cm="1">
        <f t="array" ref="AH43">IFERROR(INDEX('Offer Statistics'!CY$2:CY$400,MATCH(1,($A43='Offer Statistics'!$CL$2:$CL$400)*($AC$2='Offer Statistics'!$CM$2:$CM$400),0)),"/")</f>
        <v>0</v>
      </c>
      <c r="AI43" s="64" cm="1">
        <f t="array" ref="AI43">IFERROR(INDEX('Offer Statistics'!CZ$2:CZ$400,MATCH(1,($A43='Offer Statistics'!$CL$2:$CL$400)*($AC$2='Offer Statistics'!$CM$2:$CM$400),0)),"/")</f>
        <v>0</v>
      </c>
      <c r="AJ43" s="511"/>
      <c r="AK43" s="36" cm="1">
        <f t="array" ref="AK43">IFERROR(INDEX('Offer Statistics'!CS$2:CS$400,MATCH(1,($A43='Offer Statistics'!$CL$2:$CL$400)*($AC$2='Offer Statistics'!$CM$2:$CM$400),0)),"/")</f>
        <v>2480</v>
      </c>
      <c r="AL43" s="64" cm="1">
        <f t="array" ref="AL43">IFERROR(INDEX('Offer Statistics'!CN$2:CN$400,MATCH(1,($A43='Offer Statistics'!$CL$2:$CL$400)*($AC$2='Offer Statistics'!$CM$2:$CM$400),0)),"/")</f>
        <v>211</v>
      </c>
      <c r="AM43" s="64" cm="1">
        <f t="array" ref="AM43">IFERROR(INDEX('Offer Statistics'!CO$2:CO$400,MATCH(1,($A43='Offer Statistics'!$CL$2:$CL$400)*($AC$2='Offer Statistics'!$CM$2:$CM$400),0)),"/")</f>
        <v>278</v>
      </c>
      <c r="AN43" s="64" cm="1">
        <f t="array" ref="AN43">IFERROR(INDEX('Offer Statistics'!CP$2:CP$400,MATCH(1,($A43='Offer Statistics'!$CL$2:$CL$400)*($AC$2='Offer Statistics'!$CM$2:$CM$400),0)),"/")</f>
        <v>483</v>
      </c>
      <c r="AO43" s="64" cm="1">
        <f t="array" ref="AO43">IFERROR(INDEX('Offer Statistics'!CQ$2:CQ$400,MATCH(1,($A43='Offer Statistics'!$CL$2:$CL$400)*($AC$2='Offer Statistics'!$CM$2:$CM$400),0)),"/")</f>
        <v>790</v>
      </c>
      <c r="AP43" s="64" cm="1">
        <f t="array" ref="AP43">IFERROR(INDEX('Offer Statistics'!CR$2:CR$400,MATCH(1,($A43='Offer Statistics'!$CL$2:$CL$400)*($AC$2='Offer Statistics'!$CM$2:$CM$400),0)),"/")</f>
        <v>718</v>
      </c>
      <c r="AR43" s="15" t="str">
        <f t="shared" si="3"/>
        <v>JS6731</v>
      </c>
    </row>
    <row r="44" spans="1:44" ht="18" customHeight="1">
      <c r="A44" s="4" t="str">
        <f>'Reference Score Calculation'!A270</f>
        <v>JS6810</v>
      </c>
      <c r="B44" s="4" t="str">
        <f>'Reference Score Calculation'!C270</f>
        <v>社會科學院</v>
      </c>
      <c r="C44" s="4" t="str">
        <f>'Reference Score Calculation'!D270</f>
        <v>社會科學學士(政治學與法學)及法學士 (雙學位課程)</v>
      </c>
      <c r="D44" s="4" t="str">
        <f>'Reference Score Calculation'!R270</f>
        <v xml:space="preserve">	BSS(GL)&amp;LLB</v>
      </c>
      <c r="E44" s="392" t="str">
        <f>'Reference Score Calculation'!AB270</f>
        <v>Best 6</v>
      </c>
      <c r="F44" s="390" t="str">
        <f>'Reference Score Calculation'!E270</f>
        <v>Best 6</v>
      </c>
      <c r="G44" s="6">
        <f>'Reference Score Calculation'!G270</f>
        <v>41</v>
      </c>
      <c r="H44" s="6">
        <f>'Reference Score Calculation'!H270</f>
        <v>38</v>
      </c>
      <c r="I44" s="6">
        <f>'Reference Score Calculation'!I270</f>
        <v>38</v>
      </c>
      <c r="J44" s="45">
        <f>計分版!J293</f>
        <v>3.9000000000000002E-9</v>
      </c>
      <c r="K44" s="25">
        <f t="shared" si="0"/>
        <v>-37.999999996100001</v>
      </c>
      <c r="L44" s="26">
        <f t="shared" si="1"/>
        <v>-9743589742.5897427</v>
      </c>
      <c r="M44" s="36">
        <f>'Reference Score Calculation'!T270</f>
        <v>50</v>
      </c>
      <c r="N44" s="54">
        <f>入學要求!Z279</f>
        <v>0</v>
      </c>
      <c r="O44" s="516"/>
      <c r="P44" s="275">
        <f>入學要求!L279</f>
        <v>4</v>
      </c>
      <c r="Q44" s="275">
        <f>入學要求!M279</f>
        <v>5</v>
      </c>
      <c r="R44" s="275">
        <f>入學要求!N279</f>
        <v>3</v>
      </c>
      <c r="S44" s="275">
        <f>入學要求!O279</f>
        <v>1</v>
      </c>
      <c r="T44" s="275">
        <f>入學要求!P279</f>
        <v>3</v>
      </c>
      <c r="U44" s="275">
        <f>入學要求!Q279</f>
        <v>3</v>
      </c>
      <c r="V44" s="256">
        <f>入學要求!S279</f>
        <v>0</v>
      </c>
      <c r="W44" s="256">
        <f>入學要求!T279</f>
        <v>0</v>
      </c>
      <c r="X44" s="256">
        <f>入學要求!U279</f>
        <v>0</v>
      </c>
      <c r="Y44" s="256">
        <f>入學要求!V279</f>
        <v>0</v>
      </c>
      <c r="Z44" s="256">
        <f>入學要求!W279</f>
        <v>0</v>
      </c>
      <c r="AA44" s="256">
        <f>入學要求!X279</f>
        <v>0</v>
      </c>
      <c r="AB44" s="36">
        <f t="shared" si="2"/>
        <v>10.51</v>
      </c>
      <c r="AC44" s="510"/>
      <c r="AD44" s="36" cm="1">
        <f t="array" ref="AD44">IFERROR(INDEX('Offer Statistics'!DA$2:DA$400,MATCH(1,($A44='Offer Statistics'!$CL$2:$CL$400)*($AC$2='Offer Statistics'!$CM$2:$CM$400),0)),"/")</f>
        <v>39</v>
      </c>
      <c r="AE44" s="64" cm="1">
        <f t="array" ref="AE44">IFERROR(INDEX('Offer Statistics'!CV$2:CV$400,MATCH(1,($A44='Offer Statistics'!$CL$2:$CL$400)*($AC$2='Offer Statistics'!$CM$2:$CM$400),0)),"/")</f>
        <v>39</v>
      </c>
      <c r="AF44" s="64" cm="1">
        <f t="array" ref="AF44">IFERROR(INDEX('Offer Statistics'!CW$2:CW$400,MATCH(1,($A44='Offer Statistics'!$CL$2:$CL$400)*($AC$2='Offer Statistics'!$CM$2:$CM$400),0)),"/")</f>
        <v>0</v>
      </c>
      <c r="AG44" s="64" cm="1">
        <f t="array" ref="AG44">IFERROR(INDEX('Offer Statistics'!CX$2:CX$400,MATCH(1,($A44='Offer Statistics'!$CL$2:$CL$400)*($AC$2='Offer Statistics'!$CM$2:$CM$400),0)),"/")</f>
        <v>0</v>
      </c>
      <c r="AH44" s="64" cm="1">
        <f t="array" ref="AH44">IFERROR(INDEX('Offer Statistics'!CY$2:CY$400,MATCH(1,($A44='Offer Statistics'!$CL$2:$CL$400)*($AC$2='Offer Statistics'!$CM$2:$CM$400),0)),"/")</f>
        <v>0</v>
      </c>
      <c r="AI44" s="64" cm="1">
        <f t="array" ref="AI44">IFERROR(INDEX('Offer Statistics'!CZ$2:CZ$400,MATCH(1,($A44='Offer Statistics'!$CL$2:$CL$400)*($AC$2='Offer Statistics'!$CM$2:$CM$400),0)),"/")</f>
        <v>0</v>
      </c>
      <c r="AJ44" s="511"/>
      <c r="AK44" s="36" cm="1">
        <f t="array" ref="AK44">IFERROR(INDEX('Offer Statistics'!CS$2:CS$400,MATCH(1,($A44='Offer Statistics'!$CL$2:$CL$400)*($AC$2='Offer Statistics'!$CM$2:$CM$400),0)),"/")</f>
        <v>410</v>
      </c>
      <c r="AL44" s="64" cm="1">
        <f t="array" ref="AL44">IFERROR(INDEX('Offer Statistics'!CN$2:CN$400,MATCH(1,($A44='Offer Statistics'!$CL$2:$CL$400)*($AC$2='Offer Statistics'!$CM$2:$CM$400),0)),"/")</f>
        <v>77</v>
      </c>
      <c r="AM44" s="64" cm="1">
        <f t="array" ref="AM44">IFERROR(INDEX('Offer Statistics'!CO$2:CO$400,MATCH(1,($A44='Offer Statistics'!$CL$2:$CL$400)*($AC$2='Offer Statistics'!$CM$2:$CM$400),0)),"/")</f>
        <v>37</v>
      </c>
      <c r="AN44" s="64" cm="1">
        <f t="array" ref="AN44">IFERROR(INDEX('Offer Statistics'!CP$2:CP$400,MATCH(1,($A44='Offer Statistics'!$CL$2:$CL$400)*($AC$2='Offer Statistics'!$CM$2:$CM$400),0)),"/")</f>
        <v>85</v>
      </c>
      <c r="AO44" s="64" cm="1">
        <f t="array" ref="AO44">IFERROR(INDEX('Offer Statistics'!CQ$2:CQ$400,MATCH(1,($A44='Offer Statistics'!$CL$2:$CL$400)*($AC$2='Offer Statistics'!$CM$2:$CM$400),0)),"/")</f>
        <v>102</v>
      </c>
      <c r="AP44" s="64" cm="1">
        <f t="array" ref="AP44">IFERROR(INDEX('Offer Statistics'!CR$2:CR$400,MATCH(1,($A44='Offer Statistics'!$CL$2:$CL$400)*($AC$2='Offer Statistics'!$CM$2:$CM$400),0)),"/")</f>
        <v>109</v>
      </c>
      <c r="AR44" s="15" t="str">
        <f t="shared" si="3"/>
        <v>JS6810</v>
      </c>
    </row>
    <row r="45" spans="1:44" ht="18" customHeight="1">
      <c r="A45" s="4" t="str">
        <f>'Reference Score Calculation'!A271</f>
        <v>JS6822</v>
      </c>
      <c r="B45" s="4" t="str">
        <f>'Reference Score Calculation'!C271</f>
        <v>社會科學院</v>
      </c>
      <c r="C45" s="4" t="str">
        <f>'Reference Score Calculation'!D271</f>
        <v>新聞學學士</v>
      </c>
      <c r="D45" s="4" t="str">
        <f>'Reference Score Calculation'!R271</f>
        <v xml:space="preserve">	BJ</v>
      </c>
      <c r="E45" s="392" t="str">
        <f>'Reference Score Calculation'!AB271</f>
        <v>Best 5</v>
      </c>
      <c r="F45" s="365" t="str">
        <f>'Reference Score Calculation'!E271</f>
        <v>Best 5</v>
      </c>
      <c r="G45" s="6">
        <f>'Reference Score Calculation'!G271</f>
        <v>26</v>
      </c>
      <c r="H45" s="6">
        <f>'Reference Score Calculation'!H271</f>
        <v>25</v>
      </c>
      <c r="I45" s="6">
        <f>'Reference Score Calculation'!I271</f>
        <v>24</v>
      </c>
      <c r="J45" s="45">
        <f>計分版!J294</f>
        <v>3.9500000000000006E-9</v>
      </c>
      <c r="K45" s="25">
        <f t="shared" si="0"/>
        <v>-24.999999996050001</v>
      </c>
      <c r="L45" s="26">
        <f t="shared" si="1"/>
        <v>-6329113923.0506325</v>
      </c>
      <c r="M45" s="36">
        <f>'Reference Score Calculation'!T271</f>
        <v>19</v>
      </c>
      <c r="N45" s="54">
        <f>入學要求!Z280</f>
        <v>0</v>
      </c>
      <c r="O45" s="516"/>
      <c r="P45" s="275">
        <f>入學要求!L280</f>
        <v>3</v>
      </c>
      <c r="Q45" s="275">
        <f>入學要求!M280</f>
        <v>3</v>
      </c>
      <c r="R45" s="275">
        <f>入學要求!N280</f>
        <v>2</v>
      </c>
      <c r="S45" s="275">
        <f>入學要求!O280</f>
        <v>1</v>
      </c>
      <c r="T45" s="275">
        <f>入學要求!P280</f>
        <v>3</v>
      </c>
      <c r="U45" s="275">
        <f>入學要求!Q280</f>
        <v>3</v>
      </c>
      <c r="V45" s="256">
        <f>入學要求!S280</f>
        <v>0</v>
      </c>
      <c r="W45" s="256">
        <f>入學要求!T280</f>
        <v>0</v>
      </c>
      <c r="X45" s="256">
        <f>入學要求!U280</f>
        <v>0</v>
      </c>
      <c r="Y45" s="256">
        <f>入學要求!V280</f>
        <v>0</v>
      </c>
      <c r="Z45" s="256">
        <f>入學要求!W280</f>
        <v>0</v>
      </c>
      <c r="AA45" s="256">
        <f>入學要求!X280</f>
        <v>0</v>
      </c>
      <c r="AB45" s="36">
        <f t="shared" si="2"/>
        <v>83.5</v>
      </c>
      <c r="AC45" s="510"/>
      <c r="AD45" s="36" cm="1">
        <f t="array" ref="AD45">IFERROR(INDEX('Offer Statistics'!DA$2:DA$400,MATCH(1,($A45='Offer Statistics'!$CL$2:$CL$400)*($AC$2='Offer Statistics'!$CM$2:$CM$400),0)),"/")</f>
        <v>12</v>
      </c>
      <c r="AE45" s="64" cm="1">
        <f t="array" ref="AE45">IFERROR(INDEX('Offer Statistics'!CV$2:CV$400,MATCH(1,($A45='Offer Statistics'!$CL$2:$CL$400)*($AC$2='Offer Statistics'!$CM$2:$CM$400),0)),"/")</f>
        <v>12</v>
      </c>
      <c r="AF45" s="64" cm="1">
        <f t="array" ref="AF45">IFERROR(INDEX('Offer Statistics'!CW$2:CW$400,MATCH(1,($A45='Offer Statistics'!$CL$2:$CL$400)*($AC$2='Offer Statistics'!$CM$2:$CM$400),0)),"/")</f>
        <v>0</v>
      </c>
      <c r="AG45" s="64" cm="1">
        <f t="array" ref="AG45">IFERROR(INDEX('Offer Statistics'!CX$2:CX$400,MATCH(1,($A45='Offer Statistics'!$CL$2:$CL$400)*($AC$2='Offer Statistics'!$CM$2:$CM$400),0)),"/")</f>
        <v>0</v>
      </c>
      <c r="AH45" s="64" cm="1">
        <f t="array" ref="AH45">IFERROR(INDEX('Offer Statistics'!CY$2:CY$400,MATCH(1,($A45='Offer Statistics'!$CL$2:$CL$400)*($AC$2='Offer Statistics'!$CM$2:$CM$400),0)),"/")</f>
        <v>0</v>
      </c>
      <c r="AI45" s="64" cm="1">
        <f t="array" ref="AI45">IFERROR(INDEX('Offer Statistics'!CZ$2:CZ$400,MATCH(1,($A45='Offer Statistics'!$CL$2:$CL$400)*($AC$2='Offer Statistics'!$CM$2:$CM$400),0)),"/")</f>
        <v>0</v>
      </c>
      <c r="AJ45" s="511"/>
      <c r="AK45" s="36" cm="1">
        <f t="array" ref="AK45">IFERROR(INDEX('Offer Statistics'!CS$2:CS$400,MATCH(1,($A45='Offer Statistics'!$CL$2:$CL$400)*($AC$2='Offer Statistics'!$CM$2:$CM$400),0)),"/")</f>
        <v>1002</v>
      </c>
      <c r="AL45" s="64" cm="1">
        <f t="array" ref="AL45">IFERROR(INDEX('Offer Statistics'!CN$2:CN$400,MATCH(1,($A45='Offer Statistics'!$CL$2:$CL$400)*($AC$2='Offer Statistics'!$CM$2:$CM$400),0)),"/")</f>
        <v>85</v>
      </c>
      <c r="AM45" s="64" cm="1">
        <f t="array" ref="AM45">IFERROR(INDEX('Offer Statistics'!CO$2:CO$400,MATCH(1,($A45='Offer Statistics'!$CL$2:$CL$400)*($AC$2='Offer Statistics'!$CM$2:$CM$400),0)),"/")</f>
        <v>112</v>
      </c>
      <c r="AN45" s="64" cm="1">
        <f t="array" ref="AN45">IFERROR(INDEX('Offer Statistics'!CP$2:CP$400,MATCH(1,($A45='Offer Statistics'!$CL$2:$CL$400)*($AC$2='Offer Statistics'!$CM$2:$CM$400),0)),"/")</f>
        <v>206</v>
      </c>
      <c r="AO45" s="64" cm="1">
        <f t="array" ref="AO45">IFERROR(INDEX('Offer Statistics'!CQ$2:CQ$400,MATCH(1,($A45='Offer Statistics'!$CL$2:$CL$400)*($AC$2='Offer Statistics'!$CM$2:$CM$400),0)),"/")</f>
        <v>302</v>
      </c>
      <c r="AP45" s="64" cm="1">
        <f t="array" ref="AP45">IFERROR(INDEX('Offer Statistics'!CR$2:CR$400,MATCH(1,($A45='Offer Statistics'!$CL$2:$CL$400)*($AC$2='Offer Statistics'!$CM$2:$CM$400),0)),"/")</f>
        <v>297</v>
      </c>
      <c r="AR45" s="15" t="str">
        <f t="shared" si="3"/>
        <v>JS6822</v>
      </c>
    </row>
    <row r="46" spans="1:44" ht="18" customHeight="1">
      <c r="A46" s="4" t="str">
        <f>'Reference Score Calculation'!A272</f>
        <v>JS6212</v>
      </c>
      <c r="B46" s="4" t="str">
        <f>'Reference Score Calculation'!C272</f>
        <v>文理學士學位</v>
      </c>
      <c r="C46" s="4" t="str">
        <f>'Reference Score Calculation'!D272</f>
        <v>文理學士</v>
      </c>
      <c r="D46" s="4" t="str">
        <f>'Reference Score Calculation'!R272</f>
        <v xml:space="preserve">	BASc</v>
      </c>
      <c r="E46" s="392" t="str">
        <f>'Reference Score Calculation'!AB272</f>
        <v>Best 5</v>
      </c>
      <c r="F46" s="365" t="str">
        <f>'Reference Score Calculation'!E272</f>
        <v>Best 5</v>
      </c>
      <c r="G46" s="6">
        <f>'Reference Score Calculation'!G272</f>
        <v>32</v>
      </c>
      <c r="H46" s="6">
        <f>'Reference Score Calculation'!H272</f>
        <v>32</v>
      </c>
      <c r="I46" s="6">
        <f>'Reference Score Calculation'!I272</f>
        <v>30</v>
      </c>
      <c r="J46" s="45">
        <f>計分版!J295</f>
        <v>3.9500000000000006E-9</v>
      </c>
      <c r="K46" s="25">
        <f t="shared" si="0"/>
        <v>-31.999999996050001</v>
      </c>
      <c r="L46" s="26">
        <f t="shared" si="1"/>
        <v>-8101265821.7848091</v>
      </c>
      <c r="M46" s="36">
        <f>'Reference Score Calculation'!T272</f>
        <v>24</v>
      </c>
      <c r="N46" s="54">
        <f>入學要求!Z281</f>
        <v>0</v>
      </c>
      <c r="O46" s="516"/>
      <c r="P46" s="275">
        <f>入學要求!L281</f>
        <v>3</v>
      </c>
      <c r="Q46" s="275">
        <f>入學要求!M281</f>
        <v>5</v>
      </c>
      <c r="R46" s="275">
        <f>入學要求!N281</f>
        <v>2</v>
      </c>
      <c r="S46" s="275">
        <f>入學要求!O281</f>
        <v>1</v>
      </c>
      <c r="T46" s="275">
        <f>入學要求!P281</f>
        <v>3</v>
      </c>
      <c r="U46" s="275">
        <f>入學要求!Q281</f>
        <v>3</v>
      </c>
      <c r="V46" s="256">
        <f>入學要求!S281</f>
        <v>0</v>
      </c>
      <c r="W46" s="256">
        <f>入學要求!T281</f>
        <v>0</v>
      </c>
      <c r="X46" s="256">
        <f>入學要求!U281</f>
        <v>0</v>
      </c>
      <c r="Y46" s="256">
        <f>入學要求!V281</f>
        <v>0</v>
      </c>
      <c r="Z46" s="256">
        <f>入學要求!W281</f>
        <v>0</v>
      </c>
      <c r="AA46" s="256">
        <f>入學要求!X281</f>
        <v>0</v>
      </c>
      <c r="AB46" s="36">
        <f t="shared" si="2"/>
        <v>79.400000000000006</v>
      </c>
      <c r="AC46" s="510"/>
      <c r="AD46" s="36" cm="1">
        <f t="array" ref="AD46">IFERROR(INDEX('Offer Statistics'!DA$2:DA$400,MATCH(1,($A46='Offer Statistics'!$CL$2:$CL$400)*($AC$2='Offer Statistics'!$CM$2:$CM$400),0)),"/")</f>
        <v>5</v>
      </c>
      <c r="AE46" s="64" cm="1">
        <f t="array" ref="AE46">IFERROR(INDEX('Offer Statistics'!CV$2:CV$400,MATCH(1,($A46='Offer Statistics'!$CL$2:$CL$400)*($AC$2='Offer Statistics'!$CM$2:$CM$400),0)),"/")</f>
        <v>5</v>
      </c>
      <c r="AF46" s="64" cm="1">
        <f t="array" ref="AF46">IFERROR(INDEX('Offer Statistics'!CW$2:CW$400,MATCH(1,($A46='Offer Statistics'!$CL$2:$CL$400)*($AC$2='Offer Statistics'!$CM$2:$CM$400),0)),"/")</f>
        <v>0</v>
      </c>
      <c r="AG46" s="64" cm="1">
        <f t="array" ref="AG46">IFERROR(INDEX('Offer Statistics'!CX$2:CX$400,MATCH(1,($A46='Offer Statistics'!$CL$2:$CL$400)*($AC$2='Offer Statistics'!$CM$2:$CM$400),0)),"/")</f>
        <v>0</v>
      </c>
      <c r="AH46" s="64" cm="1">
        <f t="array" ref="AH46">IFERROR(INDEX('Offer Statistics'!CY$2:CY$400,MATCH(1,($A46='Offer Statistics'!$CL$2:$CL$400)*($AC$2='Offer Statistics'!$CM$2:$CM$400),0)),"/")</f>
        <v>0</v>
      </c>
      <c r="AI46" s="64" cm="1">
        <f t="array" ref="AI46">IFERROR(INDEX('Offer Statistics'!CZ$2:CZ$400,MATCH(1,($A46='Offer Statistics'!$CL$2:$CL$400)*($AC$2='Offer Statistics'!$CM$2:$CM$400),0)),"/")</f>
        <v>0</v>
      </c>
      <c r="AJ46" s="511"/>
      <c r="AK46" s="36" cm="1">
        <f t="array" ref="AK46">IFERROR(INDEX('Offer Statistics'!CS$2:CS$400,MATCH(1,($A46='Offer Statistics'!$CL$2:$CL$400)*($AC$2='Offer Statistics'!$CM$2:$CM$400),0)),"/")</f>
        <v>397</v>
      </c>
      <c r="AL46" s="64" cm="1">
        <f t="array" ref="AL46">IFERROR(INDEX('Offer Statistics'!CN$2:CN$400,MATCH(1,($A46='Offer Statistics'!$CL$2:$CL$400)*($AC$2='Offer Statistics'!$CM$2:$CM$400),0)),"/")</f>
        <v>25</v>
      </c>
      <c r="AM46" s="64" cm="1">
        <f t="array" ref="AM46">IFERROR(INDEX('Offer Statistics'!CO$2:CO$400,MATCH(1,($A46='Offer Statistics'!$CL$2:$CL$400)*($AC$2='Offer Statistics'!$CM$2:$CM$400),0)),"/")</f>
        <v>28</v>
      </c>
      <c r="AN46" s="64" cm="1">
        <f t="array" ref="AN46">IFERROR(INDEX('Offer Statistics'!CP$2:CP$400,MATCH(1,($A46='Offer Statistics'!$CL$2:$CL$400)*($AC$2='Offer Statistics'!$CM$2:$CM$400),0)),"/")</f>
        <v>74</v>
      </c>
      <c r="AO46" s="64" cm="1">
        <f t="array" ref="AO46">IFERROR(INDEX('Offer Statistics'!CQ$2:CQ$400,MATCH(1,($A46='Offer Statistics'!$CL$2:$CL$400)*($AC$2='Offer Statistics'!$CM$2:$CM$400),0)),"/")</f>
        <v>130</v>
      </c>
      <c r="AP46" s="64" cm="1">
        <f t="array" ref="AP46">IFERROR(INDEX('Offer Statistics'!CR$2:CR$400,MATCH(1,($A46='Offer Statistics'!$CL$2:$CL$400)*($AC$2='Offer Statistics'!$CM$2:$CM$400),0)),"/")</f>
        <v>140</v>
      </c>
      <c r="AR46" s="15" t="str">
        <f t="shared" si="3"/>
        <v>JS6212</v>
      </c>
    </row>
    <row r="47" spans="1:44" ht="18" customHeight="1">
      <c r="A47" s="4" t="str">
        <f>'Reference Score Calculation'!A273</f>
        <v>JS6224</v>
      </c>
      <c r="B47" s="4" t="str">
        <f>'Reference Score Calculation'!C273</f>
        <v>文理學士學位</v>
      </c>
      <c r="C47" s="4" t="str">
        <f>'Reference Score Calculation'!D273</f>
        <v>文理學士(應用人工智能)</v>
      </c>
      <c r="D47" s="4" t="str">
        <f>'Reference Score Calculation'!R273</f>
        <v>BASc(AppliedAI)</v>
      </c>
      <c r="E47" s="392" t="str">
        <f>'Reference Score Calculation'!AB273</f>
        <v>Best 5</v>
      </c>
      <c r="F47" s="365" t="str">
        <f>'Reference Score Calculation'!E273</f>
        <v>Best 5</v>
      </c>
      <c r="G47" s="6">
        <f>'Reference Score Calculation'!G273</f>
        <v>57</v>
      </c>
      <c r="H47" s="6">
        <f>'Reference Score Calculation'!H273</f>
        <v>53</v>
      </c>
      <c r="I47" s="6">
        <f>'Reference Score Calculation'!I273</f>
        <v>50</v>
      </c>
      <c r="J47" s="45">
        <f>計分版!J296</f>
        <v>3.7E-9</v>
      </c>
      <c r="K47" s="25">
        <f t="shared" si="0"/>
        <v>-52.999999996299998</v>
      </c>
      <c r="L47" s="26">
        <f t="shared" si="1"/>
        <v>-14324324323.324324</v>
      </c>
      <c r="M47" s="36">
        <f>'Reference Score Calculation'!T273</f>
        <v>15</v>
      </c>
      <c r="N47" s="54">
        <f>入學要求!Z282</f>
        <v>0</v>
      </c>
      <c r="O47" s="516"/>
      <c r="P47" s="275">
        <f>入學要求!L282</f>
        <v>3</v>
      </c>
      <c r="Q47" s="275">
        <f>入學要求!M282</f>
        <v>4</v>
      </c>
      <c r="R47" s="275">
        <f>入學要求!N282</f>
        <v>4</v>
      </c>
      <c r="S47" s="275">
        <f>入學要求!O282</f>
        <v>1</v>
      </c>
      <c r="T47" s="275">
        <f>入學要求!P282</f>
        <v>3</v>
      </c>
      <c r="U47" s="275">
        <f>入學要求!Q282</f>
        <v>4</v>
      </c>
      <c r="V47" s="256">
        <f>入學要求!S282</f>
        <v>0</v>
      </c>
      <c r="W47" s="256">
        <f>入學要求!T282</f>
        <v>0</v>
      </c>
      <c r="X47" s="256">
        <f>入學要求!U282</f>
        <v>0</v>
      </c>
      <c r="Y47" s="256">
        <f>入學要求!V282</f>
        <v>0</v>
      </c>
      <c r="Z47" s="256">
        <f>入學要求!W282</f>
        <v>0</v>
      </c>
      <c r="AA47" s="256">
        <f>入學要求!X282</f>
        <v>0</v>
      </c>
      <c r="AB47" s="36">
        <f t="shared" si="2"/>
        <v>24.52</v>
      </c>
      <c r="AC47" s="510"/>
      <c r="AD47" s="36" cm="1">
        <f t="array" ref="AD47">IFERROR(INDEX('Offer Statistics'!DA$2:DA$400,MATCH(1,($A47='Offer Statistics'!$CL$2:$CL$400)*($AC$2='Offer Statistics'!$CM$2:$CM$400),0)),"/")</f>
        <v>25</v>
      </c>
      <c r="AE47" s="64" cm="1">
        <f t="array" ref="AE47">IFERROR(INDEX('Offer Statistics'!CV$2:CV$400,MATCH(1,($A47='Offer Statistics'!$CL$2:$CL$400)*($AC$2='Offer Statistics'!$CM$2:$CM$400),0)),"/")</f>
        <v>25</v>
      </c>
      <c r="AF47" s="64" cm="1">
        <f t="array" ref="AF47">IFERROR(INDEX('Offer Statistics'!CW$2:CW$400,MATCH(1,($A47='Offer Statistics'!$CL$2:$CL$400)*($AC$2='Offer Statistics'!$CM$2:$CM$400),0)),"/")</f>
        <v>0</v>
      </c>
      <c r="AG47" s="64" cm="1">
        <f t="array" ref="AG47">IFERROR(INDEX('Offer Statistics'!CX$2:CX$400,MATCH(1,($A47='Offer Statistics'!$CL$2:$CL$400)*($AC$2='Offer Statistics'!$CM$2:$CM$400),0)),"/")</f>
        <v>0</v>
      </c>
      <c r="AH47" s="64" cm="1">
        <f t="array" ref="AH47">IFERROR(INDEX('Offer Statistics'!CY$2:CY$400,MATCH(1,($A47='Offer Statistics'!$CL$2:$CL$400)*($AC$2='Offer Statistics'!$CM$2:$CM$400),0)),"/")</f>
        <v>0</v>
      </c>
      <c r="AI47" s="64" cm="1">
        <f t="array" ref="AI47">IFERROR(INDEX('Offer Statistics'!CZ$2:CZ$400,MATCH(1,($A47='Offer Statistics'!$CL$2:$CL$400)*($AC$2='Offer Statistics'!$CM$2:$CM$400),0)),"/")</f>
        <v>0</v>
      </c>
      <c r="AJ47" s="511"/>
      <c r="AK47" s="36" cm="1">
        <f t="array" ref="AK47">IFERROR(INDEX('Offer Statistics'!CS$2:CS$400,MATCH(1,($A47='Offer Statistics'!$CL$2:$CL$400)*($AC$2='Offer Statistics'!$CM$2:$CM$400),0)),"/")</f>
        <v>613</v>
      </c>
      <c r="AL47" s="64" cm="1">
        <f t="array" ref="AL47">IFERROR(INDEX('Offer Statistics'!CN$2:CN$400,MATCH(1,($A47='Offer Statistics'!$CL$2:$CL$400)*($AC$2='Offer Statistics'!$CM$2:$CM$400),0)),"/")</f>
        <v>59</v>
      </c>
      <c r="AM47" s="64" cm="1">
        <f t="array" ref="AM47">IFERROR(INDEX('Offer Statistics'!CO$2:CO$400,MATCH(1,($A47='Offer Statistics'!$CL$2:$CL$400)*($AC$2='Offer Statistics'!$CM$2:$CM$400),0)),"/")</f>
        <v>67</v>
      </c>
      <c r="AN47" s="64" cm="1">
        <f t="array" ref="AN47">IFERROR(INDEX('Offer Statistics'!CP$2:CP$400,MATCH(1,($A47='Offer Statistics'!$CL$2:$CL$400)*($AC$2='Offer Statistics'!$CM$2:$CM$400),0)),"/")</f>
        <v>105</v>
      </c>
      <c r="AO47" s="64" cm="1">
        <f t="array" ref="AO47">IFERROR(INDEX('Offer Statistics'!CQ$2:CQ$400,MATCH(1,($A47='Offer Statistics'!$CL$2:$CL$400)*($AC$2='Offer Statistics'!$CM$2:$CM$400),0)),"/")</f>
        <v>192</v>
      </c>
      <c r="AP47" s="64" cm="1">
        <f t="array" ref="AP47">IFERROR(INDEX('Offer Statistics'!CR$2:CR$400,MATCH(1,($A47='Offer Statistics'!$CL$2:$CL$400)*($AC$2='Offer Statistics'!$CM$2:$CM$400),0)),"/")</f>
        <v>190</v>
      </c>
      <c r="AR47" s="15" t="str">
        <f t="shared" si="3"/>
        <v>JS6224</v>
      </c>
    </row>
    <row r="48" spans="1:44" ht="18" customHeight="1">
      <c r="A48" s="4" t="str">
        <f>'Reference Score Calculation'!A274</f>
        <v>JS6236</v>
      </c>
      <c r="B48" s="4" t="str">
        <f>'Reference Score Calculation'!C274</f>
        <v>文理學士學位</v>
      </c>
      <c r="C48" s="4" t="str">
        <f>'Reference Score Calculation'!D274</f>
        <v>文理學士(設計＋)</v>
      </c>
      <c r="D48" s="4" t="str">
        <f>'Reference Score Calculation'!R274</f>
        <v xml:space="preserve">	BASc(Design+)</v>
      </c>
      <c r="E48" s="392" t="str">
        <f>'Reference Score Calculation'!AB274</f>
        <v>Best 5</v>
      </c>
      <c r="F48" s="365" t="str">
        <f>'Reference Score Calculation'!E274</f>
        <v>Best 6</v>
      </c>
      <c r="G48" s="6">
        <f>'Reference Score Calculation'!G274</f>
        <v>35</v>
      </c>
      <c r="H48" s="6">
        <f>'Reference Score Calculation'!H274</f>
        <v>35</v>
      </c>
      <c r="I48" s="6">
        <f>'Reference Score Calculation'!I274</f>
        <v>35</v>
      </c>
      <c r="J48" s="45">
        <f>計分版!J297</f>
        <v>4.3500000000000001E-9</v>
      </c>
      <c r="K48" s="25">
        <f t="shared" si="0"/>
        <v>-34.999999995650001</v>
      </c>
      <c r="L48" s="26">
        <f t="shared" si="1"/>
        <v>-8045977010.4942532</v>
      </c>
      <c r="M48" s="36">
        <f>'Reference Score Calculation'!T274</f>
        <v>13</v>
      </c>
      <c r="N48" s="54">
        <f>入學要求!Z283</f>
        <v>0</v>
      </c>
      <c r="O48" s="516"/>
      <c r="P48" s="275">
        <f>入學要求!L283</f>
        <v>3</v>
      </c>
      <c r="Q48" s="275">
        <f>入學要求!M283</f>
        <v>4</v>
      </c>
      <c r="R48" s="275">
        <f>入學要求!N283</f>
        <v>2</v>
      </c>
      <c r="S48" s="275">
        <f>入學要求!O283</f>
        <v>1</v>
      </c>
      <c r="T48" s="275">
        <f>入學要求!P283</f>
        <v>3</v>
      </c>
      <c r="U48" s="275">
        <f>入學要求!Q283</f>
        <v>3</v>
      </c>
      <c r="V48" s="256">
        <f>入學要求!S283</f>
        <v>0</v>
      </c>
      <c r="W48" s="256">
        <f>入學要求!T283</f>
        <v>0</v>
      </c>
      <c r="X48" s="256">
        <f>入學要求!U283</f>
        <v>0</v>
      </c>
      <c r="Y48" s="256">
        <f>入學要求!V283</f>
        <v>0</v>
      </c>
      <c r="Z48" s="256">
        <f>入學要求!W283</f>
        <v>0</v>
      </c>
      <c r="AA48" s="256">
        <f>入學要求!X283</f>
        <v>0</v>
      </c>
      <c r="AB48" s="36">
        <f t="shared" si="2"/>
        <v>274.5</v>
      </c>
      <c r="AC48" s="510"/>
      <c r="AD48" s="36" cm="1">
        <f t="array" ref="AD48">IFERROR(INDEX('Offer Statistics'!DA$2:DA$400,MATCH(1,($A48='Offer Statistics'!$CL$2:$CL$400)*($AC$2='Offer Statistics'!$CM$2:$CM$400),0)),"/")</f>
        <v>2</v>
      </c>
      <c r="AE48" s="64" cm="1">
        <f t="array" ref="AE48">IFERROR(INDEX('Offer Statistics'!CV$2:CV$400,MATCH(1,($A48='Offer Statistics'!$CL$2:$CL$400)*($AC$2='Offer Statistics'!$CM$2:$CM$400),0)),"/")</f>
        <v>2</v>
      </c>
      <c r="AF48" s="64" cm="1">
        <f t="array" ref="AF48">IFERROR(INDEX('Offer Statistics'!CW$2:CW$400,MATCH(1,($A48='Offer Statistics'!$CL$2:$CL$400)*($AC$2='Offer Statistics'!$CM$2:$CM$400),0)),"/")</f>
        <v>0</v>
      </c>
      <c r="AG48" s="64" cm="1">
        <f t="array" ref="AG48">IFERROR(INDEX('Offer Statistics'!CX$2:CX$400,MATCH(1,($A48='Offer Statistics'!$CL$2:$CL$400)*($AC$2='Offer Statistics'!$CM$2:$CM$400),0)),"/")</f>
        <v>0</v>
      </c>
      <c r="AH48" s="64" cm="1">
        <f t="array" ref="AH48">IFERROR(INDEX('Offer Statistics'!CY$2:CY$400,MATCH(1,($A48='Offer Statistics'!$CL$2:$CL$400)*($AC$2='Offer Statistics'!$CM$2:$CM$400),0)),"/")</f>
        <v>0</v>
      </c>
      <c r="AI48" s="64" cm="1">
        <f t="array" ref="AI48">IFERROR(INDEX('Offer Statistics'!CZ$2:CZ$400,MATCH(1,($A48='Offer Statistics'!$CL$2:$CL$400)*($AC$2='Offer Statistics'!$CM$2:$CM$400),0)),"/")</f>
        <v>0</v>
      </c>
      <c r="AJ48" s="511"/>
      <c r="AK48" s="36" cm="1">
        <f t="array" ref="AK48">IFERROR(INDEX('Offer Statistics'!CS$2:CS$400,MATCH(1,($A48='Offer Statistics'!$CL$2:$CL$400)*($AC$2='Offer Statistics'!$CM$2:$CM$400),0)),"/")</f>
        <v>549</v>
      </c>
      <c r="AL48" s="64" cm="1">
        <f t="array" ref="AL48">IFERROR(INDEX('Offer Statistics'!CN$2:CN$400,MATCH(1,($A48='Offer Statistics'!$CL$2:$CL$400)*($AC$2='Offer Statistics'!$CM$2:$CM$400),0)),"/")</f>
        <v>33</v>
      </c>
      <c r="AM48" s="64" cm="1">
        <f t="array" ref="AM48">IFERROR(INDEX('Offer Statistics'!CO$2:CO$400,MATCH(1,($A48='Offer Statistics'!$CL$2:$CL$400)*($AC$2='Offer Statistics'!$CM$2:$CM$400),0)),"/")</f>
        <v>75</v>
      </c>
      <c r="AN48" s="64" cm="1">
        <f t="array" ref="AN48">IFERROR(INDEX('Offer Statistics'!CP$2:CP$400,MATCH(1,($A48='Offer Statistics'!$CL$2:$CL$400)*($AC$2='Offer Statistics'!$CM$2:$CM$400),0)),"/")</f>
        <v>126</v>
      </c>
      <c r="AO48" s="64" cm="1">
        <f t="array" ref="AO48">IFERROR(INDEX('Offer Statistics'!CQ$2:CQ$400,MATCH(1,($A48='Offer Statistics'!$CL$2:$CL$400)*($AC$2='Offer Statistics'!$CM$2:$CM$400),0)),"/")</f>
        <v>153</v>
      </c>
      <c r="AP48" s="64" cm="1">
        <f t="array" ref="AP48">IFERROR(INDEX('Offer Statistics'!CR$2:CR$400,MATCH(1,($A48='Offer Statistics'!$CL$2:$CL$400)*($AC$2='Offer Statistics'!$CM$2:$CM$400),0)),"/")</f>
        <v>162</v>
      </c>
      <c r="AR48" s="15" t="str">
        <f t="shared" si="3"/>
        <v>JS6236</v>
      </c>
    </row>
    <row r="49" spans="1:44" ht="18" customHeight="1">
      <c r="A49" s="4" t="str">
        <f>'Reference Score Calculation'!A275</f>
        <v>JS6248</v>
      </c>
      <c r="B49" s="4" t="str">
        <f>'Reference Score Calculation'!C275</f>
        <v>文理學士學位</v>
      </c>
      <c r="C49" s="4" t="str">
        <f>'Reference Score Calculation'!D275</f>
        <v>文理學士(金融科技)</v>
      </c>
      <c r="D49" s="4" t="str">
        <f>'Reference Score Calculation'!R275</f>
        <v xml:space="preserve">	BASc(FinTech)</v>
      </c>
      <c r="E49" s="392" t="str">
        <f>'Reference Score Calculation'!AB275</f>
        <v>Best 5</v>
      </c>
      <c r="F49" s="365" t="str">
        <f>'Reference Score Calculation'!E275</f>
        <v>Best 6</v>
      </c>
      <c r="G49" s="6">
        <f>'Reference Score Calculation'!G275</f>
        <v>37</v>
      </c>
      <c r="H49" s="6">
        <f>'Reference Score Calculation'!H275</f>
        <v>36</v>
      </c>
      <c r="I49" s="6">
        <f>'Reference Score Calculation'!I275</f>
        <v>35</v>
      </c>
      <c r="J49" s="45">
        <f>計分版!J298</f>
        <v>3.8500000000000006E-9</v>
      </c>
      <c r="K49" s="25">
        <f t="shared" si="0"/>
        <v>-35.999999996150002</v>
      </c>
      <c r="L49" s="26">
        <f t="shared" si="1"/>
        <v>-9350649349.6493492</v>
      </c>
      <c r="M49" s="36">
        <f>'Reference Score Calculation'!T275</f>
        <v>24</v>
      </c>
      <c r="N49" s="54">
        <f>入學要求!Z284</f>
        <v>0</v>
      </c>
      <c r="O49" s="516"/>
      <c r="P49" s="275">
        <f>入學要求!L284</f>
        <v>3</v>
      </c>
      <c r="Q49" s="275">
        <f>入學要求!M284</f>
        <v>4</v>
      </c>
      <c r="R49" s="275">
        <f>入學要求!N284</f>
        <v>3</v>
      </c>
      <c r="S49" s="275">
        <f>入學要求!O284</f>
        <v>1</v>
      </c>
      <c r="T49" s="275">
        <f>入學要求!P284</f>
        <v>3</v>
      </c>
      <c r="U49" s="275">
        <f>入學要求!Q284</f>
        <v>3</v>
      </c>
      <c r="V49" s="256">
        <f>入學要求!S284</f>
        <v>0</v>
      </c>
      <c r="W49" s="256">
        <f>入學要求!T284</f>
        <v>0</v>
      </c>
      <c r="X49" s="256">
        <f>入學要求!U284</f>
        <v>0</v>
      </c>
      <c r="Y49" s="256">
        <f>入學要求!V284</f>
        <v>0</v>
      </c>
      <c r="Z49" s="256">
        <f>入學要求!W284</f>
        <v>0</v>
      </c>
      <c r="AA49" s="256">
        <f>入學要求!X284</f>
        <v>0</v>
      </c>
      <c r="AB49" s="36">
        <f t="shared" si="2"/>
        <v>22.32</v>
      </c>
      <c r="AC49" s="510"/>
      <c r="AD49" s="36" cm="1">
        <f t="array" ref="AD49">IFERROR(INDEX('Offer Statistics'!DA$2:DA$400,MATCH(1,($A49='Offer Statistics'!$CL$2:$CL$400)*($AC$2='Offer Statistics'!$CM$2:$CM$400),0)),"/")</f>
        <v>22</v>
      </c>
      <c r="AE49" s="64" cm="1">
        <f t="array" ref="AE49">IFERROR(INDEX('Offer Statistics'!CV$2:CV$400,MATCH(1,($A49='Offer Statistics'!$CL$2:$CL$400)*($AC$2='Offer Statistics'!$CM$2:$CM$400),0)),"/")</f>
        <v>22</v>
      </c>
      <c r="AF49" s="64" cm="1">
        <f t="array" ref="AF49">IFERROR(INDEX('Offer Statistics'!CW$2:CW$400,MATCH(1,($A49='Offer Statistics'!$CL$2:$CL$400)*($AC$2='Offer Statistics'!$CM$2:$CM$400),0)),"/")</f>
        <v>0</v>
      </c>
      <c r="AG49" s="64" cm="1">
        <f t="array" ref="AG49">IFERROR(INDEX('Offer Statistics'!CX$2:CX$400,MATCH(1,($A49='Offer Statistics'!$CL$2:$CL$400)*($AC$2='Offer Statistics'!$CM$2:$CM$400),0)),"/")</f>
        <v>0</v>
      </c>
      <c r="AH49" s="64" cm="1">
        <f t="array" ref="AH49">IFERROR(INDEX('Offer Statistics'!CY$2:CY$400,MATCH(1,($A49='Offer Statistics'!$CL$2:$CL$400)*($AC$2='Offer Statistics'!$CM$2:$CM$400),0)),"/")</f>
        <v>0</v>
      </c>
      <c r="AI49" s="64" cm="1">
        <f t="array" ref="AI49">IFERROR(INDEX('Offer Statistics'!CZ$2:CZ$400,MATCH(1,($A49='Offer Statistics'!$CL$2:$CL$400)*($AC$2='Offer Statistics'!$CM$2:$CM$400),0)),"/")</f>
        <v>0</v>
      </c>
      <c r="AJ49" s="511"/>
      <c r="AK49" s="36" cm="1">
        <f t="array" ref="AK49">IFERROR(INDEX('Offer Statistics'!CS$2:CS$400,MATCH(1,($A49='Offer Statistics'!$CL$2:$CL$400)*($AC$2='Offer Statistics'!$CM$2:$CM$400),0)),"/")</f>
        <v>491</v>
      </c>
      <c r="AL49" s="64" cm="1">
        <f t="array" ref="AL49">IFERROR(INDEX('Offer Statistics'!CN$2:CN$400,MATCH(1,($A49='Offer Statistics'!$CL$2:$CL$400)*($AC$2='Offer Statistics'!$CM$2:$CM$400),0)),"/")</f>
        <v>57</v>
      </c>
      <c r="AM49" s="64" cm="1">
        <f t="array" ref="AM49">IFERROR(INDEX('Offer Statistics'!CO$2:CO$400,MATCH(1,($A49='Offer Statistics'!$CL$2:$CL$400)*($AC$2='Offer Statistics'!$CM$2:$CM$400),0)),"/")</f>
        <v>49</v>
      </c>
      <c r="AN49" s="64" cm="1">
        <f t="array" ref="AN49">IFERROR(INDEX('Offer Statistics'!CP$2:CP$400,MATCH(1,($A49='Offer Statistics'!$CL$2:$CL$400)*($AC$2='Offer Statistics'!$CM$2:$CM$400),0)),"/")</f>
        <v>101</v>
      </c>
      <c r="AO49" s="64" cm="1">
        <f t="array" ref="AO49">IFERROR(INDEX('Offer Statistics'!CQ$2:CQ$400,MATCH(1,($A49='Offer Statistics'!$CL$2:$CL$400)*($AC$2='Offer Statistics'!$CM$2:$CM$400),0)),"/")</f>
        <v>144</v>
      </c>
      <c r="AP49" s="64" cm="1">
        <f t="array" ref="AP49">IFERROR(INDEX('Offer Statistics'!CR$2:CR$400,MATCH(1,($A49='Offer Statistics'!$CL$2:$CL$400)*($AC$2='Offer Statistics'!$CM$2:$CM$400),0)),"/")</f>
        <v>140</v>
      </c>
      <c r="AR49" s="15" t="str">
        <f t="shared" si="3"/>
        <v>JS6248</v>
      </c>
    </row>
    <row r="50" spans="1:44" ht="18" customHeight="1">
      <c r="A50" s="4" t="str">
        <f>'Reference Score Calculation'!A276</f>
        <v>JS6250</v>
      </c>
      <c r="B50" s="4" t="str">
        <f>'Reference Score Calculation'!C276</f>
        <v>文理學士學位</v>
      </c>
      <c r="C50" s="4" t="str">
        <f>'Reference Score Calculation'!D276</f>
        <v>文理學士(環球衞生及發展)</v>
      </c>
      <c r="D50" s="4" t="str">
        <f>'Reference Score Calculation'!R276</f>
        <v xml:space="preserve">	BASc(GHD)</v>
      </c>
      <c r="E50" s="392" t="str">
        <f>'Reference Score Calculation'!AB276</f>
        <v>Best 5</v>
      </c>
      <c r="F50" s="365" t="str">
        <f>'Reference Score Calculation'!E276</f>
        <v>Best 5</v>
      </c>
      <c r="G50" s="6">
        <f>'Reference Score Calculation'!G276</f>
        <v>30</v>
      </c>
      <c r="H50" s="6">
        <f>'Reference Score Calculation'!H276</f>
        <v>28</v>
      </c>
      <c r="I50" s="6">
        <f>'Reference Score Calculation'!I276</f>
        <v>28</v>
      </c>
      <c r="J50" s="45">
        <f>計分版!J299</f>
        <v>3.9500000000000006E-9</v>
      </c>
      <c r="K50" s="25">
        <f t="shared" si="0"/>
        <v>-27.999999996050001</v>
      </c>
      <c r="L50" s="26">
        <f t="shared" si="1"/>
        <v>-7088607593.9367075</v>
      </c>
      <c r="M50" s="36">
        <f>'Reference Score Calculation'!T276</f>
        <v>18</v>
      </c>
      <c r="N50" s="54">
        <f>入學要求!Z285</f>
        <v>0</v>
      </c>
      <c r="O50" s="516"/>
      <c r="P50" s="276">
        <f>入學要求!L285</f>
        <v>3</v>
      </c>
      <c r="Q50" s="276">
        <f>入學要求!M285</f>
        <v>4</v>
      </c>
      <c r="R50" s="276">
        <f>入學要求!N285</f>
        <v>2</v>
      </c>
      <c r="S50" s="276">
        <f>入學要求!O285</f>
        <v>1</v>
      </c>
      <c r="T50" s="276">
        <f>入學要求!P285</f>
        <v>3</v>
      </c>
      <c r="U50" s="276">
        <f>入學要求!Q285</f>
        <v>3</v>
      </c>
      <c r="V50" s="256">
        <f>入學要求!S285</f>
        <v>0</v>
      </c>
      <c r="W50" s="256">
        <f>入學要求!T285</f>
        <v>0</v>
      </c>
      <c r="X50" s="256">
        <f>入學要求!U285</f>
        <v>0</v>
      </c>
      <c r="Y50" s="256">
        <f>入學要求!V285</f>
        <v>0</v>
      </c>
      <c r="Z50" s="256">
        <f>入學要求!W285</f>
        <v>0</v>
      </c>
      <c r="AA50" s="256">
        <f>入學要求!X285</f>
        <v>0</v>
      </c>
      <c r="AB50" s="36">
        <f t="shared" si="2"/>
        <v>80</v>
      </c>
      <c r="AC50" s="510"/>
      <c r="AD50" s="36" cm="1">
        <f t="array" ref="AD50">IFERROR(INDEX('Offer Statistics'!DA$2:DA$400,MATCH(1,($A50='Offer Statistics'!$CL$2:$CL$400)*($AC$2='Offer Statistics'!$CM$2:$CM$400),0)),"/")</f>
        <v>4</v>
      </c>
      <c r="AE50" s="64" cm="1">
        <f t="array" ref="AE50">IFERROR(INDEX('Offer Statistics'!CV$2:CV$400,MATCH(1,($A50='Offer Statistics'!$CL$2:$CL$400)*($AC$2='Offer Statistics'!$CM$2:$CM$400),0)),"/")</f>
        <v>4</v>
      </c>
      <c r="AF50" s="64" cm="1">
        <f t="array" ref="AF50">IFERROR(INDEX('Offer Statistics'!CW$2:CW$400,MATCH(1,($A50='Offer Statistics'!$CL$2:$CL$400)*($AC$2='Offer Statistics'!$CM$2:$CM$400),0)),"/")</f>
        <v>0</v>
      </c>
      <c r="AG50" s="64" cm="1">
        <f t="array" ref="AG50">IFERROR(INDEX('Offer Statistics'!CX$2:CX$400,MATCH(1,($A50='Offer Statistics'!$CL$2:$CL$400)*($AC$2='Offer Statistics'!$CM$2:$CM$400),0)),"/")</f>
        <v>0</v>
      </c>
      <c r="AH50" s="64" cm="1">
        <f t="array" ref="AH50">IFERROR(INDEX('Offer Statistics'!CY$2:CY$400,MATCH(1,($A50='Offer Statistics'!$CL$2:$CL$400)*($AC$2='Offer Statistics'!$CM$2:$CM$400),0)),"/")</f>
        <v>0</v>
      </c>
      <c r="AI50" s="64" cm="1">
        <f t="array" ref="AI50">IFERROR(INDEX('Offer Statistics'!CZ$2:CZ$400,MATCH(1,($A50='Offer Statistics'!$CL$2:$CL$400)*($AC$2='Offer Statistics'!$CM$2:$CM$400),0)),"/")</f>
        <v>0</v>
      </c>
      <c r="AJ50" s="36"/>
      <c r="AK50" s="36" cm="1">
        <f t="array" ref="AK50">IFERROR(INDEX('Offer Statistics'!CS$2:CS$400,MATCH(1,($A50='Offer Statistics'!$CL$2:$CL$400)*($AC$2='Offer Statistics'!$CM$2:$CM$400),0)),"/")</f>
        <v>320</v>
      </c>
      <c r="AL50" s="64" cm="1">
        <f t="array" ref="AL50">IFERROR(INDEX('Offer Statistics'!CN$2:CN$400,MATCH(1,($A50='Offer Statistics'!$CL$2:$CL$400)*($AC$2='Offer Statistics'!$CM$2:$CM$400),0)),"/")</f>
        <v>14</v>
      </c>
      <c r="AM50" s="64" cm="1">
        <f t="array" ref="AM50">IFERROR(INDEX('Offer Statistics'!CO$2:CO$400,MATCH(1,($A50='Offer Statistics'!$CL$2:$CL$400)*($AC$2='Offer Statistics'!$CM$2:$CM$400),0)),"/")</f>
        <v>23</v>
      </c>
      <c r="AN50" s="64" cm="1">
        <f t="array" ref="AN50">IFERROR(INDEX('Offer Statistics'!CP$2:CP$400,MATCH(1,($A50='Offer Statistics'!$CL$2:$CL$400)*($AC$2='Offer Statistics'!$CM$2:$CM$400),0)),"/")</f>
        <v>52</v>
      </c>
      <c r="AO50" s="64" cm="1">
        <f t="array" ref="AO50">IFERROR(INDEX('Offer Statistics'!CQ$2:CQ$400,MATCH(1,($A50='Offer Statistics'!$CL$2:$CL$400)*($AC$2='Offer Statistics'!$CM$2:$CM$400),0)),"/")</f>
        <v>117</v>
      </c>
      <c r="AP50" s="64" cm="1">
        <f t="array" ref="AP50">IFERROR(INDEX('Offer Statistics'!CR$2:CR$400,MATCH(1,($A50='Offer Statistics'!$CL$2:$CL$400)*($AC$2='Offer Statistics'!$CM$2:$CM$400),0)),"/")</f>
        <v>114</v>
      </c>
      <c r="AR50" s="15" t="str">
        <f t="shared" si="3"/>
        <v>JS6250</v>
      </c>
    </row>
    <row r="51" spans="1:44" ht="18" customHeight="1">
      <c r="AE51" s="15"/>
    </row>
    <row r="52" spans="1:44" ht="18" customHeight="1">
      <c r="A52" s="4" t="s">
        <v>198</v>
      </c>
      <c r="AE52" s="15"/>
    </row>
    <row r="53" spans="1:44" ht="18" customHeight="1">
      <c r="A53" s="4" t="s">
        <v>199</v>
      </c>
      <c r="AE53" s="15"/>
    </row>
    <row r="54" spans="1:44" ht="18" customHeight="1">
      <c r="A54" s="4" t="s">
        <v>3254</v>
      </c>
      <c r="AE54" s="15"/>
    </row>
    <row r="55" spans="1:44" ht="18" customHeight="1">
      <c r="AE55" s="15"/>
    </row>
    <row r="56" spans="1:44" ht="18" customHeight="1">
      <c r="A56" s="4" t="s">
        <v>2805</v>
      </c>
      <c r="AE56" s="15"/>
    </row>
    <row r="57" spans="1:44" ht="18" customHeight="1">
      <c r="AE57" s="36" t="s">
        <v>200</v>
      </c>
    </row>
    <row r="58" spans="1:44" ht="18" customHeight="1">
      <c r="A58" s="387" t="s">
        <v>2840</v>
      </c>
      <c r="B58" s="4" t="s">
        <v>2841</v>
      </c>
      <c r="C58" s="23"/>
      <c r="E58" s="15"/>
      <c r="F58" s="15"/>
      <c r="G58" s="4"/>
      <c r="H58" s="4"/>
      <c r="J58" s="4"/>
      <c r="K58" s="4"/>
      <c r="L58" s="36"/>
      <c r="P58" s="4"/>
      <c r="Q58" s="4"/>
      <c r="R58" s="4"/>
      <c r="S58" s="4"/>
      <c r="T58" s="4"/>
      <c r="U58" s="4"/>
      <c r="AD58" s="4"/>
      <c r="AE58" s="4"/>
      <c r="AF58" s="4"/>
      <c r="AG58" s="4"/>
      <c r="AH58" s="4"/>
      <c r="AI58" s="4"/>
      <c r="AJ58" s="4"/>
      <c r="AK58" s="4"/>
      <c r="AL58" s="4"/>
      <c r="AM58" s="4"/>
      <c r="AN58" s="4"/>
      <c r="AO58" s="4"/>
      <c r="AP58" s="4"/>
      <c r="AR58" s="4"/>
    </row>
    <row r="59" spans="1:44" ht="18" customHeight="1">
      <c r="A59" s="23"/>
      <c r="B59" s="4" t="s">
        <v>2818</v>
      </c>
      <c r="C59" s="23"/>
      <c r="E59" s="15"/>
      <c r="F59" s="15"/>
      <c r="G59" s="4"/>
      <c r="H59" s="4"/>
      <c r="J59" s="4"/>
      <c r="K59" s="4"/>
      <c r="L59" s="36"/>
      <c r="P59" s="4"/>
      <c r="Q59" s="4"/>
      <c r="R59" s="4"/>
      <c r="S59" s="4"/>
      <c r="T59" s="4"/>
      <c r="U59" s="4"/>
      <c r="AD59" s="4"/>
      <c r="AE59" s="4"/>
      <c r="AF59" s="4"/>
      <c r="AG59" s="4"/>
      <c r="AH59" s="4"/>
      <c r="AI59" s="4"/>
      <c r="AJ59" s="4"/>
      <c r="AK59" s="4"/>
      <c r="AL59" s="4"/>
      <c r="AM59" s="4"/>
      <c r="AN59" s="4"/>
      <c r="AO59" s="4"/>
      <c r="AP59" s="4"/>
      <c r="AR59" s="4"/>
    </row>
    <row r="60" spans="1:44" ht="18" customHeight="1">
      <c r="A60" s="23"/>
      <c r="B60" s="474" t="s">
        <v>3132</v>
      </c>
      <c r="C60" s="23"/>
      <c r="E60" s="15"/>
      <c r="F60" s="15"/>
      <c r="G60" s="4"/>
      <c r="H60" s="4"/>
      <c r="J60" s="4"/>
      <c r="K60" s="4"/>
      <c r="L60" s="36"/>
      <c r="P60" s="4"/>
      <c r="Q60" s="4"/>
      <c r="R60" s="4"/>
      <c r="S60" s="4"/>
      <c r="T60" s="4"/>
      <c r="U60" s="4"/>
      <c r="AD60" s="4"/>
      <c r="AE60" s="4"/>
      <c r="AF60" s="4"/>
      <c r="AG60" s="4"/>
      <c r="AH60" s="4"/>
      <c r="AI60" s="4"/>
      <c r="AJ60" s="4"/>
      <c r="AK60" s="4"/>
      <c r="AL60" s="4"/>
      <c r="AM60" s="4"/>
      <c r="AN60" s="4"/>
      <c r="AO60" s="4"/>
      <c r="AP60" s="4"/>
      <c r="AR60" s="4"/>
    </row>
    <row r="61" spans="1:44" ht="18" customHeight="1">
      <c r="AE61" s="15"/>
    </row>
    <row r="62" spans="1:44" ht="18" customHeight="1">
      <c r="A62" s="23" t="s">
        <v>2806</v>
      </c>
      <c r="AE62" s="15"/>
    </row>
    <row r="63" spans="1:44" ht="18" customHeight="1">
      <c r="A63" s="284" t="s">
        <v>132</v>
      </c>
      <c r="AE63" s="15"/>
    </row>
    <row r="64" spans="1:44" ht="18" customHeight="1">
      <c r="A64" s="284"/>
      <c r="AE64" s="15"/>
    </row>
    <row r="65" spans="1:31" ht="18" customHeight="1">
      <c r="A65" s="3" t="s">
        <v>133</v>
      </c>
      <c r="AE65" s="15"/>
    </row>
    <row r="66" spans="1:31" ht="18" customHeight="1">
      <c r="A66" s="4" t="s">
        <v>201</v>
      </c>
      <c r="AE66" s="15"/>
    </row>
    <row r="67" spans="1:31" ht="18" customHeight="1">
      <c r="AE67" s="15"/>
    </row>
    <row r="68" spans="1:31" ht="18" customHeight="1">
      <c r="A68" s="4" t="s">
        <v>3094</v>
      </c>
      <c r="AE68" s="15"/>
    </row>
    <row r="69" spans="1:31" ht="18" customHeight="1">
      <c r="AE69" s="15"/>
    </row>
    <row r="70" spans="1:31" ht="18" customHeight="1">
      <c r="A70" s="3" t="s">
        <v>135</v>
      </c>
      <c r="AE70" s="15"/>
    </row>
    <row r="71" spans="1:31" ht="18" customHeight="1">
      <c r="A71" s="277" t="s">
        <v>202</v>
      </c>
      <c r="AE71" s="15"/>
    </row>
    <row r="72" spans="1:31" ht="18" customHeight="1">
      <c r="A72" s="277" t="s">
        <v>3256</v>
      </c>
      <c r="AE72" s="15"/>
    </row>
    <row r="73" spans="1:31" ht="18" customHeight="1">
      <c r="A73" s="277" t="s">
        <v>3255</v>
      </c>
      <c r="AE73" s="15"/>
    </row>
    <row r="74" spans="1:31" ht="18" customHeight="1">
      <c r="A74" s="46"/>
      <c r="AE74" s="15"/>
    </row>
    <row r="75" spans="1:31" ht="18" customHeight="1">
      <c r="A75" s="46"/>
      <c r="AE75" s="15"/>
    </row>
    <row r="76" spans="1:31">
      <c r="AE76" s="15"/>
    </row>
    <row r="77" spans="1:31">
      <c r="AE77" s="15"/>
    </row>
    <row r="78" spans="1:31">
      <c r="AE78" s="15"/>
    </row>
    <row r="79" spans="1:31">
      <c r="AE79" s="15"/>
    </row>
    <row r="80" spans="1:31">
      <c r="AE80" s="15"/>
    </row>
    <row r="81" spans="31:31">
      <c r="AE81" s="15"/>
    </row>
    <row r="82" spans="31:31">
      <c r="AE82" s="15"/>
    </row>
    <row r="83" spans="31:31">
      <c r="AE83" s="15"/>
    </row>
    <row r="84" spans="31:31">
      <c r="AE84" s="15"/>
    </row>
    <row r="85" spans="31:31">
      <c r="AE85" s="15"/>
    </row>
    <row r="86" spans="31:31">
      <c r="AE86" s="15"/>
    </row>
    <row r="87" spans="31:31">
      <c r="AE87" s="15"/>
    </row>
    <row r="88" spans="31:31">
      <c r="AE88" s="15"/>
    </row>
    <row r="89" spans="31:31">
      <c r="AE89" s="15"/>
    </row>
    <row r="90" spans="31:31"/>
    <row r="91" spans="31:31"/>
    <row r="92" spans="31:31"/>
    <row r="93" spans="31:31"/>
  </sheetData>
  <sheetProtection sheet="1" objects="1" scenarios="1" sort="0" autoFilter="0" pivotTables="0"/>
  <sortState xmlns:xlrd2="http://schemas.microsoft.com/office/spreadsheetml/2017/richdata2" ref="A1:AC48">
    <sortCondition ref="B1"/>
  </sortState>
  <mergeCells count="5">
    <mergeCell ref="K1:L1"/>
    <mergeCell ref="AJ2:AJ49"/>
    <mergeCell ref="AC2:AC50"/>
    <mergeCell ref="M8:M10"/>
    <mergeCell ref="O2:O50"/>
  </mergeCells>
  <phoneticPr fontId="3" type="noConversion"/>
  <conditionalFormatting sqref="F2:F50">
    <cfRule type="expression" dxfId="154" priority="1">
      <formula>MOD(ROW(),2)=0</formula>
    </cfRule>
  </conditionalFormatting>
  <conditionalFormatting sqref="G2:G50">
    <cfRule type="expression" dxfId="153" priority="72">
      <formula>$K$1="差距(UQ)"</formula>
    </cfRule>
  </conditionalFormatting>
  <conditionalFormatting sqref="G2:AR2 G3:N8 G9:L10 G11:N50 N9:N10 AD3:AR50 P3:AB50 A2:E50 V2:AA50">
    <cfRule type="expression" dxfId="152" priority="21726">
      <formula>MOD(ROW(),2)=0</formula>
    </cfRule>
  </conditionalFormatting>
  <conditionalFormatting sqref="H2:H50">
    <cfRule type="expression" dxfId="151" priority="71">
      <formula>$K$1="差距(Median)"</formula>
    </cfRule>
  </conditionalFormatting>
  <conditionalFormatting sqref="I2:I50">
    <cfRule type="expression" dxfId="150" priority="70">
      <formula>$K$1="差距(LQ)"</formula>
    </cfRule>
  </conditionalFormatting>
  <conditionalFormatting sqref="K2:L50">
    <cfRule type="cellIs" dxfId="149" priority="67" operator="equal">
      <formula>"/"</formula>
    </cfRule>
    <cfRule type="cellIs" dxfId="148" priority="68" operator="lessThan">
      <formula>0</formula>
    </cfRule>
    <cfRule type="cellIs" dxfId="147" priority="69" operator="greaterThan">
      <formula>0</formula>
    </cfRule>
  </conditionalFormatting>
  <conditionalFormatting sqref="N2:N50">
    <cfRule type="cellIs" dxfId="146" priority="64" operator="equal">
      <formula>2</formula>
    </cfRule>
    <cfRule type="cellIs" dxfId="145" priority="65" operator="equal">
      <formula>1</formula>
    </cfRule>
    <cfRule type="cellIs" dxfId="144" priority="66" operator="equal">
      <formula>0</formula>
    </cfRule>
  </conditionalFormatting>
  <conditionalFormatting sqref="P2:U50">
    <cfRule type="expression" dxfId="143" priority="2">
      <formula>V2=0</formula>
    </cfRule>
    <cfRule type="expression" dxfId="142" priority="3">
      <formula>V2=2</formula>
    </cfRule>
    <cfRule type="expression" dxfId="141" priority="4">
      <formula>V2=1</formula>
    </cfRule>
  </conditionalFormatting>
  <conditionalFormatting sqref="AC2 AJ2 AQ2:AQ50">
    <cfRule type="expression" dxfId="140" priority="15">
      <formula>TRUE</formula>
    </cfRule>
  </conditionalFormatting>
  <conditionalFormatting sqref="AC2">
    <cfRule type="expression" dxfId="139" priority="16">
      <formula>MOD(ROW(),2)=0</formula>
    </cfRule>
  </conditionalFormatting>
  <hyperlinks>
    <hyperlink ref="A73" r:id="rId1" xr:uid="{00000000-0004-0000-0C00-000002000000}"/>
    <hyperlink ref="A71" r:id="rId2" xr:uid="{00000000-0004-0000-0C00-000003000000}"/>
    <hyperlink ref="A72" r:id="rId3" xr:uid="{00000000-0004-0000-0C00-000004000000}"/>
  </hyperlinks>
  <pageMargins left="0.7" right="0.7" top="0.75" bottom="0.75" header="0.3" footer="0.3"/>
  <pageSetup paperSize="9" orientation="portrait" r:id="rId4"/>
  <drawing r:id="rId5"/>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C00-000000000000}">
          <x14:formula1>
            <xm:f>選單!$K$1:$K$3</xm:f>
          </x14:formula1>
          <xm:sqref>K1</xm:sqref>
        </x14:dataValidation>
        <x14:dataValidation type="list" allowBlank="1" showInputMessage="1" showErrorMessage="1" xr:uid="{0AFAD64D-F09A-461F-BFA6-3215D6B2A008}">
          <x14:formula1>
            <xm:f>選單!$J$1:$J$6</xm:f>
          </x14:formula1>
          <xm:sqref>AC2:AC50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工作表11">
    <tabColor rgb="FFCC0000"/>
  </sheetPr>
  <dimension ref="A1:AX88"/>
  <sheetViews>
    <sheetView workbookViewId="0"/>
    <sheetView workbookViewId="1"/>
  </sheetViews>
  <sheetFormatPr defaultColWidth="0" defaultRowHeight="13.8" zeroHeight="1"/>
  <cols>
    <col min="1" max="1" width="7.19921875" style="2" customWidth="1"/>
    <col min="2" max="2" width="8" style="2" customWidth="1"/>
    <col min="3" max="3" width="22.69921875" style="2" customWidth="1"/>
    <col min="4" max="4" width="8.19921875" style="2" customWidth="1"/>
    <col min="5" max="5" width="12.296875" style="2" customWidth="1"/>
    <col min="6" max="6" width="11.59765625" style="16" customWidth="1"/>
    <col min="7" max="8" width="7.69921875" style="16" customWidth="1"/>
    <col min="9" max="11" width="7.69921875" style="2" customWidth="1"/>
    <col min="12" max="12" width="4.69921875" style="2" customWidth="1"/>
    <col min="13" max="13" width="4.69921875" style="16" customWidth="1"/>
    <col min="14" max="14" width="14.5" style="2" customWidth="1"/>
    <col min="15" max="20" width="2.19921875" style="2" customWidth="1"/>
    <col min="21" max="26" width="2.19921875" style="2" hidden="1" customWidth="1"/>
    <col min="27" max="27" width="9.69921875" style="2" customWidth="1"/>
    <col min="28" max="28" width="9" style="16" customWidth="1"/>
    <col min="29" max="34" width="6.19921875" style="16" customWidth="1"/>
    <col min="35" max="35" width="9" style="16" customWidth="1"/>
    <col min="36" max="41" width="6.19921875" style="16" customWidth="1"/>
    <col min="42" max="42" width="3.69921875" style="16" customWidth="1"/>
    <col min="43" max="43" width="8.19921875" style="16" customWidth="1"/>
    <col min="44" max="50" width="0" style="2" hidden="1" customWidth="1"/>
    <col min="51" max="16384" width="11.69921875" style="2" hidden="1"/>
  </cols>
  <sheetData>
    <row r="1" spans="1:43" s="40" customFormat="1" ht="18" customHeight="1">
      <c r="A1" s="38" t="s">
        <v>110</v>
      </c>
      <c r="B1" s="38" t="s">
        <v>111</v>
      </c>
      <c r="C1" s="38" t="s">
        <v>112</v>
      </c>
      <c r="D1" s="38"/>
      <c r="E1" s="38" t="s">
        <v>2897</v>
      </c>
      <c r="F1" s="39" t="s">
        <v>2839</v>
      </c>
      <c r="G1" s="39" t="s">
        <v>108</v>
      </c>
      <c r="H1" s="39" t="s">
        <v>106</v>
      </c>
      <c r="I1" s="39" t="s">
        <v>114</v>
      </c>
      <c r="J1" s="520" t="s">
        <v>115</v>
      </c>
      <c r="K1" s="520"/>
      <c r="L1" s="39" t="s">
        <v>38</v>
      </c>
      <c r="M1" s="39" t="s">
        <v>116</v>
      </c>
      <c r="N1" s="39"/>
      <c r="O1" s="39" t="s">
        <v>117</v>
      </c>
      <c r="P1" s="39" t="s">
        <v>118</v>
      </c>
      <c r="Q1" s="39" t="s">
        <v>119</v>
      </c>
      <c r="R1" s="39" t="s">
        <v>120</v>
      </c>
      <c r="S1" s="39" t="s">
        <v>121</v>
      </c>
      <c r="T1" s="39" t="s">
        <v>2468</v>
      </c>
      <c r="U1" s="39"/>
      <c r="V1" s="39"/>
      <c r="W1" s="39"/>
      <c r="X1" s="39"/>
      <c r="Y1" s="39"/>
      <c r="Z1" s="39"/>
      <c r="AA1" s="39" t="s">
        <v>123</v>
      </c>
      <c r="AB1" s="39" t="s">
        <v>124</v>
      </c>
      <c r="AC1" s="39" t="s">
        <v>141</v>
      </c>
      <c r="AD1" s="39" t="s">
        <v>126</v>
      </c>
      <c r="AE1" s="39" t="s">
        <v>127</v>
      </c>
      <c r="AF1" s="39" t="s">
        <v>128</v>
      </c>
      <c r="AG1" s="39" t="s">
        <v>129</v>
      </c>
      <c r="AH1" s="39" t="s">
        <v>130</v>
      </c>
      <c r="AI1" s="39" t="s">
        <v>142</v>
      </c>
      <c r="AJ1" s="39" t="s">
        <v>141</v>
      </c>
      <c r="AK1" s="39" t="s">
        <v>126</v>
      </c>
      <c r="AL1" s="39" t="s">
        <v>127</v>
      </c>
      <c r="AM1" s="39" t="s">
        <v>128</v>
      </c>
      <c r="AN1" s="39" t="s">
        <v>129</v>
      </c>
      <c r="AO1" s="39" t="s">
        <v>130</v>
      </c>
      <c r="AP1" s="79"/>
      <c r="AQ1" s="79"/>
    </row>
    <row r="2" spans="1:43" s="4" customFormat="1" ht="18" customHeight="1">
      <c r="A2" s="4" t="str">
        <f>'Reference Score Calculation'!A279</f>
        <v>JS7101</v>
      </c>
      <c r="B2" s="4" t="str">
        <f>'Reference Score Calculation'!C279</f>
        <v>文學院</v>
      </c>
      <c r="C2" s="4" t="str">
        <f>計分版!C302</f>
        <v>中文(榮譽)文學士</v>
      </c>
      <c r="D2" s="4" t="str">
        <f>'Reference Score Calculation'!R279</f>
        <v>BA (Hons) Chinese</v>
      </c>
      <c r="E2" s="392" t="str">
        <f>'Reference Score Calculation'!AB279</f>
        <v>Best 5</v>
      </c>
      <c r="F2" s="394" t="str">
        <f>'Reference Score Calculation'!E279</f>
        <v>Best 5</v>
      </c>
      <c r="G2" s="6">
        <f>'Reference Score Calculation'!H279</f>
        <v>26</v>
      </c>
      <c r="H2" s="6">
        <f>'Reference Score Calculation'!I279</f>
        <v>25.25</v>
      </c>
      <c r="I2" s="45">
        <f>計分版!J302</f>
        <v>3.3500000000000002E-9</v>
      </c>
      <c r="J2" s="180">
        <f>IFERROR(IF(J$1="差距(Median)",I2-G2,IF(J$1="差距(LQ)",I2-H2)),"/")</f>
        <v>-25.999999996650001</v>
      </c>
      <c r="K2" s="181">
        <f>IFERROR(IF(J$1="差距(Median)",(I2-G2)/I2,IF(J$1="差距(LQ)",(I2-H2)/I2)),"/")</f>
        <v>-7761194028.8507462</v>
      </c>
      <c r="L2" s="36">
        <f>'Reference Score Calculation'!T279</f>
        <v>47</v>
      </c>
      <c r="M2" s="86">
        <f>入學要求!Z288</f>
        <v>0</v>
      </c>
      <c r="N2" s="516" t="s">
        <v>2521</v>
      </c>
      <c r="O2" s="182">
        <f>入學要求!L288</f>
        <v>3</v>
      </c>
      <c r="P2" s="182">
        <f>入學要求!M288</f>
        <v>3</v>
      </c>
      <c r="Q2" s="182">
        <f>入學要求!N288</f>
        <v>2</v>
      </c>
      <c r="R2" s="182">
        <f>入學要求!O288</f>
        <v>1</v>
      </c>
      <c r="S2" s="182">
        <f>入學要求!P288</f>
        <v>2</v>
      </c>
      <c r="T2" s="182">
        <f>入學要求!Q288</f>
        <v>2</v>
      </c>
      <c r="U2" s="278">
        <f>入學要求!S288</f>
        <v>0</v>
      </c>
      <c r="V2" s="278">
        <f>入學要求!T288</f>
        <v>0</v>
      </c>
      <c r="W2" s="278">
        <f>入學要求!U288</f>
        <v>0</v>
      </c>
      <c r="X2" s="278">
        <f>入學要求!V288</f>
        <v>0</v>
      </c>
      <c r="Y2" s="278">
        <f>入學要求!W288</f>
        <v>0</v>
      </c>
      <c r="Z2" s="278">
        <f>入學要求!X288</f>
        <v>0</v>
      </c>
      <c r="AA2" s="36">
        <f>IFERROR(ROUND(AK2/AD2,2),"/")</f>
        <v>10.55</v>
      </c>
      <c r="AB2" s="510" t="s">
        <v>2513</v>
      </c>
      <c r="AC2" s="36" cm="1">
        <f t="array" ref="AC2">IFERROR(INDEX('Offer Statistics'!DS$2:DS$400,MATCH(1,($A2='Offer Statistics'!$DD$2:$DD$400)*($AB$2='Offer Statistics'!$DE$2:$DE$400),0)),"/")</f>
        <v>44</v>
      </c>
      <c r="AD2" s="64" cm="1">
        <f t="array" ref="AD2">IFERROR(INDEX('Offer Statistics'!DN$2:DN$400,MATCH(1,($A2='Offer Statistics'!$DD$2:$DD$400)*($AB$2='Offer Statistics'!$DE$2:$DE$400),0)),"/")</f>
        <v>44</v>
      </c>
      <c r="AE2" s="64" cm="1">
        <f t="array" ref="AE2">IFERROR(INDEX('Offer Statistics'!DO$2:DO$400,MATCH(1,($A2='Offer Statistics'!$DD$2:$DD$400)*($AB$2='Offer Statistics'!$DE$2:$DE$400),0)),"/")</f>
        <v>0</v>
      </c>
      <c r="AF2" s="64" cm="1">
        <f t="array" ref="AF2">IFERROR(INDEX('Offer Statistics'!DP$2:DP$400,MATCH(1,($A2='Offer Statistics'!$DD$2:$DD$400)*($AB$2='Offer Statistics'!$DE$2:$DE$400),0)),"/")</f>
        <v>0</v>
      </c>
      <c r="AG2" s="64" cm="1">
        <f t="array" ref="AG2">IFERROR(INDEX('Offer Statistics'!DQ$2:DQ$400,MATCH(1,($A2='Offer Statistics'!$DD$2:$DD$400)*($AB$2='Offer Statistics'!$DE$2:$DE$400),0)),"/")</f>
        <v>0</v>
      </c>
      <c r="AH2" s="64" cm="1">
        <f t="array" ref="AH2">IFERROR(INDEX('Offer Statistics'!DR$2:DR$400,MATCH(1,($A2='Offer Statistics'!$DD$2:$DD$400)*($AB$2='Offer Statistics'!$DE$2:$DE$400),0)),"/")</f>
        <v>0</v>
      </c>
      <c r="AI2" s="511" t="str">
        <f>AB2</f>
        <v>2023年</v>
      </c>
      <c r="AJ2" s="36" cm="1">
        <f t="array" ref="AJ2">IFERROR(INDEX('Offer Statistics'!DK$2:DK$400,MATCH(1,($A2='Offer Statistics'!$DD$2:$DD$400)*($AB$2='Offer Statistics'!$DE$2:$DE$400),0)),"/")</f>
        <v>2285</v>
      </c>
      <c r="AK2" s="64" cm="1">
        <f t="array" ref="AK2">IFERROR(INDEX('Offer Statistics'!DF$2:DF$400,MATCH(1,($A2='Offer Statistics'!$DD$2:$DD$400)*($AB$2='Offer Statistics'!$DE$2:$DE$400),0)),"/")</f>
        <v>464</v>
      </c>
      <c r="AL2" s="64" cm="1">
        <f t="array" ref="AL2">IFERROR(INDEX('Offer Statistics'!DG$2:DG$400,MATCH(1,($A2='Offer Statistics'!$DD$2:$DD$400)*($AB$2='Offer Statistics'!$DE$2:$DE$400),0)),"/")</f>
        <v>409</v>
      </c>
      <c r="AM2" s="64" cm="1">
        <f t="array" ref="AM2">IFERROR(INDEX('Offer Statistics'!DH$2:DH$400,MATCH(1,($A2='Offer Statistics'!$DD$2:$DD$400)*($AB$2='Offer Statistics'!$DE$2:$DE$400),0)),"/")</f>
        <v>522</v>
      </c>
      <c r="AN2" s="64" cm="1">
        <f t="array" ref="AN2">IFERROR(INDEX('Offer Statistics'!DI$2:DI$400,MATCH(1,($A2='Offer Statistics'!$DD$2:$DD$400)*($AB$2='Offer Statistics'!$DE$2:$DE$400),0)),"/")</f>
        <v>496</v>
      </c>
      <c r="AO2" s="64" cm="1">
        <f t="array" ref="AO2">IFERROR(INDEX('Offer Statistics'!DJ$2:DJ$400,MATCH(1,($A2='Offer Statistics'!$DD$2:$DD$400)*($AB$2='Offer Statistics'!$DE$2:$DE$400),0)),"/")</f>
        <v>394</v>
      </c>
      <c r="AP2" s="15"/>
      <c r="AQ2" s="15" t="str">
        <f>A2</f>
        <v>JS7101</v>
      </c>
    </row>
    <row r="3" spans="1:43" s="4" customFormat="1" ht="18" customHeight="1">
      <c r="A3" s="4" t="str">
        <f>'Reference Score Calculation'!A280</f>
        <v>JS7123</v>
      </c>
      <c r="B3" s="4" t="str">
        <f>'Reference Score Calculation'!C280</f>
        <v>跨學院</v>
      </c>
      <c r="C3" s="4" t="str">
        <f>計分版!C303</f>
        <v>環球可持續發展(榮譽)博雅學士</v>
      </c>
      <c r="D3" s="4" t="str">
        <f>'Reference Score Calculation'!R280</f>
        <v>BLA (Hons) GDS</v>
      </c>
      <c r="E3" s="392" t="str">
        <f>'Reference Score Calculation'!AB280</f>
        <v>Best 5</v>
      </c>
      <c r="F3" s="397" t="str">
        <f>'Reference Score Calculation'!E280</f>
        <v>Best 5</v>
      </c>
      <c r="G3" s="6">
        <f>'Reference Score Calculation'!H280</f>
        <v>24</v>
      </c>
      <c r="H3" s="6">
        <f>'Reference Score Calculation'!I280</f>
        <v>23.5</v>
      </c>
      <c r="I3" s="45">
        <f>計分版!J303</f>
        <v>3.9500000000000006E-9</v>
      </c>
      <c r="J3" s="180">
        <f t="shared" ref="J3:J19" si="0">IFERROR(IF(J$1="差距(Median)",I3-G3,IF(J$1="差距(LQ)",I3-H3)),"/")</f>
        <v>-23.999999996050001</v>
      </c>
      <c r="K3" s="181">
        <f t="shared" ref="K3:K19" si="1">IFERROR(IF(J$1="差距(Median)",(I3-G3)/I3,IF(J$1="差距(LQ)",(I3-H3)/I3)),"/")</f>
        <v>-6075949366.0886068</v>
      </c>
      <c r="L3" s="36">
        <f>'Reference Score Calculation'!T280</f>
        <v>20</v>
      </c>
      <c r="M3" s="86">
        <f>入學要求!Z289</f>
        <v>0</v>
      </c>
      <c r="N3" s="516"/>
      <c r="O3" s="183">
        <f>入學要求!L289</f>
        <v>3</v>
      </c>
      <c r="P3" s="183">
        <f>入學要求!M289</f>
        <v>3</v>
      </c>
      <c r="Q3" s="183">
        <f>入學要求!N289</f>
        <v>2</v>
      </c>
      <c r="R3" s="183">
        <f>入學要求!O289</f>
        <v>1</v>
      </c>
      <c r="S3" s="183">
        <f>入學要求!P289</f>
        <v>2</v>
      </c>
      <c r="T3" s="182">
        <f>入學要求!Q289</f>
        <v>2</v>
      </c>
      <c r="U3" s="278">
        <f>入學要求!S289</f>
        <v>0</v>
      </c>
      <c r="V3" s="278">
        <f>入學要求!T289</f>
        <v>0</v>
      </c>
      <c r="W3" s="278">
        <f>入學要求!U289</f>
        <v>0</v>
      </c>
      <c r="X3" s="278">
        <f>入學要求!V289</f>
        <v>0</v>
      </c>
      <c r="Y3" s="278">
        <f>入學要求!W289</f>
        <v>0</v>
      </c>
      <c r="Z3" s="278">
        <f>入學要求!X289</f>
        <v>0</v>
      </c>
      <c r="AA3" s="36">
        <f t="shared" ref="AA3:AA19" si="2">IFERROR(ROUND(AK3/AD3,2),"/")</f>
        <v>10.210000000000001</v>
      </c>
      <c r="AB3" s="510"/>
      <c r="AC3" s="36" cm="1">
        <f t="array" ref="AC3">IFERROR(INDEX('Offer Statistics'!DS$2:DS$400,MATCH(1,($A3='Offer Statistics'!$DD$2:$DD$400)*($AB$2='Offer Statistics'!$DE$2:$DE$400),0)),"/")</f>
        <v>21</v>
      </c>
      <c r="AD3" s="64" cm="1">
        <f t="array" ref="AD3">IFERROR(INDEX('Offer Statistics'!DN$2:DN$400,MATCH(1,($A3='Offer Statistics'!$DD$2:$DD$400)*($AB$2='Offer Statistics'!$DE$2:$DE$400),0)),"/")</f>
        <v>19</v>
      </c>
      <c r="AE3" s="64" cm="1">
        <f t="array" ref="AE3">IFERROR(INDEX('Offer Statistics'!DO$2:DO$400,MATCH(1,($A3='Offer Statistics'!$DD$2:$DD$400)*($AB$2='Offer Statistics'!$DE$2:$DE$400),0)),"/")</f>
        <v>2</v>
      </c>
      <c r="AF3" s="64" cm="1">
        <f t="array" ref="AF3">IFERROR(INDEX('Offer Statistics'!DP$2:DP$400,MATCH(1,($A3='Offer Statistics'!$DD$2:$DD$400)*($AB$2='Offer Statistics'!$DE$2:$DE$400),0)),"/")</f>
        <v>0</v>
      </c>
      <c r="AG3" s="64" cm="1">
        <f t="array" ref="AG3">IFERROR(INDEX('Offer Statistics'!DQ$2:DQ$400,MATCH(1,($A3='Offer Statistics'!$DD$2:$DD$400)*($AB$2='Offer Statistics'!$DE$2:$DE$400),0)),"/")</f>
        <v>0</v>
      </c>
      <c r="AH3" s="64" cm="1">
        <f t="array" ref="AH3">IFERROR(INDEX('Offer Statistics'!DR$2:DR$400,MATCH(1,($A3='Offer Statistics'!$DD$2:$DD$400)*($AB$2='Offer Statistics'!$DE$2:$DE$400),0)),"/")</f>
        <v>0</v>
      </c>
      <c r="AI3" s="511"/>
      <c r="AJ3" s="36" cm="1">
        <f t="array" ref="AJ3">IFERROR(INDEX('Offer Statistics'!DK$2:DK$400,MATCH(1,($A3='Offer Statistics'!$DD$2:$DD$400)*($AB$2='Offer Statistics'!$DE$2:$DE$400),0)),"/")</f>
        <v>1323</v>
      </c>
      <c r="AK3" s="64" cm="1">
        <f t="array" ref="AK3">IFERROR(INDEX('Offer Statistics'!DF$2:DF$400,MATCH(1,($A3='Offer Statistics'!$DD$2:$DD$400)*($AB$2='Offer Statistics'!$DE$2:$DE$400),0)),"/")</f>
        <v>194</v>
      </c>
      <c r="AL3" s="64" cm="1">
        <f t="array" ref="AL3">IFERROR(INDEX('Offer Statistics'!DG$2:DG$400,MATCH(1,($A3='Offer Statistics'!$DD$2:$DD$400)*($AB$2='Offer Statistics'!$DE$2:$DE$400),0)),"/")</f>
        <v>247</v>
      </c>
      <c r="AM3" s="64" cm="1">
        <f t="array" ref="AM3">IFERROR(INDEX('Offer Statistics'!DH$2:DH$400,MATCH(1,($A3='Offer Statistics'!$DD$2:$DD$400)*($AB$2='Offer Statistics'!$DE$2:$DE$400),0)),"/")</f>
        <v>270</v>
      </c>
      <c r="AN3" s="64" cm="1">
        <f t="array" ref="AN3">IFERROR(INDEX('Offer Statistics'!DI$2:DI$400,MATCH(1,($A3='Offer Statistics'!$DD$2:$DD$400)*($AB$2='Offer Statistics'!$DE$2:$DE$400),0)),"/")</f>
        <v>304</v>
      </c>
      <c r="AO3" s="64" cm="1">
        <f t="array" ref="AO3">IFERROR(INDEX('Offer Statistics'!DJ$2:DJ$400,MATCH(1,($A3='Offer Statistics'!$DD$2:$DD$400)*($AB$2='Offer Statistics'!$DE$2:$DE$400),0)),"/")</f>
        <v>308</v>
      </c>
      <c r="AP3" s="15"/>
      <c r="AQ3" s="15" t="str">
        <f t="shared" ref="AQ3:AQ19" si="3">A3</f>
        <v>JS7123</v>
      </c>
    </row>
    <row r="4" spans="1:43" s="4" customFormat="1" ht="18" customHeight="1">
      <c r="A4" s="4" t="str">
        <f>'Reference Score Calculation'!A281</f>
        <v>JS7133</v>
      </c>
      <c r="B4" s="4" t="str">
        <f>'Reference Score Calculation'!C281</f>
        <v>文學院</v>
      </c>
      <c r="C4" s="4" t="str">
        <f>計分版!C304</f>
        <v>動畫及數碼藝術(榮譽)文學士</v>
      </c>
      <c r="D4" s="4" t="str">
        <f>'Reference Score Calculation'!R281</f>
        <v>BA (Hons) ADA</v>
      </c>
      <c r="E4" s="392" t="str">
        <f>'Reference Score Calculation'!AB281</f>
        <v>Best 5</v>
      </c>
      <c r="F4" s="394" t="str">
        <f>'Reference Score Calculation'!E281</f>
        <v>Best 5</v>
      </c>
      <c r="G4" s="6">
        <f>'Reference Score Calculation'!H281</f>
        <v>23</v>
      </c>
      <c r="H4" s="6">
        <f>'Reference Score Calculation'!I281</f>
        <v>22.5</v>
      </c>
      <c r="I4" s="45">
        <f>計分版!J304</f>
        <v>3.3500000000000002E-9</v>
      </c>
      <c r="J4" s="180">
        <f t="shared" si="0"/>
        <v>-22.999999996650001</v>
      </c>
      <c r="K4" s="181">
        <f t="shared" si="1"/>
        <v>-6865671640.7910442</v>
      </c>
      <c r="L4" s="36">
        <f>'Reference Score Calculation'!T281</f>
        <v>12</v>
      </c>
      <c r="M4" s="86">
        <f>入學要求!Z290</f>
        <v>0</v>
      </c>
      <c r="N4" s="516"/>
      <c r="O4" s="183">
        <f>入學要求!L290</f>
        <v>3</v>
      </c>
      <c r="P4" s="183">
        <f>入學要求!M290</f>
        <v>3</v>
      </c>
      <c r="Q4" s="183">
        <f>入學要求!N290</f>
        <v>2</v>
      </c>
      <c r="R4" s="183">
        <f>入學要求!O290</f>
        <v>1</v>
      </c>
      <c r="S4" s="183">
        <f>入學要求!P290</f>
        <v>2</v>
      </c>
      <c r="T4" s="182">
        <f>入學要求!Q290</f>
        <v>2</v>
      </c>
      <c r="U4" s="278">
        <f>入學要求!S290</f>
        <v>0</v>
      </c>
      <c r="V4" s="278">
        <f>入學要求!T290</f>
        <v>0</v>
      </c>
      <c r="W4" s="278">
        <f>入學要求!U290</f>
        <v>0</v>
      </c>
      <c r="X4" s="278">
        <f>入學要求!V290</f>
        <v>0</v>
      </c>
      <c r="Y4" s="278">
        <f>入學要求!W290</f>
        <v>0</v>
      </c>
      <c r="Z4" s="278">
        <f>入學要求!X290</f>
        <v>0</v>
      </c>
      <c r="AA4" s="36">
        <f t="shared" si="2"/>
        <v>40.08</v>
      </c>
      <c r="AB4" s="510"/>
      <c r="AC4" s="36" cm="1">
        <f t="array" ref="AC4">IFERROR(INDEX('Offer Statistics'!DS$2:DS$400,MATCH(1,($A4='Offer Statistics'!$DD$2:$DD$400)*($AB$2='Offer Statistics'!$DE$2:$DE$400),0)),"/")</f>
        <v>12</v>
      </c>
      <c r="AD4" s="64" cm="1">
        <f t="array" ref="AD4">IFERROR(INDEX('Offer Statistics'!DN$2:DN$400,MATCH(1,($A4='Offer Statistics'!$DD$2:$DD$400)*($AB$2='Offer Statistics'!$DE$2:$DE$400),0)),"/")</f>
        <v>12</v>
      </c>
      <c r="AE4" s="64" cm="1">
        <f t="array" ref="AE4">IFERROR(INDEX('Offer Statistics'!DO$2:DO$400,MATCH(1,($A4='Offer Statistics'!$DD$2:$DD$400)*($AB$2='Offer Statistics'!$DE$2:$DE$400),0)),"/")</f>
        <v>0</v>
      </c>
      <c r="AF4" s="64" cm="1">
        <f t="array" ref="AF4">IFERROR(INDEX('Offer Statistics'!DP$2:DP$400,MATCH(1,($A4='Offer Statistics'!$DD$2:$DD$400)*($AB$2='Offer Statistics'!$DE$2:$DE$400),0)),"/")</f>
        <v>0</v>
      </c>
      <c r="AG4" s="64" cm="1">
        <f t="array" ref="AG4">IFERROR(INDEX('Offer Statistics'!DQ$2:DQ$400,MATCH(1,($A4='Offer Statistics'!$DD$2:$DD$400)*($AB$2='Offer Statistics'!$DE$2:$DE$400),0)),"/")</f>
        <v>0</v>
      </c>
      <c r="AH4" s="64" cm="1">
        <f t="array" ref="AH4">IFERROR(INDEX('Offer Statistics'!DR$2:DR$400,MATCH(1,($A4='Offer Statistics'!$DD$2:$DD$400)*($AB$2='Offer Statistics'!$DE$2:$DE$400),0)),"/")</f>
        <v>0</v>
      </c>
      <c r="AI4" s="511"/>
      <c r="AJ4" s="36" cm="1">
        <f t="array" ref="AJ4">IFERROR(INDEX('Offer Statistics'!DK$2:DK$400,MATCH(1,($A4='Offer Statistics'!$DD$2:$DD$400)*($AB$2='Offer Statistics'!$DE$2:$DE$400),0)),"/")</f>
        <v>2761</v>
      </c>
      <c r="AK4" s="64" cm="1">
        <f t="array" ref="AK4">IFERROR(INDEX('Offer Statistics'!DF$2:DF$400,MATCH(1,($A4='Offer Statistics'!$DD$2:$DD$400)*($AB$2='Offer Statistics'!$DE$2:$DE$400),0)),"/")</f>
        <v>481</v>
      </c>
      <c r="AL4" s="64" cm="1">
        <f t="array" ref="AL4">IFERROR(INDEX('Offer Statistics'!DG$2:DG$400,MATCH(1,($A4='Offer Statistics'!$DD$2:$DD$400)*($AB$2='Offer Statistics'!$DE$2:$DE$400),0)),"/")</f>
        <v>490</v>
      </c>
      <c r="AM4" s="64" cm="1">
        <f t="array" ref="AM4">IFERROR(INDEX('Offer Statistics'!DH$2:DH$400,MATCH(1,($A4='Offer Statistics'!$DD$2:$DD$400)*($AB$2='Offer Statistics'!$DE$2:$DE$400),0)),"/")</f>
        <v>628</v>
      </c>
      <c r="AN4" s="64" cm="1">
        <f t="array" ref="AN4">IFERROR(INDEX('Offer Statistics'!DI$2:DI$400,MATCH(1,($A4='Offer Statistics'!$DD$2:$DD$400)*($AB$2='Offer Statistics'!$DE$2:$DE$400),0)),"/")</f>
        <v>644</v>
      </c>
      <c r="AO4" s="64" cm="1">
        <f t="array" ref="AO4">IFERROR(INDEX('Offer Statistics'!DJ$2:DJ$400,MATCH(1,($A4='Offer Statistics'!$DD$2:$DD$400)*($AB$2='Offer Statistics'!$DE$2:$DE$400),0)),"/")</f>
        <v>518</v>
      </c>
      <c r="AP4" s="15"/>
      <c r="AQ4" s="15" t="str">
        <f t="shared" si="3"/>
        <v>JS7133</v>
      </c>
    </row>
    <row r="5" spans="1:43" s="4" customFormat="1" ht="18" customHeight="1">
      <c r="A5" s="4" t="str">
        <f>'Reference Score Calculation'!A282</f>
        <v>JS7200</v>
      </c>
      <c r="B5" s="4" t="str">
        <f>'Reference Score Calculation'!C282</f>
        <v>商學院</v>
      </c>
      <c r="C5" s="4" t="str">
        <f>計分版!C305</f>
        <v>工商管理(榮譽)學士</v>
      </c>
      <c r="D5" s="4" t="str">
        <f>'Reference Score Calculation'!R282</f>
        <v>BBA (Hons)</v>
      </c>
      <c r="E5" s="392" t="str">
        <f>'Reference Score Calculation'!AB282</f>
        <v>Best 5</v>
      </c>
      <c r="F5" s="394" t="str">
        <f>'Reference Score Calculation'!E282</f>
        <v>Best 5</v>
      </c>
      <c r="G5" s="6">
        <f>'Reference Score Calculation'!H282</f>
        <v>23</v>
      </c>
      <c r="H5" s="6">
        <f>'Reference Score Calculation'!I282</f>
        <v>23</v>
      </c>
      <c r="I5" s="45">
        <f>計分版!J305</f>
        <v>3.9500000000000006E-9</v>
      </c>
      <c r="J5" s="180">
        <f t="shared" si="0"/>
        <v>-22.999999996050001</v>
      </c>
      <c r="K5" s="181">
        <f t="shared" si="1"/>
        <v>-5822784809.1265812</v>
      </c>
      <c r="L5" s="36">
        <f>'Reference Score Calculation'!T282</f>
        <v>137</v>
      </c>
      <c r="M5" s="86">
        <f>入學要求!Z291</f>
        <v>0</v>
      </c>
      <c r="N5" s="516"/>
      <c r="O5" s="183">
        <f>入學要求!L291</f>
        <v>3</v>
      </c>
      <c r="P5" s="183">
        <f>入學要求!M291</f>
        <v>3</v>
      </c>
      <c r="Q5" s="183">
        <f>入學要求!N291</f>
        <v>2</v>
      </c>
      <c r="R5" s="183">
        <f>入學要求!O291</f>
        <v>1</v>
      </c>
      <c r="S5" s="183">
        <f>入學要求!P291</f>
        <v>2</v>
      </c>
      <c r="T5" s="182">
        <f>入學要求!Q291</f>
        <v>2</v>
      </c>
      <c r="U5" s="278">
        <f>入學要求!S291</f>
        <v>0</v>
      </c>
      <c r="V5" s="278">
        <f>入學要求!T291</f>
        <v>0</v>
      </c>
      <c r="W5" s="278">
        <f>入學要求!U291</f>
        <v>0</v>
      </c>
      <c r="X5" s="278">
        <f>入學要求!V291</f>
        <v>0</v>
      </c>
      <c r="Y5" s="278">
        <f>入學要求!W291</f>
        <v>0</v>
      </c>
      <c r="Z5" s="278">
        <f>入學要求!X291</f>
        <v>0</v>
      </c>
      <c r="AA5" s="36">
        <f t="shared" si="2"/>
        <v>5.89</v>
      </c>
      <c r="AB5" s="510"/>
      <c r="AC5" s="36" cm="1">
        <f t="array" ref="AC5">IFERROR(INDEX('Offer Statistics'!DS$2:DS$400,MATCH(1,($A5='Offer Statistics'!$DD$2:$DD$400)*($AB$2='Offer Statistics'!$DE$2:$DE$400),0)),"/")</f>
        <v>181</v>
      </c>
      <c r="AD5" s="64" cm="1">
        <f t="array" ref="AD5">IFERROR(INDEX('Offer Statistics'!DN$2:DN$400,MATCH(1,($A5='Offer Statistics'!$DD$2:$DD$400)*($AB$2='Offer Statistics'!$DE$2:$DE$400),0)),"/")</f>
        <v>181</v>
      </c>
      <c r="AE5" s="64" cm="1">
        <f t="array" ref="AE5">IFERROR(INDEX('Offer Statistics'!DO$2:DO$400,MATCH(1,($A5='Offer Statistics'!$DD$2:$DD$400)*($AB$2='Offer Statistics'!$DE$2:$DE$400),0)),"/")</f>
        <v>0</v>
      </c>
      <c r="AF5" s="64" cm="1">
        <f t="array" ref="AF5">IFERROR(INDEX('Offer Statistics'!DP$2:DP$400,MATCH(1,($A5='Offer Statistics'!$DD$2:$DD$400)*($AB$2='Offer Statistics'!$DE$2:$DE$400),0)),"/")</f>
        <v>0</v>
      </c>
      <c r="AG5" s="64" cm="1">
        <f t="array" ref="AG5">IFERROR(INDEX('Offer Statistics'!DQ$2:DQ$400,MATCH(1,($A5='Offer Statistics'!$DD$2:$DD$400)*($AB$2='Offer Statistics'!$DE$2:$DE$400),0)),"/")</f>
        <v>0</v>
      </c>
      <c r="AH5" s="64" cm="1">
        <f t="array" ref="AH5">IFERROR(INDEX('Offer Statistics'!DR$2:DR$400,MATCH(1,($A5='Offer Statistics'!$DD$2:$DD$400)*($AB$2='Offer Statistics'!$DE$2:$DE$400),0)),"/")</f>
        <v>0</v>
      </c>
      <c r="AI5" s="511"/>
      <c r="AJ5" s="36" cm="1">
        <f t="array" ref="AJ5">IFERROR(INDEX('Offer Statistics'!DK$2:DK$400,MATCH(1,($A5='Offer Statistics'!$DD$2:$DD$400)*($AB$2='Offer Statistics'!$DE$2:$DE$400),0)),"/")</f>
        <v>4979</v>
      </c>
      <c r="AK5" s="64" cm="1">
        <f t="array" ref="AK5">IFERROR(INDEX('Offer Statistics'!DF$2:DF$400,MATCH(1,($A5='Offer Statistics'!$DD$2:$DD$400)*($AB$2='Offer Statistics'!$DE$2:$DE$400),0)),"/")</f>
        <v>1066</v>
      </c>
      <c r="AL5" s="64" cm="1">
        <f t="array" ref="AL5">IFERROR(INDEX('Offer Statistics'!DG$2:DG$400,MATCH(1,($A5='Offer Statistics'!$DD$2:$DD$400)*($AB$2='Offer Statistics'!$DE$2:$DE$400),0)),"/")</f>
        <v>981</v>
      </c>
      <c r="AM5" s="64" cm="1">
        <f t="array" ref="AM5">IFERROR(INDEX('Offer Statistics'!DH$2:DH$400,MATCH(1,($A5='Offer Statistics'!$DD$2:$DD$400)*($AB$2='Offer Statistics'!$DE$2:$DE$400),0)),"/")</f>
        <v>934</v>
      </c>
      <c r="AN5" s="64" cm="1">
        <f t="array" ref="AN5">IFERROR(INDEX('Offer Statistics'!DI$2:DI$400,MATCH(1,($A5='Offer Statistics'!$DD$2:$DD$400)*($AB$2='Offer Statistics'!$DE$2:$DE$400),0)),"/")</f>
        <v>1077</v>
      </c>
      <c r="AO5" s="64" cm="1">
        <f t="array" ref="AO5">IFERROR(INDEX('Offer Statistics'!DJ$2:DJ$400,MATCH(1,($A5='Offer Statistics'!$DD$2:$DD$400)*($AB$2='Offer Statistics'!$DE$2:$DE$400),0)),"/")</f>
        <v>921</v>
      </c>
      <c r="AP5" s="15"/>
      <c r="AQ5" s="15" t="str">
        <f t="shared" si="3"/>
        <v>JS7200</v>
      </c>
    </row>
    <row r="6" spans="1:43" s="4" customFormat="1" ht="18" customHeight="1">
      <c r="A6" s="4" t="str">
        <f>'Reference Score Calculation'!A283</f>
        <v>JS7204</v>
      </c>
      <c r="B6" s="4" t="str">
        <f>'Reference Score Calculation'!C283</f>
        <v>文學院</v>
      </c>
      <c r="C6" s="4" t="str">
        <f>計分版!C306</f>
        <v>翻譯、跨文化研究及企業傳訊(榮譽)文學士</v>
      </c>
      <c r="D6" s="4" t="str">
        <f>'Reference Score Calculation'!R283</f>
        <v>BA (Hons) Trans, CS &amp; CC</v>
      </c>
      <c r="E6" s="392" t="str">
        <f>'Reference Score Calculation'!AB283</f>
        <v>Best 5</v>
      </c>
      <c r="F6" s="394" t="str">
        <f>'Reference Score Calculation'!E283</f>
        <v>Best 5</v>
      </c>
      <c r="G6" s="6">
        <f>'Reference Score Calculation'!H283</f>
        <v>25</v>
      </c>
      <c r="H6" s="6">
        <f>'Reference Score Calculation'!I283</f>
        <v>24</v>
      </c>
      <c r="I6" s="45">
        <f>計分版!J306</f>
        <v>3.3500000000000002E-9</v>
      </c>
      <c r="J6" s="180">
        <f t="shared" si="0"/>
        <v>-24.999999996650001</v>
      </c>
      <c r="K6" s="181">
        <f t="shared" si="1"/>
        <v>-7462686566.1641788</v>
      </c>
      <c r="L6" s="36">
        <f>'Reference Score Calculation'!T283</f>
        <v>37</v>
      </c>
      <c r="M6" s="86">
        <f>入學要求!Z292</f>
        <v>0</v>
      </c>
      <c r="N6" s="516"/>
      <c r="O6" s="183">
        <f>入學要求!L292</f>
        <v>3</v>
      </c>
      <c r="P6" s="183">
        <f>入學要求!M292</f>
        <v>3</v>
      </c>
      <c r="Q6" s="183">
        <f>入學要求!N292</f>
        <v>2</v>
      </c>
      <c r="R6" s="183">
        <f>入學要求!O292</f>
        <v>1</v>
      </c>
      <c r="S6" s="183">
        <f>入學要求!P292</f>
        <v>2</v>
      </c>
      <c r="T6" s="182">
        <f>入學要求!Q292</f>
        <v>2</v>
      </c>
      <c r="U6" s="278">
        <f>入學要求!S292</f>
        <v>0</v>
      </c>
      <c r="V6" s="278">
        <f>入學要求!T292</f>
        <v>0</v>
      </c>
      <c r="W6" s="278">
        <f>入學要求!U292</f>
        <v>0</v>
      </c>
      <c r="X6" s="278">
        <f>入學要求!V292</f>
        <v>0</v>
      </c>
      <c r="Y6" s="278">
        <f>入學要求!W292</f>
        <v>0</v>
      </c>
      <c r="Z6" s="278">
        <f>入學要求!X292</f>
        <v>0</v>
      </c>
      <c r="AA6" s="36">
        <f t="shared" si="2"/>
        <v>4.8899999999999997</v>
      </c>
      <c r="AB6" s="510"/>
      <c r="AC6" s="36" cm="1">
        <f t="array" ref="AC6">IFERROR(INDEX('Offer Statistics'!DS$2:DS$400,MATCH(1,($A6='Offer Statistics'!$DD$2:$DD$400)*($AB$2='Offer Statistics'!$DE$2:$DE$400),0)),"/")</f>
        <v>51</v>
      </c>
      <c r="AD6" s="64" cm="1">
        <f t="array" ref="AD6">IFERROR(INDEX('Offer Statistics'!DN$2:DN$400,MATCH(1,($A6='Offer Statistics'!$DD$2:$DD$400)*($AB$2='Offer Statistics'!$DE$2:$DE$400),0)),"/")</f>
        <v>46</v>
      </c>
      <c r="AE6" s="64" cm="1">
        <f t="array" ref="AE6">IFERROR(INDEX('Offer Statistics'!DO$2:DO$400,MATCH(1,($A6='Offer Statistics'!$DD$2:$DD$400)*($AB$2='Offer Statistics'!$DE$2:$DE$400),0)),"/")</f>
        <v>5</v>
      </c>
      <c r="AF6" s="64" cm="1">
        <f t="array" ref="AF6">IFERROR(INDEX('Offer Statistics'!DP$2:DP$400,MATCH(1,($A6='Offer Statistics'!$DD$2:$DD$400)*($AB$2='Offer Statistics'!$DE$2:$DE$400),0)),"/")</f>
        <v>0</v>
      </c>
      <c r="AG6" s="64" cm="1">
        <f t="array" ref="AG6">IFERROR(INDEX('Offer Statistics'!DQ$2:DQ$400,MATCH(1,($A6='Offer Statistics'!$DD$2:$DD$400)*($AB$2='Offer Statistics'!$DE$2:$DE$400),0)),"/")</f>
        <v>0</v>
      </c>
      <c r="AH6" s="64" cm="1">
        <f t="array" ref="AH6">IFERROR(INDEX('Offer Statistics'!DR$2:DR$400,MATCH(1,($A6='Offer Statistics'!$DD$2:$DD$400)*($AB$2='Offer Statistics'!$DE$2:$DE$400),0)),"/")</f>
        <v>0</v>
      </c>
      <c r="AI6" s="511"/>
      <c r="AJ6" s="36" cm="1">
        <f t="array" ref="AJ6">IFERROR(INDEX('Offer Statistics'!DK$2:DK$400,MATCH(1,($A6='Offer Statistics'!$DD$2:$DD$400)*($AB$2='Offer Statistics'!$DE$2:$DE$400),0)),"/")</f>
        <v>1572</v>
      </c>
      <c r="AK6" s="64" cm="1">
        <f t="array" ref="AK6">IFERROR(INDEX('Offer Statistics'!DF$2:DF$400,MATCH(1,($A6='Offer Statistics'!$DD$2:$DD$400)*($AB$2='Offer Statistics'!$DE$2:$DE$400),0)),"/")</f>
        <v>225</v>
      </c>
      <c r="AL6" s="64" cm="1">
        <f t="array" ref="AL6">IFERROR(INDEX('Offer Statistics'!DG$2:DG$400,MATCH(1,($A6='Offer Statistics'!$DD$2:$DD$400)*($AB$2='Offer Statistics'!$DE$2:$DE$400),0)),"/")</f>
        <v>270</v>
      </c>
      <c r="AM6" s="64" cm="1">
        <f t="array" ref="AM6">IFERROR(INDEX('Offer Statistics'!DH$2:DH$400,MATCH(1,($A6='Offer Statistics'!$DD$2:$DD$400)*($AB$2='Offer Statistics'!$DE$2:$DE$400),0)),"/")</f>
        <v>332</v>
      </c>
      <c r="AN6" s="64" cm="1">
        <f t="array" ref="AN6">IFERROR(INDEX('Offer Statistics'!DI$2:DI$400,MATCH(1,($A6='Offer Statistics'!$DD$2:$DD$400)*($AB$2='Offer Statistics'!$DE$2:$DE$400),0)),"/")</f>
        <v>413</v>
      </c>
      <c r="AO6" s="64" cm="1">
        <f t="array" ref="AO6">IFERROR(INDEX('Offer Statistics'!DJ$2:DJ$400,MATCH(1,($A6='Offer Statistics'!$DD$2:$DD$400)*($AB$2='Offer Statistics'!$DE$2:$DE$400),0)),"/")</f>
        <v>332</v>
      </c>
      <c r="AP6" s="15"/>
      <c r="AQ6" s="15" t="str">
        <f t="shared" si="3"/>
        <v>JS7204</v>
      </c>
    </row>
    <row r="7" spans="1:43" s="4" customFormat="1" ht="18" customHeight="1">
      <c r="A7" s="4" t="str">
        <f>'Reference Score Calculation'!A284</f>
        <v>JS7216</v>
      </c>
      <c r="B7" s="4" t="str">
        <f>'Reference Score Calculation'!C284</f>
        <v>商學院</v>
      </c>
      <c r="C7" s="4" t="str">
        <f>計分版!C307</f>
        <v>工商管理(榮譽)學士 - 風險及保險管理</v>
      </c>
      <c r="D7" s="4" t="str">
        <f>'Reference Score Calculation'!R284</f>
        <v>BBA (Hons) - RIM</v>
      </c>
      <c r="E7" s="392" t="str">
        <f>'Reference Score Calculation'!AB284</f>
        <v>Best 5</v>
      </c>
      <c r="F7" s="394" t="str">
        <f>'Reference Score Calculation'!E284</f>
        <v>Best 5</v>
      </c>
      <c r="G7" s="6">
        <f>'Reference Score Calculation'!H284</f>
        <v>23.5</v>
      </c>
      <c r="H7" s="6">
        <f>'Reference Score Calculation'!I284</f>
        <v>23</v>
      </c>
      <c r="I7" s="45">
        <f>計分版!J307</f>
        <v>3.9500000000000006E-9</v>
      </c>
      <c r="J7" s="180">
        <f t="shared" si="0"/>
        <v>-23.499999996050001</v>
      </c>
      <c r="K7" s="181">
        <f t="shared" si="1"/>
        <v>-5949367087.6075945</v>
      </c>
      <c r="L7" s="36">
        <f>'Reference Score Calculation'!T284</f>
        <v>25</v>
      </c>
      <c r="M7" s="86">
        <f>入學要求!Z293</f>
        <v>0</v>
      </c>
      <c r="N7" s="516"/>
      <c r="O7" s="183">
        <f>入學要求!L293</f>
        <v>3</v>
      </c>
      <c r="P7" s="183">
        <f>入學要求!M293</f>
        <v>3</v>
      </c>
      <c r="Q7" s="183">
        <f>入學要求!N293</f>
        <v>2</v>
      </c>
      <c r="R7" s="183">
        <f>入學要求!O293</f>
        <v>1</v>
      </c>
      <c r="S7" s="183">
        <f>入學要求!P293</f>
        <v>2</v>
      </c>
      <c r="T7" s="182">
        <f>入學要求!Q293</f>
        <v>2</v>
      </c>
      <c r="U7" s="278">
        <f>入學要求!S293</f>
        <v>0</v>
      </c>
      <c r="V7" s="278">
        <f>入學要求!T293</f>
        <v>0</v>
      </c>
      <c r="W7" s="278">
        <f>入學要求!U293</f>
        <v>0</v>
      </c>
      <c r="X7" s="278">
        <f>入學要求!V293</f>
        <v>0</v>
      </c>
      <c r="Y7" s="278">
        <f>入學要求!W293</f>
        <v>0</v>
      </c>
      <c r="Z7" s="278">
        <f>入學要求!X293</f>
        <v>0</v>
      </c>
      <c r="AA7" s="36">
        <f t="shared" si="2"/>
        <v>9.61</v>
      </c>
      <c r="AB7" s="510"/>
      <c r="AC7" s="36" cm="1">
        <f t="array" ref="AC7">IFERROR(INDEX('Offer Statistics'!DS$2:DS$400,MATCH(1,($A7='Offer Statistics'!$DD$2:$DD$400)*($AB$2='Offer Statistics'!$DE$2:$DE$400),0)),"/")</f>
        <v>40</v>
      </c>
      <c r="AD7" s="64" cm="1">
        <f t="array" ref="AD7">IFERROR(INDEX('Offer Statistics'!DN$2:DN$400,MATCH(1,($A7='Offer Statistics'!$DD$2:$DD$400)*($AB$2='Offer Statistics'!$DE$2:$DE$400),0)),"/")</f>
        <v>23</v>
      </c>
      <c r="AE7" s="64" cm="1">
        <f t="array" ref="AE7">IFERROR(INDEX('Offer Statistics'!DO$2:DO$400,MATCH(1,($A7='Offer Statistics'!$DD$2:$DD$400)*($AB$2='Offer Statistics'!$DE$2:$DE$400),0)),"/")</f>
        <v>17</v>
      </c>
      <c r="AF7" s="64" cm="1">
        <f t="array" ref="AF7">IFERROR(INDEX('Offer Statistics'!DP$2:DP$400,MATCH(1,($A7='Offer Statistics'!$DD$2:$DD$400)*($AB$2='Offer Statistics'!$DE$2:$DE$400),0)),"/")</f>
        <v>0</v>
      </c>
      <c r="AG7" s="64" cm="1">
        <f t="array" ref="AG7">IFERROR(INDEX('Offer Statistics'!DQ$2:DQ$400,MATCH(1,($A7='Offer Statistics'!$DD$2:$DD$400)*($AB$2='Offer Statistics'!$DE$2:$DE$400),0)),"/")</f>
        <v>0</v>
      </c>
      <c r="AH7" s="64" cm="1">
        <f t="array" ref="AH7">IFERROR(INDEX('Offer Statistics'!DR$2:DR$400,MATCH(1,($A7='Offer Statistics'!$DD$2:$DD$400)*($AB$2='Offer Statistics'!$DE$2:$DE$400),0)),"/")</f>
        <v>0</v>
      </c>
      <c r="AI7" s="511"/>
      <c r="AJ7" s="36" cm="1">
        <f t="array" ref="AJ7">IFERROR(INDEX('Offer Statistics'!DK$2:DK$400,MATCH(1,($A7='Offer Statistics'!$DD$2:$DD$400)*($AB$2='Offer Statistics'!$DE$2:$DE$400),0)),"/")</f>
        <v>2221</v>
      </c>
      <c r="AK7" s="64" cm="1">
        <f t="array" ref="AK7">IFERROR(INDEX('Offer Statistics'!DF$2:DF$400,MATCH(1,($A7='Offer Statistics'!$DD$2:$DD$400)*($AB$2='Offer Statistics'!$DE$2:$DE$400),0)),"/")</f>
        <v>221</v>
      </c>
      <c r="AL7" s="64" cm="1">
        <f t="array" ref="AL7">IFERROR(INDEX('Offer Statistics'!DG$2:DG$400,MATCH(1,($A7='Offer Statistics'!$DD$2:$DD$400)*($AB$2='Offer Statistics'!$DE$2:$DE$400),0)),"/")</f>
        <v>382</v>
      </c>
      <c r="AM7" s="64" cm="1">
        <f t="array" ref="AM7">IFERROR(INDEX('Offer Statistics'!DH$2:DH$400,MATCH(1,($A7='Offer Statistics'!$DD$2:$DD$400)*($AB$2='Offer Statistics'!$DE$2:$DE$400),0)),"/")</f>
        <v>454</v>
      </c>
      <c r="AN7" s="64" cm="1">
        <f t="array" ref="AN7">IFERROR(INDEX('Offer Statistics'!DI$2:DI$400,MATCH(1,($A7='Offer Statistics'!$DD$2:$DD$400)*($AB$2='Offer Statistics'!$DE$2:$DE$400),0)),"/")</f>
        <v>613</v>
      </c>
      <c r="AO7" s="64" cm="1">
        <f t="array" ref="AO7">IFERROR(INDEX('Offer Statistics'!DJ$2:DJ$400,MATCH(1,($A7='Offer Statistics'!$DD$2:$DD$400)*($AB$2='Offer Statistics'!$DE$2:$DE$400),0)),"/")</f>
        <v>551</v>
      </c>
      <c r="AP7" s="15"/>
      <c r="AQ7" s="15" t="str">
        <f t="shared" si="3"/>
        <v>JS7216</v>
      </c>
    </row>
    <row r="8" spans="1:43" s="4" customFormat="1" ht="18" customHeight="1">
      <c r="A8" s="4" t="str">
        <f>'Reference Score Calculation'!A285</f>
        <v>JS7225</v>
      </c>
      <c r="B8" s="4" t="str">
        <f>'Reference Score Calculation'!C285</f>
        <v>商學院</v>
      </c>
      <c r="C8" s="4" t="str">
        <f>計分版!C308</f>
        <v>數據科學(榮譽)理學士</v>
      </c>
      <c r="D8" s="4" t="str">
        <f>'Reference Score Calculation'!R285</f>
        <v>BSc (Hons) Data Science</v>
      </c>
      <c r="E8" s="392" t="str">
        <f>'Reference Score Calculation'!AB285</f>
        <v>Best 5</v>
      </c>
      <c r="F8" s="397" t="str">
        <f>'Reference Score Calculation'!E285</f>
        <v>Best 5</v>
      </c>
      <c r="G8" s="6">
        <f>'Reference Score Calculation'!H285</f>
        <v>29</v>
      </c>
      <c r="H8" s="6">
        <f>'Reference Score Calculation'!I285</f>
        <v>28</v>
      </c>
      <c r="I8" s="45">
        <f>計分版!J308</f>
        <v>4.3500000000000001E-9</v>
      </c>
      <c r="J8" s="180">
        <f t="shared" si="0"/>
        <v>-28.999999995650001</v>
      </c>
      <c r="K8" s="181">
        <f t="shared" si="1"/>
        <v>-6666666665.666667</v>
      </c>
      <c r="L8" s="36">
        <f>'Reference Score Calculation'!T285</f>
        <v>25</v>
      </c>
      <c r="M8" s="86">
        <f>入學要求!Z294</f>
        <v>0</v>
      </c>
      <c r="N8" s="516"/>
      <c r="O8" s="183">
        <f>入學要求!L294</f>
        <v>3</v>
      </c>
      <c r="P8" s="183">
        <f>入學要求!M294</f>
        <v>3</v>
      </c>
      <c r="Q8" s="183">
        <f>入學要求!N294</f>
        <v>3</v>
      </c>
      <c r="R8" s="183">
        <f>入學要求!O294</f>
        <v>1</v>
      </c>
      <c r="S8" s="183">
        <f>入學要求!P294</f>
        <v>2</v>
      </c>
      <c r="T8" s="182">
        <f>入學要求!Q294</f>
        <v>2</v>
      </c>
      <c r="U8" s="278">
        <f>入學要求!S294</f>
        <v>0</v>
      </c>
      <c r="V8" s="278">
        <f>入學要求!T294</f>
        <v>0</v>
      </c>
      <c r="W8" s="278">
        <f>入學要求!U294</f>
        <v>0</v>
      </c>
      <c r="X8" s="278">
        <f>入學要求!V294</f>
        <v>0</v>
      </c>
      <c r="Y8" s="278">
        <f>入學要求!W294</f>
        <v>0</v>
      </c>
      <c r="Z8" s="278">
        <f>入學要求!X294</f>
        <v>0</v>
      </c>
      <c r="AA8" s="36">
        <f t="shared" si="2"/>
        <v>13.07</v>
      </c>
      <c r="AB8" s="510"/>
      <c r="AC8" s="36" cm="1">
        <f t="array" ref="AC8">IFERROR(INDEX('Offer Statistics'!DS$2:DS$400,MATCH(1,($A8='Offer Statistics'!$DD$2:$DD$400)*($AB$2='Offer Statistics'!$DE$2:$DE$400),0)),"/")</f>
        <v>30</v>
      </c>
      <c r="AD8" s="64" cm="1">
        <f t="array" ref="AD8">IFERROR(INDEX('Offer Statistics'!DN$2:DN$400,MATCH(1,($A8='Offer Statistics'!$DD$2:$DD$400)*($AB$2='Offer Statistics'!$DE$2:$DE$400),0)),"/")</f>
        <v>15</v>
      </c>
      <c r="AE8" s="64" cm="1">
        <f t="array" ref="AE8">IFERROR(INDEX('Offer Statistics'!DO$2:DO$400,MATCH(1,($A8='Offer Statistics'!$DD$2:$DD$400)*($AB$2='Offer Statistics'!$DE$2:$DE$400),0)),"/")</f>
        <v>15</v>
      </c>
      <c r="AF8" s="64" cm="1">
        <f t="array" ref="AF8">IFERROR(INDEX('Offer Statistics'!DP$2:DP$400,MATCH(1,($A8='Offer Statistics'!$DD$2:$DD$400)*($AB$2='Offer Statistics'!$DE$2:$DE$400),0)),"/")</f>
        <v>0</v>
      </c>
      <c r="AG8" s="64" cm="1">
        <f t="array" ref="AG8">IFERROR(INDEX('Offer Statistics'!DQ$2:DQ$400,MATCH(1,($A8='Offer Statistics'!$DD$2:$DD$400)*($AB$2='Offer Statistics'!$DE$2:$DE$400),0)),"/")</f>
        <v>0</v>
      </c>
      <c r="AH8" s="64" cm="1">
        <f t="array" ref="AH8">IFERROR(INDEX('Offer Statistics'!DR$2:DR$400,MATCH(1,($A8='Offer Statistics'!$DD$2:$DD$400)*($AB$2='Offer Statistics'!$DE$2:$DE$400),0)),"/")</f>
        <v>0</v>
      </c>
      <c r="AI8" s="511"/>
      <c r="AJ8" s="36" cm="1">
        <f t="array" ref="AJ8">IFERROR(INDEX('Offer Statistics'!DK$2:DK$400,MATCH(1,($A8='Offer Statistics'!$DD$2:$DD$400)*($AB$2='Offer Statistics'!$DE$2:$DE$400),0)),"/")</f>
        <v>1521</v>
      </c>
      <c r="AK8" s="64" cm="1">
        <f t="array" ref="AK8">IFERROR(INDEX('Offer Statistics'!DF$2:DF$400,MATCH(1,($A8='Offer Statistics'!$DD$2:$DD$400)*($AB$2='Offer Statistics'!$DE$2:$DE$400),0)),"/")</f>
        <v>196</v>
      </c>
      <c r="AL8" s="64" cm="1">
        <f t="array" ref="AL8">IFERROR(INDEX('Offer Statistics'!DG$2:DG$400,MATCH(1,($A8='Offer Statistics'!$DD$2:$DD$400)*($AB$2='Offer Statistics'!$DE$2:$DE$400),0)),"/")</f>
        <v>260</v>
      </c>
      <c r="AM8" s="64" cm="1">
        <f t="array" ref="AM8">IFERROR(INDEX('Offer Statistics'!DH$2:DH$400,MATCH(1,($A8='Offer Statistics'!$DD$2:$DD$400)*($AB$2='Offer Statistics'!$DE$2:$DE$400),0)),"/")</f>
        <v>290</v>
      </c>
      <c r="AN8" s="64" cm="1">
        <f t="array" ref="AN8">IFERROR(INDEX('Offer Statistics'!DI$2:DI$400,MATCH(1,($A8='Offer Statistics'!$DD$2:$DD$400)*($AB$2='Offer Statistics'!$DE$2:$DE$400),0)),"/")</f>
        <v>374</v>
      </c>
      <c r="AO8" s="64" cm="1">
        <f t="array" ref="AO8">IFERROR(INDEX('Offer Statistics'!DJ$2:DJ$400,MATCH(1,($A8='Offer Statistics'!$DD$2:$DD$400)*($AB$2='Offer Statistics'!$DE$2:$DE$400),0)),"/")</f>
        <v>401</v>
      </c>
      <c r="AP8" s="15"/>
      <c r="AQ8" s="15" t="str">
        <f t="shared" si="3"/>
        <v>JS7225</v>
      </c>
    </row>
    <row r="9" spans="1:43" s="4" customFormat="1" ht="18" customHeight="1">
      <c r="A9" s="4" t="str">
        <f>'Reference Score Calculation'!A286</f>
        <v>JS7301</v>
      </c>
      <c r="B9" s="4" t="str">
        <f>'Reference Score Calculation'!C286</f>
        <v>社會科學院</v>
      </c>
      <c r="C9" s="4" t="str">
        <f>計分版!C309</f>
        <v>社會科學(榮譽)學士 - 經濟學</v>
      </c>
      <c r="D9" s="4" t="str">
        <f>'Reference Score Calculation'!R286</f>
        <v>BSocSc (Hons) Economics</v>
      </c>
      <c r="E9" s="392" t="str">
        <f>'Reference Score Calculation'!AB286</f>
        <v>Best 5</v>
      </c>
      <c r="F9" s="397" t="str">
        <f>'Reference Score Calculation'!E286</f>
        <v>Best 5</v>
      </c>
      <c r="G9" s="6">
        <f>'Reference Score Calculation'!H286</f>
        <v>28</v>
      </c>
      <c r="H9" s="6">
        <f>'Reference Score Calculation'!I286</f>
        <v>26.75</v>
      </c>
      <c r="I9" s="45">
        <f>計分版!J309</f>
        <v>3.9500000000000006E-9</v>
      </c>
      <c r="J9" s="180">
        <f t="shared" si="0"/>
        <v>-27.999999996050001</v>
      </c>
      <c r="K9" s="181">
        <f t="shared" si="1"/>
        <v>-7088607593.9367075</v>
      </c>
      <c r="L9" s="36">
        <f>'Reference Score Calculation'!T286</f>
        <v>15</v>
      </c>
      <c r="M9" s="86">
        <f>入學要求!Z295</f>
        <v>0</v>
      </c>
      <c r="N9" s="516"/>
      <c r="O9" s="183">
        <f>入學要求!L295</f>
        <v>3</v>
      </c>
      <c r="P9" s="183">
        <f>入學要求!M295</f>
        <v>3</v>
      </c>
      <c r="Q9" s="183">
        <f>入學要求!N295</f>
        <v>2</v>
      </c>
      <c r="R9" s="183">
        <f>入學要求!O295</f>
        <v>1</v>
      </c>
      <c r="S9" s="183">
        <f>入學要求!P295</f>
        <v>2</v>
      </c>
      <c r="T9" s="182">
        <f>入學要求!Q295</f>
        <v>2</v>
      </c>
      <c r="U9" s="278">
        <f>入學要求!S295</f>
        <v>0</v>
      </c>
      <c r="V9" s="278">
        <f>入學要求!T295</f>
        <v>0</v>
      </c>
      <c r="W9" s="278">
        <f>入學要求!U295</f>
        <v>0</v>
      </c>
      <c r="X9" s="278">
        <f>入學要求!V295</f>
        <v>0</v>
      </c>
      <c r="Y9" s="278">
        <f>入學要求!W295</f>
        <v>0</v>
      </c>
      <c r="Z9" s="278">
        <f>入學要求!X295</f>
        <v>0</v>
      </c>
      <c r="AA9" s="36">
        <f t="shared" si="2"/>
        <v>28.5</v>
      </c>
      <c r="AB9" s="510"/>
      <c r="AC9" s="36" cm="1">
        <f t="array" ref="AC9">IFERROR(INDEX('Offer Statistics'!DS$2:DS$400,MATCH(1,($A9='Offer Statistics'!$DD$2:$DD$400)*($AB$2='Offer Statistics'!$DE$2:$DE$400),0)),"/")</f>
        <v>25</v>
      </c>
      <c r="AD9" s="64" cm="1">
        <f t="array" ref="AD9">IFERROR(INDEX('Offer Statistics'!DN$2:DN$400,MATCH(1,($A9='Offer Statistics'!$DD$2:$DD$400)*($AB$2='Offer Statistics'!$DE$2:$DE$400),0)),"/")</f>
        <v>12</v>
      </c>
      <c r="AE9" s="64" cm="1">
        <f t="array" ref="AE9">IFERROR(INDEX('Offer Statistics'!DO$2:DO$400,MATCH(1,($A9='Offer Statistics'!$DD$2:$DD$400)*($AB$2='Offer Statistics'!$DE$2:$DE$400),0)),"/")</f>
        <v>13</v>
      </c>
      <c r="AF9" s="64" cm="1">
        <f t="array" ref="AF9">IFERROR(INDEX('Offer Statistics'!DP$2:DP$400,MATCH(1,($A9='Offer Statistics'!$DD$2:$DD$400)*($AB$2='Offer Statistics'!$DE$2:$DE$400),0)),"/")</f>
        <v>0</v>
      </c>
      <c r="AG9" s="64" cm="1">
        <f t="array" ref="AG9">IFERROR(INDEX('Offer Statistics'!DQ$2:DQ$400,MATCH(1,($A9='Offer Statistics'!$DD$2:$DD$400)*($AB$2='Offer Statistics'!$DE$2:$DE$400),0)),"/")</f>
        <v>0</v>
      </c>
      <c r="AH9" s="64" cm="1">
        <f t="array" ref="AH9">IFERROR(INDEX('Offer Statistics'!DR$2:DR$400,MATCH(1,($A9='Offer Statistics'!$DD$2:$DD$400)*($AB$2='Offer Statistics'!$DE$2:$DE$400),0)),"/")</f>
        <v>0</v>
      </c>
      <c r="AI9" s="511"/>
      <c r="AJ9" s="36" cm="1">
        <f t="array" ref="AJ9">IFERROR(INDEX('Offer Statistics'!DK$2:DK$400,MATCH(1,($A9='Offer Statistics'!$DD$2:$DD$400)*($AB$2='Offer Statistics'!$DE$2:$DE$400),0)),"/")</f>
        <v>2045</v>
      </c>
      <c r="AK9" s="64" cm="1">
        <f t="array" ref="AK9">IFERROR(INDEX('Offer Statistics'!DF$2:DF$400,MATCH(1,($A9='Offer Statistics'!$DD$2:$DD$400)*($AB$2='Offer Statistics'!$DE$2:$DE$400),0)),"/")</f>
        <v>342</v>
      </c>
      <c r="AL9" s="64" cm="1">
        <f t="array" ref="AL9">IFERROR(INDEX('Offer Statistics'!DG$2:DG$400,MATCH(1,($A9='Offer Statistics'!$DD$2:$DD$400)*($AB$2='Offer Statistics'!$DE$2:$DE$400),0)),"/")</f>
        <v>392</v>
      </c>
      <c r="AM9" s="64" cm="1">
        <f t="array" ref="AM9">IFERROR(INDEX('Offer Statistics'!DH$2:DH$400,MATCH(1,($A9='Offer Statistics'!$DD$2:$DD$400)*($AB$2='Offer Statistics'!$DE$2:$DE$400),0)),"/")</f>
        <v>408</v>
      </c>
      <c r="AN9" s="64" cm="1">
        <f t="array" ref="AN9">IFERROR(INDEX('Offer Statistics'!DI$2:DI$400,MATCH(1,($A9='Offer Statistics'!$DD$2:$DD$400)*($AB$2='Offer Statistics'!$DE$2:$DE$400),0)),"/")</f>
        <v>465</v>
      </c>
      <c r="AO9" s="64" cm="1">
        <f t="array" ref="AO9">IFERROR(INDEX('Offer Statistics'!DJ$2:DJ$400,MATCH(1,($A9='Offer Statistics'!$DD$2:$DD$400)*($AB$2='Offer Statistics'!$DE$2:$DE$400),0)),"/")</f>
        <v>438</v>
      </c>
      <c r="AP9" s="15"/>
      <c r="AQ9" s="15" t="str">
        <f t="shared" si="3"/>
        <v>JS7301</v>
      </c>
    </row>
    <row r="10" spans="1:43" s="4" customFormat="1" ht="18" customHeight="1">
      <c r="A10" s="4" t="str">
        <f>'Reference Score Calculation'!A287</f>
        <v>JS7302</v>
      </c>
      <c r="B10" s="4" t="str">
        <f>'Reference Score Calculation'!C287</f>
        <v>社會科學院</v>
      </c>
      <c r="C10" s="4" t="str">
        <f>計分版!C310</f>
        <v>社會科學(榮譽)學士 - 政府與國際事務學</v>
      </c>
      <c r="D10" s="4" t="str">
        <f>'Reference Score Calculation'!R287</f>
        <v>BSocSc (Hons) Gov't &amp; IA</v>
      </c>
      <c r="E10" s="392" t="str">
        <f>'Reference Score Calculation'!AB287</f>
        <v>Best 5</v>
      </c>
      <c r="F10" s="397" t="str">
        <f>'Reference Score Calculation'!E287</f>
        <v>Best 5</v>
      </c>
      <c r="G10" s="6">
        <f>'Reference Score Calculation'!H287</f>
        <v>28.5</v>
      </c>
      <c r="H10" s="6">
        <f>'Reference Score Calculation'!I287</f>
        <v>28</v>
      </c>
      <c r="I10" s="45">
        <f>計分版!J310</f>
        <v>3.9500000000000006E-9</v>
      </c>
      <c r="J10" s="180">
        <f t="shared" si="0"/>
        <v>-28.499999996050001</v>
      </c>
      <c r="K10" s="181">
        <f t="shared" si="1"/>
        <v>-7215189872.4177208</v>
      </c>
      <c r="L10" s="36">
        <f>'Reference Score Calculation'!T287</f>
        <v>15</v>
      </c>
      <c r="M10" s="86">
        <f>入學要求!Z296</f>
        <v>0</v>
      </c>
      <c r="N10" s="516"/>
      <c r="O10" s="183">
        <f>入學要求!L296</f>
        <v>3</v>
      </c>
      <c r="P10" s="183">
        <f>入學要求!M296</f>
        <v>3</v>
      </c>
      <c r="Q10" s="183">
        <f>入學要求!N296</f>
        <v>2</v>
      </c>
      <c r="R10" s="183">
        <f>入學要求!O296</f>
        <v>1</v>
      </c>
      <c r="S10" s="183">
        <f>入學要求!P296</f>
        <v>2</v>
      </c>
      <c r="T10" s="182">
        <f>入學要求!Q296</f>
        <v>2</v>
      </c>
      <c r="U10" s="278">
        <f>入學要求!S296</f>
        <v>0</v>
      </c>
      <c r="V10" s="278">
        <f>入學要求!T296</f>
        <v>0</v>
      </c>
      <c r="W10" s="278">
        <f>入學要求!U296</f>
        <v>0</v>
      </c>
      <c r="X10" s="278">
        <f>入學要求!V296</f>
        <v>0</v>
      </c>
      <c r="Y10" s="278">
        <f>入學要求!W296</f>
        <v>0</v>
      </c>
      <c r="Z10" s="278">
        <f>入學要求!X296</f>
        <v>0</v>
      </c>
      <c r="AA10" s="36">
        <f t="shared" si="2"/>
        <v>6.89</v>
      </c>
      <c r="AB10" s="510"/>
      <c r="AC10" s="36" cm="1">
        <f t="array" ref="AC10">IFERROR(INDEX('Offer Statistics'!DS$2:DS$400,MATCH(1,($A10='Offer Statistics'!$DD$2:$DD$400)*($AB$2='Offer Statistics'!$DE$2:$DE$400),0)),"/")</f>
        <v>18</v>
      </c>
      <c r="AD10" s="64" cm="1">
        <f t="array" ref="AD10">IFERROR(INDEX('Offer Statistics'!DN$2:DN$400,MATCH(1,($A10='Offer Statistics'!$DD$2:$DD$400)*($AB$2='Offer Statistics'!$DE$2:$DE$400),0)),"/")</f>
        <v>18</v>
      </c>
      <c r="AE10" s="64" cm="1">
        <f t="array" ref="AE10">IFERROR(INDEX('Offer Statistics'!DO$2:DO$400,MATCH(1,($A10='Offer Statistics'!$DD$2:$DD$400)*($AB$2='Offer Statistics'!$DE$2:$DE$400),0)),"/")</f>
        <v>0</v>
      </c>
      <c r="AF10" s="64" cm="1">
        <f t="array" ref="AF10">IFERROR(INDEX('Offer Statistics'!DP$2:DP$400,MATCH(1,($A10='Offer Statistics'!$DD$2:$DD$400)*($AB$2='Offer Statistics'!$DE$2:$DE$400),0)),"/")</f>
        <v>0</v>
      </c>
      <c r="AG10" s="64" cm="1">
        <f t="array" ref="AG10">IFERROR(INDEX('Offer Statistics'!DQ$2:DQ$400,MATCH(1,($A10='Offer Statistics'!$DD$2:$DD$400)*($AB$2='Offer Statistics'!$DE$2:$DE$400),0)),"/")</f>
        <v>0</v>
      </c>
      <c r="AH10" s="64" cm="1">
        <f t="array" ref="AH10">IFERROR(INDEX('Offer Statistics'!DR$2:DR$400,MATCH(1,($A10='Offer Statistics'!$DD$2:$DD$400)*($AB$2='Offer Statistics'!$DE$2:$DE$400),0)),"/")</f>
        <v>0</v>
      </c>
      <c r="AI10" s="511"/>
      <c r="AJ10" s="36" cm="1">
        <f t="array" ref="AJ10">IFERROR(INDEX('Offer Statistics'!DK$2:DK$400,MATCH(1,($A10='Offer Statistics'!$DD$2:$DD$400)*($AB$2='Offer Statistics'!$DE$2:$DE$400),0)),"/")</f>
        <v>1107</v>
      </c>
      <c r="AK10" s="64" cm="1">
        <f t="array" ref="AK10">IFERROR(INDEX('Offer Statistics'!DF$2:DF$400,MATCH(1,($A10='Offer Statistics'!$DD$2:$DD$400)*($AB$2='Offer Statistics'!$DE$2:$DE$400),0)),"/")</f>
        <v>124</v>
      </c>
      <c r="AL10" s="64" cm="1">
        <f t="array" ref="AL10">IFERROR(INDEX('Offer Statistics'!DG$2:DG$400,MATCH(1,($A10='Offer Statistics'!$DD$2:$DD$400)*($AB$2='Offer Statistics'!$DE$2:$DE$400),0)),"/")</f>
        <v>191</v>
      </c>
      <c r="AM10" s="64" cm="1">
        <f t="array" ref="AM10">IFERROR(INDEX('Offer Statistics'!DH$2:DH$400,MATCH(1,($A10='Offer Statistics'!$DD$2:$DD$400)*($AB$2='Offer Statistics'!$DE$2:$DE$400),0)),"/")</f>
        <v>246</v>
      </c>
      <c r="AN10" s="64" cm="1">
        <f t="array" ref="AN10">IFERROR(INDEX('Offer Statistics'!DI$2:DI$400,MATCH(1,($A10='Offer Statistics'!$DD$2:$DD$400)*($AB$2='Offer Statistics'!$DE$2:$DE$400),0)),"/")</f>
        <v>273</v>
      </c>
      <c r="AO10" s="64" cm="1">
        <f t="array" ref="AO10">IFERROR(INDEX('Offer Statistics'!DJ$2:DJ$400,MATCH(1,($A10='Offer Statistics'!$DD$2:$DD$400)*($AB$2='Offer Statistics'!$DE$2:$DE$400),0)),"/")</f>
        <v>273</v>
      </c>
      <c r="AP10" s="15"/>
      <c r="AQ10" s="15" t="str">
        <f t="shared" si="3"/>
        <v>JS7302</v>
      </c>
    </row>
    <row r="11" spans="1:43" s="4" customFormat="1" ht="18" customHeight="1">
      <c r="A11" s="4" t="str">
        <f>'Reference Score Calculation'!A288</f>
        <v>JS7303</v>
      </c>
      <c r="B11" s="4" t="str">
        <f>'Reference Score Calculation'!C288</f>
        <v>社會科學院</v>
      </c>
      <c r="C11" s="4" t="str">
        <f>計分版!C311</f>
        <v>社會科學(榮譽)學士 - 心理學</v>
      </c>
      <c r="D11" s="4" t="str">
        <f>'Reference Score Calculation'!R288</f>
        <v>BSocSc (Hons) Psychology</v>
      </c>
      <c r="E11" s="392" t="str">
        <f>'Reference Score Calculation'!AB288</f>
        <v>Best 5</v>
      </c>
      <c r="F11" s="394" t="str">
        <f>'Reference Score Calculation'!E288</f>
        <v>Best 5</v>
      </c>
      <c r="G11" s="6">
        <f>'Reference Score Calculation'!H288</f>
        <v>27.5</v>
      </c>
      <c r="H11" s="6">
        <f>'Reference Score Calculation'!I288</f>
        <v>26.5</v>
      </c>
      <c r="I11" s="45">
        <f>計分版!J311</f>
        <v>3.9500000000000006E-9</v>
      </c>
      <c r="J11" s="180">
        <f t="shared" si="0"/>
        <v>-27.499999996050001</v>
      </c>
      <c r="K11" s="181">
        <f t="shared" si="1"/>
        <v>-6962025315.4556952</v>
      </c>
      <c r="L11" s="36">
        <f>'Reference Score Calculation'!T288</f>
        <v>21</v>
      </c>
      <c r="M11" s="86">
        <f>入學要求!Z297</f>
        <v>0</v>
      </c>
      <c r="N11" s="516"/>
      <c r="O11" s="183">
        <f>入學要求!L297</f>
        <v>3</v>
      </c>
      <c r="P11" s="183">
        <f>入學要求!M297</f>
        <v>3</v>
      </c>
      <c r="Q11" s="183">
        <f>入學要求!N297</f>
        <v>2</v>
      </c>
      <c r="R11" s="183">
        <f>入學要求!O297</f>
        <v>1</v>
      </c>
      <c r="S11" s="183">
        <f>入學要求!P297</f>
        <v>2</v>
      </c>
      <c r="T11" s="182">
        <f>入學要求!Q297</f>
        <v>2</v>
      </c>
      <c r="U11" s="278">
        <f>入學要求!S297</f>
        <v>0</v>
      </c>
      <c r="V11" s="278">
        <f>入學要求!T297</f>
        <v>0</v>
      </c>
      <c r="W11" s="278">
        <f>入學要求!U297</f>
        <v>0</v>
      </c>
      <c r="X11" s="278">
        <f>入學要求!V297</f>
        <v>0</v>
      </c>
      <c r="Y11" s="278">
        <f>入學要求!W297</f>
        <v>0</v>
      </c>
      <c r="Z11" s="278">
        <f>入學要求!X297</f>
        <v>0</v>
      </c>
      <c r="AA11" s="36">
        <f t="shared" si="2"/>
        <v>20</v>
      </c>
      <c r="AB11" s="510"/>
      <c r="AC11" s="36" cm="1">
        <f t="array" ref="AC11">IFERROR(INDEX('Offer Statistics'!DS$2:DS$400,MATCH(1,($A11='Offer Statistics'!$DD$2:$DD$400)*($AB$2='Offer Statistics'!$DE$2:$DE$400),0)),"/")</f>
        <v>25</v>
      </c>
      <c r="AD11" s="64" cm="1">
        <f t="array" ref="AD11">IFERROR(INDEX('Offer Statistics'!DN$2:DN$400,MATCH(1,($A11='Offer Statistics'!$DD$2:$DD$400)*($AB$2='Offer Statistics'!$DE$2:$DE$400),0)),"/")</f>
        <v>21</v>
      </c>
      <c r="AE11" s="64" cm="1">
        <f t="array" ref="AE11">IFERROR(INDEX('Offer Statistics'!DO$2:DO$400,MATCH(1,($A11='Offer Statistics'!$DD$2:$DD$400)*($AB$2='Offer Statistics'!$DE$2:$DE$400),0)),"/")</f>
        <v>2</v>
      </c>
      <c r="AF11" s="64" cm="1">
        <f t="array" ref="AF11">IFERROR(INDEX('Offer Statistics'!DP$2:DP$400,MATCH(1,($A11='Offer Statistics'!$DD$2:$DD$400)*($AB$2='Offer Statistics'!$DE$2:$DE$400),0)),"/")</f>
        <v>2</v>
      </c>
      <c r="AG11" s="64" cm="1">
        <f t="array" ref="AG11">IFERROR(INDEX('Offer Statistics'!DQ$2:DQ$400,MATCH(1,($A11='Offer Statistics'!$DD$2:$DD$400)*($AB$2='Offer Statistics'!$DE$2:$DE$400),0)),"/")</f>
        <v>0</v>
      </c>
      <c r="AH11" s="64" cm="1">
        <f t="array" ref="AH11">IFERROR(INDEX('Offer Statistics'!DR$2:DR$400,MATCH(1,($A11='Offer Statistics'!$DD$2:$DD$400)*($AB$2='Offer Statistics'!$DE$2:$DE$400),0)),"/")</f>
        <v>0</v>
      </c>
      <c r="AI11" s="511"/>
      <c r="AJ11" s="36" cm="1">
        <f t="array" ref="AJ11">IFERROR(INDEX('Offer Statistics'!DK$2:DK$400,MATCH(1,($A11='Offer Statistics'!$DD$2:$DD$400)*($AB$2='Offer Statistics'!$DE$2:$DE$400),0)),"/")</f>
        <v>4020</v>
      </c>
      <c r="AK11" s="64" cm="1">
        <f t="array" ref="AK11">IFERROR(INDEX('Offer Statistics'!DF$2:DF$400,MATCH(1,($A11='Offer Statistics'!$DD$2:$DD$400)*($AB$2='Offer Statistics'!$DE$2:$DE$400),0)),"/")</f>
        <v>420</v>
      </c>
      <c r="AL11" s="64" cm="1">
        <f t="array" ref="AL11">IFERROR(INDEX('Offer Statistics'!DG$2:DG$400,MATCH(1,($A11='Offer Statistics'!$DD$2:$DD$400)*($AB$2='Offer Statistics'!$DE$2:$DE$400),0)),"/")</f>
        <v>598</v>
      </c>
      <c r="AM11" s="64" cm="1">
        <f t="array" ref="AM11">IFERROR(INDEX('Offer Statistics'!DH$2:DH$400,MATCH(1,($A11='Offer Statistics'!$DD$2:$DD$400)*($AB$2='Offer Statistics'!$DE$2:$DE$400),0)),"/")</f>
        <v>885</v>
      </c>
      <c r="AN11" s="64" cm="1">
        <f t="array" ref="AN11">IFERROR(INDEX('Offer Statistics'!DI$2:DI$400,MATCH(1,($A11='Offer Statistics'!$DD$2:$DD$400)*($AB$2='Offer Statistics'!$DE$2:$DE$400),0)),"/")</f>
        <v>1105</v>
      </c>
      <c r="AO11" s="64" cm="1">
        <f t="array" ref="AO11">IFERROR(INDEX('Offer Statistics'!DJ$2:DJ$400,MATCH(1,($A11='Offer Statistics'!$DD$2:$DD$400)*($AB$2='Offer Statistics'!$DE$2:$DE$400),0)),"/")</f>
        <v>1012</v>
      </c>
      <c r="AP11" s="15"/>
      <c r="AQ11" s="15" t="str">
        <f t="shared" si="3"/>
        <v>JS7303</v>
      </c>
    </row>
    <row r="12" spans="1:43" s="4" customFormat="1" ht="18" customHeight="1">
      <c r="A12" s="4" t="str">
        <f>'Reference Score Calculation'!A289</f>
        <v>JS7304</v>
      </c>
      <c r="B12" s="4" t="str">
        <f>'Reference Score Calculation'!C289</f>
        <v>社會科學院</v>
      </c>
      <c r="C12" s="4" t="str">
        <f>計分版!C312</f>
        <v>社會科學(榮譽)學士 - 社會學</v>
      </c>
      <c r="D12" s="4" t="str">
        <f>'Reference Score Calculation'!R289</f>
        <v>BSocSc (Hons) Sociology</v>
      </c>
      <c r="E12" s="392" t="str">
        <f>'Reference Score Calculation'!AB289</f>
        <v>Best 5</v>
      </c>
      <c r="F12" s="394" t="str">
        <f>'Reference Score Calculation'!E289</f>
        <v>Best 5</v>
      </c>
      <c r="G12" s="6">
        <f>'Reference Score Calculation'!H289</f>
        <v>27</v>
      </c>
      <c r="H12" s="6">
        <f>'Reference Score Calculation'!I289</f>
        <v>26</v>
      </c>
      <c r="I12" s="45">
        <f>計分版!J312</f>
        <v>3.9500000000000006E-9</v>
      </c>
      <c r="J12" s="180">
        <f t="shared" si="0"/>
        <v>-26.999999996050001</v>
      </c>
      <c r="K12" s="181">
        <f t="shared" si="1"/>
        <v>-6835443036.9746828</v>
      </c>
      <c r="L12" s="36">
        <f>'Reference Score Calculation'!T289</f>
        <v>17</v>
      </c>
      <c r="M12" s="86">
        <f>入學要求!Z298</f>
        <v>0</v>
      </c>
      <c r="N12" s="516"/>
      <c r="O12" s="183">
        <f>入學要求!L298</f>
        <v>3</v>
      </c>
      <c r="P12" s="183">
        <f>入學要求!M298</f>
        <v>3</v>
      </c>
      <c r="Q12" s="183">
        <f>入學要求!N298</f>
        <v>2</v>
      </c>
      <c r="R12" s="183">
        <f>入學要求!O298</f>
        <v>1</v>
      </c>
      <c r="S12" s="183">
        <f>入學要求!P298</f>
        <v>2</v>
      </c>
      <c r="T12" s="182">
        <f>入學要求!Q298</f>
        <v>2</v>
      </c>
      <c r="U12" s="278">
        <f>入學要求!S298</f>
        <v>0</v>
      </c>
      <c r="V12" s="278">
        <f>入學要求!T298</f>
        <v>0</v>
      </c>
      <c r="W12" s="278">
        <f>入學要求!U298</f>
        <v>0</v>
      </c>
      <c r="X12" s="278">
        <f>入學要求!V298</f>
        <v>0</v>
      </c>
      <c r="Y12" s="278">
        <f>入學要求!W298</f>
        <v>0</v>
      </c>
      <c r="Z12" s="278">
        <f>入學要求!X298</f>
        <v>0</v>
      </c>
      <c r="AA12" s="36">
        <f t="shared" si="2"/>
        <v>19.88</v>
      </c>
      <c r="AB12" s="510"/>
      <c r="AC12" s="36" cm="1">
        <f t="array" ref="AC12">IFERROR(INDEX('Offer Statistics'!DS$2:DS$400,MATCH(1,($A12='Offer Statistics'!$DD$2:$DD$400)*($AB$2='Offer Statistics'!$DE$2:$DE$400),0)),"/")</f>
        <v>28</v>
      </c>
      <c r="AD12" s="64" cm="1">
        <f t="array" ref="AD12">IFERROR(INDEX('Offer Statistics'!DN$2:DN$400,MATCH(1,($A12='Offer Statistics'!$DD$2:$DD$400)*($AB$2='Offer Statistics'!$DE$2:$DE$400),0)),"/")</f>
        <v>26</v>
      </c>
      <c r="AE12" s="64" cm="1">
        <f t="array" ref="AE12">IFERROR(INDEX('Offer Statistics'!DO$2:DO$400,MATCH(1,($A12='Offer Statistics'!$DD$2:$DD$400)*($AB$2='Offer Statistics'!$DE$2:$DE$400),0)),"/")</f>
        <v>2</v>
      </c>
      <c r="AF12" s="64" cm="1">
        <f t="array" ref="AF12">IFERROR(INDEX('Offer Statistics'!DP$2:DP$400,MATCH(1,($A12='Offer Statistics'!$DD$2:$DD$400)*($AB$2='Offer Statistics'!$DE$2:$DE$400),0)),"/")</f>
        <v>0</v>
      </c>
      <c r="AG12" s="64" cm="1">
        <f t="array" ref="AG12">IFERROR(INDEX('Offer Statistics'!DQ$2:DQ$400,MATCH(1,($A12='Offer Statistics'!$DD$2:$DD$400)*($AB$2='Offer Statistics'!$DE$2:$DE$400),0)),"/")</f>
        <v>0</v>
      </c>
      <c r="AH12" s="64" cm="1">
        <f t="array" ref="AH12">IFERROR(INDEX('Offer Statistics'!DR$2:DR$400,MATCH(1,($A12='Offer Statistics'!$DD$2:$DD$400)*($AB$2='Offer Statistics'!$DE$2:$DE$400),0)),"/")</f>
        <v>0</v>
      </c>
      <c r="AI12" s="511"/>
      <c r="AJ12" s="36" cm="1">
        <f t="array" ref="AJ12">IFERROR(INDEX('Offer Statistics'!DK$2:DK$400,MATCH(1,($A12='Offer Statistics'!$DD$2:$DD$400)*($AB$2='Offer Statistics'!$DE$2:$DE$400),0)),"/")</f>
        <v>3657</v>
      </c>
      <c r="AK12" s="64" cm="1">
        <f t="array" ref="AK12">IFERROR(INDEX('Offer Statistics'!DF$2:DF$400,MATCH(1,($A12='Offer Statistics'!$DD$2:$DD$400)*($AB$2='Offer Statistics'!$DE$2:$DE$400),0)),"/")</f>
        <v>517</v>
      </c>
      <c r="AL12" s="64" cm="1">
        <f t="array" ref="AL12">IFERROR(INDEX('Offer Statistics'!DG$2:DG$400,MATCH(1,($A12='Offer Statistics'!$DD$2:$DD$400)*($AB$2='Offer Statistics'!$DE$2:$DE$400),0)),"/")</f>
        <v>680</v>
      </c>
      <c r="AM12" s="64" cm="1">
        <f t="array" ref="AM12">IFERROR(INDEX('Offer Statistics'!DH$2:DH$400,MATCH(1,($A12='Offer Statistics'!$DD$2:$DD$400)*($AB$2='Offer Statistics'!$DE$2:$DE$400),0)),"/")</f>
        <v>731</v>
      </c>
      <c r="AN12" s="64" cm="1">
        <f t="array" ref="AN12">IFERROR(INDEX('Offer Statistics'!DI$2:DI$400,MATCH(1,($A12='Offer Statistics'!$DD$2:$DD$400)*($AB$2='Offer Statistics'!$DE$2:$DE$400),0)),"/")</f>
        <v>939</v>
      </c>
      <c r="AO12" s="64" cm="1">
        <f t="array" ref="AO12">IFERROR(INDEX('Offer Statistics'!DJ$2:DJ$400,MATCH(1,($A12='Offer Statistics'!$DD$2:$DD$400)*($AB$2='Offer Statistics'!$DE$2:$DE$400),0)),"/")</f>
        <v>790</v>
      </c>
      <c r="AP12" s="15"/>
      <c r="AQ12" s="15" t="str">
        <f t="shared" si="3"/>
        <v>JS7304</v>
      </c>
    </row>
    <row r="13" spans="1:43" s="4" customFormat="1" ht="18" customHeight="1">
      <c r="A13" s="4" t="str">
        <f>'Reference Score Calculation'!A290</f>
        <v>JS7305</v>
      </c>
      <c r="B13" s="4" t="str">
        <f>'Reference Score Calculation'!C290</f>
        <v>社會科學院</v>
      </c>
      <c r="C13" s="4" t="str">
        <f>計分版!C313</f>
        <v>社會科學(榮譽)學士 - 健康及社會服務管理</v>
      </c>
      <c r="D13" s="4" t="str">
        <f>'Reference Score Calculation'!R290</f>
        <v>BSocSc (Hons) HSSM</v>
      </c>
      <c r="E13" s="392" t="str">
        <f>'Reference Score Calculation'!AB290</f>
        <v>Best 5</v>
      </c>
      <c r="F13" s="397" t="str">
        <f>'Reference Score Calculation'!E290</f>
        <v>Best 5</v>
      </c>
      <c r="G13" s="6">
        <f>'Reference Score Calculation'!H290</f>
        <v>25.5</v>
      </c>
      <c r="H13" s="6">
        <f>'Reference Score Calculation'!I290</f>
        <v>24.5</v>
      </c>
      <c r="I13" s="45">
        <f>計分版!J313</f>
        <v>3.9500000000000006E-9</v>
      </c>
      <c r="J13" s="180">
        <f t="shared" si="0"/>
        <v>-25.499999996050001</v>
      </c>
      <c r="K13" s="181">
        <f t="shared" si="1"/>
        <v>-6455696201.5316448</v>
      </c>
      <c r="L13" s="36">
        <f>'Reference Score Calculation'!T290</f>
        <v>14</v>
      </c>
      <c r="M13" s="86">
        <f>入學要求!Z299</f>
        <v>0</v>
      </c>
      <c r="N13" s="516"/>
      <c r="O13" s="183">
        <f>入學要求!L299</f>
        <v>3</v>
      </c>
      <c r="P13" s="183">
        <f>入學要求!M299</f>
        <v>3</v>
      </c>
      <c r="Q13" s="183">
        <f>入學要求!N299</f>
        <v>2</v>
      </c>
      <c r="R13" s="183">
        <f>入學要求!O299</f>
        <v>1</v>
      </c>
      <c r="S13" s="183">
        <f>入學要求!P299</f>
        <v>2</v>
      </c>
      <c r="T13" s="182">
        <f>入學要求!Q299</f>
        <v>2</v>
      </c>
      <c r="U13" s="278">
        <f>入學要求!S299</f>
        <v>0</v>
      </c>
      <c r="V13" s="278">
        <f>入學要求!T299</f>
        <v>0</v>
      </c>
      <c r="W13" s="278">
        <f>入學要求!U299</f>
        <v>0</v>
      </c>
      <c r="X13" s="278">
        <f>入學要求!V299</f>
        <v>0</v>
      </c>
      <c r="Y13" s="278">
        <f>入學要求!W299</f>
        <v>0</v>
      </c>
      <c r="Z13" s="278">
        <f>入學要求!X299</f>
        <v>0</v>
      </c>
      <c r="AA13" s="36" t="str">
        <f t="shared" si="2"/>
        <v>/</v>
      </c>
      <c r="AB13" s="510"/>
      <c r="AC13" s="36" cm="1">
        <f t="array" ref="AC13">IFERROR(INDEX('Offer Statistics'!DS$2:DS$400,MATCH(1,($A13='Offer Statistics'!$DD$2:$DD$400)*($AB$2='Offer Statistics'!$DE$2:$DE$400),0)),"/")</f>
        <v>18</v>
      </c>
      <c r="AD13" s="64" cm="1">
        <f t="array" ref="AD13">IFERROR(INDEX('Offer Statistics'!DN$2:DN$400,MATCH(1,($A13='Offer Statistics'!$DD$2:$DD$400)*($AB$2='Offer Statistics'!$DE$2:$DE$400),0)),"/")</f>
        <v>0</v>
      </c>
      <c r="AE13" s="64" cm="1">
        <f t="array" ref="AE13">IFERROR(INDEX('Offer Statistics'!DO$2:DO$400,MATCH(1,($A13='Offer Statistics'!$DD$2:$DD$400)*($AB$2='Offer Statistics'!$DE$2:$DE$400),0)),"/")</f>
        <v>6</v>
      </c>
      <c r="AF13" s="64" cm="1">
        <f t="array" ref="AF13">IFERROR(INDEX('Offer Statistics'!DP$2:DP$400,MATCH(1,($A13='Offer Statistics'!$DD$2:$DD$400)*($AB$2='Offer Statistics'!$DE$2:$DE$400),0)),"/")</f>
        <v>5</v>
      </c>
      <c r="AG13" s="64" cm="1">
        <f t="array" ref="AG13">IFERROR(INDEX('Offer Statistics'!DQ$2:DQ$400,MATCH(1,($A13='Offer Statistics'!$DD$2:$DD$400)*($AB$2='Offer Statistics'!$DE$2:$DE$400),0)),"/")</f>
        <v>3</v>
      </c>
      <c r="AH13" s="64" cm="1">
        <f t="array" ref="AH13">IFERROR(INDEX('Offer Statistics'!DR$2:DR$400,MATCH(1,($A13='Offer Statistics'!$DD$2:$DD$400)*($AB$2='Offer Statistics'!$DE$2:$DE$400),0)),"/")</f>
        <v>4</v>
      </c>
      <c r="AI13" s="511"/>
      <c r="AJ13" s="36" cm="1">
        <f t="array" ref="AJ13">IFERROR(INDEX('Offer Statistics'!DK$2:DK$400,MATCH(1,($A13='Offer Statistics'!$DD$2:$DD$400)*($AB$2='Offer Statistics'!$DE$2:$DE$400),0)),"/")</f>
        <v>1730</v>
      </c>
      <c r="AK13" s="64" cm="1">
        <f t="array" ref="AK13">IFERROR(INDEX('Offer Statistics'!DF$2:DF$400,MATCH(1,($A13='Offer Statistics'!$DD$2:$DD$400)*($AB$2='Offer Statistics'!$DE$2:$DE$400),0)),"/")</f>
        <v>111</v>
      </c>
      <c r="AL13" s="64" cm="1">
        <f t="array" ref="AL13">IFERROR(INDEX('Offer Statistics'!DG$2:DG$400,MATCH(1,($A13='Offer Statistics'!$DD$2:$DD$400)*($AB$2='Offer Statistics'!$DE$2:$DE$400),0)),"/")</f>
        <v>244</v>
      </c>
      <c r="AM13" s="64" cm="1">
        <f t="array" ref="AM13">IFERROR(INDEX('Offer Statistics'!DH$2:DH$400,MATCH(1,($A13='Offer Statistics'!$DD$2:$DD$400)*($AB$2='Offer Statistics'!$DE$2:$DE$400),0)),"/")</f>
        <v>391</v>
      </c>
      <c r="AN13" s="64" cm="1">
        <f t="array" ref="AN13">IFERROR(INDEX('Offer Statistics'!DI$2:DI$400,MATCH(1,($A13='Offer Statistics'!$DD$2:$DD$400)*($AB$2='Offer Statistics'!$DE$2:$DE$400),0)),"/")</f>
        <v>527</v>
      </c>
      <c r="AO13" s="64" cm="1">
        <f t="array" ref="AO13">IFERROR(INDEX('Offer Statistics'!DJ$2:DJ$400,MATCH(1,($A13='Offer Statistics'!$DD$2:$DD$400)*($AB$2='Offer Statistics'!$DE$2:$DE$400),0)),"/")</f>
        <v>457</v>
      </c>
      <c r="AP13" s="15"/>
      <c r="AQ13" s="15" t="str">
        <f t="shared" si="3"/>
        <v>JS7305</v>
      </c>
    </row>
    <row r="14" spans="1:43" s="4" customFormat="1" ht="18" customHeight="1">
      <c r="A14" s="4" t="str">
        <f>'Reference Score Calculation'!A291</f>
        <v>JS7306</v>
      </c>
      <c r="B14" s="4" t="str">
        <f>'Reference Score Calculation'!C291</f>
        <v>社會科學院</v>
      </c>
      <c r="C14" s="4" t="str">
        <f>計分版!C314</f>
        <v>社會科學(榮譽)學士 - 社會與公共政策研究</v>
      </c>
      <c r="D14" s="4" t="str">
        <f>'Reference Score Calculation'!R291</f>
        <v>BSocSc (Hons) SPPS</v>
      </c>
      <c r="E14" s="392" t="str">
        <f>'Reference Score Calculation'!AB291</f>
        <v>Best 5</v>
      </c>
      <c r="F14" s="397" t="str">
        <f>'Reference Score Calculation'!E291</f>
        <v>Best 5</v>
      </c>
      <c r="G14" s="6">
        <f>'Reference Score Calculation'!H291</f>
        <v>26</v>
      </c>
      <c r="H14" s="6">
        <f>'Reference Score Calculation'!I291</f>
        <v>25</v>
      </c>
      <c r="I14" s="45">
        <f>計分版!J314</f>
        <v>3.9500000000000006E-9</v>
      </c>
      <c r="J14" s="180">
        <f t="shared" si="0"/>
        <v>-25.999999996050001</v>
      </c>
      <c r="K14" s="181">
        <f t="shared" si="1"/>
        <v>-6582278480.0126572</v>
      </c>
      <c r="L14" s="36">
        <f>'Reference Score Calculation'!T291</f>
        <v>20</v>
      </c>
      <c r="M14" s="86">
        <f>入學要求!Z300</f>
        <v>0</v>
      </c>
      <c r="N14" s="516"/>
      <c r="O14" s="183">
        <f>入學要求!L300</f>
        <v>3</v>
      </c>
      <c r="P14" s="183">
        <f>入學要求!M300</f>
        <v>3</v>
      </c>
      <c r="Q14" s="183">
        <f>入學要求!N300</f>
        <v>2</v>
      </c>
      <c r="R14" s="183">
        <f>入學要求!O300</f>
        <v>1</v>
      </c>
      <c r="S14" s="183">
        <f>入學要求!P300</f>
        <v>2</v>
      </c>
      <c r="T14" s="182">
        <f>入學要求!Q300</f>
        <v>2</v>
      </c>
      <c r="U14" s="278">
        <f>入學要求!S300</f>
        <v>0</v>
      </c>
      <c r="V14" s="278">
        <f>入學要求!T300</f>
        <v>0</v>
      </c>
      <c r="W14" s="278">
        <f>入學要求!U300</f>
        <v>0</v>
      </c>
      <c r="X14" s="278">
        <f>入學要求!V300</f>
        <v>0</v>
      </c>
      <c r="Y14" s="278">
        <f>入學要求!W300</f>
        <v>0</v>
      </c>
      <c r="Z14" s="278">
        <f>入學要求!X300</f>
        <v>0</v>
      </c>
      <c r="AA14" s="36">
        <f t="shared" si="2"/>
        <v>6.75</v>
      </c>
      <c r="AB14" s="510"/>
      <c r="AC14" s="36" cm="1">
        <f t="array" ref="AC14">IFERROR(INDEX('Offer Statistics'!DS$2:DS$400,MATCH(1,($A14='Offer Statistics'!$DD$2:$DD$400)*($AB$2='Offer Statistics'!$DE$2:$DE$400),0)),"/")</f>
        <v>28</v>
      </c>
      <c r="AD14" s="64" cm="1">
        <f t="array" ref="AD14">IFERROR(INDEX('Offer Statistics'!DN$2:DN$400,MATCH(1,($A14='Offer Statistics'!$DD$2:$DD$400)*($AB$2='Offer Statistics'!$DE$2:$DE$400),0)),"/")</f>
        <v>24</v>
      </c>
      <c r="AE14" s="64" cm="1">
        <f t="array" ref="AE14">IFERROR(INDEX('Offer Statistics'!DO$2:DO$400,MATCH(1,($A14='Offer Statistics'!$DD$2:$DD$400)*($AB$2='Offer Statistics'!$DE$2:$DE$400),0)),"/")</f>
        <v>4</v>
      </c>
      <c r="AF14" s="64" cm="1">
        <f t="array" ref="AF14">IFERROR(INDEX('Offer Statistics'!DP$2:DP$400,MATCH(1,($A14='Offer Statistics'!$DD$2:$DD$400)*($AB$2='Offer Statistics'!$DE$2:$DE$400),0)),"/")</f>
        <v>0</v>
      </c>
      <c r="AG14" s="64" cm="1">
        <f t="array" ref="AG14">IFERROR(INDEX('Offer Statistics'!DQ$2:DQ$400,MATCH(1,($A14='Offer Statistics'!$DD$2:$DD$400)*($AB$2='Offer Statistics'!$DE$2:$DE$400),0)),"/")</f>
        <v>0</v>
      </c>
      <c r="AH14" s="64" cm="1">
        <f t="array" ref="AH14">IFERROR(INDEX('Offer Statistics'!DR$2:DR$400,MATCH(1,($A14='Offer Statistics'!$DD$2:$DD$400)*($AB$2='Offer Statistics'!$DE$2:$DE$400),0)),"/")</f>
        <v>0</v>
      </c>
      <c r="AI14" s="511"/>
      <c r="AJ14" s="36" cm="1">
        <f t="array" ref="AJ14">IFERROR(INDEX('Offer Statistics'!DK$2:DK$400,MATCH(1,($A14='Offer Statistics'!$DD$2:$DD$400)*($AB$2='Offer Statistics'!$DE$2:$DE$400),0)),"/")</f>
        <v>1664</v>
      </c>
      <c r="AK14" s="64" cm="1">
        <f t="array" ref="AK14">IFERROR(INDEX('Offer Statistics'!DF$2:DF$400,MATCH(1,($A14='Offer Statistics'!$DD$2:$DD$400)*($AB$2='Offer Statistics'!$DE$2:$DE$400),0)),"/")</f>
        <v>162</v>
      </c>
      <c r="AL14" s="64" cm="1">
        <f t="array" ref="AL14">IFERROR(INDEX('Offer Statistics'!DG$2:DG$400,MATCH(1,($A14='Offer Statistics'!$DD$2:$DD$400)*($AB$2='Offer Statistics'!$DE$2:$DE$400),0)),"/")</f>
        <v>322</v>
      </c>
      <c r="AM14" s="64" cm="1">
        <f t="array" ref="AM14">IFERROR(INDEX('Offer Statistics'!DH$2:DH$400,MATCH(1,($A14='Offer Statistics'!$DD$2:$DD$400)*($AB$2='Offer Statistics'!$DE$2:$DE$400),0)),"/")</f>
        <v>387</v>
      </c>
      <c r="AN14" s="64" cm="1">
        <f t="array" ref="AN14">IFERROR(INDEX('Offer Statistics'!DI$2:DI$400,MATCH(1,($A14='Offer Statistics'!$DD$2:$DD$400)*($AB$2='Offer Statistics'!$DE$2:$DE$400),0)),"/")</f>
        <v>426</v>
      </c>
      <c r="AO14" s="64" cm="1">
        <f t="array" ref="AO14">IFERROR(INDEX('Offer Statistics'!DJ$2:DJ$400,MATCH(1,($A14='Offer Statistics'!$DD$2:$DD$400)*($AB$2='Offer Statistics'!$DE$2:$DE$400),0)),"/")</f>
        <v>367</v>
      </c>
      <c r="AP14" s="15"/>
      <c r="AQ14" s="15" t="str">
        <f t="shared" si="3"/>
        <v>JS7306</v>
      </c>
    </row>
    <row r="15" spans="1:43" s="4" customFormat="1" ht="18" customHeight="1">
      <c r="A15" s="4" t="str">
        <f>'Reference Score Calculation'!A292</f>
        <v>JS7503</v>
      </c>
      <c r="B15" s="4" t="str">
        <f>'Reference Score Calculation'!C292</f>
        <v>文學院</v>
      </c>
      <c r="C15" s="4" t="str">
        <f>計分版!C315</f>
        <v>當代英語語言文學課程(榮譽)文學士</v>
      </c>
      <c r="D15" s="4" t="str">
        <f>'Reference Score Calculation'!R292</f>
        <v>BA (Hons) Contem English</v>
      </c>
      <c r="E15" s="392" t="str">
        <f>'Reference Score Calculation'!AB292</f>
        <v>Best 5</v>
      </c>
      <c r="F15" s="394" t="str">
        <f>'Reference Score Calculation'!E292</f>
        <v>Best 5</v>
      </c>
      <c r="G15" s="6">
        <f>'Reference Score Calculation'!H292</f>
        <v>27.5</v>
      </c>
      <c r="H15" s="6">
        <f>'Reference Score Calculation'!I292</f>
        <v>27</v>
      </c>
      <c r="I15" s="45">
        <f>計分版!J315</f>
        <v>3.3500000000000002E-9</v>
      </c>
      <c r="J15" s="180">
        <f t="shared" si="0"/>
        <v>-27.499999996650001</v>
      </c>
      <c r="K15" s="181">
        <f t="shared" si="1"/>
        <v>-8208955222.8805971</v>
      </c>
      <c r="L15" s="36">
        <f>'Reference Score Calculation'!T292</f>
        <v>18</v>
      </c>
      <c r="M15" s="86">
        <f>入學要求!Z301</f>
        <v>0</v>
      </c>
      <c r="N15" s="516"/>
      <c r="O15" s="183">
        <f>入學要求!L301</f>
        <v>3</v>
      </c>
      <c r="P15" s="183">
        <f>入學要求!M301</f>
        <v>3</v>
      </c>
      <c r="Q15" s="183">
        <f>入學要求!N301</f>
        <v>2</v>
      </c>
      <c r="R15" s="183">
        <f>入學要求!O301</f>
        <v>1</v>
      </c>
      <c r="S15" s="183">
        <f>入學要求!P301</f>
        <v>2</v>
      </c>
      <c r="T15" s="182">
        <f>入學要求!Q301</f>
        <v>2</v>
      </c>
      <c r="U15" s="278">
        <f>入學要求!S301</f>
        <v>0</v>
      </c>
      <c r="V15" s="278">
        <f>入學要求!T301</f>
        <v>0</v>
      </c>
      <c r="W15" s="278">
        <f>入學要求!U301</f>
        <v>0</v>
      </c>
      <c r="X15" s="278">
        <f>入學要求!V301</f>
        <v>0</v>
      </c>
      <c r="Y15" s="278">
        <f>入學要求!W301</f>
        <v>0</v>
      </c>
      <c r="Z15" s="278">
        <f>入學要求!X301</f>
        <v>0</v>
      </c>
      <c r="AA15" s="36">
        <f t="shared" si="2"/>
        <v>6.25</v>
      </c>
      <c r="AB15" s="510"/>
      <c r="AC15" s="36" cm="1">
        <f t="array" ref="AC15">IFERROR(INDEX('Offer Statistics'!DS$2:DS$400,MATCH(1,($A15='Offer Statistics'!$DD$2:$DD$400)*($AB$2='Offer Statistics'!$DE$2:$DE$400),0)),"/")</f>
        <v>23</v>
      </c>
      <c r="AD15" s="64" cm="1">
        <f t="array" ref="AD15">IFERROR(INDEX('Offer Statistics'!DN$2:DN$400,MATCH(1,($A15='Offer Statistics'!$DD$2:$DD$400)*($AB$2='Offer Statistics'!$DE$2:$DE$400),0)),"/")</f>
        <v>20</v>
      </c>
      <c r="AE15" s="64" cm="1">
        <f t="array" ref="AE15">IFERROR(INDEX('Offer Statistics'!DO$2:DO$400,MATCH(1,($A15='Offer Statistics'!$DD$2:$DD$400)*($AB$2='Offer Statistics'!$DE$2:$DE$400),0)),"/")</f>
        <v>3</v>
      </c>
      <c r="AF15" s="64" cm="1">
        <f t="array" ref="AF15">IFERROR(INDEX('Offer Statistics'!DP$2:DP$400,MATCH(1,($A15='Offer Statistics'!$DD$2:$DD$400)*($AB$2='Offer Statistics'!$DE$2:$DE$400),0)),"/")</f>
        <v>0</v>
      </c>
      <c r="AG15" s="64" cm="1">
        <f t="array" ref="AG15">IFERROR(INDEX('Offer Statistics'!DQ$2:DQ$400,MATCH(1,($A15='Offer Statistics'!$DD$2:$DD$400)*($AB$2='Offer Statistics'!$DE$2:$DE$400),0)),"/")</f>
        <v>0</v>
      </c>
      <c r="AH15" s="64" cm="1">
        <f t="array" ref="AH15">IFERROR(INDEX('Offer Statistics'!DR$2:DR$400,MATCH(1,($A15='Offer Statistics'!$DD$2:$DD$400)*($AB$2='Offer Statistics'!$DE$2:$DE$400),0)),"/")</f>
        <v>0</v>
      </c>
      <c r="AI15" s="511"/>
      <c r="AJ15" s="36" cm="1">
        <f t="array" ref="AJ15">IFERROR(INDEX('Offer Statistics'!DK$2:DK$400,MATCH(1,($A15='Offer Statistics'!$DD$2:$DD$400)*($AB$2='Offer Statistics'!$DE$2:$DE$400),0)),"/")</f>
        <v>824</v>
      </c>
      <c r="AK15" s="64" cm="1">
        <f t="array" ref="AK15">IFERROR(INDEX('Offer Statistics'!DF$2:DF$400,MATCH(1,($A15='Offer Statistics'!$DD$2:$DD$400)*($AB$2='Offer Statistics'!$DE$2:$DE$400),0)),"/")</f>
        <v>125</v>
      </c>
      <c r="AL15" s="64" cm="1">
        <f t="array" ref="AL15">IFERROR(INDEX('Offer Statistics'!DG$2:DG$400,MATCH(1,($A15='Offer Statistics'!$DD$2:$DD$400)*($AB$2='Offer Statistics'!$DE$2:$DE$400),0)),"/")</f>
        <v>159</v>
      </c>
      <c r="AM15" s="64" cm="1">
        <f t="array" ref="AM15">IFERROR(INDEX('Offer Statistics'!DH$2:DH$400,MATCH(1,($A15='Offer Statistics'!$DD$2:$DD$400)*($AB$2='Offer Statistics'!$DE$2:$DE$400),0)),"/")</f>
        <v>180</v>
      </c>
      <c r="AN15" s="64" cm="1">
        <f t="array" ref="AN15">IFERROR(INDEX('Offer Statistics'!DI$2:DI$400,MATCH(1,($A15='Offer Statistics'!$DD$2:$DD$400)*($AB$2='Offer Statistics'!$DE$2:$DE$400),0)),"/")</f>
        <v>199</v>
      </c>
      <c r="AO15" s="64" cm="1">
        <f t="array" ref="AO15">IFERROR(INDEX('Offer Statistics'!DJ$2:DJ$400,MATCH(1,($A15='Offer Statistics'!$DD$2:$DD$400)*($AB$2='Offer Statistics'!$DE$2:$DE$400),0)),"/")</f>
        <v>161</v>
      </c>
      <c r="AP15" s="15"/>
      <c r="AQ15" s="15" t="str">
        <f t="shared" si="3"/>
        <v>JS7503</v>
      </c>
    </row>
    <row r="16" spans="1:43" s="4" customFormat="1" ht="18" customHeight="1">
      <c r="A16" s="4" t="str">
        <f>'Reference Score Calculation'!A293</f>
        <v>JS7606</v>
      </c>
      <c r="B16" s="4" t="str">
        <f>'Reference Score Calculation'!C293</f>
        <v>文學院</v>
      </c>
      <c r="C16" s="4" t="str">
        <f>計分版!C316</f>
        <v>文化研究(榮譽)文學士</v>
      </c>
      <c r="D16" s="4" t="str">
        <f>'Reference Score Calculation'!R293</f>
        <v>BA (Hons) Cultural Stud</v>
      </c>
      <c r="E16" s="392" t="str">
        <f>'Reference Score Calculation'!AB293</f>
        <v>Best 5</v>
      </c>
      <c r="F16" s="394" t="str">
        <f>'Reference Score Calculation'!E293</f>
        <v>Best 5</v>
      </c>
      <c r="G16" s="6">
        <f>'Reference Score Calculation'!H293</f>
        <v>24</v>
      </c>
      <c r="H16" s="6">
        <f>'Reference Score Calculation'!I293</f>
        <v>24</v>
      </c>
      <c r="I16" s="45">
        <f>計分版!J316</f>
        <v>3.3500000000000002E-9</v>
      </c>
      <c r="J16" s="180">
        <f t="shared" si="0"/>
        <v>-23.999999996650001</v>
      </c>
      <c r="K16" s="181">
        <f t="shared" si="1"/>
        <v>-7164179103.4776115</v>
      </c>
      <c r="L16" s="36">
        <f>'Reference Score Calculation'!T293</f>
        <v>29</v>
      </c>
      <c r="M16" s="86">
        <f>入學要求!Z302</f>
        <v>0</v>
      </c>
      <c r="N16" s="516"/>
      <c r="O16" s="183">
        <f>入學要求!L302</f>
        <v>3</v>
      </c>
      <c r="P16" s="183">
        <f>入學要求!M302</f>
        <v>3</v>
      </c>
      <c r="Q16" s="183">
        <f>入學要求!N302</f>
        <v>2</v>
      </c>
      <c r="R16" s="183">
        <f>入學要求!O302</f>
        <v>1</v>
      </c>
      <c r="S16" s="183">
        <f>入學要求!P302</f>
        <v>2</v>
      </c>
      <c r="T16" s="182">
        <f>入學要求!Q302</f>
        <v>2</v>
      </c>
      <c r="U16" s="278">
        <f>入學要求!S302</f>
        <v>0</v>
      </c>
      <c r="V16" s="278">
        <f>入學要求!T302</f>
        <v>0</v>
      </c>
      <c r="W16" s="278">
        <f>入學要求!U302</f>
        <v>0</v>
      </c>
      <c r="X16" s="278">
        <f>入學要求!V302</f>
        <v>0</v>
      </c>
      <c r="Y16" s="278">
        <f>入學要求!W302</f>
        <v>0</v>
      </c>
      <c r="Z16" s="278">
        <f>入學要求!X302</f>
        <v>0</v>
      </c>
      <c r="AA16" s="36">
        <f t="shared" si="2"/>
        <v>6.88</v>
      </c>
      <c r="AB16" s="510"/>
      <c r="AC16" s="36" cm="1">
        <f t="array" ref="AC16">IFERROR(INDEX('Offer Statistics'!DS$2:DS$400,MATCH(1,($A16='Offer Statistics'!$DD$2:$DD$400)*($AB$2='Offer Statistics'!$DE$2:$DE$400),0)),"/")</f>
        <v>35</v>
      </c>
      <c r="AD16" s="64" cm="1">
        <f t="array" ref="AD16">IFERROR(INDEX('Offer Statistics'!DN$2:DN$400,MATCH(1,($A16='Offer Statistics'!$DD$2:$DD$400)*($AB$2='Offer Statistics'!$DE$2:$DE$400),0)),"/")</f>
        <v>33</v>
      </c>
      <c r="AE16" s="64" cm="1">
        <f t="array" ref="AE16">IFERROR(INDEX('Offer Statistics'!DO$2:DO$400,MATCH(1,($A16='Offer Statistics'!$DD$2:$DD$400)*($AB$2='Offer Statistics'!$DE$2:$DE$400),0)),"/")</f>
        <v>2</v>
      </c>
      <c r="AF16" s="64" cm="1">
        <f t="array" ref="AF16">IFERROR(INDEX('Offer Statistics'!DP$2:DP$400,MATCH(1,($A16='Offer Statistics'!$DD$2:$DD$400)*($AB$2='Offer Statistics'!$DE$2:$DE$400),0)),"/")</f>
        <v>0</v>
      </c>
      <c r="AG16" s="64" cm="1">
        <f t="array" ref="AG16">IFERROR(INDEX('Offer Statistics'!DQ$2:DQ$400,MATCH(1,($A16='Offer Statistics'!$DD$2:$DD$400)*($AB$2='Offer Statistics'!$DE$2:$DE$400),0)),"/")</f>
        <v>0</v>
      </c>
      <c r="AH16" s="64" cm="1">
        <f t="array" ref="AH16">IFERROR(INDEX('Offer Statistics'!DR$2:DR$400,MATCH(1,($A16='Offer Statistics'!$DD$2:$DD$400)*($AB$2='Offer Statistics'!$DE$2:$DE$400),0)),"/")</f>
        <v>0</v>
      </c>
      <c r="AI16" s="511"/>
      <c r="AJ16" s="36" cm="1">
        <f t="array" ref="AJ16">IFERROR(INDEX('Offer Statistics'!DK$2:DK$400,MATCH(1,($A16='Offer Statistics'!$DD$2:$DD$400)*($AB$2='Offer Statistics'!$DE$2:$DE$400),0)),"/")</f>
        <v>2055</v>
      </c>
      <c r="AK16" s="64" cm="1">
        <f t="array" ref="AK16">IFERROR(INDEX('Offer Statistics'!DF$2:DF$400,MATCH(1,($A16='Offer Statistics'!$DD$2:$DD$400)*($AB$2='Offer Statistics'!$DE$2:$DE$400),0)),"/")</f>
        <v>227</v>
      </c>
      <c r="AL16" s="64" cm="1">
        <f t="array" ref="AL16">IFERROR(INDEX('Offer Statistics'!DG$2:DG$400,MATCH(1,($A16='Offer Statistics'!$DD$2:$DD$400)*($AB$2='Offer Statistics'!$DE$2:$DE$400),0)),"/")</f>
        <v>339</v>
      </c>
      <c r="AM16" s="64" cm="1">
        <f t="array" ref="AM16">IFERROR(INDEX('Offer Statistics'!DH$2:DH$400,MATCH(1,($A16='Offer Statistics'!$DD$2:$DD$400)*($AB$2='Offer Statistics'!$DE$2:$DE$400),0)),"/")</f>
        <v>440</v>
      </c>
      <c r="AN16" s="64" cm="1">
        <f t="array" ref="AN16">IFERROR(INDEX('Offer Statistics'!DI$2:DI$400,MATCH(1,($A16='Offer Statistics'!$DD$2:$DD$400)*($AB$2='Offer Statistics'!$DE$2:$DE$400),0)),"/")</f>
        <v>563</v>
      </c>
      <c r="AO16" s="64" cm="1">
        <f t="array" ref="AO16">IFERROR(INDEX('Offer Statistics'!DJ$2:DJ$400,MATCH(1,($A16='Offer Statistics'!$DD$2:$DD$400)*($AB$2='Offer Statistics'!$DE$2:$DE$400),0)),"/")</f>
        <v>486</v>
      </c>
      <c r="AP16" s="15"/>
      <c r="AQ16" s="15" t="str">
        <f t="shared" si="3"/>
        <v>JS7606</v>
      </c>
    </row>
    <row r="17" spans="1:43" s="4" customFormat="1" ht="18" customHeight="1">
      <c r="A17" s="4" t="str">
        <f>'Reference Score Calculation'!A294</f>
        <v>JS7709</v>
      </c>
      <c r="B17" s="4" t="str">
        <f>'Reference Score Calculation'!C294</f>
        <v>文學院</v>
      </c>
      <c r="C17" s="4" t="str">
        <f>計分版!C317</f>
        <v>歷史(榮譽)文學士</v>
      </c>
      <c r="D17" s="4" t="str">
        <f>'Reference Score Calculation'!R294</f>
        <v>BA (Hons) History</v>
      </c>
      <c r="E17" s="392" t="str">
        <f>'Reference Score Calculation'!AB294</f>
        <v>Best 5</v>
      </c>
      <c r="F17" s="394" t="str">
        <f>'Reference Score Calculation'!E294</f>
        <v>Best 5</v>
      </c>
      <c r="G17" s="6">
        <f>'Reference Score Calculation'!H294</f>
        <v>25.6</v>
      </c>
      <c r="H17" s="6">
        <f>'Reference Score Calculation'!I294</f>
        <v>24.8</v>
      </c>
      <c r="I17" s="45">
        <f>計分版!J317</f>
        <v>3.3500000000000002E-9</v>
      </c>
      <c r="J17" s="180">
        <f t="shared" si="0"/>
        <v>-25.599999996650002</v>
      </c>
      <c r="K17" s="181">
        <f t="shared" si="1"/>
        <v>-7641791043.7761192</v>
      </c>
      <c r="L17" s="36">
        <f>'Reference Score Calculation'!T294</f>
        <v>32</v>
      </c>
      <c r="M17" s="86">
        <f>入學要求!Z303</f>
        <v>0</v>
      </c>
      <c r="N17" s="516"/>
      <c r="O17" s="183">
        <f>入學要求!L303</f>
        <v>3</v>
      </c>
      <c r="P17" s="183">
        <f>入學要求!M303</f>
        <v>3</v>
      </c>
      <c r="Q17" s="183">
        <f>入學要求!N303</f>
        <v>2</v>
      </c>
      <c r="R17" s="183">
        <f>入學要求!O303</f>
        <v>1</v>
      </c>
      <c r="S17" s="183">
        <f>入學要求!P303</f>
        <v>2</v>
      </c>
      <c r="T17" s="182">
        <f>入學要求!Q303</f>
        <v>2</v>
      </c>
      <c r="U17" s="278">
        <f>入學要求!S303</f>
        <v>0</v>
      </c>
      <c r="V17" s="278">
        <f>入學要求!T303</f>
        <v>0</v>
      </c>
      <c r="W17" s="278">
        <f>入學要求!U303</f>
        <v>0</v>
      </c>
      <c r="X17" s="278">
        <f>入學要求!V303</f>
        <v>0</v>
      </c>
      <c r="Y17" s="278">
        <f>入學要求!W303</f>
        <v>0</v>
      </c>
      <c r="Z17" s="278">
        <f>入學要求!X303</f>
        <v>0</v>
      </c>
      <c r="AA17" s="36">
        <f t="shared" si="2"/>
        <v>10.17</v>
      </c>
      <c r="AB17" s="510"/>
      <c r="AC17" s="36" cm="1">
        <f t="array" ref="AC17">IFERROR(INDEX('Offer Statistics'!DS$2:DS$400,MATCH(1,($A17='Offer Statistics'!$DD$2:$DD$400)*($AB$2='Offer Statistics'!$DE$2:$DE$400),0)),"/")</f>
        <v>38</v>
      </c>
      <c r="AD17" s="64" cm="1">
        <f t="array" ref="AD17">IFERROR(INDEX('Offer Statistics'!DN$2:DN$400,MATCH(1,($A17='Offer Statistics'!$DD$2:$DD$400)*($AB$2='Offer Statistics'!$DE$2:$DE$400),0)),"/")</f>
        <v>35</v>
      </c>
      <c r="AE17" s="64" cm="1">
        <f t="array" ref="AE17">IFERROR(INDEX('Offer Statistics'!DO$2:DO$400,MATCH(1,($A17='Offer Statistics'!$DD$2:$DD$400)*($AB$2='Offer Statistics'!$DE$2:$DE$400),0)),"/")</f>
        <v>3</v>
      </c>
      <c r="AF17" s="64" cm="1">
        <f t="array" ref="AF17">IFERROR(INDEX('Offer Statistics'!DP$2:DP$400,MATCH(1,($A17='Offer Statistics'!$DD$2:$DD$400)*($AB$2='Offer Statistics'!$DE$2:$DE$400),0)),"/")</f>
        <v>0</v>
      </c>
      <c r="AG17" s="64" cm="1">
        <f t="array" ref="AG17">IFERROR(INDEX('Offer Statistics'!DQ$2:DQ$400,MATCH(1,($A17='Offer Statistics'!$DD$2:$DD$400)*($AB$2='Offer Statistics'!$DE$2:$DE$400),0)),"/")</f>
        <v>0</v>
      </c>
      <c r="AH17" s="64" cm="1">
        <f t="array" ref="AH17">IFERROR(INDEX('Offer Statistics'!DR$2:DR$400,MATCH(1,($A17='Offer Statistics'!$DD$2:$DD$400)*($AB$2='Offer Statistics'!$DE$2:$DE$400),0)),"/")</f>
        <v>0</v>
      </c>
      <c r="AI17" s="511"/>
      <c r="AJ17" s="36" cm="1">
        <f t="array" ref="AJ17">IFERROR(INDEX('Offer Statistics'!DK$2:DK$400,MATCH(1,($A17='Offer Statistics'!$DD$2:$DD$400)*($AB$2='Offer Statistics'!$DE$2:$DE$400),0)),"/")</f>
        <v>2138</v>
      </c>
      <c r="AK17" s="64" cm="1">
        <f t="array" ref="AK17">IFERROR(INDEX('Offer Statistics'!DF$2:DF$400,MATCH(1,($A17='Offer Statistics'!$DD$2:$DD$400)*($AB$2='Offer Statistics'!$DE$2:$DE$400),0)),"/")</f>
        <v>356</v>
      </c>
      <c r="AL17" s="64" cm="1">
        <f t="array" ref="AL17">IFERROR(INDEX('Offer Statistics'!DG$2:DG$400,MATCH(1,($A17='Offer Statistics'!$DD$2:$DD$400)*($AB$2='Offer Statistics'!$DE$2:$DE$400),0)),"/")</f>
        <v>402</v>
      </c>
      <c r="AM17" s="64" cm="1">
        <f t="array" ref="AM17">IFERROR(INDEX('Offer Statistics'!DH$2:DH$400,MATCH(1,($A17='Offer Statistics'!$DD$2:$DD$400)*($AB$2='Offer Statistics'!$DE$2:$DE$400),0)),"/")</f>
        <v>479</v>
      </c>
      <c r="AN17" s="64" cm="1">
        <f t="array" ref="AN17">IFERROR(INDEX('Offer Statistics'!DI$2:DI$400,MATCH(1,($A17='Offer Statistics'!$DD$2:$DD$400)*($AB$2='Offer Statistics'!$DE$2:$DE$400),0)),"/")</f>
        <v>513</v>
      </c>
      <c r="AO17" s="64" cm="1">
        <f t="array" ref="AO17">IFERROR(INDEX('Offer Statistics'!DJ$2:DJ$400,MATCH(1,($A17='Offer Statistics'!$DD$2:$DD$400)*($AB$2='Offer Statistics'!$DE$2:$DE$400),0)),"/")</f>
        <v>388</v>
      </c>
      <c r="AP17" s="15"/>
      <c r="AQ17" s="15" t="str">
        <f t="shared" si="3"/>
        <v>JS7709</v>
      </c>
    </row>
    <row r="18" spans="1:43" s="4" customFormat="1" ht="18" customHeight="1">
      <c r="A18" s="4" t="str">
        <f>'Reference Score Calculation'!A295</f>
        <v>JS7802</v>
      </c>
      <c r="B18" s="4" t="str">
        <f>'Reference Score Calculation'!C295</f>
        <v>文學院</v>
      </c>
      <c r="C18" s="4" t="str">
        <f>計分版!C318</f>
        <v>哲學(榮譽)文學士</v>
      </c>
      <c r="D18" s="4" t="str">
        <f>'Reference Score Calculation'!R295</f>
        <v>BA (Hons) Philosophy</v>
      </c>
      <c r="E18" s="392" t="str">
        <f>'Reference Score Calculation'!AB295</f>
        <v>Best 5</v>
      </c>
      <c r="F18" s="394" t="str">
        <f>'Reference Score Calculation'!E295</f>
        <v>Best 5</v>
      </c>
      <c r="G18" s="6">
        <f>'Reference Score Calculation'!H295</f>
        <v>25.5</v>
      </c>
      <c r="H18" s="6">
        <f>'Reference Score Calculation'!I295</f>
        <v>24.5</v>
      </c>
      <c r="I18" s="45">
        <f>計分版!J318</f>
        <v>3.3500000000000002E-9</v>
      </c>
      <c r="J18" s="180">
        <f t="shared" si="0"/>
        <v>-25.499999996650001</v>
      </c>
      <c r="K18" s="181">
        <f t="shared" si="1"/>
        <v>-7611940297.5074625</v>
      </c>
      <c r="L18" s="36">
        <f>'Reference Score Calculation'!T295</f>
        <v>27</v>
      </c>
      <c r="M18" s="86">
        <f>入學要求!Z304</f>
        <v>0</v>
      </c>
      <c r="N18" s="516"/>
      <c r="O18" s="183">
        <f>入學要求!L304</f>
        <v>3</v>
      </c>
      <c r="P18" s="183">
        <f>入學要求!M304</f>
        <v>3</v>
      </c>
      <c r="Q18" s="183">
        <f>入學要求!N304</f>
        <v>2</v>
      </c>
      <c r="R18" s="183">
        <f>入學要求!O304</f>
        <v>1</v>
      </c>
      <c r="S18" s="183">
        <f>入學要求!P304</f>
        <v>2</v>
      </c>
      <c r="T18" s="182">
        <f>入學要求!Q304</f>
        <v>2</v>
      </c>
      <c r="U18" s="278">
        <f>入學要求!S304</f>
        <v>0</v>
      </c>
      <c r="V18" s="278">
        <f>入學要求!T304</f>
        <v>0</v>
      </c>
      <c r="W18" s="278">
        <f>入學要求!U304</f>
        <v>0</v>
      </c>
      <c r="X18" s="278">
        <f>入學要求!V304</f>
        <v>0</v>
      </c>
      <c r="Y18" s="278">
        <f>入學要求!W304</f>
        <v>0</v>
      </c>
      <c r="Z18" s="278">
        <f>入學要求!X304</f>
        <v>0</v>
      </c>
      <c r="AA18" s="36">
        <f t="shared" si="2"/>
        <v>6.77</v>
      </c>
      <c r="AB18" s="510"/>
      <c r="AC18" s="36" cm="1">
        <f t="array" ref="AC18">IFERROR(INDEX('Offer Statistics'!DS$2:DS$400,MATCH(1,($A18='Offer Statistics'!$DD$2:$DD$400)*($AB$2='Offer Statistics'!$DE$2:$DE$400),0)),"/")</f>
        <v>39</v>
      </c>
      <c r="AD18" s="64" cm="1">
        <f t="array" ref="AD18">IFERROR(INDEX('Offer Statistics'!DN$2:DN$400,MATCH(1,($A18='Offer Statistics'!$DD$2:$DD$400)*($AB$2='Offer Statistics'!$DE$2:$DE$400),0)),"/")</f>
        <v>22</v>
      </c>
      <c r="AE18" s="64" cm="1">
        <f t="array" ref="AE18">IFERROR(INDEX('Offer Statistics'!DO$2:DO$400,MATCH(1,($A18='Offer Statistics'!$DD$2:$DD$400)*($AB$2='Offer Statistics'!$DE$2:$DE$400),0)),"/")</f>
        <v>12</v>
      </c>
      <c r="AF18" s="64" cm="1">
        <f t="array" ref="AF18">IFERROR(INDEX('Offer Statistics'!DP$2:DP$400,MATCH(1,($A18='Offer Statistics'!$DD$2:$DD$400)*($AB$2='Offer Statistics'!$DE$2:$DE$400),0)),"/")</f>
        <v>2</v>
      </c>
      <c r="AG18" s="64" cm="1">
        <f t="array" ref="AG18">IFERROR(INDEX('Offer Statistics'!DQ$2:DQ$400,MATCH(1,($A18='Offer Statistics'!$DD$2:$DD$400)*($AB$2='Offer Statistics'!$DE$2:$DE$400),0)),"/")</f>
        <v>2</v>
      </c>
      <c r="AH18" s="64" cm="1">
        <f t="array" ref="AH18">IFERROR(INDEX('Offer Statistics'!DR$2:DR$400,MATCH(1,($A18='Offer Statistics'!$DD$2:$DD$400)*($AB$2='Offer Statistics'!$DE$2:$DE$400),0)),"/")</f>
        <v>1</v>
      </c>
      <c r="AI18" s="511"/>
      <c r="AJ18" s="36" cm="1">
        <f t="array" ref="AJ18">IFERROR(INDEX('Offer Statistics'!DK$2:DK$400,MATCH(1,($A18='Offer Statistics'!$DD$2:$DD$400)*($AB$2='Offer Statistics'!$DE$2:$DE$400),0)),"/")</f>
        <v>1536</v>
      </c>
      <c r="AK18" s="64" cm="1">
        <f t="array" ref="AK18">IFERROR(INDEX('Offer Statistics'!DF$2:DF$400,MATCH(1,($A18='Offer Statistics'!$DD$2:$DD$400)*($AB$2='Offer Statistics'!$DE$2:$DE$400),0)),"/")</f>
        <v>149</v>
      </c>
      <c r="AL18" s="64" cm="1">
        <f t="array" ref="AL18">IFERROR(INDEX('Offer Statistics'!DG$2:DG$400,MATCH(1,($A18='Offer Statistics'!$DD$2:$DD$400)*($AB$2='Offer Statistics'!$DE$2:$DE$400),0)),"/")</f>
        <v>245</v>
      </c>
      <c r="AM18" s="64" cm="1">
        <f t="array" ref="AM18">IFERROR(INDEX('Offer Statistics'!DH$2:DH$400,MATCH(1,($A18='Offer Statistics'!$DD$2:$DD$400)*($AB$2='Offer Statistics'!$DE$2:$DE$400),0)),"/")</f>
        <v>336</v>
      </c>
      <c r="AN18" s="64" cm="1">
        <f t="array" ref="AN18">IFERROR(INDEX('Offer Statistics'!DI$2:DI$400,MATCH(1,($A18='Offer Statistics'!$DD$2:$DD$400)*($AB$2='Offer Statistics'!$DE$2:$DE$400),0)),"/")</f>
        <v>376</v>
      </c>
      <c r="AO18" s="64" cm="1">
        <f t="array" ref="AO18">IFERROR(INDEX('Offer Statistics'!DJ$2:DJ$400,MATCH(1,($A18='Offer Statistics'!$DD$2:$DD$400)*($AB$2='Offer Statistics'!$DE$2:$DE$400),0)),"/")</f>
        <v>430</v>
      </c>
      <c r="AP18" s="15"/>
      <c r="AQ18" s="15" t="str">
        <f t="shared" si="3"/>
        <v>JS7802</v>
      </c>
    </row>
    <row r="19" spans="1:43" s="4" customFormat="1" ht="18" customHeight="1">
      <c r="A19" s="4" t="str">
        <f>'Reference Score Calculation'!A296</f>
        <v>JS7905</v>
      </c>
      <c r="B19" s="4" t="str">
        <f>'Reference Score Calculation'!C296</f>
        <v>文學院</v>
      </c>
      <c r="C19" s="4" t="str">
        <f>計分版!C319</f>
        <v>視覺研究(榮譽)文學士</v>
      </c>
      <c r="D19" s="4" t="str">
        <f>'Reference Score Calculation'!R296</f>
        <v>BA (Hons) Visual Studies</v>
      </c>
      <c r="E19" s="392" t="str">
        <f>'Reference Score Calculation'!AB296</f>
        <v>Best 5</v>
      </c>
      <c r="F19" s="394" t="str">
        <f>'Reference Score Calculation'!E296</f>
        <v>Best 5</v>
      </c>
      <c r="G19" s="6">
        <f>'Reference Score Calculation'!H296</f>
        <v>25.5</v>
      </c>
      <c r="H19" s="6">
        <f>'Reference Score Calculation'!I296</f>
        <v>24.5</v>
      </c>
      <c r="I19" s="45">
        <f>計分版!J319</f>
        <v>3.3500000000000002E-9</v>
      </c>
      <c r="J19" s="180">
        <f t="shared" si="0"/>
        <v>-25.499999996650001</v>
      </c>
      <c r="K19" s="181">
        <f t="shared" si="1"/>
        <v>-7611940297.5074625</v>
      </c>
      <c r="L19" s="36">
        <f>'Reference Score Calculation'!T296</f>
        <v>20</v>
      </c>
      <c r="M19" s="86">
        <f>入學要求!Z305</f>
        <v>0</v>
      </c>
      <c r="N19" s="516"/>
      <c r="O19" s="184">
        <f>入學要求!L305</f>
        <v>3</v>
      </c>
      <c r="P19" s="184">
        <f>入學要求!M305</f>
        <v>3</v>
      </c>
      <c r="Q19" s="184">
        <f>入學要求!N305</f>
        <v>2</v>
      </c>
      <c r="R19" s="184">
        <f>入學要求!O305</f>
        <v>1</v>
      </c>
      <c r="S19" s="184">
        <f>入學要求!P305</f>
        <v>2</v>
      </c>
      <c r="T19" s="182">
        <f>入學要求!Q305</f>
        <v>2</v>
      </c>
      <c r="U19" s="278">
        <f>入學要求!S305</f>
        <v>0</v>
      </c>
      <c r="V19" s="278">
        <f>入學要求!T305</f>
        <v>0</v>
      </c>
      <c r="W19" s="278">
        <f>入學要求!U305</f>
        <v>0</v>
      </c>
      <c r="X19" s="278">
        <f>入學要求!V305</f>
        <v>0</v>
      </c>
      <c r="Y19" s="278">
        <f>入學要求!W305</f>
        <v>0</v>
      </c>
      <c r="Z19" s="278">
        <f>入學要求!X305</f>
        <v>0</v>
      </c>
      <c r="AA19" s="36">
        <f t="shared" si="2"/>
        <v>11.35</v>
      </c>
      <c r="AB19" s="510"/>
      <c r="AC19" s="36" cm="1">
        <f t="array" ref="AC19">IFERROR(INDEX('Offer Statistics'!DS$2:DS$400,MATCH(1,($A19='Offer Statistics'!$DD$2:$DD$400)*($AB$2='Offer Statistics'!$DE$2:$DE$400),0)),"/")</f>
        <v>21</v>
      </c>
      <c r="AD19" s="64" cm="1">
        <f t="array" ref="AD19">IFERROR(INDEX('Offer Statistics'!DN$2:DN$400,MATCH(1,($A19='Offer Statistics'!$DD$2:$DD$400)*($AB$2='Offer Statistics'!$DE$2:$DE$400),0)),"/")</f>
        <v>17</v>
      </c>
      <c r="AE19" s="64" cm="1">
        <f t="array" ref="AE19">IFERROR(INDEX('Offer Statistics'!DO$2:DO$400,MATCH(1,($A19='Offer Statistics'!$DD$2:$DD$400)*($AB$2='Offer Statistics'!$DE$2:$DE$400),0)),"/")</f>
        <v>3</v>
      </c>
      <c r="AF19" s="64" cm="1">
        <f t="array" ref="AF19">IFERROR(INDEX('Offer Statistics'!DP$2:DP$400,MATCH(1,($A19='Offer Statistics'!$DD$2:$DD$400)*($AB$2='Offer Statistics'!$DE$2:$DE$400),0)),"/")</f>
        <v>1</v>
      </c>
      <c r="AG19" s="64" cm="1">
        <f t="array" ref="AG19">IFERROR(INDEX('Offer Statistics'!DQ$2:DQ$400,MATCH(1,($A19='Offer Statistics'!$DD$2:$DD$400)*($AB$2='Offer Statistics'!$DE$2:$DE$400),0)),"/")</f>
        <v>0</v>
      </c>
      <c r="AH19" s="64" cm="1">
        <f t="array" ref="AH19">IFERROR(INDEX('Offer Statistics'!DR$2:DR$400,MATCH(1,($A19='Offer Statistics'!$DD$2:$DD$400)*($AB$2='Offer Statistics'!$DE$2:$DE$400),0)),"/")</f>
        <v>0</v>
      </c>
      <c r="AI19" s="511"/>
      <c r="AJ19" s="36" cm="1">
        <f t="array" ref="AJ19">IFERROR(INDEX('Offer Statistics'!DK$2:DK$400,MATCH(1,($A19='Offer Statistics'!$DD$2:$DD$400)*($AB$2='Offer Statistics'!$DE$2:$DE$400),0)),"/")</f>
        <v>1753</v>
      </c>
      <c r="AK19" s="64" cm="1">
        <f t="array" ref="AK19">IFERROR(INDEX('Offer Statistics'!DF$2:DF$400,MATCH(1,($A19='Offer Statistics'!$DD$2:$DD$400)*($AB$2='Offer Statistics'!$DE$2:$DE$400),0)),"/")</f>
        <v>193</v>
      </c>
      <c r="AL19" s="64" cm="1">
        <f t="array" ref="AL19">IFERROR(INDEX('Offer Statistics'!DG$2:DG$400,MATCH(1,($A19='Offer Statistics'!$DD$2:$DD$400)*($AB$2='Offer Statistics'!$DE$2:$DE$400),0)),"/")</f>
        <v>319</v>
      </c>
      <c r="AM19" s="64" cm="1">
        <f t="array" ref="AM19">IFERROR(INDEX('Offer Statistics'!DH$2:DH$400,MATCH(1,($A19='Offer Statistics'!$DD$2:$DD$400)*($AB$2='Offer Statistics'!$DE$2:$DE$400),0)),"/")</f>
        <v>422</v>
      </c>
      <c r="AN19" s="64" cm="1">
        <f t="array" ref="AN19">IFERROR(INDEX('Offer Statistics'!DI$2:DI$400,MATCH(1,($A19='Offer Statistics'!$DD$2:$DD$400)*($AB$2='Offer Statistics'!$DE$2:$DE$400),0)),"/")</f>
        <v>470</v>
      </c>
      <c r="AO19" s="64" cm="1">
        <f t="array" ref="AO19">IFERROR(INDEX('Offer Statistics'!DJ$2:DJ$400,MATCH(1,($A19='Offer Statistics'!$DD$2:$DD$400)*($AB$2='Offer Statistics'!$DE$2:$DE$400),0)),"/")</f>
        <v>349</v>
      </c>
      <c r="AP19" s="15"/>
      <c r="AQ19" s="15" t="str">
        <f t="shared" si="3"/>
        <v>JS7905</v>
      </c>
    </row>
    <row r="20" spans="1:43" s="4" customFormat="1" ht="18" customHeight="1">
      <c r="F20" s="15"/>
      <c r="G20" s="15"/>
      <c r="H20" s="15"/>
      <c r="M20" s="15"/>
      <c r="AB20" s="15"/>
      <c r="AC20" s="15"/>
      <c r="AD20" s="15"/>
      <c r="AE20" s="15"/>
      <c r="AF20" s="15"/>
      <c r="AG20" s="15"/>
      <c r="AH20" s="15"/>
      <c r="AI20" s="15"/>
      <c r="AJ20" s="15"/>
      <c r="AK20" s="15"/>
      <c r="AL20" s="15"/>
      <c r="AM20" s="15"/>
      <c r="AN20" s="15"/>
      <c r="AO20" s="15"/>
      <c r="AP20" s="15"/>
      <c r="AQ20" s="15"/>
    </row>
    <row r="21" spans="1:43" s="4" customFormat="1" ht="18" customHeight="1">
      <c r="A21" s="4" t="s">
        <v>203</v>
      </c>
      <c r="F21" s="36"/>
      <c r="G21" s="15"/>
      <c r="H21" s="15"/>
      <c r="I21" s="15"/>
      <c r="J21" s="22"/>
      <c r="K21" s="23"/>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row>
    <row r="22" spans="1:43" s="4" customFormat="1" ht="18" customHeight="1">
      <c r="F22" s="36"/>
      <c r="G22" s="15"/>
      <c r="H22" s="15"/>
      <c r="I22" s="15"/>
      <c r="J22" s="22"/>
      <c r="K22" s="23"/>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row>
    <row r="23" spans="1:43" s="4" customFormat="1" ht="19.2" customHeight="1">
      <c r="A23" s="4" t="s">
        <v>2805</v>
      </c>
      <c r="F23" s="36"/>
      <c r="G23" s="15"/>
      <c r="H23" s="15"/>
      <c r="I23" s="15"/>
      <c r="J23" s="22"/>
      <c r="K23" s="23"/>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row>
    <row r="24" spans="1:43" s="4" customFormat="1" ht="19.2" customHeight="1">
      <c r="F24" s="36"/>
      <c r="G24" s="15"/>
      <c r="H24" s="15"/>
      <c r="I24" s="15"/>
      <c r="J24" s="22"/>
      <c r="K24" s="23"/>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row>
    <row r="25" spans="1:43" s="4" customFormat="1" ht="19.2" customHeight="1">
      <c r="A25" s="387" t="s">
        <v>2840</v>
      </c>
      <c r="B25" s="4" t="s">
        <v>2841</v>
      </c>
      <c r="C25" s="23"/>
      <c r="F25" s="15"/>
      <c r="G25" s="15"/>
      <c r="J25" s="15"/>
      <c r="M25" s="36"/>
      <c r="N25" s="15"/>
      <c r="P25" s="15"/>
      <c r="Q25" s="15"/>
      <c r="R25" s="15"/>
      <c r="S25" s="15"/>
      <c r="T25" s="15"/>
      <c r="U25" s="15"/>
      <c r="V25" s="15"/>
      <c r="W25" s="15"/>
      <c r="X25" s="15"/>
      <c r="Y25" s="15"/>
      <c r="Z25" s="15"/>
      <c r="AA25" s="15"/>
      <c r="AB25" s="15"/>
      <c r="AC25" s="15"/>
      <c r="AD25" s="36" t="s">
        <v>200</v>
      </c>
      <c r="AE25" s="15"/>
      <c r="AF25" s="15"/>
      <c r="AG25" s="15"/>
      <c r="AH25" s="15"/>
      <c r="AI25" s="15"/>
      <c r="AJ25" s="15"/>
      <c r="AK25" s="15"/>
      <c r="AL25" s="15"/>
      <c r="AM25" s="15"/>
      <c r="AN25" s="15"/>
      <c r="AO25" s="15"/>
      <c r="AP25" s="15"/>
      <c r="AQ25" s="15"/>
    </row>
    <row r="26" spans="1:43" s="4" customFormat="1" ht="19.2" customHeight="1">
      <c r="A26" s="23"/>
      <c r="B26" s="4" t="s">
        <v>2818</v>
      </c>
      <c r="C26" s="23"/>
      <c r="F26" s="15"/>
      <c r="G26" s="15"/>
      <c r="J26" s="15"/>
      <c r="M26" s="36"/>
      <c r="N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row>
    <row r="27" spans="1:43" s="4" customFormat="1" ht="19.2" customHeight="1">
      <c r="A27" s="23"/>
      <c r="B27" s="474" t="s">
        <v>3132</v>
      </c>
      <c r="C27" s="23"/>
      <c r="F27" s="15"/>
      <c r="G27" s="15"/>
      <c r="J27" s="15"/>
      <c r="M27" s="36"/>
      <c r="N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row>
    <row r="28" spans="1:43" s="4" customFormat="1" ht="18" customHeight="1">
      <c r="C28" s="23"/>
      <c r="F28" s="15"/>
      <c r="I28" s="15"/>
      <c r="L28" s="36"/>
      <c r="M28" s="15"/>
    </row>
    <row r="29" spans="1:43" s="4" customFormat="1" ht="18" customHeight="1">
      <c r="A29" s="23" t="s">
        <v>2806</v>
      </c>
      <c r="F29" s="36"/>
      <c r="G29" s="15"/>
      <c r="H29" s="15"/>
      <c r="I29" s="15"/>
      <c r="J29" s="15"/>
      <c r="K29" s="22"/>
      <c r="L29" s="23"/>
      <c r="M29" s="15"/>
      <c r="O29" s="15"/>
      <c r="P29" s="15"/>
      <c r="Q29" s="15"/>
      <c r="R29" s="15"/>
      <c r="S29" s="15"/>
      <c r="T29" s="15"/>
      <c r="AB29" s="15"/>
      <c r="AC29" s="15"/>
      <c r="AE29" s="15"/>
      <c r="AF29" s="15"/>
      <c r="AG29" s="15"/>
      <c r="AH29" s="15"/>
      <c r="AI29" s="15"/>
      <c r="AJ29" s="15"/>
      <c r="AK29" s="15"/>
      <c r="AL29" s="15"/>
      <c r="AM29" s="15"/>
      <c r="AN29" s="15"/>
      <c r="AO29" s="15"/>
      <c r="AP29" s="15"/>
      <c r="AQ29" s="15"/>
    </row>
    <row r="30" spans="1:43" s="4" customFormat="1" ht="18" customHeight="1">
      <c r="A30" s="23" t="s">
        <v>204</v>
      </c>
      <c r="F30" s="36"/>
      <c r="G30" s="15"/>
      <c r="H30" s="15"/>
      <c r="I30" s="15"/>
      <c r="J30" s="15"/>
      <c r="K30" s="22"/>
      <c r="L30" s="23"/>
      <c r="M30" s="15"/>
      <c r="O30" s="15"/>
      <c r="P30" s="15"/>
      <c r="Q30" s="15"/>
      <c r="R30" s="15"/>
      <c r="S30" s="15"/>
      <c r="T30" s="15"/>
      <c r="AB30" s="15"/>
      <c r="AC30" s="15"/>
      <c r="AD30" s="36"/>
      <c r="AE30" s="15"/>
      <c r="AF30" s="15"/>
      <c r="AG30" s="15"/>
      <c r="AH30" s="15"/>
      <c r="AI30" s="15"/>
      <c r="AJ30" s="15"/>
      <c r="AK30" s="15"/>
      <c r="AL30" s="15"/>
      <c r="AM30" s="15"/>
      <c r="AN30" s="15"/>
      <c r="AO30" s="15"/>
      <c r="AP30" s="15"/>
      <c r="AQ30" s="15"/>
    </row>
    <row r="31" spans="1:43" s="4" customFormat="1" ht="18" customHeight="1">
      <c r="F31" s="36"/>
      <c r="G31" s="15"/>
      <c r="H31" s="15"/>
      <c r="I31" s="15"/>
      <c r="J31" s="15"/>
      <c r="K31" s="22"/>
      <c r="L31" s="23"/>
      <c r="M31" s="15"/>
      <c r="O31" s="15"/>
      <c r="P31" s="15"/>
      <c r="Q31" s="15"/>
      <c r="R31" s="15"/>
      <c r="S31" s="15"/>
      <c r="T31" s="15"/>
      <c r="AB31" s="15"/>
      <c r="AC31" s="15"/>
      <c r="AD31" s="15"/>
      <c r="AE31" s="15"/>
      <c r="AF31" s="15"/>
      <c r="AG31" s="15"/>
      <c r="AH31" s="15"/>
      <c r="AI31" s="15"/>
      <c r="AJ31" s="15"/>
      <c r="AK31" s="15"/>
      <c r="AL31" s="15"/>
      <c r="AM31" s="15"/>
      <c r="AN31" s="15"/>
      <c r="AO31" s="15"/>
      <c r="AP31" s="15"/>
      <c r="AQ31" s="15"/>
    </row>
    <row r="32" spans="1:43" s="4" customFormat="1" ht="18" customHeight="1">
      <c r="A32" s="3" t="s">
        <v>133</v>
      </c>
      <c r="F32" s="36"/>
      <c r="G32" s="15"/>
      <c r="H32" s="15"/>
      <c r="I32" s="15"/>
      <c r="J32" s="15"/>
      <c r="K32" s="22"/>
      <c r="L32" s="23"/>
      <c r="M32" s="15"/>
      <c r="O32" s="15"/>
      <c r="P32" s="15"/>
      <c r="Q32" s="15"/>
      <c r="R32" s="15"/>
      <c r="S32" s="15"/>
      <c r="T32" s="15"/>
      <c r="AB32" s="15"/>
      <c r="AC32" s="15"/>
      <c r="AD32" s="15"/>
      <c r="AE32" s="15"/>
      <c r="AF32" s="15"/>
      <c r="AG32" s="15"/>
      <c r="AH32" s="15"/>
      <c r="AI32" s="15"/>
      <c r="AJ32" s="15"/>
      <c r="AK32" s="15"/>
      <c r="AL32" s="15"/>
      <c r="AM32" s="15"/>
      <c r="AN32" s="15"/>
      <c r="AO32" s="15"/>
      <c r="AP32" s="15"/>
      <c r="AQ32" s="15"/>
    </row>
    <row r="33" spans="1:43" s="4" customFormat="1" ht="18" customHeight="1">
      <c r="A33" s="4" t="s">
        <v>205</v>
      </c>
      <c r="F33" s="36"/>
      <c r="G33" s="15"/>
      <c r="H33" s="15"/>
      <c r="I33" s="15"/>
      <c r="J33" s="15"/>
      <c r="K33" s="22"/>
      <c r="L33" s="23"/>
      <c r="M33" s="15"/>
      <c r="O33" s="15"/>
      <c r="P33" s="15"/>
      <c r="Q33" s="15"/>
      <c r="R33" s="15"/>
      <c r="S33" s="15"/>
      <c r="T33" s="15"/>
      <c r="AB33" s="15"/>
      <c r="AC33" s="15"/>
      <c r="AD33" s="15"/>
      <c r="AE33" s="15"/>
      <c r="AF33" s="15"/>
      <c r="AG33" s="15"/>
      <c r="AH33" s="15"/>
      <c r="AI33" s="15"/>
      <c r="AJ33" s="15"/>
      <c r="AK33" s="15"/>
      <c r="AL33" s="15"/>
      <c r="AM33" s="15"/>
      <c r="AN33" s="15"/>
      <c r="AO33" s="15"/>
      <c r="AP33" s="15"/>
      <c r="AQ33" s="15"/>
    </row>
    <row r="34" spans="1:43" s="4" customFormat="1" ht="18" customHeight="1">
      <c r="F34" s="36"/>
      <c r="G34" s="15"/>
      <c r="H34" s="15"/>
      <c r="I34" s="15"/>
      <c r="J34" s="22"/>
      <c r="K34" s="23"/>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row>
    <row r="35" spans="1:43" s="4" customFormat="1" ht="18" customHeight="1">
      <c r="B35" s="4" t="s">
        <v>3258</v>
      </c>
      <c r="F35" s="36"/>
      <c r="G35" s="15"/>
      <c r="H35" s="15"/>
      <c r="I35" s="15"/>
      <c r="J35" s="22"/>
      <c r="K35" s="23"/>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row>
    <row r="36" spans="1:43" s="4" customFormat="1" ht="18" customHeight="1">
      <c r="B36" s="4" t="s">
        <v>206</v>
      </c>
      <c r="F36" s="36"/>
      <c r="G36" s="15"/>
      <c r="H36" s="15"/>
      <c r="I36" s="15"/>
      <c r="J36" s="22"/>
      <c r="K36" s="23"/>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row>
    <row r="37" spans="1:43" s="4" customFormat="1" ht="18" customHeight="1">
      <c r="B37" s="4" t="s">
        <v>207</v>
      </c>
      <c r="F37" s="36"/>
      <c r="G37" s="15"/>
      <c r="H37" s="15"/>
      <c r="I37" s="15"/>
      <c r="J37" s="22"/>
      <c r="K37" s="23"/>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row>
    <row r="38" spans="1:43" s="4" customFormat="1" ht="18" customHeight="1">
      <c r="F38" s="36"/>
      <c r="G38" s="15"/>
      <c r="H38" s="15"/>
      <c r="I38" s="15"/>
      <c r="J38" s="22"/>
      <c r="K38" s="23"/>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row>
    <row r="39" spans="1:43" s="4" customFormat="1" ht="18" customHeight="1">
      <c r="A39" s="3" t="s">
        <v>135</v>
      </c>
      <c r="F39" s="36"/>
      <c r="G39" s="15"/>
      <c r="H39" s="15"/>
      <c r="I39" s="15"/>
      <c r="J39" s="22"/>
      <c r="K39" s="23"/>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row>
    <row r="40" spans="1:43" s="4" customFormat="1" ht="18" customHeight="1">
      <c r="A40" s="46" t="s">
        <v>208</v>
      </c>
      <c r="F40" s="36"/>
      <c r="G40" s="15"/>
      <c r="H40" s="15"/>
      <c r="I40" s="15"/>
      <c r="J40" s="22"/>
      <c r="K40" s="23"/>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row>
    <row r="41" spans="1:43" s="4" customFormat="1" ht="18" customHeight="1">
      <c r="A41" s="46" t="s">
        <v>209</v>
      </c>
      <c r="F41" s="15"/>
      <c r="G41" s="15"/>
      <c r="H41" s="15"/>
      <c r="M41" s="15"/>
      <c r="AB41" s="15"/>
      <c r="AC41" s="15"/>
      <c r="AD41" s="15"/>
      <c r="AE41" s="15"/>
      <c r="AF41" s="15"/>
      <c r="AG41" s="15"/>
      <c r="AH41" s="15"/>
      <c r="AI41" s="15"/>
      <c r="AJ41" s="15"/>
      <c r="AK41" s="15"/>
      <c r="AL41" s="15"/>
      <c r="AM41" s="15"/>
      <c r="AN41" s="15"/>
      <c r="AO41" s="15"/>
      <c r="AP41" s="15"/>
      <c r="AQ41" s="15"/>
    </row>
    <row r="42" spans="1:43" s="4" customFormat="1" ht="18" customHeight="1">
      <c r="A42" s="277" t="s">
        <v>3257</v>
      </c>
      <c r="F42" s="15"/>
      <c r="G42" s="15"/>
      <c r="H42" s="15"/>
      <c r="M42" s="15"/>
      <c r="AB42" s="15"/>
      <c r="AC42" s="15"/>
      <c r="AD42" s="15"/>
      <c r="AE42" s="15"/>
      <c r="AF42" s="15"/>
      <c r="AG42" s="15"/>
      <c r="AH42" s="15"/>
      <c r="AI42" s="15"/>
      <c r="AJ42" s="15"/>
      <c r="AK42" s="15"/>
      <c r="AL42" s="15"/>
      <c r="AM42" s="15"/>
      <c r="AN42" s="15"/>
      <c r="AO42" s="15"/>
      <c r="AP42" s="15"/>
      <c r="AQ42" s="15"/>
    </row>
    <row r="43" spans="1:43" s="4" customFormat="1" ht="18" customHeight="1">
      <c r="A43" s="46" t="s">
        <v>210</v>
      </c>
      <c r="F43" s="15"/>
      <c r="G43" s="15"/>
      <c r="H43" s="15"/>
      <c r="M43" s="15"/>
      <c r="AB43" s="15"/>
      <c r="AC43" s="15"/>
      <c r="AD43" s="15"/>
      <c r="AE43" s="15"/>
      <c r="AF43" s="15"/>
      <c r="AG43" s="15"/>
      <c r="AH43" s="15"/>
      <c r="AI43" s="15"/>
      <c r="AJ43" s="15"/>
      <c r="AK43" s="15"/>
      <c r="AL43" s="15"/>
      <c r="AM43" s="15"/>
      <c r="AN43" s="15"/>
      <c r="AO43" s="15"/>
      <c r="AP43" s="15"/>
      <c r="AQ43" s="15"/>
    </row>
    <row r="44" spans="1:43" s="4" customFormat="1" ht="18" customHeight="1">
      <c r="F44" s="15"/>
      <c r="G44" s="15"/>
      <c r="H44" s="15"/>
      <c r="M44" s="15"/>
      <c r="AB44" s="15"/>
      <c r="AC44" s="15"/>
      <c r="AD44" s="15"/>
      <c r="AE44" s="15"/>
      <c r="AF44" s="15"/>
      <c r="AG44" s="15"/>
      <c r="AH44" s="15"/>
      <c r="AI44" s="15"/>
      <c r="AJ44" s="15"/>
      <c r="AK44" s="15"/>
      <c r="AL44" s="15"/>
      <c r="AM44" s="15"/>
      <c r="AN44" s="15"/>
      <c r="AO44" s="15"/>
      <c r="AP44" s="15"/>
      <c r="AQ44" s="15"/>
    </row>
    <row r="45" spans="1:43" hidden="1">
      <c r="A45" s="4"/>
      <c r="B45" s="4"/>
      <c r="C45" s="4"/>
      <c r="D45" s="4"/>
      <c r="E45" s="4"/>
      <c r="F45" s="15"/>
      <c r="G45" s="15"/>
      <c r="H45" s="15"/>
      <c r="I45" s="4"/>
      <c r="J45" s="4"/>
      <c r="K45" s="4"/>
      <c r="L45" s="4"/>
      <c r="M45" s="15"/>
      <c r="N45" s="4"/>
      <c r="O45" s="4"/>
      <c r="P45" s="4"/>
      <c r="Q45" s="4"/>
      <c r="R45" s="4"/>
      <c r="S45" s="4"/>
      <c r="T45" s="4"/>
      <c r="U45" s="4"/>
      <c r="V45" s="4"/>
      <c r="W45" s="4"/>
      <c r="X45" s="4"/>
      <c r="Y45" s="4"/>
      <c r="Z45" s="4"/>
      <c r="AA45" s="4"/>
      <c r="AB45" s="15"/>
      <c r="AD45" s="15"/>
      <c r="AE45" s="15"/>
      <c r="AF45" s="15"/>
      <c r="AG45" s="15"/>
      <c r="AH45" s="15"/>
    </row>
    <row r="46" spans="1:43" hidden="1">
      <c r="A46" s="4"/>
      <c r="B46" s="4"/>
      <c r="C46" s="4"/>
      <c r="D46" s="4"/>
      <c r="E46" s="4"/>
      <c r="F46" s="15"/>
      <c r="G46" s="15"/>
      <c r="H46" s="15"/>
      <c r="I46" s="4"/>
      <c r="J46" s="4"/>
      <c r="K46" s="4"/>
      <c r="L46" s="4"/>
      <c r="M46" s="15"/>
      <c r="N46" s="4"/>
      <c r="O46" s="4"/>
      <c r="P46" s="4"/>
      <c r="Q46" s="4"/>
      <c r="R46" s="4"/>
      <c r="S46" s="4"/>
      <c r="T46" s="4"/>
      <c r="U46" s="4"/>
      <c r="V46" s="4"/>
      <c r="W46" s="4"/>
      <c r="X46" s="4"/>
      <c r="Y46" s="4"/>
      <c r="Z46" s="4"/>
      <c r="AA46" s="4"/>
      <c r="AB46" s="15"/>
      <c r="AD46" s="15"/>
      <c r="AE46" s="15"/>
      <c r="AF46" s="15"/>
      <c r="AG46" s="15"/>
      <c r="AH46" s="15"/>
    </row>
    <row r="47" spans="1:43" hidden="1">
      <c r="A47" s="4"/>
      <c r="B47" s="4"/>
      <c r="C47" s="4"/>
      <c r="D47" s="4"/>
      <c r="E47" s="4"/>
      <c r="F47" s="15"/>
      <c r="G47" s="15"/>
      <c r="H47" s="15"/>
      <c r="I47" s="4"/>
      <c r="J47" s="4"/>
      <c r="K47" s="4"/>
      <c r="L47" s="4"/>
      <c r="M47" s="15"/>
      <c r="N47" s="4"/>
      <c r="O47" s="4"/>
      <c r="P47" s="4"/>
      <c r="Q47" s="4"/>
      <c r="R47" s="4"/>
      <c r="S47" s="4"/>
      <c r="T47" s="4"/>
      <c r="U47" s="4"/>
      <c r="V47" s="4"/>
      <c r="W47" s="4"/>
      <c r="X47" s="4"/>
      <c r="Y47" s="4"/>
      <c r="Z47" s="4"/>
      <c r="AA47" s="4"/>
      <c r="AB47" s="15"/>
      <c r="AD47" s="15"/>
      <c r="AE47" s="15"/>
      <c r="AF47" s="15"/>
      <c r="AG47" s="15"/>
      <c r="AH47" s="15"/>
    </row>
    <row r="48" spans="1:43" hidden="1">
      <c r="A48" s="4"/>
      <c r="B48" s="4"/>
      <c r="C48" s="4"/>
      <c r="D48" s="4"/>
      <c r="E48" s="4"/>
      <c r="F48" s="15"/>
      <c r="G48" s="15"/>
      <c r="H48" s="15"/>
      <c r="I48" s="4"/>
      <c r="J48" s="4"/>
      <c r="K48" s="4"/>
      <c r="L48" s="4"/>
      <c r="M48" s="15"/>
      <c r="N48" s="4"/>
      <c r="O48" s="4"/>
      <c r="P48" s="4"/>
      <c r="Q48" s="4"/>
      <c r="R48" s="4"/>
      <c r="S48" s="4"/>
      <c r="T48" s="4"/>
      <c r="U48" s="4"/>
      <c r="V48" s="4"/>
      <c r="W48" s="4"/>
      <c r="X48" s="4"/>
      <c r="Y48" s="4"/>
      <c r="Z48" s="4"/>
      <c r="AA48" s="4"/>
      <c r="AB48" s="15"/>
      <c r="AD48" s="15"/>
      <c r="AE48" s="15"/>
      <c r="AF48" s="15"/>
      <c r="AG48" s="15"/>
      <c r="AH48" s="15"/>
    </row>
    <row r="49" spans="1:34" hidden="1">
      <c r="A49" s="4"/>
      <c r="B49" s="4"/>
      <c r="C49" s="4"/>
      <c r="D49" s="4"/>
      <c r="E49" s="4"/>
      <c r="F49" s="15"/>
      <c r="G49" s="15"/>
      <c r="H49" s="15"/>
      <c r="I49" s="4"/>
      <c r="J49" s="4"/>
      <c r="K49" s="4"/>
      <c r="L49" s="4"/>
      <c r="M49" s="15"/>
      <c r="N49" s="4"/>
      <c r="O49" s="4"/>
      <c r="P49" s="4"/>
      <c r="Q49" s="4"/>
      <c r="R49" s="4"/>
      <c r="S49" s="4"/>
      <c r="T49" s="4"/>
      <c r="U49" s="4"/>
      <c r="V49" s="4"/>
      <c r="W49" s="4"/>
      <c r="X49" s="4"/>
      <c r="Y49" s="4"/>
      <c r="Z49" s="4"/>
      <c r="AA49" s="4"/>
      <c r="AB49" s="15"/>
      <c r="AD49" s="15"/>
      <c r="AE49" s="15"/>
      <c r="AF49" s="15"/>
      <c r="AG49" s="15"/>
      <c r="AH49" s="15"/>
    </row>
    <row r="50" spans="1:34" hidden="1">
      <c r="A50" s="4"/>
      <c r="B50" s="4"/>
      <c r="C50" s="4"/>
      <c r="D50" s="4"/>
      <c r="E50" s="4"/>
      <c r="F50" s="15"/>
      <c r="G50" s="15"/>
      <c r="H50" s="15"/>
      <c r="I50" s="4"/>
      <c r="J50" s="4"/>
      <c r="K50" s="4"/>
      <c r="L50" s="4"/>
      <c r="M50" s="15"/>
      <c r="N50" s="4"/>
      <c r="O50" s="4"/>
      <c r="P50" s="4"/>
      <c r="Q50" s="4"/>
      <c r="R50" s="4"/>
      <c r="S50" s="4"/>
      <c r="T50" s="4"/>
      <c r="U50" s="4"/>
      <c r="V50" s="4"/>
      <c r="W50" s="4"/>
      <c r="X50" s="4"/>
      <c r="Y50" s="4"/>
      <c r="Z50" s="4"/>
      <c r="AA50" s="4"/>
      <c r="AB50" s="15"/>
      <c r="AD50" s="15"/>
      <c r="AE50" s="15"/>
      <c r="AF50" s="15"/>
      <c r="AG50" s="15"/>
      <c r="AH50" s="15"/>
    </row>
    <row r="51" spans="1:34" hidden="1">
      <c r="A51" s="4"/>
      <c r="B51" s="4"/>
      <c r="C51" s="4"/>
      <c r="D51" s="4"/>
      <c r="E51" s="4"/>
      <c r="F51" s="15"/>
      <c r="G51" s="15"/>
      <c r="H51" s="15"/>
      <c r="I51" s="4"/>
      <c r="J51" s="4"/>
      <c r="K51" s="4"/>
      <c r="L51" s="4"/>
      <c r="M51" s="15"/>
      <c r="N51" s="4"/>
      <c r="O51" s="4"/>
      <c r="P51" s="4"/>
      <c r="Q51" s="4"/>
      <c r="R51" s="4"/>
      <c r="S51" s="4"/>
      <c r="T51" s="4"/>
      <c r="U51" s="4"/>
      <c r="V51" s="4"/>
      <c r="W51" s="4"/>
      <c r="X51" s="4"/>
      <c r="Y51" s="4"/>
      <c r="Z51" s="4"/>
      <c r="AA51" s="4"/>
      <c r="AB51" s="15"/>
      <c r="AD51" s="15"/>
      <c r="AE51" s="15"/>
      <c r="AF51" s="15"/>
      <c r="AG51" s="15"/>
      <c r="AH51" s="15"/>
    </row>
    <row r="52" spans="1:34" hidden="1">
      <c r="A52" s="4"/>
      <c r="B52" s="4"/>
      <c r="C52" s="4"/>
      <c r="D52" s="4"/>
      <c r="E52" s="4"/>
      <c r="F52" s="15"/>
      <c r="G52" s="15"/>
      <c r="H52" s="15"/>
      <c r="I52" s="4"/>
      <c r="J52" s="4"/>
      <c r="K52" s="4"/>
      <c r="L52" s="4"/>
      <c r="M52" s="15"/>
      <c r="N52" s="4"/>
      <c r="O52" s="4"/>
      <c r="P52" s="4"/>
      <c r="Q52" s="4"/>
      <c r="R52" s="4"/>
      <c r="S52" s="4"/>
      <c r="T52" s="4"/>
      <c r="U52" s="4"/>
      <c r="V52" s="4"/>
      <c r="W52" s="4"/>
      <c r="X52" s="4"/>
      <c r="Y52" s="4"/>
      <c r="Z52" s="4"/>
      <c r="AA52" s="4"/>
      <c r="AB52" s="15"/>
      <c r="AD52" s="15"/>
      <c r="AE52" s="15"/>
      <c r="AF52" s="15"/>
      <c r="AG52" s="15"/>
      <c r="AH52" s="15"/>
    </row>
    <row r="53" spans="1:34" hidden="1">
      <c r="A53" s="4"/>
      <c r="B53" s="4"/>
      <c r="C53" s="4"/>
      <c r="D53" s="4"/>
      <c r="E53" s="4"/>
      <c r="F53" s="15"/>
      <c r="G53" s="15"/>
      <c r="H53" s="15"/>
      <c r="I53" s="4"/>
      <c r="J53" s="4"/>
      <c r="K53" s="4"/>
      <c r="L53" s="4"/>
      <c r="M53" s="15"/>
      <c r="N53" s="4"/>
      <c r="O53" s="4"/>
      <c r="P53" s="4"/>
      <c r="Q53" s="4"/>
      <c r="R53" s="4"/>
      <c r="S53" s="4"/>
      <c r="T53" s="4"/>
      <c r="U53" s="4"/>
      <c r="V53" s="4"/>
      <c r="W53" s="4"/>
      <c r="X53" s="4"/>
      <c r="Y53" s="4"/>
      <c r="Z53" s="4"/>
      <c r="AA53" s="4"/>
      <c r="AB53" s="15"/>
      <c r="AD53" s="15"/>
      <c r="AE53" s="15"/>
      <c r="AF53" s="15"/>
      <c r="AG53" s="15"/>
      <c r="AH53" s="15"/>
    </row>
    <row r="54" spans="1:34" hidden="1">
      <c r="A54" s="4"/>
      <c r="B54" s="4"/>
      <c r="C54" s="4"/>
      <c r="D54" s="4"/>
      <c r="E54" s="4"/>
      <c r="F54" s="15"/>
      <c r="G54" s="15"/>
      <c r="H54" s="15"/>
      <c r="I54" s="4"/>
      <c r="J54" s="4"/>
      <c r="K54" s="4"/>
      <c r="L54" s="4"/>
      <c r="M54" s="15"/>
      <c r="N54" s="4"/>
      <c r="O54" s="4"/>
      <c r="P54" s="4"/>
      <c r="Q54" s="4"/>
      <c r="R54" s="4"/>
      <c r="S54" s="4"/>
      <c r="T54" s="4"/>
      <c r="U54" s="4"/>
      <c r="V54" s="4"/>
      <c r="W54" s="4"/>
      <c r="X54" s="4"/>
      <c r="Y54" s="4"/>
      <c r="Z54" s="4"/>
      <c r="AA54" s="4"/>
      <c r="AB54" s="15"/>
      <c r="AD54" s="15"/>
      <c r="AE54" s="15"/>
      <c r="AF54" s="15"/>
      <c r="AG54" s="15"/>
      <c r="AH54" s="15"/>
    </row>
    <row r="55" spans="1:34" hidden="1">
      <c r="A55" s="4"/>
      <c r="B55" s="4"/>
      <c r="C55" s="4"/>
      <c r="D55" s="4"/>
      <c r="E55" s="4"/>
      <c r="F55" s="15"/>
      <c r="G55" s="15"/>
      <c r="H55" s="15"/>
      <c r="I55" s="4"/>
      <c r="J55" s="4"/>
      <c r="K55" s="4"/>
      <c r="L55" s="4"/>
      <c r="M55" s="15"/>
      <c r="N55" s="4"/>
      <c r="O55" s="4"/>
      <c r="P55" s="4"/>
      <c r="Q55" s="4"/>
      <c r="R55" s="4"/>
      <c r="S55" s="4"/>
      <c r="T55" s="4"/>
      <c r="U55" s="4"/>
      <c r="V55" s="4"/>
      <c r="W55" s="4"/>
      <c r="X55" s="4"/>
      <c r="Y55" s="4"/>
      <c r="Z55" s="4"/>
      <c r="AA55" s="4"/>
      <c r="AB55" s="15"/>
      <c r="AD55" s="15"/>
      <c r="AE55" s="15"/>
      <c r="AF55" s="15"/>
      <c r="AG55" s="15"/>
      <c r="AH55" s="15"/>
    </row>
    <row r="56" spans="1:34" hidden="1">
      <c r="A56" s="4"/>
      <c r="B56" s="4"/>
      <c r="C56" s="4"/>
      <c r="D56" s="4"/>
      <c r="E56" s="4"/>
      <c r="F56" s="15"/>
      <c r="G56" s="15"/>
      <c r="H56" s="15"/>
      <c r="I56" s="4"/>
      <c r="J56" s="4"/>
      <c r="K56" s="4"/>
      <c r="L56" s="4"/>
      <c r="M56" s="15"/>
      <c r="N56" s="4"/>
      <c r="O56" s="4"/>
      <c r="P56" s="4"/>
      <c r="Q56" s="4"/>
      <c r="R56" s="4"/>
      <c r="S56" s="4"/>
      <c r="T56" s="4"/>
      <c r="U56" s="4"/>
      <c r="V56" s="4"/>
      <c r="W56" s="4"/>
      <c r="X56" s="4"/>
      <c r="Y56" s="4"/>
      <c r="Z56" s="4"/>
      <c r="AA56" s="4"/>
      <c r="AB56" s="15"/>
      <c r="AD56" s="15"/>
      <c r="AE56" s="15"/>
      <c r="AF56" s="15"/>
      <c r="AG56" s="15"/>
      <c r="AH56" s="15"/>
    </row>
    <row r="57" spans="1:34" hidden="1">
      <c r="A57" s="4"/>
      <c r="B57" s="4"/>
      <c r="C57" s="4"/>
      <c r="D57" s="4"/>
      <c r="E57" s="4"/>
      <c r="F57" s="15"/>
      <c r="G57" s="15"/>
      <c r="H57" s="15"/>
      <c r="I57" s="4"/>
      <c r="J57" s="4"/>
      <c r="K57" s="4"/>
      <c r="L57" s="4"/>
      <c r="M57" s="15"/>
      <c r="N57" s="4"/>
      <c r="O57" s="4"/>
      <c r="P57" s="4"/>
      <c r="Q57" s="4"/>
      <c r="R57" s="4"/>
      <c r="S57" s="4"/>
      <c r="T57" s="4"/>
      <c r="U57" s="4"/>
      <c r="V57" s="4"/>
      <c r="W57" s="4"/>
      <c r="X57" s="4"/>
      <c r="Y57" s="4"/>
      <c r="Z57" s="4"/>
      <c r="AA57" s="4"/>
      <c r="AB57" s="15"/>
      <c r="AD57" s="15"/>
      <c r="AE57" s="15"/>
      <c r="AF57" s="15"/>
      <c r="AG57" s="15"/>
      <c r="AH57" s="15"/>
    </row>
    <row r="58" spans="1:34" hidden="1">
      <c r="A58" s="4"/>
      <c r="B58" s="4"/>
      <c r="C58" s="4"/>
      <c r="D58" s="4"/>
      <c r="E58" s="4"/>
      <c r="F58" s="15"/>
      <c r="G58" s="15"/>
      <c r="H58" s="15"/>
      <c r="I58" s="4"/>
      <c r="J58" s="4"/>
      <c r="K58" s="4"/>
      <c r="L58" s="4"/>
      <c r="M58" s="15"/>
      <c r="N58" s="4"/>
      <c r="O58" s="4"/>
      <c r="P58" s="4"/>
      <c r="Q58" s="4"/>
      <c r="R58" s="4"/>
      <c r="S58" s="4"/>
      <c r="T58" s="4"/>
      <c r="U58" s="4"/>
      <c r="V58" s="4"/>
      <c r="W58" s="4"/>
      <c r="X58" s="4"/>
      <c r="Y58" s="4"/>
      <c r="Z58" s="4"/>
      <c r="AA58" s="4"/>
      <c r="AB58" s="15"/>
      <c r="AD58" s="15"/>
      <c r="AE58" s="15"/>
      <c r="AF58" s="15"/>
      <c r="AG58" s="15"/>
      <c r="AH58" s="15"/>
    </row>
    <row r="59" spans="1:34" hidden="1">
      <c r="A59" s="4"/>
      <c r="B59" s="4"/>
      <c r="C59" s="4"/>
      <c r="D59" s="4"/>
      <c r="E59" s="4"/>
      <c r="F59" s="15"/>
      <c r="G59" s="15"/>
      <c r="H59" s="15"/>
      <c r="I59" s="4"/>
      <c r="J59" s="4"/>
      <c r="K59" s="4"/>
      <c r="L59" s="4"/>
      <c r="M59" s="15"/>
      <c r="N59" s="4"/>
      <c r="O59" s="4"/>
      <c r="P59" s="4"/>
      <c r="Q59" s="4"/>
      <c r="R59" s="4"/>
      <c r="S59" s="4"/>
      <c r="T59" s="4"/>
      <c r="U59" s="4"/>
      <c r="V59" s="4"/>
      <c r="W59" s="4"/>
      <c r="X59" s="4"/>
      <c r="Y59" s="4"/>
      <c r="Z59" s="4"/>
      <c r="AA59" s="4"/>
      <c r="AB59" s="15"/>
      <c r="AD59" s="15"/>
      <c r="AE59" s="15"/>
      <c r="AF59" s="15"/>
      <c r="AG59" s="15"/>
      <c r="AH59" s="15"/>
    </row>
    <row r="60" spans="1:34" hidden="1">
      <c r="A60" s="4"/>
      <c r="B60" s="4"/>
      <c r="C60" s="4"/>
      <c r="D60" s="4"/>
      <c r="E60" s="4"/>
      <c r="F60" s="15"/>
      <c r="G60" s="15"/>
      <c r="H60" s="15"/>
      <c r="I60" s="4"/>
      <c r="J60" s="4"/>
      <c r="K60" s="4"/>
      <c r="L60" s="4"/>
      <c r="M60" s="15"/>
      <c r="N60" s="4"/>
      <c r="O60" s="4"/>
      <c r="P60" s="4"/>
      <c r="Q60" s="4"/>
      <c r="R60" s="4"/>
      <c r="S60" s="4"/>
      <c r="T60" s="4"/>
      <c r="U60" s="4"/>
      <c r="V60" s="4"/>
      <c r="W60" s="4"/>
      <c r="X60" s="4"/>
      <c r="Y60" s="4"/>
      <c r="Z60" s="4"/>
      <c r="AA60" s="4"/>
      <c r="AB60" s="15"/>
      <c r="AD60" s="15"/>
      <c r="AE60" s="15"/>
      <c r="AF60" s="15"/>
      <c r="AG60" s="15"/>
      <c r="AH60" s="15"/>
    </row>
    <row r="61" spans="1:34" hidden="1">
      <c r="A61" s="4"/>
      <c r="B61" s="4"/>
      <c r="C61" s="4"/>
      <c r="D61" s="4"/>
      <c r="E61" s="4"/>
      <c r="F61" s="15"/>
      <c r="G61" s="15"/>
      <c r="H61" s="15"/>
      <c r="I61" s="4"/>
      <c r="J61" s="4"/>
      <c r="K61" s="4"/>
      <c r="L61" s="4"/>
      <c r="M61" s="15"/>
      <c r="N61" s="4"/>
      <c r="O61" s="4"/>
      <c r="P61" s="4"/>
      <c r="Q61" s="4"/>
      <c r="R61" s="4"/>
      <c r="S61" s="4"/>
      <c r="T61" s="4"/>
      <c r="U61" s="4"/>
      <c r="V61" s="4"/>
      <c r="W61" s="4"/>
      <c r="X61" s="4"/>
      <c r="Y61" s="4"/>
      <c r="Z61" s="4"/>
      <c r="AA61" s="4"/>
      <c r="AB61" s="15"/>
      <c r="AD61" s="15"/>
      <c r="AE61" s="15"/>
      <c r="AF61" s="15"/>
      <c r="AG61" s="15"/>
      <c r="AH61" s="15"/>
    </row>
    <row r="62" spans="1:34" hidden="1">
      <c r="A62" s="4"/>
      <c r="B62" s="4"/>
      <c r="C62" s="4"/>
      <c r="D62" s="4"/>
      <c r="E62" s="4"/>
      <c r="F62" s="15"/>
      <c r="G62" s="15"/>
      <c r="H62" s="15"/>
      <c r="I62" s="4"/>
      <c r="J62" s="4"/>
      <c r="K62" s="4"/>
      <c r="L62" s="4"/>
      <c r="M62" s="15"/>
      <c r="N62" s="4"/>
      <c r="O62" s="4"/>
      <c r="P62" s="4"/>
      <c r="Q62" s="4"/>
      <c r="R62" s="4"/>
      <c r="S62" s="4"/>
      <c r="T62" s="4"/>
      <c r="U62" s="4"/>
      <c r="V62" s="4"/>
      <c r="W62" s="4"/>
      <c r="X62" s="4"/>
      <c r="Y62" s="4"/>
      <c r="Z62" s="4"/>
      <c r="AA62" s="4"/>
      <c r="AB62" s="15"/>
      <c r="AD62" s="15"/>
      <c r="AE62" s="15"/>
      <c r="AF62" s="15"/>
      <c r="AG62" s="15"/>
      <c r="AH62" s="15"/>
    </row>
    <row r="63" spans="1:34" hidden="1">
      <c r="A63" s="4"/>
      <c r="B63" s="4"/>
      <c r="C63" s="4"/>
      <c r="D63" s="4"/>
      <c r="E63" s="4"/>
      <c r="F63" s="15"/>
      <c r="G63" s="15"/>
      <c r="H63" s="15"/>
      <c r="I63" s="4"/>
      <c r="J63" s="4"/>
      <c r="K63" s="4"/>
      <c r="L63" s="4"/>
      <c r="M63" s="15"/>
      <c r="N63" s="4"/>
      <c r="O63" s="4"/>
      <c r="P63" s="4"/>
      <c r="Q63" s="4"/>
      <c r="R63" s="4"/>
      <c r="S63" s="4"/>
      <c r="T63" s="4"/>
      <c r="U63" s="4"/>
      <c r="V63" s="4"/>
      <c r="W63" s="4"/>
      <c r="X63" s="4"/>
      <c r="Y63" s="4"/>
      <c r="Z63" s="4"/>
      <c r="AA63" s="4"/>
      <c r="AB63" s="15"/>
      <c r="AD63" s="15"/>
      <c r="AE63" s="15"/>
      <c r="AF63" s="15"/>
      <c r="AG63" s="15"/>
      <c r="AH63" s="15"/>
    </row>
    <row r="64" spans="1:34" hidden="1">
      <c r="A64" s="4"/>
      <c r="B64" s="4"/>
      <c r="C64" s="4"/>
      <c r="D64" s="4"/>
      <c r="E64" s="4"/>
      <c r="F64" s="15"/>
      <c r="G64" s="15"/>
      <c r="H64" s="15"/>
      <c r="I64" s="4"/>
      <c r="J64" s="4"/>
      <c r="K64" s="4"/>
      <c r="L64" s="4"/>
      <c r="M64" s="15"/>
      <c r="N64" s="4"/>
      <c r="O64" s="4"/>
      <c r="P64" s="4"/>
      <c r="Q64" s="4"/>
      <c r="R64" s="4"/>
      <c r="S64" s="4"/>
      <c r="T64" s="4"/>
      <c r="U64" s="4"/>
      <c r="V64" s="4"/>
      <c r="W64" s="4"/>
      <c r="X64" s="4"/>
      <c r="Y64" s="4"/>
      <c r="Z64" s="4"/>
      <c r="AA64" s="4"/>
      <c r="AB64" s="15"/>
      <c r="AD64" s="15"/>
      <c r="AE64" s="15"/>
      <c r="AF64" s="15"/>
      <c r="AG64" s="15"/>
      <c r="AH64" s="15"/>
    </row>
    <row r="65" spans="1:34" hidden="1">
      <c r="A65" s="4"/>
      <c r="B65" s="4"/>
      <c r="C65" s="4"/>
      <c r="D65" s="4"/>
      <c r="E65" s="4"/>
      <c r="F65" s="15"/>
      <c r="G65" s="15"/>
      <c r="H65" s="15"/>
      <c r="I65" s="4"/>
      <c r="J65" s="4"/>
      <c r="K65" s="4"/>
      <c r="L65" s="4"/>
      <c r="M65" s="15"/>
      <c r="N65" s="4"/>
      <c r="O65" s="4"/>
      <c r="P65" s="4"/>
      <c r="Q65" s="4"/>
      <c r="R65" s="4"/>
      <c r="S65" s="4"/>
      <c r="T65" s="4"/>
      <c r="U65" s="4"/>
      <c r="V65" s="4"/>
      <c r="W65" s="4"/>
      <c r="X65" s="4"/>
      <c r="Y65" s="4"/>
      <c r="Z65" s="4"/>
      <c r="AA65" s="4"/>
      <c r="AB65" s="15"/>
      <c r="AD65" s="15"/>
      <c r="AE65" s="15"/>
      <c r="AF65" s="15"/>
      <c r="AG65" s="15"/>
      <c r="AH65" s="15"/>
    </row>
    <row r="66" spans="1:34" hidden="1">
      <c r="A66" s="4"/>
      <c r="B66" s="4"/>
      <c r="C66" s="4"/>
      <c r="D66" s="4"/>
      <c r="E66" s="4"/>
      <c r="F66" s="15"/>
      <c r="G66" s="15"/>
      <c r="H66" s="15"/>
      <c r="I66" s="4"/>
      <c r="J66" s="4"/>
      <c r="K66" s="4"/>
      <c r="L66" s="4"/>
      <c r="M66" s="15"/>
      <c r="N66" s="4"/>
      <c r="O66" s="4"/>
      <c r="P66" s="4"/>
      <c r="Q66" s="4"/>
      <c r="R66" s="4"/>
      <c r="S66" s="4"/>
      <c r="T66" s="4"/>
      <c r="U66" s="4"/>
      <c r="V66" s="4"/>
      <c r="W66" s="4"/>
      <c r="X66" s="4"/>
      <c r="Y66" s="4"/>
      <c r="Z66" s="4"/>
      <c r="AA66" s="4"/>
      <c r="AB66" s="15"/>
      <c r="AD66" s="15"/>
      <c r="AE66" s="15"/>
      <c r="AF66" s="15"/>
      <c r="AG66" s="15"/>
      <c r="AH66" s="15"/>
    </row>
    <row r="67" spans="1:34" hidden="1">
      <c r="A67" s="4"/>
      <c r="B67" s="4"/>
      <c r="C67" s="4"/>
      <c r="D67" s="4"/>
      <c r="E67" s="4"/>
      <c r="F67" s="15"/>
      <c r="G67" s="15"/>
      <c r="H67" s="15"/>
      <c r="I67" s="4"/>
      <c r="J67" s="4"/>
      <c r="K67" s="4"/>
      <c r="L67" s="4"/>
      <c r="M67" s="15"/>
      <c r="N67" s="4"/>
      <c r="O67" s="4"/>
      <c r="P67" s="4"/>
      <c r="Q67" s="4"/>
      <c r="R67" s="4"/>
      <c r="S67" s="4"/>
      <c r="T67" s="4"/>
      <c r="U67" s="4"/>
      <c r="V67" s="4"/>
      <c r="W67" s="4"/>
      <c r="X67" s="4"/>
      <c r="Y67" s="4"/>
      <c r="Z67" s="4"/>
      <c r="AA67" s="4"/>
      <c r="AB67" s="15"/>
      <c r="AD67" s="15"/>
      <c r="AE67" s="15"/>
      <c r="AF67" s="15"/>
      <c r="AG67" s="15"/>
      <c r="AH67" s="15"/>
    </row>
    <row r="68" spans="1:34" hidden="1">
      <c r="A68" s="4"/>
      <c r="B68" s="4"/>
      <c r="C68" s="4"/>
      <c r="D68" s="4"/>
      <c r="E68" s="4"/>
      <c r="F68" s="15"/>
      <c r="G68" s="15"/>
      <c r="H68" s="15"/>
      <c r="I68" s="4"/>
      <c r="J68" s="4"/>
      <c r="K68" s="4"/>
      <c r="L68" s="4"/>
      <c r="M68" s="15"/>
      <c r="N68" s="4"/>
      <c r="O68" s="4"/>
      <c r="P68" s="4"/>
      <c r="Q68" s="4"/>
      <c r="R68" s="4"/>
      <c r="S68" s="4"/>
      <c r="T68" s="4"/>
      <c r="U68" s="4"/>
      <c r="V68" s="4"/>
      <c r="W68" s="4"/>
      <c r="X68" s="4"/>
      <c r="Y68" s="4"/>
      <c r="Z68" s="4"/>
      <c r="AA68" s="4"/>
      <c r="AB68" s="15"/>
      <c r="AD68" s="15"/>
      <c r="AE68" s="15"/>
      <c r="AF68" s="15"/>
      <c r="AG68" s="15"/>
      <c r="AH68" s="15"/>
    </row>
    <row r="69" spans="1:34" hidden="1">
      <c r="A69" s="4"/>
      <c r="B69" s="4"/>
      <c r="C69" s="4"/>
      <c r="D69" s="4"/>
      <c r="E69" s="4"/>
      <c r="F69" s="15"/>
      <c r="G69" s="15"/>
      <c r="H69" s="15"/>
      <c r="I69" s="4"/>
      <c r="J69" s="4"/>
      <c r="K69" s="4"/>
      <c r="L69" s="4"/>
      <c r="M69" s="15"/>
      <c r="N69" s="4"/>
      <c r="O69" s="4"/>
      <c r="P69" s="4"/>
      <c r="Q69" s="4"/>
      <c r="R69" s="4"/>
      <c r="S69" s="4"/>
      <c r="T69" s="4"/>
      <c r="U69" s="4"/>
      <c r="V69" s="4"/>
      <c r="W69" s="4"/>
      <c r="X69" s="4"/>
      <c r="Y69" s="4"/>
      <c r="Z69" s="4"/>
      <c r="AA69" s="4"/>
      <c r="AB69" s="15"/>
      <c r="AD69" s="15"/>
      <c r="AE69" s="15"/>
      <c r="AF69" s="15"/>
      <c r="AG69" s="15"/>
      <c r="AH69" s="15"/>
    </row>
    <row r="70" spans="1:34" hidden="1">
      <c r="A70" s="4"/>
      <c r="B70" s="4"/>
      <c r="C70" s="4"/>
      <c r="D70" s="4"/>
      <c r="E70" s="4"/>
      <c r="F70" s="15"/>
      <c r="G70" s="15"/>
      <c r="H70" s="15"/>
      <c r="I70" s="4"/>
      <c r="J70" s="4"/>
      <c r="K70" s="4"/>
      <c r="L70" s="4"/>
      <c r="M70" s="15"/>
      <c r="N70" s="4"/>
      <c r="O70" s="4"/>
      <c r="P70" s="4"/>
      <c r="Q70" s="4"/>
      <c r="R70" s="4"/>
      <c r="S70" s="4"/>
      <c r="T70" s="4"/>
      <c r="U70" s="4"/>
      <c r="V70" s="4"/>
      <c r="W70" s="4"/>
      <c r="X70" s="4"/>
      <c r="Y70" s="4"/>
      <c r="Z70" s="4"/>
      <c r="AA70" s="4"/>
      <c r="AB70" s="15"/>
      <c r="AD70" s="15"/>
      <c r="AE70" s="15"/>
      <c r="AF70" s="15"/>
      <c r="AG70" s="15"/>
      <c r="AH70" s="15"/>
    </row>
    <row r="71" spans="1:34" hidden="1">
      <c r="A71" s="4"/>
      <c r="B71" s="4"/>
      <c r="C71" s="4"/>
      <c r="D71" s="4"/>
      <c r="E71" s="4"/>
      <c r="F71" s="15"/>
      <c r="G71" s="15"/>
      <c r="H71" s="15"/>
      <c r="I71" s="4"/>
      <c r="J71" s="4"/>
      <c r="K71" s="4"/>
      <c r="L71" s="4"/>
      <c r="M71" s="15"/>
      <c r="N71" s="4"/>
      <c r="O71" s="4"/>
      <c r="P71" s="4"/>
      <c r="Q71" s="4"/>
      <c r="R71" s="4"/>
      <c r="S71" s="4"/>
      <c r="T71" s="4"/>
      <c r="U71" s="4"/>
      <c r="V71" s="4"/>
      <c r="W71" s="4"/>
      <c r="X71" s="4"/>
      <c r="Y71" s="4"/>
      <c r="Z71" s="4"/>
      <c r="AA71" s="4"/>
      <c r="AB71" s="15"/>
      <c r="AD71" s="15"/>
      <c r="AE71" s="15"/>
      <c r="AF71" s="15"/>
      <c r="AG71" s="15"/>
      <c r="AH71" s="15"/>
    </row>
    <row r="72" spans="1:34" hidden="1">
      <c r="A72" s="4"/>
      <c r="B72" s="4"/>
      <c r="C72" s="4"/>
      <c r="D72" s="4"/>
      <c r="E72" s="4"/>
      <c r="F72" s="15"/>
      <c r="G72" s="15"/>
      <c r="H72" s="15"/>
      <c r="I72" s="4"/>
      <c r="J72" s="4"/>
      <c r="K72" s="4"/>
      <c r="L72" s="4"/>
      <c r="M72" s="15"/>
      <c r="N72" s="4"/>
      <c r="O72" s="4"/>
      <c r="P72" s="4"/>
      <c r="Q72" s="4"/>
      <c r="R72" s="4"/>
      <c r="S72" s="4"/>
      <c r="T72" s="4"/>
      <c r="U72" s="4"/>
      <c r="V72" s="4"/>
      <c r="W72" s="4"/>
      <c r="X72" s="4"/>
      <c r="Y72" s="4"/>
      <c r="Z72" s="4"/>
      <c r="AA72" s="4"/>
      <c r="AB72" s="15"/>
      <c r="AD72" s="15"/>
      <c r="AE72" s="15"/>
      <c r="AF72" s="15"/>
      <c r="AG72" s="15"/>
      <c r="AH72" s="15"/>
    </row>
    <row r="73" spans="1:34" hidden="1">
      <c r="A73" s="4"/>
      <c r="B73" s="4"/>
      <c r="C73" s="4"/>
      <c r="D73" s="4"/>
      <c r="E73" s="4"/>
      <c r="F73" s="15"/>
      <c r="G73" s="15"/>
      <c r="H73" s="15"/>
      <c r="I73" s="4"/>
      <c r="J73" s="4"/>
      <c r="K73" s="4"/>
      <c r="L73" s="4"/>
      <c r="M73" s="15"/>
      <c r="N73" s="4"/>
      <c r="O73" s="4"/>
      <c r="P73" s="4"/>
      <c r="Q73" s="4"/>
      <c r="R73" s="4"/>
      <c r="S73" s="4"/>
      <c r="T73" s="4"/>
      <c r="U73" s="4"/>
      <c r="V73" s="4"/>
      <c r="W73" s="4"/>
      <c r="X73" s="4"/>
      <c r="Y73" s="4"/>
      <c r="Z73" s="4"/>
      <c r="AA73" s="4"/>
      <c r="AB73" s="15"/>
      <c r="AD73" s="15"/>
      <c r="AE73" s="15"/>
      <c r="AF73" s="15"/>
      <c r="AG73" s="15"/>
      <c r="AH73" s="15"/>
    </row>
    <row r="74" spans="1:34" hidden="1">
      <c r="A74" s="4"/>
      <c r="B74" s="4"/>
      <c r="C74" s="4"/>
      <c r="D74" s="4"/>
      <c r="E74" s="4"/>
      <c r="F74" s="15"/>
      <c r="G74" s="15"/>
      <c r="H74" s="15"/>
      <c r="I74" s="4"/>
      <c r="J74" s="4"/>
      <c r="K74" s="4"/>
      <c r="L74" s="4"/>
      <c r="M74" s="15"/>
      <c r="N74" s="4"/>
      <c r="O74" s="4"/>
      <c r="P74" s="4"/>
      <c r="Q74" s="4"/>
      <c r="R74" s="4"/>
      <c r="S74" s="4"/>
      <c r="T74" s="4"/>
      <c r="U74" s="4"/>
      <c r="V74" s="4"/>
      <c r="W74" s="4"/>
      <c r="X74" s="4"/>
      <c r="Y74" s="4"/>
      <c r="Z74" s="4"/>
      <c r="AA74" s="4"/>
      <c r="AB74" s="15"/>
      <c r="AD74" s="15"/>
      <c r="AE74" s="15"/>
      <c r="AF74" s="15"/>
      <c r="AG74" s="15"/>
      <c r="AH74" s="15"/>
    </row>
    <row r="75" spans="1:34" hidden="1">
      <c r="A75" s="4"/>
      <c r="B75" s="4"/>
      <c r="C75" s="4"/>
      <c r="D75" s="4"/>
      <c r="E75" s="4"/>
      <c r="F75" s="15"/>
      <c r="G75" s="15"/>
      <c r="H75" s="15"/>
      <c r="I75" s="4"/>
      <c r="J75" s="4"/>
      <c r="K75" s="4"/>
      <c r="L75" s="4"/>
      <c r="M75" s="15"/>
      <c r="N75" s="4"/>
      <c r="O75" s="4"/>
      <c r="P75" s="4"/>
      <c r="Q75" s="4"/>
      <c r="R75" s="4"/>
      <c r="S75" s="4"/>
      <c r="T75" s="4"/>
      <c r="U75" s="4"/>
      <c r="V75" s="4"/>
      <c r="W75" s="4"/>
      <c r="X75" s="4"/>
      <c r="Y75" s="4"/>
      <c r="Z75" s="4"/>
      <c r="AA75" s="4"/>
      <c r="AB75" s="15"/>
      <c r="AD75" s="15"/>
      <c r="AE75" s="15"/>
      <c r="AF75" s="15"/>
      <c r="AG75" s="15"/>
      <c r="AH75" s="15"/>
    </row>
    <row r="76" spans="1:34" hidden="1">
      <c r="A76" s="4"/>
      <c r="B76" s="4"/>
      <c r="C76" s="4"/>
      <c r="D76" s="4"/>
      <c r="E76" s="4"/>
      <c r="F76" s="15"/>
      <c r="G76" s="15"/>
      <c r="H76" s="15"/>
      <c r="I76" s="4"/>
      <c r="J76" s="4"/>
      <c r="K76" s="4"/>
      <c r="L76" s="4"/>
      <c r="M76" s="15"/>
      <c r="N76" s="4"/>
      <c r="O76" s="4"/>
      <c r="P76" s="4"/>
      <c r="Q76" s="4"/>
      <c r="R76" s="4"/>
      <c r="S76" s="4"/>
      <c r="T76" s="4"/>
      <c r="U76" s="4"/>
      <c r="V76" s="4"/>
      <c r="W76" s="4"/>
      <c r="X76" s="4"/>
      <c r="Y76" s="4"/>
      <c r="Z76" s="4"/>
      <c r="AA76" s="4"/>
      <c r="AB76" s="15"/>
      <c r="AD76" s="15"/>
      <c r="AE76" s="15"/>
      <c r="AF76" s="15"/>
      <c r="AG76" s="15"/>
      <c r="AH76" s="15"/>
    </row>
    <row r="77" spans="1:34" hidden="1">
      <c r="A77" s="4"/>
      <c r="B77" s="4"/>
      <c r="C77" s="4"/>
      <c r="D77" s="4"/>
      <c r="E77" s="4"/>
      <c r="F77" s="15"/>
      <c r="G77" s="15"/>
      <c r="H77" s="15"/>
      <c r="I77" s="4"/>
      <c r="J77" s="4"/>
      <c r="K77" s="4"/>
      <c r="L77" s="4"/>
      <c r="M77" s="15"/>
      <c r="N77" s="4"/>
      <c r="O77" s="4"/>
      <c r="P77" s="4"/>
      <c r="Q77" s="4"/>
      <c r="R77" s="4"/>
      <c r="S77" s="4"/>
      <c r="T77" s="4"/>
      <c r="U77" s="4"/>
      <c r="V77" s="4"/>
      <c r="W77" s="4"/>
      <c r="X77" s="4"/>
      <c r="Y77" s="4"/>
      <c r="Z77" s="4"/>
      <c r="AA77" s="4"/>
      <c r="AG77" s="15"/>
      <c r="AH77" s="15"/>
    </row>
    <row r="78" spans="1:34" hidden="1">
      <c r="A78" s="4"/>
      <c r="B78" s="4"/>
      <c r="C78" s="4"/>
      <c r="D78" s="4"/>
      <c r="E78" s="4"/>
      <c r="F78" s="15"/>
      <c r="G78" s="15"/>
      <c r="H78" s="15"/>
      <c r="I78" s="4"/>
      <c r="J78" s="4"/>
      <c r="K78" s="4"/>
      <c r="L78" s="4"/>
      <c r="M78" s="15"/>
      <c r="N78" s="4"/>
      <c r="O78" s="4"/>
      <c r="P78" s="4"/>
      <c r="Q78" s="4"/>
      <c r="R78" s="4"/>
      <c r="S78" s="4"/>
      <c r="T78" s="4"/>
      <c r="U78" s="4"/>
      <c r="V78" s="4"/>
      <c r="W78" s="4"/>
      <c r="X78" s="4"/>
      <c r="Y78" s="4"/>
      <c r="Z78" s="4"/>
      <c r="AA78" s="4"/>
      <c r="AG78" s="15"/>
      <c r="AH78" s="15"/>
    </row>
    <row r="79" spans="1:34" hidden="1">
      <c r="A79" s="4"/>
      <c r="B79" s="4"/>
      <c r="C79" s="4"/>
      <c r="D79" s="4"/>
      <c r="E79" s="4"/>
      <c r="F79" s="15"/>
      <c r="G79" s="15"/>
      <c r="H79" s="15"/>
      <c r="I79" s="4"/>
      <c r="J79" s="4"/>
      <c r="K79" s="4"/>
      <c r="L79" s="4"/>
      <c r="M79" s="15"/>
      <c r="N79" s="4"/>
      <c r="O79" s="4"/>
      <c r="P79" s="4"/>
      <c r="Q79" s="4"/>
      <c r="R79" s="4"/>
      <c r="S79" s="4"/>
      <c r="T79" s="4"/>
      <c r="U79" s="4"/>
      <c r="V79" s="4"/>
      <c r="W79" s="4"/>
      <c r="X79" s="4"/>
      <c r="Y79" s="4"/>
      <c r="Z79" s="4"/>
      <c r="AA79" s="4"/>
      <c r="AG79" s="15"/>
      <c r="AH79" s="15"/>
    </row>
    <row r="80" spans="1:34" hidden="1">
      <c r="A80" s="4"/>
      <c r="B80" s="4"/>
      <c r="C80" s="4"/>
      <c r="D80" s="4"/>
      <c r="E80" s="4"/>
      <c r="F80" s="15"/>
      <c r="G80" s="15"/>
      <c r="H80" s="15"/>
      <c r="I80" s="4"/>
      <c r="J80" s="4"/>
      <c r="K80" s="4"/>
      <c r="L80" s="4"/>
      <c r="M80" s="15"/>
      <c r="N80" s="4"/>
      <c r="O80" s="4"/>
      <c r="P80" s="4"/>
      <c r="Q80" s="4"/>
      <c r="R80" s="4"/>
      <c r="S80" s="4"/>
      <c r="T80" s="4"/>
      <c r="U80" s="4"/>
      <c r="V80" s="4"/>
      <c r="W80" s="4"/>
      <c r="X80" s="4"/>
      <c r="Y80" s="4"/>
      <c r="Z80" s="4"/>
      <c r="AA80" s="4"/>
      <c r="AG80" s="15"/>
      <c r="AH80" s="15"/>
    </row>
    <row r="81" spans="1:34" hidden="1">
      <c r="A81" s="4"/>
      <c r="B81" s="4"/>
      <c r="C81" s="4"/>
      <c r="D81" s="4"/>
      <c r="E81" s="4"/>
      <c r="F81" s="15"/>
      <c r="G81" s="15"/>
      <c r="H81" s="15"/>
      <c r="I81" s="4"/>
      <c r="J81" s="4"/>
      <c r="K81" s="4"/>
      <c r="L81" s="4"/>
      <c r="M81" s="15"/>
      <c r="N81" s="4"/>
      <c r="O81" s="4"/>
      <c r="P81" s="4"/>
      <c r="Q81" s="4"/>
      <c r="R81" s="4"/>
      <c r="S81" s="4"/>
      <c r="T81" s="4"/>
      <c r="U81" s="4"/>
      <c r="V81" s="4"/>
      <c r="W81" s="4"/>
      <c r="X81" s="4"/>
      <c r="Y81" s="4"/>
      <c r="Z81" s="4"/>
      <c r="AA81" s="4"/>
      <c r="AG81" s="15"/>
      <c r="AH81" s="15"/>
    </row>
    <row r="82" spans="1:34" hidden="1">
      <c r="A82" s="4"/>
      <c r="B82" s="4"/>
      <c r="C82" s="4"/>
      <c r="D82" s="4"/>
      <c r="E82" s="4"/>
      <c r="F82" s="15"/>
      <c r="G82" s="15"/>
      <c r="H82" s="15"/>
      <c r="I82" s="4"/>
      <c r="J82" s="4"/>
      <c r="K82" s="4"/>
      <c r="L82" s="4"/>
      <c r="M82" s="15"/>
      <c r="N82" s="4"/>
      <c r="O82" s="4"/>
      <c r="P82" s="4"/>
      <c r="Q82" s="4"/>
      <c r="R82" s="4"/>
      <c r="S82" s="4"/>
      <c r="T82" s="4"/>
      <c r="U82" s="4"/>
      <c r="V82" s="4"/>
      <c r="W82" s="4"/>
      <c r="X82" s="4"/>
      <c r="Y82" s="4"/>
      <c r="Z82" s="4"/>
      <c r="AA82" s="4"/>
      <c r="AG82" s="15"/>
      <c r="AH82" s="15"/>
    </row>
    <row r="83" spans="1:34" hidden="1">
      <c r="A83" s="4"/>
      <c r="B83" s="4"/>
      <c r="C83" s="4"/>
      <c r="D83" s="4"/>
      <c r="E83" s="4"/>
      <c r="F83" s="15"/>
      <c r="G83" s="15"/>
      <c r="H83" s="15"/>
      <c r="I83" s="4"/>
      <c r="J83" s="4"/>
      <c r="K83" s="4"/>
      <c r="L83" s="4"/>
      <c r="M83" s="15"/>
      <c r="N83" s="4"/>
      <c r="O83" s="4"/>
      <c r="P83" s="4"/>
      <c r="Q83" s="4"/>
      <c r="R83" s="4"/>
      <c r="S83" s="4"/>
      <c r="T83" s="4"/>
      <c r="U83" s="4"/>
      <c r="V83" s="4"/>
      <c r="W83" s="4"/>
      <c r="X83" s="4"/>
      <c r="Y83" s="4"/>
      <c r="Z83" s="4"/>
      <c r="AA83" s="4"/>
      <c r="AG83" s="15"/>
      <c r="AH83" s="15"/>
    </row>
    <row r="84" spans="1:34" hidden="1">
      <c r="A84" s="4"/>
      <c r="B84" s="4"/>
      <c r="C84" s="4"/>
      <c r="D84" s="4"/>
      <c r="E84" s="4"/>
      <c r="F84" s="15"/>
      <c r="G84" s="15"/>
      <c r="H84" s="15"/>
      <c r="I84" s="4"/>
      <c r="J84" s="4"/>
      <c r="K84" s="4"/>
      <c r="L84" s="4"/>
      <c r="M84" s="15"/>
      <c r="N84" s="4"/>
      <c r="O84" s="4"/>
      <c r="P84" s="4"/>
      <c r="Q84" s="4"/>
      <c r="R84" s="4"/>
      <c r="S84" s="4"/>
      <c r="T84" s="4"/>
      <c r="U84" s="4"/>
      <c r="V84" s="4"/>
      <c r="W84" s="4"/>
      <c r="X84" s="4"/>
      <c r="Y84" s="4"/>
      <c r="Z84" s="4"/>
      <c r="AA84" s="4"/>
      <c r="AG84" s="15"/>
      <c r="AH84" s="15"/>
    </row>
    <row r="85" spans="1:34" hidden="1">
      <c r="A85" s="4"/>
      <c r="B85" s="4"/>
      <c r="C85" s="4"/>
      <c r="D85" s="4"/>
      <c r="E85" s="4"/>
      <c r="F85" s="15"/>
      <c r="G85" s="15"/>
      <c r="H85" s="15"/>
      <c r="I85" s="4"/>
      <c r="J85" s="4"/>
      <c r="K85" s="4"/>
      <c r="L85" s="4"/>
      <c r="M85" s="15"/>
      <c r="N85" s="4"/>
      <c r="O85" s="4"/>
      <c r="P85" s="4"/>
      <c r="Q85" s="4"/>
      <c r="R85" s="4"/>
      <c r="S85" s="4"/>
      <c r="T85" s="4"/>
      <c r="U85" s="4"/>
      <c r="V85" s="4"/>
      <c r="W85" s="4"/>
      <c r="X85" s="4"/>
      <c r="Y85" s="4"/>
      <c r="Z85" s="4"/>
      <c r="AA85" s="4"/>
      <c r="AG85" s="15"/>
      <c r="AH85" s="15"/>
    </row>
    <row r="86" spans="1:34" hidden="1">
      <c r="A86" s="4"/>
      <c r="B86" s="4"/>
      <c r="C86" s="4"/>
      <c r="D86" s="4"/>
      <c r="E86" s="4"/>
      <c r="F86" s="15"/>
      <c r="G86" s="15"/>
      <c r="H86" s="15"/>
      <c r="I86" s="4"/>
      <c r="J86" s="4"/>
      <c r="K86" s="4"/>
      <c r="L86" s="4"/>
      <c r="M86" s="15"/>
      <c r="N86" s="4"/>
      <c r="O86" s="4"/>
      <c r="P86" s="4"/>
      <c r="Q86" s="4"/>
      <c r="R86" s="4"/>
      <c r="S86" s="4"/>
      <c r="T86" s="4"/>
      <c r="U86" s="4"/>
      <c r="V86" s="4"/>
      <c r="W86" s="4"/>
      <c r="X86" s="4"/>
      <c r="Y86" s="4"/>
      <c r="Z86" s="4"/>
      <c r="AA86" s="4"/>
      <c r="AG86" s="15"/>
      <c r="AH86" s="15"/>
    </row>
    <row r="87" spans="1:34" hidden="1">
      <c r="A87" s="4"/>
      <c r="B87" s="4"/>
      <c r="C87" s="4"/>
      <c r="D87" s="4"/>
      <c r="E87" s="4"/>
      <c r="F87" s="15"/>
      <c r="G87" s="15"/>
      <c r="H87" s="15"/>
      <c r="I87" s="4"/>
      <c r="J87" s="4"/>
      <c r="K87" s="4"/>
      <c r="L87" s="4"/>
      <c r="M87" s="15"/>
      <c r="N87" s="4"/>
      <c r="O87" s="4"/>
      <c r="P87" s="4"/>
      <c r="Q87" s="4"/>
      <c r="R87" s="4"/>
      <c r="S87" s="4"/>
      <c r="T87" s="4"/>
      <c r="U87" s="4"/>
      <c r="V87" s="4"/>
      <c r="W87" s="4"/>
      <c r="X87" s="4"/>
      <c r="Y87" s="4"/>
      <c r="Z87" s="4"/>
      <c r="AA87" s="4"/>
      <c r="AG87" s="15"/>
      <c r="AH87" s="15"/>
    </row>
    <row r="88" spans="1:34" hidden="1">
      <c r="A88" s="4"/>
      <c r="B88" s="4"/>
      <c r="C88" s="4"/>
      <c r="D88" s="4"/>
      <c r="E88" s="4"/>
      <c r="F88" s="15"/>
      <c r="G88" s="15"/>
      <c r="H88" s="15"/>
      <c r="I88" s="4"/>
      <c r="J88" s="4"/>
      <c r="K88" s="4"/>
      <c r="L88" s="4"/>
      <c r="M88" s="15"/>
      <c r="N88" s="4"/>
      <c r="O88" s="4"/>
      <c r="P88" s="4"/>
      <c r="Q88" s="4"/>
      <c r="R88" s="4"/>
      <c r="S88" s="4"/>
      <c r="T88" s="4"/>
      <c r="U88" s="4"/>
      <c r="V88" s="4"/>
      <c r="W88" s="4"/>
      <c r="X88" s="4"/>
      <c r="Y88" s="4"/>
      <c r="Z88" s="4"/>
      <c r="AA88" s="4"/>
      <c r="AG88" s="15"/>
      <c r="AH88" s="15"/>
    </row>
  </sheetData>
  <sheetProtection sheet="1" objects="1" scenarios="1" sort="0" autoFilter="0" pivotTables="0"/>
  <mergeCells count="4">
    <mergeCell ref="J1:K1"/>
    <mergeCell ref="AB2:AB19"/>
    <mergeCell ref="AI2:AI19"/>
    <mergeCell ref="N2:N19"/>
  </mergeCells>
  <phoneticPr fontId="3" type="noConversion"/>
  <conditionalFormatting sqref="F2:F19">
    <cfRule type="expression" dxfId="138" priority="1">
      <formula>MOD(ROW(),2)=0</formula>
    </cfRule>
  </conditionalFormatting>
  <conditionalFormatting sqref="G2:G19">
    <cfRule type="expression" dxfId="137" priority="7">
      <formula>$J$1="差距(Median)"</formula>
    </cfRule>
  </conditionalFormatting>
  <conditionalFormatting sqref="G2:T2 O3:T19 G3:M19 U2:XFD19 A2:E19">
    <cfRule type="expression" dxfId="136" priority="21762">
      <formula>MOD(ROW(),2)=0</formula>
    </cfRule>
  </conditionalFormatting>
  <conditionalFormatting sqref="H2:H19">
    <cfRule type="expression" dxfId="135" priority="8">
      <formula>$J$1="差距(LQ)"</formula>
    </cfRule>
  </conditionalFormatting>
  <conditionalFormatting sqref="J2:K19">
    <cfRule type="cellIs" dxfId="134" priority="26" operator="equal">
      <formula>"/"</formula>
    </cfRule>
    <cfRule type="cellIs" dxfId="133" priority="29" operator="lessThan">
      <formula>0</formula>
    </cfRule>
    <cfRule type="cellIs" dxfId="132" priority="30" operator="greaterThan">
      <formula>0</formula>
    </cfRule>
  </conditionalFormatting>
  <conditionalFormatting sqref="M2:M19">
    <cfRule type="cellIs" dxfId="131" priority="23" operator="equal">
      <formula>2</formula>
    </cfRule>
    <cfRule type="cellIs" dxfId="130" priority="24" operator="equal">
      <formula>1</formula>
    </cfRule>
    <cfRule type="cellIs" dxfId="129" priority="25" operator="equal">
      <formula>0</formula>
    </cfRule>
  </conditionalFormatting>
  <conditionalFormatting sqref="O2:T19">
    <cfRule type="expression" dxfId="128" priority="1173">
      <formula>U2=2</formula>
    </cfRule>
    <cfRule type="expression" dxfId="127" priority="21751">
      <formula>U2=0</formula>
    </cfRule>
    <cfRule type="expression" dxfId="126" priority="21752">
      <formula>U2=1</formula>
    </cfRule>
  </conditionalFormatting>
  <conditionalFormatting sqref="AB2 AI2 AP2:AP19">
    <cfRule type="expression" dxfId="125" priority="5">
      <formula>TRUE</formula>
    </cfRule>
  </conditionalFormatting>
  <conditionalFormatting sqref="AB2">
    <cfRule type="expression" dxfId="124" priority="6">
      <formula>MOD(ROW(),2)=0</formula>
    </cfRule>
  </conditionalFormatting>
  <hyperlinks>
    <hyperlink ref="A40" r:id="rId1" xr:uid="{00000000-0004-0000-0D00-000000000000}"/>
    <hyperlink ref="A41" r:id="rId2" xr:uid="{00000000-0004-0000-0D00-000001000000}"/>
    <hyperlink ref="A43" r:id="rId3" xr:uid="{00000000-0004-0000-0D00-000003000000}"/>
    <hyperlink ref="A42" r:id="rId4" xr:uid="{00000000-0004-0000-0D00-000002000000}"/>
  </hyperlinks>
  <pageMargins left="0.7" right="0.7" top="0.75" bottom="0.75" header="0.3" footer="0.3"/>
  <pageSetup paperSize="9" orientation="portrait" r:id="rId5"/>
  <drawing r:id="rId6"/>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D00-000000000000}">
          <x14:formula1>
            <xm:f>選單!$K$2:$K$3</xm:f>
          </x14:formula1>
          <xm:sqref>J1:K1</xm:sqref>
        </x14:dataValidation>
        <x14:dataValidation type="list" allowBlank="1" showInputMessage="1" showErrorMessage="1" xr:uid="{A33C603F-53BD-44C9-A467-7A4D69EE6DDE}">
          <x14:formula1>
            <xm:f>選單!$J$1:$J$6</xm:f>
          </x14:formula1>
          <xm:sqref>AB2:AB19</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工作表12">
    <tabColor rgb="FFFF6600"/>
  </sheetPr>
  <dimension ref="A1:AY48"/>
  <sheetViews>
    <sheetView workbookViewId="0">
      <selection activeCell="B1" sqref="B1"/>
    </sheetView>
    <sheetView workbookViewId="1"/>
  </sheetViews>
  <sheetFormatPr defaultColWidth="0" defaultRowHeight="15.6" zeroHeight="1"/>
  <cols>
    <col min="1" max="1" width="7.19921875" style="5" customWidth="1"/>
    <col min="2" max="2" width="9.19921875" style="5" customWidth="1"/>
    <col min="3" max="3" width="23.5" style="5" customWidth="1"/>
    <col min="4" max="4" width="8.19921875" style="5" customWidth="1"/>
    <col min="5" max="5" width="13" style="5" customWidth="1"/>
    <col min="6" max="6" width="12.796875" style="36" customWidth="1"/>
    <col min="7" max="7" width="7.69921875" style="15" customWidth="1"/>
    <col min="8" max="8" width="7.69921875" style="14" customWidth="1"/>
    <col min="9" max="9" width="7.69921875" style="17" customWidth="1"/>
    <col min="10" max="10" width="7.69921875" style="18" customWidth="1"/>
    <col min="11" max="12" width="4.69921875" style="14" customWidth="1"/>
    <col min="13" max="13" width="14.5" style="14" customWidth="1"/>
    <col min="14" max="19" width="2.19921875" style="14" customWidth="1"/>
    <col min="20" max="25" width="2.19921875" style="14" hidden="1" customWidth="1"/>
    <col min="26" max="26" width="12" style="14" customWidth="1"/>
    <col min="27" max="27" width="8.69921875" style="14" customWidth="1"/>
    <col min="28" max="28" width="6.19921875" style="81" customWidth="1"/>
    <col min="29" max="30" width="6.19921875" style="14" customWidth="1"/>
    <col min="31" max="33" width="6.19921875" style="34" customWidth="1"/>
    <col min="34" max="34" width="8.69921875" style="34" customWidth="1"/>
    <col min="35" max="35" width="6.19921875" style="81" customWidth="1"/>
    <col min="36" max="40" width="6.19921875" style="34" customWidth="1"/>
    <col min="41" max="41" width="3.19921875" style="34" customWidth="1"/>
    <col min="42" max="42" width="8.19921875" style="34" customWidth="1"/>
    <col min="43" max="45" width="9" hidden="1" customWidth="1"/>
    <col min="46" max="51" width="0" hidden="1" customWidth="1"/>
    <col min="52" max="16384" width="9" hidden="1"/>
  </cols>
  <sheetData>
    <row r="1" spans="1:42" s="62" customFormat="1" ht="18" customHeight="1">
      <c r="A1" s="35" t="s">
        <v>110</v>
      </c>
      <c r="B1" s="35" t="s">
        <v>111</v>
      </c>
      <c r="C1" s="35" t="s">
        <v>112</v>
      </c>
      <c r="D1" s="35"/>
      <c r="E1" s="35" t="s">
        <v>2897</v>
      </c>
      <c r="F1" s="75" t="s">
        <v>2839</v>
      </c>
      <c r="G1" s="75" t="s">
        <v>211</v>
      </c>
      <c r="H1" s="75" t="s">
        <v>114</v>
      </c>
      <c r="I1" s="521" t="s">
        <v>212</v>
      </c>
      <c r="J1" s="521"/>
      <c r="K1" s="75" t="s">
        <v>38</v>
      </c>
      <c r="L1" s="75" t="s">
        <v>116</v>
      </c>
      <c r="M1" s="75"/>
      <c r="N1" s="75" t="s">
        <v>117</v>
      </c>
      <c r="O1" s="75" t="s">
        <v>118</v>
      </c>
      <c r="P1" s="75" t="s">
        <v>119</v>
      </c>
      <c r="Q1" s="75" t="s">
        <v>2807</v>
      </c>
      <c r="R1" s="75" t="s">
        <v>121</v>
      </c>
      <c r="S1" s="75" t="s">
        <v>2468</v>
      </c>
      <c r="T1" s="75"/>
      <c r="U1" s="75"/>
      <c r="V1" s="75"/>
      <c r="W1" s="75"/>
      <c r="X1" s="75"/>
      <c r="Y1" s="75"/>
      <c r="Z1" s="75" t="s">
        <v>123</v>
      </c>
      <c r="AA1" s="75" t="s">
        <v>124</v>
      </c>
      <c r="AB1" s="75" t="s">
        <v>141</v>
      </c>
      <c r="AC1" s="75" t="s">
        <v>126</v>
      </c>
      <c r="AD1" s="75" t="s">
        <v>127</v>
      </c>
      <c r="AE1" s="75" t="s">
        <v>128</v>
      </c>
      <c r="AF1" s="75" t="s">
        <v>129</v>
      </c>
      <c r="AG1" s="75" t="s">
        <v>130</v>
      </c>
      <c r="AH1" s="75" t="s">
        <v>142</v>
      </c>
      <c r="AI1" s="75" t="s">
        <v>141</v>
      </c>
      <c r="AJ1" s="75" t="s">
        <v>126</v>
      </c>
      <c r="AK1" s="75" t="s">
        <v>127</v>
      </c>
      <c r="AL1" s="75" t="s">
        <v>128</v>
      </c>
      <c r="AM1" s="75" t="s">
        <v>129</v>
      </c>
      <c r="AN1" s="75" t="s">
        <v>130</v>
      </c>
      <c r="AO1" s="75"/>
      <c r="AP1" s="75"/>
    </row>
    <row r="2" spans="1:42" ht="18" customHeight="1">
      <c r="A2" s="4" t="str">
        <f>'Reference Score Calculation'!A299</f>
        <v>JS8105</v>
      </c>
      <c r="B2" s="4" t="str">
        <f>'Reference Score Calculation'!C299</f>
        <v>人文學院</v>
      </c>
      <c r="C2" s="4" t="str">
        <f>'Reference Score Calculation'!D299</f>
        <v>中國語文教育榮譽學士</v>
      </c>
      <c r="D2" s="4" t="str">
        <f>'Reference Score Calculation'!R299</f>
        <v>BEd(CHI)</v>
      </c>
      <c r="E2" s="392" t="str">
        <f>'Reference Score Calculation'!AB299</f>
        <v>Best 5</v>
      </c>
      <c r="F2" s="419" t="str">
        <f>'Reference Score Calculation'!E299</f>
        <v>Best 5</v>
      </c>
      <c r="G2" s="44">
        <f>'Reference Score Calculation'!I299</f>
        <v>22</v>
      </c>
      <c r="H2" s="45">
        <f>計分版!J322</f>
        <v>3.9500000000000006E-9</v>
      </c>
      <c r="I2" s="25">
        <f>IFERROR(H2-G2,"/")</f>
        <v>-21.999999996050001</v>
      </c>
      <c r="J2" s="26">
        <f>IFERROR((H2-G2)/H2,"/")</f>
        <v>-5569620252.1645565</v>
      </c>
      <c r="K2" s="36">
        <f>'Reference Score Calculation'!T299</f>
        <v>67</v>
      </c>
      <c r="L2" s="86">
        <f>入學要求!Z308</f>
        <v>0</v>
      </c>
      <c r="M2" s="514" t="s">
        <v>2521</v>
      </c>
      <c r="N2" s="279">
        <f>入學要求!L308</f>
        <v>3</v>
      </c>
      <c r="O2" s="279">
        <f>入學要求!M308</f>
        <v>3</v>
      </c>
      <c r="P2" s="279">
        <f>入學要求!N308</f>
        <v>2</v>
      </c>
      <c r="Q2" s="279">
        <f>入學要求!O308</f>
        <v>1</v>
      </c>
      <c r="R2" s="279">
        <f>入學要求!P308</f>
        <v>2</v>
      </c>
      <c r="S2" s="279">
        <f>入學要求!Q308</f>
        <v>2</v>
      </c>
      <c r="T2" s="278">
        <f>入學要求!S308</f>
        <v>0</v>
      </c>
      <c r="U2" s="278">
        <f>入學要求!T308</f>
        <v>0</v>
      </c>
      <c r="V2" s="278">
        <f>入學要求!U308</f>
        <v>0</v>
      </c>
      <c r="W2" s="278">
        <f>入學要求!V308</f>
        <v>0</v>
      </c>
      <c r="X2" s="278">
        <f>入學要求!W308</f>
        <v>0</v>
      </c>
      <c r="Y2" s="278">
        <f>入學要求!X308</f>
        <v>0</v>
      </c>
      <c r="Z2" s="44">
        <f>IFERROR(ROUND(AJ2/AC2,2),"/")</f>
        <v>15.78</v>
      </c>
      <c r="AA2" s="510" t="s">
        <v>2513</v>
      </c>
      <c r="AB2" s="36" cm="1">
        <f t="array" ref="AB2">IFERROR(INDEX('Offer Statistics'!EK$2:EK$400,MATCH(1,($A2='Offer Statistics'!$DV$2:$DV$400)*($AA$2='Offer Statistics'!$DW$2:$DW$400),0)),"/")</f>
        <v>43</v>
      </c>
      <c r="AC2" s="64" cm="1">
        <f t="array" ref="AC2">IFERROR(INDEX('Offer Statistics'!EF$2:EF$400,MATCH(1,($A2='Offer Statistics'!$DV$2:$DV$400)*($AA$2='Offer Statistics'!$DW$2:$DW$400),0)),"/")</f>
        <v>41</v>
      </c>
      <c r="AD2" s="64" cm="1">
        <f t="array" ref="AD2">IFERROR(INDEX('Offer Statistics'!EG$2:EG$400,MATCH(1,($A2='Offer Statistics'!$DV$2:$DV$400)*($AA$2='Offer Statistics'!$DW$2:$DW$400),0)),"/")</f>
        <v>2</v>
      </c>
      <c r="AE2" s="64" cm="1">
        <f t="array" ref="AE2">IFERROR(INDEX('Offer Statistics'!EH$2:EH$400,MATCH(1,($A2='Offer Statistics'!$DV$2:$DV$400)*($AA$2='Offer Statistics'!$DW$2:$DW$400),0)),"/")</f>
        <v>0</v>
      </c>
      <c r="AF2" s="64" cm="1">
        <f t="array" ref="AF2">IFERROR(INDEX('Offer Statistics'!EI$2:EI$400,MATCH(1,($A2='Offer Statistics'!$DV$2:$DV$400)*($AA$2='Offer Statistics'!$DW$2:$DW$400),0)),"/")</f>
        <v>0</v>
      </c>
      <c r="AG2" s="64" cm="1">
        <f t="array" ref="AG2">IFERROR(INDEX('Offer Statistics'!EJ$2:EJ$400,MATCH(1,($A2='Offer Statistics'!$DV$2:$DV$400)*($AA$2='Offer Statistics'!$DW$2:$DW$400),0)),"/")</f>
        <v>0</v>
      </c>
      <c r="AH2" s="511" t="str">
        <f>AA2</f>
        <v>2023年</v>
      </c>
      <c r="AI2" s="36" cm="1">
        <f t="array" ref="AI2">IFERROR(INDEX('Offer Statistics'!EC$2:EC$400,MATCH(1,($A2='Offer Statistics'!$DV$2:$DV$400)*($AA$2='Offer Statistics'!$DW$2:$DW$400),0)),"/")</f>
        <v>3046</v>
      </c>
      <c r="AJ2" s="64" cm="1">
        <f t="array" ref="AJ2">IFERROR(INDEX('Offer Statistics'!DX$2:DX$400,MATCH(1,($A2='Offer Statistics'!$DV$2:$DV$400)*($AA$2='Offer Statistics'!$DW$2:$DW$400),0)),"/")</f>
        <v>647</v>
      </c>
      <c r="AK2" s="64" cm="1">
        <f t="array" ref="AK2">IFERROR(INDEX('Offer Statistics'!DY$2:DY$400,MATCH(1,($A2='Offer Statistics'!$DV$2:$DV$400)*($AA$2='Offer Statistics'!$DW$2:$DW$400),0)),"/")</f>
        <v>506</v>
      </c>
      <c r="AL2" s="64" cm="1">
        <f t="array" ref="AL2">IFERROR(INDEX('Offer Statistics'!DZ$2:DZ$400,MATCH(1,($A2='Offer Statistics'!$DV$2:$DV$400)*($AA$2='Offer Statistics'!$DW$2:$DW$400),0)),"/")</f>
        <v>648</v>
      </c>
      <c r="AM2" s="64" cm="1">
        <f t="array" ref="AM2">IFERROR(INDEX('Offer Statistics'!EA$2:EA$400,MATCH(1,($A2='Offer Statistics'!$DV$2:$DV$400)*($AA$2='Offer Statistics'!$DW$2:$DW$400),0)),"/")</f>
        <v>690</v>
      </c>
      <c r="AN2" s="64" cm="1">
        <f t="array" ref="AN2">IFERROR(INDEX('Offer Statistics'!EB$2:EB$400,MATCH(1,($A2='Offer Statistics'!$DV$2:$DV$400)*($AA$2='Offer Statistics'!$DW$2:$DW$400),0)),"/")</f>
        <v>555</v>
      </c>
      <c r="AO2" s="14"/>
      <c r="AP2" s="15" t="str">
        <f>A2</f>
        <v>JS8105</v>
      </c>
    </row>
    <row r="3" spans="1:42" ht="18" customHeight="1">
      <c r="A3" s="4" t="str">
        <f>'Reference Score Calculation'!A300</f>
        <v>JS8222</v>
      </c>
      <c r="B3" s="4" t="str">
        <f>'Reference Score Calculation'!C300</f>
        <v>人文學院</v>
      </c>
      <c r="C3" s="4" t="str">
        <f>'Reference Score Calculation'!D300</f>
        <v>英國語文教育榮譽學士 — 小學</v>
      </c>
      <c r="D3" s="4" t="str">
        <f>'Reference Score Calculation'!R300</f>
        <v>BEd(ENG)-Pri</v>
      </c>
      <c r="E3" s="392" t="str">
        <f>'Reference Score Calculation'!AB300</f>
        <v>Best 5</v>
      </c>
      <c r="F3" s="419" t="str">
        <f>'Reference Score Calculation'!E300</f>
        <v>Best 5</v>
      </c>
      <c r="G3" s="44">
        <f>'Reference Score Calculation'!I300</f>
        <v>22</v>
      </c>
      <c r="H3" s="45">
        <f>計分版!J323</f>
        <v>3.9500000000000006E-9</v>
      </c>
      <c r="I3" s="25">
        <f t="shared" ref="I3:I28" si="0">IFERROR(H3-G3,"/")</f>
        <v>-21.999999996050001</v>
      </c>
      <c r="J3" s="26">
        <f t="shared" ref="J3:J28" si="1">IFERROR((H3-G3)/H3,"/")</f>
        <v>-5569620252.1645565</v>
      </c>
      <c r="K3" s="36">
        <f>'Reference Score Calculation'!T300</f>
        <v>14</v>
      </c>
      <c r="L3" s="86">
        <f>入學要求!Z309</f>
        <v>0</v>
      </c>
      <c r="M3" s="514"/>
      <c r="N3" s="279">
        <f>入學要求!L309</f>
        <v>3</v>
      </c>
      <c r="O3" s="279">
        <f>入學要求!M309</f>
        <v>3</v>
      </c>
      <c r="P3" s="279">
        <f>入學要求!N309</f>
        <v>2</v>
      </c>
      <c r="Q3" s="279">
        <f>入學要求!O309</f>
        <v>1</v>
      </c>
      <c r="R3" s="279">
        <f>入學要求!P309</f>
        <v>2</v>
      </c>
      <c r="S3" s="279">
        <f>入學要求!Q309</f>
        <v>2</v>
      </c>
      <c r="T3" s="278">
        <f>入學要求!S309</f>
        <v>0</v>
      </c>
      <c r="U3" s="278">
        <f>入學要求!T309</f>
        <v>0</v>
      </c>
      <c r="V3" s="278">
        <f>入學要求!U309</f>
        <v>0</v>
      </c>
      <c r="W3" s="278">
        <f>入學要求!V309</f>
        <v>0</v>
      </c>
      <c r="X3" s="278">
        <f>入學要求!W309</f>
        <v>0</v>
      </c>
      <c r="Y3" s="278">
        <f>入學要求!X309</f>
        <v>0</v>
      </c>
      <c r="Z3" s="44">
        <f t="shared" ref="Z3:Z23" si="2">IFERROR(ROUND(AJ3/AC3,2),"/")</f>
        <v>16.149999999999999</v>
      </c>
      <c r="AA3" s="510"/>
      <c r="AB3" s="36" cm="1">
        <f t="array" ref="AB3">IFERROR(INDEX('Offer Statistics'!EK$2:EK$400,MATCH(1,($A3='Offer Statistics'!$DV$2:$DV$400)*($AA$2='Offer Statistics'!$DW$2:$DW$400),0)),"/")</f>
        <v>13</v>
      </c>
      <c r="AC3" s="64" cm="1">
        <f t="array" ref="AC3">IFERROR(INDEX('Offer Statistics'!EF$2:EF$400,MATCH(1,($A3='Offer Statistics'!$DV$2:$DV$400)*($AA$2='Offer Statistics'!$DW$2:$DW$400),0)),"/")</f>
        <v>13</v>
      </c>
      <c r="AD3" s="64" cm="1">
        <f t="array" ref="AD3">IFERROR(INDEX('Offer Statistics'!EG$2:EG$400,MATCH(1,($A3='Offer Statistics'!$DV$2:$DV$400)*($AA$2='Offer Statistics'!$DW$2:$DW$400),0)),"/")</f>
        <v>0</v>
      </c>
      <c r="AE3" s="64" cm="1">
        <f t="array" ref="AE3">IFERROR(INDEX('Offer Statistics'!EH$2:EH$400,MATCH(1,($A3='Offer Statistics'!$DV$2:$DV$400)*($AA$2='Offer Statistics'!$DW$2:$DW$400),0)),"/")</f>
        <v>0</v>
      </c>
      <c r="AF3" s="64" cm="1">
        <f t="array" ref="AF3">IFERROR(INDEX('Offer Statistics'!EI$2:EI$400,MATCH(1,($A3='Offer Statistics'!$DV$2:$DV$400)*($AA$2='Offer Statistics'!$DW$2:$DW$400),0)),"/")</f>
        <v>0</v>
      </c>
      <c r="AG3" s="64" cm="1">
        <f t="array" ref="AG3">IFERROR(INDEX('Offer Statistics'!EJ$2:EJ$400,MATCH(1,($A3='Offer Statistics'!$DV$2:$DV$400)*($AA$2='Offer Statistics'!$DW$2:$DW$400),0)),"/")</f>
        <v>0</v>
      </c>
      <c r="AH3" s="511"/>
      <c r="AI3" s="36" cm="1">
        <f t="array" ref="AI3">IFERROR(INDEX('Offer Statistics'!EC$2:EC$400,MATCH(1,($A3='Offer Statistics'!$DV$2:$DV$400)*($AA$2='Offer Statistics'!$DW$2:$DW$400),0)),"/")</f>
        <v>1521</v>
      </c>
      <c r="AJ3" s="64" cm="1">
        <f t="array" ref="AJ3">IFERROR(INDEX('Offer Statistics'!DX$2:DX$400,MATCH(1,($A3='Offer Statistics'!$DV$2:$DV$400)*($AA$2='Offer Statistics'!$DW$2:$DW$400),0)),"/")</f>
        <v>210</v>
      </c>
      <c r="AK3" s="64" cm="1">
        <f t="array" ref="AK3">IFERROR(INDEX('Offer Statistics'!DY$2:DY$400,MATCH(1,($A3='Offer Statistics'!$DV$2:$DV$400)*($AA$2='Offer Statistics'!$DW$2:$DW$400),0)),"/")</f>
        <v>277</v>
      </c>
      <c r="AL3" s="64" cm="1">
        <f t="array" ref="AL3">IFERROR(INDEX('Offer Statistics'!DZ$2:DZ$400,MATCH(1,($A3='Offer Statistics'!$DV$2:$DV$400)*($AA$2='Offer Statistics'!$DW$2:$DW$400),0)),"/")</f>
        <v>348</v>
      </c>
      <c r="AM3" s="64" cm="1">
        <f t="array" ref="AM3">IFERROR(INDEX('Offer Statistics'!EA$2:EA$400,MATCH(1,($A3='Offer Statistics'!$DV$2:$DV$400)*($AA$2='Offer Statistics'!$DW$2:$DW$400),0)),"/")</f>
        <v>380</v>
      </c>
      <c r="AN3" s="64" cm="1">
        <f t="array" ref="AN3">IFERROR(INDEX('Offer Statistics'!EB$2:EB$400,MATCH(1,($A3='Offer Statistics'!$DV$2:$DV$400)*($AA$2='Offer Statistics'!$DW$2:$DW$400),0)),"/")</f>
        <v>306</v>
      </c>
      <c r="AO3" s="14"/>
      <c r="AP3" s="15" t="str">
        <f t="shared" ref="AP3:AP28" si="3">A3</f>
        <v>JS8222</v>
      </c>
    </row>
    <row r="4" spans="1:42" ht="18" customHeight="1">
      <c r="A4" s="4" t="str">
        <f>'Reference Score Calculation'!A301</f>
        <v>JS8234</v>
      </c>
      <c r="B4" s="4" t="str">
        <f>'Reference Score Calculation'!C301</f>
        <v>博文及社會科學學院</v>
      </c>
      <c r="C4" s="4" t="str">
        <f>'Reference Score Calculation'!D301</f>
        <v>小學教育榮譽學士 - 常識</v>
      </c>
      <c r="D4" s="4" t="str">
        <f>'Reference Score Calculation'!R301</f>
        <v>BEd(P)-GS</v>
      </c>
      <c r="E4" s="392" t="str">
        <f>'Reference Score Calculation'!AB301</f>
        <v>Best 5</v>
      </c>
      <c r="F4" s="419" t="str">
        <f>'Reference Score Calculation'!E301</f>
        <v>Best 5</v>
      </c>
      <c r="G4" s="44">
        <f>'Reference Score Calculation'!I301</f>
        <v>21</v>
      </c>
      <c r="H4" s="45">
        <f>計分版!J324</f>
        <v>3.9500000000000006E-9</v>
      </c>
      <c r="I4" s="25">
        <f t="shared" si="0"/>
        <v>-20.999999996050001</v>
      </c>
      <c r="J4" s="26">
        <f t="shared" si="1"/>
        <v>-5316455695.2025309</v>
      </c>
      <c r="K4" s="36">
        <f>'Reference Score Calculation'!T301</f>
        <v>35</v>
      </c>
      <c r="L4" s="86">
        <f>入學要求!Z310</f>
        <v>0</v>
      </c>
      <c r="M4" s="514"/>
      <c r="N4" s="279">
        <f>入學要求!L310</f>
        <v>3</v>
      </c>
      <c r="O4" s="279">
        <f>入學要求!M310</f>
        <v>3</v>
      </c>
      <c r="P4" s="279">
        <f>入學要求!N310</f>
        <v>2</v>
      </c>
      <c r="Q4" s="279">
        <f>入學要求!O310</f>
        <v>1</v>
      </c>
      <c r="R4" s="279">
        <f>入學要求!P310</f>
        <v>2</v>
      </c>
      <c r="S4" s="279">
        <f>入學要求!Q310</f>
        <v>2</v>
      </c>
      <c r="T4" s="278">
        <f>入學要求!S310</f>
        <v>0</v>
      </c>
      <c r="U4" s="278">
        <f>入學要求!T310</f>
        <v>0</v>
      </c>
      <c r="V4" s="278">
        <f>入學要求!U310</f>
        <v>0</v>
      </c>
      <c r="W4" s="278">
        <f>入學要求!V310</f>
        <v>0</v>
      </c>
      <c r="X4" s="278">
        <f>入學要求!W310</f>
        <v>0</v>
      </c>
      <c r="Y4" s="278">
        <f>入學要求!X310</f>
        <v>0</v>
      </c>
      <c r="Z4" s="44">
        <f t="shared" si="2"/>
        <v>26</v>
      </c>
      <c r="AA4" s="510"/>
      <c r="AB4" s="36" cm="1">
        <f t="array" ref="AB4">IFERROR(INDEX('Offer Statistics'!EK$2:EK$400,MATCH(1,($A4='Offer Statistics'!$DV$2:$DV$400)*($AA$2='Offer Statistics'!$DW$2:$DW$400),0)),"/")</f>
        <v>23</v>
      </c>
      <c r="AC4" s="64" cm="1">
        <f t="array" ref="AC4">IFERROR(INDEX('Offer Statistics'!EF$2:EF$400,MATCH(1,($A4='Offer Statistics'!$DV$2:$DV$400)*($AA$2='Offer Statistics'!$DW$2:$DW$400),0)),"/")</f>
        <v>23</v>
      </c>
      <c r="AD4" s="64" cm="1">
        <f t="array" ref="AD4">IFERROR(INDEX('Offer Statistics'!EG$2:EG$400,MATCH(1,($A4='Offer Statistics'!$DV$2:$DV$400)*($AA$2='Offer Statistics'!$DW$2:$DW$400),0)),"/")</f>
        <v>0</v>
      </c>
      <c r="AE4" s="64" cm="1">
        <f t="array" ref="AE4">IFERROR(INDEX('Offer Statistics'!EH$2:EH$400,MATCH(1,($A4='Offer Statistics'!$DV$2:$DV$400)*($AA$2='Offer Statistics'!$DW$2:$DW$400),0)),"/")</f>
        <v>0</v>
      </c>
      <c r="AF4" s="64" cm="1">
        <f t="array" ref="AF4">IFERROR(INDEX('Offer Statistics'!EI$2:EI$400,MATCH(1,($A4='Offer Statistics'!$DV$2:$DV$400)*($AA$2='Offer Statistics'!$DW$2:$DW$400),0)),"/")</f>
        <v>0</v>
      </c>
      <c r="AG4" s="64" cm="1">
        <f t="array" ref="AG4">IFERROR(INDEX('Offer Statistics'!EJ$2:EJ$400,MATCH(1,($A4='Offer Statistics'!$DV$2:$DV$400)*($AA$2='Offer Statistics'!$DW$2:$DW$400),0)),"/")</f>
        <v>0</v>
      </c>
      <c r="AH4" s="511"/>
      <c r="AI4" s="36" cm="1">
        <f t="array" ref="AI4">IFERROR(INDEX('Offer Statistics'!EC$2:EC$400,MATCH(1,($A4='Offer Statistics'!$DV$2:$DV$400)*($AA$2='Offer Statistics'!$DW$2:$DW$400),0)),"/")</f>
        <v>4083</v>
      </c>
      <c r="AJ4" s="64" cm="1">
        <f t="array" ref="AJ4">IFERROR(INDEX('Offer Statistics'!DX$2:DX$400,MATCH(1,($A4='Offer Statistics'!$DV$2:$DV$400)*($AA$2='Offer Statistics'!$DW$2:$DW$400),0)),"/")</f>
        <v>598</v>
      </c>
      <c r="AK4" s="64" cm="1">
        <f t="array" ref="AK4">IFERROR(INDEX('Offer Statistics'!DY$2:DY$400,MATCH(1,($A4='Offer Statistics'!$DV$2:$DV$400)*($AA$2='Offer Statistics'!$DW$2:$DW$400),0)),"/")</f>
        <v>778</v>
      </c>
      <c r="AL4" s="64" cm="1">
        <f t="array" ref="AL4">IFERROR(INDEX('Offer Statistics'!DZ$2:DZ$400,MATCH(1,($A4='Offer Statistics'!$DV$2:$DV$400)*($AA$2='Offer Statistics'!$DW$2:$DW$400),0)),"/")</f>
        <v>976</v>
      </c>
      <c r="AM4" s="64" cm="1">
        <f t="array" ref="AM4">IFERROR(INDEX('Offer Statistics'!EA$2:EA$400,MATCH(1,($A4='Offer Statistics'!$DV$2:$DV$400)*($AA$2='Offer Statistics'!$DW$2:$DW$400),0)),"/")</f>
        <v>999</v>
      </c>
      <c r="AN4" s="64" cm="1">
        <f t="array" ref="AN4">IFERROR(INDEX('Offer Statistics'!EB$2:EB$400,MATCH(1,($A4='Offer Statistics'!$DV$2:$DV$400)*($AA$2='Offer Statistics'!$DW$2:$DW$400),0)),"/")</f>
        <v>732</v>
      </c>
      <c r="AO4" s="14"/>
      <c r="AP4" s="15" t="str">
        <f t="shared" si="3"/>
        <v>JS8234</v>
      </c>
    </row>
    <row r="5" spans="1:42" ht="18" customHeight="1">
      <c r="A5" s="4" t="str">
        <f>'Reference Score Calculation'!A302</f>
        <v>JS8246</v>
      </c>
      <c r="B5" s="4" t="str">
        <f>'Reference Score Calculation'!C302</f>
        <v>博文及社會科學學院</v>
      </c>
      <c r="C5" s="4" t="str">
        <f>'Reference Score Calculation'!D302</f>
        <v>小學教育榮譽學士 - 數學</v>
      </c>
      <c r="D5" s="4" t="str">
        <f>'Reference Score Calculation'!R302</f>
        <v>BEd(P)-MA</v>
      </c>
      <c r="E5" s="392" t="str">
        <f>'Reference Score Calculation'!AB302</f>
        <v>Best 5</v>
      </c>
      <c r="F5" s="419" t="str">
        <f>'Reference Score Calculation'!E302</f>
        <v>Best 5</v>
      </c>
      <c r="G5" s="44">
        <f>'Reference Score Calculation'!I302</f>
        <v>20</v>
      </c>
      <c r="H5" s="45">
        <f>計分版!J325</f>
        <v>3.9500000000000006E-9</v>
      </c>
      <c r="I5" s="25">
        <f t="shared" si="0"/>
        <v>-19.999999996050001</v>
      </c>
      <c r="J5" s="26">
        <f t="shared" si="1"/>
        <v>-5063291138.2405052</v>
      </c>
      <c r="K5" s="36">
        <f>'Reference Score Calculation'!T302</f>
        <v>55</v>
      </c>
      <c r="L5" s="86">
        <f>入學要求!Z311</f>
        <v>0</v>
      </c>
      <c r="M5" s="514"/>
      <c r="N5" s="279">
        <f>入學要求!L311</f>
        <v>3</v>
      </c>
      <c r="O5" s="279">
        <f>入學要求!M311</f>
        <v>3</v>
      </c>
      <c r="P5" s="279">
        <f>入學要求!N311</f>
        <v>3</v>
      </c>
      <c r="Q5" s="279">
        <f>入學要求!O311</f>
        <v>1</v>
      </c>
      <c r="R5" s="279">
        <f>入學要求!P311</f>
        <v>2</v>
      </c>
      <c r="S5" s="279">
        <f>入學要求!Q311</f>
        <v>2</v>
      </c>
      <c r="T5" s="278">
        <f>入學要求!S311</f>
        <v>0</v>
      </c>
      <c r="U5" s="278">
        <f>入學要求!T311</f>
        <v>0</v>
      </c>
      <c r="V5" s="278">
        <f>入學要求!U311</f>
        <v>0</v>
      </c>
      <c r="W5" s="278">
        <f>入學要求!V311</f>
        <v>0</v>
      </c>
      <c r="X5" s="278">
        <f>入學要求!W311</f>
        <v>0</v>
      </c>
      <c r="Y5" s="278">
        <f>入學要求!X311</f>
        <v>0</v>
      </c>
      <c r="Z5" s="44">
        <f t="shared" si="2"/>
        <v>10.69</v>
      </c>
      <c r="AA5" s="510"/>
      <c r="AB5" s="36" cm="1">
        <f t="array" ref="AB5">IFERROR(INDEX('Offer Statistics'!EK$2:EK$400,MATCH(1,($A5='Offer Statistics'!$DV$2:$DV$400)*($AA$2='Offer Statistics'!$DW$2:$DW$400),0)),"/")</f>
        <v>48</v>
      </c>
      <c r="AC5" s="64" cm="1">
        <f t="array" ref="AC5">IFERROR(INDEX('Offer Statistics'!EF$2:EF$400,MATCH(1,($A5='Offer Statistics'!$DV$2:$DV$400)*($AA$2='Offer Statistics'!$DW$2:$DW$400),0)),"/")</f>
        <v>48</v>
      </c>
      <c r="AD5" s="64" cm="1">
        <f t="array" ref="AD5">IFERROR(INDEX('Offer Statistics'!EG$2:EG$400,MATCH(1,($A5='Offer Statistics'!$DV$2:$DV$400)*($AA$2='Offer Statistics'!$DW$2:$DW$400),0)),"/")</f>
        <v>0</v>
      </c>
      <c r="AE5" s="64" cm="1">
        <f t="array" ref="AE5">IFERROR(INDEX('Offer Statistics'!EH$2:EH$400,MATCH(1,($A5='Offer Statistics'!$DV$2:$DV$400)*($AA$2='Offer Statistics'!$DW$2:$DW$400),0)),"/")</f>
        <v>0</v>
      </c>
      <c r="AF5" s="64" cm="1">
        <f t="array" ref="AF5">IFERROR(INDEX('Offer Statistics'!EI$2:EI$400,MATCH(1,($A5='Offer Statistics'!$DV$2:$DV$400)*($AA$2='Offer Statistics'!$DW$2:$DW$400),0)),"/")</f>
        <v>0</v>
      </c>
      <c r="AG5" s="64" cm="1">
        <f t="array" ref="AG5">IFERROR(INDEX('Offer Statistics'!EJ$2:EJ$400,MATCH(1,($A5='Offer Statistics'!$DV$2:$DV$400)*($AA$2='Offer Statistics'!$DW$2:$DW$400),0)),"/")</f>
        <v>0</v>
      </c>
      <c r="AH5" s="511"/>
      <c r="AI5" s="36" cm="1">
        <f t="array" ref="AI5">IFERROR(INDEX('Offer Statistics'!EC$2:EC$400,MATCH(1,($A5='Offer Statistics'!$DV$2:$DV$400)*($AA$2='Offer Statistics'!$DW$2:$DW$400),0)),"/")</f>
        <v>3061</v>
      </c>
      <c r="AJ5" s="64" cm="1">
        <f t="array" ref="AJ5">IFERROR(INDEX('Offer Statistics'!DX$2:DX$400,MATCH(1,($A5='Offer Statistics'!$DV$2:$DV$400)*($AA$2='Offer Statistics'!$DW$2:$DW$400),0)),"/")</f>
        <v>513</v>
      </c>
      <c r="AK5" s="64" cm="1">
        <f t="array" ref="AK5">IFERROR(INDEX('Offer Statistics'!DY$2:DY$400,MATCH(1,($A5='Offer Statistics'!$DV$2:$DV$400)*($AA$2='Offer Statistics'!$DW$2:$DW$400),0)),"/")</f>
        <v>548</v>
      </c>
      <c r="AL5" s="64" cm="1">
        <f t="array" ref="AL5">IFERROR(INDEX('Offer Statistics'!DZ$2:DZ$400,MATCH(1,($A5='Offer Statistics'!$DV$2:$DV$400)*($AA$2='Offer Statistics'!$DW$2:$DW$400),0)),"/")</f>
        <v>655</v>
      </c>
      <c r="AM5" s="64" cm="1">
        <f t="array" ref="AM5">IFERROR(INDEX('Offer Statistics'!EA$2:EA$400,MATCH(1,($A5='Offer Statistics'!$DV$2:$DV$400)*($AA$2='Offer Statistics'!$DW$2:$DW$400),0)),"/")</f>
        <v>716</v>
      </c>
      <c r="AN5" s="64" cm="1">
        <f t="array" ref="AN5">IFERROR(INDEX('Offer Statistics'!EB$2:EB$400,MATCH(1,($A5='Offer Statistics'!$DV$2:$DV$400)*($AA$2='Offer Statistics'!$DW$2:$DW$400),0)),"/")</f>
        <v>629</v>
      </c>
      <c r="AO5" s="14"/>
      <c r="AP5" s="15" t="str">
        <f t="shared" si="3"/>
        <v>JS8246</v>
      </c>
    </row>
    <row r="6" spans="1:42" ht="18" customHeight="1">
      <c r="A6" s="4" t="str">
        <f>'Reference Score Calculation'!A303</f>
        <v>JS8325</v>
      </c>
      <c r="B6" s="4" t="str">
        <f>'Reference Score Calculation'!C303</f>
        <v>博文及社會科學學院</v>
      </c>
      <c r="C6" s="4" t="str">
        <f>'Reference Score Calculation'!D303</f>
        <v>體育教育榮譽學士</v>
      </c>
      <c r="D6" s="4" t="str">
        <f>'Reference Score Calculation'!R303</f>
        <v>BEd(PE)</v>
      </c>
      <c r="E6" s="392" t="str">
        <f>'Reference Score Calculation'!AB303</f>
        <v>Best 5</v>
      </c>
      <c r="F6" s="419" t="str">
        <f>'Reference Score Calculation'!E303</f>
        <v>Best 5</v>
      </c>
      <c r="G6" s="44">
        <f>'Reference Score Calculation'!I303</f>
        <v>21</v>
      </c>
      <c r="H6" s="45">
        <f>計分版!J326</f>
        <v>3.9500000000000006E-9</v>
      </c>
      <c r="I6" s="25">
        <f t="shared" si="0"/>
        <v>-20.999999996050001</v>
      </c>
      <c r="J6" s="26">
        <f t="shared" si="1"/>
        <v>-5316455695.2025309</v>
      </c>
      <c r="K6" s="36">
        <f>'Reference Score Calculation'!T303</f>
        <v>26</v>
      </c>
      <c r="L6" s="86">
        <f>入學要求!Z312</f>
        <v>0</v>
      </c>
      <c r="M6" s="514"/>
      <c r="N6" s="279">
        <f>入學要求!L312</f>
        <v>3</v>
      </c>
      <c r="O6" s="279">
        <f>入學要求!M312</f>
        <v>3</v>
      </c>
      <c r="P6" s="279">
        <f>入學要求!N312</f>
        <v>2</v>
      </c>
      <c r="Q6" s="279">
        <f>入學要求!O312</f>
        <v>1</v>
      </c>
      <c r="R6" s="279">
        <f>入學要求!P312</f>
        <v>2</v>
      </c>
      <c r="S6" s="279">
        <f>入學要求!Q312</f>
        <v>2</v>
      </c>
      <c r="T6" s="278">
        <f>入學要求!S312</f>
        <v>0</v>
      </c>
      <c r="U6" s="278">
        <f>入學要求!T312</f>
        <v>0</v>
      </c>
      <c r="V6" s="278">
        <f>入學要求!U312</f>
        <v>0</v>
      </c>
      <c r="W6" s="278">
        <f>入學要求!V312</f>
        <v>0</v>
      </c>
      <c r="X6" s="278">
        <f>入學要求!W312</f>
        <v>0</v>
      </c>
      <c r="Y6" s="278">
        <f>入學要求!X312</f>
        <v>0</v>
      </c>
      <c r="Z6" s="44">
        <f t="shared" si="2"/>
        <v>48.21</v>
      </c>
      <c r="AA6" s="510"/>
      <c r="AB6" s="36" cm="1">
        <f t="array" ref="AB6">IFERROR(INDEX('Offer Statistics'!EK$2:EK$400,MATCH(1,($A6='Offer Statistics'!$DV$2:$DV$400)*($AA$2='Offer Statistics'!$DW$2:$DW$400),0)),"/")</f>
        <v>19</v>
      </c>
      <c r="AC6" s="64" cm="1">
        <f t="array" ref="AC6">IFERROR(INDEX('Offer Statistics'!EF$2:EF$400,MATCH(1,($A6='Offer Statistics'!$DV$2:$DV$400)*($AA$2='Offer Statistics'!$DW$2:$DW$400),0)),"/")</f>
        <v>19</v>
      </c>
      <c r="AD6" s="64" cm="1">
        <f t="array" ref="AD6">IFERROR(INDEX('Offer Statistics'!EG$2:EG$400,MATCH(1,($A6='Offer Statistics'!$DV$2:$DV$400)*($AA$2='Offer Statistics'!$DW$2:$DW$400),0)),"/")</f>
        <v>0</v>
      </c>
      <c r="AE6" s="64" cm="1">
        <f t="array" ref="AE6">IFERROR(INDEX('Offer Statistics'!EH$2:EH$400,MATCH(1,($A6='Offer Statistics'!$DV$2:$DV$400)*($AA$2='Offer Statistics'!$DW$2:$DW$400),0)),"/")</f>
        <v>0</v>
      </c>
      <c r="AF6" s="64" cm="1">
        <f t="array" ref="AF6">IFERROR(INDEX('Offer Statistics'!EI$2:EI$400,MATCH(1,($A6='Offer Statistics'!$DV$2:$DV$400)*($AA$2='Offer Statistics'!$DW$2:$DW$400),0)),"/")</f>
        <v>0</v>
      </c>
      <c r="AG6" s="64" cm="1">
        <f t="array" ref="AG6">IFERROR(INDEX('Offer Statistics'!EJ$2:EJ$400,MATCH(1,($A6='Offer Statistics'!$DV$2:$DV$400)*($AA$2='Offer Statistics'!$DW$2:$DW$400),0)),"/")</f>
        <v>0</v>
      </c>
      <c r="AH6" s="511"/>
      <c r="AI6" s="36" cm="1">
        <f t="array" ref="AI6">IFERROR(INDEX('Offer Statistics'!EC$2:EC$400,MATCH(1,($A6='Offer Statistics'!$DV$2:$DV$400)*($AA$2='Offer Statistics'!$DW$2:$DW$400),0)),"/")</f>
        <v>2660</v>
      </c>
      <c r="AJ6" s="64" cm="1">
        <f t="array" ref="AJ6">IFERROR(INDEX('Offer Statistics'!DX$2:DX$400,MATCH(1,($A6='Offer Statistics'!$DV$2:$DV$400)*($AA$2='Offer Statistics'!$DW$2:$DW$400),0)),"/")</f>
        <v>916</v>
      </c>
      <c r="AK6" s="64" cm="1">
        <f t="array" ref="AK6">IFERROR(INDEX('Offer Statistics'!DY$2:DY$400,MATCH(1,($A6='Offer Statistics'!$DV$2:$DV$400)*($AA$2='Offer Statistics'!$DW$2:$DW$400),0)),"/")</f>
        <v>449</v>
      </c>
      <c r="AL6" s="64" cm="1">
        <f t="array" ref="AL6">IFERROR(INDEX('Offer Statistics'!DZ$2:DZ$400,MATCH(1,($A6='Offer Statistics'!$DV$2:$DV$400)*($AA$2='Offer Statistics'!$DW$2:$DW$400),0)),"/")</f>
        <v>460</v>
      </c>
      <c r="AM6" s="64" cm="1">
        <f t="array" ref="AM6">IFERROR(INDEX('Offer Statistics'!EA$2:EA$400,MATCH(1,($A6='Offer Statistics'!$DV$2:$DV$400)*($AA$2='Offer Statistics'!$DW$2:$DW$400),0)),"/")</f>
        <v>458</v>
      </c>
      <c r="AN6" s="64" cm="1">
        <f t="array" ref="AN6">IFERROR(INDEX('Offer Statistics'!EB$2:EB$400,MATCH(1,($A6='Offer Statistics'!$DV$2:$DV$400)*($AA$2='Offer Statistics'!$DW$2:$DW$400),0)),"/")</f>
        <v>377</v>
      </c>
      <c r="AO6" s="14"/>
      <c r="AP6" s="15" t="str">
        <f t="shared" si="3"/>
        <v>JS8325</v>
      </c>
    </row>
    <row r="7" spans="1:42" ht="18" customHeight="1">
      <c r="A7" s="4" t="str">
        <f>'Reference Score Calculation'!A304</f>
        <v>JS8361</v>
      </c>
      <c r="B7" s="4" t="str">
        <f>'Reference Score Calculation'!C304</f>
        <v>博文及社會科學學院</v>
      </c>
      <c r="C7" s="4" t="str">
        <f>'Reference Score Calculation'!D304</f>
        <v>中學教育榮譽學士 - 資訊及通訊科技</v>
      </c>
      <c r="D7" s="4" t="str">
        <f>'Reference Score Calculation'!R304</f>
        <v>BEd(S)-ICT</v>
      </c>
      <c r="E7" s="392" t="str">
        <f>'Reference Score Calculation'!AB304</f>
        <v>Best 5</v>
      </c>
      <c r="F7" s="419" t="str">
        <f>'Reference Score Calculation'!E304</f>
        <v>Best 5</v>
      </c>
      <c r="G7" s="44">
        <f>'Reference Score Calculation'!I304</f>
        <v>20</v>
      </c>
      <c r="H7" s="45">
        <f>計分版!J327</f>
        <v>3.9500000000000006E-9</v>
      </c>
      <c r="I7" s="25">
        <f t="shared" si="0"/>
        <v>-19.999999996050001</v>
      </c>
      <c r="J7" s="26">
        <f t="shared" si="1"/>
        <v>-5063291138.2405052</v>
      </c>
      <c r="K7" s="36">
        <f>'Reference Score Calculation'!T304</f>
        <v>14</v>
      </c>
      <c r="L7" s="86">
        <f>入學要求!Z313</f>
        <v>0</v>
      </c>
      <c r="M7" s="514"/>
      <c r="N7" s="279">
        <f>入學要求!L313</f>
        <v>3</v>
      </c>
      <c r="O7" s="279">
        <f>入學要求!M313</f>
        <v>3</v>
      </c>
      <c r="P7" s="279">
        <f>入學要求!N313</f>
        <v>2</v>
      </c>
      <c r="Q7" s="279">
        <f>入學要求!O313</f>
        <v>1</v>
      </c>
      <c r="R7" s="279">
        <f>入學要求!P313</f>
        <v>2</v>
      </c>
      <c r="S7" s="279">
        <f>入學要求!Q313</f>
        <v>2</v>
      </c>
      <c r="T7" s="278">
        <f>入學要求!S313</f>
        <v>0</v>
      </c>
      <c r="U7" s="278">
        <f>入學要求!T313</f>
        <v>0</v>
      </c>
      <c r="V7" s="278">
        <f>入學要求!U313</f>
        <v>0</v>
      </c>
      <c r="W7" s="278">
        <f>入學要求!V313</f>
        <v>0</v>
      </c>
      <c r="X7" s="278">
        <f>入學要求!W313</f>
        <v>0</v>
      </c>
      <c r="Y7" s="278">
        <f>入學要求!X313</f>
        <v>0</v>
      </c>
      <c r="Z7" s="44">
        <f t="shared" si="2"/>
        <v>26.71</v>
      </c>
      <c r="AA7" s="510"/>
      <c r="AB7" s="36" cm="1">
        <f t="array" ref="AB7">IFERROR(INDEX('Offer Statistics'!EK$2:EK$400,MATCH(1,($A7='Offer Statistics'!$DV$2:$DV$400)*($AA$2='Offer Statistics'!$DW$2:$DW$400),0)),"/")</f>
        <v>8</v>
      </c>
      <c r="AC7" s="64" cm="1">
        <f t="array" ref="AC7">IFERROR(INDEX('Offer Statistics'!EF$2:EF$400,MATCH(1,($A7='Offer Statistics'!$DV$2:$DV$400)*($AA$2='Offer Statistics'!$DW$2:$DW$400),0)),"/")</f>
        <v>7</v>
      </c>
      <c r="AD7" s="64" cm="1">
        <f t="array" ref="AD7">IFERROR(INDEX('Offer Statistics'!EG$2:EG$400,MATCH(1,($A7='Offer Statistics'!$DV$2:$DV$400)*($AA$2='Offer Statistics'!$DW$2:$DW$400),0)),"/")</f>
        <v>1</v>
      </c>
      <c r="AE7" s="64" cm="1">
        <f t="array" ref="AE7">IFERROR(INDEX('Offer Statistics'!EH$2:EH$400,MATCH(1,($A7='Offer Statistics'!$DV$2:$DV$400)*($AA$2='Offer Statistics'!$DW$2:$DW$400),0)),"/")</f>
        <v>0</v>
      </c>
      <c r="AF7" s="64" cm="1">
        <f t="array" ref="AF7">IFERROR(INDEX('Offer Statistics'!EI$2:EI$400,MATCH(1,($A7='Offer Statistics'!$DV$2:$DV$400)*($AA$2='Offer Statistics'!$DW$2:$DW$400),0)),"/")</f>
        <v>0</v>
      </c>
      <c r="AG7" s="64" cm="1">
        <f t="array" ref="AG7">IFERROR(INDEX('Offer Statistics'!EJ$2:EJ$400,MATCH(1,($A7='Offer Statistics'!$DV$2:$DV$400)*($AA$2='Offer Statistics'!$DW$2:$DW$400),0)),"/")</f>
        <v>0</v>
      </c>
      <c r="AH7" s="511"/>
      <c r="AI7" s="36" cm="1">
        <f t="array" ref="AI7">IFERROR(INDEX('Offer Statistics'!EC$2:EC$400,MATCH(1,($A7='Offer Statistics'!$DV$2:$DV$400)*($AA$2='Offer Statistics'!$DW$2:$DW$400),0)),"/")</f>
        <v>1138</v>
      </c>
      <c r="AJ7" s="64" cm="1">
        <f t="array" ref="AJ7">IFERROR(INDEX('Offer Statistics'!DX$2:DX$400,MATCH(1,($A7='Offer Statistics'!$DV$2:$DV$400)*($AA$2='Offer Statistics'!$DW$2:$DW$400),0)),"/")</f>
        <v>187</v>
      </c>
      <c r="AK7" s="64" cm="1">
        <f t="array" ref="AK7">IFERROR(INDEX('Offer Statistics'!DY$2:DY$400,MATCH(1,($A7='Offer Statistics'!$DV$2:$DV$400)*($AA$2='Offer Statistics'!$DW$2:$DW$400),0)),"/")</f>
        <v>194</v>
      </c>
      <c r="AL7" s="64" cm="1">
        <f t="array" ref="AL7">IFERROR(INDEX('Offer Statistics'!DZ$2:DZ$400,MATCH(1,($A7='Offer Statistics'!$DV$2:$DV$400)*($AA$2='Offer Statistics'!$DW$2:$DW$400),0)),"/")</f>
        <v>236</v>
      </c>
      <c r="AM7" s="64" cm="1">
        <f t="array" ref="AM7">IFERROR(INDEX('Offer Statistics'!EA$2:EA$400,MATCH(1,($A7='Offer Statistics'!$DV$2:$DV$400)*($AA$2='Offer Statistics'!$DW$2:$DW$400),0)),"/")</f>
        <v>266</v>
      </c>
      <c r="AN7" s="64" cm="1">
        <f t="array" ref="AN7">IFERROR(INDEX('Offer Statistics'!EB$2:EB$400,MATCH(1,($A7='Offer Statistics'!$DV$2:$DV$400)*($AA$2='Offer Statistics'!$DW$2:$DW$400),0)),"/")</f>
        <v>255</v>
      </c>
      <c r="AO7" s="14"/>
      <c r="AP7" s="15" t="str">
        <f t="shared" si="3"/>
        <v>JS8361</v>
      </c>
    </row>
    <row r="8" spans="1:42" ht="18" customHeight="1">
      <c r="A8" s="4" t="str">
        <f>'Reference Score Calculation'!A305</f>
        <v>JS8371</v>
      </c>
      <c r="B8" s="4" t="str">
        <f>'Reference Score Calculation'!C305</f>
        <v>博文及社會科學學院</v>
      </c>
      <c r="C8" s="4" t="str">
        <f>'Reference Score Calculation'!D305</f>
        <v>企業、會計與財務概論教育榮譽學士</v>
      </c>
      <c r="D8" s="4" t="str">
        <f>'Reference Score Calculation'!R305</f>
        <v>BEd(BAFS)</v>
      </c>
      <c r="E8" s="392" t="str">
        <f>'Reference Score Calculation'!AB305</f>
        <v>Best 5</v>
      </c>
      <c r="F8" s="419" t="str">
        <f>'Reference Score Calculation'!E305</f>
        <v>Best 5</v>
      </c>
      <c r="G8" s="44">
        <f>'Reference Score Calculation'!I305</f>
        <v>20</v>
      </c>
      <c r="H8" s="45">
        <f>計分版!J328</f>
        <v>3.9500000000000006E-9</v>
      </c>
      <c r="I8" s="25">
        <f t="shared" si="0"/>
        <v>-19.999999996050001</v>
      </c>
      <c r="J8" s="26">
        <f t="shared" si="1"/>
        <v>-5063291138.2405052</v>
      </c>
      <c r="K8" s="36">
        <f>'Reference Score Calculation'!T305</f>
        <v>19</v>
      </c>
      <c r="L8" s="86">
        <f>入學要求!Z314</f>
        <v>0</v>
      </c>
      <c r="M8" s="514"/>
      <c r="N8" s="279">
        <f>入學要求!L314</f>
        <v>3</v>
      </c>
      <c r="O8" s="279">
        <f>入學要求!M314</f>
        <v>3</v>
      </c>
      <c r="P8" s="279">
        <f>入學要求!N314</f>
        <v>2</v>
      </c>
      <c r="Q8" s="279">
        <f>入學要求!O314</f>
        <v>1</v>
      </c>
      <c r="R8" s="279">
        <f>入學要求!P314</f>
        <v>2</v>
      </c>
      <c r="S8" s="279">
        <f>入學要求!Q314</f>
        <v>2</v>
      </c>
      <c r="T8" s="278">
        <f>入學要求!S314</f>
        <v>0</v>
      </c>
      <c r="U8" s="278">
        <f>入學要求!T314</f>
        <v>0</v>
      </c>
      <c r="V8" s="278">
        <f>入學要求!U314</f>
        <v>0</v>
      </c>
      <c r="W8" s="278">
        <f>入學要求!V314</f>
        <v>0</v>
      </c>
      <c r="X8" s="278">
        <f>入學要求!W314</f>
        <v>0</v>
      </c>
      <c r="Y8" s="278">
        <f>入學要求!X314</f>
        <v>0</v>
      </c>
      <c r="Z8" s="44">
        <f t="shared" si="2"/>
        <v>16.18</v>
      </c>
      <c r="AA8" s="510"/>
      <c r="AB8" s="36" cm="1">
        <f t="array" ref="AB8">IFERROR(INDEX('Offer Statistics'!EK$2:EK$400,MATCH(1,($A8='Offer Statistics'!$DV$2:$DV$400)*($AA$2='Offer Statistics'!$DW$2:$DW$400),0)),"/")</f>
        <v>17</v>
      </c>
      <c r="AC8" s="64" cm="1">
        <f t="array" ref="AC8">IFERROR(INDEX('Offer Statistics'!EF$2:EF$400,MATCH(1,($A8='Offer Statistics'!$DV$2:$DV$400)*($AA$2='Offer Statistics'!$DW$2:$DW$400),0)),"/")</f>
        <v>17</v>
      </c>
      <c r="AD8" s="64" cm="1">
        <f t="array" ref="AD8">IFERROR(INDEX('Offer Statistics'!EG$2:EG$400,MATCH(1,($A8='Offer Statistics'!$DV$2:$DV$400)*($AA$2='Offer Statistics'!$DW$2:$DW$400),0)),"/")</f>
        <v>0</v>
      </c>
      <c r="AE8" s="64" cm="1">
        <f t="array" ref="AE8">IFERROR(INDEX('Offer Statistics'!EH$2:EH$400,MATCH(1,($A8='Offer Statistics'!$DV$2:$DV$400)*($AA$2='Offer Statistics'!$DW$2:$DW$400),0)),"/")</f>
        <v>0</v>
      </c>
      <c r="AF8" s="64" cm="1">
        <f t="array" ref="AF8">IFERROR(INDEX('Offer Statistics'!EI$2:EI$400,MATCH(1,($A8='Offer Statistics'!$DV$2:$DV$400)*($AA$2='Offer Statistics'!$DW$2:$DW$400),0)),"/")</f>
        <v>0</v>
      </c>
      <c r="AG8" s="64" cm="1">
        <f t="array" ref="AG8">IFERROR(INDEX('Offer Statistics'!EJ$2:EJ$400,MATCH(1,($A8='Offer Statistics'!$DV$2:$DV$400)*($AA$2='Offer Statistics'!$DW$2:$DW$400),0)),"/")</f>
        <v>0</v>
      </c>
      <c r="AH8" s="511"/>
      <c r="AI8" s="36" cm="1">
        <f t="array" ref="AI8">IFERROR(INDEX('Offer Statistics'!EC$2:EC$400,MATCH(1,($A8='Offer Statistics'!$DV$2:$DV$400)*($AA$2='Offer Statistics'!$DW$2:$DW$400),0)),"/")</f>
        <v>1950</v>
      </c>
      <c r="AJ8" s="64" cm="1">
        <f t="array" ref="AJ8">IFERROR(INDEX('Offer Statistics'!DX$2:DX$400,MATCH(1,($A8='Offer Statistics'!$DV$2:$DV$400)*($AA$2='Offer Statistics'!$DW$2:$DW$400),0)),"/")</f>
        <v>275</v>
      </c>
      <c r="AK8" s="64" cm="1">
        <f t="array" ref="AK8">IFERROR(INDEX('Offer Statistics'!DY$2:DY$400,MATCH(1,($A8='Offer Statistics'!$DV$2:$DV$400)*($AA$2='Offer Statistics'!$DW$2:$DW$400),0)),"/")</f>
        <v>322</v>
      </c>
      <c r="AL8" s="64" cm="1">
        <f t="array" ref="AL8">IFERROR(INDEX('Offer Statistics'!DZ$2:DZ$400,MATCH(1,($A8='Offer Statistics'!$DV$2:$DV$400)*($AA$2='Offer Statistics'!$DW$2:$DW$400),0)),"/")</f>
        <v>458</v>
      </c>
      <c r="AM8" s="64" cm="1">
        <f t="array" ref="AM8">IFERROR(INDEX('Offer Statistics'!EA$2:EA$400,MATCH(1,($A8='Offer Statistics'!$DV$2:$DV$400)*($AA$2='Offer Statistics'!$DW$2:$DW$400),0)),"/")</f>
        <v>432</v>
      </c>
      <c r="AN8" s="64" cm="1">
        <f t="array" ref="AN8">IFERROR(INDEX('Offer Statistics'!EB$2:EB$400,MATCH(1,($A8='Offer Statistics'!$DV$2:$DV$400)*($AA$2='Offer Statistics'!$DW$2:$DW$400),0)),"/")</f>
        <v>463</v>
      </c>
      <c r="AO8" s="14"/>
      <c r="AP8" s="15" t="str">
        <f t="shared" si="3"/>
        <v>JS8371</v>
      </c>
    </row>
    <row r="9" spans="1:42" ht="18" customHeight="1">
      <c r="A9" s="4" t="str">
        <f>'Reference Score Calculation'!A306</f>
        <v>JS8381</v>
      </c>
      <c r="B9" s="4" t="str">
        <f>'Reference Score Calculation'!C306</f>
        <v>人文學院</v>
      </c>
      <c r="C9" s="4" t="str">
        <f>'Reference Score Calculation'!D306</f>
        <v>歷史教育榮譽學士</v>
      </c>
      <c r="D9" s="4" t="str">
        <f>'Reference Score Calculation'!R306</f>
        <v>BEd(HIST)</v>
      </c>
      <c r="E9" s="392" t="str">
        <f>'Reference Score Calculation'!AB306</f>
        <v>Best 5</v>
      </c>
      <c r="F9" s="419" t="str">
        <f>'Reference Score Calculation'!E306</f>
        <v>Best 5</v>
      </c>
      <c r="G9" s="44">
        <f>'Reference Score Calculation'!I306</f>
        <v>21</v>
      </c>
      <c r="H9" s="45">
        <f>計分版!J329</f>
        <v>3.9500000000000006E-9</v>
      </c>
      <c r="I9" s="25">
        <f t="shared" si="0"/>
        <v>-20.999999996050001</v>
      </c>
      <c r="J9" s="26">
        <f t="shared" si="1"/>
        <v>-5316455695.2025309</v>
      </c>
      <c r="K9" s="36">
        <f>'Reference Score Calculation'!T306</f>
        <v>10</v>
      </c>
      <c r="L9" s="86">
        <f>入學要求!Z315</f>
        <v>0</v>
      </c>
      <c r="M9" s="514"/>
      <c r="N9" s="279">
        <f>入學要求!L315</f>
        <v>3</v>
      </c>
      <c r="O9" s="279">
        <f>入學要求!M315</f>
        <v>3</v>
      </c>
      <c r="P9" s="279">
        <f>入學要求!N315</f>
        <v>2</v>
      </c>
      <c r="Q9" s="279">
        <f>入學要求!O315</f>
        <v>1</v>
      </c>
      <c r="R9" s="279">
        <f>入學要求!P315</f>
        <v>2</v>
      </c>
      <c r="S9" s="279">
        <f>入學要求!Q315</f>
        <v>2</v>
      </c>
      <c r="T9" s="278">
        <f>入學要求!S315</f>
        <v>0</v>
      </c>
      <c r="U9" s="278">
        <f>入學要求!T315</f>
        <v>0</v>
      </c>
      <c r="V9" s="278">
        <f>入學要求!U315</f>
        <v>0</v>
      </c>
      <c r="W9" s="278">
        <f>入學要求!V315</f>
        <v>0</v>
      </c>
      <c r="X9" s="278">
        <f>入學要求!W315</f>
        <v>0</v>
      </c>
      <c r="Y9" s="278">
        <f>入學要求!X315</f>
        <v>0</v>
      </c>
      <c r="Z9" s="44" t="str">
        <f t="shared" si="2"/>
        <v>/</v>
      </c>
      <c r="AA9" s="510"/>
      <c r="AB9" s="36" t="str" cm="1">
        <f t="array" ref="AB9">IFERROR(INDEX('Offer Statistics'!EK$2:EK$400,MATCH(1,($A9='Offer Statistics'!$DV$2:$DV$400)*($AA$2='Offer Statistics'!$DW$2:$DW$400),0)),"/")</f>
        <v>/</v>
      </c>
      <c r="AC9" s="64" t="str" cm="1">
        <f t="array" ref="AC9">IFERROR(INDEX('Offer Statistics'!EF$2:EF$400,MATCH(1,($A9='Offer Statistics'!$DV$2:$DV$400)*($AA$2='Offer Statistics'!$DW$2:$DW$400),0)),"/")</f>
        <v>/</v>
      </c>
      <c r="AD9" s="64" t="str" cm="1">
        <f t="array" ref="AD9">IFERROR(INDEX('Offer Statistics'!EG$2:EG$400,MATCH(1,($A9='Offer Statistics'!$DV$2:$DV$400)*($AA$2='Offer Statistics'!$DW$2:$DW$400),0)),"/")</f>
        <v>/</v>
      </c>
      <c r="AE9" s="64" t="str" cm="1">
        <f t="array" ref="AE9">IFERROR(INDEX('Offer Statistics'!EH$2:EH$400,MATCH(1,($A9='Offer Statistics'!$DV$2:$DV$400)*($AA$2='Offer Statistics'!$DW$2:$DW$400),0)),"/")</f>
        <v>/</v>
      </c>
      <c r="AF9" s="64" t="str" cm="1">
        <f t="array" ref="AF9">IFERROR(INDEX('Offer Statistics'!EI$2:EI$400,MATCH(1,($A9='Offer Statistics'!$DV$2:$DV$400)*($AA$2='Offer Statistics'!$DW$2:$DW$400),0)),"/")</f>
        <v>/</v>
      </c>
      <c r="AG9" s="64" t="str" cm="1">
        <f t="array" ref="AG9">IFERROR(INDEX('Offer Statistics'!EJ$2:EJ$400,MATCH(1,($A9='Offer Statistics'!$DV$2:$DV$400)*($AA$2='Offer Statistics'!$DW$2:$DW$400),0)),"/")</f>
        <v>/</v>
      </c>
      <c r="AH9" s="511"/>
      <c r="AI9" s="36" t="str" cm="1">
        <f t="array" ref="AI9">IFERROR(INDEX('Offer Statistics'!EC$2:EC$400,MATCH(1,($A9='Offer Statistics'!$DV$2:$DV$400)*($AA$2='Offer Statistics'!$DW$2:$DW$400),0)),"/")</f>
        <v>/</v>
      </c>
      <c r="AJ9" s="64" t="str" cm="1">
        <f t="array" ref="AJ9">IFERROR(INDEX('Offer Statistics'!DX$2:DX$400,MATCH(1,($A9='Offer Statistics'!$DV$2:$DV$400)*($AA$2='Offer Statistics'!$DW$2:$DW$400),0)),"/")</f>
        <v>/</v>
      </c>
      <c r="AK9" s="64" t="str" cm="1">
        <f t="array" ref="AK9">IFERROR(INDEX('Offer Statistics'!DY$2:DY$400,MATCH(1,($A9='Offer Statistics'!$DV$2:$DV$400)*($AA$2='Offer Statistics'!$DW$2:$DW$400),0)),"/")</f>
        <v>/</v>
      </c>
      <c r="AL9" s="64" t="str" cm="1">
        <f t="array" ref="AL9">IFERROR(INDEX('Offer Statistics'!DZ$2:DZ$400,MATCH(1,($A9='Offer Statistics'!$DV$2:$DV$400)*($AA$2='Offer Statistics'!$DW$2:$DW$400),0)),"/")</f>
        <v>/</v>
      </c>
      <c r="AM9" s="64" t="str" cm="1">
        <f t="array" ref="AM9">IFERROR(INDEX('Offer Statistics'!EA$2:EA$400,MATCH(1,($A9='Offer Statistics'!$DV$2:$DV$400)*($AA$2='Offer Statistics'!$DW$2:$DW$400),0)),"/")</f>
        <v>/</v>
      </c>
      <c r="AN9" s="64" t="str" cm="1">
        <f t="array" ref="AN9">IFERROR(INDEX('Offer Statistics'!EB$2:EB$400,MATCH(1,($A9='Offer Statistics'!$DV$2:$DV$400)*($AA$2='Offer Statistics'!$DW$2:$DW$400),0)),"/")</f>
        <v>/</v>
      </c>
      <c r="AO9" s="14"/>
      <c r="AP9" s="15" t="str">
        <f t="shared" si="3"/>
        <v>JS8381</v>
      </c>
    </row>
    <row r="10" spans="1:42" ht="18" customHeight="1">
      <c r="A10" s="4" t="str">
        <f>'Reference Score Calculation'!A307</f>
        <v>JS8404</v>
      </c>
      <c r="B10" s="4" t="str">
        <f>'Reference Score Calculation'!C307</f>
        <v>教育及人類發展學院</v>
      </c>
      <c r="C10" s="4" t="str">
        <f>'Reference Score Calculation'!D307</f>
        <v>幼兒教育榮譽學士</v>
      </c>
      <c r="D10" s="4" t="str">
        <f>'Reference Score Calculation'!R307</f>
        <v>BEd(ECE)</v>
      </c>
      <c r="E10" s="392" t="str">
        <f>'Reference Score Calculation'!AB307</f>
        <v>Best 5</v>
      </c>
      <c r="F10" s="419" t="str">
        <f>'Reference Score Calculation'!E307</f>
        <v>Best 5</v>
      </c>
      <c r="G10" s="44">
        <f>'Reference Score Calculation'!I307</f>
        <v>20</v>
      </c>
      <c r="H10" s="45">
        <f>計分版!J330</f>
        <v>3.9500000000000006E-9</v>
      </c>
      <c r="I10" s="25">
        <f t="shared" si="0"/>
        <v>-19.999999996050001</v>
      </c>
      <c r="J10" s="26">
        <f t="shared" si="1"/>
        <v>-5063291138.2405052</v>
      </c>
      <c r="K10" s="36">
        <f>'Reference Score Calculation'!T307</f>
        <v>49</v>
      </c>
      <c r="L10" s="86">
        <f>入學要求!Z316</f>
        <v>0</v>
      </c>
      <c r="M10" s="514"/>
      <c r="N10" s="279">
        <f>入學要求!L316</f>
        <v>3</v>
      </c>
      <c r="O10" s="279">
        <f>入學要求!M316</f>
        <v>3</v>
      </c>
      <c r="P10" s="279">
        <f>入學要求!N316</f>
        <v>2</v>
      </c>
      <c r="Q10" s="279">
        <f>入學要求!O316</f>
        <v>1</v>
      </c>
      <c r="R10" s="279">
        <f>入學要求!P316</f>
        <v>2</v>
      </c>
      <c r="S10" s="279">
        <f>入學要求!Q316</f>
        <v>2</v>
      </c>
      <c r="T10" s="278">
        <f>入學要求!S316</f>
        <v>0</v>
      </c>
      <c r="U10" s="278">
        <f>入學要求!T316</f>
        <v>0</v>
      </c>
      <c r="V10" s="278">
        <f>入學要求!U316</f>
        <v>0</v>
      </c>
      <c r="W10" s="278">
        <f>入學要求!V316</f>
        <v>0</v>
      </c>
      <c r="X10" s="278">
        <f>入學要求!W316</f>
        <v>0</v>
      </c>
      <c r="Y10" s="278">
        <f>入學要求!X316</f>
        <v>0</v>
      </c>
      <c r="Z10" s="44">
        <f t="shared" si="2"/>
        <v>36.770000000000003</v>
      </c>
      <c r="AA10" s="510"/>
      <c r="AB10" s="36" cm="1">
        <f t="array" ref="AB10">IFERROR(INDEX('Offer Statistics'!EK$2:EK$400,MATCH(1,($A10='Offer Statistics'!$DV$2:$DV$400)*($AA$2='Offer Statistics'!$DW$2:$DW$400),0)),"/")</f>
        <v>36</v>
      </c>
      <c r="AC10" s="64" cm="1">
        <f t="array" ref="AC10">IFERROR(INDEX('Offer Statistics'!EF$2:EF$400,MATCH(1,($A10='Offer Statistics'!$DV$2:$DV$400)*($AA$2='Offer Statistics'!$DW$2:$DW$400),0)),"/")</f>
        <v>35</v>
      </c>
      <c r="AD10" s="64" cm="1">
        <f t="array" ref="AD10">IFERROR(INDEX('Offer Statistics'!EG$2:EG$400,MATCH(1,($A10='Offer Statistics'!$DV$2:$DV$400)*($AA$2='Offer Statistics'!$DW$2:$DW$400),0)),"/")</f>
        <v>1</v>
      </c>
      <c r="AE10" s="64" cm="1">
        <f t="array" ref="AE10">IFERROR(INDEX('Offer Statistics'!EH$2:EH$400,MATCH(1,($A10='Offer Statistics'!$DV$2:$DV$400)*($AA$2='Offer Statistics'!$DW$2:$DW$400),0)),"/")</f>
        <v>0</v>
      </c>
      <c r="AF10" s="64" cm="1">
        <f t="array" ref="AF10">IFERROR(INDEX('Offer Statistics'!EI$2:EI$400,MATCH(1,($A10='Offer Statistics'!$DV$2:$DV$400)*($AA$2='Offer Statistics'!$DW$2:$DW$400),0)),"/")</f>
        <v>0</v>
      </c>
      <c r="AG10" s="64" cm="1">
        <f t="array" ref="AG10">IFERROR(INDEX('Offer Statistics'!EJ$2:EJ$400,MATCH(1,($A10='Offer Statistics'!$DV$2:$DV$400)*($AA$2='Offer Statistics'!$DW$2:$DW$400),0)),"/")</f>
        <v>0</v>
      </c>
      <c r="AH10" s="511"/>
      <c r="AI10" s="36" cm="1">
        <f t="array" ref="AI10">IFERROR(INDEX('Offer Statistics'!EC$2:EC$400,MATCH(1,($A10='Offer Statistics'!$DV$2:$DV$400)*($AA$2='Offer Statistics'!$DW$2:$DW$400),0)),"/")</f>
        <v>5422</v>
      </c>
      <c r="AJ10" s="64" cm="1">
        <f t="array" ref="AJ10">IFERROR(INDEX('Offer Statistics'!DX$2:DX$400,MATCH(1,($A10='Offer Statistics'!$DV$2:$DV$400)*($AA$2='Offer Statistics'!$DW$2:$DW$400),0)),"/")</f>
        <v>1287</v>
      </c>
      <c r="AK10" s="64" cm="1">
        <f t="array" ref="AK10">IFERROR(INDEX('Offer Statistics'!DY$2:DY$400,MATCH(1,($A10='Offer Statistics'!$DV$2:$DV$400)*($AA$2='Offer Statistics'!$DW$2:$DW$400),0)),"/")</f>
        <v>929</v>
      </c>
      <c r="AL10" s="64" cm="1">
        <f t="array" ref="AL10">IFERROR(INDEX('Offer Statistics'!DZ$2:DZ$400,MATCH(1,($A10='Offer Statistics'!$DV$2:$DV$400)*($AA$2='Offer Statistics'!$DW$2:$DW$400),0)),"/")</f>
        <v>1185</v>
      </c>
      <c r="AM10" s="64" cm="1">
        <f t="array" ref="AM10">IFERROR(INDEX('Offer Statistics'!EA$2:EA$400,MATCH(1,($A10='Offer Statistics'!$DV$2:$DV$400)*($AA$2='Offer Statistics'!$DW$2:$DW$400),0)),"/")</f>
        <v>1123</v>
      </c>
      <c r="AN10" s="64" cm="1">
        <f t="array" ref="AN10">IFERROR(INDEX('Offer Statistics'!EB$2:EB$400,MATCH(1,($A10='Offer Statistics'!$DV$2:$DV$400)*($AA$2='Offer Statistics'!$DW$2:$DW$400),0)),"/")</f>
        <v>898</v>
      </c>
      <c r="AO10" s="14"/>
      <c r="AP10" s="15" t="str">
        <f t="shared" si="3"/>
        <v>JS8404</v>
      </c>
    </row>
    <row r="11" spans="1:42" ht="18" customHeight="1">
      <c r="A11" s="4" t="str">
        <f>'Reference Score Calculation'!A308</f>
        <v>JS8416</v>
      </c>
      <c r="B11" s="4" t="str">
        <f>'Reference Score Calculation'!C308</f>
        <v>人文學院</v>
      </c>
      <c r="C11" s="4" t="str">
        <f>'Reference Score Calculation'!D308</f>
        <v>中國歷史教育榮譽學士</v>
      </c>
      <c r="D11" s="4" t="str">
        <f>'Reference Score Calculation'!R308</f>
        <v>BEd(CHI HIST)</v>
      </c>
      <c r="E11" s="392" t="str">
        <f>'Reference Score Calculation'!AB308</f>
        <v>Best 5</v>
      </c>
      <c r="F11" s="419" t="str">
        <f>'Reference Score Calculation'!E308</f>
        <v>Best 5</v>
      </c>
      <c r="G11" s="44" t="str">
        <f>'Reference Score Calculation'!I308</f>
        <v>無開辦</v>
      </c>
      <c r="H11" s="45">
        <f>計分版!J331</f>
        <v>3.9500000000000006E-9</v>
      </c>
      <c r="I11" s="7" t="str">
        <f t="shared" si="0"/>
        <v>/</v>
      </c>
      <c r="J11" s="8" t="str">
        <f t="shared" si="1"/>
        <v>/</v>
      </c>
      <c r="K11" s="36" t="str">
        <f>'Reference Score Calculation'!T308</f>
        <v>/</v>
      </c>
      <c r="L11" s="86">
        <f>入學要求!Z317</f>
        <v>0</v>
      </c>
      <c r="M11" s="514"/>
      <c r="N11" s="279">
        <f>入學要求!L317</f>
        <v>3</v>
      </c>
      <c r="O11" s="279">
        <f>入學要求!M317</f>
        <v>3</v>
      </c>
      <c r="P11" s="279">
        <f>入學要求!N317</f>
        <v>2</v>
      </c>
      <c r="Q11" s="279">
        <f>入學要求!O317</f>
        <v>1</v>
      </c>
      <c r="R11" s="279">
        <f>入學要求!P317</f>
        <v>2</v>
      </c>
      <c r="S11" s="279">
        <f>入學要求!Q317</f>
        <v>2</v>
      </c>
      <c r="T11" s="278">
        <f>入學要求!S317</f>
        <v>0</v>
      </c>
      <c r="U11" s="278">
        <f>入學要求!T317</f>
        <v>0</v>
      </c>
      <c r="V11" s="278">
        <f>入學要求!U317</f>
        <v>0</v>
      </c>
      <c r="W11" s="278">
        <f>入學要求!V317</f>
        <v>0</v>
      </c>
      <c r="X11" s="278">
        <f>入學要求!W317</f>
        <v>0</v>
      </c>
      <c r="Y11" s="278">
        <f>入學要求!X317</f>
        <v>0</v>
      </c>
      <c r="Z11" s="44">
        <f t="shared" si="2"/>
        <v>38</v>
      </c>
      <c r="AA11" s="510"/>
      <c r="AB11" s="36" cm="1">
        <f t="array" ref="AB11">IFERROR(INDEX('Offer Statistics'!EK$2:EK$400,MATCH(1,($A11='Offer Statistics'!$DV$2:$DV$400)*($AA$2='Offer Statistics'!$DW$2:$DW$400),0)),"/")</f>
        <v>9</v>
      </c>
      <c r="AC11" s="64" cm="1">
        <f t="array" ref="AC11">IFERROR(INDEX('Offer Statistics'!EF$2:EF$400,MATCH(1,($A11='Offer Statistics'!$DV$2:$DV$400)*($AA$2='Offer Statistics'!$DW$2:$DW$400),0)),"/")</f>
        <v>9</v>
      </c>
      <c r="AD11" s="64" cm="1">
        <f t="array" ref="AD11">IFERROR(INDEX('Offer Statistics'!EG$2:EG$400,MATCH(1,($A11='Offer Statistics'!$DV$2:$DV$400)*($AA$2='Offer Statistics'!$DW$2:$DW$400),0)),"/")</f>
        <v>0</v>
      </c>
      <c r="AE11" s="64" cm="1">
        <f t="array" ref="AE11">IFERROR(INDEX('Offer Statistics'!EH$2:EH$400,MATCH(1,($A11='Offer Statistics'!$DV$2:$DV$400)*($AA$2='Offer Statistics'!$DW$2:$DW$400),0)),"/")</f>
        <v>0</v>
      </c>
      <c r="AF11" s="64" cm="1">
        <f t="array" ref="AF11">IFERROR(INDEX('Offer Statistics'!EI$2:EI$400,MATCH(1,($A11='Offer Statistics'!$DV$2:$DV$400)*($AA$2='Offer Statistics'!$DW$2:$DW$400),0)),"/")</f>
        <v>0</v>
      </c>
      <c r="AG11" s="64" cm="1">
        <f t="array" ref="AG11">IFERROR(INDEX('Offer Statistics'!EJ$2:EJ$400,MATCH(1,($A11='Offer Statistics'!$DV$2:$DV$400)*($AA$2='Offer Statistics'!$DW$2:$DW$400),0)),"/")</f>
        <v>0</v>
      </c>
      <c r="AH11" s="511"/>
      <c r="AI11" s="36" cm="1">
        <f t="array" ref="AI11">IFERROR(INDEX('Offer Statistics'!EC$2:EC$400,MATCH(1,($A11='Offer Statistics'!$DV$2:$DV$400)*($AA$2='Offer Statistics'!$DW$2:$DW$400),0)),"/")</f>
        <v>1847</v>
      </c>
      <c r="AJ11" s="64" cm="1">
        <f t="array" ref="AJ11">IFERROR(INDEX('Offer Statistics'!DX$2:DX$400,MATCH(1,($A11='Offer Statistics'!$DV$2:$DV$400)*($AA$2='Offer Statistics'!$DW$2:$DW$400),0)),"/")</f>
        <v>342</v>
      </c>
      <c r="AK11" s="64" cm="1">
        <f t="array" ref="AK11">IFERROR(INDEX('Offer Statistics'!DY$2:DY$400,MATCH(1,($A11='Offer Statistics'!$DV$2:$DV$400)*($AA$2='Offer Statistics'!$DW$2:$DW$400),0)),"/")</f>
        <v>322</v>
      </c>
      <c r="AL11" s="64" cm="1">
        <f t="array" ref="AL11">IFERROR(INDEX('Offer Statistics'!DZ$2:DZ$400,MATCH(1,($A11='Offer Statistics'!$DV$2:$DV$400)*($AA$2='Offer Statistics'!$DW$2:$DW$400),0)),"/")</f>
        <v>410</v>
      </c>
      <c r="AM11" s="64" cm="1">
        <f t="array" ref="AM11">IFERROR(INDEX('Offer Statistics'!EA$2:EA$400,MATCH(1,($A11='Offer Statistics'!$DV$2:$DV$400)*($AA$2='Offer Statistics'!$DW$2:$DW$400),0)),"/")</f>
        <v>419</v>
      </c>
      <c r="AN11" s="64" cm="1">
        <f t="array" ref="AN11">IFERROR(INDEX('Offer Statistics'!EB$2:EB$400,MATCH(1,($A11='Offer Statistics'!$DV$2:$DV$400)*($AA$2='Offer Statistics'!$DW$2:$DW$400),0)),"/")</f>
        <v>354</v>
      </c>
      <c r="AO11" s="14"/>
      <c r="AP11" s="15" t="str">
        <f t="shared" si="3"/>
        <v>JS8416</v>
      </c>
    </row>
    <row r="12" spans="1:42" ht="18" customHeight="1">
      <c r="A12" s="4" t="str">
        <f>'Reference Score Calculation'!A309</f>
        <v>JS8428</v>
      </c>
      <c r="B12" s="4" t="str">
        <f>'Reference Score Calculation'!C309</f>
        <v>博文及社會科學學院</v>
      </c>
      <c r="C12" s="4" t="str">
        <f>'Reference Score Calculation'!D309</f>
        <v>地理教育榮譽學士</v>
      </c>
      <c r="D12" s="4" t="str">
        <f>'Reference Score Calculation'!R309</f>
        <v>BEd(GEOG)</v>
      </c>
      <c r="E12" s="392" t="str">
        <f>'Reference Score Calculation'!AB309</f>
        <v>Best 5</v>
      </c>
      <c r="F12" s="419" t="str">
        <f>'Reference Score Calculation'!E309</f>
        <v>Best 5</v>
      </c>
      <c r="G12" s="44">
        <f>'Reference Score Calculation'!I309</f>
        <v>21</v>
      </c>
      <c r="H12" s="45">
        <f>計分版!J332</f>
        <v>3.9500000000000006E-9</v>
      </c>
      <c r="I12" s="25">
        <f t="shared" si="0"/>
        <v>-20.999999996050001</v>
      </c>
      <c r="J12" s="26">
        <f t="shared" si="1"/>
        <v>-5316455695.2025309</v>
      </c>
      <c r="K12" s="36">
        <f>'Reference Score Calculation'!T309</f>
        <v>10</v>
      </c>
      <c r="L12" s="86">
        <f>入學要求!Z318</f>
        <v>0</v>
      </c>
      <c r="M12" s="514"/>
      <c r="N12" s="279">
        <f>入學要求!L318</f>
        <v>3</v>
      </c>
      <c r="O12" s="279">
        <f>入學要求!M318</f>
        <v>3</v>
      </c>
      <c r="P12" s="279">
        <f>入學要求!N318</f>
        <v>2</v>
      </c>
      <c r="Q12" s="279">
        <f>入學要求!O318</f>
        <v>1</v>
      </c>
      <c r="R12" s="279">
        <f>入學要求!P318</f>
        <v>2</v>
      </c>
      <c r="S12" s="279">
        <f>入學要求!Q318</f>
        <v>2</v>
      </c>
      <c r="T12" s="278">
        <f>入學要求!S318</f>
        <v>0</v>
      </c>
      <c r="U12" s="278">
        <f>入學要求!T318</f>
        <v>0</v>
      </c>
      <c r="V12" s="278">
        <f>入學要求!U318</f>
        <v>0</v>
      </c>
      <c r="W12" s="278">
        <f>入學要求!V318</f>
        <v>0</v>
      </c>
      <c r="X12" s="278">
        <f>入學要求!W318</f>
        <v>0</v>
      </c>
      <c r="Y12" s="278">
        <f>入學要求!X318</f>
        <v>0</v>
      </c>
      <c r="Z12" s="44">
        <f t="shared" si="2"/>
        <v>19.149999999999999</v>
      </c>
      <c r="AA12" s="510"/>
      <c r="AB12" s="36" cm="1">
        <f t="array" ref="AB12">IFERROR(INDEX('Offer Statistics'!EK$2:EK$400,MATCH(1,($A12='Offer Statistics'!$DV$2:$DV$400)*($AA$2='Offer Statistics'!$DW$2:$DW$400),0)),"/")</f>
        <v>13</v>
      </c>
      <c r="AC12" s="64" cm="1">
        <f t="array" ref="AC12">IFERROR(INDEX('Offer Statistics'!EF$2:EF$400,MATCH(1,($A12='Offer Statistics'!$DV$2:$DV$400)*($AA$2='Offer Statistics'!$DW$2:$DW$400),0)),"/")</f>
        <v>13</v>
      </c>
      <c r="AD12" s="64" cm="1">
        <f t="array" ref="AD12">IFERROR(INDEX('Offer Statistics'!EG$2:EG$400,MATCH(1,($A12='Offer Statistics'!$DV$2:$DV$400)*($AA$2='Offer Statistics'!$DW$2:$DW$400),0)),"/")</f>
        <v>0</v>
      </c>
      <c r="AE12" s="64" cm="1">
        <f t="array" ref="AE12">IFERROR(INDEX('Offer Statistics'!EH$2:EH$400,MATCH(1,($A12='Offer Statistics'!$DV$2:$DV$400)*($AA$2='Offer Statistics'!$DW$2:$DW$400),0)),"/")</f>
        <v>0</v>
      </c>
      <c r="AF12" s="64" cm="1">
        <f t="array" ref="AF12">IFERROR(INDEX('Offer Statistics'!EI$2:EI$400,MATCH(1,($A12='Offer Statistics'!$DV$2:$DV$400)*($AA$2='Offer Statistics'!$DW$2:$DW$400),0)),"/")</f>
        <v>0</v>
      </c>
      <c r="AG12" s="64" cm="1">
        <f t="array" ref="AG12">IFERROR(INDEX('Offer Statistics'!EJ$2:EJ$400,MATCH(1,($A12='Offer Statistics'!$DV$2:$DV$400)*($AA$2='Offer Statistics'!$DW$2:$DW$400),0)),"/")</f>
        <v>0</v>
      </c>
      <c r="AH12" s="511"/>
      <c r="AI12" s="36" cm="1">
        <f t="array" ref="AI12">IFERROR(INDEX('Offer Statistics'!EC$2:EC$400,MATCH(1,($A12='Offer Statistics'!$DV$2:$DV$400)*($AA$2='Offer Statistics'!$DW$2:$DW$400),0)),"/")</f>
        <v>2046</v>
      </c>
      <c r="AJ12" s="64" cm="1">
        <f t="array" ref="AJ12">IFERROR(INDEX('Offer Statistics'!DX$2:DX$400,MATCH(1,($A12='Offer Statistics'!$DV$2:$DV$400)*($AA$2='Offer Statistics'!$DW$2:$DW$400),0)),"/")</f>
        <v>249</v>
      </c>
      <c r="AK12" s="64" cm="1">
        <f t="array" ref="AK12">IFERROR(INDEX('Offer Statistics'!DY$2:DY$400,MATCH(1,($A12='Offer Statistics'!$DV$2:$DV$400)*($AA$2='Offer Statistics'!$DW$2:$DW$400),0)),"/")</f>
        <v>336</v>
      </c>
      <c r="AL12" s="64" cm="1">
        <f t="array" ref="AL12">IFERROR(INDEX('Offer Statistics'!DZ$2:DZ$400,MATCH(1,($A12='Offer Statistics'!$DV$2:$DV$400)*($AA$2='Offer Statistics'!$DW$2:$DW$400),0)),"/")</f>
        <v>444</v>
      </c>
      <c r="AM12" s="64" cm="1">
        <f t="array" ref="AM12">IFERROR(INDEX('Offer Statistics'!EA$2:EA$400,MATCH(1,($A12='Offer Statistics'!$DV$2:$DV$400)*($AA$2='Offer Statistics'!$DW$2:$DW$400),0)),"/")</f>
        <v>497</v>
      </c>
      <c r="AN12" s="64" cm="1">
        <f t="array" ref="AN12">IFERROR(INDEX('Offer Statistics'!EB$2:EB$400,MATCH(1,($A12='Offer Statistics'!$DV$2:$DV$400)*($AA$2='Offer Statistics'!$DW$2:$DW$400),0)),"/")</f>
        <v>520</v>
      </c>
      <c r="AO12" s="14"/>
      <c r="AP12" s="15" t="str">
        <f t="shared" si="3"/>
        <v>JS8428</v>
      </c>
    </row>
    <row r="13" spans="1:42" ht="18" customHeight="1">
      <c r="A13" s="4" t="str">
        <f>'Reference Score Calculation'!A310</f>
        <v>JS8430</v>
      </c>
      <c r="B13" s="4" t="str">
        <f>'Reference Score Calculation'!C310</f>
        <v>博文及社會科學學院</v>
      </c>
      <c r="C13" s="4" t="str">
        <f>'Reference Score Calculation'!D310</f>
        <v>科學教育榮譽學士</v>
      </c>
      <c r="D13" s="4" t="str">
        <f>'Reference Score Calculation'!R310</f>
        <v>BEd(Science)</v>
      </c>
      <c r="E13" s="392" t="str">
        <f>'Reference Score Calculation'!AB310</f>
        <v>Best 5</v>
      </c>
      <c r="F13" s="419" t="str">
        <f>'Reference Score Calculation'!E310</f>
        <v>Best 5</v>
      </c>
      <c r="G13" s="44">
        <f>'Reference Score Calculation'!I310</f>
        <v>20</v>
      </c>
      <c r="H13" s="45">
        <f>計分版!J333</f>
        <v>3.9500000000000006E-9</v>
      </c>
      <c r="I13" s="25">
        <f t="shared" si="0"/>
        <v>-19.999999996050001</v>
      </c>
      <c r="J13" s="26">
        <f t="shared" si="1"/>
        <v>-5063291138.2405052</v>
      </c>
      <c r="K13" s="36">
        <f>'Reference Score Calculation'!T310</f>
        <v>13</v>
      </c>
      <c r="L13" s="86">
        <f>入學要求!Z319</f>
        <v>0</v>
      </c>
      <c r="M13" s="514"/>
      <c r="N13" s="279">
        <f>入學要求!L319</f>
        <v>3</v>
      </c>
      <c r="O13" s="279">
        <f>入學要求!M319</f>
        <v>3</v>
      </c>
      <c r="P13" s="279">
        <f>入學要求!N319</f>
        <v>2</v>
      </c>
      <c r="Q13" s="279">
        <f>入學要求!O319</f>
        <v>1</v>
      </c>
      <c r="R13" s="279">
        <f>入學要求!P319</f>
        <v>4</v>
      </c>
      <c r="S13" s="279">
        <f>入學要求!Q319</f>
        <v>2</v>
      </c>
      <c r="T13" s="278">
        <f>入學要求!S319</f>
        <v>0</v>
      </c>
      <c r="U13" s="278">
        <f>入學要求!T319</f>
        <v>0</v>
      </c>
      <c r="V13" s="278">
        <f>入學要求!U319</f>
        <v>0</v>
      </c>
      <c r="W13" s="278">
        <f>入學要求!V319</f>
        <v>0</v>
      </c>
      <c r="X13" s="278">
        <f>入學要求!W319</f>
        <v>0</v>
      </c>
      <c r="Y13" s="278">
        <f>入學要求!X319</f>
        <v>0</v>
      </c>
      <c r="Z13" s="44">
        <f t="shared" si="2"/>
        <v>4.75</v>
      </c>
      <c r="AA13" s="510"/>
      <c r="AB13" s="36" cm="1">
        <f t="array" ref="AB13">IFERROR(INDEX('Offer Statistics'!EK$2:EK$400,MATCH(1,($A13='Offer Statistics'!$DV$2:$DV$400)*($AA$2='Offer Statistics'!$DW$2:$DW$400),0)),"/")</f>
        <v>392</v>
      </c>
      <c r="AC13" s="64" cm="1">
        <f t="array" ref="AC13">IFERROR(INDEX('Offer Statistics'!EF$2:EF$400,MATCH(1,($A13='Offer Statistics'!$DV$2:$DV$400)*($AA$2='Offer Statistics'!$DW$2:$DW$400),0)),"/")</f>
        <v>323</v>
      </c>
      <c r="AD13" s="64" cm="1">
        <f t="array" ref="AD13">IFERROR(INDEX('Offer Statistics'!EG$2:EG$400,MATCH(1,($A13='Offer Statistics'!$DV$2:$DV$400)*($AA$2='Offer Statistics'!$DW$2:$DW$400),0)),"/")</f>
        <v>38</v>
      </c>
      <c r="AE13" s="64" cm="1">
        <f t="array" ref="AE13">IFERROR(INDEX('Offer Statistics'!EH$2:EH$400,MATCH(1,($A13='Offer Statistics'!$DV$2:$DV$400)*($AA$2='Offer Statistics'!$DW$2:$DW$400),0)),"/")</f>
        <v>22</v>
      </c>
      <c r="AF13" s="64" cm="1">
        <f t="array" ref="AF13">IFERROR(INDEX('Offer Statistics'!EI$2:EI$400,MATCH(1,($A13='Offer Statistics'!$DV$2:$DV$400)*($AA$2='Offer Statistics'!$DW$2:$DW$400),0)),"/")</f>
        <v>7</v>
      </c>
      <c r="AG13" s="64" cm="1">
        <f t="array" ref="AG13">IFERROR(INDEX('Offer Statistics'!EJ$2:EJ$400,MATCH(1,($A13='Offer Statistics'!$DV$2:$DV$400)*($AA$2='Offer Statistics'!$DW$2:$DW$400),0)),"/")</f>
        <v>2</v>
      </c>
      <c r="AH13" s="511"/>
      <c r="AI13" s="36" cm="1">
        <f t="array" ref="AI13">IFERROR(INDEX('Offer Statistics'!EC$2:EC$400,MATCH(1,($A13='Offer Statistics'!$DV$2:$DV$400)*($AA$2='Offer Statistics'!$DW$2:$DW$400),0)),"/")</f>
        <v>4326</v>
      </c>
      <c r="AJ13" s="64" cm="1">
        <f t="array" ref="AJ13">IFERROR(INDEX('Offer Statistics'!DX$2:DX$400,MATCH(1,($A13='Offer Statistics'!$DV$2:$DV$400)*($AA$2='Offer Statistics'!$DW$2:$DW$400),0)),"/")</f>
        <v>1534</v>
      </c>
      <c r="AK13" s="64" cm="1">
        <f t="array" ref="AK13">IFERROR(INDEX('Offer Statistics'!DY$2:DY$400,MATCH(1,($A13='Offer Statistics'!$DV$2:$DV$400)*($AA$2='Offer Statistics'!$DW$2:$DW$400),0)),"/")</f>
        <v>774</v>
      </c>
      <c r="AL13" s="64" cm="1">
        <f t="array" ref="AL13">IFERROR(INDEX('Offer Statistics'!DZ$2:DZ$400,MATCH(1,($A13='Offer Statistics'!$DV$2:$DV$400)*($AA$2='Offer Statistics'!$DW$2:$DW$400),0)),"/")</f>
        <v>671</v>
      </c>
      <c r="AM13" s="64" cm="1">
        <f t="array" ref="AM13">IFERROR(INDEX('Offer Statistics'!EA$2:EA$400,MATCH(1,($A13='Offer Statistics'!$DV$2:$DV$400)*($AA$2='Offer Statistics'!$DW$2:$DW$400),0)),"/")</f>
        <v>588</v>
      </c>
      <c r="AN13" s="64" cm="1">
        <f t="array" ref="AN13">IFERROR(INDEX('Offer Statistics'!EB$2:EB$400,MATCH(1,($A13='Offer Statistics'!$DV$2:$DV$400)*($AA$2='Offer Statistics'!$DW$2:$DW$400),0)),"/")</f>
        <v>759</v>
      </c>
      <c r="AO13" s="14"/>
      <c r="AP13" s="15" t="str">
        <f t="shared" si="3"/>
        <v>JS8430</v>
      </c>
    </row>
    <row r="14" spans="1:42" ht="18" customHeight="1">
      <c r="A14" s="4" t="str">
        <f>'Reference Score Calculation'!A311</f>
        <v>JS8507</v>
      </c>
      <c r="B14" s="4" t="str">
        <f>'Reference Score Calculation'!C311</f>
        <v>教育及人類發展學院</v>
      </c>
      <c r="C14" s="4" t="str">
        <f>'Reference Score Calculation'!D311</f>
        <v>幼兒教育高級文憑</v>
      </c>
      <c r="D14" s="4" t="str">
        <f>'Reference Score Calculation'!R311</f>
        <v>HD(ECE)</v>
      </c>
      <c r="E14" s="392" t="str">
        <f>'Reference Score Calculation'!AB311</f>
        <v>Best 5</v>
      </c>
      <c r="F14" s="419" t="str">
        <f>'Reference Score Calculation'!E311</f>
        <v>Best 5</v>
      </c>
      <c r="G14" s="44">
        <f>'Reference Score Calculation'!I311</f>
        <v>15</v>
      </c>
      <c r="H14" s="45">
        <f>計分版!J334</f>
        <v>3.9500000000000006E-9</v>
      </c>
      <c r="I14" s="25">
        <f t="shared" si="0"/>
        <v>-14.999999996050001</v>
      </c>
      <c r="J14" s="26">
        <f t="shared" si="1"/>
        <v>-3797468353.4303794</v>
      </c>
      <c r="K14" s="36">
        <f>'Reference Score Calculation'!T311</f>
        <v>330</v>
      </c>
      <c r="L14" s="86">
        <f>入學要求!Z320</f>
        <v>0</v>
      </c>
      <c r="M14" s="514"/>
      <c r="N14" s="279">
        <f>入學要求!L320</f>
        <v>2</v>
      </c>
      <c r="O14" s="279">
        <f>入學要求!M320</f>
        <v>2</v>
      </c>
      <c r="P14" s="279">
        <f>入學要求!N320</f>
        <v>2</v>
      </c>
      <c r="Q14" s="279">
        <f>入學要求!O320</f>
        <v>2</v>
      </c>
      <c r="R14" s="279">
        <f>入學要求!P320</f>
        <v>2</v>
      </c>
      <c r="S14" s="279"/>
      <c r="T14" s="278">
        <f>入學要求!S320</f>
        <v>0</v>
      </c>
      <c r="U14" s="278">
        <f>入學要求!T320</f>
        <v>0</v>
      </c>
      <c r="V14" s="278">
        <f>入學要求!U320</f>
        <v>0</v>
      </c>
      <c r="W14" s="278">
        <f>入學要求!V320</f>
        <v>0</v>
      </c>
      <c r="X14" s="278">
        <f>入學要求!W320</f>
        <v>0</v>
      </c>
      <c r="Y14" s="278">
        <f>入學要求!X320</f>
        <v>0</v>
      </c>
      <c r="Z14" s="44">
        <f t="shared" si="2"/>
        <v>12.6</v>
      </c>
      <c r="AA14" s="510"/>
      <c r="AB14" s="36" cm="1">
        <f t="array" ref="AB14">IFERROR(INDEX('Offer Statistics'!EK$2:EK$400,MATCH(1,($A14='Offer Statistics'!$DV$2:$DV$400)*($AA$2='Offer Statistics'!$DW$2:$DW$400),0)),"/")</f>
        <v>17</v>
      </c>
      <c r="AC14" s="64" cm="1">
        <f t="array" ref="AC14">IFERROR(INDEX('Offer Statistics'!EF$2:EF$400,MATCH(1,($A14='Offer Statistics'!$DV$2:$DV$400)*($AA$2='Offer Statistics'!$DW$2:$DW$400),0)),"/")</f>
        <v>15</v>
      </c>
      <c r="AD14" s="64" cm="1">
        <f t="array" ref="AD14">IFERROR(INDEX('Offer Statistics'!EG$2:EG$400,MATCH(1,($A14='Offer Statistics'!$DV$2:$DV$400)*($AA$2='Offer Statistics'!$DW$2:$DW$400),0)),"/")</f>
        <v>2</v>
      </c>
      <c r="AE14" s="64" cm="1">
        <f t="array" ref="AE14">IFERROR(INDEX('Offer Statistics'!EH$2:EH$400,MATCH(1,($A14='Offer Statistics'!$DV$2:$DV$400)*($AA$2='Offer Statistics'!$DW$2:$DW$400),0)),"/")</f>
        <v>0</v>
      </c>
      <c r="AF14" s="64" cm="1">
        <f t="array" ref="AF14">IFERROR(INDEX('Offer Statistics'!EI$2:EI$400,MATCH(1,($A14='Offer Statistics'!$DV$2:$DV$400)*($AA$2='Offer Statistics'!$DW$2:$DW$400),0)),"/")</f>
        <v>0</v>
      </c>
      <c r="AG14" s="64" cm="1">
        <f t="array" ref="AG14">IFERROR(INDEX('Offer Statistics'!EJ$2:EJ$400,MATCH(1,($A14='Offer Statistics'!$DV$2:$DV$400)*($AA$2='Offer Statistics'!$DW$2:$DW$400),0)),"/")</f>
        <v>0</v>
      </c>
      <c r="AH14" s="511"/>
      <c r="AI14" s="36" cm="1">
        <f t="array" ref="AI14">IFERROR(INDEX('Offer Statistics'!EC$2:EC$400,MATCH(1,($A14='Offer Statistics'!$DV$2:$DV$400)*($AA$2='Offer Statistics'!$DW$2:$DW$400),0)),"/")</f>
        <v>1413</v>
      </c>
      <c r="AJ14" s="64" cm="1">
        <f t="array" ref="AJ14">IFERROR(INDEX('Offer Statistics'!DX$2:DX$400,MATCH(1,($A14='Offer Statistics'!$DV$2:$DV$400)*($AA$2='Offer Statistics'!$DW$2:$DW$400),0)),"/")</f>
        <v>189</v>
      </c>
      <c r="AK14" s="64" cm="1">
        <f t="array" ref="AK14">IFERROR(INDEX('Offer Statistics'!DY$2:DY$400,MATCH(1,($A14='Offer Statistics'!$DV$2:$DV$400)*($AA$2='Offer Statistics'!$DW$2:$DW$400),0)),"/")</f>
        <v>253</v>
      </c>
      <c r="AL14" s="64" cm="1">
        <f t="array" ref="AL14">IFERROR(INDEX('Offer Statistics'!DZ$2:DZ$400,MATCH(1,($A14='Offer Statistics'!$DV$2:$DV$400)*($AA$2='Offer Statistics'!$DW$2:$DW$400),0)),"/")</f>
        <v>322</v>
      </c>
      <c r="AM14" s="64" cm="1">
        <f t="array" ref="AM14">IFERROR(INDEX('Offer Statistics'!EA$2:EA$400,MATCH(1,($A14='Offer Statistics'!$DV$2:$DV$400)*($AA$2='Offer Statistics'!$DW$2:$DW$400),0)),"/")</f>
        <v>349</v>
      </c>
      <c r="AN14" s="64" cm="1">
        <f t="array" ref="AN14">IFERROR(INDEX('Offer Statistics'!EB$2:EB$400,MATCH(1,($A14='Offer Statistics'!$DV$2:$DV$400)*($AA$2='Offer Statistics'!$DW$2:$DW$400),0)),"/")</f>
        <v>300</v>
      </c>
      <c r="AO14" s="14"/>
      <c r="AP14" s="15" t="str">
        <f t="shared" si="3"/>
        <v>JS8507</v>
      </c>
    </row>
    <row r="15" spans="1:42" ht="18" customHeight="1">
      <c r="A15" s="4" t="str">
        <f>'Reference Score Calculation'!A312</f>
        <v>JS8600</v>
      </c>
      <c r="B15" s="4" t="str">
        <f>'Reference Score Calculation'!C312</f>
        <v>人文學院</v>
      </c>
      <c r="C15" s="4" t="str">
        <f>'Reference Score Calculation'!D312</f>
        <v>語文研究榮譽文學士 (中文主修)</v>
      </c>
      <c r="D15" s="4" t="str">
        <f>'Reference Score Calculation'!R312</f>
        <v>BA(Lang Studies)-CN</v>
      </c>
      <c r="E15" s="392" t="str">
        <f>'Reference Score Calculation'!AB312</f>
        <v>Best 5</v>
      </c>
      <c r="F15" s="419" t="str">
        <f>'Reference Score Calculation'!E312</f>
        <v>Best 5</v>
      </c>
      <c r="G15" s="44">
        <f>'Reference Score Calculation'!I312</f>
        <v>20</v>
      </c>
      <c r="H15" s="45">
        <f>計分版!J335</f>
        <v>3.9500000000000006E-9</v>
      </c>
      <c r="I15" s="25">
        <f t="shared" si="0"/>
        <v>-19.999999996050001</v>
      </c>
      <c r="J15" s="26">
        <f t="shared" si="1"/>
        <v>-5063291138.2405052</v>
      </c>
      <c r="K15" s="36">
        <f>'Reference Score Calculation'!T312</f>
        <v>11</v>
      </c>
      <c r="L15" s="86">
        <f>入學要求!Z321</f>
        <v>0</v>
      </c>
      <c r="M15" s="514"/>
      <c r="N15" s="279">
        <f>入學要求!L321</f>
        <v>3</v>
      </c>
      <c r="O15" s="279">
        <f>入學要求!M321</f>
        <v>3</v>
      </c>
      <c r="P15" s="279">
        <f>入學要求!N321</f>
        <v>2</v>
      </c>
      <c r="Q15" s="279">
        <f>入學要求!O321</f>
        <v>1</v>
      </c>
      <c r="R15" s="279">
        <f>入學要求!P321</f>
        <v>2</v>
      </c>
      <c r="S15" s="279">
        <f>入學要求!Q321</f>
        <v>2</v>
      </c>
      <c r="T15" s="278">
        <f>入學要求!S321</f>
        <v>0</v>
      </c>
      <c r="U15" s="278">
        <f>入學要求!T321</f>
        <v>0</v>
      </c>
      <c r="V15" s="278">
        <f>入學要求!U321</f>
        <v>0</v>
      </c>
      <c r="W15" s="278">
        <f>入學要求!V321</f>
        <v>0</v>
      </c>
      <c r="X15" s="278">
        <f>入學要求!W321</f>
        <v>0</v>
      </c>
      <c r="Y15" s="278">
        <f>入學要求!X321</f>
        <v>0</v>
      </c>
      <c r="Z15" s="44">
        <f t="shared" si="2"/>
        <v>12.67</v>
      </c>
      <c r="AA15" s="510"/>
      <c r="AB15" s="36" cm="1">
        <f t="array" ref="AB15">IFERROR(INDEX('Offer Statistics'!EK$2:EK$400,MATCH(1,($A15='Offer Statistics'!$DV$2:$DV$400)*($AA$2='Offer Statistics'!$DW$2:$DW$400),0)),"/")</f>
        <v>15</v>
      </c>
      <c r="AC15" s="64" cm="1">
        <f t="array" ref="AC15">IFERROR(INDEX('Offer Statistics'!EF$2:EF$400,MATCH(1,($A15='Offer Statistics'!$DV$2:$DV$400)*($AA$2='Offer Statistics'!$DW$2:$DW$400),0)),"/")</f>
        <v>15</v>
      </c>
      <c r="AD15" s="64" cm="1">
        <f t="array" ref="AD15">IFERROR(INDEX('Offer Statistics'!EG$2:EG$400,MATCH(1,($A15='Offer Statistics'!$DV$2:$DV$400)*($AA$2='Offer Statistics'!$DW$2:$DW$400),0)),"/")</f>
        <v>0</v>
      </c>
      <c r="AE15" s="64" cm="1">
        <f t="array" ref="AE15">IFERROR(INDEX('Offer Statistics'!EH$2:EH$400,MATCH(1,($A15='Offer Statistics'!$DV$2:$DV$400)*($AA$2='Offer Statistics'!$DW$2:$DW$400),0)),"/")</f>
        <v>0</v>
      </c>
      <c r="AF15" s="64" cm="1">
        <f t="array" ref="AF15">IFERROR(INDEX('Offer Statistics'!EI$2:EI$400,MATCH(1,($A15='Offer Statistics'!$DV$2:$DV$400)*($AA$2='Offer Statistics'!$DW$2:$DW$400),0)),"/")</f>
        <v>0</v>
      </c>
      <c r="AG15" s="64" cm="1">
        <f t="array" ref="AG15">IFERROR(INDEX('Offer Statistics'!EJ$2:EJ$400,MATCH(1,($A15='Offer Statistics'!$DV$2:$DV$400)*($AA$2='Offer Statistics'!$DW$2:$DW$400),0)),"/")</f>
        <v>0</v>
      </c>
      <c r="AH15" s="511"/>
      <c r="AI15" s="36" cm="1">
        <f t="array" ref="AI15">IFERROR(INDEX('Offer Statistics'!EC$2:EC$400,MATCH(1,($A15='Offer Statistics'!$DV$2:$DV$400)*($AA$2='Offer Statistics'!$DW$2:$DW$400),0)),"/")</f>
        <v>1100</v>
      </c>
      <c r="AJ15" s="64" cm="1">
        <f t="array" ref="AJ15">IFERROR(INDEX('Offer Statistics'!DX$2:DX$400,MATCH(1,($A15='Offer Statistics'!$DV$2:$DV$400)*($AA$2='Offer Statistics'!$DW$2:$DW$400),0)),"/")</f>
        <v>190</v>
      </c>
      <c r="AK15" s="64" cm="1">
        <f t="array" ref="AK15">IFERROR(INDEX('Offer Statistics'!DY$2:DY$400,MATCH(1,($A15='Offer Statistics'!$DV$2:$DV$400)*($AA$2='Offer Statistics'!$DW$2:$DW$400),0)),"/")</f>
        <v>216</v>
      </c>
      <c r="AL15" s="64" cm="1">
        <f t="array" ref="AL15">IFERROR(INDEX('Offer Statistics'!DZ$2:DZ$400,MATCH(1,($A15='Offer Statistics'!$DV$2:$DV$400)*($AA$2='Offer Statistics'!$DW$2:$DW$400),0)),"/")</f>
        <v>231</v>
      </c>
      <c r="AM15" s="64" cm="1">
        <f t="array" ref="AM15">IFERROR(INDEX('Offer Statistics'!EA$2:EA$400,MATCH(1,($A15='Offer Statistics'!$DV$2:$DV$400)*($AA$2='Offer Statistics'!$DW$2:$DW$400),0)),"/")</f>
        <v>239</v>
      </c>
      <c r="AN15" s="64" cm="1">
        <f t="array" ref="AN15">IFERROR(INDEX('Offer Statistics'!EB$2:EB$400,MATCH(1,($A15='Offer Statistics'!$DV$2:$DV$400)*($AA$2='Offer Statistics'!$DW$2:$DW$400),0)),"/")</f>
        <v>224</v>
      </c>
      <c r="AO15" s="14"/>
      <c r="AP15" s="15" t="str">
        <f t="shared" si="3"/>
        <v>JS8600</v>
      </c>
    </row>
    <row r="16" spans="1:42" ht="18" customHeight="1">
      <c r="A16" s="4" t="str">
        <f>'Reference Score Calculation'!A313</f>
        <v>JS8612</v>
      </c>
      <c r="B16" s="4" t="str">
        <f>'Reference Score Calculation'!C313</f>
        <v>人文學院</v>
      </c>
      <c r="C16" s="4" t="str">
        <f>'Reference Score Calculation'!D313</f>
        <v>語文研究榮譽文學士 (英文主修)</v>
      </c>
      <c r="D16" s="4" t="str">
        <f>'Reference Score Calculation'!R313</f>
        <v>BA(Lang Studies)-EG</v>
      </c>
      <c r="E16" s="392" t="str">
        <f>'Reference Score Calculation'!AB313</f>
        <v>Best 5</v>
      </c>
      <c r="F16" s="419" t="str">
        <f>'Reference Score Calculation'!E313</f>
        <v>Best 5</v>
      </c>
      <c r="G16" s="44">
        <f>'Reference Score Calculation'!I313</f>
        <v>20</v>
      </c>
      <c r="H16" s="45">
        <f>計分版!J336</f>
        <v>3.9500000000000006E-9</v>
      </c>
      <c r="I16" s="25">
        <f t="shared" si="0"/>
        <v>-19.999999996050001</v>
      </c>
      <c r="J16" s="26">
        <f t="shared" si="1"/>
        <v>-5063291138.2405052</v>
      </c>
      <c r="K16" s="36">
        <f>'Reference Score Calculation'!T313</f>
        <v>10</v>
      </c>
      <c r="L16" s="86">
        <f>入學要求!Z322</f>
        <v>0</v>
      </c>
      <c r="M16" s="514"/>
      <c r="N16" s="279">
        <f>入學要求!L322</f>
        <v>3</v>
      </c>
      <c r="O16" s="279">
        <f>入學要求!M322</f>
        <v>3</v>
      </c>
      <c r="P16" s="279">
        <f>入學要求!N322</f>
        <v>2</v>
      </c>
      <c r="Q16" s="279">
        <f>入學要求!O322</f>
        <v>1</v>
      </c>
      <c r="R16" s="279">
        <f>入學要求!P322</f>
        <v>2</v>
      </c>
      <c r="S16" s="279">
        <f>入學要求!Q322</f>
        <v>2</v>
      </c>
      <c r="T16" s="278">
        <f>入學要求!S322</f>
        <v>0</v>
      </c>
      <c r="U16" s="278">
        <f>入學要求!T322</f>
        <v>0</v>
      </c>
      <c r="V16" s="278">
        <f>入學要求!U322</f>
        <v>0</v>
      </c>
      <c r="W16" s="278">
        <f>入學要求!V322</f>
        <v>0</v>
      </c>
      <c r="X16" s="278">
        <f>入學要求!W322</f>
        <v>0</v>
      </c>
      <c r="Y16" s="278">
        <f>入學要求!X322</f>
        <v>0</v>
      </c>
      <c r="Z16" s="44">
        <f t="shared" si="2"/>
        <v>18.36</v>
      </c>
      <c r="AA16" s="510"/>
      <c r="AB16" s="36" cm="1">
        <f t="array" ref="AB16">IFERROR(INDEX('Offer Statistics'!EK$2:EK$400,MATCH(1,($A16='Offer Statistics'!$DV$2:$DV$400)*($AA$2='Offer Statistics'!$DW$2:$DW$400),0)),"/")</f>
        <v>12</v>
      </c>
      <c r="AC16" s="64" cm="1">
        <f t="array" ref="AC16">IFERROR(INDEX('Offer Statistics'!EF$2:EF$400,MATCH(1,($A16='Offer Statistics'!$DV$2:$DV$400)*($AA$2='Offer Statistics'!$DW$2:$DW$400),0)),"/")</f>
        <v>11</v>
      </c>
      <c r="AD16" s="64" cm="1">
        <f t="array" ref="AD16">IFERROR(INDEX('Offer Statistics'!EG$2:EG$400,MATCH(1,($A16='Offer Statistics'!$DV$2:$DV$400)*($AA$2='Offer Statistics'!$DW$2:$DW$400),0)),"/")</f>
        <v>1</v>
      </c>
      <c r="AE16" s="64" cm="1">
        <f t="array" ref="AE16">IFERROR(INDEX('Offer Statistics'!EH$2:EH$400,MATCH(1,($A16='Offer Statistics'!$DV$2:$DV$400)*($AA$2='Offer Statistics'!$DW$2:$DW$400),0)),"/")</f>
        <v>0</v>
      </c>
      <c r="AF16" s="64" cm="1">
        <f t="array" ref="AF16">IFERROR(INDEX('Offer Statistics'!EI$2:EI$400,MATCH(1,($A16='Offer Statistics'!$DV$2:$DV$400)*($AA$2='Offer Statistics'!$DW$2:$DW$400),0)),"/")</f>
        <v>0</v>
      </c>
      <c r="AG16" s="64" cm="1">
        <f t="array" ref="AG16">IFERROR(INDEX('Offer Statistics'!EJ$2:EJ$400,MATCH(1,($A16='Offer Statistics'!$DV$2:$DV$400)*($AA$2='Offer Statistics'!$DW$2:$DW$400),0)),"/")</f>
        <v>0</v>
      </c>
      <c r="AH16" s="511"/>
      <c r="AI16" s="36" cm="1">
        <f t="array" ref="AI16">IFERROR(INDEX('Offer Statistics'!EC$2:EC$400,MATCH(1,($A16='Offer Statistics'!$DV$2:$DV$400)*($AA$2='Offer Statistics'!$DW$2:$DW$400),0)),"/")</f>
        <v>922</v>
      </c>
      <c r="AJ16" s="64" cm="1">
        <f t="array" ref="AJ16">IFERROR(INDEX('Offer Statistics'!DX$2:DX$400,MATCH(1,($A16='Offer Statistics'!$DV$2:$DV$400)*($AA$2='Offer Statistics'!$DW$2:$DW$400),0)),"/")</f>
        <v>202</v>
      </c>
      <c r="AK16" s="64" cm="1">
        <f t="array" ref="AK16">IFERROR(INDEX('Offer Statistics'!DY$2:DY$400,MATCH(1,($A16='Offer Statistics'!$DV$2:$DV$400)*($AA$2='Offer Statistics'!$DW$2:$DW$400),0)),"/")</f>
        <v>178</v>
      </c>
      <c r="AL16" s="64" cm="1">
        <f t="array" ref="AL16">IFERROR(INDEX('Offer Statistics'!DZ$2:DZ$400,MATCH(1,($A16='Offer Statistics'!$DV$2:$DV$400)*($AA$2='Offer Statistics'!$DW$2:$DW$400),0)),"/")</f>
        <v>157</v>
      </c>
      <c r="AM16" s="64" cm="1">
        <f t="array" ref="AM16">IFERROR(INDEX('Offer Statistics'!EA$2:EA$400,MATCH(1,($A16='Offer Statistics'!$DV$2:$DV$400)*($AA$2='Offer Statistics'!$DW$2:$DW$400),0)),"/")</f>
        <v>193</v>
      </c>
      <c r="AN16" s="64" cm="1">
        <f t="array" ref="AN16">IFERROR(INDEX('Offer Statistics'!EB$2:EB$400,MATCH(1,($A16='Offer Statistics'!$DV$2:$DV$400)*($AA$2='Offer Statistics'!$DW$2:$DW$400),0)),"/")</f>
        <v>192</v>
      </c>
      <c r="AO16" s="14"/>
      <c r="AP16" s="15" t="str">
        <f t="shared" si="3"/>
        <v>JS8612</v>
      </c>
    </row>
    <row r="17" spans="1:42" ht="18" customHeight="1">
      <c r="A17" s="4" t="str">
        <f>'Reference Score Calculation'!A314</f>
        <v>JS8636</v>
      </c>
      <c r="B17" s="4" t="str">
        <f>'Reference Score Calculation'!C314</f>
        <v>博文及社會科學學院</v>
      </c>
      <c r="C17" s="4" t="str">
        <f>'Reference Score Calculation'!D314</f>
        <v>創意藝術與文化榮譽文學士 (音樂)</v>
      </c>
      <c r="D17" s="4" t="str">
        <f>'Reference Score Calculation'!R314</f>
        <v>BA(CAC)-MU</v>
      </c>
      <c r="E17" s="392" t="str">
        <f>'Reference Score Calculation'!AB314</f>
        <v>Best 5</v>
      </c>
      <c r="F17" s="419" t="str">
        <f>'Reference Score Calculation'!E314</f>
        <v>Best 5</v>
      </c>
      <c r="G17" s="44">
        <f>'Reference Score Calculation'!I314</f>
        <v>18</v>
      </c>
      <c r="H17" s="45">
        <f>計分版!J337</f>
        <v>3.9500000000000006E-9</v>
      </c>
      <c r="I17" s="25">
        <f t="shared" si="0"/>
        <v>-17.999999996050001</v>
      </c>
      <c r="J17" s="26">
        <f t="shared" si="1"/>
        <v>-4556962024.3164549</v>
      </c>
      <c r="K17" s="36">
        <f>'Reference Score Calculation'!T314</f>
        <v>10</v>
      </c>
      <c r="L17" s="86">
        <f>入學要求!Z323</f>
        <v>0</v>
      </c>
      <c r="M17" s="514"/>
      <c r="N17" s="279">
        <f>入學要求!L323</f>
        <v>3</v>
      </c>
      <c r="O17" s="279">
        <f>入學要求!M323</f>
        <v>3</v>
      </c>
      <c r="P17" s="279">
        <f>入學要求!N323</f>
        <v>2</v>
      </c>
      <c r="Q17" s="279">
        <f>入學要求!O323</f>
        <v>1</v>
      </c>
      <c r="R17" s="279">
        <f>入學要求!P323</f>
        <v>2</v>
      </c>
      <c r="S17" s="279">
        <f>入學要求!Q323</f>
        <v>2</v>
      </c>
      <c r="T17" s="278">
        <f>入學要求!S323</f>
        <v>0</v>
      </c>
      <c r="U17" s="278">
        <f>入學要求!T323</f>
        <v>0</v>
      </c>
      <c r="V17" s="278">
        <f>入學要求!U323</f>
        <v>0</v>
      </c>
      <c r="W17" s="278">
        <f>入學要求!V323</f>
        <v>0</v>
      </c>
      <c r="X17" s="278">
        <f>入學要求!W323</f>
        <v>0</v>
      </c>
      <c r="Y17" s="278">
        <f>入學要求!X323</f>
        <v>0</v>
      </c>
      <c r="Z17" s="44">
        <f t="shared" si="2"/>
        <v>33.33</v>
      </c>
      <c r="AA17" s="510"/>
      <c r="AB17" s="36" cm="1">
        <f t="array" ref="AB17">IFERROR(INDEX('Offer Statistics'!EK$2:EK$400,MATCH(1,($A17='Offer Statistics'!$DV$2:$DV$400)*($AA$2='Offer Statistics'!$DW$2:$DW$400),0)),"/")</f>
        <v>17</v>
      </c>
      <c r="AC17" s="64" cm="1">
        <f t="array" ref="AC17">IFERROR(INDEX('Offer Statistics'!EF$2:EF$400,MATCH(1,($A17='Offer Statistics'!$DV$2:$DV$400)*($AA$2='Offer Statistics'!$DW$2:$DW$400),0)),"/")</f>
        <v>12</v>
      </c>
      <c r="AD17" s="64" cm="1">
        <f t="array" ref="AD17">IFERROR(INDEX('Offer Statistics'!EG$2:EG$400,MATCH(1,($A17='Offer Statistics'!$DV$2:$DV$400)*($AA$2='Offer Statistics'!$DW$2:$DW$400),0)),"/")</f>
        <v>5</v>
      </c>
      <c r="AE17" s="64" cm="1">
        <f t="array" ref="AE17">IFERROR(INDEX('Offer Statistics'!EH$2:EH$400,MATCH(1,($A17='Offer Statistics'!$DV$2:$DV$400)*($AA$2='Offer Statistics'!$DW$2:$DW$400),0)),"/")</f>
        <v>0</v>
      </c>
      <c r="AF17" s="64" cm="1">
        <f t="array" ref="AF17">IFERROR(INDEX('Offer Statistics'!EI$2:EI$400,MATCH(1,($A17='Offer Statistics'!$DV$2:$DV$400)*($AA$2='Offer Statistics'!$DW$2:$DW$400),0)),"/")</f>
        <v>0</v>
      </c>
      <c r="AG17" s="64" cm="1">
        <f t="array" ref="AG17">IFERROR(INDEX('Offer Statistics'!EJ$2:EJ$400,MATCH(1,($A17='Offer Statistics'!$DV$2:$DV$400)*($AA$2='Offer Statistics'!$DW$2:$DW$400),0)),"/")</f>
        <v>0</v>
      </c>
      <c r="AH17" s="511"/>
      <c r="AI17" s="36" cm="1">
        <f t="array" ref="AI17">IFERROR(INDEX('Offer Statistics'!EC$2:EC$400,MATCH(1,($A17='Offer Statistics'!$DV$2:$DV$400)*($AA$2='Offer Statistics'!$DW$2:$DW$400),0)),"/")</f>
        <v>2036</v>
      </c>
      <c r="AJ17" s="64" cm="1">
        <f t="array" ref="AJ17">IFERROR(INDEX('Offer Statistics'!DX$2:DX$400,MATCH(1,($A17='Offer Statistics'!$DV$2:$DV$400)*($AA$2='Offer Statistics'!$DW$2:$DW$400),0)),"/")</f>
        <v>400</v>
      </c>
      <c r="AK17" s="64" cm="1">
        <f t="array" ref="AK17">IFERROR(INDEX('Offer Statistics'!DY$2:DY$400,MATCH(1,($A17='Offer Statistics'!$DV$2:$DV$400)*($AA$2='Offer Statistics'!$DW$2:$DW$400),0)),"/")</f>
        <v>449</v>
      </c>
      <c r="AL17" s="64" cm="1">
        <f t="array" ref="AL17">IFERROR(INDEX('Offer Statistics'!DZ$2:DZ$400,MATCH(1,($A17='Offer Statistics'!$DV$2:$DV$400)*($AA$2='Offer Statistics'!$DW$2:$DW$400),0)),"/")</f>
        <v>475</v>
      </c>
      <c r="AM17" s="64" cm="1">
        <f t="array" ref="AM17">IFERROR(INDEX('Offer Statistics'!EA$2:EA$400,MATCH(1,($A17='Offer Statistics'!$DV$2:$DV$400)*($AA$2='Offer Statistics'!$DW$2:$DW$400),0)),"/")</f>
        <v>430</v>
      </c>
      <c r="AN17" s="64" cm="1">
        <f t="array" ref="AN17">IFERROR(INDEX('Offer Statistics'!EB$2:EB$400,MATCH(1,($A17='Offer Statistics'!$DV$2:$DV$400)*($AA$2='Offer Statistics'!$DW$2:$DW$400),0)),"/")</f>
        <v>282</v>
      </c>
      <c r="AO17" s="14"/>
      <c r="AP17" s="15" t="str">
        <f t="shared" si="3"/>
        <v>JS8636</v>
      </c>
    </row>
    <row r="18" spans="1:42" ht="18" customHeight="1">
      <c r="A18" s="4" t="str">
        <f>'Reference Score Calculation'!A315</f>
        <v>JS8648</v>
      </c>
      <c r="B18" s="4" t="str">
        <f>'Reference Score Calculation'!C315</f>
        <v>博文及社會科學學院</v>
      </c>
      <c r="C18" s="4" t="str">
        <f>'Reference Score Calculation'!D315</f>
        <v>創意藝術與文化榮譽文學士 (視覺藝術)</v>
      </c>
      <c r="D18" s="4" t="str">
        <f>'Reference Score Calculation'!R315</f>
        <v>BA(CAC)-VA</v>
      </c>
      <c r="E18" s="392" t="str">
        <f>'Reference Score Calculation'!AB315</f>
        <v>Best 5</v>
      </c>
      <c r="F18" s="419" t="str">
        <f>'Reference Score Calculation'!E315</f>
        <v>Best 5</v>
      </c>
      <c r="G18" s="44">
        <f>'Reference Score Calculation'!I315</f>
        <v>19</v>
      </c>
      <c r="H18" s="45">
        <f>計分版!J338</f>
        <v>3.9500000000000006E-9</v>
      </c>
      <c r="I18" s="25">
        <f t="shared" si="0"/>
        <v>-18.999999996050001</v>
      </c>
      <c r="J18" s="26">
        <f t="shared" si="1"/>
        <v>-4810126581.2784805</v>
      </c>
      <c r="K18" s="36">
        <f>'Reference Score Calculation'!T315</f>
        <v>10</v>
      </c>
      <c r="L18" s="86">
        <f>入學要求!Z324</f>
        <v>0</v>
      </c>
      <c r="M18" s="514"/>
      <c r="N18" s="279">
        <f>入學要求!L324</f>
        <v>3</v>
      </c>
      <c r="O18" s="279">
        <f>入學要求!M324</f>
        <v>3</v>
      </c>
      <c r="P18" s="279">
        <f>入學要求!N324</f>
        <v>2</v>
      </c>
      <c r="Q18" s="279">
        <f>入學要求!O324</f>
        <v>1</v>
      </c>
      <c r="R18" s="279">
        <f>入學要求!P324</f>
        <v>2</v>
      </c>
      <c r="S18" s="279">
        <f>入學要求!Q324</f>
        <v>2</v>
      </c>
      <c r="T18" s="278">
        <f>入學要求!S324</f>
        <v>0</v>
      </c>
      <c r="U18" s="278">
        <f>入學要求!T324</f>
        <v>0</v>
      </c>
      <c r="V18" s="278">
        <f>入學要求!U324</f>
        <v>0</v>
      </c>
      <c r="W18" s="278">
        <f>入學要求!V324</f>
        <v>0</v>
      </c>
      <c r="X18" s="278">
        <f>入學要求!W324</f>
        <v>0</v>
      </c>
      <c r="Y18" s="278">
        <f>入學要求!X324</f>
        <v>0</v>
      </c>
      <c r="Z18" s="44">
        <f t="shared" si="2"/>
        <v>21.38</v>
      </c>
      <c r="AA18" s="510"/>
      <c r="AB18" s="36" cm="1">
        <f t="array" ref="AB18">IFERROR(INDEX('Offer Statistics'!EK$2:EK$400,MATCH(1,($A18='Offer Statistics'!$DV$2:$DV$400)*($AA$2='Offer Statistics'!$DW$2:$DW$400),0)),"/")</f>
        <v>31</v>
      </c>
      <c r="AC18" s="64" cm="1">
        <f t="array" ref="AC18">IFERROR(INDEX('Offer Statistics'!EF$2:EF$400,MATCH(1,($A18='Offer Statistics'!$DV$2:$DV$400)*($AA$2='Offer Statistics'!$DW$2:$DW$400),0)),"/")</f>
        <v>24</v>
      </c>
      <c r="AD18" s="64" cm="1">
        <f t="array" ref="AD18">IFERROR(INDEX('Offer Statistics'!EG$2:EG$400,MATCH(1,($A18='Offer Statistics'!$DV$2:$DV$400)*($AA$2='Offer Statistics'!$DW$2:$DW$400),0)),"/")</f>
        <v>7</v>
      </c>
      <c r="AE18" s="64" cm="1">
        <f t="array" ref="AE18">IFERROR(INDEX('Offer Statistics'!EH$2:EH$400,MATCH(1,($A18='Offer Statistics'!$DV$2:$DV$400)*($AA$2='Offer Statistics'!$DW$2:$DW$400),0)),"/")</f>
        <v>0</v>
      </c>
      <c r="AF18" s="64" cm="1">
        <f t="array" ref="AF18">IFERROR(INDEX('Offer Statistics'!EI$2:EI$400,MATCH(1,($A18='Offer Statistics'!$DV$2:$DV$400)*($AA$2='Offer Statistics'!$DW$2:$DW$400),0)),"/")</f>
        <v>0</v>
      </c>
      <c r="AG18" s="64" cm="1">
        <f t="array" ref="AG18">IFERROR(INDEX('Offer Statistics'!EJ$2:EJ$400,MATCH(1,($A18='Offer Statistics'!$DV$2:$DV$400)*($AA$2='Offer Statistics'!$DW$2:$DW$400),0)),"/")</f>
        <v>0</v>
      </c>
      <c r="AH18" s="511"/>
      <c r="AI18" s="36" cm="1">
        <f t="array" ref="AI18">IFERROR(INDEX('Offer Statistics'!EC$2:EC$400,MATCH(1,($A18='Offer Statistics'!$DV$2:$DV$400)*($AA$2='Offer Statistics'!$DW$2:$DW$400),0)),"/")</f>
        <v>4491</v>
      </c>
      <c r="AJ18" s="64" cm="1">
        <f t="array" ref="AJ18">IFERROR(INDEX('Offer Statistics'!DX$2:DX$400,MATCH(1,($A18='Offer Statistics'!$DV$2:$DV$400)*($AA$2='Offer Statistics'!$DW$2:$DW$400),0)),"/")</f>
        <v>513</v>
      </c>
      <c r="AK18" s="64" cm="1">
        <f t="array" ref="AK18">IFERROR(INDEX('Offer Statistics'!DY$2:DY$400,MATCH(1,($A18='Offer Statistics'!$DV$2:$DV$400)*($AA$2='Offer Statistics'!$DW$2:$DW$400),0)),"/")</f>
        <v>752</v>
      </c>
      <c r="AL18" s="64" cm="1">
        <f t="array" ref="AL18">IFERROR(INDEX('Offer Statistics'!DZ$2:DZ$400,MATCH(1,($A18='Offer Statistics'!$DV$2:$DV$400)*($AA$2='Offer Statistics'!$DW$2:$DW$400),0)),"/")</f>
        <v>994</v>
      </c>
      <c r="AM18" s="64" cm="1">
        <f t="array" ref="AM18">IFERROR(INDEX('Offer Statistics'!EA$2:EA$400,MATCH(1,($A18='Offer Statistics'!$DV$2:$DV$400)*($AA$2='Offer Statistics'!$DW$2:$DW$400),0)),"/")</f>
        <v>1214</v>
      </c>
      <c r="AN18" s="64" cm="1">
        <f t="array" ref="AN18">IFERROR(INDEX('Offer Statistics'!EB$2:EB$400,MATCH(1,($A18='Offer Statistics'!$DV$2:$DV$400)*($AA$2='Offer Statistics'!$DW$2:$DW$400),0)),"/")</f>
        <v>1018</v>
      </c>
      <c r="AO18" s="14"/>
      <c r="AP18" s="15" t="str">
        <f t="shared" si="3"/>
        <v>JS8648</v>
      </c>
    </row>
    <row r="19" spans="1:42" ht="18" customHeight="1">
      <c r="A19" s="4" t="str">
        <f>'Reference Score Calculation'!A316</f>
        <v>JS8651</v>
      </c>
      <c r="B19" s="4" t="str">
        <f>'Reference Score Calculation'!C316</f>
        <v>教育及人類發展學院</v>
      </c>
      <c r="C19" s="4" t="str">
        <f>'Reference Score Calculation'!D316</f>
        <v>心理學榮譽社會科學學士</v>
      </c>
      <c r="D19" s="4" t="str">
        <f>'Reference Score Calculation'!R316</f>
        <v>BSocSc(Psy)</v>
      </c>
      <c r="E19" s="392" t="str">
        <f>'Reference Score Calculation'!AB316</f>
        <v>Best 5</v>
      </c>
      <c r="F19" s="419" t="str">
        <f>'Reference Score Calculation'!E316</f>
        <v>Best 5</v>
      </c>
      <c r="G19" s="44">
        <f>'Reference Score Calculation'!I316</f>
        <v>21</v>
      </c>
      <c r="H19" s="45">
        <f>計分版!J339</f>
        <v>3.9500000000000006E-9</v>
      </c>
      <c r="I19" s="25">
        <f t="shared" si="0"/>
        <v>-20.999999996050001</v>
      </c>
      <c r="J19" s="26">
        <f t="shared" si="1"/>
        <v>-5316455695.2025309</v>
      </c>
      <c r="K19" s="36">
        <f>'Reference Score Calculation'!T316</f>
        <v>20</v>
      </c>
      <c r="L19" s="86">
        <f>入學要求!Z325</f>
        <v>0</v>
      </c>
      <c r="M19" s="514"/>
      <c r="N19" s="279">
        <f>入學要求!L325</f>
        <v>3</v>
      </c>
      <c r="O19" s="279">
        <f>入學要求!M325</f>
        <v>3</v>
      </c>
      <c r="P19" s="279">
        <f>入學要求!N325</f>
        <v>2</v>
      </c>
      <c r="Q19" s="279">
        <f>入學要求!O325</f>
        <v>1</v>
      </c>
      <c r="R19" s="279">
        <f>入學要求!P325</f>
        <v>2</v>
      </c>
      <c r="S19" s="279">
        <f>入學要求!Q325</f>
        <v>2</v>
      </c>
      <c r="T19" s="278">
        <f>入學要求!S325</f>
        <v>0</v>
      </c>
      <c r="U19" s="278">
        <f>入學要求!T325</f>
        <v>0</v>
      </c>
      <c r="V19" s="278">
        <f>入學要求!U325</f>
        <v>0</v>
      </c>
      <c r="W19" s="278">
        <f>入學要求!V325</f>
        <v>0</v>
      </c>
      <c r="X19" s="278">
        <f>入學要求!W325</f>
        <v>0</v>
      </c>
      <c r="Y19" s="278">
        <f>入學要求!X325</f>
        <v>0</v>
      </c>
      <c r="Z19" s="44">
        <f t="shared" si="2"/>
        <v>13.59</v>
      </c>
      <c r="AA19" s="510"/>
      <c r="AB19" s="36" cm="1">
        <f t="array" ref="AB19">IFERROR(INDEX('Offer Statistics'!EK$2:EK$400,MATCH(1,($A19='Offer Statistics'!$DV$2:$DV$400)*($AA$2='Offer Statistics'!$DW$2:$DW$400),0)),"/")</f>
        <v>17</v>
      </c>
      <c r="AC19" s="64" cm="1">
        <f t="array" ref="AC19">IFERROR(INDEX('Offer Statistics'!EF$2:EF$400,MATCH(1,($A19='Offer Statistics'!$DV$2:$DV$400)*($AA$2='Offer Statistics'!$DW$2:$DW$400),0)),"/")</f>
        <v>17</v>
      </c>
      <c r="AD19" s="64" cm="1">
        <f t="array" ref="AD19">IFERROR(INDEX('Offer Statistics'!EG$2:EG$400,MATCH(1,($A19='Offer Statistics'!$DV$2:$DV$400)*($AA$2='Offer Statistics'!$DW$2:$DW$400),0)),"/")</f>
        <v>0</v>
      </c>
      <c r="AE19" s="64" cm="1">
        <f t="array" ref="AE19">IFERROR(INDEX('Offer Statistics'!EH$2:EH$400,MATCH(1,($A19='Offer Statistics'!$DV$2:$DV$400)*($AA$2='Offer Statistics'!$DW$2:$DW$400),0)),"/")</f>
        <v>0</v>
      </c>
      <c r="AF19" s="64" cm="1">
        <f t="array" ref="AF19">IFERROR(INDEX('Offer Statistics'!EI$2:EI$400,MATCH(1,($A19='Offer Statistics'!$DV$2:$DV$400)*($AA$2='Offer Statistics'!$DW$2:$DW$400),0)),"/")</f>
        <v>0</v>
      </c>
      <c r="AG19" s="64" cm="1">
        <f t="array" ref="AG19">IFERROR(INDEX('Offer Statistics'!EJ$2:EJ$400,MATCH(1,($A19='Offer Statistics'!$DV$2:$DV$400)*($AA$2='Offer Statistics'!$DW$2:$DW$400),0)),"/")</f>
        <v>0</v>
      </c>
      <c r="AH19" s="511"/>
      <c r="AI19" s="36" cm="1">
        <f t="array" ref="AI19">IFERROR(INDEX('Offer Statistics'!EC$2:EC$400,MATCH(1,($A19='Offer Statistics'!$DV$2:$DV$400)*($AA$2='Offer Statistics'!$DW$2:$DW$400),0)),"/")</f>
        <v>1619</v>
      </c>
      <c r="AJ19" s="64" cm="1">
        <f t="array" ref="AJ19">IFERROR(INDEX('Offer Statistics'!DX$2:DX$400,MATCH(1,($A19='Offer Statistics'!$DV$2:$DV$400)*($AA$2='Offer Statistics'!$DW$2:$DW$400),0)),"/")</f>
        <v>231</v>
      </c>
      <c r="AK19" s="64" cm="1">
        <f t="array" ref="AK19">IFERROR(INDEX('Offer Statistics'!DY$2:DY$400,MATCH(1,($A19='Offer Statistics'!$DV$2:$DV$400)*($AA$2='Offer Statistics'!$DW$2:$DW$400),0)),"/")</f>
        <v>300</v>
      </c>
      <c r="AL19" s="64" cm="1">
        <f t="array" ref="AL19">IFERROR(INDEX('Offer Statistics'!DZ$2:DZ$400,MATCH(1,($A19='Offer Statistics'!$DV$2:$DV$400)*($AA$2='Offer Statistics'!$DW$2:$DW$400),0)),"/")</f>
        <v>354</v>
      </c>
      <c r="AM19" s="64" cm="1">
        <f t="array" ref="AM19">IFERROR(INDEX('Offer Statistics'!EA$2:EA$400,MATCH(1,($A19='Offer Statistics'!$DV$2:$DV$400)*($AA$2='Offer Statistics'!$DW$2:$DW$400),0)),"/")</f>
        <v>415</v>
      </c>
      <c r="AN19" s="64" cm="1">
        <f t="array" ref="AN19">IFERROR(INDEX('Offer Statistics'!EB$2:EB$400,MATCH(1,($A19='Offer Statistics'!$DV$2:$DV$400)*($AA$2='Offer Statistics'!$DW$2:$DW$400),0)),"/")</f>
        <v>319</v>
      </c>
      <c r="AO19" s="14"/>
      <c r="AP19" s="15" t="str">
        <f t="shared" si="3"/>
        <v>JS8651</v>
      </c>
    </row>
    <row r="20" spans="1:42" ht="18" customHeight="1">
      <c r="A20" s="4" t="str">
        <f>'Reference Score Calculation'!A317</f>
        <v>JS8663</v>
      </c>
      <c r="B20" s="4" t="str">
        <f>'Reference Score Calculation'!C317</f>
        <v>教育及人類發展學院</v>
      </c>
      <c r="C20" s="4" t="str">
        <f>'Reference Score Calculation'!D317</f>
        <v>特殊教育榮譽文學士</v>
      </c>
      <c r="D20" s="4" t="str">
        <f>'Reference Score Calculation'!R317</f>
        <v>BA(SE)</v>
      </c>
      <c r="E20" s="392" t="str">
        <f>'Reference Score Calculation'!AB317</f>
        <v>Best 5</v>
      </c>
      <c r="F20" s="419" t="str">
        <f>'Reference Score Calculation'!E317</f>
        <v>Best 5</v>
      </c>
      <c r="G20" s="44">
        <f>'Reference Score Calculation'!I317</f>
        <v>19</v>
      </c>
      <c r="H20" s="45">
        <f>計分版!J340</f>
        <v>3.9500000000000006E-9</v>
      </c>
      <c r="I20" s="25">
        <f t="shared" si="0"/>
        <v>-18.999999996050001</v>
      </c>
      <c r="J20" s="26">
        <f t="shared" si="1"/>
        <v>-4810126581.2784805</v>
      </c>
      <c r="K20" s="36">
        <f>'Reference Score Calculation'!T317</f>
        <v>20</v>
      </c>
      <c r="L20" s="86">
        <f>入學要求!Z326</f>
        <v>0</v>
      </c>
      <c r="M20" s="514"/>
      <c r="N20" s="279">
        <f>入學要求!L326</f>
        <v>3</v>
      </c>
      <c r="O20" s="279">
        <f>入學要求!M326</f>
        <v>3</v>
      </c>
      <c r="P20" s="279">
        <f>入學要求!N326</f>
        <v>2</v>
      </c>
      <c r="Q20" s="279">
        <f>入學要求!O326</f>
        <v>1</v>
      </c>
      <c r="R20" s="279">
        <f>入學要求!P326</f>
        <v>2</v>
      </c>
      <c r="S20" s="279">
        <f>入學要求!Q326</f>
        <v>2</v>
      </c>
      <c r="T20" s="278">
        <f>入學要求!S326</f>
        <v>0</v>
      </c>
      <c r="U20" s="278">
        <f>入學要求!T326</f>
        <v>0</v>
      </c>
      <c r="V20" s="278">
        <f>入學要求!U326</f>
        <v>0</v>
      </c>
      <c r="W20" s="278">
        <f>入學要求!V326</f>
        <v>0</v>
      </c>
      <c r="X20" s="278">
        <f>入學要求!W326</f>
        <v>0</v>
      </c>
      <c r="Y20" s="278">
        <f>入學要求!X326</f>
        <v>0</v>
      </c>
      <c r="Z20" s="44">
        <f t="shared" si="2"/>
        <v>9.14</v>
      </c>
      <c r="AA20" s="510"/>
      <c r="AB20" s="36" cm="1">
        <f t="array" ref="AB20">IFERROR(INDEX('Offer Statistics'!EK$2:EK$400,MATCH(1,($A20='Offer Statistics'!$DV$2:$DV$400)*($AA$2='Offer Statistics'!$DW$2:$DW$400),0)),"/")</f>
        <v>22</v>
      </c>
      <c r="AC20" s="64" cm="1">
        <f t="array" ref="AC20">IFERROR(INDEX('Offer Statistics'!EF$2:EF$400,MATCH(1,($A20='Offer Statistics'!$DV$2:$DV$400)*($AA$2='Offer Statistics'!$DW$2:$DW$400),0)),"/")</f>
        <v>22</v>
      </c>
      <c r="AD20" s="64" cm="1">
        <f t="array" ref="AD20">IFERROR(INDEX('Offer Statistics'!EG$2:EG$400,MATCH(1,($A20='Offer Statistics'!$DV$2:$DV$400)*($AA$2='Offer Statistics'!$DW$2:$DW$400),0)),"/")</f>
        <v>0</v>
      </c>
      <c r="AE20" s="64" cm="1">
        <f t="array" ref="AE20">IFERROR(INDEX('Offer Statistics'!EH$2:EH$400,MATCH(1,($A20='Offer Statistics'!$DV$2:$DV$400)*($AA$2='Offer Statistics'!$DW$2:$DW$400),0)),"/")</f>
        <v>0</v>
      </c>
      <c r="AF20" s="64" cm="1">
        <f t="array" ref="AF20">IFERROR(INDEX('Offer Statistics'!EI$2:EI$400,MATCH(1,($A20='Offer Statistics'!$DV$2:$DV$400)*($AA$2='Offer Statistics'!$DW$2:$DW$400),0)),"/")</f>
        <v>0</v>
      </c>
      <c r="AG20" s="64" cm="1">
        <f t="array" ref="AG20">IFERROR(INDEX('Offer Statistics'!EJ$2:EJ$400,MATCH(1,($A20='Offer Statistics'!$DV$2:$DV$400)*($AA$2='Offer Statistics'!$DW$2:$DW$400),0)),"/")</f>
        <v>0</v>
      </c>
      <c r="AH20" s="511"/>
      <c r="AI20" s="36" cm="1">
        <f t="array" ref="AI20">IFERROR(INDEX('Offer Statistics'!EC$2:EC$400,MATCH(1,($A20='Offer Statistics'!$DV$2:$DV$400)*($AA$2='Offer Statistics'!$DW$2:$DW$400),0)),"/")</f>
        <v>1188</v>
      </c>
      <c r="AJ20" s="64" cm="1">
        <f t="array" ref="AJ20">IFERROR(INDEX('Offer Statistics'!DX$2:DX$400,MATCH(1,($A20='Offer Statistics'!$DV$2:$DV$400)*($AA$2='Offer Statistics'!$DW$2:$DW$400),0)),"/")</f>
        <v>201</v>
      </c>
      <c r="AK20" s="64" cm="1">
        <f t="array" ref="AK20">IFERROR(INDEX('Offer Statistics'!DY$2:DY$400,MATCH(1,($A20='Offer Statistics'!$DV$2:$DV$400)*($AA$2='Offer Statistics'!$DW$2:$DW$400),0)),"/")</f>
        <v>225</v>
      </c>
      <c r="AL20" s="64" cm="1">
        <f t="array" ref="AL20">IFERROR(INDEX('Offer Statistics'!DZ$2:DZ$400,MATCH(1,($A20='Offer Statistics'!$DV$2:$DV$400)*($AA$2='Offer Statistics'!$DW$2:$DW$400),0)),"/")</f>
        <v>257</v>
      </c>
      <c r="AM20" s="64" cm="1">
        <f t="array" ref="AM20">IFERROR(INDEX('Offer Statistics'!EA$2:EA$400,MATCH(1,($A20='Offer Statistics'!$DV$2:$DV$400)*($AA$2='Offer Statistics'!$DW$2:$DW$400),0)),"/")</f>
        <v>269</v>
      </c>
      <c r="AN20" s="64" cm="1">
        <f t="array" ref="AN20">IFERROR(INDEX('Offer Statistics'!EB$2:EB$400,MATCH(1,($A20='Offer Statistics'!$DV$2:$DV$400)*($AA$2='Offer Statistics'!$DW$2:$DW$400),0)),"/")</f>
        <v>236</v>
      </c>
      <c r="AO20" s="14"/>
      <c r="AP20" s="15" t="str">
        <f t="shared" si="3"/>
        <v>JS8663</v>
      </c>
    </row>
    <row r="21" spans="1:42" ht="18" customHeight="1">
      <c r="A21" s="4" t="str">
        <f>'Reference Score Calculation'!A318</f>
        <v>JS8675</v>
      </c>
      <c r="B21" s="4" t="str">
        <f>'Reference Score Calculation'!C318</f>
        <v>教育及人類發展學院</v>
      </c>
      <c r="C21" s="4" t="str">
        <f>'Reference Score Calculation'!D318</f>
        <v>英語研究及數碼傳訊榮譽文學士</v>
      </c>
      <c r="D21" s="4" t="str">
        <f>'Reference Score Calculation'!R318</f>
        <v>BA(ESDC)</v>
      </c>
      <c r="E21" s="392" t="str">
        <f>'Reference Score Calculation'!AB318</f>
        <v>Best 5</v>
      </c>
      <c r="F21" s="419" t="str">
        <f>'Reference Score Calculation'!E318</f>
        <v>24年新科目</v>
      </c>
      <c r="G21" s="44" t="str">
        <f>'Reference Score Calculation'!I318</f>
        <v>/</v>
      </c>
      <c r="H21" s="45">
        <f>計分版!J341</f>
        <v>3.9500000000000006E-9</v>
      </c>
      <c r="I21" s="7" t="str">
        <f t="shared" si="0"/>
        <v>/</v>
      </c>
      <c r="J21" s="8" t="str">
        <f t="shared" si="1"/>
        <v>/</v>
      </c>
      <c r="K21" s="36">
        <f>'Reference Score Calculation'!T318</f>
        <v>17</v>
      </c>
      <c r="L21" s="86">
        <f>入學要求!Z327</f>
        <v>0</v>
      </c>
      <c r="M21" s="514"/>
      <c r="N21" s="279">
        <f>入學要求!L327</f>
        <v>3</v>
      </c>
      <c r="O21" s="279">
        <f>入學要求!M327</f>
        <v>3</v>
      </c>
      <c r="P21" s="279">
        <f>入學要求!N327</f>
        <v>2</v>
      </c>
      <c r="Q21" s="279">
        <f>入學要求!O327</f>
        <v>1</v>
      </c>
      <c r="R21" s="279">
        <f>入學要求!P327</f>
        <v>2</v>
      </c>
      <c r="S21" s="279">
        <f>入學要求!Q327</f>
        <v>2</v>
      </c>
      <c r="T21" s="278">
        <f>入學要求!S327</f>
        <v>0</v>
      </c>
      <c r="U21" s="278">
        <f>入學要求!T327</f>
        <v>0</v>
      </c>
      <c r="V21" s="278">
        <f>入學要求!U327</f>
        <v>0</v>
      </c>
      <c r="W21" s="278">
        <f>入學要求!V327</f>
        <v>0</v>
      </c>
      <c r="X21" s="278">
        <f>入學要求!W327</f>
        <v>0</v>
      </c>
      <c r="Y21" s="278">
        <f>入學要求!X327</f>
        <v>0</v>
      </c>
      <c r="Z21" s="44" t="str">
        <f t="shared" si="2"/>
        <v>/</v>
      </c>
      <c r="AA21" s="510"/>
      <c r="AB21" s="36" t="str" cm="1">
        <f t="array" ref="AB21">IFERROR(INDEX('Offer Statistics'!EK$2:EK$400,MATCH(1,($A21='Offer Statistics'!$DV$2:$DV$400)*($AA$2='Offer Statistics'!$DW$2:$DW$400),0)),"/")</f>
        <v>/</v>
      </c>
      <c r="AC21" s="64" t="str" cm="1">
        <f t="array" ref="AC21">IFERROR(INDEX('Offer Statistics'!EF$2:EF$400,MATCH(1,($A21='Offer Statistics'!$DV$2:$DV$400)*($AA$2='Offer Statistics'!$DW$2:$DW$400),0)),"/")</f>
        <v>/</v>
      </c>
      <c r="AD21" s="64" t="str" cm="1">
        <f t="array" ref="AD21">IFERROR(INDEX('Offer Statistics'!EG$2:EG$400,MATCH(1,($A21='Offer Statistics'!$DV$2:$DV$400)*($AA$2='Offer Statistics'!$DW$2:$DW$400),0)),"/")</f>
        <v>/</v>
      </c>
      <c r="AE21" s="64" t="str" cm="1">
        <f t="array" ref="AE21">IFERROR(INDEX('Offer Statistics'!EH$2:EH$400,MATCH(1,($A21='Offer Statistics'!$DV$2:$DV$400)*($AA$2='Offer Statistics'!$DW$2:$DW$400),0)),"/")</f>
        <v>/</v>
      </c>
      <c r="AF21" s="64" t="str" cm="1">
        <f t="array" ref="AF21">IFERROR(INDEX('Offer Statistics'!EI$2:EI$400,MATCH(1,($A21='Offer Statistics'!$DV$2:$DV$400)*($AA$2='Offer Statistics'!$DW$2:$DW$400),0)),"/")</f>
        <v>/</v>
      </c>
      <c r="AG21" s="64" t="str" cm="1">
        <f t="array" ref="AG21">IFERROR(INDEX('Offer Statistics'!EJ$2:EJ$400,MATCH(1,($A21='Offer Statistics'!$DV$2:$DV$400)*($AA$2='Offer Statistics'!$DW$2:$DW$400),0)),"/")</f>
        <v>/</v>
      </c>
      <c r="AH21" s="511"/>
      <c r="AI21" s="36" t="str" cm="1">
        <f t="array" ref="AI21">IFERROR(INDEX('Offer Statistics'!EC$2:EC$400,MATCH(1,($A21='Offer Statistics'!$DV$2:$DV$400)*($AA$2='Offer Statistics'!$DW$2:$DW$400),0)),"/")</f>
        <v>/</v>
      </c>
      <c r="AJ21" s="64" t="str" cm="1">
        <f t="array" ref="AJ21">IFERROR(INDEX('Offer Statistics'!DX$2:DX$400,MATCH(1,($A21='Offer Statistics'!$DV$2:$DV$400)*($AA$2='Offer Statistics'!$DW$2:$DW$400),0)),"/")</f>
        <v>/</v>
      </c>
      <c r="AK21" s="64" t="str" cm="1">
        <f t="array" ref="AK21">IFERROR(INDEX('Offer Statistics'!DY$2:DY$400,MATCH(1,($A21='Offer Statistics'!$DV$2:$DV$400)*($AA$2='Offer Statistics'!$DW$2:$DW$400),0)),"/")</f>
        <v>/</v>
      </c>
      <c r="AL21" s="64" t="str" cm="1">
        <f t="array" ref="AL21">IFERROR(INDEX('Offer Statistics'!DZ$2:DZ$400,MATCH(1,($A21='Offer Statistics'!$DV$2:$DV$400)*($AA$2='Offer Statistics'!$DW$2:$DW$400),0)),"/")</f>
        <v>/</v>
      </c>
      <c r="AM21" s="64" t="str" cm="1">
        <f t="array" ref="AM21">IFERROR(INDEX('Offer Statistics'!EA$2:EA$400,MATCH(1,($A21='Offer Statistics'!$DV$2:$DV$400)*($AA$2='Offer Statistics'!$DW$2:$DW$400),0)),"/")</f>
        <v>/</v>
      </c>
      <c r="AN21" s="64" t="str" cm="1">
        <f t="array" ref="AN21">IFERROR(INDEX('Offer Statistics'!EB$2:EB$400,MATCH(1,($A21='Offer Statistics'!$DV$2:$DV$400)*($AA$2='Offer Statistics'!$DW$2:$DW$400),0)),"/")</f>
        <v>/</v>
      </c>
      <c r="AO21" s="14"/>
      <c r="AP21" s="15" t="str">
        <f t="shared" si="3"/>
        <v>JS8675</v>
      </c>
    </row>
    <row r="22" spans="1:42" ht="18" customHeight="1">
      <c r="A22" s="4" t="str">
        <f>'Reference Score Calculation'!A319</f>
        <v>JS8687</v>
      </c>
      <c r="B22" s="4" t="str">
        <f>'Reference Score Calculation'!C319</f>
        <v>教育及人類發展學院</v>
      </c>
      <c r="C22" s="4" t="str">
        <f>'Reference Score Calculation'!D319</f>
        <v>文化傳承教育與藝術管理榮譽文學士</v>
      </c>
      <c r="D22" s="4" t="str">
        <f>'Reference Score Calculation'!R319</f>
        <v>BA(HE&amp;AM)</v>
      </c>
      <c r="E22" s="392" t="str">
        <f>'Reference Score Calculation'!AB319</f>
        <v>Best 5</v>
      </c>
      <c r="F22" s="419" t="str">
        <f>'Reference Score Calculation'!E319</f>
        <v>Best 5</v>
      </c>
      <c r="G22" s="44">
        <f>'Reference Score Calculation'!I319</f>
        <v>19</v>
      </c>
      <c r="H22" s="45">
        <f>計分版!J342</f>
        <v>3.9500000000000006E-9</v>
      </c>
      <c r="I22" s="25">
        <f t="shared" si="0"/>
        <v>-18.999999996050001</v>
      </c>
      <c r="J22" s="26">
        <f t="shared" si="1"/>
        <v>-4810126581.2784805</v>
      </c>
      <c r="K22" s="36">
        <f>'Reference Score Calculation'!T319</f>
        <v>22</v>
      </c>
      <c r="L22" s="86">
        <f>入學要求!Z328</f>
        <v>0</v>
      </c>
      <c r="M22" s="514"/>
      <c r="N22" s="279">
        <f>入學要求!L328</f>
        <v>3</v>
      </c>
      <c r="O22" s="279">
        <f>入學要求!M328</f>
        <v>3</v>
      </c>
      <c r="P22" s="279">
        <f>入學要求!N328</f>
        <v>2</v>
      </c>
      <c r="Q22" s="279">
        <f>入學要求!O328</f>
        <v>1</v>
      </c>
      <c r="R22" s="279">
        <f>入學要求!P328</f>
        <v>2</v>
      </c>
      <c r="S22" s="279">
        <f>入學要求!Q328</f>
        <v>2</v>
      </c>
      <c r="T22" s="278">
        <f>入學要求!S328</f>
        <v>0</v>
      </c>
      <c r="U22" s="278">
        <f>入學要求!T328</f>
        <v>0</v>
      </c>
      <c r="V22" s="278">
        <f>入學要求!U328</f>
        <v>0</v>
      </c>
      <c r="W22" s="278">
        <f>入學要求!V328</f>
        <v>0</v>
      </c>
      <c r="X22" s="278">
        <f>入學要求!W328</f>
        <v>0</v>
      </c>
      <c r="Y22" s="278">
        <f>入學要求!X328</f>
        <v>0</v>
      </c>
      <c r="Z22" s="44" t="str">
        <f t="shared" si="2"/>
        <v>/</v>
      </c>
      <c r="AA22" s="510"/>
      <c r="AB22" s="36" t="str" cm="1">
        <f t="array" ref="AB22">IFERROR(INDEX('Offer Statistics'!EK$2:EK$400,MATCH(1,($A22='Offer Statistics'!$DV$2:$DV$400)*($AA$2='Offer Statistics'!$DW$2:$DW$400),0)),"/")</f>
        <v>/</v>
      </c>
      <c r="AC22" s="64" t="str" cm="1">
        <f t="array" ref="AC22">IFERROR(INDEX('Offer Statistics'!EF$2:EF$400,MATCH(1,($A22='Offer Statistics'!$DV$2:$DV$400)*($AA$2='Offer Statistics'!$DW$2:$DW$400),0)),"/")</f>
        <v>/</v>
      </c>
      <c r="AD22" s="64" t="str" cm="1">
        <f t="array" ref="AD22">IFERROR(INDEX('Offer Statistics'!EG$2:EG$400,MATCH(1,($A22='Offer Statistics'!$DV$2:$DV$400)*($AA$2='Offer Statistics'!$DW$2:$DW$400),0)),"/")</f>
        <v>/</v>
      </c>
      <c r="AE22" s="64" t="str" cm="1">
        <f t="array" ref="AE22">IFERROR(INDEX('Offer Statistics'!EH$2:EH$400,MATCH(1,($A22='Offer Statistics'!$DV$2:$DV$400)*($AA$2='Offer Statistics'!$DW$2:$DW$400),0)),"/")</f>
        <v>/</v>
      </c>
      <c r="AF22" s="64" t="str" cm="1">
        <f t="array" ref="AF22">IFERROR(INDEX('Offer Statistics'!EI$2:EI$400,MATCH(1,($A22='Offer Statistics'!$DV$2:$DV$400)*($AA$2='Offer Statistics'!$DW$2:$DW$400),0)),"/")</f>
        <v>/</v>
      </c>
      <c r="AG22" s="64" t="str" cm="1">
        <f t="array" ref="AG22">IFERROR(INDEX('Offer Statistics'!EJ$2:EJ$400,MATCH(1,($A22='Offer Statistics'!$DV$2:$DV$400)*($AA$2='Offer Statistics'!$DW$2:$DW$400),0)),"/")</f>
        <v>/</v>
      </c>
      <c r="AH22" s="511"/>
      <c r="AI22" s="36" t="str" cm="1">
        <f t="array" ref="AI22">IFERROR(INDEX('Offer Statistics'!EC$2:EC$400,MATCH(1,($A22='Offer Statistics'!$DV$2:$DV$400)*($AA$2='Offer Statistics'!$DW$2:$DW$400),0)),"/")</f>
        <v>/</v>
      </c>
      <c r="AJ22" s="64" t="str" cm="1">
        <f t="array" ref="AJ22">IFERROR(INDEX('Offer Statistics'!DX$2:DX$400,MATCH(1,($A22='Offer Statistics'!$DV$2:$DV$400)*($AA$2='Offer Statistics'!$DW$2:$DW$400),0)),"/")</f>
        <v>/</v>
      </c>
      <c r="AK22" s="64" t="str" cm="1">
        <f t="array" ref="AK22">IFERROR(INDEX('Offer Statistics'!DY$2:DY$400,MATCH(1,($A22='Offer Statistics'!$DV$2:$DV$400)*($AA$2='Offer Statistics'!$DW$2:$DW$400),0)),"/")</f>
        <v>/</v>
      </c>
      <c r="AL22" s="64" t="str" cm="1">
        <f t="array" ref="AL22">IFERROR(INDEX('Offer Statistics'!DZ$2:DZ$400,MATCH(1,($A22='Offer Statistics'!$DV$2:$DV$400)*($AA$2='Offer Statistics'!$DW$2:$DW$400),0)),"/")</f>
        <v>/</v>
      </c>
      <c r="AM22" s="64" t="str" cm="1">
        <f t="array" ref="AM22">IFERROR(INDEX('Offer Statistics'!EA$2:EA$400,MATCH(1,($A22='Offer Statistics'!$DV$2:$DV$400)*($AA$2='Offer Statistics'!$DW$2:$DW$400),0)),"/")</f>
        <v>/</v>
      </c>
      <c r="AN22" s="64" t="str" cm="1">
        <f t="array" ref="AN22">IFERROR(INDEX('Offer Statistics'!EB$2:EB$400,MATCH(1,($A22='Offer Statistics'!$DV$2:$DV$400)*($AA$2='Offer Statistics'!$DW$2:$DW$400),0)),"/")</f>
        <v>/</v>
      </c>
      <c r="AO22" s="14"/>
      <c r="AP22" s="15" t="str">
        <f t="shared" si="3"/>
        <v>JS8687</v>
      </c>
    </row>
    <row r="23" spans="1:42" ht="18" customHeight="1">
      <c r="A23" s="4" t="str">
        <f>'Reference Score Calculation'!A320</f>
        <v>JS8702</v>
      </c>
      <c r="B23" s="4" t="str">
        <f>'Reference Score Calculation'!C320</f>
        <v>博文及社會科學學院</v>
      </c>
      <c r="C23" s="4" t="str">
        <f>'Reference Score Calculation'!D320</f>
        <v>綜合環境管理榮譽理學士</v>
      </c>
      <c r="D23" s="4" t="str">
        <f>'Reference Score Calculation'!R320</f>
        <v>BSc(IEM)</v>
      </c>
      <c r="E23" s="392" t="str">
        <f>'Reference Score Calculation'!AB320</f>
        <v>Best 5</v>
      </c>
      <c r="F23" s="419" t="str">
        <f>'Reference Score Calculation'!E320</f>
        <v>Best 5</v>
      </c>
      <c r="G23" s="44">
        <f>'Reference Score Calculation'!I320</f>
        <v>19</v>
      </c>
      <c r="H23" s="45">
        <f>計分版!J343</f>
        <v>3.9500000000000006E-9</v>
      </c>
      <c r="I23" s="25">
        <f t="shared" si="0"/>
        <v>-18.999999996050001</v>
      </c>
      <c r="J23" s="26">
        <f t="shared" si="1"/>
        <v>-4810126581.2784805</v>
      </c>
      <c r="K23" s="36">
        <f>'Reference Score Calculation'!T320</f>
        <v>21</v>
      </c>
      <c r="L23" s="86">
        <f>入學要求!Z329</f>
        <v>0</v>
      </c>
      <c r="M23" s="514"/>
      <c r="N23" s="279">
        <f>入學要求!L329</f>
        <v>3</v>
      </c>
      <c r="O23" s="279">
        <f>入學要求!M329</f>
        <v>3</v>
      </c>
      <c r="P23" s="279">
        <f>入學要求!N329</f>
        <v>2</v>
      </c>
      <c r="Q23" s="279">
        <f>入學要求!O329</f>
        <v>1</v>
      </c>
      <c r="R23" s="279">
        <f>入學要求!P329</f>
        <v>2</v>
      </c>
      <c r="S23" s="279">
        <f>入學要求!Q329</f>
        <v>2</v>
      </c>
      <c r="T23" s="278">
        <f>入學要求!S329</f>
        <v>0</v>
      </c>
      <c r="U23" s="278">
        <f>入學要求!T329</f>
        <v>0</v>
      </c>
      <c r="V23" s="278">
        <f>入學要求!U329</f>
        <v>0</v>
      </c>
      <c r="W23" s="278">
        <f>入學要求!V329</f>
        <v>0</v>
      </c>
      <c r="X23" s="278">
        <f>入學要求!W329</f>
        <v>0</v>
      </c>
      <c r="Y23" s="278">
        <f>入學要求!X329</f>
        <v>0</v>
      </c>
      <c r="Z23" s="44">
        <f t="shared" si="2"/>
        <v>14.27</v>
      </c>
      <c r="AA23" s="510"/>
      <c r="AB23" s="36" cm="1">
        <f t="array" ref="AB23">IFERROR(INDEX('Offer Statistics'!EK$2:EK$400,MATCH(1,($A23='Offer Statistics'!$DV$2:$DV$400)*($AA$2='Offer Statistics'!$DW$2:$DW$400),0)),"/")</f>
        <v>22</v>
      </c>
      <c r="AC23" s="64" cm="1">
        <f t="array" ref="AC23">IFERROR(INDEX('Offer Statistics'!EF$2:EF$400,MATCH(1,($A23='Offer Statistics'!$DV$2:$DV$400)*($AA$2='Offer Statistics'!$DW$2:$DW$400),0)),"/")</f>
        <v>22</v>
      </c>
      <c r="AD23" s="64" cm="1">
        <f t="array" ref="AD23">IFERROR(INDEX('Offer Statistics'!EG$2:EG$400,MATCH(1,($A23='Offer Statistics'!$DV$2:$DV$400)*($AA$2='Offer Statistics'!$DW$2:$DW$400),0)),"/")</f>
        <v>0</v>
      </c>
      <c r="AE23" s="64" cm="1">
        <f t="array" ref="AE23">IFERROR(INDEX('Offer Statistics'!EH$2:EH$400,MATCH(1,($A23='Offer Statistics'!$DV$2:$DV$400)*($AA$2='Offer Statistics'!$DW$2:$DW$400),0)),"/")</f>
        <v>0</v>
      </c>
      <c r="AF23" s="64" cm="1">
        <f t="array" ref="AF23">IFERROR(INDEX('Offer Statistics'!EI$2:EI$400,MATCH(1,($A23='Offer Statistics'!$DV$2:$DV$400)*($AA$2='Offer Statistics'!$DW$2:$DW$400),0)),"/")</f>
        <v>0</v>
      </c>
      <c r="AG23" s="64" cm="1">
        <f t="array" ref="AG23">IFERROR(INDEX('Offer Statistics'!EJ$2:EJ$400,MATCH(1,($A23='Offer Statistics'!$DV$2:$DV$400)*($AA$2='Offer Statistics'!$DW$2:$DW$400),0)),"/")</f>
        <v>0</v>
      </c>
      <c r="AH23" s="511"/>
      <c r="AI23" s="36" cm="1">
        <f t="array" ref="AI23">IFERROR(INDEX('Offer Statistics'!EC$2:EC$400,MATCH(1,($A23='Offer Statistics'!$DV$2:$DV$400)*($AA$2='Offer Statistics'!$DW$2:$DW$400),0)),"/")</f>
        <v>1453</v>
      </c>
      <c r="AJ23" s="64" cm="1">
        <f t="array" ref="AJ23">IFERROR(INDEX('Offer Statistics'!DX$2:DX$400,MATCH(1,($A23='Offer Statistics'!$DV$2:$DV$400)*($AA$2='Offer Statistics'!$DW$2:$DW$400),0)),"/")</f>
        <v>314</v>
      </c>
      <c r="AK23" s="64" cm="1">
        <f t="array" ref="AK23">IFERROR(INDEX('Offer Statistics'!DY$2:DY$400,MATCH(1,($A23='Offer Statistics'!$DV$2:$DV$400)*($AA$2='Offer Statistics'!$DW$2:$DW$400),0)),"/")</f>
        <v>253</v>
      </c>
      <c r="AL23" s="64" cm="1">
        <f t="array" ref="AL23">IFERROR(INDEX('Offer Statistics'!DZ$2:DZ$400,MATCH(1,($A23='Offer Statistics'!$DV$2:$DV$400)*($AA$2='Offer Statistics'!$DW$2:$DW$400),0)),"/")</f>
        <v>253</v>
      </c>
      <c r="AM23" s="64" cm="1">
        <f t="array" ref="AM23">IFERROR(INDEX('Offer Statistics'!EA$2:EA$400,MATCH(1,($A23='Offer Statistics'!$DV$2:$DV$400)*($AA$2='Offer Statistics'!$DW$2:$DW$400),0)),"/")</f>
        <v>339</v>
      </c>
      <c r="AN23" s="64" cm="1">
        <f t="array" ref="AN23">IFERROR(INDEX('Offer Statistics'!EB$2:EB$400,MATCH(1,($A23='Offer Statistics'!$DV$2:$DV$400)*($AA$2='Offer Statistics'!$DW$2:$DW$400),0)),"/")</f>
        <v>294</v>
      </c>
      <c r="AO23" s="14"/>
      <c r="AP23" s="15" t="str">
        <f t="shared" si="3"/>
        <v>JS8702</v>
      </c>
    </row>
    <row r="24" spans="1:42" ht="18" customHeight="1">
      <c r="A24" s="4" t="str">
        <f>'Reference Score Calculation'!A321</f>
        <v>JS8714</v>
      </c>
      <c r="B24" s="4" t="str">
        <f>'Reference Score Calculation'!C321</f>
        <v>博文及社會科學學院</v>
      </c>
      <c r="C24" s="4" t="str">
        <f>'Reference Score Calculation'!D321</f>
        <v>人工智能與教育科技榮譽理學士</v>
      </c>
      <c r="D24" s="4" t="str">
        <f>'Reference Score Calculation'!R321</f>
        <v>BSc(AI&amp;EdTech)</v>
      </c>
      <c r="E24" s="392" t="str">
        <f>'Reference Score Calculation'!AB321</f>
        <v>Best 5</v>
      </c>
      <c r="F24" s="419" t="str">
        <f>'Reference Score Calculation'!E321</f>
        <v>Best 5</v>
      </c>
      <c r="G24" s="44">
        <f>'Reference Score Calculation'!I321</f>
        <v>19</v>
      </c>
      <c r="H24" s="45">
        <f>計分版!J344</f>
        <v>3.9500000000000006E-9</v>
      </c>
      <c r="I24" s="25">
        <f t="shared" si="0"/>
        <v>-18.999999996050001</v>
      </c>
      <c r="J24" s="26">
        <f t="shared" si="1"/>
        <v>-4810126581.2784805</v>
      </c>
      <c r="K24" s="36">
        <f>'Reference Score Calculation'!T321</f>
        <v>30</v>
      </c>
      <c r="L24" s="86">
        <f>入學要求!Z330</f>
        <v>0</v>
      </c>
      <c r="M24" s="514"/>
      <c r="N24" s="279">
        <f>入學要求!L330</f>
        <v>3</v>
      </c>
      <c r="O24" s="279">
        <f>入學要求!M330</f>
        <v>3</v>
      </c>
      <c r="P24" s="279">
        <f>入學要求!N330</f>
        <v>3</v>
      </c>
      <c r="Q24" s="279">
        <f>入學要求!O330</f>
        <v>1</v>
      </c>
      <c r="R24" s="279">
        <f>入學要求!P330</f>
        <v>2</v>
      </c>
      <c r="S24" s="279">
        <f>入學要求!Q330</f>
        <v>2</v>
      </c>
      <c r="T24" s="278">
        <f>入學要求!S330</f>
        <v>0</v>
      </c>
      <c r="U24" s="278">
        <f>入學要求!T330</f>
        <v>0</v>
      </c>
      <c r="V24" s="278">
        <f>入學要求!U330</f>
        <v>0</v>
      </c>
      <c r="W24" s="278">
        <f>入學要求!V330</f>
        <v>0</v>
      </c>
      <c r="X24" s="278">
        <f>入學要求!W330</f>
        <v>0</v>
      </c>
      <c r="Y24" s="278">
        <f>入學要求!X330</f>
        <v>0</v>
      </c>
      <c r="Z24" s="44">
        <f t="shared" ref="Z24:Z28" si="4">IFERROR(ROUND(AJ24/AC24,2),"/")</f>
        <v>23.72</v>
      </c>
      <c r="AA24" s="510"/>
      <c r="AB24" s="36" cm="1">
        <f t="array" ref="AB24">IFERROR(INDEX('Offer Statistics'!EK$2:EK$400,MATCH(1,($A24='Offer Statistics'!$DV$2:$DV$400)*($AA$2='Offer Statistics'!$DW$2:$DW$400),0)),"/")</f>
        <v>21</v>
      </c>
      <c r="AC24" s="64" cm="1">
        <f t="array" ref="AC24">IFERROR(INDEX('Offer Statistics'!EF$2:EF$400,MATCH(1,($A24='Offer Statistics'!$DV$2:$DV$400)*($AA$2='Offer Statistics'!$DW$2:$DW$400),0)),"/")</f>
        <v>18</v>
      </c>
      <c r="AD24" s="64" cm="1">
        <f t="array" ref="AD24">IFERROR(INDEX('Offer Statistics'!EG$2:EG$400,MATCH(1,($A24='Offer Statistics'!$DV$2:$DV$400)*($AA$2='Offer Statistics'!$DW$2:$DW$400),0)),"/")</f>
        <v>3</v>
      </c>
      <c r="AE24" s="64" cm="1">
        <f t="array" ref="AE24">IFERROR(INDEX('Offer Statistics'!EH$2:EH$400,MATCH(1,($A24='Offer Statistics'!$DV$2:$DV$400)*($AA$2='Offer Statistics'!$DW$2:$DW$400),0)),"/")</f>
        <v>0</v>
      </c>
      <c r="AF24" s="64" cm="1">
        <f t="array" ref="AF24">IFERROR(INDEX('Offer Statistics'!EI$2:EI$400,MATCH(1,($A24='Offer Statistics'!$DV$2:$DV$400)*($AA$2='Offer Statistics'!$DW$2:$DW$400),0)),"/")</f>
        <v>0</v>
      </c>
      <c r="AG24" s="64" cm="1">
        <f t="array" ref="AG24">IFERROR(INDEX('Offer Statistics'!EJ$2:EJ$400,MATCH(1,($A24='Offer Statistics'!$DV$2:$DV$400)*($AA$2='Offer Statistics'!$DW$2:$DW$400),0)),"/")</f>
        <v>0</v>
      </c>
      <c r="AH24" s="511"/>
      <c r="AI24" s="36" cm="1">
        <f t="array" ref="AI24">IFERROR(INDEX('Offer Statistics'!EC$2:EC$400,MATCH(1,($A24='Offer Statistics'!$DV$2:$DV$400)*($AA$2='Offer Statistics'!$DW$2:$DW$400),0)),"/")</f>
        <v>1957</v>
      </c>
      <c r="AJ24" s="64" cm="1">
        <f t="array" ref="AJ24">IFERROR(INDEX('Offer Statistics'!DX$2:DX$400,MATCH(1,($A24='Offer Statistics'!$DV$2:$DV$400)*($AA$2='Offer Statistics'!$DW$2:$DW$400),0)),"/")</f>
        <v>427</v>
      </c>
      <c r="AK24" s="64" cm="1">
        <f t="array" ref="AK24">IFERROR(INDEX('Offer Statistics'!DY$2:DY$400,MATCH(1,($A24='Offer Statistics'!$DV$2:$DV$400)*($AA$2='Offer Statistics'!$DW$2:$DW$400),0)),"/")</f>
        <v>369</v>
      </c>
      <c r="AL24" s="64" cm="1">
        <f t="array" ref="AL24">IFERROR(INDEX('Offer Statistics'!DZ$2:DZ$400,MATCH(1,($A24='Offer Statistics'!$DV$2:$DV$400)*($AA$2='Offer Statistics'!$DW$2:$DW$400),0)),"/")</f>
        <v>354</v>
      </c>
      <c r="AM24" s="64" cm="1">
        <f t="array" ref="AM24">IFERROR(INDEX('Offer Statistics'!EA$2:EA$400,MATCH(1,($A24='Offer Statistics'!$DV$2:$DV$400)*($AA$2='Offer Statistics'!$DW$2:$DW$400),0)),"/")</f>
        <v>394</v>
      </c>
      <c r="AN24" s="64" cm="1">
        <f t="array" ref="AN24">IFERROR(INDEX('Offer Statistics'!EB$2:EB$400,MATCH(1,($A24='Offer Statistics'!$DV$2:$DV$400)*($AA$2='Offer Statistics'!$DW$2:$DW$400),0)),"/")</f>
        <v>413</v>
      </c>
      <c r="AO24" s="14"/>
      <c r="AP24" s="15" t="str">
        <f t="shared" si="3"/>
        <v>JS8714</v>
      </c>
    </row>
    <row r="25" spans="1:42" ht="18" customHeight="1">
      <c r="A25" s="4" t="str">
        <f>'Reference Score Calculation'!A322</f>
        <v>JS8726</v>
      </c>
      <c r="B25" s="4" t="str">
        <f>'Reference Score Calculation'!C322</f>
        <v>博文及社會科學學院</v>
      </c>
      <c r="C25" s="4" t="str">
        <f>'Reference Score Calculation'!D322</f>
        <v>運動科學及教練榮譽理學士</v>
      </c>
      <c r="D25" s="4" t="str">
        <f>'Reference Score Calculation'!R322</f>
        <v>BSc(SPSC)</v>
      </c>
      <c r="E25" s="392" t="str">
        <f>'Reference Score Calculation'!AB322</f>
        <v>Best 5</v>
      </c>
      <c r="F25" s="419" t="str">
        <f>'Reference Score Calculation'!E322</f>
        <v>Best 5</v>
      </c>
      <c r="G25" s="44">
        <f>'Reference Score Calculation'!I322</f>
        <v>20</v>
      </c>
      <c r="H25" s="45">
        <f>計分版!J345</f>
        <v>3.9500000000000006E-9</v>
      </c>
      <c r="I25" s="25">
        <f t="shared" si="0"/>
        <v>-19.999999996050001</v>
      </c>
      <c r="J25" s="26">
        <f t="shared" si="1"/>
        <v>-5063291138.2405052</v>
      </c>
      <c r="K25" s="36">
        <f>'Reference Score Calculation'!T322</f>
        <v>24</v>
      </c>
      <c r="L25" s="86">
        <f>入學要求!Z331</f>
        <v>0</v>
      </c>
      <c r="M25" s="514"/>
      <c r="N25" s="279">
        <f>入學要求!L331</f>
        <v>3</v>
      </c>
      <c r="O25" s="279">
        <f>入學要求!M331</f>
        <v>3</v>
      </c>
      <c r="P25" s="279">
        <f>入學要求!N331</f>
        <v>2</v>
      </c>
      <c r="Q25" s="279">
        <f>入學要求!O331</f>
        <v>1</v>
      </c>
      <c r="R25" s="279">
        <f>入學要求!P331</f>
        <v>2</v>
      </c>
      <c r="S25" s="279">
        <f>入學要求!Q331</f>
        <v>2</v>
      </c>
      <c r="T25" s="278">
        <f>入學要求!S331</f>
        <v>0</v>
      </c>
      <c r="U25" s="278">
        <f>入學要求!T331</f>
        <v>0</v>
      </c>
      <c r="V25" s="278">
        <f>入學要求!U331</f>
        <v>0</v>
      </c>
      <c r="W25" s="278">
        <f>入學要求!V331</f>
        <v>0</v>
      </c>
      <c r="X25" s="278">
        <f>入學要求!W331</f>
        <v>0</v>
      </c>
      <c r="Y25" s="278">
        <f>入學要求!X331</f>
        <v>0</v>
      </c>
      <c r="Z25" s="44">
        <f t="shared" si="4"/>
        <v>31.73</v>
      </c>
      <c r="AA25" s="510"/>
      <c r="AB25" s="36" cm="1">
        <f t="array" ref="AB25">IFERROR(INDEX('Offer Statistics'!EK$2:EK$400,MATCH(1,($A25='Offer Statistics'!$DV$2:$DV$400)*($AA$2='Offer Statistics'!$DW$2:$DW$400),0)),"/")</f>
        <v>22</v>
      </c>
      <c r="AC25" s="64" cm="1">
        <f t="array" ref="AC25">IFERROR(INDEX('Offer Statistics'!EF$2:EF$400,MATCH(1,($A25='Offer Statistics'!$DV$2:$DV$400)*($AA$2='Offer Statistics'!$DW$2:$DW$400),0)),"/")</f>
        <v>22</v>
      </c>
      <c r="AD25" s="64" cm="1">
        <f t="array" ref="AD25">IFERROR(INDEX('Offer Statistics'!EG$2:EG$400,MATCH(1,($A25='Offer Statistics'!$DV$2:$DV$400)*($AA$2='Offer Statistics'!$DW$2:$DW$400),0)),"/")</f>
        <v>0</v>
      </c>
      <c r="AE25" s="64" cm="1">
        <f t="array" ref="AE25">IFERROR(INDEX('Offer Statistics'!EH$2:EH$400,MATCH(1,($A25='Offer Statistics'!$DV$2:$DV$400)*($AA$2='Offer Statistics'!$DW$2:$DW$400),0)),"/")</f>
        <v>0</v>
      </c>
      <c r="AF25" s="64" cm="1">
        <f t="array" ref="AF25">IFERROR(INDEX('Offer Statistics'!EI$2:EI$400,MATCH(1,($A25='Offer Statistics'!$DV$2:$DV$400)*($AA$2='Offer Statistics'!$DW$2:$DW$400),0)),"/")</f>
        <v>0</v>
      </c>
      <c r="AG25" s="64" cm="1">
        <f t="array" ref="AG25">IFERROR(INDEX('Offer Statistics'!EJ$2:EJ$400,MATCH(1,($A25='Offer Statistics'!$DV$2:$DV$400)*($AA$2='Offer Statistics'!$DW$2:$DW$400),0)),"/")</f>
        <v>0</v>
      </c>
      <c r="AH25" s="511"/>
      <c r="AI25" s="36" cm="1">
        <f t="array" ref="AI25">IFERROR(INDEX('Offer Statistics'!EC$2:EC$400,MATCH(1,($A25='Offer Statistics'!$DV$2:$DV$400)*($AA$2='Offer Statistics'!$DW$2:$DW$400),0)),"/")</f>
        <v>2213</v>
      </c>
      <c r="AJ25" s="64" cm="1">
        <f t="array" ref="AJ25">IFERROR(INDEX('Offer Statistics'!DX$2:DX$400,MATCH(1,($A25='Offer Statistics'!$DV$2:$DV$400)*($AA$2='Offer Statistics'!$DW$2:$DW$400),0)),"/")</f>
        <v>698</v>
      </c>
      <c r="AK25" s="64" cm="1">
        <f t="array" ref="AK25">IFERROR(INDEX('Offer Statistics'!DY$2:DY$400,MATCH(1,($A25='Offer Statistics'!$DV$2:$DV$400)*($AA$2='Offer Statistics'!$DW$2:$DW$400),0)),"/")</f>
        <v>442</v>
      </c>
      <c r="AL25" s="64" cm="1">
        <f t="array" ref="AL25">IFERROR(INDEX('Offer Statistics'!DZ$2:DZ$400,MATCH(1,($A25='Offer Statistics'!$DV$2:$DV$400)*($AA$2='Offer Statistics'!$DW$2:$DW$400),0)),"/")</f>
        <v>393</v>
      </c>
      <c r="AM25" s="64" cm="1">
        <f t="array" ref="AM25">IFERROR(INDEX('Offer Statistics'!EA$2:EA$400,MATCH(1,($A25='Offer Statistics'!$DV$2:$DV$400)*($AA$2='Offer Statistics'!$DW$2:$DW$400),0)),"/")</f>
        <v>350</v>
      </c>
      <c r="AN25" s="64" cm="1">
        <f t="array" ref="AN25">IFERROR(INDEX('Offer Statistics'!EB$2:EB$400,MATCH(1,($A25='Offer Statistics'!$DV$2:$DV$400)*($AA$2='Offer Statistics'!$DW$2:$DW$400),0)),"/")</f>
        <v>330</v>
      </c>
      <c r="AO25" s="14"/>
      <c r="AP25" s="15" t="str">
        <f t="shared" si="3"/>
        <v>JS8726</v>
      </c>
    </row>
    <row r="26" spans="1:42" ht="18" customHeight="1">
      <c r="A26" s="4" t="str">
        <f>'Reference Score Calculation'!A323</f>
        <v>JS8801</v>
      </c>
      <c r="B26" s="4" t="str">
        <f>'Reference Score Calculation'!C323</f>
        <v>博文及社會科學學院</v>
      </c>
      <c r="C26" s="4" t="str">
        <f>'Reference Score Calculation'!D323</f>
        <v>創意藝術與文化榮譽文學士及音樂教育榮譽學士 (同期結業雙學位課程)</v>
      </c>
      <c r="D26" s="4" t="str">
        <f>'Reference Score Calculation'!R323</f>
        <v>BA(CAC) &amp; BEd(MU)</v>
      </c>
      <c r="E26" s="392" t="str">
        <f>'Reference Score Calculation'!AB323</f>
        <v>Best 5</v>
      </c>
      <c r="F26" s="419" t="str">
        <f>'Reference Score Calculation'!E323</f>
        <v>Best 5</v>
      </c>
      <c r="G26" s="44">
        <f>'Reference Score Calculation'!I323</f>
        <v>20</v>
      </c>
      <c r="H26" s="45">
        <f>計分版!J346</f>
        <v>3.9500000000000006E-9</v>
      </c>
      <c r="I26" s="25">
        <f t="shared" si="0"/>
        <v>-19.999999996050001</v>
      </c>
      <c r="J26" s="26">
        <f t="shared" si="1"/>
        <v>-5063291138.2405052</v>
      </c>
      <c r="K26" s="36">
        <f>'Reference Score Calculation'!T323</f>
        <v>33</v>
      </c>
      <c r="L26" s="86">
        <f>入學要求!Z332</f>
        <v>0</v>
      </c>
      <c r="M26" s="514"/>
      <c r="N26" s="279">
        <f>入學要求!L332</f>
        <v>3</v>
      </c>
      <c r="O26" s="279">
        <f>入學要求!M332</f>
        <v>3</v>
      </c>
      <c r="P26" s="279">
        <f>入學要求!N332</f>
        <v>2</v>
      </c>
      <c r="Q26" s="279">
        <f>入學要求!O332</f>
        <v>1</v>
      </c>
      <c r="R26" s="279">
        <f>入學要求!P332</f>
        <v>2</v>
      </c>
      <c r="S26" s="279">
        <f>入學要求!Q332</f>
        <v>2</v>
      </c>
      <c r="T26" s="278">
        <f>入學要求!S332</f>
        <v>0</v>
      </c>
      <c r="U26" s="278">
        <f>入學要求!T332</f>
        <v>0</v>
      </c>
      <c r="V26" s="278">
        <f>入學要求!U332</f>
        <v>0</v>
      </c>
      <c r="W26" s="278">
        <f>入學要求!V332</f>
        <v>0</v>
      </c>
      <c r="X26" s="278">
        <f>入學要求!W332</f>
        <v>0</v>
      </c>
      <c r="Y26" s="278">
        <f>入學要求!X332</f>
        <v>0</v>
      </c>
      <c r="Z26" s="44">
        <f t="shared" si="4"/>
        <v>8.48</v>
      </c>
      <c r="AA26" s="510"/>
      <c r="AB26" s="36" cm="1">
        <f t="array" ref="AB26">IFERROR(INDEX('Offer Statistics'!EK$2:EK$400,MATCH(1,($A26='Offer Statistics'!$DV$2:$DV$400)*($AA$2='Offer Statistics'!$DW$2:$DW$400),0)),"/")</f>
        <v>21</v>
      </c>
      <c r="AC26" s="64" cm="1">
        <f t="array" ref="AC26">IFERROR(INDEX('Offer Statistics'!EF$2:EF$400,MATCH(1,($A26='Offer Statistics'!$DV$2:$DV$400)*($AA$2='Offer Statistics'!$DW$2:$DW$400),0)),"/")</f>
        <v>21</v>
      </c>
      <c r="AD26" s="64" cm="1">
        <f t="array" ref="AD26">IFERROR(INDEX('Offer Statistics'!EG$2:EG$400,MATCH(1,($A26='Offer Statistics'!$DV$2:$DV$400)*($AA$2='Offer Statistics'!$DW$2:$DW$400),0)),"/")</f>
        <v>0</v>
      </c>
      <c r="AE26" s="64" cm="1">
        <f t="array" ref="AE26">IFERROR(INDEX('Offer Statistics'!EH$2:EH$400,MATCH(1,($A26='Offer Statistics'!$DV$2:$DV$400)*($AA$2='Offer Statistics'!$DW$2:$DW$400),0)),"/")</f>
        <v>0</v>
      </c>
      <c r="AF26" s="64" cm="1">
        <f t="array" ref="AF26">IFERROR(INDEX('Offer Statistics'!EI$2:EI$400,MATCH(1,($A26='Offer Statistics'!$DV$2:$DV$400)*($AA$2='Offer Statistics'!$DW$2:$DW$400),0)),"/")</f>
        <v>0</v>
      </c>
      <c r="AG26" s="64" cm="1">
        <f t="array" ref="AG26">IFERROR(INDEX('Offer Statistics'!EJ$2:EJ$400,MATCH(1,($A26='Offer Statistics'!$DV$2:$DV$400)*($AA$2='Offer Statistics'!$DW$2:$DW$400),0)),"/")</f>
        <v>0</v>
      </c>
      <c r="AH26" s="511"/>
      <c r="AI26" s="36" cm="1">
        <f t="array" ref="AI26">IFERROR(INDEX('Offer Statistics'!EC$2:EC$400,MATCH(1,($A26='Offer Statistics'!$DV$2:$DV$400)*($AA$2='Offer Statistics'!$DW$2:$DW$400),0)),"/")</f>
        <v>739</v>
      </c>
      <c r="AJ26" s="64" cm="1">
        <f t="array" ref="AJ26">IFERROR(INDEX('Offer Statistics'!DX$2:DX$400,MATCH(1,($A26='Offer Statistics'!$DV$2:$DV$400)*($AA$2='Offer Statistics'!$DW$2:$DW$400),0)),"/")</f>
        <v>178</v>
      </c>
      <c r="AK26" s="64" cm="1">
        <f t="array" ref="AK26">IFERROR(INDEX('Offer Statistics'!DY$2:DY$400,MATCH(1,($A26='Offer Statistics'!$DV$2:$DV$400)*($AA$2='Offer Statistics'!$DW$2:$DW$400),0)),"/")</f>
        <v>127</v>
      </c>
      <c r="AL26" s="64" cm="1">
        <f t="array" ref="AL26">IFERROR(INDEX('Offer Statistics'!DZ$2:DZ$400,MATCH(1,($A26='Offer Statistics'!$DV$2:$DV$400)*($AA$2='Offer Statistics'!$DW$2:$DW$400),0)),"/")</f>
        <v>131</v>
      </c>
      <c r="AM26" s="64" cm="1">
        <f t="array" ref="AM26">IFERROR(INDEX('Offer Statistics'!EA$2:EA$400,MATCH(1,($A26='Offer Statistics'!$DV$2:$DV$400)*($AA$2='Offer Statistics'!$DW$2:$DW$400),0)),"/")</f>
        <v>165</v>
      </c>
      <c r="AN26" s="64" cm="1">
        <f t="array" ref="AN26">IFERROR(INDEX('Offer Statistics'!EB$2:EB$400,MATCH(1,($A26='Offer Statistics'!$DV$2:$DV$400)*($AA$2='Offer Statistics'!$DW$2:$DW$400),0)),"/")</f>
        <v>138</v>
      </c>
      <c r="AO26" s="14"/>
      <c r="AP26" s="15" t="str">
        <f t="shared" si="3"/>
        <v>JS8801</v>
      </c>
    </row>
    <row r="27" spans="1:42" ht="18" customHeight="1">
      <c r="A27" s="4" t="str">
        <f>'Reference Score Calculation'!A324</f>
        <v>JS8813</v>
      </c>
      <c r="B27" s="4" t="str">
        <f>'Reference Score Calculation'!C324</f>
        <v>博文及社會科學學院</v>
      </c>
      <c r="C27" s="4" t="str">
        <f>'Reference Score Calculation'!D324</f>
        <v>創意藝術與文化榮譽文學士及視覺藝術教育榮譽學士 (同期結業雙學位課程)</v>
      </c>
      <c r="D27" s="4" t="str">
        <f>'Reference Score Calculation'!R324</f>
        <v>BA(CAC) &amp; BEd(VA)</v>
      </c>
      <c r="E27" s="392" t="str">
        <f>'Reference Score Calculation'!AB324</f>
        <v>Best 5</v>
      </c>
      <c r="F27" s="419" t="str">
        <f>'Reference Score Calculation'!E324</f>
        <v>Best 5</v>
      </c>
      <c r="G27" s="44">
        <f>'Reference Score Calculation'!I324</f>
        <v>20</v>
      </c>
      <c r="H27" s="45">
        <f>計分版!J347</f>
        <v>3.9500000000000006E-9</v>
      </c>
      <c r="I27" s="25">
        <f t="shared" si="0"/>
        <v>-19.999999996050001</v>
      </c>
      <c r="J27" s="26">
        <f t="shared" si="1"/>
        <v>-5063291138.2405052</v>
      </c>
      <c r="K27" s="36">
        <f>'Reference Score Calculation'!T324</f>
        <v>33</v>
      </c>
      <c r="L27" s="86">
        <f>入學要求!Z333</f>
        <v>0</v>
      </c>
      <c r="M27" s="514"/>
      <c r="N27" s="279">
        <f>入學要求!L333</f>
        <v>3</v>
      </c>
      <c r="O27" s="279">
        <f>入學要求!M333</f>
        <v>3</v>
      </c>
      <c r="P27" s="279">
        <f>入學要求!N333</f>
        <v>2</v>
      </c>
      <c r="Q27" s="279">
        <f>入學要求!O333</f>
        <v>1</v>
      </c>
      <c r="R27" s="279">
        <f>入學要求!P333</f>
        <v>2</v>
      </c>
      <c r="S27" s="279">
        <f>入學要求!Q333</f>
        <v>2</v>
      </c>
      <c r="T27" s="278">
        <f>入學要求!S333</f>
        <v>0</v>
      </c>
      <c r="U27" s="278">
        <f>入學要求!T333</f>
        <v>0</v>
      </c>
      <c r="V27" s="278">
        <f>入學要求!U333</f>
        <v>0</v>
      </c>
      <c r="W27" s="278">
        <f>入學要求!V333</f>
        <v>0</v>
      </c>
      <c r="X27" s="278">
        <f>入學要求!W333</f>
        <v>0</v>
      </c>
      <c r="Y27" s="278">
        <f>入學要求!X333</f>
        <v>0</v>
      </c>
      <c r="Z27" s="44">
        <f t="shared" si="4"/>
        <v>16.45</v>
      </c>
      <c r="AA27" s="510"/>
      <c r="AB27" s="36" cm="1">
        <f t="array" ref="AB27">IFERROR(INDEX('Offer Statistics'!EK$2:EK$400,MATCH(1,($A27='Offer Statistics'!$DV$2:$DV$400)*($AA$2='Offer Statistics'!$DW$2:$DW$400),0)),"/")</f>
        <v>20</v>
      </c>
      <c r="AC27" s="64" cm="1">
        <f t="array" ref="AC27">IFERROR(INDEX('Offer Statistics'!EF$2:EF$400,MATCH(1,($A27='Offer Statistics'!$DV$2:$DV$400)*($AA$2='Offer Statistics'!$DW$2:$DW$400),0)),"/")</f>
        <v>20</v>
      </c>
      <c r="AD27" s="64" cm="1">
        <f t="array" ref="AD27">IFERROR(INDEX('Offer Statistics'!EG$2:EG$400,MATCH(1,($A27='Offer Statistics'!$DV$2:$DV$400)*($AA$2='Offer Statistics'!$DW$2:$DW$400),0)),"/")</f>
        <v>0</v>
      </c>
      <c r="AE27" s="64" cm="1">
        <f t="array" ref="AE27">IFERROR(INDEX('Offer Statistics'!EH$2:EH$400,MATCH(1,($A27='Offer Statistics'!$DV$2:$DV$400)*($AA$2='Offer Statistics'!$DW$2:$DW$400),0)),"/")</f>
        <v>0</v>
      </c>
      <c r="AF27" s="64" cm="1">
        <f t="array" ref="AF27">IFERROR(INDEX('Offer Statistics'!EI$2:EI$400,MATCH(1,($A27='Offer Statistics'!$DV$2:$DV$400)*($AA$2='Offer Statistics'!$DW$2:$DW$400),0)),"/")</f>
        <v>0</v>
      </c>
      <c r="AG27" s="64" cm="1">
        <f t="array" ref="AG27">IFERROR(INDEX('Offer Statistics'!EJ$2:EJ$400,MATCH(1,($A27='Offer Statistics'!$DV$2:$DV$400)*($AA$2='Offer Statistics'!$DW$2:$DW$400),0)),"/")</f>
        <v>0</v>
      </c>
      <c r="AH27" s="511"/>
      <c r="AI27" s="36" cm="1">
        <f t="array" ref="AI27">IFERROR(INDEX('Offer Statistics'!EC$2:EC$400,MATCH(1,($A27='Offer Statistics'!$DV$2:$DV$400)*($AA$2='Offer Statistics'!$DW$2:$DW$400),0)),"/")</f>
        <v>1590</v>
      </c>
      <c r="AJ27" s="64" cm="1">
        <f t="array" ref="AJ27">IFERROR(INDEX('Offer Statistics'!DX$2:DX$400,MATCH(1,($A27='Offer Statistics'!$DV$2:$DV$400)*($AA$2='Offer Statistics'!$DW$2:$DW$400),0)),"/")</f>
        <v>329</v>
      </c>
      <c r="AK27" s="64" cm="1">
        <f t="array" ref="AK27">IFERROR(INDEX('Offer Statistics'!DY$2:DY$400,MATCH(1,($A27='Offer Statistics'!$DV$2:$DV$400)*($AA$2='Offer Statistics'!$DW$2:$DW$400),0)),"/")</f>
        <v>312</v>
      </c>
      <c r="AL27" s="64" cm="1">
        <f t="array" ref="AL27">IFERROR(INDEX('Offer Statistics'!DZ$2:DZ$400,MATCH(1,($A27='Offer Statistics'!$DV$2:$DV$400)*($AA$2='Offer Statistics'!$DW$2:$DW$400),0)),"/")</f>
        <v>333</v>
      </c>
      <c r="AM27" s="64" cm="1">
        <f t="array" ref="AM27">IFERROR(INDEX('Offer Statistics'!EA$2:EA$400,MATCH(1,($A27='Offer Statistics'!$DV$2:$DV$400)*($AA$2='Offer Statistics'!$DW$2:$DW$400),0)),"/")</f>
        <v>364</v>
      </c>
      <c r="AN27" s="64" cm="1">
        <f t="array" ref="AN27">IFERROR(INDEX('Offer Statistics'!EB$2:EB$400,MATCH(1,($A27='Offer Statistics'!$DV$2:$DV$400)*($AA$2='Offer Statistics'!$DW$2:$DW$400),0)),"/")</f>
        <v>252</v>
      </c>
      <c r="AO27" s="14"/>
      <c r="AP27" s="15" t="str">
        <f t="shared" si="3"/>
        <v>JS8813</v>
      </c>
    </row>
    <row r="28" spans="1:42" ht="18" customHeight="1">
      <c r="A28" s="4" t="str">
        <f>'Reference Score Calculation'!A325</f>
        <v>JS8825</v>
      </c>
      <c r="B28" s="4" t="str">
        <f>'Reference Score Calculation'!C325</f>
        <v>人文學院</v>
      </c>
      <c r="C28" s="4" t="str">
        <f>'Reference Score Calculation'!D325</f>
        <v>語文研究榮譽文學士及英文教育榮譽學士 (同期結業雙學位課程)</v>
      </c>
      <c r="D28" s="4" t="str">
        <f>'Reference Score Calculation'!R325</f>
        <v>BA(Lang Studies)&amp;BEd(EL)</v>
      </c>
      <c r="E28" s="392" t="str">
        <f>'Reference Score Calculation'!AB325</f>
        <v>Best 5</v>
      </c>
      <c r="F28" s="419" t="str">
        <f>'Reference Score Calculation'!E325</f>
        <v>Best 5</v>
      </c>
      <c r="G28" s="44">
        <f>'Reference Score Calculation'!I325</f>
        <v>22</v>
      </c>
      <c r="H28" s="45">
        <f>計分版!J348</f>
        <v>3.9500000000000006E-9</v>
      </c>
      <c r="I28" s="25">
        <f t="shared" si="0"/>
        <v>-21.999999996050001</v>
      </c>
      <c r="J28" s="26">
        <f t="shared" si="1"/>
        <v>-5569620252.1645565</v>
      </c>
      <c r="K28" s="36">
        <f>'Reference Score Calculation'!T325</f>
        <v>20</v>
      </c>
      <c r="L28" s="86">
        <f>入學要求!Z334</f>
        <v>0</v>
      </c>
      <c r="M28" s="514"/>
      <c r="N28" s="279">
        <f>入學要求!L334</f>
        <v>3</v>
      </c>
      <c r="O28" s="279">
        <f>入學要求!M334</f>
        <v>3</v>
      </c>
      <c r="P28" s="279">
        <f>入學要求!N334</f>
        <v>2</v>
      </c>
      <c r="Q28" s="279">
        <f>入學要求!O334</f>
        <v>1</v>
      </c>
      <c r="R28" s="279">
        <f>入學要求!P334</f>
        <v>2</v>
      </c>
      <c r="S28" s="279">
        <f>入學要求!Q334</f>
        <v>2</v>
      </c>
      <c r="T28" s="278">
        <f>入學要求!S334</f>
        <v>0</v>
      </c>
      <c r="U28" s="278">
        <f>入學要求!T334</f>
        <v>0</v>
      </c>
      <c r="V28" s="278">
        <f>入學要求!U334</f>
        <v>0</v>
      </c>
      <c r="W28" s="278">
        <f>入學要求!V334</f>
        <v>0</v>
      </c>
      <c r="X28" s="278">
        <f>入學要求!W334</f>
        <v>0</v>
      </c>
      <c r="Y28" s="278">
        <f>入學要求!X334</f>
        <v>0</v>
      </c>
      <c r="Z28" s="44">
        <f t="shared" si="4"/>
        <v>9.6199999999999992</v>
      </c>
      <c r="AA28" s="510"/>
      <c r="AB28" s="36" cm="1">
        <f t="array" ref="AB28">IFERROR(INDEX('Offer Statistics'!EK$2:EK$400,MATCH(1,($A28='Offer Statistics'!$DV$2:$DV$400)*($AA$2='Offer Statistics'!$DW$2:$DW$400),0)),"/")</f>
        <v>15</v>
      </c>
      <c r="AC28" s="64" cm="1">
        <f t="array" ref="AC28">IFERROR(INDEX('Offer Statistics'!EF$2:EF$400,MATCH(1,($A28='Offer Statistics'!$DV$2:$DV$400)*($AA$2='Offer Statistics'!$DW$2:$DW$400),0)),"/")</f>
        <v>13</v>
      </c>
      <c r="AD28" s="64" cm="1">
        <f t="array" ref="AD28">IFERROR(INDEX('Offer Statistics'!EG$2:EG$400,MATCH(1,($A28='Offer Statistics'!$DV$2:$DV$400)*($AA$2='Offer Statistics'!$DW$2:$DW$400),0)),"/")</f>
        <v>2</v>
      </c>
      <c r="AE28" s="64" cm="1">
        <f t="array" ref="AE28">IFERROR(INDEX('Offer Statistics'!EH$2:EH$400,MATCH(1,($A28='Offer Statistics'!$DV$2:$DV$400)*($AA$2='Offer Statistics'!$DW$2:$DW$400),0)),"/")</f>
        <v>0</v>
      </c>
      <c r="AF28" s="64" cm="1">
        <f t="array" ref="AF28">IFERROR(INDEX('Offer Statistics'!EI$2:EI$400,MATCH(1,($A28='Offer Statistics'!$DV$2:$DV$400)*($AA$2='Offer Statistics'!$DW$2:$DW$400),0)),"/")</f>
        <v>0</v>
      </c>
      <c r="AG28" s="64" cm="1">
        <f t="array" ref="AG28">IFERROR(INDEX('Offer Statistics'!EJ$2:EJ$400,MATCH(1,($A28='Offer Statistics'!$DV$2:$DV$400)*($AA$2='Offer Statistics'!$DW$2:$DW$400),0)),"/")</f>
        <v>0</v>
      </c>
      <c r="AH28" s="511"/>
      <c r="AI28" s="36" cm="1">
        <f t="array" ref="AI28">IFERROR(INDEX('Offer Statistics'!EC$2:EC$400,MATCH(1,($A28='Offer Statistics'!$DV$2:$DV$400)*($AA$2='Offer Statistics'!$DW$2:$DW$400),0)),"/")</f>
        <v>776</v>
      </c>
      <c r="AJ28" s="64" cm="1">
        <f t="array" ref="AJ28">IFERROR(INDEX('Offer Statistics'!DX$2:DX$400,MATCH(1,($A28='Offer Statistics'!$DV$2:$DV$400)*($AA$2='Offer Statistics'!$DW$2:$DW$400),0)),"/")</f>
        <v>125</v>
      </c>
      <c r="AK28" s="64" cm="1">
        <f t="array" ref="AK28">IFERROR(INDEX('Offer Statistics'!DY$2:DY$400,MATCH(1,($A28='Offer Statistics'!$DV$2:$DV$400)*($AA$2='Offer Statistics'!$DW$2:$DW$400),0)),"/")</f>
        <v>133</v>
      </c>
      <c r="AL28" s="64" cm="1">
        <f t="array" ref="AL28">IFERROR(INDEX('Offer Statistics'!DZ$2:DZ$400,MATCH(1,($A28='Offer Statistics'!$DV$2:$DV$400)*($AA$2='Offer Statistics'!$DW$2:$DW$400),0)),"/")</f>
        <v>154</v>
      </c>
      <c r="AM28" s="64" cm="1">
        <f t="array" ref="AM28">IFERROR(INDEX('Offer Statistics'!EA$2:EA$400,MATCH(1,($A28='Offer Statistics'!$DV$2:$DV$400)*($AA$2='Offer Statistics'!$DW$2:$DW$400),0)),"/")</f>
        <v>200</v>
      </c>
      <c r="AN28" s="64" cm="1">
        <f t="array" ref="AN28">IFERROR(INDEX('Offer Statistics'!EB$2:EB$400,MATCH(1,($A28='Offer Statistics'!$DV$2:$DV$400)*($AA$2='Offer Statistics'!$DW$2:$DW$400),0)),"/")</f>
        <v>164</v>
      </c>
      <c r="AO28" s="14"/>
      <c r="AP28" s="15" t="str">
        <f t="shared" si="3"/>
        <v>JS8825</v>
      </c>
    </row>
    <row r="29" spans="1:42" ht="18" customHeight="1"/>
    <row r="30" spans="1:42" ht="18" customHeight="1">
      <c r="A30" s="3" t="s">
        <v>213</v>
      </c>
      <c r="B30" s="4"/>
      <c r="C30" s="4"/>
      <c r="D30" s="4"/>
      <c r="E30" s="4"/>
      <c r="H30" s="15"/>
      <c r="I30" s="22"/>
      <c r="J30" s="23"/>
      <c r="K30" s="15"/>
      <c r="L30" s="15"/>
      <c r="M30" s="15"/>
      <c r="N30" s="15"/>
      <c r="O30" s="15"/>
      <c r="P30" s="15"/>
      <c r="Q30" s="15"/>
      <c r="R30" s="15"/>
      <c r="S30" s="15"/>
      <c r="T30" s="15"/>
      <c r="U30" s="15"/>
      <c r="V30" s="15"/>
      <c r="W30" s="15"/>
      <c r="X30" s="15"/>
      <c r="Y30" s="15"/>
      <c r="Z30" s="15"/>
      <c r="AA30" s="15"/>
      <c r="AC30" s="15"/>
      <c r="AD30" s="15"/>
    </row>
    <row r="31" spans="1:42" ht="18" customHeight="1">
      <c r="A31" s="3"/>
      <c r="B31" s="4"/>
      <c r="C31" s="4"/>
      <c r="D31" s="4"/>
      <c r="E31" s="4"/>
      <c r="H31" s="15"/>
      <c r="I31" s="22"/>
      <c r="J31" s="23"/>
      <c r="K31" s="15"/>
      <c r="L31" s="15"/>
      <c r="M31" s="15"/>
      <c r="N31" s="15"/>
      <c r="O31" s="15"/>
      <c r="P31" s="15"/>
      <c r="Q31" s="15"/>
      <c r="R31" s="15"/>
      <c r="S31" s="15"/>
      <c r="T31" s="15"/>
      <c r="U31" s="15"/>
      <c r="V31" s="15"/>
      <c r="W31" s="15"/>
      <c r="X31" s="15"/>
      <c r="Y31" s="15"/>
      <c r="Z31" s="15"/>
      <c r="AA31" s="15"/>
      <c r="AC31" s="15"/>
      <c r="AD31" s="15"/>
    </row>
    <row r="32" spans="1:42" ht="18" customHeight="1">
      <c r="A32" s="4" t="s">
        <v>2805</v>
      </c>
      <c r="B32" s="4"/>
      <c r="C32" s="4"/>
      <c r="D32" s="4"/>
      <c r="E32" s="4"/>
      <c r="H32" s="15"/>
      <c r="I32" s="22"/>
      <c r="J32" s="23"/>
      <c r="K32" s="15"/>
      <c r="L32" s="15"/>
      <c r="M32" s="15"/>
      <c r="N32" s="15"/>
      <c r="O32" s="15"/>
      <c r="P32" s="15"/>
      <c r="Q32" s="15"/>
      <c r="R32" s="15"/>
      <c r="S32" s="15"/>
      <c r="T32" s="15"/>
      <c r="U32" s="15"/>
      <c r="V32" s="15"/>
      <c r="W32" s="15"/>
      <c r="X32" s="15"/>
      <c r="Y32" s="15"/>
      <c r="Z32" s="15"/>
    </row>
    <row r="33" spans="1:45" ht="18" customHeight="1">
      <c r="A33" s="4"/>
      <c r="B33" s="4"/>
      <c r="C33" s="4"/>
      <c r="D33" s="4"/>
      <c r="E33" s="4"/>
      <c r="H33" s="15"/>
      <c r="I33" s="22"/>
      <c r="J33" s="23"/>
      <c r="K33" s="15"/>
      <c r="L33" s="15"/>
      <c r="M33" s="15"/>
      <c r="N33" s="15"/>
      <c r="O33" s="15"/>
      <c r="P33" s="15"/>
      <c r="Q33" s="15"/>
      <c r="R33" s="15"/>
      <c r="S33" s="15"/>
      <c r="T33" s="15"/>
      <c r="U33" s="15"/>
      <c r="V33" s="15"/>
      <c r="W33" s="15"/>
      <c r="X33" s="15"/>
      <c r="Y33" s="15"/>
      <c r="Z33" s="15"/>
      <c r="AC33" s="36" t="s">
        <v>214</v>
      </c>
    </row>
    <row r="34" spans="1:45" ht="18" customHeight="1">
      <c r="A34" s="387" t="s">
        <v>2840</v>
      </c>
      <c r="B34" s="4" t="s">
        <v>2841</v>
      </c>
      <c r="C34" s="23"/>
      <c r="D34" s="4"/>
      <c r="E34" s="4"/>
      <c r="F34" s="15"/>
      <c r="H34" s="4"/>
      <c r="I34" s="4"/>
      <c r="J34" s="15"/>
      <c r="K34" s="4"/>
      <c r="L34" s="4"/>
      <c r="M34" s="36"/>
      <c r="N34" s="15"/>
      <c r="O34" s="4"/>
      <c r="P34" s="15"/>
      <c r="Q34" s="15"/>
      <c r="R34" s="15"/>
      <c r="S34" s="15"/>
      <c r="T34" s="15"/>
      <c r="U34" s="15"/>
      <c r="V34" s="15"/>
      <c r="W34" s="15"/>
      <c r="X34" s="15"/>
      <c r="Y34" s="15"/>
      <c r="Z34" s="15"/>
    </row>
    <row r="35" spans="1:45" ht="18" customHeight="1">
      <c r="A35" s="23"/>
      <c r="B35" s="4" t="s">
        <v>2818</v>
      </c>
      <c r="C35" s="23"/>
      <c r="D35" s="4"/>
      <c r="E35" s="4"/>
      <c r="F35" s="15"/>
      <c r="H35" s="4"/>
      <c r="I35" s="4"/>
      <c r="J35" s="15"/>
      <c r="K35" s="4"/>
      <c r="L35" s="4"/>
      <c r="M35" s="36"/>
      <c r="N35" s="15"/>
      <c r="O35" s="4"/>
      <c r="P35" s="15"/>
      <c r="Q35" s="15"/>
      <c r="R35" s="15"/>
      <c r="S35" s="15"/>
      <c r="T35" s="15"/>
      <c r="U35" s="15"/>
      <c r="V35" s="15"/>
      <c r="W35" s="15"/>
      <c r="X35" s="15"/>
      <c r="Y35" s="15"/>
      <c r="Z35" s="15"/>
    </row>
    <row r="36" spans="1:45" ht="18" customHeight="1">
      <c r="A36" s="23"/>
      <c r="B36" s="474" t="s">
        <v>3132</v>
      </c>
      <c r="C36" s="23"/>
      <c r="D36" s="4"/>
      <c r="E36" s="4"/>
      <c r="F36" s="15"/>
      <c r="H36" s="4"/>
      <c r="I36" s="4"/>
      <c r="J36" s="15"/>
      <c r="K36" s="4"/>
      <c r="L36" s="4"/>
      <c r="M36" s="36"/>
      <c r="N36" s="15"/>
      <c r="O36" s="4"/>
      <c r="P36" s="15"/>
      <c r="Q36" s="15"/>
      <c r="R36" s="15"/>
      <c r="S36" s="15"/>
      <c r="T36" s="15"/>
      <c r="U36" s="15"/>
      <c r="V36" s="15"/>
      <c r="W36" s="15"/>
      <c r="X36" s="15"/>
      <c r="Y36" s="15"/>
      <c r="Z36" s="15"/>
    </row>
    <row r="37" spans="1:45" s="4" customFormat="1" ht="18" customHeight="1">
      <c r="C37" s="23"/>
      <c r="F37" s="15"/>
      <c r="I37" s="15"/>
      <c r="L37" s="36"/>
      <c r="M37" s="15"/>
      <c r="T37" s="15"/>
      <c r="U37" s="15"/>
      <c r="V37" s="15"/>
      <c r="W37" s="15"/>
      <c r="X37" s="15"/>
      <c r="Y37" s="15"/>
      <c r="Z37" s="15"/>
    </row>
    <row r="38" spans="1:45" s="4" customFormat="1" ht="18" customHeight="1">
      <c r="A38" s="23" t="s">
        <v>2806</v>
      </c>
      <c r="F38" s="36"/>
      <c r="G38" s="15"/>
      <c r="H38" s="15"/>
      <c r="I38" s="15"/>
      <c r="J38" s="15"/>
      <c r="K38" s="22"/>
      <c r="L38" s="23"/>
      <c r="M38" s="15"/>
      <c r="O38" s="15"/>
      <c r="P38" s="15"/>
      <c r="Q38" s="15"/>
      <c r="R38" s="15"/>
      <c r="S38" s="15"/>
      <c r="T38" s="15"/>
      <c r="U38" s="15"/>
      <c r="V38" s="15"/>
      <c r="W38" s="15"/>
      <c r="X38" s="15"/>
      <c r="Y38" s="15"/>
      <c r="Z38" s="15"/>
      <c r="AA38" s="15"/>
      <c r="AB38" s="15"/>
      <c r="AD38" s="15"/>
      <c r="AE38" s="15"/>
      <c r="AF38" s="15"/>
      <c r="AG38" s="15"/>
      <c r="AH38" s="15"/>
      <c r="AI38" s="15"/>
      <c r="AJ38" s="15"/>
      <c r="AK38" s="15"/>
      <c r="AL38" s="15"/>
      <c r="AM38" s="15"/>
      <c r="AN38" s="15"/>
      <c r="AO38" s="15"/>
      <c r="AP38" s="15"/>
      <c r="AQ38" s="15"/>
      <c r="AS38" s="15"/>
    </row>
    <row r="39" spans="1:45" ht="18" customHeight="1">
      <c r="A39" s="23" t="s">
        <v>204</v>
      </c>
      <c r="B39" s="4"/>
      <c r="C39" s="4"/>
      <c r="D39" s="4"/>
      <c r="E39" s="4"/>
      <c r="H39" s="15"/>
      <c r="I39" s="22"/>
      <c r="J39" s="23"/>
      <c r="K39" s="15"/>
      <c r="L39" s="15"/>
      <c r="M39" s="15"/>
      <c r="N39" s="15"/>
      <c r="O39" s="15"/>
      <c r="P39" s="15"/>
      <c r="Q39" s="15"/>
      <c r="R39" s="15"/>
      <c r="S39" s="15"/>
      <c r="T39" s="15"/>
      <c r="U39" s="15"/>
      <c r="V39" s="15"/>
      <c r="W39" s="15"/>
      <c r="X39" s="15"/>
      <c r="Y39" s="15"/>
      <c r="Z39" s="15"/>
    </row>
    <row r="40" spans="1:45" ht="18" customHeight="1">
      <c r="A40" s="23"/>
      <c r="B40" s="4"/>
      <c r="C40" s="4"/>
      <c r="D40" s="4"/>
      <c r="E40" s="4"/>
      <c r="H40" s="15"/>
      <c r="I40" s="22"/>
      <c r="J40" s="23"/>
      <c r="K40" s="15"/>
      <c r="L40" s="15"/>
      <c r="M40" s="15"/>
      <c r="N40" s="15"/>
      <c r="O40" s="15"/>
      <c r="P40" s="15"/>
      <c r="Q40" s="15"/>
      <c r="R40" s="15"/>
      <c r="S40" s="15"/>
      <c r="T40" s="15"/>
      <c r="U40" s="15"/>
      <c r="V40" s="15"/>
      <c r="W40" s="15"/>
      <c r="X40" s="15"/>
      <c r="Y40" s="15"/>
      <c r="Z40" s="15"/>
    </row>
    <row r="41" spans="1:45" ht="18" customHeight="1">
      <c r="A41" s="3" t="s">
        <v>215</v>
      </c>
      <c r="B41" s="4"/>
      <c r="C41" s="4"/>
      <c r="D41" s="4"/>
      <c r="E41" s="4"/>
      <c r="H41" s="15"/>
      <c r="I41" s="22"/>
      <c r="J41" s="23"/>
      <c r="K41" s="15"/>
      <c r="L41" s="15"/>
      <c r="M41" s="15"/>
      <c r="N41" s="15"/>
      <c r="O41" s="15"/>
      <c r="P41" s="15"/>
      <c r="Q41" s="15"/>
      <c r="R41" s="15"/>
      <c r="S41" s="15"/>
      <c r="T41" s="15"/>
      <c r="U41" s="15"/>
      <c r="V41" s="15"/>
      <c r="W41" s="15"/>
      <c r="X41" s="15"/>
      <c r="Y41" s="15"/>
      <c r="Z41" s="15"/>
    </row>
    <row r="42" spans="1:45" ht="18" customHeight="1">
      <c r="A42" s="4" t="s">
        <v>216</v>
      </c>
      <c r="B42" s="4"/>
      <c r="C42" s="4"/>
      <c r="D42" s="4"/>
      <c r="E42" s="4"/>
      <c r="H42" s="15"/>
      <c r="I42" s="22"/>
      <c r="J42" s="23"/>
      <c r="K42" s="15"/>
      <c r="L42" s="15"/>
      <c r="M42" s="15"/>
      <c r="N42" s="15"/>
      <c r="O42" s="15"/>
      <c r="P42" s="15"/>
      <c r="Q42" s="15"/>
      <c r="R42" s="15"/>
      <c r="S42" s="15"/>
      <c r="T42" s="15"/>
      <c r="U42" s="15"/>
      <c r="V42" s="15"/>
      <c r="W42" s="15"/>
      <c r="X42" s="15"/>
      <c r="Y42" s="15"/>
      <c r="Z42" s="15"/>
    </row>
    <row r="43" spans="1:45" ht="18" customHeight="1"/>
    <row r="44" spans="1:45" ht="18" customHeight="1">
      <c r="A44" s="4" t="s">
        <v>135</v>
      </c>
      <c r="B44" s="4"/>
      <c r="C44" s="4"/>
      <c r="D44" s="4"/>
      <c r="E44" s="4"/>
      <c r="H44" s="4"/>
    </row>
    <row r="45" spans="1:45" ht="18" customHeight="1">
      <c r="A45" s="277" t="s">
        <v>3277</v>
      </c>
      <c r="B45" s="4"/>
      <c r="C45" s="4"/>
      <c r="D45" s="4"/>
      <c r="E45" s="4"/>
    </row>
    <row r="46" spans="1:45" ht="18" customHeight="1">
      <c r="A46" s="273" t="s">
        <v>217</v>
      </c>
      <c r="B46" s="4"/>
      <c r="C46" s="4"/>
      <c r="D46" s="4"/>
      <c r="E46" s="4"/>
    </row>
    <row r="47" spans="1:45" ht="18" customHeight="1">
      <c r="A47" s="46"/>
      <c r="B47" s="4"/>
      <c r="C47" s="4"/>
      <c r="D47" s="4"/>
      <c r="E47" s="4"/>
    </row>
    <row r="48" spans="1:45" ht="18" hidden="1" customHeight="1">
      <c r="A48" s="46"/>
      <c r="B48" s="4"/>
      <c r="C48" s="4"/>
      <c r="D48" s="4"/>
      <c r="E48" s="4"/>
    </row>
  </sheetData>
  <sheetProtection sheet="1" objects="1" scenarios="1" sort="0" autoFilter="0" pivotTables="0"/>
  <mergeCells count="4">
    <mergeCell ref="I1:J1"/>
    <mergeCell ref="AA2:AA28"/>
    <mergeCell ref="AH2:AH28"/>
    <mergeCell ref="M2:M28"/>
  </mergeCells>
  <phoneticPr fontId="3" type="noConversion"/>
  <conditionalFormatting sqref="A2:Q2 A3:L28 R2:AP28 N3:Q28">
    <cfRule type="expression" dxfId="123" priority="2051">
      <formula>MOD(ROW(),2)=0</formula>
    </cfRule>
  </conditionalFormatting>
  <conditionalFormatting sqref="G2:G28">
    <cfRule type="expression" dxfId="122" priority="179">
      <formula>$I$1="差距(UQ)"</formula>
    </cfRule>
  </conditionalFormatting>
  <conditionalFormatting sqref="I2:J28">
    <cfRule type="cellIs" dxfId="121" priority="183" operator="equal">
      <formula>"/"</formula>
    </cfRule>
    <cfRule type="cellIs" dxfId="120" priority="184" operator="lessThan">
      <formula>0</formula>
    </cfRule>
    <cfRule type="cellIs" dxfId="119" priority="185" operator="greaterThan">
      <formula>0</formula>
    </cfRule>
  </conditionalFormatting>
  <conditionalFormatting sqref="L2:L28">
    <cfRule type="cellIs" dxfId="118" priority="176" operator="equal">
      <formula>2</formula>
    </cfRule>
    <cfRule type="cellIs" dxfId="117" priority="177" operator="equal">
      <formula>1</formula>
    </cfRule>
    <cfRule type="cellIs" dxfId="116" priority="178" operator="equal">
      <formula>0</formula>
    </cfRule>
  </conditionalFormatting>
  <conditionalFormatting sqref="N2:S28">
    <cfRule type="expression" dxfId="115" priority="2">
      <formula>T2=0</formula>
    </cfRule>
    <cfRule type="expression" dxfId="114" priority="3">
      <formula>T2=2</formula>
    </cfRule>
    <cfRule type="expression" dxfId="113" priority="4">
      <formula>T2=1</formula>
    </cfRule>
  </conditionalFormatting>
  <conditionalFormatting sqref="S14">
    <cfRule type="expression" dxfId="112" priority="1" stopIfTrue="1">
      <formula>MOD(ROW(),2)=0</formula>
    </cfRule>
  </conditionalFormatting>
  <conditionalFormatting sqref="AA2 AH2 AO2:AO28">
    <cfRule type="expression" dxfId="111" priority="10">
      <formula>TRUE</formula>
    </cfRule>
  </conditionalFormatting>
  <hyperlinks>
    <hyperlink ref="A46" r:id="rId1" xr:uid="{00000000-0004-0000-0E00-000000000000}"/>
    <hyperlink ref="A45" r:id="rId2" xr:uid="{28DDC986-FC87-5342-94B6-B65E1C1B9304}"/>
  </hyperlinks>
  <pageMargins left="0.7" right="0.7" top="0.75" bottom="0.75" header="0.3" footer="0.3"/>
  <pageSetup paperSize="9" orientation="portrait" horizontalDpi="1200" verticalDpi="1200" r:id="rId3"/>
  <drawing r:id="rId4"/>
  <legacyDrawing r:id="rId5"/>
  <extLst>
    <ext xmlns:x14="http://schemas.microsoft.com/office/spreadsheetml/2009/9/main" uri="{CCE6A557-97BC-4b89-ADB6-D9C93CAAB3DF}">
      <x14:dataValidations xmlns:xm="http://schemas.microsoft.com/office/excel/2006/main" count="1">
        <x14:dataValidation type="list" allowBlank="1" showInputMessage="1" showErrorMessage="1" xr:uid="{7716FB77-3B19-9549-B6AA-353895D5A07C}">
          <x14:formula1>
            <xm:f>選單!$J$1:$J$6</xm:f>
          </x14:formula1>
          <xm:sqref>AA2:AA28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工作表13">
    <tabColor rgb="FF003366"/>
  </sheetPr>
  <dimension ref="A1:AW123"/>
  <sheetViews>
    <sheetView workbookViewId="0"/>
    <sheetView workbookViewId="1"/>
  </sheetViews>
  <sheetFormatPr defaultColWidth="0" defaultRowHeight="0" customHeight="1" zeroHeight="1"/>
  <cols>
    <col min="1" max="1" width="7.19921875" style="29" customWidth="1"/>
    <col min="2" max="2" width="8.19921875" style="29" customWidth="1"/>
    <col min="3" max="3" width="21.69921875" style="29" customWidth="1"/>
    <col min="4" max="4" width="11.19921875" style="29" customWidth="1"/>
    <col min="5" max="5" width="10.69921875" style="36" customWidth="1"/>
    <col min="6" max="8" width="7.69921875" style="34" customWidth="1"/>
    <col min="9" max="9" width="7.69921875" style="82" customWidth="1"/>
    <col min="10" max="10" width="7.69921875" style="83" customWidth="1"/>
    <col min="11" max="12" width="4.69921875" style="34" customWidth="1"/>
    <col min="13" max="13" width="14.69921875" style="34" customWidth="1"/>
    <col min="14" max="19" width="2.19921875" style="34" customWidth="1"/>
    <col min="20" max="25" width="2.19921875" style="34" hidden="1" customWidth="1"/>
    <col min="26" max="26" width="11.19921875" style="34" customWidth="1"/>
    <col min="27" max="27" width="8.69921875" style="29" customWidth="1"/>
    <col min="28" max="33" width="6.19921875" style="4" customWidth="1"/>
    <col min="34" max="34" width="8.69921875" style="4" customWidth="1"/>
    <col min="35" max="35" width="6.19921875" style="2" customWidth="1"/>
    <col min="36" max="38" width="6.19921875" style="4" customWidth="1"/>
    <col min="39" max="40" width="6.19921875" style="2" customWidth="1"/>
    <col min="41" max="41" width="3.19921875" style="2" customWidth="1"/>
    <col min="42" max="42" width="8.19921875" style="16" customWidth="1"/>
    <col min="43" max="44" width="9.19921875" style="2" hidden="1" customWidth="1"/>
    <col min="45" max="49" width="0" style="2" hidden="1" customWidth="1"/>
    <col min="50" max="16384" width="9.19921875" style="2" hidden="1"/>
  </cols>
  <sheetData>
    <row r="1" spans="1:42" s="62" customFormat="1" ht="18" customHeight="1">
      <c r="A1" s="48" t="s">
        <v>110</v>
      </c>
      <c r="B1" s="48" t="s">
        <v>111</v>
      </c>
      <c r="C1" s="48" t="s">
        <v>112</v>
      </c>
      <c r="D1" s="48"/>
      <c r="E1" s="77" t="s">
        <v>33</v>
      </c>
      <c r="F1" s="77" t="s">
        <v>108</v>
      </c>
      <c r="G1" s="77" t="s">
        <v>106</v>
      </c>
      <c r="H1" s="77" t="s">
        <v>114</v>
      </c>
      <c r="I1" s="522" t="s">
        <v>115</v>
      </c>
      <c r="J1" s="522"/>
      <c r="K1" s="77" t="s">
        <v>38</v>
      </c>
      <c r="L1" s="77" t="s">
        <v>116</v>
      </c>
      <c r="M1" s="77"/>
      <c r="N1" s="77" t="s">
        <v>117</v>
      </c>
      <c r="O1" s="77" t="s">
        <v>118</v>
      </c>
      <c r="P1" s="77" t="s">
        <v>119</v>
      </c>
      <c r="Q1" s="77" t="s">
        <v>2807</v>
      </c>
      <c r="R1" s="77" t="s">
        <v>121</v>
      </c>
      <c r="S1" s="77" t="s">
        <v>2468</v>
      </c>
      <c r="T1" s="77"/>
      <c r="U1" s="77"/>
      <c r="V1" s="77"/>
      <c r="W1" s="77"/>
      <c r="X1" s="77"/>
      <c r="Y1" s="77"/>
      <c r="Z1" s="77" t="s">
        <v>123</v>
      </c>
      <c r="AA1" s="77" t="s">
        <v>124</v>
      </c>
      <c r="AB1" s="77" t="s">
        <v>141</v>
      </c>
      <c r="AC1" s="77" t="s">
        <v>126</v>
      </c>
      <c r="AD1" s="77" t="s">
        <v>127</v>
      </c>
      <c r="AE1" s="77" t="s">
        <v>128</v>
      </c>
      <c r="AF1" s="77" t="s">
        <v>129</v>
      </c>
      <c r="AG1" s="77" t="s">
        <v>130</v>
      </c>
      <c r="AH1" s="77" t="s">
        <v>142</v>
      </c>
      <c r="AI1" s="77" t="s">
        <v>141</v>
      </c>
      <c r="AJ1" s="77" t="s">
        <v>126</v>
      </c>
      <c r="AK1" s="77" t="s">
        <v>127</v>
      </c>
      <c r="AL1" s="77" t="s">
        <v>128</v>
      </c>
      <c r="AM1" s="77" t="s">
        <v>129</v>
      </c>
      <c r="AN1" s="77" t="s">
        <v>130</v>
      </c>
      <c r="AO1" s="77"/>
      <c r="AP1" s="77"/>
    </row>
    <row r="2" spans="1:42" ht="18" customHeight="1">
      <c r="A2" s="4" t="str">
        <f>'Reference Score Calculation'!A328</f>
        <v>JS9009</v>
      </c>
      <c r="B2" s="4" t="str">
        <f>'Reference Score Calculation'!C328</f>
        <v>人文社會科學院</v>
      </c>
      <c r="C2" s="4" t="str">
        <f>'Reference Score Calculation'!D328</f>
        <v>社會科學榮譽學士</v>
      </c>
      <c r="D2" s="4" t="str">
        <f>'Reference Score Calculation'!R328</f>
        <v>BSSc(Hons)</v>
      </c>
      <c r="E2" s="85" t="str">
        <f>'Reference Score Calculation'!E328</f>
        <v>Best 5</v>
      </c>
      <c r="F2" s="6">
        <f>'Reference Score Calculation'!H328</f>
        <v>16</v>
      </c>
      <c r="G2" s="6">
        <f>'Reference Score Calculation'!I328</f>
        <v>15</v>
      </c>
      <c r="H2" s="45">
        <f>計分版!J351</f>
        <v>3.9500000000000006E-9</v>
      </c>
      <c r="I2" s="185">
        <f>IFERROR(IF(I$1="差距(Median)",H2-F2,IF(I$1="差距(UQ)",H2-#REF!,IF(I$1="差距(LQ)",H2-G2))),"/")</f>
        <v>-15.999999996050001</v>
      </c>
      <c r="J2" s="186">
        <f>IFERROR(IF(I$1="差距(Median)",(H2-F2)/H2,IF(I$1="差距(UQ)",(H2-#REF!)/H2,IF(I$1="差距(LQ)",(H2-G2)/H2))),"/")</f>
        <v>-4050632910.3924046</v>
      </c>
      <c r="K2" s="36">
        <f>'Reference Score Calculation'!T328</f>
        <v>80</v>
      </c>
      <c r="L2" s="86">
        <f>入學要求!Z337</f>
        <v>0</v>
      </c>
      <c r="M2" s="516" t="s">
        <v>2521</v>
      </c>
      <c r="N2" s="182">
        <f>入學要求!L337</f>
        <v>3</v>
      </c>
      <c r="O2" s="182">
        <f>入學要求!M337</f>
        <v>3</v>
      </c>
      <c r="P2" s="182">
        <f>入學要求!N337</f>
        <v>2</v>
      </c>
      <c r="Q2" s="182">
        <f>入學要求!O337</f>
        <v>1</v>
      </c>
      <c r="R2" s="182">
        <f>入學要求!P337</f>
        <v>2</v>
      </c>
      <c r="S2" s="182">
        <f>入學要求!Q337</f>
        <v>2</v>
      </c>
      <c r="T2" s="256">
        <f>入學要求!S337</f>
        <v>0</v>
      </c>
      <c r="U2" s="256">
        <f>入學要求!T337</f>
        <v>0</v>
      </c>
      <c r="V2" s="256">
        <f>入學要求!U337</f>
        <v>0</v>
      </c>
      <c r="W2" s="256">
        <f>入學要求!V337</f>
        <v>0</v>
      </c>
      <c r="X2" s="256">
        <f>入學要求!W337</f>
        <v>0</v>
      </c>
      <c r="Y2" s="256">
        <f>入學要求!X337</f>
        <v>0</v>
      </c>
      <c r="Z2" s="15">
        <f>IFERROR(ROUND(AJ2/AC2,2),"/")</f>
        <v>4.8899999999999997</v>
      </c>
      <c r="AA2" s="510" t="s">
        <v>2513</v>
      </c>
      <c r="AB2" s="36" cm="1">
        <f t="array" ref="AB2">IFERROR(INDEX('Offer Statistics'!FC$2:FC$400,MATCH(1,($A2='Offer Statistics'!$EN$2:$EN$400)*($AA$2='Offer Statistics'!$EO$2:$EO$400),0)),"/")</f>
        <v>124</v>
      </c>
      <c r="AC2" s="64" cm="1">
        <f t="array" ref="AC2">IFERROR(INDEX('Offer Statistics'!EX$2:EX$400,MATCH(1,($A2='Offer Statistics'!$EN$2:$EN$400)*($AA$2='Offer Statistics'!$EO$2:$EO$400),0)),"/")</f>
        <v>61</v>
      </c>
      <c r="AD2" s="64" cm="1">
        <f t="array" ref="AD2">IFERROR(INDEX('Offer Statistics'!EY$2:EY$400,MATCH(1,($A2='Offer Statistics'!$EN$2:$EN$400)*($AA$2='Offer Statistics'!$EO$2:$EO$400),0)),"/")</f>
        <v>29</v>
      </c>
      <c r="AE2" s="64" cm="1">
        <f t="array" ref="AE2">IFERROR(INDEX('Offer Statistics'!EZ$2:EZ$400,MATCH(1,($A2='Offer Statistics'!$EN$2:$EN$400)*($AA$2='Offer Statistics'!$EO$2:$EO$400),0)),"/")</f>
        <v>17</v>
      </c>
      <c r="AF2" s="64" cm="1">
        <f t="array" ref="AF2">IFERROR(INDEX('Offer Statistics'!FA$2:FA$400,MATCH(1,($A2='Offer Statistics'!$EN$2:$EN$400)*($AA$2='Offer Statistics'!$EO$2:$EO$400),0)),"/")</f>
        <v>7</v>
      </c>
      <c r="AG2" s="64" cm="1">
        <f t="array" ref="AG2">IFERROR(INDEX('Offer Statistics'!FB$2:FB$400,MATCH(1,($A2='Offer Statistics'!$EN$2:$EN$400)*($AA$2='Offer Statistics'!$EO$2:$EO$400),0)),"/")</f>
        <v>10</v>
      </c>
      <c r="AH2" s="511" t="str">
        <f>AA2</f>
        <v>2023年</v>
      </c>
      <c r="AI2" s="36" cm="1">
        <f t="array" ref="AI2">IFERROR(INDEX('Offer Statistics'!EU$2:EU$400,MATCH(1,($A2='Offer Statistics'!$EN$2:$EN$400)*($AA$2='Offer Statistics'!$EO$2:$EO$400),0)),"/")</f>
        <v>2583</v>
      </c>
      <c r="AJ2" s="64" cm="1">
        <f t="array" ref="AJ2">IFERROR(INDEX('Offer Statistics'!EP$2:EP$400,MATCH(1,($A2='Offer Statistics'!$EN$2:$EN$400)*($AA$2='Offer Statistics'!$EO$2:$EO$400),0)),"/")</f>
        <v>298</v>
      </c>
      <c r="AK2" s="64" cm="1">
        <f t="array" ref="AK2">IFERROR(INDEX('Offer Statistics'!EQ$2:EQ$400,MATCH(1,($A2='Offer Statistics'!$EN$2:$EN$400)*($AA$2='Offer Statistics'!$EO$2:$EO$400),0)),"/")</f>
        <v>435</v>
      </c>
      <c r="AL2" s="64" cm="1">
        <f t="array" ref="AL2">IFERROR(INDEX('Offer Statistics'!ER$2:ER$400,MATCH(1,($A2='Offer Statistics'!$EN$2:$EN$400)*($AA$2='Offer Statistics'!$EO$2:$EO$400),0)),"/")</f>
        <v>514</v>
      </c>
      <c r="AM2" s="64" cm="1">
        <f t="array" ref="AM2">IFERROR(INDEX('Offer Statistics'!ES$2:ES$400,MATCH(1,($A2='Offer Statistics'!$EN$2:$EN$400)*($AA$2='Offer Statistics'!$EO$2:$EO$400),0)),"/")</f>
        <v>629</v>
      </c>
      <c r="AN2" s="64" cm="1">
        <f t="array" ref="AN2">IFERROR(INDEX('Offer Statistics'!ET$2:ET$400,MATCH(1,($A2='Offer Statistics'!$EN$2:$EN$400)*($AA$2='Offer Statistics'!$EO$2:$EO$400),0)),"/")</f>
        <v>707</v>
      </c>
      <c r="AO2" s="15"/>
      <c r="AP2" s="15" t="str">
        <f t="shared" ref="AP2:AP27" si="0">A2</f>
        <v>JS9009</v>
      </c>
    </row>
    <row r="3" spans="1:42" ht="18" customHeight="1">
      <c r="A3" s="4" t="str">
        <f>'Reference Score Calculation'!A329</f>
        <v>JS9010</v>
      </c>
      <c r="B3" s="4" t="str">
        <f>'Reference Score Calculation'!C329</f>
        <v>人文社會科學院</v>
      </c>
      <c r="C3" s="4" t="str">
        <f>'Reference Score Calculation'!D329</f>
        <v>心理學榮譽社會科學學士</v>
      </c>
      <c r="D3" s="4" t="str">
        <f>'Reference Score Calculation'!R329</f>
        <v>BSSc(Hons)Psychology</v>
      </c>
      <c r="E3" s="85" t="str">
        <f>'Reference Score Calculation'!E329</f>
        <v>Best 5</v>
      </c>
      <c r="F3" s="6">
        <f>'Reference Score Calculation'!H329</f>
        <v>17</v>
      </c>
      <c r="G3" s="6">
        <f>'Reference Score Calculation'!I329</f>
        <v>15</v>
      </c>
      <c r="H3" s="45">
        <f>計分版!J352</f>
        <v>3.9500000000000006E-9</v>
      </c>
      <c r="I3" s="185">
        <f>IFERROR(IF(I$1="差距(Median)",H3-F3,IF(I$1="差距(UQ)",H3-#REF!,IF(I$1="差距(LQ)",H3-G3))),"/")</f>
        <v>-16.999999996050001</v>
      </c>
      <c r="J3" s="186">
        <f>IFERROR(IF(I$1="差距(Median)",(H3-F3)/H3,IF(I$1="差距(UQ)",(H3-#REF!)/H3,IF(I$1="差距(LQ)",(H3-G3)/H3))),"/")</f>
        <v>-4303797467.3544302</v>
      </c>
      <c r="K3" s="36">
        <f>'Reference Score Calculation'!T329</f>
        <v>120</v>
      </c>
      <c r="L3" s="86">
        <f>入學要求!Z338</f>
        <v>0</v>
      </c>
      <c r="M3" s="523"/>
      <c r="N3" s="182">
        <f>入學要求!L338</f>
        <v>3</v>
      </c>
      <c r="O3" s="182">
        <f>入學要求!M338</f>
        <v>3</v>
      </c>
      <c r="P3" s="182">
        <f>入學要求!N338</f>
        <v>2</v>
      </c>
      <c r="Q3" s="182">
        <f>入學要求!O338</f>
        <v>1</v>
      </c>
      <c r="R3" s="182">
        <f>入學要求!P338</f>
        <v>2</v>
      </c>
      <c r="S3" s="182">
        <f>入學要求!Q338</f>
        <v>2</v>
      </c>
      <c r="T3" s="256">
        <f>入學要求!S338</f>
        <v>0</v>
      </c>
      <c r="U3" s="256">
        <f>入學要求!T338</f>
        <v>0</v>
      </c>
      <c r="V3" s="256">
        <f>入學要求!U338</f>
        <v>0</v>
      </c>
      <c r="W3" s="256">
        <f>入學要求!V338</f>
        <v>0</v>
      </c>
      <c r="X3" s="256">
        <f>入學要求!W338</f>
        <v>0</v>
      </c>
      <c r="Y3" s="256">
        <f>入學要求!X338</f>
        <v>0</v>
      </c>
      <c r="Z3" s="15">
        <f t="shared" ref="Z3:Z27" si="1">IFERROR(ROUND(AJ3/AC3,2),"/")</f>
        <v>4.17</v>
      </c>
      <c r="AA3" s="510"/>
      <c r="AB3" s="36" cm="1">
        <f t="array" ref="AB3">IFERROR(INDEX('Offer Statistics'!FC$2:FC$400,MATCH(1,($A3='Offer Statistics'!$EN$2:$EN$400)*($AA$2='Offer Statistics'!$EO$2:$EO$400),0)),"/")</f>
        <v>235</v>
      </c>
      <c r="AC3" s="64" cm="1">
        <f t="array" ref="AC3">IFERROR(INDEX('Offer Statistics'!EX$2:EX$400,MATCH(1,($A3='Offer Statistics'!$EN$2:$EN$400)*($AA$2='Offer Statistics'!$EO$2:$EO$400),0)),"/")</f>
        <v>131</v>
      </c>
      <c r="AD3" s="64" cm="1">
        <f t="array" ref="AD3">IFERROR(INDEX('Offer Statistics'!EY$2:EY$400,MATCH(1,($A3='Offer Statistics'!$EN$2:$EN$400)*($AA$2='Offer Statistics'!$EO$2:$EO$400),0)),"/")</f>
        <v>49</v>
      </c>
      <c r="AE3" s="64" cm="1">
        <f t="array" ref="AE3">IFERROR(INDEX('Offer Statistics'!EZ$2:EZ$400,MATCH(1,($A3='Offer Statistics'!$EN$2:$EN$400)*($AA$2='Offer Statistics'!$EO$2:$EO$400),0)),"/")</f>
        <v>21</v>
      </c>
      <c r="AF3" s="64" cm="1">
        <f t="array" ref="AF3">IFERROR(INDEX('Offer Statistics'!FA$2:FA$400,MATCH(1,($A3='Offer Statistics'!$EN$2:$EN$400)*($AA$2='Offer Statistics'!$EO$2:$EO$400),0)),"/")</f>
        <v>16</v>
      </c>
      <c r="AG3" s="64" cm="1">
        <f t="array" ref="AG3">IFERROR(INDEX('Offer Statistics'!FB$2:FB$400,MATCH(1,($A3='Offer Statistics'!$EN$2:$EN$400)*($AA$2='Offer Statistics'!$EO$2:$EO$400),0)),"/")</f>
        <v>18</v>
      </c>
      <c r="AH3" s="511"/>
      <c r="AI3" s="36" cm="1">
        <f t="array" ref="AI3">IFERROR(INDEX('Offer Statistics'!EU$2:EU$400,MATCH(1,($A3='Offer Statistics'!$EN$2:$EN$400)*($AA$2='Offer Statistics'!$EO$2:$EO$400),0)),"/")</f>
        <v>4230</v>
      </c>
      <c r="AJ3" s="64" cm="1">
        <f t="array" ref="AJ3">IFERROR(INDEX('Offer Statistics'!EP$2:EP$400,MATCH(1,($A3='Offer Statistics'!$EN$2:$EN$400)*($AA$2='Offer Statistics'!$EO$2:$EO$400),0)),"/")</f>
        <v>546</v>
      </c>
      <c r="AK3" s="64" cm="1">
        <f t="array" ref="AK3">IFERROR(INDEX('Offer Statistics'!EQ$2:EQ$400,MATCH(1,($A3='Offer Statistics'!$EN$2:$EN$400)*($AA$2='Offer Statistics'!$EO$2:$EO$400),0)),"/")</f>
        <v>714</v>
      </c>
      <c r="AL3" s="64" cm="1">
        <f t="array" ref="AL3">IFERROR(INDEX('Offer Statistics'!ER$2:ER$400,MATCH(1,($A3='Offer Statistics'!$EN$2:$EN$400)*($AA$2='Offer Statistics'!$EO$2:$EO$400),0)),"/")</f>
        <v>854</v>
      </c>
      <c r="AM3" s="64" cm="1">
        <f t="array" ref="AM3">IFERROR(INDEX('Offer Statistics'!ES$2:ES$400,MATCH(1,($A3='Offer Statistics'!$EN$2:$EN$400)*($AA$2='Offer Statistics'!$EO$2:$EO$400),0)),"/")</f>
        <v>983</v>
      </c>
      <c r="AN3" s="64" cm="1">
        <f t="array" ref="AN3">IFERROR(INDEX('Offer Statistics'!ET$2:ET$400,MATCH(1,($A3='Offer Statistics'!$EN$2:$EN$400)*($AA$2='Offer Statistics'!$EO$2:$EO$400),0)),"/")</f>
        <v>1133</v>
      </c>
      <c r="AP3" s="16" t="str">
        <f t="shared" si="0"/>
        <v>JS9010</v>
      </c>
    </row>
    <row r="4" spans="1:42" ht="18" customHeight="1">
      <c r="A4" s="4" t="str">
        <f>'Reference Score Calculation'!A330</f>
        <v>JS9011</v>
      </c>
      <c r="B4" s="4" t="str">
        <f>'Reference Score Calculation'!C330</f>
        <v>人文社會科學院</v>
      </c>
      <c r="C4" s="4" t="str">
        <f>'Reference Score Calculation'!D330</f>
        <v>中文榮譽文學士</v>
      </c>
      <c r="D4" s="4" t="str">
        <f>'Reference Score Calculation'!R330</f>
        <v>BA(Hons) Chinese</v>
      </c>
      <c r="E4" s="85" t="str">
        <f>'Reference Score Calculation'!E330</f>
        <v>Best 5</v>
      </c>
      <c r="F4" s="6">
        <f>'Reference Score Calculation'!H330</f>
        <v>22</v>
      </c>
      <c r="G4" s="6">
        <f>'Reference Score Calculation'!I330</f>
        <v>20</v>
      </c>
      <c r="H4" s="45">
        <f>計分版!J353</f>
        <v>4.1499999999999999E-9</v>
      </c>
      <c r="I4" s="185">
        <f>IFERROR(IF(I$1="差距(Median)",H4-F4,IF(I$1="差距(UQ)",H4-#REF!,IF(I$1="差距(LQ)",H4-G4))),"/")</f>
        <v>-21.999999995850001</v>
      </c>
      <c r="J4" s="186">
        <f>IFERROR(IF(I$1="差距(Median)",(H4-F4)/H4,IF(I$1="差距(UQ)",(H4-#REF!)/H4,IF(I$1="差距(LQ)",(H4-G4)/H4))),"/")</f>
        <v>-5301204818.2771082</v>
      </c>
      <c r="K4" s="36">
        <f>'Reference Score Calculation'!T330</f>
        <v>30</v>
      </c>
      <c r="L4" s="86">
        <f>入學要求!Z339</f>
        <v>0</v>
      </c>
      <c r="M4" s="523"/>
      <c r="N4" s="182">
        <f>入學要求!L339</f>
        <v>3</v>
      </c>
      <c r="O4" s="182">
        <f>入學要求!M339</f>
        <v>3</v>
      </c>
      <c r="P4" s="182">
        <f>入學要求!N339</f>
        <v>2</v>
      </c>
      <c r="Q4" s="182">
        <f>入學要求!O339</f>
        <v>1</v>
      </c>
      <c r="R4" s="182">
        <f>入學要求!P339</f>
        <v>2</v>
      </c>
      <c r="S4" s="182">
        <f>入學要求!Q339</f>
        <v>2</v>
      </c>
      <c r="T4" s="256">
        <f>入學要求!S339</f>
        <v>0</v>
      </c>
      <c r="U4" s="256">
        <f>入學要求!T339</f>
        <v>0</v>
      </c>
      <c r="V4" s="256">
        <f>入學要求!U339</f>
        <v>0</v>
      </c>
      <c r="W4" s="256">
        <f>入學要求!V339</f>
        <v>0</v>
      </c>
      <c r="X4" s="256">
        <f>入學要求!W339</f>
        <v>0</v>
      </c>
      <c r="Y4" s="256">
        <f>入學要求!X339</f>
        <v>0</v>
      </c>
      <c r="Z4" s="15">
        <f t="shared" si="1"/>
        <v>3.71</v>
      </c>
      <c r="AA4" s="510"/>
      <c r="AB4" s="36" cm="1">
        <f t="array" ref="AB4">IFERROR(INDEX('Offer Statistics'!FC$2:FC$400,MATCH(1,($A4='Offer Statistics'!$EN$2:$EN$400)*($AA$2='Offer Statistics'!$EO$2:$EO$400),0)),"/")</f>
        <v>103</v>
      </c>
      <c r="AC4" s="64" cm="1">
        <f t="array" ref="AC4">IFERROR(INDEX('Offer Statistics'!EX$2:EX$400,MATCH(1,($A4='Offer Statistics'!$EN$2:$EN$400)*($AA$2='Offer Statistics'!$EO$2:$EO$400),0)),"/")</f>
        <v>45</v>
      </c>
      <c r="AD4" s="64" cm="1">
        <f t="array" ref="AD4">IFERROR(INDEX('Offer Statistics'!EY$2:EY$400,MATCH(1,($A4='Offer Statistics'!$EN$2:$EN$400)*($AA$2='Offer Statistics'!$EO$2:$EO$400),0)),"/")</f>
        <v>27</v>
      </c>
      <c r="AE4" s="64" cm="1">
        <f t="array" ref="AE4">IFERROR(INDEX('Offer Statistics'!EZ$2:EZ$400,MATCH(1,($A4='Offer Statistics'!$EN$2:$EN$400)*($AA$2='Offer Statistics'!$EO$2:$EO$400),0)),"/")</f>
        <v>7</v>
      </c>
      <c r="AF4" s="64" cm="1">
        <f t="array" ref="AF4">IFERROR(INDEX('Offer Statistics'!FA$2:FA$400,MATCH(1,($A4='Offer Statistics'!$EN$2:$EN$400)*($AA$2='Offer Statistics'!$EO$2:$EO$400),0)),"/")</f>
        <v>16</v>
      </c>
      <c r="AG4" s="64" cm="1">
        <f t="array" ref="AG4">IFERROR(INDEX('Offer Statistics'!FB$2:FB$400,MATCH(1,($A4='Offer Statistics'!$EN$2:$EN$400)*($AA$2='Offer Statistics'!$EO$2:$EO$400),0)),"/")</f>
        <v>8</v>
      </c>
      <c r="AH4" s="511"/>
      <c r="AI4" s="36" cm="1">
        <f t="array" ref="AI4">IFERROR(INDEX('Offer Statistics'!EU$2:EU$400,MATCH(1,($A4='Offer Statistics'!$EN$2:$EN$400)*($AA$2='Offer Statistics'!$EO$2:$EO$400),0)),"/")</f>
        <v>1558</v>
      </c>
      <c r="AJ4" s="64" cm="1">
        <f t="array" ref="AJ4">IFERROR(INDEX('Offer Statistics'!EP$2:EP$400,MATCH(1,($A4='Offer Statistics'!$EN$2:$EN$400)*($AA$2='Offer Statistics'!$EO$2:$EO$400),0)),"/")</f>
        <v>167</v>
      </c>
      <c r="AK4" s="64" cm="1">
        <f t="array" ref="AK4">IFERROR(INDEX('Offer Statistics'!EQ$2:EQ$400,MATCH(1,($A4='Offer Statistics'!$EN$2:$EN$400)*($AA$2='Offer Statistics'!$EO$2:$EO$400),0)),"/")</f>
        <v>264</v>
      </c>
      <c r="AL4" s="64" cm="1">
        <f t="array" ref="AL4">IFERROR(INDEX('Offer Statistics'!ER$2:ER$400,MATCH(1,($A4='Offer Statistics'!$EN$2:$EN$400)*($AA$2='Offer Statistics'!$EO$2:$EO$400),0)),"/")</f>
        <v>316</v>
      </c>
      <c r="AM4" s="64" cm="1">
        <f t="array" ref="AM4">IFERROR(INDEX('Offer Statistics'!ES$2:ES$400,MATCH(1,($A4='Offer Statistics'!$EN$2:$EN$400)*($AA$2='Offer Statistics'!$EO$2:$EO$400),0)),"/")</f>
        <v>412</v>
      </c>
      <c r="AN4" s="64" cm="1">
        <f t="array" ref="AN4">IFERROR(INDEX('Offer Statistics'!ET$2:ET$400,MATCH(1,($A4='Offer Statistics'!$EN$2:$EN$400)*($AA$2='Offer Statistics'!$EO$2:$EO$400),0)),"/")</f>
        <v>399</v>
      </c>
      <c r="AO4" s="15"/>
      <c r="AP4" s="15" t="str">
        <f t="shared" si="0"/>
        <v>JS9011</v>
      </c>
    </row>
    <row r="5" spans="1:42" ht="18" customHeight="1">
      <c r="A5" s="4" t="str">
        <f>'Reference Score Calculation'!A331</f>
        <v>JS9013</v>
      </c>
      <c r="B5" s="4" t="str">
        <f>'Reference Score Calculation'!C331</f>
        <v>人文社會科學院</v>
      </c>
      <c r="C5" s="4" t="str">
        <f>'Reference Score Calculation'!D331</f>
        <v>語言研究與翻譯榮譽文學士</v>
      </c>
      <c r="D5" s="4" t="str">
        <f>'Reference Score Calculation'!R331</f>
        <v>BA(Hons) LangStud &amp; Tran</v>
      </c>
      <c r="E5" s="85" t="str">
        <f>'Reference Score Calculation'!E331</f>
        <v>Best 5</v>
      </c>
      <c r="F5" s="6">
        <f>'Reference Score Calculation'!H331</f>
        <v>20</v>
      </c>
      <c r="G5" s="6">
        <f>'Reference Score Calculation'!I331</f>
        <v>19</v>
      </c>
      <c r="H5" s="45">
        <f>計分版!J354</f>
        <v>3.3500000000000002E-9</v>
      </c>
      <c r="I5" s="185">
        <f>IFERROR(IF(I$1="差距(Median)",H5-F5,IF(I$1="差距(UQ)",H5-#REF!,IF(I$1="差距(LQ)",H5-G5))),"/")</f>
        <v>-19.999999996650001</v>
      </c>
      <c r="J5" s="186">
        <f>IFERROR(IF(I$1="差距(Median)",(H5-F5)/H5,IF(I$1="差距(UQ)",(H5-#REF!)/H5,IF(I$1="差距(LQ)",(H5-G5)/H5))),"/")</f>
        <v>-5970149252.7313433</v>
      </c>
      <c r="K5" s="36">
        <f>'Reference Score Calculation'!T331</f>
        <v>45</v>
      </c>
      <c r="L5" s="86">
        <f>入學要求!Z340</f>
        <v>0</v>
      </c>
      <c r="M5" s="523"/>
      <c r="N5" s="182">
        <f>入學要求!L340</f>
        <v>3</v>
      </c>
      <c r="O5" s="182">
        <f>入學要求!M340</f>
        <v>3</v>
      </c>
      <c r="P5" s="182">
        <f>入學要求!N340</f>
        <v>2</v>
      </c>
      <c r="Q5" s="182">
        <f>入學要求!O340</f>
        <v>1</v>
      </c>
      <c r="R5" s="182">
        <f>入學要求!P340</f>
        <v>2</v>
      </c>
      <c r="S5" s="182">
        <f>入學要求!Q340</f>
        <v>2</v>
      </c>
      <c r="T5" s="256">
        <f>入學要求!S340</f>
        <v>0</v>
      </c>
      <c r="U5" s="256">
        <f>入學要求!T340</f>
        <v>0</v>
      </c>
      <c r="V5" s="256">
        <f>入學要求!U340</f>
        <v>0</v>
      </c>
      <c r="W5" s="256">
        <f>入學要求!V340</f>
        <v>0</v>
      </c>
      <c r="X5" s="256">
        <f>入學要求!W340</f>
        <v>0</v>
      </c>
      <c r="Y5" s="256">
        <f>入學要求!X340</f>
        <v>0</v>
      </c>
      <c r="Z5" s="15">
        <f t="shared" si="1"/>
        <v>2.85</v>
      </c>
      <c r="AA5" s="510"/>
      <c r="AB5" s="36" cm="1">
        <f t="array" ref="AB5">IFERROR(INDEX('Offer Statistics'!FC$2:FC$400,MATCH(1,($A5='Offer Statistics'!$EN$2:$EN$400)*($AA$2='Offer Statistics'!$EO$2:$EO$400),0)),"/")</f>
        <v>92</v>
      </c>
      <c r="AC5" s="64" cm="1">
        <f t="array" ref="AC5">IFERROR(INDEX('Offer Statistics'!EX$2:EX$400,MATCH(1,($A5='Offer Statistics'!$EN$2:$EN$400)*($AA$2='Offer Statistics'!$EO$2:$EO$400),0)),"/")</f>
        <v>41</v>
      </c>
      <c r="AD5" s="64" cm="1">
        <f t="array" ref="AD5">IFERROR(INDEX('Offer Statistics'!EY$2:EY$400,MATCH(1,($A5='Offer Statistics'!$EN$2:$EN$400)*($AA$2='Offer Statistics'!$EO$2:$EO$400),0)),"/")</f>
        <v>22</v>
      </c>
      <c r="AE5" s="64" cm="1">
        <f t="array" ref="AE5">IFERROR(INDEX('Offer Statistics'!EZ$2:EZ$400,MATCH(1,($A5='Offer Statistics'!$EN$2:$EN$400)*($AA$2='Offer Statistics'!$EO$2:$EO$400),0)),"/")</f>
        <v>12</v>
      </c>
      <c r="AF5" s="64" cm="1">
        <f t="array" ref="AF5">IFERROR(INDEX('Offer Statistics'!FA$2:FA$400,MATCH(1,($A5='Offer Statistics'!$EN$2:$EN$400)*($AA$2='Offer Statistics'!$EO$2:$EO$400),0)),"/")</f>
        <v>5</v>
      </c>
      <c r="AG5" s="64" cm="1">
        <f t="array" ref="AG5">IFERROR(INDEX('Offer Statistics'!FB$2:FB$400,MATCH(1,($A5='Offer Statistics'!$EN$2:$EN$400)*($AA$2='Offer Statistics'!$EO$2:$EO$400),0)),"/")</f>
        <v>12</v>
      </c>
      <c r="AH5" s="511"/>
      <c r="AI5" s="36" cm="1">
        <f t="array" ref="AI5">IFERROR(INDEX('Offer Statistics'!EU$2:EU$400,MATCH(1,($A5='Offer Statistics'!$EN$2:$EN$400)*($AA$2='Offer Statistics'!$EO$2:$EO$400),0)),"/")</f>
        <v>1378</v>
      </c>
      <c r="AJ5" s="64" cm="1">
        <f t="array" ref="AJ5">IFERROR(INDEX('Offer Statistics'!EP$2:EP$400,MATCH(1,($A5='Offer Statistics'!$EN$2:$EN$400)*($AA$2='Offer Statistics'!$EO$2:$EO$400),0)),"/")</f>
        <v>117</v>
      </c>
      <c r="AK5" s="64" cm="1">
        <f t="array" ref="AK5">IFERROR(INDEX('Offer Statistics'!EQ$2:EQ$400,MATCH(1,($A5='Offer Statistics'!$EN$2:$EN$400)*($AA$2='Offer Statistics'!$EO$2:$EO$400),0)),"/")</f>
        <v>218</v>
      </c>
      <c r="AL5" s="64" cm="1">
        <f t="array" ref="AL5">IFERROR(INDEX('Offer Statistics'!ER$2:ER$400,MATCH(1,($A5='Offer Statistics'!$EN$2:$EN$400)*($AA$2='Offer Statistics'!$EO$2:$EO$400),0)),"/")</f>
        <v>279</v>
      </c>
      <c r="AM5" s="64" cm="1">
        <f t="array" ref="AM5">IFERROR(INDEX('Offer Statistics'!ES$2:ES$400,MATCH(1,($A5='Offer Statistics'!$EN$2:$EN$400)*($AA$2='Offer Statistics'!$EO$2:$EO$400),0)),"/")</f>
        <v>360</v>
      </c>
      <c r="AN5" s="64" cm="1">
        <f t="array" ref="AN5">IFERROR(INDEX('Offer Statistics'!ET$2:ET$400,MATCH(1,($A5='Offer Statistics'!$EN$2:$EN$400)*($AA$2='Offer Statistics'!$EO$2:$EO$400),0)),"/")</f>
        <v>404</v>
      </c>
      <c r="AO5" s="15"/>
      <c r="AP5" s="15" t="str">
        <f t="shared" si="0"/>
        <v>JS9013</v>
      </c>
    </row>
    <row r="6" spans="1:42" ht="18" customHeight="1">
      <c r="A6" s="4" t="str">
        <f>'Reference Score Calculation'!A332</f>
        <v>JS9016</v>
      </c>
      <c r="B6" s="4" t="str">
        <f>'Reference Score Calculation'!C332</f>
        <v>人文社會科學院</v>
      </c>
      <c r="C6" s="4" t="str">
        <f>'Reference Score Calculation'!D332</f>
        <v>創意廣告及媒體設計榮譽文學士</v>
      </c>
      <c r="D6" s="4" t="str">
        <f>'Reference Score Calculation'!R332</f>
        <v>BA(Hons)CreAd&amp;MediaDesig</v>
      </c>
      <c r="E6" s="85" t="str">
        <f>'Reference Score Calculation'!E332</f>
        <v>Best 5</v>
      </c>
      <c r="F6" s="6">
        <f>'Reference Score Calculation'!H332</f>
        <v>21</v>
      </c>
      <c r="G6" s="6">
        <f>'Reference Score Calculation'!I332</f>
        <v>19</v>
      </c>
      <c r="H6" s="45">
        <f>計分版!J355</f>
        <v>3.3500000000000002E-9</v>
      </c>
      <c r="I6" s="185">
        <f>IFERROR(IF(I$1="差距(Median)",H6-F6,IF(I$1="差距(UQ)",H6-#REF!,IF(I$1="差距(LQ)",H6-G6))),"/")</f>
        <v>-20.999999996650001</v>
      </c>
      <c r="J6" s="186">
        <f>IFERROR(IF(I$1="差距(Median)",(H6-F6)/H6,IF(I$1="差距(UQ)",(H6-#REF!)/H6,IF(I$1="差距(LQ)",(H6-G6)/H6))),"/")</f>
        <v>-6268656715.4179106</v>
      </c>
      <c r="K6" s="36">
        <f>'Reference Score Calculation'!T332</f>
        <v>70</v>
      </c>
      <c r="L6" s="86">
        <f>入學要求!Z341</f>
        <v>0</v>
      </c>
      <c r="M6" s="523"/>
      <c r="N6" s="182">
        <f>入學要求!L341</f>
        <v>3</v>
      </c>
      <c r="O6" s="182">
        <f>入學要求!M341</f>
        <v>3</v>
      </c>
      <c r="P6" s="182">
        <f>入學要求!N341</f>
        <v>2</v>
      </c>
      <c r="Q6" s="182">
        <f>入學要求!O341</f>
        <v>1</v>
      </c>
      <c r="R6" s="182">
        <f>入學要求!P341</f>
        <v>2</v>
      </c>
      <c r="S6" s="182">
        <f>入學要求!Q341</f>
        <v>2</v>
      </c>
      <c r="T6" s="256">
        <f>入學要求!S341</f>
        <v>0</v>
      </c>
      <c r="U6" s="256">
        <f>入學要求!T341</f>
        <v>0</v>
      </c>
      <c r="V6" s="256">
        <f>入學要求!U341</f>
        <v>0</v>
      </c>
      <c r="W6" s="256">
        <f>入學要求!V341</f>
        <v>0</v>
      </c>
      <c r="X6" s="256">
        <f>入學要求!W341</f>
        <v>0</v>
      </c>
      <c r="Y6" s="256">
        <f>入學要求!X341</f>
        <v>0</v>
      </c>
      <c r="Z6" s="15">
        <f t="shared" si="1"/>
        <v>4.5</v>
      </c>
      <c r="AA6" s="510"/>
      <c r="AB6" s="36" cm="1">
        <f t="array" ref="AB6">IFERROR(INDEX('Offer Statistics'!FC$2:FC$400,MATCH(1,($A6='Offer Statistics'!$EN$2:$EN$400)*($AA$2='Offer Statistics'!$EO$2:$EO$400),0)),"/")</f>
        <v>222</v>
      </c>
      <c r="AC6" s="64" cm="1">
        <f t="array" ref="AC6">IFERROR(INDEX('Offer Statistics'!EX$2:EX$400,MATCH(1,($A6='Offer Statistics'!$EN$2:$EN$400)*($AA$2='Offer Statistics'!$EO$2:$EO$400),0)),"/")</f>
        <v>105</v>
      </c>
      <c r="AD6" s="64" cm="1">
        <f t="array" ref="AD6">IFERROR(INDEX('Offer Statistics'!EY$2:EY$400,MATCH(1,($A6='Offer Statistics'!$EN$2:$EN$400)*($AA$2='Offer Statistics'!$EO$2:$EO$400),0)),"/")</f>
        <v>41</v>
      </c>
      <c r="AE6" s="64" cm="1">
        <f t="array" ref="AE6">IFERROR(INDEX('Offer Statistics'!EZ$2:EZ$400,MATCH(1,($A6='Offer Statistics'!$EN$2:$EN$400)*($AA$2='Offer Statistics'!$EO$2:$EO$400),0)),"/")</f>
        <v>33</v>
      </c>
      <c r="AF6" s="64" cm="1">
        <f t="array" ref="AF6">IFERROR(INDEX('Offer Statistics'!FA$2:FA$400,MATCH(1,($A6='Offer Statistics'!$EN$2:$EN$400)*($AA$2='Offer Statistics'!$EO$2:$EO$400),0)),"/")</f>
        <v>22</v>
      </c>
      <c r="AG6" s="64" cm="1">
        <f t="array" ref="AG6">IFERROR(INDEX('Offer Statistics'!FB$2:FB$400,MATCH(1,($A6='Offer Statistics'!$EN$2:$EN$400)*($AA$2='Offer Statistics'!$EO$2:$EO$400),0)),"/")</f>
        <v>21</v>
      </c>
      <c r="AH6" s="511"/>
      <c r="AI6" s="36" cm="1">
        <f t="array" ref="AI6">IFERROR(INDEX('Offer Statistics'!EU$2:EU$400,MATCH(1,($A6='Offer Statistics'!$EN$2:$EN$400)*($AA$2='Offer Statistics'!$EO$2:$EO$400),0)),"/")</f>
        <v>3703</v>
      </c>
      <c r="AJ6" s="64" cm="1">
        <f t="array" ref="AJ6">IFERROR(INDEX('Offer Statistics'!EP$2:EP$400,MATCH(1,($A6='Offer Statistics'!$EN$2:$EN$400)*($AA$2='Offer Statistics'!$EO$2:$EO$400),0)),"/")</f>
        <v>472</v>
      </c>
      <c r="AK6" s="64" cm="1">
        <f t="array" ref="AK6">IFERROR(INDEX('Offer Statistics'!EQ$2:EQ$400,MATCH(1,($A6='Offer Statistics'!$EN$2:$EN$400)*($AA$2='Offer Statistics'!$EO$2:$EO$400),0)),"/")</f>
        <v>666</v>
      </c>
      <c r="AL6" s="64" cm="1">
        <f t="array" ref="AL6">IFERROR(INDEX('Offer Statistics'!ER$2:ER$400,MATCH(1,($A6='Offer Statistics'!$EN$2:$EN$400)*($AA$2='Offer Statistics'!$EO$2:$EO$400),0)),"/")</f>
        <v>782</v>
      </c>
      <c r="AM6" s="64" cm="1">
        <f t="array" ref="AM6">IFERROR(INDEX('Offer Statistics'!ES$2:ES$400,MATCH(1,($A6='Offer Statistics'!$EN$2:$EN$400)*($AA$2='Offer Statistics'!$EO$2:$EO$400),0)),"/")</f>
        <v>930</v>
      </c>
      <c r="AN6" s="64" cm="1">
        <f t="array" ref="AN6">IFERROR(INDEX('Offer Statistics'!ET$2:ET$400,MATCH(1,($A6='Offer Statistics'!$EN$2:$EN$400)*($AA$2='Offer Statistics'!$EO$2:$EO$400),0)),"/")</f>
        <v>853</v>
      </c>
      <c r="AO6" s="15"/>
      <c r="AP6" s="15" t="str">
        <f t="shared" si="0"/>
        <v>JS9016</v>
      </c>
    </row>
    <row r="7" spans="1:42" ht="18" customHeight="1">
      <c r="A7" s="4" t="str">
        <f>'Reference Score Calculation'!A333</f>
        <v>JS9019</v>
      </c>
      <c r="B7" s="4" t="str">
        <f>'Reference Score Calculation'!C333</f>
        <v>人文社會科學院</v>
      </c>
      <c r="C7" s="4" t="str">
        <f>'Reference Score Calculation'!D333</f>
        <v>英語及文化榮譽文學士</v>
      </c>
      <c r="D7" s="4" t="str">
        <f>'Reference Score Calculation'!R333</f>
        <v>BA(Hons) EngLang&amp;Cult</v>
      </c>
      <c r="E7" s="85" t="str">
        <f>'Reference Score Calculation'!E333</f>
        <v>Best 5</v>
      </c>
      <c r="F7" s="6">
        <f>'Reference Score Calculation'!H333</f>
        <v>15</v>
      </c>
      <c r="G7" s="6">
        <f>'Reference Score Calculation'!I333</f>
        <v>14</v>
      </c>
      <c r="H7" s="45">
        <f>計分版!J356</f>
        <v>3.9500000000000006E-9</v>
      </c>
      <c r="I7" s="185">
        <f>IFERROR(IF(I$1="差距(Median)",H7-F7,IF(I$1="差距(UQ)",H7-#REF!,IF(I$1="差距(LQ)",H7-G7))),"/")</f>
        <v>-14.999999996050001</v>
      </c>
      <c r="J7" s="186">
        <f>IFERROR(IF(I$1="差距(Median)",(H7-F7)/H7,IF(I$1="差距(UQ)",(H7-#REF!)/H7,IF(I$1="差距(LQ)",(H7-G7)/H7))),"/")</f>
        <v>-3797468353.4303794</v>
      </c>
      <c r="K7" s="36">
        <f>'Reference Score Calculation'!T333</f>
        <v>20</v>
      </c>
      <c r="L7" s="86">
        <f>入學要求!Z342</f>
        <v>0</v>
      </c>
      <c r="M7" s="523"/>
      <c r="N7" s="182">
        <f>入學要求!L342</f>
        <v>3</v>
      </c>
      <c r="O7" s="182">
        <f>入學要求!M342</f>
        <v>3</v>
      </c>
      <c r="P7" s="182">
        <f>入學要求!N342</f>
        <v>2</v>
      </c>
      <c r="Q7" s="182">
        <f>入學要求!O342</f>
        <v>1</v>
      </c>
      <c r="R7" s="182">
        <f>入學要求!P342</f>
        <v>2</v>
      </c>
      <c r="S7" s="182">
        <f>入學要求!Q342</f>
        <v>2</v>
      </c>
      <c r="T7" s="256">
        <f>入學要求!S342</f>
        <v>0</v>
      </c>
      <c r="U7" s="256">
        <f>入學要求!T342</f>
        <v>0</v>
      </c>
      <c r="V7" s="256">
        <f>入學要求!U342</f>
        <v>0</v>
      </c>
      <c r="W7" s="256">
        <f>入學要求!V342</f>
        <v>0</v>
      </c>
      <c r="X7" s="256">
        <f>入學要求!W342</f>
        <v>0</v>
      </c>
      <c r="Y7" s="256">
        <f>入學要求!X342</f>
        <v>0</v>
      </c>
      <c r="Z7" s="15">
        <f t="shared" si="1"/>
        <v>7.7</v>
      </c>
      <c r="AA7" s="510"/>
      <c r="AB7" s="36" cm="1">
        <f t="array" ref="AB7">IFERROR(INDEX('Offer Statistics'!FC$2:FC$400,MATCH(1,($A7='Offer Statistics'!$EN$2:$EN$400)*($AA$2='Offer Statistics'!$EO$2:$EO$400),0)),"/")</f>
        <v>53</v>
      </c>
      <c r="AC7" s="64" cm="1">
        <f t="array" ref="AC7">IFERROR(INDEX('Offer Statistics'!EX$2:EX$400,MATCH(1,($A7='Offer Statistics'!$EN$2:$EN$400)*($AA$2='Offer Statistics'!$EO$2:$EO$400),0)),"/")</f>
        <v>27</v>
      </c>
      <c r="AD7" s="64" cm="1">
        <f t="array" ref="AD7">IFERROR(INDEX('Offer Statistics'!EY$2:EY$400,MATCH(1,($A7='Offer Statistics'!$EN$2:$EN$400)*($AA$2='Offer Statistics'!$EO$2:$EO$400),0)),"/")</f>
        <v>15</v>
      </c>
      <c r="AE7" s="64" cm="1">
        <f t="array" ref="AE7">IFERROR(INDEX('Offer Statistics'!EZ$2:EZ$400,MATCH(1,($A7='Offer Statistics'!$EN$2:$EN$400)*($AA$2='Offer Statistics'!$EO$2:$EO$400),0)),"/")</f>
        <v>5</v>
      </c>
      <c r="AF7" s="64" cm="1">
        <f t="array" ref="AF7">IFERROR(INDEX('Offer Statistics'!FA$2:FA$400,MATCH(1,($A7='Offer Statistics'!$EN$2:$EN$400)*($AA$2='Offer Statistics'!$EO$2:$EO$400),0)),"/")</f>
        <v>4</v>
      </c>
      <c r="AG7" s="64" cm="1">
        <f t="array" ref="AG7">IFERROR(INDEX('Offer Statistics'!FB$2:FB$400,MATCH(1,($A7='Offer Statistics'!$EN$2:$EN$400)*($AA$2='Offer Statistics'!$EO$2:$EO$400),0)),"/")</f>
        <v>2</v>
      </c>
      <c r="AH7" s="511"/>
      <c r="AI7" s="36" cm="1">
        <f t="array" ref="AI7">IFERROR(INDEX('Offer Statistics'!EU$2:EU$400,MATCH(1,($A7='Offer Statistics'!$EN$2:$EN$400)*($AA$2='Offer Statistics'!$EO$2:$EO$400),0)),"/")</f>
        <v>1226</v>
      </c>
      <c r="AJ7" s="64" cm="1">
        <f t="array" ref="AJ7">IFERROR(INDEX('Offer Statistics'!EP$2:EP$400,MATCH(1,($A7='Offer Statistics'!$EN$2:$EN$400)*($AA$2='Offer Statistics'!$EO$2:$EO$400),0)),"/")</f>
        <v>208</v>
      </c>
      <c r="AK7" s="64" cm="1">
        <f t="array" ref="AK7">IFERROR(INDEX('Offer Statistics'!EQ$2:EQ$400,MATCH(1,($A7='Offer Statistics'!$EN$2:$EN$400)*($AA$2='Offer Statistics'!$EO$2:$EO$400),0)),"/")</f>
        <v>234</v>
      </c>
      <c r="AL7" s="64" cm="1">
        <f t="array" ref="AL7">IFERROR(INDEX('Offer Statistics'!ER$2:ER$400,MATCH(1,($A7='Offer Statistics'!$EN$2:$EN$400)*($AA$2='Offer Statistics'!$EO$2:$EO$400),0)),"/")</f>
        <v>221</v>
      </c>
      <c r="AM7" s="64" cm="1">
        <f t="array" ref="AM7">IFERROR(INDEX('Offer Statistics'!ES$2:ES$400,MATCH(1,($A7='Offer Statistics'!$EN$2:$EN$400)*($AA$2='Offer Statistics'!$EO$2:$EO$400),0)),"/")</f>
        <v>274</v>
      </c>
      <c r="AN7" s="64" cm="1">
        <f t="array" ref="AN7">IFERROR(INDEX('Offer Statistics'!ET$2:ET$400,MATCH(1,($A7='Offer Statistics'!$EN$2:$EN$400)*($AA$2='Offer Statistics'!$EO$2:$EO$400),0)),"/")</f>
        <v>289</v>
      </c>
      <c r="AO7" s="15"/>
      <c r="AP7" s="15" t="str">
        <f t="shared" si="0"/>
        <v>JS9019</v>
      </c>
    </row>
    <row r="8" spans="1:42" ht="18" customHeight="1">
      <c r="A8" s="4" t="str">
        <f>'Reference Score Calculation'!A334</f>
        <v>JS9220</v>
      </c>
      <c r="B8" s="4" t="str">
        <f>'Reference Score Calculation'!C334</f>
        <v>李兆基商業管理學院</v>
      </c>
      <c r="C8" s="4" t="str">
        <f>'Reference Score Calculation'!D334</f>
        <v>專業會計榮譽工商管理學士</v>
      </c>
      <c r="D8" s="4" t="str">
        <f>'Reference Score Calculation'!R334</f>
        <v>BBA(Hons) Pro Acct</v>
      </c>
      <c r="E8" s="85" t="str">
        <f>'Reference Score Calculation'!E334</f>
        <v>Best 5</v>
      </c>
      <c r="F8" s="6">
        <f>'Reference Score Calculation'!H334</f>
        <v>17</v>
      </c>
      <c r="G8" s="6">
        <f>'Reference Score Calculation'!I334</f>
        <v>17</v>
      </c>
      <c r="H8" s="45">
        <f>計分版!J357</f>
        <v>3.9500000000000006E-9</v>
      </c>
      <c r="I8" s="185">
        <f>IFERROR(IF(I$1="差距(Median)",H8-F8,IF(I$1="差距(UQ)",H8-#REF!,IF(I$1="差距(LQ)",H8-G8))),"/")</f>
        <v>-16.999999996050001</v>
      </c>
      <c r="J8" s="186">
        <f>IFERROR(IF(I$1="差距(Median)",(H8-F8)/H8,IF(I$1="差距(UQ)",(H8-#REF!)/H8,IF(I$1="差距(LQ)",(H8-G8)/H8))),"/")</f>
        <v>-4303797467.3544302</v>
      </c>
      <c r="K8" s="36">
        <f>'Reference Score Calculation'!T334</f>
        <v>40</v>
      </c>
      <c r="L8" s="86">
        <f>入學要求!Z343</f>
        <v>0</v>
      </c>
      <c r="M8" s="523"/>
      <c r="N8" s="182">
        <f>入學要求!L343</f>
        <v>3</v>
      </c>
      <c r="O8" s="182">
        <f>入學要求!M343</f>
        <v>3</v>
      </c>
      <c r="P8" s="182">
        <f>入學要求!N343</f>
        <v>2</v>
      </c>
      <c r="Q8" s="182">
        <f>入學要求!O343</f>
        <v>1</v>
      </c>
      <c r="R8" s="182">
        <f>入學要求!P343</f>
        <v>2</v>
      </c>
      <c r="S8" s="182">
        <f>入學要求!Q343</f>
        <v>2</v>
      </c>
      <c r="T8" s="256">
        <f>入學要求!S343</f>
        <v>0</v>
      </c>
      <c r="U8" s="256">
        <f>入學要求!T343</f>
        <v>0</v>
      </c>
      <c r="V8" s="256">
        <f>入學要求!U343</f>
        <v>0</v>
      </c>
      <c r="W8" s="256">
        <f>入學要求!V343</f>
        <v>0</v>
      </c>
      <c r="X8" s="256">
        <f>入學要求!W343</f>
        <v>0</v>
      </c>
      <c r="Y8" s="256">
        <f>入學要求!X343</f>
        <v>0</v>
      </c>
      <c r="Z8" s="15">
        <f t="shared" si="1"/>
        <v>5.15</v>
      </c>
      <c r="AA8" s="510"/>
      <c r="AB8" s="36" cm="1">
        <f t="array" ref="AB8">IFERROR(INDEX('Offer Statistics'!FC$2:FC$400,MATCH(1,($A8='Offer Statistics'!$EN$2:$EN$400)*($AA$2='Offer Statistics'!$EO$2:$EO$400),0)),"/")</f>
        <v>96</v>
      </c>
      <c r="AC8" s="64" cm="1">
        <f t="array" ref="AC8">IFERROR(INDEX('Offer Statistics'!EX$2:EX$400,MATCH(1,($A8='Offer Statistics'!$EN$2:$EN$400)*($AA$2='Offer Statistics'!$EO$2:$EO$400),0)),"/")</f>
        <v>55</v>
      </c>
      <c r="AD8" s="64" cm="1">
        <f t="array" ref="AD8">IFERROR(INDEX('Offer Statistics'!EY$2:EY$400,MATCH(1,($A8='Offer Statistics'!$EN$2:$EN$400)*($AA$2='Offer Statistics'!$EO$2:$EO$400),0)),"/")</f>
        <v>20</v>
      </c>
      <c r="AE8" s="64" cm="1">
        <f t="array" ref="AE8">IFERROR(INDEX('Offer Statistics'!EZ$2:EZ$400,MATCH(1,($A8='Offer Statistics'!$EN$2:$EN$400)*($AA$2='Offer Statistics'!$EO$2:$EO$400),0)),"/")</f>
        <v>9</v>
      </c>
      <c r="AF8" s="64" cm="1">
        <f t="array" ref="AF8">IFERROR(INDEX('Offer Statistics'!FA$2:FA$400,MATCH(1,($A8='Offer Statistics'!$EN$2:$EN$400)*($AA$2='Offer Statistics'!$EO$2:$EO$400),0)),"/")</f>
        <v>5</v>
      </c>
      <c r="AG8" s="64" cm="1">
        <f t="array" ref="AG8">IFERROR(INDEX('Offer Statistics'!FB$2:FB$400,MATCH(1,($A8='Offer Statistics'!$EN$2:$EN$400)*($AA$2='Offer Statistics'!$EO$2:$EO$400),0)),"/")</f>
        <v>7</v>
      </c>
      <c r="AH8" s="511"/>
      <c r="AI8" s="36" cm="1">
        <f t="array" ref="AI8">IFERROR(INDEX('Offer Statistics'!EU$2:EU$400,MATCH(1,($A8='Offer Statistics'!$EN$2:$EN$400)*($AA$2='Offer Statistics'!$EO$2:$EO$400),0)),"/")</f>
        <v>2109</v>
      </c>
      <c r="AJ8" s="64" cm="1">
        <f t="array" ref="AJ8">IFERROR(INDEX('Offer Statistics'!EP$2:EP$400,MATCH(1,($A8='Offer Statistics'!$EN$2:$EN$400)*($AA$2='Offer Statistics'!$EO$2:$EO$400),0)),"/")</f>
        <v>283</v>
      </c>
      <c r="AK8" s="64" cm="1">
        <f t="array" ref="AK8">IFERROR(INDEX('Offer Statistics'!EQ$2:EQ$400,MATCH(1,($A8='Offer Statistics'!$EN$2:$EN$400)*($AA$2='Offer Statistics'!$EO$2:$EO$400),0)),"/")</f>
        <v>366</v>
      </c>
      <c r="AL8" s="64" cm="1">
        <f t="array" ref="AL8">IFERROR(INDEX('Offer Statistics'!ER$2:ER$400,MATCH(1,($A8='Offer Statistics'!$EN$2:$EN$400)*($AA$2='Offer Statistics'!$EO$2:$EO$400),0)),"/")</f>
        <v>413</v>
      </c>
      <c r="AM8" s="64" cm="1">
        <f t="array" ref="AM8">IFERROR(INDEX('Offer Statistics'!ES$2:ES$400,MATCH(1,($A8='Offer Statistics'!$EN$2:$EN$400)*($AA$2='Offer Statistics'!$EO$2:$EO$400),0)),"/")</f>
        <v>469</v>
      </c>
      <c r="AN8" s="64" cm="1">
        <f t="array" ref="AN8">IFERROR(INDEX('Offer Statistics'!ET$2:ET$400,MATCH(1,($A8='Offer Statistics'!$EN$2:$EN$400)*($AA$2='Offer Statistics'!$EO$2:$EO$400),0)),"/")</f>
        <v>578</v>
      </c>
      <c r="AO8" s="15"/>
      <c r="AP8" s="15" t="str">
        <f t="shared" si="0"/>
        <v>JS9220</v>
      </c>
    </row>
    <row r="9" spans="1:42" ht="18" customHeight="1">
      <c r="A9" s="4" t="str">
        <f>'Reference Score Calculation'!A335</f>
        <v>JS9223</v>
      </c>
      <c r="B9" s="4" t="str">
        <f>'Reference Score Calculation'!C335</f>
        <v>李兆基商業管理學院</v>
      </c>
      <c r="C9" s="4" t="str">
        <f>'Reference Score Calculation'!D335</f>
        <v>航空服務管理榮譽工商管理學士</v>
      </c>
      <c r="D9" s="4" t="str">
        <f>'Reference Score Calculation'!R335</f>
        <v>BBA(Hons)AviServMgt</v>
      </c>
      <c r="E9" s="85" t="str">
        <f>'Reference Score Calculation'!E335</f>
        <v>Best 5</v>
      </c>
      <c r="F9" s="6">
        <f>'Reference Score Calculation'!H335</f>
        <v>16</v>
      </c>
      <c r="G9" s="6">
        <f>'Reference Score Calculation'!I335</f>
        <v>16</v>
      </c>
      <c r="H9" s="45">
        <f>計分版!J358</f>
        <v>3.9500000000000006E-9</v>
      </c>
      <c r="I9" s="185">
        <f>IFERROR(IF(I$1="差距(Median)",H9-F9,IF(I$1="差距(UQ)",H9-#REF!,IF(I$1="差距(LQ)",H9-G9))),"/")</f>
        <v>-15.999999996050001</v>
      </c>
      <c r="J9" s="186">
        <f>IFERROR(IF(I$1="差距(Median)",(H9-F9)/H9,IF(I$1="差距(UQ)",(H9-#REF!)/H9,IF(I$1="差距(LQ)",(H9-G9)/H9))),"/")</f>
        <v>-4050632910.3924046</v>
      </c>
      <c r="K9" s="36">
        <f>'Reference Score Calculation'!T335</f>
        <v>20</v>
      </c>
      <c r="L9" s="86">
        <f>入學要求!Z344</f>
        <v>0</v>
      </c>
      <c r="M9" s="523"/>
      <c r="N9" s="182">
        <f>入學要求!L344</f>
        <v>3</v>
      </c>
      <c r="O9" s="182">
        <f>入學要求!M344</f>
        <v>3</v>
      </c>
      <c r="P9" s="182">
        <f>入學要求!N344</f>
        <v>2</v>
      </c>
      <c r="Q9" s="182">
        <f>入學要求!O344</f>
        <v>1</v>
      </c>
      <c r="R9" s="182">
        <f>入學要求!P344</f>
        <v>2</v>
      </c>
      <c r="S9" s="182">
        <f>入學要求!Q344</f>
        <v>2</v>
      </c>
      <c r="T9" s="256">
        <f>入學要求!S344</f>
        <v>0</v>
      </c>
      <c r="U9" s="256">
        <f>入學要求!T344</f>
        <v>0</v>
      </c>
      <c r="V9" s="256">
        <f>入學要求!U344</f>
        <v>0</v>
      </c>
      <c r="W9" s="256">
        <f>入學要求!V344</f>
        <v>0</v>
      </c>
      <c r="X9" s="256">
        <f>入學要求!W344</f>
        <v>0</v>
      </c>
      <c r="Y9" s="256">
        <f>入學要求!X344</f>
        <v>0</v>
      </c>
      <c r="Z9" s="15">
        <f t="shared" si="1"/>
        <v>8.25</v>
      </c>
      <c r="AA9" s="510"/>
      <c r="AB9" s="36" cm="1">
        <f t="array" ref="AB9">IFERROR(INDEX('Offer Statistics'!FC$2:FC$400,MATCH(1,($A9='Offer Statistics'!$EN$2:$EN$400)*($AA$2='Offer Statistics'!$EO$2:$EO$400),0)),"/")</f>
        <v>34</v>
      </c>
      <c r="AC9" s="64" cm="1">
        <f t="array" ref="AC9">IFERROR(INDEX('Offer Statistics'!EX$2:EX$400,MATCH(1,($A9='Offer Statistics'!$EN$2:$EN$400)*($AA$2='Offer Statistics'!$EO$2:$EO$400),0)),"/")</f>
        <v>20</v>
      </c>
      <c r="AD9" s="64" cm="1">
        <f t="array" ref="AD9">IFERROR(INDEX('Offer Statistics'!EY$2:EY$400,MATCH(1,($A9='Offer Statistics'!$EN$2:$EN$400)*($AA$2='Offer Statistics'!$EO$2:$EO$400),0)),"/")</f>
        <v>2</v>
      </c>
      <c r="AE9" s="64" cm="1">
        <f t="array" ref="AE9">IFERROR(INDEX('Offer Statistics'!EZ$2:EZ$400,MATCH(1,($A9='Offer Statistics'!$EN$2:$EN$400)*($AA$2='Offer Statistics'!$EO$2:$EO$400),0)),"/")</f>
        <v>1</v>
      </c>
      <c r="AF9" s="64" cm="1">
        <f t="array" ref="AF9">IFERROR(INDEX('Offer Statistics'!FA$2:FA$400,MATCH(1,($A9='Offer Statistics'!$EN$2:$EN$400)*($AA$2='Offer Statistics'!$EO$2:$EO$400),0)),"/")</f>
        <v>7</v>
      </c>
      <c r="AG9" s="64" cm="1">
        <f t="array" ref="AG9">IFERROR(INDEX('Offer Statistics'!FB$2:FB$400,MATCH(1,($A9='Offer Statistics'!$EN$2:$EN$400)*($AA$2='Offer Statistics'!$EO$2:$EO$400),0)),"/")</f>
        <v>4</v>
      </c>
      <c r="AH9" s="511"/>
      <c r="AI9" s="36" cm="1">
        <f t="array" ref="AI9">IFERROR(INDEX('Offer Statistics'!EU$2:EU$400,MATCH(1,($A9='Offer Statistics'!$EN$2:$EN$400)*($AA$2='Offer Statistics'!$EO$2:$EO$400),0)),"/")</f>
        <v>1478</v>
      </c>
      <c r="AJ9" s="64" cm="1">
        <f t="array" ref="AJ9">IFERROR(INDEX('Offer Statistics'!EP$2:EP$400,MATCH(1,($A9='Offer Statistics'!$EN$2:$EN$400)*($AA$2='Offer Statistics'!$EO$2:$EO$400),0)),"/")</f>
        <v>165</v>
      </c>
      <c r="AK9" s="64" cm="1">
        <f t="array" ref="AK9">IFERROR(INDEX('Offer Statistics'!EQ$2:EQ$400,MATCH(1,($A9='Offer Statistics'!$EN$2:$EN$400)*($AA$2='Offer Statistics'!$EO$2:$EO$400),0)),"/")</f>
        <v>199</v>
      </c>
      <c r="AL9" s="64" cm="1">
        <f t="array" ref="AL9">IFERROR(INDEX('Offer Statistics'!ER$2:ER$400,MATCH(1,($A9='Offer Statistics'!$EN$2:$EN$400)*($AA$2='Offer Statistics'!$EO$2:$EO$400),0)),"/")</f>
        <v>301</v>
      </c>
      <c r="AM9" s="64" cm="1">
        <f t="array" ref="AM9">IFERROR(INDEX('Offer Statistics'!ES$2:ES$400,MATCH(1,($A9='Offer Statistics'!$EN$2:$EN$400)*($AA$2='Offer Statistics'!$EO$2:$EO$400),0)),"/")</f>
        <v>378</v>
      </c>
      <c r="AN9" s="64" cm="1">
        <f t="array" ref="AN9">IFERROR(INDEX('Offer Statistics'!ET$2:ET$400,MATCH(1,($A9='Offer Statistics'!$EN$2:$EN$400)*($AA$2='Offer Statistics'!$EO$2:$EO$400),0)),"/")</f>
        <v>435</v>
      </c>
      <c r="AO9" s="15"/>
      <c r="AP9" s="15" t="str">
        <f t="shared" si="0"/>
        <v>JS9223</v>
      </c>
    </row>
    <row r="10" spans="1:42" ht="18" customHeight="1">
      <c r="A10" s="4" t="str">
        <f>'Reference Score Calculation'!A336</f>
        <v>JS9230</v>
      </c>
      <c r="B10" s="4" t="str">
        <f>'Reference Score Calculation'!C336</f>
        <v>李兆基商業管理學院</v>
      </c>
      <c r="C10" s="4" t="str">
        <f>'Reference Score Calculation'!D336</f>
        <v>商業管理學榮譽工商管理學士</v>
      </c>
      <c r="D10" s="4" t="str">
        <f>'Reference Score Calculation'!R336</f>
        <v>BBA(Hons) Business Mgt</v>
      </c>
      <c r="E10" s="85" t="str">
        <f>'Reference Score Calculation'!E336</f>
        <v>Best 5</v>
      </c>
      <c r="F10" s="6">
        <f>'Reference Score Calculation'!H336</f>
        <v>16</v>
      </c>
      <c r="G10" s="6">
        <f>'Reference Score Calculation'!I336</f>
        <v>15</v>
      </c>
      <c r="H10" s="45">
        <f>計分版!J359</f>
        <v>3.9500000000000006E-9</v>
      </c>
      <c r="I10" s="185">
        <f>IFERROR(IF(I$1="差距(Median)",H10-F10,IF(I$1="差距(UQ)",H10-#REF!,IF(I$1="差距(LQ)",H10-G10))),"/")</f>
        <v>-15.999999996050001</v>
      </c>
      <c r="J10" s="186">
        <f>IFERROR(IF(I$1="差距(Median)",(H10-F10)/H10,IF(I$1="差距(UQ)",(H10-#REF!)/H10,IF(I$1="差距(LQ)",(H10-G10)/H10))),"/")</f>
        <v>-4050632910.3924046</v>
      </c>
      <c r="K10" s="36">
        <f>'Reference Score Calculation'!T336</f>
        <v>40</v>
      </c>
      <c r="L10" s="86">
        <f>入學要求!Z345</f>
        <v>0</v>
      </c>
      <c r="M10" s="523"/>
      <c r="N10" s="182">
        <f>入學要求!L345</f>
        <v>3</v>
      </c>
      <c r="O10" s="182">
        <f>入學要求!M345</f>
        <v>3</v>
      </c>
      <c r="P10" s="182">
        <f>入學要求!N345</f>
        <v>2</v>
      </c>
      <c r="Q10" s="182">
        <f>入學要求!O345</f>
        <v>1</v>
      </c>
      <c r="R10" s="182">
        <f>入學要求!P345</f>
        <v>2</v>
      </c>
      <c r="S10" s="182">
        <f>入學要求!Q345</f>
        <v>2</v>
      </c>
      <c r="T10" s="256">
        <f>入學要求!S345</f>
        <v>0</v>
      </c>
      <c r="U10" s="256">
        <f>入學要求!T345</f>
        <v>0</v>
      </c>
      <c r="V10" s="256">
        <f>入學要求!U345</f>
        <v>0</v>
      </c>
      <c r="W10" s="256">
        <f>入學要求!V345</f>
        <v>0</v>
      </c>
      <c r="X10" s="256">
        <f>入學要求!W345</f>
        <v>0</v>
      </c>
      <c r="Y10" s="256">
        <f>入學要求!X345</f>
        <v>0</v>
      </c>
      <c r="Z10" s="15">
        <f t="shared" si="1"/>
        <v>7.19</v>
      </c>
      <c r="AA10" s="510"/>
      <c r="AB10" s="36" cm="1">
        <f t="array" ref="AB10">IFERROR(INDEX('Offer Statistics'!FC$2:FC$400,MATCH(1,($A10='Offer Statistics'!$EN$2:$EN$400)*($AA$2='Offer Statistics'!$EO$2:$EO$400),0)),"/")</f>
        <v>111</v>
      </c>
      <c r="AC10" s="64" cm="1">
        <f t="array" ref="AC10">IFERROR(INDEX('Offer Statistics'!EX$2:EX$400,MATCH(1,($A10='Offer Statistics'!$EN$2:$EN$400)*($AA$2='Offer Statistics'!$EO$2:$EO$400),0)),"/")</f>
        <v>62</v>
      </c>
      <c r="AD10" s="64" cm="1">
        <f t="array" ref="AD10">IFERROR(INDEX('Offer Statistics'!EY$2:EY$400,MATCH(1,($A10='Offer Statistics'!$EN$2:$EN$400)*($AA$2='Offer Statistics'!$EO$2:$EO$400),0)),"/")</f>
        <v>17</v>
      </c>
      <c r="AE10" s="64" cm="1">
        <f t="array" ref="AE10">IFERROR(INDEX('Offer Statistics'!EZ$2:EZ$400,MATCH(1,($A10='Offer Statistics'!$EN$2:$EN$400)*($AA$2='Offer Statistics'!$EO$2:$EO$400),0)),"/")</f>
        <v>11</v>
      </c>
      <c r="AF10" s="64" cm="1">
        <f t="array" ref="AF10">IFERROR(INDEX('Offer Statistics'!FA$2:FA$400,MATCH(1,($A10='Offer Statistics'!$EN$2:$EN$400)*($AA$2='Offer Statistics'!$EO$2:$EO$400),0)),"/")</f>
        <v>12</v>
      </c>
      <c r="AG10" s="64" cm="1">
        <f t="array" ref="AG10">IFERROR(INDEX('Offer Statistics'!FB$2:FB$400,MATCH(1,($A10='Offer Statistics'!$EN$2:$EN$400)*($AA$2='Offer Statistics'!$EO$2:$EO$400),0)),"/")</f>
        <v>9</v>
      </c>
      <c r="AH10" s="511"/>
      <c r="AI10" s="36" cm="1">
        <f t="array" ref="AI10">IFERROR(INDEX('Offer Statistics'!EU$2:EU$400,MATCH(1,($A10='Offer Statistics'!$EN$2:$EN$400)*($AA$2='Offer Statistics'!$EO$2:$EO$400),0)),"/")</f>
        <v>3488</v>
      </c>
      <c r="AJ10" s="64" cm="1">
        <f t="array" ref="AJ10">IFERROR(INDEX('Offer Statistics'!EP$2:EP$400,MATCH(1,($A10='Offer Statistics'!$EN$2:$EN$400)*($AA$2='Offer Statistics'!$EO$2:$EO$400),0)),"/")</f>
        <v>446</v>
      </c>
      <c r="AK10" s="64" cm="1">
        <f t="array" ref="AK10">IFERROR(INDEX('Offer Statistics'!EQ$2:EQ$400,MATCH(1,($A10='Offer Statistics'!$EN$2:$EN$400)*($AA$2='Offer Statistics'!$EO$2:$EO$400),0)),"/")</f>
        <v>613</v>
      </c>
      <c r="AL10" s="64" cm="1">
        <f t="array" ref="AL10">IFERROR(INDEX('Offer Statistics'!ER$2:ER$400,MATCH(1,($A10='Offer Statistics'!$EN$2:$EN$400)*($AA$2='Offer Statistics'!$EO$2:$EO$400),0)),"/")</f>
        <v>658</v>
      </c>
      <c r="AM10" s="64" cm="1">
        <f t="array" ref="AM10">IFERROR(INDEX('Offer Statistics'!ES$2:ES$400,MATCH(1,($A10='Offer Statistics'!$EN$2:$EN$400)*($AA$2='Offer Statistics'!$EO$2:$EO$400),0)),"/")</f>
        <v>873</v>
      </c>
      <c r="AN10" s="64" cm="1">
        <f t="array" ref="AN10">IFERROR(INDEX('Offer Statistics'!ET$2:ET$400,MATCH(1,($A10='Offer Statistics'!$EN$2:$EN$400)*($AA$2='Offer Statistics'!$EO$2:$EO$400),0)),"/")</f>
        <v>898</v>
      </c>
      <c r="AO10" s="15"/>
      <c r="AP10" s="15" t="str">
        <f t="shared" si="0"/>
        <v>JS9230</v>
      </c>
    </row>
    <row r="11" spans="1:42" ht="18" customHeight="1">
      <c r="A11" s="4" t="str">
        <f>'Reference Score Calculation'!A337</f>
        <v>JS9240</v>
      </c>
      <c r="B11" s="4" t="str">
        <f>'Reference Score Calculation'!C337</f>
        <v>李兆基商業管理學院</v>
      </c>
      <c r="C11" s="4" t="str">
        <f>'Reference Score Calculation'!D337</f>
        <v>環球商業及市場學榮譽工商管理學士</v>
      </c>
      <c r="D11" s="4" t="str">
        <f>'Reference Score Calculation'!R337</f>
        <v>BBA(Hons)GB &amp; Mktg</v>
      </c>
      <c r="E11" s="85" t="str">
        <f>'Reference Score Calculation'!E337</f>
        <v>Best 5</v>
      </c>
      <c r="F11" s="6">
        <f>'Reference Score Calculation'!H337</f>
        <v>17</v>
      </c>
      <c r="G11" s="6">
        <f>'Reference Score Calculation'!I337</f>
        <v>17</v>
      </c>
      <c r="H11" s="45">
        <f>計分版!J360</f>
        <v>3.9500000000000006E-9</v>
      </c>
      <c r="I11" s="185">
        <f>IFERROR(IF(I$1="差距(Median)",H11-F11,IF(I$1="差距(UQ)",H11-#REF!,IF(I$1="差距(LQ)",H11-G11))),"/")</f>
        <v>-16.999999996050001</v>
      </c>
      <c r="J11" s="186">
        <f>IFERROR(IF(I$1="差距(Median)",(H11-F11)/H11,IF(I$1="差距(UQ)",(H11-#REF!)/H11,IF(I$1="差距(LQ)",(H11-G11)/H11))),"/")</f>
        <v>-4303797467.3544302</v>
      </c>
      <c r="K11" s="36">
        <f>'Reference Score Calculation'!T337</f>
        <v>10</v>
      </c>
      <c r="L11" s="86">
        <f>入學要求!Z346</f>
        <v>0</v>
      </c>
      <c r="M11" s="523"/>
      <c r="N11" s="182">
        <f>入學要求!L346</f>
        <v>3</v>
      </c>
      <c r="O11" s="182">
        <f>入學要求!M346</f>
        <v>3</v>
      </c>
      <c r="P11" s="182">
        <f>入學要求!N346</f>
        <v>2</v>
      </c>
      <c r="Q11" s="182">
        <f>入學要求!O346</f>
        <v>1</v>
      </c>
      <c r="R11" s="182">
        <f>入學要求!P346</f>
        <v>2</v>
      </c>
      <c r="S11" s="182">
        <f>入學要求!Q346</f>
        <v>2</v>
      </c>
      <c r="T11" s="256">
        <f>入學要求!S346</f>
        <v>0</v>
      </c>
      <c r="U11" s="256">
        <f>入學要求!T346</f>
        <v>0</v>
      </c>
      <c r="V11" s="256">
        <f>入學要求!U346</f>
        <v>0</v>
      </c>
      <c r="W11" s="256">
        <f>入學要求!V346</f>
        <v>0</v>
      </c>
      <c r="X11" s="256">
        <f>入學要求!W346</f>
        <v>0</v>
      </c>
      <c r="Y11" s="256">
        <f>入學要求!X346</f>
        <v>0</v>
      </c>
      <c r="Z11" s="15">
        <f t="shared" si="1"/>
        <v>4.24</v>
      </c>
      <c r="AA11" s="510"/>
      <c r="AB11" s="36" cm="1">
        <f t="array" ref="AB11">IFERROR(INDEX('Offer Statistics'!FC$2:FC$400,MATCH(1,($A11='Offer Statistics'!$EN$2:$EN$400)*($AA$2='Offer Statistics'!$EO$2:$EO$400),0)),"/")</f>
        <v>92</v>
      </c>
      <c r="AC11" s="64" cm="1">
        <f t="array" ref="AC11">IFERROR(INDEX('Offer Statistics'!EX$2:EX$400,MATCH(1,($A11='Offer Statistics'!$EN$2:$EN$400)*($AA$2='Offer Statistics'!$EO$2:$EO$400),0)),"/")</f>
        <v>42</v>
      </c>
      <c r="AD11" s="64" cm="1">
        <f t="array" ref="AD11">IFERROR(INDEX('Offer Statistics'!EY$2:EY$400,MATCH(1,($A11='Offer Statistics'!$EN$2:$EN$400)*($AA$2='Offer Statistics'!$EO$2:$EO$400),0)),"/")</f>
        <v>23</v>
      </c>
      <c r="AE11" s="64" cm="1">
        <f t="array" ref="AE11">IFERROR(INDEX('Offer Statistics'!EZ$2:EZ$400,MATCH(1,($A11='Offer Statistics'!$EN$2:$EN$400)*($AA$2='Offer Statistics'!$EO$2:$EO$400),0)),"/")</f>
        <v>8</v>
      </c>
      <c r="AF11" s="64" cm="1">
        <f t="array" ref="AF11">IFERROR(INDEX('Offer Statistics'!FA$2:FA$400,MATCH(1,($A11='Offer Statistics'!$EN$2:$EN$400)*($AA$2='Offer Statistics'!$EO$2:$EO$400),0)),"/")</f>
        <v>13</v>
      </c>
      <c r="AG11" s="64" cm="1">
        <f t="array" ref="AG11">IFERROR(INDEX('Offer Statistics'!FB$2:FB$400,MATCH(1,($A11='Offer Statistics'!$EN$2:$EN$400)*($AA$2='Offer Statistics'!$EO$2:$EO$400),0)),"/")</f>
        <v>6</v>
      </c>
      <c r="AH11" s="511"/>
      <c r="AI11" s="36" cm="1">
        <f t="array" ref="AI11">IFERROR(INDEX('Offer Statistics'!EU$2:EU$400,MATCH(1,($A11='Offer Statistics'!$EN$2:$EN$400)*($AA$2='Offer Statistics'!$EO$2:$EO$400),0)),"/")</f>
        <v>2116</v>
      </c>
      <c r="AJ11" s="64" cm="1">
        <f t="array" ref="AJ11">IFERROR(INDEX('Offer Statistics'!EP$2:EP$400,MATCH(1,($A11='Offer Statistics'!$EN$2:$EN$400)*($AA$2='Offer Statistics'!$EO$2:$EO$400),0)),"/")</f>
        <v>178</v>
      </c>
      <c r="AK11" s="64" cm="1">
        <f t="array" ref="AK11">IFERROR(INDEX('Offer Statistics'!EQ$2:EQ$400,MATCH(1,($A11='Offer Statistics'!$EN$2:$EN$400)*($AA$2='Offer Statistics'!$EO$2:$EO$400),0)),"/")</f>
        <v>349</v>
      </c>
      <c r="AL11" s="64" cm="1">
        <f t="array" ref="AL11">IFERROR(INDEX('Offer Statistics'!ER$2:ER$400,MATCH(1,($A11='Offer Statistics'!$EN$2:$EN$400)*($AA$2='Offer Statistics'!$EO$2:$EO$400),0)),"/")</f>
        <v>416</v>
      </c>
      <c r="AM11" s="64" cm="1">
        <f t="array" ref="AM11">IFERROR(INDEX('Offer Statistics'!ES$2:ES$400,MATCH(1,($A11='Offer Statistics'!$EN$2:$EN$400)*($AA$2='Offer Statistics'!$EO$2:$EO$400),0)),"/")</f>
        <v>557</v>
      </c>
      <c r="AN11" s="64" cm="1">
        <f t="array" ref="AN11">IFERROR(INDEX('Offer Statistics'!ET$2:ET$400,MATCH(1,($A11='Offer Statistics'!$EN$2:$EN$400)*($AA$2='Offer Statistics'!$EO$2:$EO$400),0)),"/")</f>
        <v>616</v>
      </c>
      <c r="AO11" s="15"/>
      <c r="AP11" s="15" t="str">
        <f t="shared" si="0"/>
        <v>JS9240</v>
      </c>
    </row>
    <row r="12" spans="1:42" ht="18" customHeight="1">
      <c r="A12" s="4" t="str">
        <f>'Reference Score Calculation'!A338</f>
        <v>JS9262</v>
      </c>
      <c r="B12" s="4" t="str">
        <f>'Reference Score Calculation'!C338</f>
        <v>李兆基商業管理學院</v>
      </c>
      <c r="C12" s="4" t="str">
        <f>'Reference Score Calculation'!D338</f>
        <v>人力資源管理學榮譽工商管理學士</v>
      </c>
      <c r="D12" s="4" t="str">
        <f>'Reference Score Calculation'!R338</f>
        <v>BBA(Hons)HRM</v>
      </c>
      <c r="E12" s="85" t="str">
        <f>'Reference Score Calculation'!E338</f>
        <v>Best 5</v>
      </c>
      <c r="F12" s="6">
        <f>'Reference Score Calculation'!H338</f>
        <v>16</v>
      </c>
      <c r="G12" s="6">
        <f>'Reference Score Calculation'!I338</f>
        <v>15</v>
      </c>
      <c r="H12" s="45">
        <f>計分版!J361</f>
        <v>3.9500000000000006E-9</v>
      </c>
      <c r="I12" s="185">
        <f>IFERROR(IF(I$1="差距(Median)",H12-F12,IF(I$1="差距(UQ)",H12-#REF!,IF(I$1="差距(LQ)",H12-G12))),"/")</f>
        <v>-15.999999996050001</v>
      </c>
      <c r="J12" s="186">
        <f>IFERROR(IF(I$1="差距(Median)",(H12-F12)/H12,IF(I$1="差距(UQ)",(H12-#REF!)/H12,IF(I$1="差距(LQ)",(H12-G12)/H12))),"/")</f>
        <v>-4050632910.3924046</v>
      </c>
      <c r="K12" s="36">
        <f>'Reference Score Calculation'!T338</f>
        <v>20</v>
      </c>
      <c r="L12" s="86">
        <f>入學要求!Z347</f>
        <v>0</v>
      </c>
      <c r="M12" s="523"/>
      <c r="N12" s="182">
        <f>入學要求!L347</f>
        <v>3</v>
      </c>
      <c r="O12" s="182">
        <f>入學要求!M347</f>
        <v>3</v>
      </c>
      <c r="P12" s="182">
        <f>入學要求!N347</f>
        <v>2</v>
      </c>
      <c r="Q12" s="182">
        <f>入學要求!O347</f>
        <v>1</v>
      </c>
      <c r="R12" s="182">
        <f>入學要求!P347</f>
        <v>2</v>
      </c>
      <c r="S12" s="182">
        <f>入學要求!Q347</f>
        <v>2</v>
      </c>
      <c r="T12" s="256">
        <f>入學要求!S347</f>
        <v>0</v>
      </c>
      <c r="U12" s="256">
        <f>入學要求!T347</f>
        <v>0</v>
      </c>
      <c r="V12" s="256">
        <f>入學要求!U347</f>
        <v>0</v>
      </c>
      <c r="W12" s="256">
        <f>入學要求!V347</f>
        <v>0</v>
      </c>
      <c r="X12" s="256">
        <f>入學要求!W347</f>
        <v>0</v>
      </c>
      <c r="Y12" s="256">
        <f>入學要求!X347</f>
        <v>0</v>
      </c>
      <c r="Z12" s="15">
        <f t="shared" si="1"/>
        <v>11.8</v>
      </c>
      <c r="AA12" s="510"/>
      <c r="AB12" s="36" cm="1">
        <f t="array" ref="AB12">IFERROR(INDEX('Offer Statistics'!FC$2:FC$400,MATCH(1,($A12='Offer Statistics'!$EN$2:$EN$400)*($AA$2='Offer Statistics'!$EO$2:$EO$400),0)),"/")</f>
        <v>29</v>
      </c>
      <c r="AC12" s="64" cm="1">
        <f t="array" ref="AC12">IFERROR(INDEX('Offer Statistics'!EX$2:EX$400,MATCH(1,($A12='Offer Statistics'!$EN$2:$EN$400)*($AA$2='Offer Statistics'!$EO$2:$EO$400),0)),"/")</f>
        <v>10</v>
      </c>
      <c r="AD12" s="64" cm="1">
        <f t="array" ref="AD12">IFERROR(INDEX('Offer Statistics'!EY$2:EY$400,MATCH(1,($A12='Offer Statistics'!$EN$2:$EN$400)*($AA$2='Offer Statistics'!$EO$2:$EO$400),0)),"/")</f>
        <v>8</v>
      </c>
      <c r="AE12" s="64" cm="1">
        <f t="array" ref="AE12">IFERROR(INDEX('Offer Statistics'!EZ$2:EZ$400,MATCH(1,($A12='Offer Statistics'!$EN$2:$EN$400)*($AA$2='Offer Statistics'!$EO$2:$EO$400),0)),"/")</f>
        <v>7</v>
      </c>
      <c r="AF12" s="64" cm="1">
        <f t="array" ref="AF12">IFERROR(INDEX('Offer Statistics'!FA$2:FA$400,MATCH(1,($A12='Offer Statistics'!$EN$2:$EN$400)*($AA$2='Offer Statistics'!$EO$2:$EO$400),0)),"/")</f>
        <v>1</v>
      </c>
      <c r="AG12" s="64" cm="1">
        <f t="array" ref="AG12">IFERROR(INDEX('Offer Statistics'!FB$2:FB$400,MATCH(1,($A12='Offer Statistics'!$EN$2:$EN$400)*($AA$2='Offer Statistics'!$EO$2:$EO$400),0)),"/")</f>
        <v>3</v>
      </c>
      <c r="AH12" s="511"/>
      <c r="AI12" s="36" cm="1">
        <f t="array" ref="AI12">IFERROR(INDEX('Offer Statistics'!EU$2:EU$400,MATCH(1,($A12='Offer Statistics'!$EN$2:$EN$400)*($AA$2='Offer Statistics'!$EO$2:$EO$400),0)),"/")</f>
        <v>1804</v>
      </c>
      <c r="AJ12" s="64" cm="1">
        <f t="array" ref="AJ12">IFERROR(INDEX('Offer Statistics'!EP$2:EP$400,MATCH(1,($A12='Offer Statistics'!$EN$2:$EN$400)*($AA$2='Offer Statistics'!$EO$2:$EO$400),0)),"/")</f>
        <v>118</v>
      </c>
      <c r="AK12" s="64" cm="1">
        <f t="array" ref="AK12">IFERROR(INDEX('Offer Statistics'!EQ$2:EQ$400,MATCH(1,($A12='Offer Statistics'!$EN$2:$EN$400)*($AA$2='Offer Statistics'!$EO$2:$EO$400),0)),"/")</f>
        <v>269</v>
      </c>
      <c r="AL12" s="64" cm="1">
        <f t="array" ref="AL12">IFERROR(INDEX('Offer Statistics'!ER$2:ER$400,MATCH(1,($A12='Offer Statistics'!$EN$2:$EN$400)*($AA$2='Offer Statistics'!$EO$2:$EO$400),0)),"/")</f>
        <v>372</v>
      </c>
      <c r="AM12" s="64" cm="1">
        <f t="array" ref="AM12">IFERROR(INDEX('Offer Statistics'!ES$2:ES$400,MATCH(1,($A12='Offer Statistics'!$EN$2:$EN$400)*($AA$2='Offer Statistics'!$EO$2:$EO$400),0)),"/")</f>
        <v>508</v>
      </c>
      <c r="AN12" s="64" cm="1">
        <f t="array" ref="AN12">IFERROR(INDEX('Offer Statistics'!ET$2:ET$400,MATCH(1,($A12='Offer Statistics'!$EN$2:$EN$400)*($AA$2='Offer Statistics'!$EO$2:$EO$400),0)),"/")</f>
        <v>537</v>
      </c>
      <c r="AO12" s="15"/>
      <c r="AP12" s="15" t="str">
        <f t="shared" si="0"/>
        <v>JS9262</v>
      </c>
    </row>
    <row r="13" spans="1:42" ht="18" customHeight="1">
      <c r="A13" s="4" t="str">
        <f>'Reference Score Calculation'!A339</f>
        <v>JS9266</v>
      </c>
      <c r="B13" s="4" t="str">
        <f>'Reference Score Calculation'!C339</f>
        <v>李兆基商業管理學院</v>
      </c>
      <c r="C13" s="4" t="str">
        <f>'Reference Score Calculation'!D339</f>
        <v>市場學榮譽工商管理學士</v>
      </c>
      <c r="D13" s="4" t="str">
        <f>'Reference Score Calculation'!R339</f>
        <v>BBA(Hons)Mkt</v>
      </c>
      <c r="E13" s="85" t="str">
        <f>'Reference Score Calculation'!E339</f>
        <v>Best 5</v>
      </c>
      <c r="F13" s="6">
        <f>'Reference Score Calculation'!H339</f>
        <v>16</v>
      </c>
      <c r="G13" s="6">
        <f>'Reference Score Calculation'!I339</f>
        <v>16</v>
      </c>
      <c r="H13" s="45">
        <f>計分版!J362</f>
        <v>3.9500000000000006E-9</v>
      </c>
      <c r="I13" s="185">
        <f>IFERROR(IF(I$1="差距(Median)",H13-F13,IF(I$1="差距(UQ)",H13-#REF!,IF(I$1="差距(LQ)",H13-G13))),"/")</f>
        <v>-15.999999996050001</v>
      </c>
      <c r="J13" s="186">
        <f>IFERROR(IF(I$1="差距(Median)",(H13-F13)/H13,IF(I$1="差距(UQ)",(H13-#REF!)/H13,IF(I$1="差距(LQ)",(H13-G13)/H13))),"/")</f>
        <v>-4050632910.3924046</v>
      </c>
      <c r="K13" s="36">
        <f>'Reference Score Calculation'!T339</f>
        <v>20</v>
      </c>
      <c r="L13" s="86">
        <f>入學要求!Z348</f>
        <v>0</v>
      </c>
      <c r="M13" s="523"/>
      <c r="N13" s="182">
        <f>入學要求!L348</f>
        <v>3</v>
      </c>
      <c r="O13" s="182">
        <f>入學要求!M348</f>
        <v>3</v>
      </c>
      <c r="P13" s="182">
        <f>入學要求!N348</f>
        <v>2</v>
      </c>
      <c r="Q13" s="182">
        <f>入學要求!O348</f>
        <v>1</v>
      </c>
      <c r="R13" s="182">
        <f>入學要求!P348</f>
        <v>2</v>
      </c>
      <c r="S13" s="182">
        <f>入學要求!Q348</f>
        <v>2</v>
      </c>
      <c r="T13" s="256">
        <f>入學要求!S348</f>
        <v>0</v>
      </c>
      <c r="U13" s="256">
        <f>入學要求!T348</f>
        <v>0</v>
      </c>
      <c r="V13" s="256">
        <f>入學要求!U348</f>
        <v>0</v>
      </c>
      <c r="W13" s="256">
        <f>入學要求!V348</f>
        <v>0</v>
      </c>
      <c r="X13" s="256">
        <f>入學要求!W348</f>
        <v>0</v>
      </c>
      <c r="Y13" s="256">
        <f>入學要求!X348</f>
        <v>0</v>
      </c>
      <c r="Z13" s="15">
        <f t="shared" si="1"/>
        <v>5.22</v>
      </c>
      <c r="AA13" s="510"/>
      <c r="AB13" s="36" cm="1">
        <f t="array" ref="AB13">IFERROR(INDEX('Offer Statistics'!FC$2:FC$400,MATCH(1,($A13='Offer Statistics'!$EN$2:$EN$400)*($AA$2='Offer Statistics'!$EO$2:$EO$400),0)),"/")</f>
        <v>63</v>
      </c>
      <c r="AC13" s="64" cm="1">
        <f t="array" ref="AC13">IFERROR(INDEX('Offer Statistics'!EX$2:EX$400,MATCH(1,($A13='Offer Statistics'!$EN$2:$EN$400)*($AA$2='Offer Statistics'!$EO$2:$EO$400),0)),"/")</f>
        <v>32</v>
      </c>
      <c r="AD13" s="64" cm="1">
        <f t="array" ref="AD13">IFERROR(INDEX('Offer Statistics'!EY$2:EY$400,MATCH(1,($A13='Offer Statistics'!$EN$2:$EN$400)*($AA$2='Offer Statistics'!$EO$2:$EO$400),0)),"/")</f>
        <v>16</v>
      </c>
      <c r="AE13" s="64" cm="1">
        <f t="array" ref="AE13">IFERROR(INDEX('Offer Statistics'!EZ$2:EZ$400,MATCH(1,($A13='Offer Statistics'!$EN$2:$EN$400)*($AA$2='Offer Statistics'!$EO$2:$EO$400),0)),"/")</f>
        <v>6</v>
      </c>
      <c r="AF13" s="64" cm="1">
        <f t="array" ref="AF13">IFERROR(INDEX('Offer Statistics'!FA$2:FA$400,MATCH(1,($A13='Offer Statistics'!$EN$2:$EN$400)*($AA$2='Offer Statistics'!$EO$2:$EO$400),0)),"/")</f>
        <v>5</v>
      </c>
      <c r="AG13" s="64" cm="1">
        <f t="array" ref="AG13">IFERROR(INDEX('Offer Statistics'!FB$2:FB$400,MATCH(1,($A13='Offer Statistics'!$EN$2:$EN$400)*($AA$2='Offer Statistics'!$EO$2:$EO$400),0)),"/")</f>
        <v>4</v>
      </c>
      <c r="AH13" s="511"/>
      <c r="AI13" s="36" cm="1">
        <f t="array" ref="AI13">IFERROR(INDEX('Offer Statistics'!EU$2:EU$400,MATCH(1,($A13='Offer Statistics'!$EN$2:$EN$400)*($AA$2='Offer Statistics'!$EO$2:$EO$400),0)),"/")</f>
        <v>2009</v>
      </c>
      <c r="AJ13" s="64" cm="1">
        <f t="array" ref="AJ13">IFERROR(INDEX('Offer Statistics'!EP$2:EP$400,MATCH(1,($A13='Offer Statistics'!$EN$2:$EN$400)*($AA$2='Offer Statistics'!$EO$2:$EO$400),0)),"/")</f>
        <v>167</v>
      </c>
      <c r="AK13" s="64" cm="1">
        <f t="array" ref="AK13">IFERROR(INDEX('Offer Statistics'!EQ$2:EQ$400,MATCH(1,($A13='Offer Statistics'!$EN$2:$EN$400)*($AA$2='Offer Statistics'!$EO$2:$EO$400),0)),"/")</f>
        <v>313</v>
      </c>
      <c r="AL13" s="64" cm="1">
        <f t="array" ref="AL13">IFERROR(INDEX('Offer Statistics'!ER$2:ER$400,MATCH(1,($A13='Offer Statistics'!$EN$2:$EN$400)*($AA$2='Offer Statistics'!$EO$2:$EO$400),0)),"/")</f>
        <v>420</v>
      </c>
      <c r="AM13" s="64" cm="1">
        <f t="array" ref="AM13">IFERROR(INDEX('Offer Statistics'!ES$2:ES$400,MATCH(1,($A13='Offer Statistics'!$EN$2:$EN$400)*($AA$2='Offer Statistics'!$EO$2:$EO$400),0)),"/")</f>
        <v>512</v>
      </c>
      <c r="AN13" s="64" cm="1">
        <f t="array" ref="AN13">IFERROR(INDEX('Offer Statistics'!ET$2:ET$400,MATCH(1,($A13='Offer Statistics'!$EN$2:$EN$400)*($AA$2='Offer Statistics'!$EO$2:$EO$400),0)),"/")</f>
        <v>597</v>
      </c>
      <c r="AO13" s="15"/>
      <c r="AP13" s="15" t="str">
        <f t="shared" si="0"/>
        <v>JS9266</v>
      </c>
    </row>
    <row r="14" spans="1:42" ht="18" customHeight="1">
      <c r="A14" s="4" t="str">
        <f>'Reference Score Calculation'!A340</f>
        <v>JS9280</v>
      </c>
      <c r="B14" s="4" t="str">
        <f>'Reference Score Calculation'!C340</f>
        <v>李兆基商業管理學院</v>
      </c>
      <c r="C14" s="4" t="str">
        <f>'Reference Score Calculation'!D340</f>
        <v>應用心理學榮譽學士，商業管理榮譽學士</v>
      </c>
      <c r="D14" s="4" t="str">
        <f>'Reference Score Calculation'!R340</f>
        <v>BAPH &amp; BBMH</v>
      </c>
      <c r="E14" s="85" t="str">
        <f>'Reference Score Calculation'!E340</f>
        <v>Best 5</v>
      </c>
      <c r="F14" s="6">
        <f>'Reference Score Calculation'!H340</f>
        <v>16</v>
      </c>
      <c r="G14" s="6">
        <f>'Reference Score Calculation'!I340</f>
        <v>15</v>
      </c>
      <c r="H14" s="45">
        <f>計分版!J363</f>
        <v>3.9500000000000006E-9</v>
      </c>
      <c r="I14" s="185">
        <f>IFERROR(IF(I$1="差距(Median)",H14-F14,IF(I$1="差距(UQ)",H14-#REF!,IF(I$1="差距(LQ)",H14-G14))),"/")</f>
        <v>-15.999999996050001</v>
      </c>
      <c r="J14" s="186">
        <f>IFERROR(IF(I$1="差距(Median)",(H14-F14)/H14,IF(I$1="差距(UQ)",(H14-#REF!)/H14,IF(I$1="差距(LQ)",(H14-G14)/H14))),"/")</f>
        <v>-4050632910.3924046</v>
      </c>
      <c r="K14" s="36">
        <f>'Reference Score Calculation'!T340</f>
        <v>25</v>
      </c>
      <c r="L14" s="86">
        <f>入學要求!Z349</f>
        <v>0</v>
      </c>
      <c r="M14" s="523"/>
      <c r="N14" s="182">
        <f>入學要求!L349</f>
        <v>3</v>
      </c>
      <c r="O14" s="182">
        <f>入學要求!M349</f>
        <v>3</v>
      </c>
      <c r="P14" s="182">
        <f>入學要求!N349</f>
        <v>2</v>
      </c>
      <c r="Q14" s="182">
        <f>入學要求!O349</f>
        <v>1</v>
      </c>
      <c r="R14" s="182">
        <f>入學要求!P349</f>
        <v>2</v>
      </c>
      <c r="S14" s="182">
        <f>入學要求!Q349</f>
        <v>2</v>
      </c>
      <c r="T14" s="256">
        <f>入學要求!S349</f>
        <v>0</v>
      </c>
      <c r="U14" s="256">
        <f>入學要求!T349</f>
        <v>0</v>
      </c>
      <c r="V14" s="256">
        <f>入學要求!U349</f>
        <v>0</v>
      </c>
      <c r="W14" s="256">
        <f>入學要求!V349</f>
        <v>0</v>
      </c>
      <c r="X14" s="256">
        <f>入學要求!W349</f>
        <v>0</v>
      </c>
      <c r="Y14" s="256">
        <f>入學要求!X349</f>
        <v>0</v>
      </c>
      <c r="Z14" s="15">
        <f t="shared" si="1"/>
        <v>7.67</v>
      </c>
      <c r="AA14" s="510"/>
      <c r="AB14" s="36" cm="1">
        <f t="array" ref="AB14">IFERROR(INDEX('Offer Statistics'!FC$2:FC$400,MATCH(1,($A14='Offer Statistics'!$EN$2:$EN$400)*($AA$2='Offer Statistics'!$EO$2:$EO$400),0)),"/")</f>
        <v>82</v>
      </c>
      <c r="AC14" s="64" cm="1">
        <f t="array" ref="AC14">IFERROR(INDEX('Offer Statistics'!EX$2:EX$400,MATCH(1,($A14='Offer Statistics'!$EN$2:$EN$400)*($AA$2='Offer Statistics'!$EO$2:$EO$400),0)),"/")</f>
        <v>36</v>
      </c>
      <c r="AD14" s="64" cm="1">
        <f t="array" ref="AD14">IFERROR(INDEX('Offer Statistics'!EY$2:EY$400,MATCH(1,($A14='Offer Statistics'!$EN$2:$EN$400)*($AA$2='Offer Statistics'!$EO$2:$EO$400),0)),"/")</f>
        <v>26</v>
      </c>
      <c r="AE14" s="64" cm="1">
        <f t="array" ref="AE14">IFERROR(INDEX('Offer Statistics'!EZ$2:EZ$400,MATCH(1,($A14='Offer Statistics'!$EN$2:$EN$400)*($AA$2='Offer Statistics'!$EO$2:$EO$400),0)),"/")</f>
        <v>5</v>
      </c>
      <c r="AF14" s="64" cm="1">
        <f t="array" ref="AF14">IFERROR(INDEX('Offer Statistics'!FA$2:FA$400,MATCH(1,($A14='Offer Statistics'!$EN$2:$EN$400)*($AA$2='Offer Statistics'!$EO$2:$EO$400),0)),"/")</f>
        <v>6</v>
      </c>
      <c r="AG14" s="64" cm="1">
        <f t="array" ref="AG14">IFERROR(INDEX('Offer Statistics'!FB$2:FB$400,MATCH(1,($A14='Offer Statistics'!$EN$2:$EN$400)*($AA$2='Offer Statistics'!$EO$2:$EO$400),0)),"/")</f>
        <v>9</v>
      </c>
      <c r="AH14" s="511"/>
      <c r="AI14" s="36" cm="1">
        <f t="array" ref="AI14">IFERROR(INDEX('Offer Statistics'!EU$2:EU$400,MATCH(1,($A14='Offer Statistics'!$EN$2:$EN$400)*($AA$2='Offer Statistics'!$EO$2:$EO$400),0)),"/")</f>
        <v>2749</v>
      </c>
      <c r="AJ14" s="64" cm="1">
        <f t="array" ref="AJ14">IFERROR(INDEX('Offer Statistics'!EP$2:EP$400,MATCH(1,($A14='Offer Statistics'!$EN$2:$EN$400)*($AA$2='Offer Statistics'!$EO$2:$EO$400),0)),"/")</f>
        <v>276</v>
      </c>
      <c r="AK14" s="64" cm="1">
        <f t="array" ref="AK14">IFERROR(INDEX('Offer Statistics'!EQ$2:EQ$400,MATCH(1,($A14='Offer Statistics'!$EN$2:$EN$400)*($AA$2='Offer Statistics'!$EO$2:$EO$400),0)),"/")</f>
        <v>501</v>
      </c>
      <c r="AL14" s="64" cm="1">
        <f t="array" ref="AL14">IFERROR(INDEX('Offer Statistics'!ER$2:ER$400,MATCH(1,($A14='Offer Statistics'!$EN$2:$EN$400)*($AA$2='Offer Statistics'!$EO$2:$EO$400),0)),"/")</f>
        <v>508</v>
      </c>
      <c r="AM14" s="64" cm="1">
        <f t="array" ref="AM14">IFERROR(INDEX('Offer Statistics'!ES$2:ES$400,MATCH(1,($A14='Offer Statistics'!$EN$2:$EN$400)*($AA$2='Offer Statistics'!$EO$2:$EO$400),0)),"/")</f>
        <v>666</v>
      </c>
      <c r="AN14" s="64" cm="1">
        <f t="array" ref="AN14">IFERROR(INDEX('Offer Statistics'!ET$2:ET$400,MATCH(1,($A14='Offer Statistics'!$EN$2:$EN$400)*($AA$2='Offer Statistics'!$EO$2:$EO$400),0)),"/")</f>
        <v>798</v>
      </c>
      <c r="AO14" s="15"/>
      <c r="AP14" s="15" t="str">
        <f t="shared" si="0"/>
        <v>JS9280</v>
      </c>
    </row>
    <row r="15" spans="1:42" ht="18" customHeight="1">
      <c r="A15" s="4" t="str">
        <f>'Reference Score Calculation'!A341</f>
        <v>JS9291</v>
      </c>
      <c r="B15" s="4" t="str">
        <f>'Reference Score Calculation'!C341</f>
        <v>李兆基商業管理學院</v>
      </c>
      <c r="C15" s="4" t="str">
        <f>'Reference Score Calculation'!D341</f>
        <v>酒店及可持續旅遊管理榮譽工商管理學士</v>
      </c>
      <c r="D15" s="4" t="str">
        <f>'Reference Score Calculation'!R341</f>
        <v>BBA(Hons)Hotel &amp;SustTour</v>
      </c>
      <c r="E15" s="85" t="str">
        <f>'Reference Score Calculation'!E341</f>
        <v>Best 5</v>
      </c>
      <c r="F15" s="6">
        <f>'Reference Score Calculation'!H341</f>
        <v>15</v>
      </c>
      <c r="G15" s="6">
        <f>'Reference Score Calculation'!I341</f>
        <v>14</v>
      </c>
      <c r="H15" s="45">
        <f>計分版!J364</f>
        <v>3.9500000000000006E-9</v>
      </c>
      <c r="I15" s="185">
        <f>IFERROR(IF(I$1="差距(Median)",H15-F15,IF(I$1="差距(UQ)",H15-#REF!,IF(I$1="差距(LQ)",H15-G15))),"/")</f>
        <v>-14.999999996050001</v>
      </c>
      <c r="J15" s="186">
        <f>IFERROR(IF(I$1="差距(Median)",(H15-F15)/H15,IF(I$1="差距(UQ)",(H15-#REF!)/H15,IF(I$1="差距(LQ)",(H15-G15)/H15))),"/")</f>
        <v>-3797468353.4303794</v>
      </c>
      <c r="K15" s="36">
        <f>'Reference Score Calculation'!T341</f>
        <v>25</v>
      </c>
      <c r="L15" s="86">
        <f>入學要求!Z350</f>
        <v>0</v>
      </c>
      <c r="M15" s="523"/>
      <c r="N15" s="182">
        <f>入學要求!L350</f>
        <v>3</v>
      </c>
      <c r="O15" s="182">
        <f>入學要求!M350</f>
        <v>3</v>
      </c>
      <c r="P15" s="182">
        <f>入學要求!N350</f>
        <v>2</v>
      </c>
      <c r="Q15" s="182">
        <f>入學要求!O350</f>
        <v>1</v>
      </c>
      <c r="R15" s="182">
        <f>入學要求!P350</f>
        <v>2</v>
      </c>
      <c r="S15" s="182">
        <f>入學要求!Q350</f>
        <v>2</v>
      </c>
      <c r="T15" s="256">
        <f>入學要求!S350</f>
        <v>0</v>
      </c>
      <c r="U15" s="256">
        <f>入學要求!T350</f>
        <v>0</v>
      </c>
      <c r="V15" s="256">
        <f>入學要求!U350</f>
        <v>0</v>
      </c>
      <c r="W15" s="256">
        <f>入學要求!V350</f>
        <v>0</v>
      </c>
      <c r="X15" s="256">
        <f>入學要求!W350</f>
        <v>0</v>
      </c>
      <c r="Y15" s="256">
        <f>入學要求!X350</f>
        <v>0</v>
      </c>
      <c r="Z15" s="15">
        <f t="shared" si="1"/>
        <v>7.62</v>
      </c>
      <c r="AA15" s="510"/>
      <c r="AB15" s="36" cm="1">
        <f t="array" ref="AB15">IFERROR(INDEX('Offer Statistics'!FC$2:FC$400,MATCH(1,($A15='Offer Statistics'!$EN$2:$EN$400)*($AA$2='Offer Statistics'!$EO$2:$EO$400),0)),"/")</f>
        <v>81</v>
      </c>
      <c r="AC15" s="64" cm="1">
        <f t="array" ref="AC15">IFERROR(INDEX('Offer Statistics'!EX$2:EX$400,MATCH(1,($A15='Offer Statistics'!$EN$2:$EN$400)*($AA$2='Offer Statistics'!$EO$2:$EO$400),0)),"/")</f>
        <v>53</v>
      </c>
      <c r="AD15" s="64" cm="1">
        <f t="array" ref="AD15">IFERROR(INDEX('Offer Statistics'!EY$2:EY$400,MATCH(1,($A15='Offer Statistics'!$EN$2:$EN$400)*($AA$2='Offer Statistics'!$EO$2:$EO$400),0)),"/")</f>
        <v>12</v>
      </c>
      <c r="AE15" s="64" cm="1">
        <f t="array" ref="AE15">IFERROR(INDEX('Offer Statistics'!EZ$2:EZ$400,MATCH(1,($A15='Offer Statistics'!$EN$2:$EN$400)*($AA$2='Offer Statistics'!$EO$2:$EO$400),0)),"/")</f>
        <v>7</v>
      </c>
      <c r="AF15" s="64" cm="1">
        <f t="array" ref="AF15">IFERROR(INDEX('Offer Statistics'!FA$2:FA$400,MATCH(1,($A15='Offer Statistics'!$EN$2:$EN$400)*($AA$2='Offer Statistics'!$EO$2:$EO$400),0)),"/")</f>
        <v>5</v>
      </c>
      <c r="AG15" s="64" cm="1">
        <f t="array" ref="AG15">IFERROR(INDEX('Offer Statistics'!FB$2:FB$400,MATCH(1,($A15='Offer Statistics'!$EN$2:$EN$400)*($AA$2='Offer Statistics'!$EO$2:$EO$400),0)),"/")</f>
        <v>4</v>
      </c>
      <c r="AH15" s="511"/>
      <c r="AI15" s="36" cm="1">
        <f t="array" ref="AI15">IFERROR(INDEX('Offer Statistics'!EU$2:EU$400,MATCH(1,($A15='Offer Statistics'!$EN$2:$EN$400)*($AA$2='Offer Statistics'!$EO$2:$EO$400),0)),"/")</f>
        <v>2761</v>
      </c>
      <c r="AJ15" s="64" cm="1">
        <f t="array" ref="AJ15">IFERROR(INDEX('Offer Statistics'!EP$2:EP$400,MATCH(1,($A15='Offer Statistics'!$EN$2:$EN$400)*($AA$2='Offer Statistics'!$EO$2:$EO$400),0)),"/")</f>
        <v>404</v>
      </c>
      <c r="AK15" s="64" cm="1">
        <f t="array" ref="AK15">IFERROR(INDEX('Offer Statistics'!EQ$2:EQ$400,MATCH(1,($A15='Offer Statistics'!$EN$2:$EN$400)*($AA$2='Offer Statistics'!$EO$2:$EO$400),0)),"/")</f>
        <v>506</v>
      </c>
      <c r="AL15" s="64" cm="1">
        <f t="array" ref="AL15">IFERROR(INDEX('Offer Statistics'!ER$2:ER$400,MATCH(1,($A15='Offer Statistics'!$EN$2:$EN$400)*($AA$2='Offer Statistics'!$EO$2:$EO$400),0)),"/")</f>
        <v>541</v>
      </c>
      <c r="AM15" s="64" cm="1">
        <f t="array" ref="AM15">IFERROR(INDEX('Offer Statistics'!ES$2:ES$400,MATCH(1,($A15='Offer Statistics'!$EN$2:$EN$400)*($AA$2='Offer Statistics'!$EO$2:$EO$400),0)),"/")</f>
        <v>659</v>
      </c>
      <c r="AN15" s="64" cm="1">
        <f t="array" ref="AN15">IFERROR(INDEX('Offer Statistics'!ET$2:ET$400,MATCH(1,($A15='Offer Statistics'!$EN$2:$EN$400)*($AA$2='Offer Statistics'!$EO$2:$EO$400),0)),"/")</f>
        <v>651</v>
      </c>
      <c r="AO15" s="15"/>
      <c r="AP15" s="15" t="str">
        <f t="shared" si="0"/>
        <v>JS9291</v>
      </c>
    </row>
    <row r="16" spans="1:42" ht="18" customHeight="1">
      <c r="A16" s="4" t="str">
        <f>'Reference Score Calculation'!A342</f>
        <v>JS9294</v>
      </c>
      <c r="B16" s="4" t="str">
        <f>'Reference Score Calculation'!C342</f>
        <v>李兆基商業管理學院</v>
      </c>
      <c r="C16" s="4" t="str">
        <f>'Reference Score Calculation'!D342</f>
        <v>運動及電競運動管理榮譽工商管理學士</v>
      </c>
      <c r="D16" s="4" t="str">
        <f>'Reference Score Calculation'!R342</f>
        <v>BBA(Hons) eSports Mgt</v>
      </c>
      <c r="E16" s="85" t="str">
        <f>'Reference Score Calculation'!E342</f>
        <v>Best 5</v>
      </c>
      <c r="F16" s="6">
        <f>'Reference Score Calculation'!H342</f>
        <v>17</v>
      </c>
      <c r="G16" s="6">
        <f>'Reference Score Calculation'!I342</f>
        <v>16</v>
      </c>
      <c r="H16" s="45">
        <f>計分版!J365</f>
        <v>3.9500000000000006E-9</v>
      </c>
      <c r="I16" s="185">
        <f>IFERROR(IF(I$1="差距(Median)",H16-F16,IF(I$1="差距(UQ)",H16-#REF!,IF(I$1="差距(LQ)",H16-G16))),"/")</f>
        <v>-16.999999996050001</v>
      </c>
      <c r="J16" s="186">
        <f>IFERROR(IF(I$1="差距(Median)",(H16-F16)/H16,IF(I$1="差距(UQ)",(H16-#REF!)/H16,IF(I$1="差距(LQ)",(H16-G16)/H16))),"/")</f>
        <v>-4303797467.3544302</v>
      </c>
      <c r="K16" s="36">
        <f>'Reference Score Calculation'!T342</f>
        <v>25</v>
      </c>
      <c r="L16" s="86">
        <f>入學要求!Z351</f>
        <v>0</v>
      </c>
      <c r="M16" s="523"/>
      <c r="N16" s="182">
        <f>入學要求!L351</f>
        <v>3</v>
      </c>
      <c r="O16" s="182">
        <f>入學要求!M351</f>
        <v>3</v>
      </c>
      <c r="P16" s="182">
        <f>入學要求!N351</f>
        <v>2</v>
      </c>
      <c r="Q16" s="182">
        <f>入學要求!O351</f>
        <v>1</v>
      </c>
      <c r="R16" s="182">
        <f>入學要求!P351</f>
        <v>2</v>
      </c>
      <c r="S16" s="182">
        <f>入學要求!Q351</f>
        <v>2</v>
      </c>
      <c r="T16" s="256">
        <f>入學要求!S351</f>
        <v>0</v>
      </c>
      <c r="U16" s="256">
        <f>入學要求!T351</f>
        <v>0</v>
      </c>
      <c r="V16" s="256">
        <f>入學要求!U351</f>
        <v>0</v>
      </c>
      <c r="W16" s="256">
        <f>入學要求!V351</f>
        <v>0</v>
      </c>
      <c r="X16" s="256">
        <f>入學要求!W351</f>
        <v>0</v>
      </c>
      <c r="Y16" s="256">
        <f>入學要求!X351</f>
        <v>0</v>
      </c>
      <c r="Z16" s="15">
        <f t="shared" si="1"/>
        <v>14.62</v>
      </c>
      <c r="AA16" s="510"/>
      <c r="AB16" s="36" cm="1">
        <f t="array" ref="AB16">IFERROR(INDEX('Offer Statistics'!FC$2:FC$400,MATCH(1,($A16='Offer Statistics'!$EN$2:$EN$400)*($AA$2='Offer Statistics'!$EO$2:$EO$400),0)),"/")</f>
        <v>43</v>
      </c>
      <c r="AC16" s="64" cm="1">
        <f t="array" ref="AC16">IFERROR(INDEX('Offer Statistics'!EX$2:EX$400,MATCH(1,($A16='Offer Statistics'!$EN$2:$EN$400)*($AA$2='Offer Statistics'!$EO$2:$EO$400),0)),"/")</f>
        <v>21</v>
      </c>
      <c r="AD16" s="64" cm="1">
        <f t="array" ref="AD16">IFERROR(INDEX('Offer Statistics'!EY$2:EY$400,MATCH(1,($A16='Offer Statistics'!$EN$2:$EN$400)*($AA$2='Offer Statistics'!$EO$2:$EO$400),0)),"/")</f>
        <v>9</v>
      </c>
      <c r="AE16" s="64" cm="1">
        <f t="array" ref="AE16">IFERROR(INDEX('Offer Statistics'!EZ$2:EZ$400,MATCH(1,($A16='Offer Statistics'!$EN$2:$EN$400)*($AA$2='Offer Statistics'!$EO$2:$EO$400),0)),"/")</f>
        <v>5</v>
      </c>
      <c r="AF16" s="64" cm="1">
        <f t="array" ref="AF16">IFERROR(INDEX('Offer Statistics'!FA$2:FA$400,MATCH(1,($A16='Offer Statistics'!$EN$2:$EN$400)*($AA$2='Offer Statistics'!$EO$2:$EO$400),0)),"/")</f>
        <v>3</v>
      </c>
      <c r="AG16" s="64" cm="1">
        <f t="array" ref="AG16">IFERROR(INDEX('Offer Statistics'!FB$2:FB$400,MATCH(1,($A16='Offer Statistics'!$EN$2:$EN$400)*($AA$2='Offer Statistics'!$EO$2:$EO$400),0)),"/")</f>
        <v>5</v>
      </c>
      <c r="AH16" s="511"/>
      <c r="AI16" s="36" cm="1">
        <f t="array" ref="AI16">IFERROR(INDEX('Offer Statistics'!EU$2:EU$400,MATCH(1,($A16='Offer Statistics'!$EN$2:$EN$400)*($AA$2='Offer Statistics'!$EO$2:$EO$400),0)),"/")</f>
        <v>2087</v>
      </c>
      <c r="AJ16" s="64" cm="1">
        <f t="array" ref="AJ16">IFERROR(INDEX('Offer Statistics'!EP$2:EP$400,MATCH(1,($A16='Offer Statistics'!$EN$2:$EN$400)*($AA$2='Offer Statistics'!$EO$2:$EO$400),0)),"/")</f>
        <v>307</v>
      </c>
      <c r="AK16" s="64" cm="1">
        <f t="array" ref="AK16">IFERROR(INDEX('Offer Statistics'!EQ$2:EQ$400,MATCH(1,($A16='Offer Statistics'!$EN$2:$EN$400)*($AA$2='Offer Statistics'!$EO$2:$EO$400),0)),"/")</f>
        <v>377</v>
      </c>
      <c r="AL16" s="64" cm="1">
        <f t="array" ref="AL16">IFERROR(INDEX('Offer Statistics'!ER$2:ER$400,MATCH(1,($A16='Offer Statistics'!$EN$2:$EN$400)*($AA$2='Offer Statistics'!$EO$2:$EO$400),0)),"/")</f>
        <v>434</v>
      </c>
      <c r="AM16" s="64" cm="1">
        <f t="array" ref="AM16">IFERROR(INDEX('Offer Statistics'!ES$2:ES$400,MATCH(1,($A16='Offer Statistics'!$EN$2:$EN$400)*($AA$2='Offer Statistics'!$EO$2:$EO$400),0)),"/")</f>
        <v>449</v>
      </c>
      <c r="AN16" s="64" cm="1">
        <f t="array" ref="AN16">IFERROR(INDEX('Offer Statistics'!ET$2:ET$400,MATCH(1,($A16='Offer Statistics'!$EN$2:$EN$400)*($AA$2='Offer Statistics'!$EO$2:$EO$400),0)),"/")</f>
        <v>520</v>
      </c>
      <c r="AO16" s="15"/>
      <c r="AP16" s="15" t="str">
        <f t="shared" si="0"/>
        <v>JS9294</v>
      </c>
    </row>
    <row r="17" spans="1:42" ht="18" customHeight="1">
      <c r="A17" s="4" t="str">
        <f>'Reference Score Calculation'!A343</f>
        <v>JS9520</v>
      </c>
      <c r="B17" s="4" t="str">
        <f>'Reference Score Calculation'!C343</f>
        <v>教育及語文學院</v>
      </c>
      <c r="C17" s="4" t="str">
        <f>'Reference Score Calculation'!D343</f>
        <v>教育榮譽學士（普通話及中文教育）及語言研究榮譽學士（漢語語言學研究）</v>
      </c>
      <c r="D17" s="4" t="str">
        <f>'Reference Score Calculation'!R343</f>
        <v>BEd&amp;BLang(Hons)Putonghua</v>
      </c>
      <c r="E17" s="85" t="str">
        <f>'Reference Score Calculation'!E343</f>
        <v>24年新科目</v>
      </c>
      <c r="F17" s="6" t="str">
        <f>'Reference Score Calculation'!H343</f>
        <v>/</v>
      </c>
      <c r="G17" s="6" t="str">
        <f>'Reference Score Calculation'!I343</f>
        <v>/</v>
      </c>
      <c r="H17" s="45">
        <f>計分版!J366</f>
        <v>3.9500000000000006E-9</v>
      </c>
      <c r="I17" s="258" t="str">
        <f>IFERROR(IF(I$1="差距(Median)",H17-F17,IF(I$1="差距(UQ)",H17-#REF!,IF(I$1="差距(LQ)",H17-G17))),"/")</f>
        <v>/</v>
      </c>
      <c r="J17" s="282" t="str">
        <f>IFERROR(IF(I$1="差距(Median)",(H17-F17)/H17,IF(I$1="差距(UQ)",(H17-#REF!)/H17,IF(I$1="差距(LQ)",(H17-G17)/H17))),"/")</f>
        <v>/</v>
      </c>
      <c r="K17" s="36">
        <f>'Reference Score Calculation'!T343</f>
        <v>35</v>
      </c>
      <c r="L17" s="86">
        <f>入學要求!Z352</f>
        <v>0</v>
      </c>
      <c r="M17" s="523"/>
      <c r="N17" s="182">
        <f>入學要求!L352</f>
        <v>3</v>
      </c>
      <c r="O17" s="182">
        <f>入學要求!M352</f>
        <v>3</v>
      </c>
      <c r="P17" s="182">
        <f>入學要求!N352</f>
        <v>2</v>
      </c>
      <c r="Q17" s="182">
        <f>入學要求!O352</f>
        <v>1</v>
      </c>
      <c r="R17" s="182">
        <f>入學要求!P352</f>
        <v>2</v>
      </c>
      <c r="S17" s="182">
        <f>入學要求!Q352</f>
        <v>2</v>
      </c>
      <c r="T17" s="256">
        <f>入學要求!S352</f>
        <v>0</v>
      </c>
      <c r="U17" s="256">
        <f>入學要求!T352</f>
        <v>0</v>
      </c>
      <c r="V17" s="256">
        <f>入學要求!U352</f>
        <v>0</v>
      </c>
      <c r="W17" s="256">
        <f>入學要求!V352</f>
        <v>0</v>
      </c>
      <c r="X17" s="256">
        <f>入學要求!W352</f>
        <v>0</v>
      </c>
      <c r="Y17" s="256">
        <f>入學要求!X352</f>
        <v>0</v>
      </c>
      <c r="Z17" s="15" t="str">
        <f t="shared" si="1"/>
        <v>/</v>
      </c>
      <c r="AA17" s="510"/>
      <c r="AB17" s="36" t="str" cm="1">
        <f t="array" ref="AB17">IFERROR(INDEX('Offer Statistics'!FC$2:FC$400,MATCH(1,($A17='Offer Statistics'!$EN$2:$EN$400)*($AA$2='Offer Statistics'!$EO$2:$EO$400),0)),"/")</f>
        <v>/</v>
      </c>
      <c r="AC17" s="64" t="str" cm="1">
        <f t="array" ref="AC17">IFERROR(INDEX('Offer Statistics'!EX$2:EX$400,MATCH(1,($A17='Offer Statistics'!$EN$2:$EN$400)*($AA$2='Offer Statistics'!$EO$2:$EO$400),0)),"/")</f>
        <v>/</v>
      </c>
      <c r="AD17" s="64" t="str" cm="1">
        <f t="array" ref="AD17">IFERROR(INDEX('Offer Statistics'!EY$2:EY$400,MATCH(1,($A17='Offer Statistics'!$EN$2:$EN$400)*($AA$2='Offer Statistics'!$EO$2:$EO$400),0)),"/")</f>
        <v>/</v>
      </c>
      <c r="AE17" s="64" t="str" cm="1">
        <f t="array" ref="AE17">IFERROR(INDEX('Offer Statistics'!EZ$2:EZ$400,MATCH(1,($A17='Offer Statistics'!$EN$2:$EN$400)*($AA$2='Offer Statistics'!$EO$2:$EO$400),0)),"/")</f>
        <v>/</v>
      </c>
      <c r="AF17" s="64" t="str" cm="1">
        <f t="array" ref="AF17">IFERROR(INDEX('Offer Statistics'!FA$2:FA$400,MATCH(1,($A17='Offer Statistics'!$EN$2:$EN$400)*($AA$2='Offer Statistics'!$EO$2:$EO$400),0)),"/")</f>
        <v>/</v>
      </c>
      <c r="AG17" s="64" t="str" cm="1">
        <f t="array" ref="AG17">IFERROR(INDEX('Offer Statistics'!FB$2:FB$400,MATCH(1,($A17='Offer Statistics'!$EN$2:$EN$400)*($AA$2='Offer Statistics'!$EO$2:$EO$400),0)),"/")</f>
        <v>/</v>
      </c>
      <c r="AH17" s="511"/>
      <c r="AI17" s="36" t="str" cm="1">
        <f t="array" ref="AI17">IFERROR(INDEX('Offer Statistics'!EU$2:EU$400,MATCH(1,($A17='Offer Statistics'!$EN$2:$EN$400)*($AA$2='Offer Statistics'!$EO$2:$EO$400),0)),"/")</f>
        <v>/</v>
      </c>
      <c r="AJ17" s="64" t="str" cm="1">
        <f t="array" ref="AJ17">IFERROR(INDEX('Offer Statistics'!EP$2:EP$400,MATCH(1,($A17='Offer Statistics'!$EN$2:$EN$400)*($AA$2='Offer Statistics'!$EO$2:$EO$400),0)),"/")</f>
        <v>/</v>
      </c>
      <c r="AK17" s="64" t="str" cm="1">
        <f t="array" ref="AK17">IFERROR(INDEX('Offer Statistics'!EQ$2:EQ$400,MATCH(1,($A17='Offer Statistics'!$EN$2:$EN$400)*($AA$2='Offer Statistics'!$EO$2:$EO$400),0)),"/")</f>
        <v>/</v>
      </c>
      <c r="AL17" s="64" t="str" cm="1">
        <f t="array" ref="AL17">IFERROR(INDEX('Offer Statistics'!ER$2:ER$400,MATCH(1,($A17='Offer Statistics'!$EN$2:$EN$400)*($AA$2='Offer Statistics'!$EO$2:$EO$400),0)),"/")</f>
        <v>/</v>
      </c>
      <c r="AM17" s="64" t="str" cm="1">
        <f t="array" ref="AM17">IFERROR(INDEX('Offer Statistics'!ES$2:ES$400,MATCH(1,($A17='Offer Statistics'!$EN$2:$EN$400)*($AA$2='Offer Statistics'!$EO$2:$EO$400),0)),"/")</f>
        <v>/</v>
      </c>
      <c r="AN17" s="64" t="str" cm="1">
        <f t="array" ref="AN17">IFERROR(INDEX('Offer Statistics'!ET$2:ET$400,MATCH(1,($A17='Offer Statistics'!$EN$2:$EN$400)*($AA$2='Offer Statistics'!$EO$2:$EO$400),0)),"/")</f>
        <v>/</v>
      </c>
      <c r="AO17" s="15"/>
      <c r="AP17" s="15" t="str">
        <f t="shared" si="0"/>
        <v>JS9520</v>
      </c>
    </row>
    <row r="18" spans="1:42" ht="18" customHeight="1">
      <c r="A18" s="4" t="str">
        <f>'Reference Score Calculation'!A344</f>
        <v>JS9530</v>
      </c>
      <c r="B18" s="4" t="str">
        <f>'Reference Score Calculation'!C344</f>
        <v>教育及語文學院</v>
      </c>
      <c r="C18" s="4" t="str">
        <f>'Reference Score Calculation'!D344</f>
        <v>英語教學榮譽教育學士及英語研究榮譽學士</v>
      </c>
      <c r="D18" s="4" t="str">
        <f>'Reference Score Calculation'!R344</f>
        <v>BEd(Hons)&amp;BEngLang(Hons)</v>
      </c>
      <c r="E18" s="85" t="str">
        <f>'Reference Score Calculation'!E344</f>
        <v>Best 5</v>
      </c>
      <c r="F18" s="6">
        <f>'Reference Score Calculation'!H344</f>
        <v>21</v>
      </c>
      <c r="G18" s="6">
        <f>'Reference Score Calculation'!I344</f>
        <v>20</v>
      </c>
      <c r="H18" s="45">
        <f>計分版!J367</f>
        <v>3.9500000000000006E-9</v>
      </c>
      <c r="I18" s="185">
        <f>IFERROR(IF(I$1="差距(Median)",H18-F18,IF(I$1="差距(UQ)",H18-#REF!,IF(I$1="差距(LQ)",H18-G18))),"/")</f>
        <v>-20.999999996050001</v>
      </c>
      <c r="J18" s="186">
        <f>IFERROR(IF(I$1="差距(Median)",(H18-F18)/H18,IF(I$1="差距(UQ)",(H18-#REF!)/H18,IF(I$1="差距(LQ)",(H18-G18)/H18))),"/")</f>
        <v>-5316455695.2025309</v>
      </c>
      <c r="K18" s="36">
        <f>'Reference Score Calculation'!T344</f>
        <v>30</v>
      </c>
      <c r="L18" s="86">
        <f>入學要求!Z353</f>
        <v>0</v>
      </c>
      <c r="M18" s="523"/>
      <c r="N18" s="182">
        <f>入學要求!L353</f>
        <v>3</v>
      </c>
      <c r="O18" s="182">
        <f>入學要求!M353</f>
        <v>3</v>
      </c>
      <c r="P18" s="182">
        <f>入學要求!N353</f>
        <v>2</v>
      </c>
      <c r="Q18" s="182">
        <f>入學要求!O353</f>
        <v>1</v>
      </c>
      <c r="R18" s="182">
        <f>入學要求!P353</f>
        <v>2</v>
      </c>
      <c r="S18" s="182">
        <f>入學要求!Q353</f>
        <v>2</v>
      </c>
      <c r="T18" s="256">
        <f>入學要求!S353</f>
        <v>0</v>
      </c>
      <c r="U18" s="256">
        <f>入學要求!T353</f>
        <v>0</v>
      </c>
      <c r="V18" s="256">
        <f>入學要求!U353</f>
        <v>0</v>
      </c>
      <c r="W18" s="256">
        <f>入學要求!V353</f>
        <v>0</v>
      </c>
      <c r="X18" s="256">
        <f>入學要求!W353</f>
        <v>0</v>
      </c>
      <c r="Y18" s="256">
        <f>入學要求!X353</f>
        <v>0</v>
      </c>
      <c r="Z18" s="15">
        <f t="shared" si="1"/>
        <v>3.28</v>
      </c>
      <c r="AA18" s="510"/>
      <c r="AB18" s="36" cm="1">
        <f t="array" ref="AB18">IFERROR(INDEX('Offer Statistics'!FC$2:FC$400,MATCH(1,($A18='Offer Statistics'!$EN$2:$EN$400)*($AA$2='Offer Statistics'!$EO$2:$EO$400),0)),"/")</f>
        <v>47</v>
      </c>
      <c r="AC18" s="64" cm="1">
        <f t="array" ref="AC18">IFERROR(INDEX('Offer Statistics'!EX$2:EX$400,MATCH(1,($A18='Offer Statistics'!$EN$2:$EN$400)*($AA$2='Offer Statistics'!$EO$2:$EO$400),0)),"/")</f>
        <v>39</v>
      </c>
      <c r="AD18" s="64" cm="1">
        <f t="array" ref="AD18">IFERROR(INDEX('Offer Statistics'!EY$2:EY$400,MATCH(1,($A18='Offer Statistics'!$EN$2:$EN$400)*($AA$2='Offer Statistics'!$EO$2:$EO$400),0)),"/")</f>
        <v>8</v>
      </c>
      <c r="AE18" s="64" cm="1">
        <f t="array" ref="AE18">IFERROR(INDEX('Offer Statistics'!EZ$2:EZ$400,MATCH(1,($A18='Offer Statistics'!$EN$2:$EN$400)*($AA$2='Offer Statistics'!$EO$2:$EO$400),0)),"/")</f>
        <v>0</v>
      </c>
      <c r="AF18" s="64" cm="1">
        <f t="array" ref="AF18">IFERROR(INDEX('Offer Statistics'!FA$2:FA$400,MATCH(1,($A18='Offer Statistics'!$EN$2:$EN$400)*($AA$2='Offer Statistics'!$EO$2:$EO$400),0)),"/")</f>
        <v>0</v>
      </c>
      <c r="AG18" s="64" cm="1">
        <f t="array" ref="AG18">IFERROR(INDEX('Offer Statistics'!FB$2:FB$400,MATCH(1,($A18='Offer Statistics'!$EN$2:$EN$400)*($AA$2='Offer Statistics'!$EO$2:$EO$400),0)),"/")</f>
        <v>0</v>
      </c>
      <c r="AH18" s="511"/>
      <c r="AI18" s="36" cm="1">
        <f t="array" ref="AI18">IFERROR(INDEX('Offer Statistics'!EU$2:EU$400,MATCH(1,($A18='Offer Statistics'!$EN$2:$EN$400)*($AA$2='Offer Statistics'!$EO$2:$EO$400),0)),"/")</f>
        <v>753</v>
      </c>
      <c r="AJ18" s="64" cm="1">
        <f t="array" ref="AJ18">IFERROR(INDEX('Offer Statistics'!EP$2:EP$400,MATCH(1,($A18='Offer Statistics'!$EN$2:$EN$400)*($AA$2='Offer Statistics'!$EO$2:$EO$400),0)),"/")</f>
        <v>128</v>
      </c>
      <c r="AK18" s="64" cm="1">
        <f t="array" ref="AK18">IFERROR(INDEX('Offer Statistics'!EQ$2:EQ$400,MATCH(1,($A18='Offer Statistics'!$EN$2:$EN$400)*($AA$2='Offer Statistics'!$EO$2:$EO$400),0)),"/")</f>
        <v>151</v>
      </c>
      <c r="AL18" s="64" cm="1">
        <f t="array" ref="AL18">IFERROR(INDEX('Offer Statistics'!ER$2:ER$400,MATCH(1,($A18='Offer Statistics'!$EN$2:$EN$400)*($AA$2='Offer Statistics'!$EO$2:$EO$400),0)),"/")</f>
        <v>128</v>
      </c>
      <c r="AM18" s="64" cm="1">
        <f t="array" ref="AM18">IFERROR(INDEX('Offer Statistics'!ES$2:ES$400,MATCH(1,($A18='Offer Statistics'!$EN$2:$EN$400)*($AA$2='Offer Statistics'!$EO$2:$EO$400),0)),"/")</f>
        <v>155</v>
      </c>
      <c r="AN18" s="64" cm="1">
        <f t="array" ref="AN18">IFERROR(INDEX('Offer Statistics'!ET$2:ET$400,MATCH(1,($A18='Offer Statistics'!$EN$2:$EN$400)*($AA$2='Offer Statistics'!$EO$2:$EO$400),0)),"/")</f>
        <v>191</v>
      </c>
      <c r="AO18" s="15"/>
      <c r="AP18" s="15" t="str">
        <f t="shared" si="0"/>
        <v>JS9530</v>
      </c>
    </row>
    <row r="19" spans="1:42" ht="18" customHeight="1">
      <c r="A19" s="4" t="str">
        <f>'Reference Score Calculation'!A345</f>
        <v>JS9540</v>
      </c>
      <c r="B19" s="4" t="str">
        <f>'Reference Score Calculation'!C345</f>
        <v>教育及語文學院</v>
      </c>
      <c r="C19" s="4" t="str">
        <f>'Reference Score Calculation'!D345</f>
        <v>英語研究榮譽學士</v>
      </c>
      <c r="D19" s="4" t="str">
        <f>'Reference Score Calculation'!R345</f>
        <v>BEng Lang (Hons)</v>
      </c>
      <c r="E19" s="85" t="str">
        <f>'Reference Score Calculation'!E345</f>
        <v>Best 5</v>
      </c>
      <c r="F19" s="6">
        <f>'Reference Score Calculation'!H345</f>
        <v>21</v>
      </c>
      <c r="G19" s="6">
        <f>'Reference Score Calculation'!I345</f>
        <v>20</v>
      </c>
      <c r="H19" s="45">
        <f>計分版!J368</f>
        <v>3.9500000000000006E-9</v>
      </c>
      <c r="I19" s="185">
        <f>IFERROR(IF(I$1="差距(Median)",H19-F19,IF(I$1="差距(UQ)",H19-#REF!,IF(I$1="差距(LQ)",H19-G19))),"/")</f>
        <v>-20.999999996050001</v>
      </c>
      <c r="J19" s="186">
        <f>IFERROR(IF(I$1="差距(Median)",(H19-F19)/H19,IF(I$1="差距(UQ)",(H19-#REF!)/H19,IF(I$1="差距(LQ)",(H19-G19)/H19))),"/")</f>
        <v>-5316455695.2025309</v>
      </c>
      <c r="K19" s="36">
        <f>'Reference Score Calculation'!T345</f>
        <v>20</v>
      </c>
      <c r="L19" s="86">
        <f>入學要求!Z354</f>
        <v>0</v>
      </c>
      <c r="M19" s="523"/>
      <c r="N19" s="182">
        <f>入學要求!L354</f>
        <v>3</v>
      </c>
      <c r="O19" s="182">
        <f>入學要求!M354</f>
        <v>3</v>
      </c>
      <c r="P19" s="182">
        <f>入學要求!N354</f>
        <v>2</v>
      </c>
      <c r="Q19" s="182">
        <f>入學要求!O354</f>
        <v>1</v>
      </c>
      <c r="R19" s="182">
        <f>入學要求!P354</f>
        <v>2</v>
      </c>
      <c r="S19" s="182">
        <f>入學要求!Q354</f>
        <v>2</v>
      </c>
      <c r="T19" s="256">
        <f>入學要求!S354</f>
        <v>0</v>
      </c>
      <c r="U19" s="256">
        <f>入學要求!T354</f>
        <v>0</v>
      </c>
      <c r="V19" s="256">
        <f>入學要求!U354</f>
        <v>0</v>
      </c>
      <c r="W19" s="256">
        <f>入學要求!V354</f>
        <v>0</v>
      </c>
      <c r="X19" s="256">
        <f>入學要求!W354</f>
        <v>0</v>
      </c>
      <c r="Y19" s="256">
        <f>入學要求!X354</f>
        <v>0</v>
      </c>
      <c r="Z19" s="15">
        <f t="shared" si="1"/>
        <v>5.07</v>
      </c>
      <c r="AA19" s="510"/>
      <c r="AB19" s="36" cm="1">
        <f t="array" ref="AB19">IFERROR(INDEX('Offer Statistics'!FC$2:FC$400,MATCH(1,($A19='Offer Statistics'!$EN$2:$EN$400)*($AA$2='Offer Statistics'!$EO$2:$EO$400),0)),"/")</f>
        <v>39</v>
      </c>
      <c r="AC19" s="64" cm="1">
        <f t="array" ref="AC19">IFERROR(INDEX('Offer Statistics'!EX$2:EX$400,MATCH(1,($A19='Offer Statistics'!$EN$2:$EN$400)*($AA$2='Offer Statistics'!$EO$2:$EO$400),0)),"/")</f>
        <v>14</v>
      </c>
      <c r="AD19" s="64" cm="1">
        <f t="array" ref="AD19">IFERROR(INDEX('Offer Statistics'!EY$2:EY$400,MATCH(1,($A19='Offer Statistics'!$EN$2:$EN$400)*($AA$2='Offer Statistics'!$EO$2:$EO$400),0)),"/")</f>
        <v>10</v>
      </c>
      <c r="AE19" s="64" cm="1">
        <f t="array" ref="AE19">IFERROR(INDEX('Offer Statistics'!EZ$2:EZ$400,MATCH(1,($A19='Offer Statistics'!$EN$2:$EN$400)*($AA$2='Offer Statistics'!$EO$2:$EO$400),0)),"/")</f>
        <v>6</v>
      </c>
      <c r="AF19" s="64" cm="1">
        <f t="array" ref="AF19">IFERROR(INDEX('Offer Statistics'!FA$2:FA$400,MATCH(1,($A19='Offer Statistics'!$EN$2:$EN$400)*($AA$2='Offer Statistics'!$EO$2:$EO$400),0)),"/")</f>
        <v>3</v>
      </c>
      <c r="AG19" s="64" cm="1">
        <f t="array" ref="AG19">IFERROR(INDEX('Offer Statistics'!FB$2:FB$400,MATCH(1,($A19='Offer Statistics'!$EN$2:$EN$400)*($AA$2='Offer Statistics'!$EO$2:$EO$400),0)),"/")</f>
        <v>6</v>
      </c>
      <c r="AH19" s="511"/>
      <c r="AI19" s="36" cm="1">
        <f t="array" ref="AI19">IFERROR(INDEX('Offer Statistics'!EU$2:EU$400,MATCH(1,($A19='Offer Statistics'!$EN$2:$EN$400)*($AA$2='Offer Statistics'!$EO$2:$EO$400),0)),"/")</f>
        <v>681</v>
      </c>
      <c r="AJ19" s="64" cm="1">
        <f t="array" ref="AJ19">IFERROR(INDEX('Offer Statistics'!EP$2:EP$400,MATCH(1,($A19='Offer Statistics'!$EN$2:$EN$400)*($AA$2='Offer Statistics'!$EO$2:$EO$400),0)),"/")</f>
        <v>71</v>
      </c>
      <c r="AK19" s="64" cm="1">
        <f t="array" ref="AK19">IFERROR(INDEX('Offer Statistics'!EQ$2:EQ$400,MATCH(1,($A19='Offer Statistics'!$EN$2:$EN$400)*($AA$2='Offer Statistics'!$EO$2:$EO$400),0)),"/")</f>
        <v>132</v>
      </c>
      <c r="AL19" s="64" cm="1">
        <f t="array" ref="AL19">IFERROR(INDEX('Offer Statistics'!ER$2:ER$400,MATCH(1,($A19='Offer Statistics'!$EN$2:$EN$400)*($AA$2='Offer Statistics'!$EO$2:$EO$400),0)),"/")</f>
        <v>126</v>
      </c>
      <c r="AM19" s="64" cm="1">
        <f t="array" ref="AM19">IFERROR(INDEX('Offer Statistics'!ES$2:ES$400,MATCH(1,($A19='Offer Statistics'!$EN$2:$EN$400)*($AA$2='Offer Statistics'!$EO$2:$EO$400),0)),"/")</f>
        <v>173</v>
      </c>
      <c r="AN19" s="64" cm="1">
        <f t="array" ref="AN19">IFERROR(INDEX('Offer Statistics'!ET$2:ET$400,MATCH(1,($A19='Offer Statistics'!$EN$2:$EN$400)*($AA$2='Offer Statistics'!$EO$2:$EO$400),0)),"/")</f>
        <v>179</v>
      </c>
      <c r="AO19" s="15"/>
      <c r="AP19" s="15" t="str">
        <f t="shared" si="0"/>
        <v>JS9540</v>
      </c>
    </row>
    <row r="20" spans="1:42" ht="18" customHeight="1">
      <c r="A20" s="4" t="str">
        <f>'Reference Score Calculation'!A346</f>
        <v>JS9550</v>
      </c>
      <c r="B20" s="4" t="str">
        <f>'Reference Score Calculation'!C346</f>
        <v>教育及語文學院</v>
      </c>
      <c r="C20" s="4" t="str">
        <f>'Reference Score Calculation'!D346</f>
        <v>語言研究榮譽學士（應用中國語言）</v>
      </c>
      <c r="D20" s="4" t="str">
        <f>'Reference Score Calculation'!R346</f>
        <v>BLang(Hons) Applied Chin</v>
      </c>
      <c r="E20" s="85" t="str">
        <f>'Reference Score Calculation'!E346</f>
        <v>Best 5</v>
      </c>
      <c r="F20" s="6">
        <f>'Reference Score Calculation'!H346</f>
        <v>23</v>
      </c>
      <c r="G20" s="6">
        <f>'Reference Score Calculation'!I346</f>
        <v>23</v>
      </c>
      <c r="H20" s="45">
        <f>計分版!J369</f>
        <v>4.1499999999999999E-9</v>
      </c>
      <c r="I20" s="185">
        <f>IFERROR(IF(I$1="差距(Median)",H20-F20,IF(I$1="差距(UQ)",H20-#REF!,IF(I$1="差距(LQ)",H20-G20))),"/")</f>
        <v>-22.999999995850001</v>
      </c>
      <c r="J20" s="186">
        <f>IFERROR(IF(I$1="差距(Median)",(H20-F20)/H20,IF(I$1="差距(UQ)",(H20-#REF!)/H20,IF(I$1="差距(LQ)",(H20-G20)/H20))),"/")</f>
        <v>-5542168673.6987953</v>
      </c>
      <c r="K20" s="36">
        <f>'Reference Score Calculation'!T346</f>
        <v>20</v>
      </c>
      <c r="L20" s="86">
        <f>入學要求!Z355</f>
        <v>0</v>
      </c>
      <c r="M20" s="523"/>
      <c r="N20" s="182">
        <f>入學要求!L355</f>
        <v>3</v>
      </c>
      <c r="O20" s="182">
        <f>入學要求!M355</f>
        <v>3</v>
      </c>
      <c r="P20" s="182">
        <f>入學要求!N355</f>
        <v>2</v>
      </c>
      <c r="Q20" s="182">
        <f>入學要求!O355</f>
        <v>1</v>
      </c>
      <c r="R20" s="182">
        <f>入學要求!P355</f>
        <v>2</v>
      </c>
      <c r="S20" s="182">
        <f>入學要求!Q355</f>
        <v>2</v>
      </c>
      <c r="T20" s="256">
        <f>入學要求!S355</f>
        <v>0</v>
      </c>
      <c r="U20" s="256">
        <f>入學要求!T355</f>
        <v>0</v>
      </c>
      <c r="V20" s="256">
        <f>入學要求!U355</f>
        <v>0</v>
      </c>
      <c r="W20" s="256">
        <f>入學要求!V355</f>
        <v>0</v>
      </c>
      <c r="X20" s="256">
        <f>入學要求!W355</f>
        <v>0</v>
      </c>
      <c r="Y20" s="256">
        <f>入學要求!X355</f>
        <v>0</v>
      </c>
      <c r="Z20" s="15">
        <f t="shared" si="1"/>
        <v>12.4</v>
      </c>
      <c r="AA20" s="510"/>
      <c r="AB20" s="36" cm="1">
        <f t="array" ref="AB20">IFERROR(INDEX('Offer Statistics'!FC$2:FC$400,MATCH(1,($A20='Offer Statistics'!$EN$2:$EN$400)*($AA$2='Offer Statistics'!$EO$2:$EO$400),0)),"/")</f>
        <v>16</v>
      </c>
      <c r="AC20" s="64" cm="1">
        <f t="array" ref="AC20">IFERROR(INDEX('Offer Statistics'!EX$2:EX$400,MATCH(1,($A20='Offer Statistics'!$EN$2:$EN$400)*($AA$2='Offer Statistics'!$EO$2:$EO$400),0)),"/")</f>
        <v>5</v>
      </c>
      <c r="AD20" s="64" cm="1">
        <f t="array" ref="AD20">IFERROR(INDEX('Offer Statistics'!EY$2:EY$400,MATCH(1,($A20='Offer Statistics'!$EN$2:$EN$400)*($AA$2='Offer Statistics'!$EO$2:$EO$400),0)),"/")</f>
        <v>2</v>
      </c>
      <c r="AE20" s="64" cm="1">
        <f t="array" ref="AE20">IFERROR(INDEX('Offer Statistics'!EZ$2:EZ$400,MATCH(1,($A20='Offer Statistics'!$EN$2:$EN$400)*($AA$2='Offer Statistics'!$EO$2:$EO$400),0)),"/")</f>
        <v>4</v>
      </c>
      <c r="AF20" s="64" cm="1">
        <f t="array" ref="AF20">IFERROR(INDEX('Offer Statistics'!FA$2:FA$400,MATCH(1,($A20='Offer Statistics'!$EN$2:$EN$400)*($AA$2='Offer Statistics'!$EO$2:$EO$400),0)),"/")</f>
        <v>1</v>
      </c>
      <c r="AG20" s="64" cm="1">
        <f t="array" ref="AG20">IFERROR(INDEX('Offer Statistics'!FB$2:FB$400,MATCH(1,($A20='Offer Statistics'!$EN$2:$EN$400)*($AA$2='Offer Statistics'!$EO$2:$EO$400),0)),"/")</f>
        <v>4</v>
      </c>
      <c r="AH20" s="511"/>
      <c r="AI20" s="36" cm="1">
        <f t="array" ref="AI20">IFERROR(INDEX('Offer Statistics'!EU$2:EU$400,MATCH(1,($A20='Offer Statistics'!$EN$2:$EN$400)*($AA$2='Offer Statistics'!$EO$2:$EO$400),0)),"/")</f>
        <v>800</v>
      </c>
      <c r="AJ20" s="64" cm="1">
        <f t="array" ref="AJ20">IFERROR(INDEX('Offer Statistics'!EP$2:EP$400,MATCH(1,($A20='Offer Statistics'!$EN$2:$EN$400)*($AA$2='Offer Statistics'!$EO$2:$EO$400),0)),"/")</f>
        <v>62</v>
      </c>
      <c r="AK20" s="64" cm="1">
        <f t="array" ref="AK20">IFERROR(INDEX('Offer Statistics'!EQ$2:EQ$400,MATCH(1,($A20='Offer Statistics'!$EN$2:$EN$400)*($AA$2='Offer Statistics'!$EO$2:$EO$400),0)),"/")</f>
        <v>122</v>
      </c>
      <c r="AL20" s="64" cm="1">
        <f t="array" ref="AL20">IFERROR(INDEX('Offer Statistics'!ER$2:ER$400,MATCH(1,($A20='Offer Statistics'!$EN$2:$EN$400)*($AA$2='Offer Statistics'!$EO$2:$EO$400),0)),"/")</f>
        <v>175</v>
      </c>
      <c r="AM20" s="64" cm="1">
        <f t="array" ref="AM20">IFERROR(INDEX('Offer Statistics'!ES$2:ES$400,MATCH(1,($A20='Offer Statistics'!$EN$2:$EN$400)*($AA$2='Offer Statistics'!$EO$2:$EO$400),0)),"/")</f>
        <v>216</v>
      </c>
      <c r="AN20" s="64" cm="1">
        <f t="array" ref="AN20">IFERROR(INDEX('Offer Statistics'!ET$2:ET$400,MATCH(1,($A20='Offer Statistics'!$EN$2:$EN$400)*($AA$2='Offer Statistics'!$EO$2:$EO$400),0)),"/")</f>
        <v>225</v>
      </c>
      <c r="AO20" s="15"/>
      <c r="AP20" s="15" t="str">
        <f t="shared" si="0"/>
        <v>JS9550</v>
      </c>
    </row>
    <row r="21" spans="1:42" ht="18" customHeight="1">
      <c r="A21" s="4" t="str">
        <f>'Reference Score Calculation'!A347</f>
        <v>JS9560</v>
      </c>
      <c r="B21" s="4" t="str">
        <f>'Reference Score Calculation'!C347</f>
        <v>教育及語文學院</v>
      </c>
      <c r="C21" s="4" t="str">
        <f>'Reference Score Calculation'!D347</f>
        <v>教育榮譽學士（中國語文教學）及語言研究榮譽學士（應用中國語言）</v>
      </c>
      <c r="D21" s="4" t="str">
        <f>'Reference Score Calculation'!R347</f>
        <v>BEd(Hons)&amp;BLang(Hons)Chi</v>
      </c>
      <c r="E21" s="85" t="str">
        <f>'Reference Score Calculation'!E347</f>
        <v>Best 5</v>
      </c>
      <c r="F21" s="6">
        <f>'Reference Score Calculation'!H347</f>
        <v>22</v>
      </c>
      <c r="G21" s="6">
        <f>'Reference Score Calculation'!I347</f>
        <v>21</v>
      </c>
      <c r="H21" s="45">
        <f>計分版!J370</f>
        <v>4.1499999999999999E-9</v>
      </c>
      <c r="I21" s="185">
        <f>IFERROR(IF(I$1="差距(Median)",H21-F21,IF(I$1="差距(UQ)",H21-#REF!,IF(I$1="差距(LQ)",H21-G21))),"/")</f>
        <v>-21.999999995850001</v>
      </c>
      <c r="J21" s="186">
        <f>IFERROR(IF(I$1="差距(Median)",(H21-F21)/H21,IF(I$1="差距(UQ)",(H21-#REF!)/H21,IF(I$1="差距(LQ)",(H21-G21)/H21))),"/")</f>
        <v>-5301204818.2771082</v>
      </c>
      <c r="K21" s="36">
        <f>'Reference Score Calculation'!T347</f>
        <v>35</v>
      </c>
      <c r="L21" s="86">
        <f>入學要求!Z356</f>
        <v>0</v>
      </c>
      <c r="M21" s="523"/>
      <c r="N21" s="182">
        <f>入學要求!L356</f>
        <v>3</v>
      </c>
      <c r="O21" s="182">
        <f>入學要求!M356</f>
        <v>3</v>
      </c>
      <c r="P21" s="182">
        <f>入學要求!N356</f>
        <v>2</v>
      </c>
      <c r="Q21" s="182">
        <f>入學要求!O356</f>
        <v>1</v>
      </c>
      <c r="R21" s="182">
        <f>入學要求!P356</f>
        <v>2</v>
      </c>
      <c r="S21" s="182">
        <f>入學要求!Q356</f>
        <v>2</v>
      </c>
      <c r="T21" s="256">
        <f>入學要求!S356</f>
        <v>0</v>
      </c>
      <c r="U21" s="256">
        <f>入學要求!T356</f>
        <v>0</v>
      </c>
      <c r="V21" s="256">
        <f>入學要求!U356</f>
        <v>0</v>
      </c>
      <c r="W21" s="256">
        <f>入學要求!V356</f>
        <v>0</v>
      </c>
      <c r="X21" s="256">
        <f>入學要求!W356</f>
        <v>0</v>
      </c>
      <c r="Y21" s="256">
        <f>入學要求!X356</f>
        <v>0</v>
      </c>
      <c r="Z21" s="15">
        <f t="shared" si="1"/>
        <v>4</v>
      </c>
      <c r="AA21" s="510"/>
      <c r="AB21" s="36" cm="1">
        <f t="array" ref="AB21">IFERROR(INDEX('Offer Statistics'!FC$2:FC$400,MATCH(1,($A21='Offer Statistics'!$EN$2:$EN$400)*($AA$2='Offer Statistics'!$EO$2:$EO$400),0)),"/")</f>
        <v>44</v>
      </c>
      <c r="AC21" s="64" cm="1">
        <f t="array" ref="AC21">IFERROR(INDEX('Offer Statistics'!EX$2:EX$400,MATCH(1,($A21='Offer Statistics'!$EN$2:$EN$400)*($AA$2='Offer Statistics'!$EO$2:$EO$400),0)),"/")</f>
        <v>38</v>
      </c>
      <c r="AD21" s="64" cm="1">
        <f t="array" ref="AD21">IFERROR(INDEX('Offer Statistics'!EY$2:EY$400,MATCH(1,($A21='Offer Statistics'!$EN$2:$EN$400)*($AA$2='Offer Statistics'!$EO$2:$EO$400),0)),"/")</f>
        <v>6</v>
      </c>
      <c r="AE21" s="64" cm="1">
        <f t="array" ref="AE21">IFERROR(INDEX('Offer Statistics'!EZ$2:EZ$400,MATCH(1,($A21='Offer Statistics'!$EN$2:$EN$400)*($AA$2='Offer Statistics'!$EO$2:$EO$400),0)),"/")</f>
        <v>0</v>
      </c>
      <c r="AF21" s="64" cm="1">
        <f t="array" ref="AF21">IFERROR(INDEX('Offer Statistics'!FA$2:FA$400,MATCH(1,($A21='Offer Statistics'!$EN$2:$EN$400)*($AA$2='Offer Statistics'!$EO$2:$EO$400),0)),"/")</f>
        <v>0</v>
      </c>
      <c r="AG21" s="64" cm="1">
        <f t="array" ref="AG21">IFERROR(INDEX('Offer Statistics'!FB$2:FB$400,MATCH(1,($A21='Offer Statistics'!$EN$2:$EN$400)*($AA$2='Offer Statistics'!$EO$2:$EO$400),0)),"/")</f>
        <v>0</v>
      </c>
      <c r="AH21" s="511"/>
      <c r="AI21" s="36" cm="1">
        <f t="array" ref="AI21">IFERROR(INDEX('Offer Statistics'!EU$2:EU$400,MATCH(1,($A21='Offer Statistics'!$EN$2:$EN$400)*($AA$2='Offer Statistics'!$EO$2:$EO$400),0)),"/")</f>
        <v>1183</v>
      </c>
      <c r="AJ21" s="64" cm="1">
        <f t="array" ref="AJ21">IFERROR(INDEX('Offer Statistics'!EP$2:EP$400,MATCH(1,($A21='Offer Statistics'!$EN$2:$EN$400)*($AA$2='Offer Statistics'!$EO$2:$EO$400),0)),"/")</f>
        <v>152</v>
      </c>
      <c r="AK21" s="64" cm="1">
        <f t="array" ref="AK21">IFERROR(INDEX('Offer Statistics'!EQ$2:EQ$400,MATCH(1,($A21='Offer Statistics'!$EN$2:$EN$400)*($AA$2='Offer Statistics'!$EO$2:$EO$400),0)),"/")</f>
        <v>200</v>
      </c>
      <c r="AL21" s="64" cm="1">
        <f t="array" ref="AL21">IFERROR(INDEX('Offer Statistics'!ER$2:ER$400,MATCH(1,($A21='Offer Statistics'!$EN$2:$EN$400)*($AA$2='Offer Statistics'!$EO$2:$EO$400),0)),"/")</f>
        <v>245</v>
      </c>
      <c r="AM21" s="64" cm="1">
        <f t="array" ref="AM21">IFERROR(INDEX('Offer Statistics'!ES$2:ES$400,MATCH(1,($A21='Offer Statistics'!$EN$2:$EN$400)*($AA$2='Offer Statistics'!$EO$2:$EO$400),0)),"/")</f>
        <v>284</v>
      </c>
      <c r="AN21" s="64" cm="1">
        <f t="array" ref="AN21">IFERROR(INDEX('Offer Statistics'!ET$2:ET$400,MATCH(1,($A21='Offer Statistics'!$EN$2:$EN$400)*($AA$2='Offer Statistics'!$EO$2:$EO$400),0)),"/")</f>
        <v>302</v>
      </c>
      <c r="AO21" s="15"/>
      <c r="AP21" s="15" t="str">
        <f t="shared" si="0"/>
        <v>JS9560</v>
      </c>
    </row>
    <row r="22" spans="1:42" ht="18" customHeight="1">
      <c r="A22" s="4" t="str">
        <f>'Reference Score Calculation'!A348</f>
        <v>JS9580</v>
      </c>
      <c r="B22" s="4" t="str">
        <f>'Reference Score Calculation'!C348</f>
        <v>教育及語文學院</v>
      </c>
      <c r="C22" s="4" t="str">
        <f>'Reference Score Calculation'!D348</f>
        <v>教育榮譽學士（幼兒教育：領導及特殊教育需要）</v>
      </c>
      <c r="D22" s="4" t="str">
        <f>'Reference Score Calculation'!R348</f>
        <v>BEd(Hons)ECE-Leader&amp;SEN</v>
      </c>
      <c r="E22" s="85" t="str">
        <f>'Reference Score Calculation'!E348</f>
        <v>Best 5</v>
      </c>
      <c r="F22" s="6">
        <f>'Reference Score Calculation'!H348</f>
        <v>16</v>
      </c>
      <c r="G22" s="6">
        <f>'Reference Score Calculation'!I348</f>
        <v>15</v>
      </c>
      <c r="H22" s="45">
        <f>計分版!J371</f>
        <v>3.9500000000000006E-9</v>
      </c>
      <c r="I22" s="185">
        <f>IFERROR(IF(I$1="差距(Median)",H22-F22,IF(I$1="差距(UQ)",H22-#REF!,IF(I$1="差距(LQ)",H22-G22))),"/")</f>
        <v>-15.999999996050001</v>
      </c>
      <c r="J22" s="186">
        <f>IFERROR(IF(I$1="差距(Median)",(H22-F22)/H22,IF(I$1="差距(UQ)",(H22-#REF!)/H22,IF(I$1="差距(LQ)",(H22-G22)/H22))),"/")</f>
        <v>-4050632910.3924046</v>
      </c>
      <c r="K22" s="36">
        <f>'Reference Score Calculation'!T348</f>
        <v>40</v>
      </c>
      <c r="L22" s="86">
        <f>入學要求!Z357</f>
        <v>0</v>
      </c>
      <c r="M22" s="523"/>
      <c r="N22" s="182">
        <f>入學要求!L357</f>
        <v>3</v>
      </c>
      <c r="O22" s="182">
        <f>入學要求!M357</f>
        <v>3</v>
      </c>
      <c r="P22" s="182">
        <f>入學要求!N357</f>
        <v>2</v>
      </c>
      <c r="Q22" s="182">
        <f>入學要求!O357</f>
        <v>1</v>
      </c>
      <c r="R22" s="182">
        <f>入學要求!P357</f>
        <v>2</v>
      </c>
      <c r="S22" s="182">
        <f>入學要求!Q357</f>
        <v>2</v>
      </c>
      <c r="T22" s="256">
        <f>入學要求!S357</f>
        <v>0</v>
      </c>
      <c r="U22" s="256">
        <f>入學要求!T357</f>
        <v>0</v>
      </c>
      <c r="V22" s="256">
        <f>入學要求!U357</f>
        <v>0</v>
      </c>
      <c r="W22" s="256">
        <f>入學要求!V357</f>
        <v>0</v>
      </c>
      <c r="X22" s="256">
        <f>入學要求!W357</f>
        <v>0</v>
      </c>
      <c r="Y22" s="256">
        <f>入學要求!X357</f>
        <v>0</v>
      </c>
      <c r="Z22" s="15">
        <f t="shared" si="1"/>
        <v>13.47</v>
      </c>
      <c r="AA22" s="510"/>
      <c r="AB22" s="36" cm="1">
        <f t="array" ref="AB22">IFERROR(INDEX('Offer Statistics'!FC$2:FC$400,MATCH(1,($A22='Offer Statistics'!$EN$2:$EN$400)*($AA$2='Offer Statistics'!$EO$2:$EO$400),0)),"/")</f>
        <v>43</v>
      </c>
      <c r="AC22" s="64" cm="1">
        <f t="array" ref="AC22">IFERROR(INDEX('Offer Statistics'!EX$2:EX$400,MATCH(1,($A22='Offer Statistics'!$EN$2:$EN$400)*($AA$2='Offer Statistics'!$EO$2:$EO$400),0)),"/")</f>
        <v>36</v>
      </c>
      <c r="AD22" s="64" cm="1">
        <f t="array" ref="AD22">IFERROR(INDEX('Offer Statistics'!EY$2:EY$400,MATCH(1,($A22='Offer Statistics'!$EN$2:$EN$400)*($AA$2='Offer Statistics'!$EO$2:$EO$400),0)),"/")</f>
        <v>7</v>
      </c>
      <c r="AE22" s="64" cm="1">
        <f t="array" ref="AE22">IFERROR(INDEX('Offer Statistics'!EZ$2:EZ$400,MATCH(1,($A22='Offer Statistics'!$EN$2:$EN$400)*($AA$2='Offer Statistics'!$EO$2:$EO$400),0)),"/")</f>
        <v>0</v>
      </c>
      <c r="AF22" s="64" cm="1">
        <f t="array" ref="AF22">IFERROR(INDEX('Offer Statistics'!FA$2:FA$400,MATCH(1,($A22='Offer Statistics'!$EN$2:$EN$400)*($AA$2='Offer Statistics'!$EO$2:$EO$400),0)),"/")</f>
        <v>0</v>
      </c>
      <c r="AG22" s="64" cm="1">
        <f t="array" ref="AG22">IFERROR(INDEX('Offer Statistics'!FB$2:FB$400,MATCH(1,($A22='Offer Statistics'!$EN$2:$EN$400)*($AA$2='Offer Statistics'!$EO$2:$EO$400),0)),"/")</f>
        <v>0</v>
      </c>
      <c r="AH22" s="511"/>
      <c r="AI22" s="36" cm="1">
        <f t="array" ref="AI22">IFERROR(INDEX('Offer Statistics'!EU$2:EU$400,MATCH(1,($A22='Offer Statistics'!$EN$2:$EN$400)*($AA$2='Offer Statistics'!$EO$2:$EO$400),0)),"/")</f>
        <v>2711</v>
      </c>
      <c r="AJ22" s="64" cm="1">
        <f t="array" ref="AJ22">IFERROR(INDEX('Offer Statistics'!EP$2:EP$400,MATCH(1,($A22='Offer Statistics'!$EN$2:$EN$400)*($AA$2='Offer Statistics'!$EO$2:$EO$400),0)),"/")</f>
        <v>485</v>
      </c>
      <c r="AK22" s="64" cm="1">
        <f t="array" ref="AK22">IFERROR(INDEX('Offer Statistics'!EQ$2:EQ$400,MATCH(1,($A22='Offer Statistics'!$EN$2:$EN$400)*($AA$2='Offer Statistics'!$EO$2:$EO$400),0)),"/")</f>
        <v>578</v>
      </c>
      <c r="AL22" s="64" cm="1">
        <f t="array" ref="AL22">IFERROR(INDEX('Offer Statistics'!ER$2:ER$400,MATCH(1,($A22='Offer Statistics'!$EN$2:$EN$400)*($AA$2='Offer Statistics'!$EO$2:$EO$400),0)),"/")</f>
        <v>514</v>
      </c>
      <c r="AM22" s="64" cm="1">
        <f t="array" ref="AM22">IFERROR(INDEX('Offer Statistics'!ES$2:ES$400,MATCH(1,($A22='Offer Statistics'!$EN$2:$EN$400)*($AA$2='Offer Statistics'!$EO$2:$EO$400),0)),"/")</f>
        <v>557</v>
      </c>
      <c r="AN22" s="64" cm="1">
        <f t="array" ref="AN22">IFERROR(INDEX('Offer Statistics'!ET$2:ET$400,MATCH(1,($A22='Offer Statistics'!$EN$2:$EN$400)*($AA$2='Offer Statistics'!$EO$2:$EO$400),0)),"/")</f>
        <v>577</v>
      </c>
      <c r="AO22" s="15"/>
      <c r="AP22" s="15" t="str">
        <f t="shared" si="0"/>
        <v>JS9580</v>
      </c>
    </row>
    <row r="23" spans="1:42" ht="18" customHeight="1">
      <c r="A23" s="4" t="str">
        <f>'Reference Score Calculation'!A349</f>
        <v>JS9719</v>
      </c>
      <c r="B23" s="4" t="str">
        <f>'Reference Score Calculation'!C349</f>
        <v>科技學院</v>
      </c>
      <c r="C23" s="4" t="str">
        <f>'Reference Score Calculation'!D349</f>
        <v>網路及電腦安全榮譽理學士</v>
      </c>
      <c r="D23" s="4" t="str">
        <f>'Reference Score Calculation'!R349</f>
        <v>BSc(Hons) Cyber&amp;ComSecy</v>
      </c>
      <c r="E23" s="85" t="str">
        <f>'Reference Score Calculation'!E349</f>
        <v>Best 5</v>
      </c>
      <c r="F23" s="6">
        <f>'Reference Score Calculation'!H349</f>
        <v>15</v>
      </c>
      <c r="G23" s="6">
        <f>'Reference Score Calculation'!I349</f>
        <v>14</v>
      </c>
      <c r="H23" s="45">
        <f>計分版!J372</f>
        <v>3.9500000000000006E-9</v>
      </c>
      <c r="I23" s="185">
        <f>IFERROR(IF(I$1="差距(Median)",H23-F23,IF(I$1="差距(UQ)",H23-#REF!,IF(I$1="差距(LQ)",H23-G23))),"/")</f>
        <v>-14.999999996050001</v>
      </c>
      <c r="J23" s="186">
        <f>IFERROR(IF(I$1="差距(Median)",(H23-F23)/H23,IF(I$1="差距(UQ)",(H23-#REF!)/H23,IF(I$1="差距(LQ)",(H23-G23)/H23))),"/")</f>
        <v>-3797468353.4303794</v>
      </c>
      <c r="K23" s="36">
        <f>'Reference Score Calculation'!T349</f>
        <v>30</v>
      </c>
      <c r="L23" s="86">
        <f>入學要求!Z358</f>
        <v>0</v>
      </c>
      <c r="M23" s="523"/>
      <c r="N23" s="182">
        <f>入學要求!L358</f>
        <v>3</v>
      </c>
      <c r="O23" s="182">
        <f>入學要求!M358</f>
        <v>3</v>
      </c>
      <c r="P23" s="182">
        <f>入學要求!N358</f>
        <v>2</v>
      </c>
      <c r="Q23" s="182">
        <f>入學要求!O358</f>
        <v>1</v>
      </c>
      <c r="R23" s="182">
        <f>入學要求!P358</f>
        <v>2</v>
      </c>
      <c r="S23" s="182">
        <f>入學要求!Q358</f>
        <v>2</v>
      </c>
      <c r="T23" s="256">
        <f>入學要求!S358</f>
        <v>0</v>
      </c>
      <c r="U23" s="256">
        <f>入學要求!T358</f>
        <v>0</v>
      </c>
      <c r="V23" s="256">
        <f>入學要求!U358</f>
        <v>0</v>
      </c>
      <c r="W23" s="256">
        <f>入學要求!V358</f>
        <v>0</v>
      </c>
      <c r="X23" s="256">
        <f>入學要求!W358</f>
        <v>0</v>
      </c>
      <c r="Y23" s="256">
        <f>入學要求!X358</f>
        <v>0</v>
      </c>
      <c r="Z23" s="15">
        <f t="shared" si="1"/>
        <v>14.26</v>
      </c>
      <c r="AA23" s="510"/>
      <c r="AB23" s="36" cm="1">
        <f t="array" ref="AB23">IFERROR(INDEX('Offer Statistics'!FC$2:FC$400,MATCH(1,($A23='Offer Statistics'!$EN$2:$EN$400)*($AA$2='Offer Statistics'!$EO$2:$EO$400),0)),"/")</f>
        <v>51</v>
      </c>
      <c r="AC23" s="64" cm="1">
        <f t="array" ref="AC23">IFERROR(INDEX('Offer Statistics'!EX$2:EX$400,MATCH(1,($A23='Offer Statistics'!$EN$2:$EN$400)*($AA$2='Offer Statistics'!$EO$2:$EO$400),0)),"/")</f>
        <v>27</v>
      </c>
      <c r="AD23" s="64" cm="1">
        <f t="array" ref="AD23">IFERROR(INDEX('Offer Statistics'!EY$2:EY$400,MATCH(1,($A23='Offer Statistics'!$EN$2:$EN$400)*($AA$2='Offer Statistics'!$EO$2:$EO$400),0)),"/")</f>
        <v>7</v>
      </c>
      <c r="AE23" s="64" cm="1">
        <f t="array" ref="AE23">IFERROR(INDEX('Offer Statistics'!EZ$2:EZ$400,MATCH(1,($A23='Offer Statistics'!$EN$2:$EN$400)*($AA$2='Offer Statistics'!$EO$2:$EO$400),0)),"/")</f>
        <v>5</v>
      </c>
      <c r="AF23" s="64" cm="1">
        <f t="array" ref="AF23">IFERROR(INDEX('Offer Statistics'!FA$2:FA$400,MATCH(1,($A23='Offer Statistics'!$EN$2:$EN$400)*($AA$2='Offer Statistics'!$EO$2:$EO$400),0)),"/")</f>
        <v>5</v>
      </c>
      <c r="AG23" s="64" cm="1">
        <f t="array" ref="AG23">IFERROR(INDEX('Offer Statistics'!FB$2:FB$400,MATCH(1,($A23='Offer Statistics'!$EN$2:$EN$400)*($AA$2='Offer Statistics'!$EO$2:$EO$400),0)),"/")</f>
        <v>7</v>
      </c>
      <c r="AH23" s="511"/>
      <c r="AI23" s="36" cm="1">
        <f t="array" ref="AI23">IFERROR(INDEX('Offer Statistics'!EU$2:EU$400,MATCH(1,($A23='Offer Statistics'!$EN$2:$EN$400)*($AA$2='Offer Statistics'!$EO$2:$EO$400),0)),"/")</f>
        <v>2148</v>
      </c>
      <c r="AJ23" s="64" cm="1">
        <f t="array" ref="AJ23">IFERROR(INDEX('Offer Statistics'!EP$2:EP$400,MATCH(1,($A23='Offer Statistics'!$EN$2:$EN$400)*($AA$2='Offer Statistics'!$EO$2:$EO$400),0)),"/")</f>
        <v>385</v>
      </c>
      <c r="AK23" s="64" cm="1">
        <f t="array" ref="AK23">IFERROR(INDEX('Offer Statistics'!EQ$2:EQ$400,MATCH(1,($A23='Offer Statistics'!$EN$2:$EN$400)*($AA$2='Offer Statistics'!$EO$2:$EO$400),0)),"/")</f>
        <v>402</v>
      </c>
      <c r="AL23" s="64" cm="1">
        <f t="array" ref="AL23">IFERROR(INDEX('Offer Statistics'!ER$2:ER$400,MATCH(1,($A23='Offer Statistics'!$EN$2:$EN$400)*($AA$2='Offer Statistics'!$EO$2:$EO$400),0)),"/")</f>
        <v>370</v>
      </c>
      <c r="AM23" s="64" cm="1">
        <f t="array" ref="AM23">IFERROR(INDEX('Offer Statistics'!ES$2:ES$400,MATCH(1,($A23='Offer Statistics'!$EN$2:$EN$400)*($AA$2='Offer Statistics'!$EO$2:$EO$400),0)),"/")</f>
        <v>456</v>
      </c>
      <c r="AN23" s="64" cm="1">
        <f t="array" ref="AN23">IFERROR(INDEX('Offer Statistics'!ET$2:ET$400,MATCH(1,($A23='Offer Statistics'!$EN$2:$EN$400)*($AA$2='Offer Statistics'!$EO$2:$EO$400),0)),"/")</f>
        <v>535</v>
      </c>
      <c r="AO23" s="15"/>
      <c r="AP23" s="15" t="str">
        <f t="shared" si="0"/>
        <v>JS9719</v>
      </c>
    </row>
    <row r="24" spans="1:42" ht="18" customHeight="1">
      <c r="A24" s="4" t="str">
        <f>'Reference Score Calculation'!A350</f>
        <v>JS9720</v>
      </c>
      <c r="B24" s="4" t="str">
        <f>'Reference Score Calculation'!C350</f>
        <v>科技學院</v>
      </c>
      <c r="C24" s="4" t="str">
        <f>'Reference Score Calculation'!D350</f>
        <v>電子及電腦工程學榮譽工學士</v>
      </c>
      <c r="D24" s="4" t="str">
        <f>'Reference Score Calculation'!R350</f>
        <v>BEng(Hons)Elec &amp; CompEng</v>
      </c>
      <c r="E24" s="85" t="str">
        <f>'Reference Score Calculation'!E350</f>
        <v>Best 5</v>
      </c>
      <c r="F24" s="6">
        <f>'Reference Score Calculation'!H350</f>
        <v>16</v>
      </c>
      <c r="G24" s="6">
        <f>'Reference Score Calculation'!I350</f>
        <v>16</v>
      </c>
      <c r="H24" s="45">
        <f>計分版!J373</f>
        <v>3.9500000000000006E-9</v>
      </c>
      <c r="I24" s="185">
        <f>IFERROR(IF(I$1="差距(Median)",H24-F24,IF(I$1="差距(UQ)",H24-#REF!,IF(I$1="差距(LQ)",H24-G24))),"/")</f>
        <v>-15.999999996050001</v>
      </c>
      <c r="J24" s="186">
        <f>IFERROR(IF(I$1="差距(Median)",(H24-F24)/H24,IF(I$1="差距(UQ)",(H24-#REF!)/H24,IF(I$1="差距(LQ)",(H24-G24)/H24))),"/")</f>
        <v>-4050632910.3924046</v>
      </c>
      <c r="K24" s="36">
        <f>'Reference Score Calculation'!T350</f>
        <v>30</v>
      </c>
      <c r="L24" s="86">
        <f>入學要求!Z359</f>
        <v>0</v>
      </c>
      <c r="M24" s="523"/>
      <c r="N24" s="182">
        <f>入學要求!L359</f>
        <v>3</v>
      </c>
      <c r="O24" s="182">
        <f>入學要求!M359</f>
        <v>3</v>
      </c>
      <c r="P24" s="182">
        <f>入學要求!N359</f>
        <v>2</v>
      </c>
      <c r="Q24" s="182">
        <f>入學要求!O359</f>
        <v>1</v>
      </c>
      <c r="R24" s="182">
        <f>入學要求!P359</f>
        <v>2</v>
      </c>
      <c r="S24" s="182">
        <f>入學要求!Q359</f>
        <v>2</v>
      </c>
      <c r="T24" s="256">
        <f>入學要求!S359</f>
        <v>0</v>
      </c>
      <c r="U24" s="256">
        <f>入學要求!T359</f>
        <v>0</v>
      </c>
      <c r="V24" s="256">
        <f>入學要求!U359</f>
        <v>0</v>
      </c>
      <c r="W24" s="256">
        <f>入學要求!V359</f>
        <v>0</v>
      </c>
      <c r="X24" s="256">
        <f>入學要求!W359</f>
        <v>0</v>
      </c>
      <c r="Y24" s="256">
        <f>入學要求!X359</f>
        <v>0</v>
      </c>
      <c r="Z24" s="15">
        <f t="shared" si="1"/>
        <v>6.85</v>
      </c>
      <c r="AA24" s="510"/>
      <c r="AB24" s="36" cm="1">
        <f t="array" ref="AB24">IFERROR(INDEX('Offer Statistics'!FC$2:FC$400,MATCH(1,($A24='Offer Statistics'!$EN$2:$EN$400)*($AA$2='Offer Statistics'!$EO$2:$EO$400),0)),"/")</f>
        <v>65</v>
      </c>
      <c r="AC24" s="64" cm="1">
        <f t="array" ref="AC24">IFERROR(INDEX('Offer Statistics'!EX$2:EX$400,MATCH(1,($A24='Offer Statistics'!$EN$2:$EN$400)*($AA$2='Offer Statistics'!$EO$2:$EO$400),0)),"/")</f>
        <v>33</v>
      </c>
      <c r="AD24" s="64" cm="1">
        <f t="array" ref="AD24">IFERROR(INDEX('Offer Statistics'!EY$2:EY$400,MATCH(1,($A24='Offer Statistics'!$EN$2:$EN$400)*($AA$2='Offer Statistics'!$EO$2:$EO$400),0)),"/")</f>
        <v>14</v>
      </c>
      <c r="AE24" s="64" cm="1">
        <f t="array" ref="AE24">IFERROR(INDEX('Offer Statistics'!EZ$2:EZ$400,MATCH(1,($A24='Offer Statistics'!$EN$2:$EN$400)*($AA$2='Offer Statistics'!$EO$2:$EO$400),0)),"/")</f>
        <v>12</v>
      </c>
      <c r="AF24" s="64" cm="1">
        <f t="array" ref="AF24">IFERROR(INDEX('Offer Statistics'!FA$2:FA$400,MATCH(1,($A24='Offer Statistics'!$EN$2:$EN$400)*($AA$2='Offer Statistics'!$EO$2:$EO$400),0)),"/")</f>
        <v>5</v>
      </c>
      <c r="AG24" s="64" cm="1">
        <f t="array" ref="AG24">IFERROR(INDEX('Offer Statistics'!FB$2:FB$400,MATCH(1,($A24='Offer Statistics'!$EN$2:$EN$400)*($AA$2='Offer Statistics'!$EO$2:$EO$400),0)),"/")</f>
        <v>1</v>
      </c>
      <c r="AH24" s="511"/>
      <c r="AI24" s="36" cm="1">
        <f t="array" ref="AI24">IFERROR(INDEX('Offer Statistics'!EU$2:EU$400,MATCH(1,($A24='Offer Statistics'!$EN$2:$EN$400)*($AA$2='Offer Statistics'!$EO$2:$EO$400),0)),"/")</f>
        <v>2049</v>
      </c>
      <c r="AJ24" s="64" cm="1">
        <f t="array" ref="AJ24">IFERROR(INDEX('Offer Statistics'!EP$2:EP$400,MATCH(1,($A24='Offer Statistics'!$EN$2:$EN$400)*($AA$2='Offer Statistics'!$EO$2:$EO$400),0)),"/")</f>
        <v>226</v>
      </c>
      <c r="AK24" s="64" cm="1">
        <f t="array" ref="AK24">IFERROR(INDEX('Offer Statistics'!EQ$2:EQ$400,MATCH(1,($A24='Offer Statistics'!$EN$2:$EN$400)*($AA$2='Offer Statistics'!$EO$2:$EO$400),0)),"/")</f>
        <v>327</v>
      </c>
      <c r="AL24" s="64" cm="1">
        <f t="array" ref="AL24">IFERROR(INDEX('Offer Statistics'!ER$2:ER$400,MATCH(1,($A24='Offer Statistics'!$EN$2:$EN$400)*($AA$2='Offer Statistics'!$EO$2:$EO$400),0)),"/")</f>
        <v>405</v>
      </c>
      <c r="AM24" s="64" cm="1">
        <f t="array" ref="AM24">IFERROR(INDEX('Offer Statistics'!ES$2:ES$400,MATCH(1,($A24='Offer Statistics'!$EN$2:$EN$400)*($AA$2='Offer Statistics'!$EO$2:$EO$400),0)),"/")</f>
        <v>541</v>
      </c>
      <c r="AN24" s="64" cm="1">
        <f t="array" ref="AN24">IFERROR(INDEX('Offer Statistics'!ET$2:ET$400,MATCH(1,($A24='Offer Statistics'!$EN$2:$EN$400)*($AA$2='Offer Statistics'!$EO$2:$EO$400),0)),"/")</f>
        <v>550</v>
      </c>
      <c r="AO24" s="15"/>
      <c r="AP24" s="15" t="str">
        <f t="shared" si="0"/>
        <v>JS9720</v>
      </c>
    </row>
    <row r="25" spans="1:42" ht="18" customHeight="1">
      <c r="A25" s="4" t="str">
        <f>'Reference Score Calculation'!A351</f>
        <v>JS9731</v>
      </c>
      <c r="B25" s="4" t="str">
        <f>'Reference Score Calculation'!C351</f>
        <v>科技學院</v>
      </c>
      <c r="C25" s="4" t="str">
        <f>'Reference Score Calculation'!D351</f>
        <v>環境科學與綠色管理榮譽理學士</v>
      </c>
      <c r="D25" s="4" t="str">
        <f>'Reference Score Calculation'!R351</f>
        <v>BSc(Hons)EnvSci&amp;GreenMgt</v>
      </c>
      <c r="E25" s="85" t="str">
        <f>'Reference Score Calculation'!E351</f>
        <v>Best 5</v>
      </c>
      <c r="F25" s="6">
        <f>'Reference Score Calculation'!H351</f>
        <v>17</v>
      </c>
      <c r="G25" s="6">
        <f>'Reference Score Calculation'!I351</f>
        <v>15</v>
      </c>
      <c r="H25" s="45">
        <f>計分版!J374</f>
        <v>3.9500000000000006E-9</v>
      </c>
      <c r="I25" s="185">
        <f>IFERROR(IF(I$1="差距(Median)",H25-F25,IF(I$1="差距(UQ)",H25-#REF!,IF(I$1="差距(LQ)",H25-G25))),"/")</f>
        <v>-16.999999996050001</v>
      </c>
      <c r="J25" s="186">
        <f>IFERROR(IF(I$1="差距(Median)",(H25-F25)/H25,IF(I$1="差距(UQ)",(H25-#REF!)/H25,IF(I$1="差距(LQ)",(H25-G25)/H25))),"/")</f>
        <v>-4303797467.3544302</v>
      </c>
      <c r="K25" s="36">
        <f>'Reference Score Calculation'!T351</f>
        <v>35</v>
      </c>
      <c r="L25" s="86">
        <f>入學要求!Z360</f>
        <v>0</v>
      </c>
      <c r="M25" s="523"/>
      <c r="N25" s="182">
        <f>入學要求!L360</f>
        <v>3</v>
      </c>
      <c r="O25" s="182">
        <f>入學要求!M360</f>
        <v>3</v>
      </c>
      <c r="P25" s="182">
        <f>入學要求!N360</f>
        <v>2</v>
      </c>
      <c r="Q25" s="182">
        <f>入學要求!O360</f>
        <v>1</v>
      </c>
      <c r="R25" s="182">
        <f>入學要求!P360</f>
        <v>2</v>
      </c>
      <c r="S25" s="182">
        <f>入學要求!Q360</f>
        <v>2</v>
      </c>
      <c r="T25" s="256">
        <f>入學要求!S360</f>
        <v>0</v>
      </c>
      <c r="U25" s="256">
        <f>入學要求!T360</f>
        <v>0</v>
      </c>
      <c r="V25" s="256">
        <f>入學要求!U360</f>
        <v>0</v>
      </c>
      <c r="W25" s="256">
        <f>入學要求!V360</f>
        <v>0</v>
      </c>
      <c r="X25" s="256">
        <f>入學要求!W360</f>
        <v>0</v>
      </c>
      <c r="Y25" s="256">
        <f>入學要求!X360</f>
        <v>0</v>
      </c>
      <c r="Z25" s="15">
        <f t="shared" si="1"/>
        <v>5.61</v>
      </c>
      <c r="AA25" s="510"/>
      <c r="AB25" s="36" cm="1">
        <f t="array" ref="AB25">IFERROR(INDEX('Offer Statistics'!FC$2:FC$400,MATCH(1,($A25='Offer Statistics'!$EN$2:$EN$400)*($AA$2='Offer Statistics'!$EO$2:$EO$400),0)),"/")</f>
        <v>39</v>
      </c>
      <c r="AC25" s="64" cm="1">
        <f t="array" ref="AC25">IFERROR(INDEX('Offer Statistics'!EX$2:EX$400,MATCH(1,($A25='Offer Statistics'!$EN$2:$EN$400)*($AA$2='Offer Statistics'!$EO$2:$EO$400),0)),"/")</f>
        <v>31</v>
      </c>
      <c r="AD25" s="64" cm="1">
        <f t="array" ref="AD25">IFERROR(INDEX('Offer Statistics'!EY$2:EY$400,MATCH(1,($A25='Offer Statistics'!$EN$2:$EN$400)*($AA$2='Offer Statistics'!$EO$2:$EO$400),0)),"/")</f>
        <v>4</v>
      </c>
      <c r="AE25" s="64" cm="1">
        <f t="array" ref="AE25">IFERROR(INDEX('Offer Statistics'!EZ$2:EZ$400,MATCH(1,($A25='Offer Statistics'!$EN$2:$EN$400)*($AA$2='Offer Statistics'!$EO$2:$EO$400),0)),"/")</f>
        <v>0</v>
      </c>
      <c r="AF25" s="64" cm="1">
        <f t="array" ref="AF25">IFERROR(INDEX('Offer Statistics'!FA$2:FA$400,MATCH(1,($A25='Offer Statistics'!$EN$2:$EN$400)*($AA$2='Offer Statistics'!$EO$2:$EO$400),0)),"/")</f>
        <v>2</v>
      </c>
      <c r="AG25" s="64" cm="1">
        <f t="array" ref="AG25">IFERROR(INDEX('Offer Statistics'!FB$2:FB$400,MATCH(1,($A25='Offer Statistics'!$EN$2:$EN$400)*($AA$2='Offer Statistics'!$EO$2:$EO$400),0)),"/")</f>
        <v>2</v>
      </c>
      <c r="AH25" s="511"/>
      <c r="AI25" s="36" cm="1">
        <f t="array" ref="AI25">IFERROR(INDEX('Offer Statistics'!EU$2:EU$400,MATCH(1,($A25='Offer Statistics'!$EN$2:$EN$400)*($AA$2='Offer Statistics'!$EO$2:$EO$400),0)),"/")</f>
        <v>1634</v>
      </c>
      <c r="AJ25" s="64" cm="1">
        <f t="array" ref="AJ25">IFERROR(INDEX('Offer Statistics'!EP$2:EP$400,MATCH(1,($A25='Offer Statistics'!$EN$2:$EN$400)*($AA$2='Offer Statistics'!$EO$2:$EO$400),0)),"/")</f>
        <v>174</v>
      </c>
      <c r="AK25" s="64" cm="1">
        <f t="array" ref="AK25">IFERROR(INDEX('Offer Statistics'!EQ$2:EQ$400,MATCH(1,($A25='Offer Statistics'!$EN$2:$EN$400)*($AA$2='Offer Statistics'!$EO$2:$EO$400),0)),"/")</f>
        <v>234</v>
      </c>
      <c r="AL25" s="64" cm="1">
        <f t="array" ref="AL25">IFERROR(INDEX('Offer Statistics'!ER$2:ER$400,MATCH(1,($A25='Offer Statistics'!$EN$2:$EN$400)*($AA$2='Offer Statistics'!$EO$2:$EO$400),0)),"/")</f>
        <v>299</v>
      </c>
      <c r="AM25" s="64" cm="1">
        <f t="array" ref="AM25">IFERROR(INDEX('Offer Statistics'!ES$2:ES$400,MATCH(1,($A25='Offer Statistics'!$EN$2:$EN$400)*($AA$2='Offer Statistics'!$EO$2:$EO$400),0)),"/")</f>
        <v>397</v>
      </c>
      <c r="AN25" s="64" cm="1">
        <f t="array" ref="AN25">IFERROR(INDEX('Offer Statistics'!ET$2:ET$400,MATCH(1,($A25='Offer Statistics'!$EN$2:$EN$400)*($AA$2='Offer Statistics'!$EO$2:$EO$400),0)),"/")</f>
        <v>530</v>
      </c>
      <c r="AO25" s="15"/>
      <c r="AP25" s="15" t="str">
        <f t="shared" si="0"/>
        <v>JS9731</v>
      </c>
    </row>
    <row r="26" spans="1:42" ht="18" customHeight="1">
      <c r="A26" s="4" t="str">
        <f>'Reference Score Calculation'!A352</f>
        <v>JS9732</v>
      </c>
      <c r="B26" s="4" t="str">
        <f>'Reference Score Calculation'!C352</f>
        <v>科技學院</v>
      </c>
      <c r="C26" s="4" t="str">
        <f>'Reference Score Calculation'!D352</f>
        <v>生命科學榮譽理學士</v>
      </c>
      <c r="D26" s="4" t="str">
        <f>'Reference Score Calculation'!R352</f>
        <v>BSc(Hons) LifeSci</v>
      </c>
      <c r="E26" s="85" t="str">
        <f>'Reference Score Calculation'!E352</f>
        <v>Best 5</v>
      </c>
      <c r="F26" s="6">
        <f>'Reference Score Calculation'!H352</f>
        <v>17</v>
      </c>
      <c r="G26" s="6">
        <f>'Reference Score Calculation'!I352</f>
        <v>16</v>
      </c>
      <c r="H26" s="45">
        <f>計分版!J375</f>
        <v>3.9500000000000006E-9</v>
      </c>
      <c r="I26" s="185">
        <f>IFERROR(IF(I$1="差距(Median)",H26-F26,IF(I$1="差距(UQ)",H26-#REF!,IF(I$1="差距(LQ)",H26-G26))),"/")</f>
        <v>-16.999999996050001</v>
      </c>
      <c r="J26" s="186">
        <f>IFERROR(IF(I$1="差距(Median)",(H26-F26)/H26,IF(I$1="差距(UQ)",(H26-#REF!)/H26,IF(I$1="差距(LQ)",(H26-G26)/H26))),"/")</f>
        <v>-4303797467.3544302</v>
      </c>
      <c r="K26" s="36">
        <f>'Reference Score Calculation'!T352</f>
        <v>30</v>
      </c>
      <c r="L26" s="86">
        <f>入學要求!Z361</f>
        <v>0</v>
      </c>
      <c r="M26" s="523"/>
      <c r="N26" s="182">
        <f>入學要求!L361</f>
        <v>3</v>
      </c>
      <c r="O26" s="182">
        <f>入學要求!M361</f>
        <v>3</v>
      </c>
      <c r="P26" s="182">
        <f>入學要求!N361</f>
        <v>2</v>
      </c>
      <c r="Q26" s="182">
        <f>入學要求!O361</f>
        <v>1</v>
      </c>
      <c r="R26" s="182">
        <f>入學要求!P361</f>
        <v>2</v>
      </c>
      <c r="S26" s="182">
        <f>入學要求!Q361</f>
        <v>2</v>
      </c>
      <c r="T26" s="256">
        <f>入學要求!S361</f>
        <v>0</v>
      </c>
      <c r="U26" s="256">
        <f>入學要求!T361</f>
        <v>0</v>
      </c>
      <c r="V26" s="256">
        <f>入學要求!U361</f>
        <v>0</v>
      </c>
      <c r="W26" s="256">
        <f>入學要求!V361</f>
        <v>0</v>
      </c>
      <c r="X26" s="256">
        <f>入學要求!W361</f>
        <v>0</v>
      </c>
      <c r="Y26" s="256">
        <f>入學要求!X361</f>
        <v>0</v>
      </c>
      <c r="Z26" s="15">
        <f t="shared" si="1"/>
        <v>5.18</v>
      </c>
      <c r="AA26" s="510"/>
      <c r="AB26" s="36" cm="1">
        <f t="array" ref="AB26">IFERROR(INDEX('Offer Statistics'!FC$2:FC$400,MATCH(1,($A26='Offer Statistics'!$EN$2:$EN$400)*($AA$2='Offer Statistics'!$EO$2:$EO$400),0)),"/")</f>
        <v>83</v>
      </c>
      <c r="AC26" s="64" cm="1">
        <f t="array" ref="AC26">IFERROR(INDEX('Offer Statistics'!EX$2:EX$400,MATCH(1,($A26='Offer Statistics'!$EN$2:$EN$400)*($AA$2='Offer Statistics'!$EO$2:$EO$400),0)),"/")</f>
        <v>44</v>
      </c>
      <c r="AD26" s="64" cm="1">
        <f t="array" ref="AD26">IFERROR(INDEX('Offer Statistics'!EY$2:EY$400,MATCH(1,($A26='Offer Statistics'!$EN$2:$EN$400)*($AA$2='Offer Statistics'!$EO$2:$EO$400),0)),"/")</f>
        <v>10</v>
      </c>
      <c r="AE26" s="64" cm="1">
        <f t="array" ref="AE26">IFERROR(INDEX('Offer Statistics'!EZ$2:EZ$400,MATCH(1,($A26='Offer Statistics'!$EN$2:$EN$400)*($AA$2='Offer Statistics'!$EO$2:$EO$400),0)),"/")</f>
        <v>13</v>
      </c>
      <c r="AF26" s="64" cm="1">
        <f t="array" ref="AF26">IFERROR(INDEX('Offer Statistics'!FA$2:FA$400,MATCH(1,($A26='Offer Statistics'!$EN$2:$EN$400)*($AA$2='Offer Statistics'!$EO$2:$EO$400),0)),"/")</f>
        <v>8</v>
      </c>
      <c r="AG26" s="64" cm="1">
        <f t="array" ref="AG26">IFERROR(INDEX('Offer Statistics'!FB$2:FB$400,MATCH(1,($A26='Offer Statistics'!$EN$2:$EN$400)*($AA$2='Offer Statistics'!$EO$2:$EO$400),0)),"/")</f>
        <v>8</v>
      </c>
      <c r="AH26" s="511"/>
      <c r="AI26" s="36" cm="1">
        <f t="array" ref="AI26">IFERROR(INDEX('Offer Statistics'!EU$2:EU$400,MATCH(1,($A26='Offer Statistics'!$EN$2:$EN$400)*($AA$2='Offer Statistics'!$EO$2:$EO$400),0)),"/")</f>
        <v>2040</v>
      </c>
      <c r="AJ26" s="64" cm="1">
        <f t="array" ref="AJ26">IFERROR(INDEX('Offer Statistics'!EP$2:EP$400,MATCH(1,($A26='Offer Statistics'!$EN$2:$EN$400)*($AA$2='Offer Statistics'!$EO$2:$EO$400),0)),"/")</f>
        <v>228</v>
      </c>
      <c r="AK26" s="64" cm="1">
        <f t="array" ref="AK26">IFERROR(INDEX('Offer Statistics'!EQ$2:EQ$400,MATCH(1,($A26='Offer Statistics'!$EN$2:$EN$400)*($AA$2='Offer Statistics'!$EO$2:$EO$400),0)),"/")</f>
        <v>322</v>
      </c>
      <c r="AL26" s="64" cm="1">
        <f t="array" ref="AL26">IFERROR(INDEX('Offer Statistics'!ER$2:ER$400,MATCH(1,($A26='Offer Statistics'!$EN$2:$EN$400)*($AA$2='Offer Statistics'!$EO$2:$EO$400),0)),"/")</f>
        <v>428</v>
      </c>
      <c r="AM26" s="64" cm="1">
        <f t="array" ref="AM26">IFERROR(INDEX('Offer Statistics'!ES$2:ES$400,MATCH(1,($A26='Offer Statistics'!$EN$2:$EN$400)*($AA$2='Offer Statistics'!$EO$2:$EO$400),0)),"/")</f>
        <v>498</v>
      </c>
      <c r="AN26" s="64" cm="1">
        <f t="array" ref="AN26">IFERROR(INDEX('Offer Statistics'!ET$2:ET$400,MATCH(1,($A26='Offer Statistics'!$EN$2:$EN$400)*($AA$2='Offer Statistics'!$EO$2:$EO$400),0)),"/")</f>
        <v>564</v>
      </c>
      <c r="AO26" s="15"/>
      <c r="AP26" s="15" t="str">
        <f t="shared" si="0"/>
        <v>JS9732</v>
      </c>
    </row>
    <row r="27" spans="1:42" ht="18" customHeight="1">
      <c r="A27" s="4" t="str">
        <f>'Reference Score Calculation'!A353</f>
        <v>JS9733</v>
      </c>
      <c r="B27" s="4" t="str">
        <f>'Reference Score Calculation'!C353</f>
        <v>科技學院</v>
      </c>
      <c r="C27" s="4" t="str">
        <f>'Reference Score Calculation'!D353</f>
        <v>科學（ＳＴＥＭ）榮譽理學士</v>
      </c>
      <c r="D27" s="4" t="str">
        <f>'Reference Score Calculation'!R353</f>
        <v>BSc(Hons)Science(STEM)</v>
      </c>
      <c r="E27" s="85" t="str">
        <f>'Reference Score Calculation'!E353</f>
        <v>Best 5</v>
      </c>
      <c r="F27" s="6">
        <f>'Reference Score Calculation'!H353</f>
        <v>16</v>
      </c>
      <c r="G27" s="6">
        <f>'Reference Score Calculation'!I353</f>
        <v>16</v>
      </c>
      <c r="H27" s="45">
        <f>計分版!J376</f>
        <v>3.9500000000000006E-9</v>
      </c>
      <c r="I27" s="185">
        <f>IFERROR(IF(I$1="差距(Median)",H27-F27,IF(I$1="差距(UQ)",H27-#REF!,IF(I$1="差距(LQ)",H27-G27))),"/")</f>
        <v>-15.999999996050001</v>
      </c>
      <c r="J27" s="186">
        <f>IFERROR(IF(I$1="差距(Median)",(H27-F27)/H27,IF(I$1="差距(UQ)",(H27-#REF!)/H27,IF(I$1="差距(LQ)",(H27-G27)/H27))),"/")</f>
        <v>-4050632910.3924046</v>
      </c>
      <c r="K27" s="36">
        <f>'Reference Score Calculation'!T353</f>
        <v>30</v>
      </c>
      <c r="L27" s="86">
        <f>入學要求!Z362</f>
        <v>0</v>
      </c>
      <c r="M27" s="523"/>
      <c r="N27" s="182">
        <f>入學要求!L362</f>
        <v>3</v>
      </c>
      <c r="O27" s="182">
        <f>入學要求!M362</f>
        <v>3</v>
      </c>
      <c r="P27" s="182">
        <f>入學要求!N362</f>
        <v>2</v>
      </c>
      <c r="Q27" s="182">
        <f>入學要求!O362</f>
        <v>1</v>
      </c>
      <c r="R27" s="182">
        <f>入學要求!P362</f>
        <v>2</v>
      </c>
      <c r="S27" s="182">
        <f>入學要求!Q362</f>
        <v>2</v>
      </c>
      <c r="T27" s="256">
        <f>入學要求!S362</f>
        <v>0</v>
      </c>
      <c r="U27" s="256">
        <f>入學要求!T362</f>
        <v>0</v>
      </c>
      <c r="V27" s="256">
        <f>入學要求!U362</f>
        <v>0</v>
      </c>
      <c r="W27" s="256">
        <f>入學要求!V362</f>
        <v>0</v>
      </c>
      <c r="X27" s="256">
        <f>入學要求!W362</f>
        <v>0</v>
      </c>
      <c r="Y27" s="256">
        <f>入學要求!X362</f>
        <v>0</v>
      </c>
      <c r="Z27" s="15">
        <f t="shared" si="1"/>
        <v>11.8</v>
      </c>
      <c r="AA27" s="510"/>
      <c r="AB27" s="36" cm="1">
        <f t="array" ref="AB27">IFERROR(INDEX('Offer Statistics'!FC$2:FC$400,MATCH(1,($A27='Offer Statistics'!$EN$2:$EN$400)*($AA$2='Offer Statistics'!$EO$2:$EO$400),0)),"/")</f>
        <v>11</v>
      </c>
      <c r="AC27" s="64" cm="1">
        <f t="array" ref="AC27">IFERROR(INDEX('Offer Statistics'!EX$2:EX$400,MATCH(1,($A27='Offer Statistics'!$EN$2:$EN$400)*($AA$2='Offer Statistics'!$EO$2:$EO$400),0)),"/")</f>
        <v>5</v>
      </c>
      <c r="AD27" s="64" cm="1">
        <f t="array" ref="AD27">IFERROR(INDEX('Offer Statistics'!EY$2:EY$400,MATCH(1,($A27='Offer Statistics'!$EN$2:$EN$400)*($AA$2='Offer Statistics'!$EO$2:$EO$400),0)),"/")</f>
        <v>3</v>
      </c>
      <c r="AE27" s="64" cm="1">
        <f t="array" ref="AE27">IFERROR(INDEX('Offer Statistics'!EZ$2:EZ$400,MATCH(1,($A27='Offer Statistics'!$EN$2:$EN$400)*($AA$2='Offer Statistics'!$EO$2:$EO$400),0)),"/")</f>
        <v>0</v>
      </c>
      <c r="AF27" s="64" cm="1">
        <f t="array" ref="AF27">IFERROR(INDEX('Offer Statistics'!FA$2:FA$400,MATCH(1,($A27='Offer Statistics'!$EN$2:$EN$400)*($AA$2='Offer Statistics'!$EO$2:$EO$400),0)),"/")</f>
        <v>2</v>
      </c>
      <c r="AG27" s="64" cm="1">
        <f t="array" ref="AG27">IFERROR(INDEX('Offer Statistics'!FB$2:FB$400,MATCH(1,($A27='Offer Statistics'!$EN$2:$EN$400)*($AA$2='Offer Statistics'!$EO$2:$EO$400),0)),"/")</f>
        <v>1</v>
      </c>
      <c r="AH27" s="511"/>
      <c r="AI27" s="36" cm="1">
        <f t="array" ref="AI27">IFERROR(INDEX('Offer Statistics'!EU$2:EU$400,MATCH(1,($A27='Offer Statistics'!$EN$2:$EN$400)*($AA$2='Offer Statistics'!$EO$2:$EO$400),0)),"/")</f>
        <v>924</v>
      </c>
      <c r="AJ27" s="64" cm="1">
        <f t="array" ref="AJ27">IFERROR(INDEX('Offer Statistics'!EP$2:EP$400,MATCH(1,($A27='Offer Statistics'!$EN$2:$EN$400)*($AA$2='Offer Statistics'!$EO$2:$EO$400),0)),"/")</f>
        <v>59</v>
      </c>
      <c r="AK27" s="64" cm="1">
        <f t="array" ref="AK27">IFERROR(INDEX('Offer Statistics'!EQ$2:EQ$400,MATCH(1,($A27='Offer Statistics'!$EN$2:$EN$400)*($AA$2='Offer Statistics'!$EO$2:$EO$400),0)),"/")</f>
        <v>132</v>
      </c>
      <c r="AL27" s="64" cm="1">
        <f t="array" ref="AL27">IFERROR(INDEX('Offer Statistics'!ER$2:ER$400,MATCH(1,($A27='Offer Statistics'!$EN$2:$EN$400)*($AA$2='Offer Statistics'!$EO$2:$EO$400),0)),"/")</f>
        <v>158</v>
      </c>
      <c r="AM27" s="64" cm="1">
        <f t="array" ref="AM27">IFERROR(INDEX('Offer Statistics'!ES$2:ES$400,MATCH(1,($A27='Offer Statistics'!$EN$2:$EN$400)*($AA$2='Offer Statistics'!$EO$2:$EO$400),0)),"/")</f>
        <v>270</v>
      </c>
      <c r="AN27" s="64" cm="1">
        <f t="array" ref="AN27">IFERROR(INDEX('Offer Statistics'!ET$2:ET$400,MATCH(1,($A27='Offer Statistics'!$EN$2:$EN$400)*($AA$2='Offer Statistics'!$EO$2:$EO$400),0)),"/")</f>
        <v>305</v>
      </c>
      <c r="AO27" s="15"/>
      <c r="AP27" s="15" t="str">
        <f t="shared" si="0"/>
        <v>JS9733</v>
      </c>
    </row>
    <row r="28" spans="1:42" ht="18" customHeight="1">
      <c r="AI28" s="4"/>
      <c r="AM28" s="4"/>
      <c r="AN28" s="4"/>
      <c r="AO28" s="4"/>
      <c r="AP28" s="15"/>
    </row>
    <row r="29" spans="1:42" ht="18" customHeight="1">
      <c r="A29" s="4" t="s">
        <v>219</v>
      </c>
      <c r="B29" s="4"/>
      <c r="C29" s="4"/>
      <c r="D29" s="4"/>
      <c r="F29" s="15"/>
      <c r="G29" s="15"/>
      <c r="H29" s="15"/>
      <c r="I29" s="22"/>
      <c r="J29" s="23"/>
      <c r="K29" s="15"/>
      <c r="L29" s="15"/>
      <c r="M29" s="15"/>
      <c r="N29" s="15"/>
      <c r="O29" s="15"/>
      <c r="P29" s="15"/>
      <c r="Q29" s="15"/>
      <c r="R29" s="15"/>
      <c r="S29" s="15"/>
      <c r="T29" s="15"/>
      <c r="U29" s="15"/>
      <c r="V29" s="15"/>
      <c r="W29" s="15"/>
      <c r="X29" s="15"/>
      <c r="Y29" s="15"/>
      <c r="Z29" s="15"/>
      <c r="AI29" s="4"/>
      <c r="AM29" s="4"/>
      <c r="AN29" s="4"/>
      <c r="AO29" s="4"/>
      <c r="AP29" s="15"/>
    </row>
    <row r="30" spans="1:42" ht="18" customHeight="1">
      <c r="A30" s="4" t="s">
        <v>2805</v>
      </c>
      <c r="B30" s="4"/>
      <c r="C30" s="4"/>
      <c r="D30" s="4"/>
      <c r="F30" s="15"/>
      <c r="G30" s="15"/>
      <c r="H30" s="15"/>
      <c r="I30" s="22"/>
      <c r="J30" s="23"/>
      <c r="K30" s="15"/>
      <c r="L30" s="15"/>
      <c r="M30" s="15"/>
      <c r="N30" s="15"/>
      <c r="O30" s="15"/>
      <c r="P30" s="15"/>
      <c r="Q30" s="15"/>
      <c r="R30" s="15"/>
      <c r="S30" s="15"/>
      <c r="T30" s="15"/>
      <c r="U30" s="15"/>
      <c r="V30" s="15"/>
      <c r="W30" s="15"/>
      <c r="X30" s="15"/>
      <c r="Y30" s="15"/>
      <c r="Z30" s="15"/>
      <c r="AI30" s="4"/>
      <c r="AM30" s="4"/>
      <c r="AN30" s="4"/>
      <c r="AO30" s="4"/>
      <c r="AP30" s="15"/>
    </row>
    <row r="31" spans="1:42" ht="18" customHeight="1">
      <c r="A31" s="4"/>
      <c r="B31" s="4"/>
      <c r="C31" s="4"/>
      <c r="D31" s="4"/>
      <c r="F31" s="15"/>
      <c r="G31" s="15"/>
      <c r="H31" s="15"/>
      <c r="I31" s="22"/>
      <c r="J31" s="23"/>
      <c r="K31" s="15"/>
      <c r="L31" s="15"/>
      <c r="M31" s="15"/>
      <c r="N31" s="15"/>
      <c r="O31" s="15"/>
      <c r="P31" s="15"/>
      <c r="Q31" s="15"/>
      <c r="R31" s="15"/>
      <c r="S31" s="15"/>
      <c r="T31" s="15"/>
      <c r="U31" s="15"/>
      <c r="V31" s="15"/>
      <c r="W31" s="15"/>
      <c r="X31" s="15"/>
      <c r="Y31" s="15"/>
      <c r="Z31" s="15"/>
      <c r="AI31" s="4"/>
      <c r="AM31" s="4"/>
      <c r="AN31" s="4"/>
      <c r="AO31" s="4"/>
      <c r="AP31" s="15"/>
    </row>
    <row r="32" spans="1:42" ht="18" customHeight="1">
      <c r="A32" s="387" t="s">
        <v>2840</v>
      </c>
      <c r="B32" s="4" t="s">
        <v>2841</v>
      </c>
      <c r="C32" s="23"/>
      <c r="D32" s="4"/>
      <c r="E32" s="4"/>
      <c r="F32" s="15"/>
      <c r="G32" s="15"/>
      <c r="H32" s="4"/>
      <c r="I32" s="4"/>
      <c r="J32" s="15"/>
      <c r="K32" s="4"/>
      <c r="L32" s="4"/>
      <c r="M32" s="36"/>
      <c r="N32" s="15"/>
      <c r="O32" s="15"/>
      <c r="P32" s="15"/>
      <c r="Q32" s="15"/>
      <c r="R32" s="15"/>
      <c r="S32" s="15"/>
      <c r="T32" s="15"/>
      <c r="U32" s="15"/>
      <c r="V32" s="15"/>
      <c r="W32" s="15"/>
      <c r="X32" s="15"/>
      <c r="Y32" s="15"/>
      <c r="Z32" s="15"/>
      <c r="AC32" s="36" t="s">
        <v>200</v>
      </c>
      <c r="AI32" s="4"/>
      <c r="AM32" s="4"/>
      <c r="AN32" s="4"/>
      <c r="AO32" s="4"/>
      <c r="AP32" s="15"/>
    </row>
    <row r="33" spans="1:44" ht="18" customHeight="1">
      <c r="A33" s="23"/>
      <c r="B33" s="4" t="s">
        <v>2818</v>
      </c>
      <c r="C33" s="23"/>
      <c r="D33" s="4"/>
      <c r="E33" s="4"/>
      <c r="F33" s="15"/>
      <c r="G33" s="15"/>
      <c r="H33" s="4"/>
      <c r="I33" s="4"/>
      <c r="J33" s="15"/>
      <c r="K33" s="4"/>
      <c r="L33" s="4"/>
      <c r="M33" s="36"/>
      <c r="N33" s="15"/>
      <c r="O33" s="15"/>
      <c r="P33" s="15"/>
      <c r="Q33" s="15"/>
      <c r="R33" s="15"/>
      <c r="S33" s="15"/>
      <c r="T33" s="15"/>
      <c r="U33" s="15"/>
      <c r="V33" s="15"/>
      <c r="W33" s="15"/>
      <c r="X33" s="15"/>
      <c r="Y33" s="15"/>
      <c r="Z33" s="15"/>
      <c r="AI33" s="4"/>
      <c r="AM33" s="4"/>
      <c r="AN33" s="4"/>
      <c r="AO33" s="4"/>
      <c r="AP33" s="15"/>
    </row>
    <row r="34" spans="1:44" ht="18" customHeight="1">
      <c r="A34" s="23"/>
      <c r="B34" s="474" t="s">
        <v>3132</v>
      </c>
      <c r="C34" s="23"/>
      <c r="D34" s="4"/>
      <c r="E34" s="4"/>
      <c r="F34" s="15"/>
      <c r="G34" s="15"/>
      <c r="H34" s="4"/>
      <c r="I34" s="4"/>
      <c r="J34" s="15"/>
      <c r="K34" s="4"/>
      <c r="L34" s="4"/>
      <c r="M34" s="36"/>
      <c r="N34" s="15"/>
      <c r="O34" s="15"/>
      <c r="P34" s="15"/>
      <c r="Q34" s="15"/>
      <c r="R34" s="15"/>
      <c r="S34" s="15"/>
      <c r="T34" s="15"/>
      <c r="U34" s="15"/>
      <c r="V34" s="15"/>
      <c r="W34" s="15"/>
      <c r="X34" s="15"/>
      <c r="Y34" s="15"/>
      <c r="Z34" s="15"/>
      <c r="AI34" s="4"/>
      <c r="AM34" s="4"/>
      <c r="AN34" s="4"/>
      <c r="AO34" s="4"/>
      <c r="AP34" s="15"/>
    </row>
    <row r="35" spans="1:44" s="4" customFormat="1" ht="18" customHeight="1">
      <c r="C35" s="23"/>
      <c r="E35" s="15"/>
      <c r="H35" s="15"/>
      <c r="K35" s="36"/>
      <c r="L35" s="15"/>
      <c r="AP35" s="15"/>
    </row>
    <row r="36" spans="1:44" s="4" customFormat="1" ht="18" customHeight="1">
      <c r="A36" s="23" t="s">
        <v>2806</v>
      </c>
      <c r="E36" s="36"/>
      <c r="F36" s="15"/>
      <c r="G36" s="15"/>
      <c r="H36" s="15"/>
      <c r="I36" s="15"/>
      <c r="J36" s="22"/>
      <c r="K36" s="23"/>
      <c r="L36" s="15"/>
      <c r="N36" s="15"/>
      <c r="O36" s="15"/>
      <c r="P36" s="15"/>
      <c r="Q36" s="15"/>
      <c r="R36" s="15"/>
      <c r="S36" s="15"/>
      <c r="AA36" s="15"/>
      <c r="AB36" s="15"/>
      <c r="AD36" s="15"/>
      <c r="AE36" s="15"/>
      <c r="AF36" s="15"/>
      <c r="AG36" s="15"/>
      <c r="AH36" s="15"/>
      <c r="AI36" s="15"/>
      <c r="AJ36" s="15"/>
      <c r="AK36" s="15"/>
      <c r="AL36" s="15"/>
      <c r="AM36" s="15"/>
      <c r="AN36" s="15"/>
      <c r="AO36" s="15"/>
      <c r="AP36" s="15"/>
      <c r="AR36" s="15"/>
    </row>
    <row r="37" spans="1:44" ht="18" customHeight="1">
      <c r="A37" s="23" t="s">
        <v>204</v>
      </c>
      <c r="B37" s="4"/>
      <c r="C37" s="4"/>
      <c r="D37" s="4"/>
      <c r="F37" s="15"/>
      <c r="G37" s="15"/>
      <c r="H37" s="15"/>
      <c r="I37" s="22"/>
      <c r="J37" s="23"/>
      <c r="K37" s="15"/>
      <c r="L37" s="15"/>
      <c r="M37" s="15"/>
      <c r="N37" s="15"/>
      <c r="O37" s="15"/>
      <c r="P37" s="15"/>
      <c r="Q37" s="15"/>
      <c r="R37" s="15"/>
      <c r="S37" s="15"/>
      <c r="T37" s="15"/>
      <c r="U37" s="15"/>
      <c r="V37" s="15"/>
      <c r="W37" s="15"/>
      <c r="X37" s="15"/>
      <c r="Y37" s="15"/>
      <c r="Z37" s="15"/>
      <c r="AI37" s="4"/>
      <c r="AM37" s="4"/>
      <c r="AN37" s="4"/>
      <c r="AO37" s="4"/>
      <c r="AP37" s="15"/>
    </row>
    <row r="38" spans="1:44" ht="18" customHeight="1">
      <c r="A38" s="23"/>
      <c r="B38" s="4"/>
      <c r="C38" s="4"/>
      <c r="D38" s="4"/>
      <c r="F38" s="15"/>
      <c r="G38" s="15"/>
      <c r="H38" s="15"/>
      <c r="I38" s="22"/>
      <c r="J38" s="23"/>
      <c r="K38" s="15"/>
      <c r="L38" s="15"/>
      <c r="M38" s="15"/>
      <c r="N38" s="15"/>
      <c r="O38" s="15"/>
      <c r="P38" s="15"/>
      <c r="Q38" s="15"/>
      <c r="R38" s="15"/>
      <c r="S38" s="15"/>
      <c r="T38" s="15"/>
      <c r="U38" s="15"/>
      <c r="V38" s="15"/>
      <c r="W38" s="15"/>
      <c r="X38" s="15"/>
      <c r="Y38" s="15"/>
      <c r="Z38" s="15"/>
      <c r="AI38" s="4"/>
      <c r="AM38" s="4"/>
      <c r="AN38" s="4"/>
      <c r="AO38" s="4"/>
      <c r="AP38" s="15"/>
    </row>
    <row r="39" spans="1:44" ht="18" customHeight="1">
      <c r="A39" s="3" t="s">
        <v>133</v>
      </c>
      <c r="B39" s="4"/>
      <c r="C39" s="4"/>
      <c r="D39" s="4"/>
      <c r="F39" s="15"/>
      <c r="G39" s="15"/>
      <c r="H39" s="15"/>
      <c r="I39" s="22"/>
      <c r="J39" s="23"/>
      <c r="K39" s="15"/>
      <c r="L39" s="15"/>
      <c r="M39" s="15"/>
      <c r="N39" s="15"/>
      <c r="O39" s="15"/>
      <c r="P39" s="15"/>
      <c r="Q39" s="15"/>
      <c r="R39" s="15"/>
      <c r="S39" s="15"/>
      <c r="T39" s="15"/>
      <c r="U39" s="15"/>
      <c r="V39" s="15"/>
      <c r="W39" s="15"/>
      <c r="X39" s="15"/>
      <c r="Y39" s="15"/>
      <c r="Z39" s="15"/>
      <c r="AI39" s="4"/>
      <c r="AM39" s="4"/>
      <c r="AN39" s="4"/>
      <c r="AO39" s="4"/>
      <c r="AP39" s="15"/>
    </row>
    <row r="40" spans="1:44" ht="18" customHeight="1">
      <c r="A40" s="4" t="s">
        <v>220</v>
      </c>
      <c r="AE40" s="36"/>
      <c r="AI40" s="4"/>
      <c r="AM40" s="4"/>
      <c r="AN40" s="4"/>
      <c r="AO40" s="4"/>
      <c r="AP40" s="15"/>
    </row>
    <row r="41" spans="1:44" ht="18" customHeight="1">
      <c r="A41" s="4"/>
      <c r="AE41" s="36"/>
      <c r="AI41" s="4"/>
      <c r="AM41" s="4"/>
      <c r="AN41" s="4"/>
      <c r="AO41" s="4"/>
      <c r="AP41" s="15"/>
    </row>
    <row r="42" spans="1:44" ht="18" customHeight="1">
      <c r="A42" s="4" t="s">
        <v>135</v>
      </c>
      <c r="B42" s="4"/>
      <c r="C42" s="4"/>
      <c r="D42" s="4"/>
      <c r="F42" s="15"/>
      <c r="G42" s="15"/>
      <c r="H42" s="15"/>
      <c r="I42" s="22"/>
      <c r="J42" s="23"/>
      <c r="K42" s="15"/>
      <c r="L42" s="15"/>
      <c r="M42" s="15"/>
      <c r="N42" s="15"/>
      <c r="O42" s="15"/>
      <c r="P42" s="15"/>
      <c r="Q42" s="15"/>
      <c r="R42" s="15"/>
      <c r="S42" s="15"/>
      <c r="T42" s="15"/>
      <c r="U42" s="15"/>
      <c r="V42" s="15"/>
      <c r="W42" s="15"/>
      <c r="X42" s="15"/>
      <c r="Y42" s="15"/>
      <c r="Z42" s="15"/>
      <c r="AI42" s="4"/>
      <c r="AM42" s="4"/>
      <c r="AN42" s="4"/>
      <c r="AO42" s="4"/>
      <c r="AP42" s="15"/>
    </row>
    <row r="43" spans="1:44" ht="18" customHeight="1">
      <c r="A43" s="283" t="s">
        <v>3276</v>
      </c>
      <c r="B43" s="4"/>
      <c r="C43" s="4"/>
      <c r="D43" s="4"/>
      <c r="F43" s="15"/>
      <c r="G43" s="15"/>
      <c r="H43" s="15"/>
      <c r="I43" s="22"/>
      <c r="J43" s="23"/>
      <c r="K43" s="15"/>
      <c r="L43" s="15"/>
      <c r="M43" s="15"/>
      <c r="N43" s="15"/>
      <c r="O43" s="15"/>
      <c r="P43" s="15"/>
      <c r="Q43" s="15"/>
      <c r="R43" s="15"/>
      <c r="S43" s="15"/>
      <c r="T43" s="15"/>
      <c r="U43" s="15"/>
      <c r="V43" s="15"/>
      <c r="W43" s="15"/>
      <c r="X43" s="15"/>
      <c r="Y43" s="15"/>
      <c r="Z43" s="15"/>
      <c r="AA43" s="4"/>
      <c r="AI43" s="4"/>
      <c r="AM43" s="4"/>
      <c r="AN43" s="4"/>
      <c r="AO43" s="4"/>
      <c r="AP43" s="15"/>
    </row>
    <row r="44" spans="1:44" ht="18" customHeight="1">
      <c r="A44" s="273" t="s">
        <v>221</v>
      </c>
      <c r="B44" s="4"/>
      <c r="C44" s="4"/>
      <c r="D44" s="4"/>
      <c r="F44" s="15"/>
      <c r="G44" s="15"/>
      <c r="H44" s="15"/>
      <c r="I44" s="22"/>
      <c r="J44" s="23"/>
      <c r="K44" s="15"/>
      <c r="L44" s="15"/>
      <c r="M44" s="15"/>
      <c r="N44" s="15"/>
      <c r="O44" s="15"/>
      <c r="P44" s="15"/>
      <c r="Q44" s="15"/>
      <c r="R44" s="15"/>
      <c r="S44" s="15"/>
      <c r="T44" s="15"/>
      <c r="U44" s="15"/>
      <c r="V44" s="15"/>
      <c r="W44" s="15"/>
      <c r="X44" s="15"/>
      <c r="Y44" s="15"/>
      <c r="Z44" s="15"/>
      <c r="AA44" s="4"/>
      <c r="AI44" s="4"/>
      <c r="AM44" s="4"/>
      <c r="AN44" s="4"/>
      <c r="AO44" s="4"/>
      <c r="AP44" s="15"/>
    </row>
    <row r="45" spans="1:44" ht="18" customHeight="1">
      <c r="A45" s="4"/>
      <c r="B45" s="4"/>
      <c r="C45" s="4"/>
      <c r="D45" s="4"/>
      <c r="AI45" s="4"/>
      <c r="AM45" s="4"/>
      <c r="AN45" s="4"/>
      <c r="AO45" s="4"/>
      <c r="AP45" s="15"/>
    </row>
    <row r="46" spans="1:44" ht="15.6" hidden="1">
      <c r="AI46" s="4"/>
      <c r="AM46" s="4"/>
      <c r="AN46" s="4"/>
      <c r="AO46" s="4"/>
      <c r="AP46" s="15"/>
    </row>
    <row r="47" spans="1:44" ht="15.6" hidden="1">
      <c r="AI47" s="4"/>
      <c r="AM47" s="4"/>
      <c r="AN47" s="4"/>
      <c r="AO47" s="4"/>
      <c r="AP47" s="15"/>
    </row>
    <row r="48" spans="1:44" ht="15.6" hidden="1">
      <c r="AI48" s="4"/>
      <c r="AM48" s="4"/>
      <c r="AN48" s="4"/>
      <c r="AO48" s="4"/>
      <c r="AP48" s="15"/>
    </row>
    <row r="49" ht="16.5" hidden="1" customHeight="1"/>
    <row r="50" ht="16.5" hidden="1" customHeight="1"/>
    <row r="51" ht="16.5" hidden="1" customHeight="1"/>
    <row r="52" ht="16.5" hidden="1" customHeight="1"/>
    <row r="53" ht="16.5" hidden="1" customHeight="1"/>
    <row r="54" ht="16.5" hidden="1" customHeight="1"/>
    <row r="55" ht="16.5" hidden="1" customHeight="1"/>
    <row r="56" ht="16.5" hidden="1" customHeight="1"/>
    <row r="57" ht="16.5" hidden="1" customHeight="1"/>
    <row r="58" ht="16.5" hidden="1" customHeight="1"/>
    <row r="59" ht="16.5" hidden="1" customHeight="1"/>
    <row r="60" ht="16.5" hidden="1" customHeight="1"/>
    <row r="61" ht="16.5" hidden="1" customHeight="1"/>
    <row r="62" ht="16.5" hidden="1" customHeight="1"/>
    <row r="63" ht="16.5" hidden="1" customHeight="1"/>
    <row r="64" ht="16.5" hidden="1" customHeight="1"/>
    <row r="65" ht="16.5" hidden="1" customHeight="1"/>
    <row r="66" ht="16.5" hidden="1" customHeight="1"/>
    <row r="67" ht="16.5" hidden="1" customHeight="1"/>
    <row r="68" ht="16.5" hidden="1" customHeight="1"/>
    <row r="69" ht="16.5" hidden="1" customHeight="1"/>
    <row r="70" ht="16.5" hidden="1" customHeight="1"/>
    <row r="71" ht="16.5" hidden="1" customHeight="1"/>
    <row r="72" ht="16.5" hidden="1" customHeight="1"/>
    <row r="73" ht="16.5" hidden="1" customHeight="1"/>
    <row r="74" ht="16.5" hidden="1" customHeight="1"/>
    <row r="75" ht="16.5" hidden="1" customHeight="1"/>
    <row r="76" ht="16.5" hidden="1" customHeight="1"/>
    <row r="77" ht="16.5" hidden="1" customHeight="1"/>
    <row r="78" ht="16.5" hidden="1" customHeight="1"/>
    <row r="79" ht="16.5" hidden="1" customHeight="1"/>
    <row r="80" ht="16.5" hidden="1" customHeight="1"/>
    <row r="81" ht="16.5" hidden="1" customHeight="1"/>
    <row r="82" ht="16.5" hidden="1" customHeight="1"/>
    <row r="83" ht="16.5" hidden="1" customHeight="1"/>
    <row r="84" ht="16.5" hidden="1" customHeight="1"/>
    <row r="85" ht="16.5" hidden="1" customHeight="1"/>
    <row r="86" ht="16.5" hidden="1" customHeight="1"/>
    <row r="87" ht="16.5" hidden="1" customHeight="1"/>
    <row r="88" ht="16.5" hidden="1" customHeight="1"/>
    <row r="89" ht="16.5" hidden="1" customHeight="1"/>
    <row r="90" ht="16.5" hidden="1" customHeight="1"/>
    <row r="91" ht="16.5" hidden="1" customHeight="1"/>
    <row r="92" ht="16.5" hidden="1" customHeight="1"/>
    <row r="93" ht="16.5" hidden="1" customHeight="1"/>
    <row r="94" ht="16.5" hidden="1" customHeight="1"/>
    <row r="95" ht="16.5" hidden="1" customHeight="1"/>
    <row r="96" ht="16.5" hidden="1" customHeight="1"/>
    <row r="97" ht="16.5" hidden="1" customHeight="1"/>
    <row r="98" ht="16.5" hidden="1" customHeight="1"/>
    <row r="99" ht="16.5" hidden="1" customHeight="1"/>
    <row r="100" ht="16.5" hidden="1" customHeight="1"/>
    <row r="101" ht="16.5" hidden="1" customHeight="1"/>
    <row r="102" ht="16.5" hidden="1" customHeight="1"/>
    <row r="103" ht="16.5" hidden="1" customHeight="1"/>
    <row r="104" ht="16.5" hidden="1" customHeight="1"/>
    <row r="105" ht="16.5" hidden="1" customHeight="1"/>
    <row r="106" ht="16.5" hidden="1" customHeight="1"/>
    <row r="107" ht="16.5" hidden="1" customHeight="1"/>
    <row r="108" ht="15.6" hidden="1"/>
    <row r="109" ht="15.6" hidden="1"/>
    <row r="110" ht="16.5" hidden="1" customHeight="1"/>
    <row r="111" ht="16.5" hidden="1" customHeight="1"/>
    <row r="112" ht="16.5" hidden="1" customHeight="1"/>
    <row r="113" ht="16.5" hidden="1" customHeight="1"/>
    <row r="114" ht="16.5" hidden="1" customHeight="1"/>
    <row r="115" ht="16.5" hidden="1" customHeight="1"/>
    <row r="116" ht="16.5" hidden="1" customHeight="1"/>
    <row r="117" ht="16.5" hidden="1" customHeight="1"/>
    <row r="118" ht="16.5" hidden="1" customHeight="1"/>
    <row r="119" ht="16.5" hidden="1" customHeight="1"/>
    <row r="120" ht="16.5" hidden="1" customHeight="1"/>
    <row r="121" ht="16.5" hidden="1" customHeight="1"/>
    <row r="122" ht="16.5" hidden="1" customHeight="1"/>
    <row r="123" ht="16.5" hidden="1" customHeight="1"/>
  </sheetData>
  <sheetProtection sheet="1" objects="1" scenarios="1" sort="0" autoFilter="0" pivotTables="0"/>
  <mergeCells count="4">
    <mergeCell ref="I1:J1"/>
    <mergeCell ref="AA2:AA27"/>
    <mergeCell ref="AH2:AH27"/>
    <mergeCell ref="M2:M27"/>
  </mergeCells>
  <phoneticPr fontId="3" type="noConversion"/>
  <conditionalFormatting sqref="A2:AP27">
    <cfRule type="expression" dxfId="110" priority="21738">
      <formula>MOD(ROW(),2)=0</formula>
    </cfRule>
  </conditionalFormatting>
  <conditionalFormatting sqref="F2:F27">
    <cfRule type="expression" dxfId="109" priority="26">
      <formula>$I$1="差距(Median)"</formula>
    </cfRule>
  </conditionalFormatting>
  <conditionalFormatting sqref="G2:G27">
    <cfRule type="expression" dxfId="108" priority="25">
      <formula>$I$1="差距(LQ)"</formula>
    </cfRule>
  </conditionalFormatting>
  <conditionalFormatting sqref="I2:J27">
    <cfRule type="cellIs" dxfId="107" priority="19" operator="equal">
      <formula>"/"</formula>
    </cfRule>
    <cfRule type="cellIs" dxfId="106" priority="23" operator="lessThan">
      <formula>0</formula>
    </cfRule>
    <cfRule type="cellIs" dxfId="105" priority="24" operator="greaterThan">
      <formula>0</formula>
    </cfRule>
  </conditionalFormatting>
  <conditionalFormatting sqref="L2:L27">
    <cfRule type="cellIs" dxfId="104" priority="70" operator="equal">
      <formula>2</formula>
    </cfRule>
    <cfRule type="cellIs" dxfId="103" priority="71" operator="equal">
      <formula>1</formula>
    </cfRule>
    <cfRule type="cellIs" dxfId="102" priority="72" operator="equal">
      <formula>0</formula>
    </cfRule>
  </conditionalFormatting>
  <conditionalFormatting sqref="N2:S27">
    <cfRule type="expression" dxfId="101" priority="21729">
      <formula>T2=2</formula>
    </cfRule>
    <cfRule type="expression" dxfId="100" priority="21730">
      <formula>T2=0</formula>
    </cfRule>
    <cfRule type="expression" dxfId="99" priority="21731">
      <formula>T2=1</formula>
    </cfRule>
  </conditionalFormatting>
  <conditionalFormatting sqref="AA2 AH2 AO2 AO4:AO27">
    <cfRule type="expression" dxfId="98" priority="5">
      <formula>TRUE</formula>
    </cfRule>
  </conditionalFormatting>
  <conditionalFormatting sqref="AA2">
    <cfRule type="expression" dxfId="97" priority="6">
      <formula>MOD(ROW(),2)=0</formula>
    </cfRule>
  </conditionalFormatting>
  <hyperlinks>
    <hyperlink ref="A44" r:id="rId1" xr:uid="{00000000-0004-0000-0F00-000000000000}"/>
    <hyperlink ref="A43" r:id="rId2" xr:uid="{00000000-0004-0000-0F00-000001000000}"/>
  </hyperlinks>
  <pageMargins left="0.7" right="0.7" top="0.75" bottom="0.75" header="0.3" footer="0.3"/>
  <drawing r:id="rId3"/>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F00-000000000000}">
          <x14:formula1>
            <xm:f>選單!$K$2:$K$3</xm:f>
          </x14:formula1>
          <xm:sqref>I1:J1</xm:sqref>
        </x14:dataValidation>
        <x14:dataValidation type="list" allowBlank="1" showInputMessage="1" showErrorMessage="1" xr:uid="{F20629C1-BC3E-CD42-ACA4-FCE49457E662}">
          <x14:formula1>
            <xm:f>選單!$J$1:$J$6</xm:f>
          </x14:formula1>
          <xm:sqref>AA2:AA27</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工作表14">
    <tabColor rgb="FFA88000"/>
  </sheetPr>
  <dimension ref="A1:AZ162"/>
  <sheetViews>
    <sheetView workbookViewId="0"/>
    <sheetView workbookViewId="1"/>
  </sheetViews>
  <sheetFormatPr defaultColWidth="0" defaultRowHeight="0" customHeight="1" zeroHeight="1"/>
  <cols>
    <col min="1" max="1" width="7.19921875" style="5" customWidth="1"/>
    <col min="2" max="2" width="9.19921875" style="5" customWidth="1"/>
    <col min="3" max="3" width="23.69921875" style="5" customWidth="1"/>
    <col min="4" max="4" width="10.5" style="5" customWidth="1"/>
    <col min="5" max="5" width="10.19921875" style="36" customWidth="1"/>
    <col min="6" max="6" width="7.69921875" style="36" customWidth="1"/>
    <col min="7" max="9" width="7.69921875" style="14" customWidth="1"/>
    <col min="10" max="10" width="7.69921875" style="17" customWidth="1"/>
    <col min="11" max="11" width="7.69921875" style="18" customWidth="1"/>
    <col min="12" max="13" width="4.69921875" style="14" customWidth="1"/>
    <col min="14" max="14" width="14.3984375" style="14" customWidth="1"/>
    <col min="15" max="20" width="2.19921875" style="14" customWidth="1"/>
    <col min="21" max="26" width="2.19921875" style="14" hidden="1" customWidth="1"/>
    <col min="27" max="27" width="11" style="14" customWidth="1"/>
    <col min="28" max="28" width="8.69921875" style="15" customWidth="1"/>
    <col min="29" max="29" width="6.19921875" style="16" customWidth="1"/>
    <col min="30" max="34" width="6.19921875" style="15" customWidth="1"/>
    <col min="35" max="35" width="8.69921875" style="16" customWidth="1"/>
    <col min="36" max="41" width="6.19921875" style="16" customWidth="1"/>
    <col min="42" max="42" width="3.19921875" style="2" customWidth="1"/>
    <col min="43" max="43" width="8.19921875" style="16" customWidth="1"/>
    <col min="44" max="44" width="3.19921875" style="2" hidden="1" customWidth="1"/>
    <col min="45" max="46" width="9.19921875" style="2" hidden="1" customWidth="1"/>
    <col min="47" max="48" width="0" style="2" hidden="1" customWidth="1"/>
    <col min="49" max="52" width="3.19921875" style="2" hidden="1" customWidth="1"/>
    <col min="53" max="16384" width="9.19921875" style="2" hidden="1"/>
  </cols>
  <sheetData>
    <row r="1" spans="1:44" s="62" customFormat="1" ht="18" customHeight="1">
      <c r="A1" s="49" t="s">
        <v>110</v>
      </c>
      <c r="B1" s="49" t="s">
        <v>111</v>
      </c>
      <c r="C1" s="49" t="s">
        <v>112</v>
      </c>
      <c r="D1" s="49"/>
      <c r="E1" s="50" t="s">
        <v>113</v>
      </c>
      <c r="F1" s="50" t="s">
        <v>34</v>
      </c>
      <c r="G1" s="50" t="s">
        <v>108</v>
      </c>
      <c r="H1" s="50" t="s">
        <v>106</v>
      </c>
      <c r="I1" s="50" t="s">
        <v>114</v>
      </c>
      <c r="J1" s="525" t="s">
        <v>115</v>
      </c>
      <c r="K1" s="525"/>
      <c r="L1" s="50" t="s">
        <v>38</v>
      </c>
      <c r="M1" s="50" t="s">
        <v>116</v>
      </c>
      <c r="N1" s="50"/>
      <c r="O1" s="50" t="s">
        <v>117</v>
      </c>
      <c r="P1" s="50" t="s">
        <v>118</v>
      </c>
      <c r="Q1" s="50" t="s">
        <v>119</v>
      </c>
      <c r="R1" s="50" t="s">
        <v>120</v>
      </c>
      <c r="S1" s="50" t="s">
        <v>121</v>
      </c>
      <c r="T1" s="50" t="s">
        <v>2468</v>
      </c>
      <c r="U1" s="50"/>
      <c r="V1" s="50"/>
      <c r="W1" s="50"/>
      <c r="X1" s="50"/>
      <c r="Y1" s="50"/>
      <c r="Z1" s="50"/>
      <c r="AA1" s="50" t="s">
        <v>123</v>
      </c>
      <c r="AB1" s="50" t="s">
        <v>124</v>
      </c>
      <c r="AC1" s="50" t="s">
        <v>141</v>
      </c>
      <c r="AD1" s="50" t="s">
        <v>126</v>
      </c>
      <c r="AE1" s="50" t="s">
        <v>127</v>
      </c>
      <c r="AF1" s="50" t="s">
        <v>128</v>
      </c>
      <c r="AG1" s="50" t="s">
        <v>129</v>
      </c>
      <c r="AH1" s="50" t="s">
        <v>130</v>
      </c>
      <c r="AI1" s="50" t="s">
        <v>142</v>
      </c>
      <c r="AJ1" s="50" t="s">
        <v>141</v>
      </c>
      <c r="AK1" s="50" t="s">
        <v>126</v>
      </c>
      <c r="AL1" s="50" t="s">
        <v>127</v>
      </c>
      <c r="AM1" s="50" t="s">
        <v>128</v>
      </c>
      <c r="AN1" s="50" t="s">
        <v>129</v>
      </c>
      <c r="AO1" s="50" t="s">
        <v>130</v>
      </c>
      <c r="AP1" s="49"/>
      <c r="AQ1" s="50"/>
      <c r="AR1" s="49"/>
    </row>
    <row r="2" spans="1:44" ht="14.55" customHeight="1">
      <c r="A2" s="4" t="str">
        <f>'Reference Score Calculation'!A356</f>
        <v>JSSA01</v>
      </c>
      <c r="B2" s="4" t="str">
        <f>'Reference Score Calculation'!C356</f>
        <v>明愛專上學院</v>
      </c>
      <c r="C2" s="4" t="str">
        <f>'Reference Score Calculation'!D356</f>
        <v>護理學（榮譽）學士</v>
      </c>
      <c r="D2" s="4" t="str">
        <f>'Reference Score Calculation'!R356</f>
        <v>BN (Hons)</v>
      </c>
      <c r="E2" s="15" t="str">
        <f>'Reference Score Calculation'!E356</f>
        <v>Best 5</v>
      </c>
      <c r="F2" s="6" t="str">
        <f>'Reference Score Calculation'!G356</f>
        <v>/</v>
      </c>
      <c r="G2" s="44">
        <f>'Reference Score Calculation'!H356</f>
        <v>16</v>
      </c>
      <c r="H2" s="6" t="str">
        <f>'Reference Score Calculation'!I356</f>
        <v>/</v>
      </c>
      <c r="I2" s="45">
        <f>計分版!J379</f>
        <v>3.3999999999999998E-9</v>
      </c>
      <c r="J2" s="25">
        <f>IFERROR(I2-G2,"/")</f>
        <v>-15.9999999966</v>
      </c>
      <c r="K2" s="26">
        <f>IFERROR((I2-G2)/I2,"/")</f>
        <v>-4705882351.9411764</v>
      </c>
      <c r="L2" s="36">
        <f>'Reference Score Calculation'!T356</f>
        <v>640</v>
      </c>
      <c r="M2" s="86">
        <f>入學要求!Z365</f>
        <v>0</v>
      </c>
      <c r="N2" s="516" t="s">
        <v>2521</v>
      </c>
      <c r="O2" s="15">
        <v>3</v>
      </c>
      <c r="P2" s="15">
        <v>3</v>
      </c>
      <c r="Q2" s="15">
        <v>2</v>
      </c>
      <c r="R2" s="15">
        <v>2</v>
      </c>
      <c r="S2" s="15">
        <v>2</v>
      </c>
      <c r="T2" s="15"/>
      <c r="U2" s="285">
        <f>入學要求!S365</f>
        <v>0</v>
      </c>
      <c r="V2" s="285">
        <f>入學要求!T365</f>
        <v>0</v>
      </c>
      <c r="W2" s="285">
        <f>入學要求!U365</f>
        <v>0</v>
      </c>
      <c r="X2" s="285">
        <f>入學要求!V365</f>
        <v>0</v>
      </c>
      <c r="Y2" s="285">
        <f>入學要求!W365</f>
        <v>0</v>
      </c>
      <c r="Z2" s="285">
        <f>入學要求!X365</f>
        <v>0</v>
      </c>
      <c r="AA2" s="36">
        <f>IFERROR(ROUND(AK2/AD2,2),"/")</f>
        <v>4.8499999999999996</v>
      </c>
      <c r="AB2" s="510" t="s">
        <v>2513</v>
      </c>
      <c r="AC2" s="36" cm="1">
        <f t="array" ref="AC2">IFERROR(INDEX('Offer Statistics'!FU$2:FU$400,MATCH(1,($A2='Offer Statistics'!$FF$2:$FF$400)*($AB$2='Offer Statistics'!$FG$2:$FG$400),0)),"/")</f>
        <v>669</v>
      </c>
      <c r="AD2" s="64" cm="1">
        <f t="array" ref="AD2">IFERROR(INDEX('Offer Statistics'!FP$2:FP$400,MATCH(1,($A2='Offer Statistics'!$FF$2:$FF$400)*($AB$2='Offer Statistics'!$FG$2:$FG$400),0)),"/")</f>
        <v>537</v>
      </c>
      <c r="AE2" s="64" cm="1">
        <f t="array" ref="AE2">IFERROR(INDEX('Offer Statistics'!FQ$2:FQ$400,MATCH(1,($A2='Offer Statistics'!$FF$2:$FF$400)*($AB$2='Offer Statistics'!$FG$2:$FG$400),0)),"/")</f>
        <v>72</v>
      </c>
      <c r="AF2" s="64" cm="1">
        <f t="array" ref="AF2">IFERROR(INDEX('Offer Statistics'!FR$2:FR$400,MATCH(1,($A2='Offer Statistics'!$FF$2:$FF$400)*($AB$2='Offer Statistics'!$FG$2:$FG$400),0)),"/")</f>
        <v>19</v>
      </c>
      <c r="AG2" s="64" cm="1">
        <f t="array" ref="AG2">IFERROR(INDEX('Offer Statistics'!FS$2:FS$400,MATCH(1,($A2='Offer Statistics'!$FF$2:$FF$400)*($AB$2='Offer Statistics'!$FG$2:$FG$400),0)),"/")</f>
        <v>19</v>
      </c>
      <c r="AH2" s="64" cm="1">
        <f t="array" ref="AH2">IFERROR(INDEX('Offer Statistics'!FT$2:FT$400,MATCH(1,($A2='Offer Statistics'!$FF$2:$FF$400)*($AB$2='Offer Statistics'!$FG$2:$FG$400),0)),"/")</f>
        <v>22</v>
      </c>
      <c r="AI2" s="524" t="str">
        <f>AB2</f>
        <v>2023年</v>
      </c>
      <c r="AJ2" s="36" cm="1">
        <f t="array" ref="AJ2">IFERROR(INDEX('Offer Statistics'!FM$2:FM$400,MATCH(1,($A2='Offer Statistics'!$FF$2:$FF$400)*($AB$2='Offer Statistics'!$FG$2:$FG$400),0)),"/")</f>
        <v>6723</v>
      </c>
      <c r="AK2" s="64" cm="1">
        <f t="array" ref="AK2">IFERROR(INDEX('Offer Statistics'!FH$2:FH$400,MATCH(1,($A2='Offer Statistics'!$FF$2:$FF$400)*($AB$2='Offer Statistics'!$FG$2:$FG$400),0)),"/")</f>
        <v>2606</v>
      </c>
      <c r="AL2" s="64" cm="1">
        <f t="array" ref="AL2">IFERROR(INDEX('Offer Statistics'!FI$2:FI$400,MATCH(1,($A2='Offer Statistics'!$FF$2:$FF$400)*($AB$2='Offer Statistics'!$FG$2:$FG$400),0)),"/")</f>
        <v>1380</v>
      </c>
      <c r="AM2" s="64" cm="1">
        <f t="array" ref="AM2">IFERROR(INDEX('Offer Statistics'!FJ$2:FJ$400,MATCH(1,($A2='Offer Statistics'!$FF$2:$FF$400)*($AB$2='Offer Statistics'!$FG$2:$FG$400),0)),"/")</f>
        <v>962</v>
      </c>
      <c r="AN2" s="64" cm="1">
        <f t="array" ref="AN2">IFERROR(INDEX('Offer Statistics'!FK$2:FK$400,MATCH(1,($A2='Offer Statistics'!$FF$2:$FF$400)*($AB$2='Offer Statistics'!$FG$2:$FG$400),0)),"/")</f>
        <v>848</v>
      </c>
      <c r="AO2" s="64" cm="1">
        <f t="array" ref="AO2">IFERROR(INDEX('Offer Statistics'!FL$2:FL$400,MATCH(1,($A2='Offer Statistics'!$FF$2:$FF$400)*($AB$2='Offer Statistics'!$FG$2:$FG$400),0)),"/")</f>
        <v>927</v>
      </c>
      <c r="AP2" s="4"/>
      <c r="AQ2" s="15" t="str">
        <f>A2</f>
        <v>JSSA01</v>
      </c>
      <c r="AR2" s="4"/>
    </row>
    <row r="3" spans="1:44" ht="14.55" customHeight="1">
      <c r="A3" s="4" t="str">
        <f>'Reference Score Calculation'!A357</f>
        <v>JSSA02</v>
      </c>
      <c r="B3" s="4" t="str">
        <f>'Reference Score Calculation'!C357</f>
        <v>明愛專上學院</v>
      </c>
      <c r="C3" s="4" t="str">
        <f>'Reference Score Calculation'!D357</f>
        <v>數碼娛樂科技（榮譽）理學士</v>
      </c>
      <c r="D3" s="4" t="str">
        <f>'Reference Score Calculation'!R357</f>
        <v>BSDET (Hons)</v>
      </c>
      <c r="E3" s="15" t="str">
        <f>'Reference Score Calculation'!E357</f>
        <v>Best 5</v>
      </c>
      <c r="F3" s="6" t="str">
        <f>'Reference Score Calculation'!G357</f>
        <v>/</v>
      </c>
      <c r="G3" s="44">
        <f>'Reference Score Calculation'!H357</f>
        <v>14</v>
      </c>
      <c r="H3" s="6" t="str">
        <f>'Reference Score Calculation'!I357</f>
        <v>/</v>
      </c>
      <c r="I3" s="45">
        <f>計分版!J380</f>
        <v>3.4999999999999999E-9</v>
      </c>
      <c r="J3" s="25">
        <f t="shared" ref="J3:J5" si="0">IFERROR(I3-G3,"/")</f>
        <v>-13.9999999965</v>
      </c>
      <c r="K3" s="26">
        <f t="shared" ref="K3:K5" si="1">IFERROR((I3-G3)/I3,"/")</f>
        <v>-3999999999</v>
      </c>
      <c r="L3" s="36">
        <f>'Reference Score Calculation'!T357</f>
        <v>20</v>
      </c>
      <c r="M3" s="86">
        <f>入學要求!Z366</f>
        <v>0</v>
      </c>
      <c r="N3" s="516"/>
      <c r="O3" s="15">
        <v>3</v>
      </c>
      <c r="P3" s="15">
        <v>3</v>
      </c>
      <c r="Q3" s="15">
        <v>2</v>
      </c>
      <c r="R3" s="15">
        <v>2</v>
      </c>
      <c r="S3" s="15">
        <v>2</v>
      </c>
      <c r="T3" s="15"/>
      <c r="U3" s="285">
        <f>入學要求!S366</f>
        <v>0</v>
      </c>
      <c r="V3" s="285">
        <f>入學要求!T366</f>
        <v>0</v>
      </c>
      <c r="W3" s="285">
        <f>入學要求!U366</f>
        <v>0</v>
      </c>
      <c r="X3" s="285">
        <f>入學要求!V366</f>
        <v>0</v>
      </c>
      <c r="Y3" s="285">
        <f>入學要求!W366</f>
        <v>0</v>
      </c>
      <c r="Z3" s="285">
        <f>入學要求!X366</f>
        <v>0</v>
      </c>
      <c r="AA3" s="36">
        <f t="shared" ref="AA3:AA53" si="2">IFERROR(ROUND(AK3/AD3,2),"/")</f>
        <v>12.33</v>
      </c>
      <c r="AB3" s="510"/>
      <c r="AC3" s="36" cm="1">
        <f t="array" ref="AC3">IFERROR(INDEX('Offer Statistics'!FU$2:FU$400,MATCH(1,($A3='Offer Statistics'!$FF$2:$FF$400)*($AB$2='Offer Statistics'!$FG$2:$FG$400),0)),"/")</f>
        <v>22</v>
      </c>
      <c r="AD3" s="64" cm="1">
        <f t="array" ref="AD3">IFERROR(INDEX('Offer Statistics'!FP$2:FP$400,MATCH(1,($A3='Offer Statistics'!$FF$2:$FF$400)*($AB$2='Offer Statistics'!$FG$2:$FG$400),0)),"/")</f>
        <v>12</v>
      </c>
      <c r="AE3" s="64" cm="1">
        <f t="array" ref="AE3">IFERROR(INDEX('Offer Statistics'!FQ$2:FQ$400,MATCH(1,($A3='Offer Statistics'!$FF$2:$FF$400)*($AB$2='Offer Statistics'!$FG$2:$FG$400),0)),"/")</f>
        <v>5</v>
      </c>
      <c r="AF3" s="64" cm="1">
        <f t="array" ref="AF3">IFERROR(INDEX('Offer Statistics'!FR$2:FR$400,MATCH(1,($A3='Offer Statistics'!$FF$2:$FF$400)*($AB$2='Offer Statistics'!$FG$2:$FG$400),0)),"/")</f>
        <v>2</v>
      </c>
      <c r="AG3" s="64" cm="1">
        <f t="array" ref="AG3">IFERROR(INDEX('Offer Statistics'!FS$2:FS$400,MATCH(1,($A3='Offer Statistics'!$FF$2:$FF$400)*($AB$2='Offer Statistics'!$FG$2:$FG$400),0)),"/")</f>
        <v>0</v>
      </c>
      <c r="AH3" s="64" cm="1">
        <f t="array" ref="AH3">IFERROR(INDEX('Offer Statistics'!FT$2:FT$400,MATCH(1,($A3='Offer Statistics'!$FF$2:$FF$400)*($AB$2='Offer Statistics'!$FG$2:$FG$400),0)),"/")</f>
        <v>3</v>
      </c>
      <c r="AI3" s="524"/>
      <c r="AJ3" s="36" cm="1">
        <f t="array" ref="AJ3">IFERROR(INDEX('Offer Statistics'!FM$2:FM$400,MATCH(1,($A3='Offer Statistics'!$FF$2:$FF$400)*($AB$2='Offer Statistics'!$FG$2:$FG$400),0)),"/")</f>
        <v>1459</v>
      </c>
      <c r="AK3" s="64" cm="1">
        <f t="array" ref="AK3">IFERROR(INDEX('Offer Statistics'!FH$2:FH$400,MATCH(1,($A3='Offer Statistics'!$FF$2:$FF$400)*($AB$2='Offer Statistics'!$FG$2:$FG$400),0)),"/")</f>
        <v>148</v>
      </c>
      <c r="AL3" s="64" cm="1">
        <f t="array" ref="AL3">IFERROR(INDEX('Offer Statistics'!FI$2:FI$400,MATCH(1,($A3='Offer Statistics'!$FF$2:$FF$400)*($AB$2='Offer Statistics'!$FG$2:$FG$400),0)),"/")</f>
        <v>196</v>
      </c>
      <c r="AM3" s="64" cm="1">
        <f t="array" ref="AM3">IFERROR(INDEX('Offer Statistics'!FJ$2:FJ$400,MATCH(1,($A3='Offer Statistics'!$FF$2:$FF$400)*($AB$2='Offer Statistics'!$FG$2:$FG$400),0)),"/")</f>
        <v>255</v>
      </c>
      <c r="AN3" s="64" cm="1">
        <f t="array" ref="AN3">IFERROR(INDEX('Offer Statistics'!FK$2:FK$400,MATCH(1,($A3='Offer Statistics'!$FF$2:$FF$400)*($AB$2='Offer Statistics'!$FG$2:$FG$400),0)),"/")</f>
        <v>389</v>
      </c>
      <c r="AO3" s="64" cm="1">
        <f t="array" ref="AO3">IFERROR(INDEX('Offer Statistics'!FL$2:FL$400,MATCH(1,($A3='Offer Statistics'!$FF$2:$FF$400)*($AB$2='Offer Statistics'!$FG$2:$FG$400),0)),"/")</f>
        <v>471</v>
      </c>
      <c r="AP3" s="4"/>
      <c r="AQ3" s="15" t="str">
        <f t="shared" ref="AQ3:AQ53" si="3">A3</f>
        <v>JSSA02</v>
      </c>
      <c r="AR3" s="4"/>
    </row>
    <row r="4" spans="1:44" ht="14.55" customHeight="1">
      <c r="A4" s="4" t="str">
        <f>'Reference Score Calculation'!A358</f>
        <v>JSSA03</v>
      </c>
      <c r="B4" s="4" t="str">
        <f>'Reference Score Calculation'!C358</f>
        <v>明愛專上學院</v>
      </c>
      <c r="C4" s="4" t="str">
        <f>'Reference Score Calculation'!D358</f>
        <v>物理治療學（榮譽）理學士</v>
      </c>
      <c r="D4" s="4" t="str">
        <f>'Reference Score Calculation'!R358</f>
        <v>BSPT (Hons)</v>
      </c>
      <c r="E4" s="15" t="str">
        <f>'Reference Score Calculation'!E358</f>
        <v>Best 5</v>
      </c>
      <c r="F4" s="6" t="str">
        <f>'Reference Score Calculation'!G358</f>
        <v>/</v>
      </c>
      <c r="G4" s="44">
        <f>'Reference Score Calculation'!H358</f>
        <v>21</v>
      </c>
      <c r="H4" s="6" t="str">
        <f>'Reference Score Calculation'!I358</f>
        <v>/</v>
      </c>
      <c r="I4" s="45">
        <f>計分版!J381</f>
        <v>3.3999999999999998E-9</v>
      </c>
      <c r="J4" s="25">
        <f t="shared" si="0"/>
        <v>-20.9999999966</v>
      </c>
      <c r="K4" s="26">
        <f t="shared" si="1"/>
        <v>-6176470587.2352943</v>
      </c>
      <c r="L4" s="36">
        <f>'Reference Score Calculation'!T358</f>
        <v>60</v>
      </c>
      <c r="M4" s="86">
        <f>入學要求!Z367</f>
        <v>0</v>
      </c>
      <c r="N4" s="516"/>
      <c r="O4" s="15">
        <v>3</v>
      </c>
      <c r="P4" s="15">
        <v>3</v>
      </c>
      <c r="Q4" s="15">
        <v>2</v>
      </c>
      <c r="R4" s="15">
        <v>2</v>
      </c>
      <c r="S4" s="15">
        <v>2</v>
      </c>
      <c r="T4" s="15"/>
      <c r="U4" s="285">
        <f>入學要求!S367</f>
        <v>0</v>
      </c>
      <c r="V4" s="285">
        <f>入學要求!T367</f>
        <v>0</v>
      </c>
      <c r="W4" s="285">
        <f>入學要求!U367</f>
        <v>0</v>
      </c>
      <c r="X4" s="285">
        <f>入學要求!V367</f>
        <v>0</v>
      </c>
      <c r="Y4" s="285">
        <f>入學要求!W367</f>
        <v>0</v>
      </c>
      <c r="Z4" s="285">
        <f>入學要求!X367</f>
        <v>0</v>
      </c>
      <c r="AA4" s="36">
        <f t="shared" si="2"/>
        <v>11.05</v>
      </c>
      <c r="AB4" s="510"/>
      <c r="AC4" s="36" cm="1">
        <f t="array" ref="AC4">IFERROR(INDEX('Offer Statistics'!FU$2:FU$400,MATCH(1,($A4='Offer Statistics'!$FF$2:$FF$400)*($AB$2='Offer Statistics'!$FG$2:$FG$400),0)),"/")</f>
        <v>60</v>
      </c>
      <c r="AD4" s="64" cm="1">
        <f t="array" ref="AD4">IFERROR(INDEX('Offer Statistics'!FP$2:FP$400,MATCH(1,($A4='Offer Statistics'!$FF$2:$FF$400)*($AB$2='Offer Statistics'!$FG$2:$FG$400),0)),"/")</f>
        <v>60</v>
      </c>
      <c r="AE4" s="64" cm="1">
        <f t="array" ref="AE4">IFERROR(INDEX('Offer Statistics'!FQ$2:FQ$400,MATCH(1,($A4='Offer Statistics'!$FF$2:$FF$400)*($AB$2='Offer Statistics'!$FG$2:$FG$400),0)),"/")</f>
        <v>0</v>
      </c>
      <c r="AF4" s="64" cm="1">
        <f t="array" ref="AF4">IFERROR(INDEX('Offer Statistics'!FR$2:FR$400,MATCH(1,($A4='Offer Statistics'!$FF$2:$FF$400)*($AB$2='Offer Statistics'!$FG$2:$FG$400),0)),"/")</f>
        <v>0</v>
      </c>
      <c r="AG4" s="64" cm="1">
        <f t="array" ref="AG4">IFERROR(INDEX('Offer Statistics'!FS$2:FS$400,MATCH(1,($A4='Offer Statistics'!$FF$2:$FF$400)*($AB$2='Offer Statistics'!$FG$2:$FG$400),0)),"/")</f>
        <v>0</v>
      </c>
      <c r="AH4" s="64" cm="1">
        <f t="array" ref="AH4">IFERROR(INDEX('Offer Statistics'!FT$2:FT$400,MATCH(1,($A4='Offer Statistics'!$FF$2:$FF$400)*($AB$2='Offer Statistics'!$FG$2:$FG$400),0)),"/")</f>
        <v>0</v>
      </c>
      <c r="AI4" s="524"/>
      <c r="AJ4" s="36" cm="1">
        <f t="array" ref="AJ4">IFERROR(INDEX('Offer Statistics'!FM$2:FM$400,MATCH(1,($A4='Offer Statistics'!$FF$2:$FF$400)*($AB$2='Offer Statistics'!$FG$2:$FG$400),0)),"/")</f>
        <v>3719</v>
      </c>
      <c r="AK4" s="64" cm="1">
        <f t="array" ref="AK4">IFERROR(INDEX('Offer Statistics'!FH$2:FH$400,MATCH(1,($A4='Offer Statistics'!$FF$2:$FF$400)*($AB$2='Offer Statistics'!$FG$2:$FG$400),0)),"/")</f>
        <v>663</v>
      </c>
      <c r="AL4" s="64" cm="1">
        <f t="array" ref="AL4">IFERROR(INDEX('Offer Statistics'!FI$2:FI$400,MATCH(1,($A4='Offer Statistics'!$FF$2:$FF$400)*($AB$2='Offer Statistics'!$FG$2:$FG$400),0)),"/")</f>
        <v>657</v>
      </c>
      <c r="AM4" s="64" cm="1">
        <f t="array" ref="AM4">IFERROR(INDEX('Offer Statistics'!FJ$2:FJ$400,MATCH(1,($A4='Offer Statistics'!$FF$2:$FF$400)*($AB$2='Offer Statistics'!$FG$2:$FG$400),0)),"/")</f>
        <v>815</v>
      </c>
      <c r="AN4" s="64" cm="1">
        <f t="array" ref="AN4">IFERROR(INDEX('Offer Statistics'!FK$2:FK$400,MATCH(1,($A4='Offer Statistics'!$FF$2:$FF$400)*($AB$2='Offer Statistics'!$FG$2:$FG$400),0)),"/")</f>
        <v>770</v>
      </c>
      <c r="AO4" s="64" cm="1">
        <f t="array" ref="AO4">IFERROR(INDEX('Offer Statistics'!FL$2:FL$400,MATCH(1,($A4='Offer Statistics'!$FF$2:$FF$400)*($AB$2='Offer Statistics'!$FG$2:$FG$400),0)),"/")</f>
        <v>814</v>
      </c>
      <c r="AP4" s="4"/>
      <c r="AQ4" s="15" t="str">
        <f t="shared" si="3"/>
        <v>JSSA03</v>
      </c>
      <c r="AR4" s="4"/>
    </row>
    <row r="5" spans="1:44" ht="14.55" customHeight="1">
      <c r="A5" s="4" t="str">
        <f>'Reference Score Calculation'!A359</f>
        <v>JSSA04</v>
      </c>
      <c r="B5" s="4" t="str">
        <f>'Reference Score Calculation'!C359</f>
        <v>明愛專上學院</v>
      </c>
      <c r="C5" s="4" t="str">
        <f>'Reference Score Calculation'!D359</f>
        <v>人工智能（榮譽）理學士</v>
      </c>
      <c r="D5" s="4" t="str">
        <f>'Reference Score Calculation'!R359</f>
        <v>BSAI (Hons)</v>
      </c>
      <c r="E5" s="15" t="str">
        <f>'Reference Score Calculation'!E359</f>
        <v>Best 5</v>
      </c>
      <c r="F5" s="6" t="str">
        <f>'Reference Score Calculation'!G359</f>
        <v>/</v>
      </c>
      <c r="G5" s="44">
        <f>'Reference Score Calculation'!H359</f>
        <v>16</v>
      </c>
      <c r="H5" s="6" t="str">
        <f>'Reference Score Calculation'!I359</f>
        <v>/</v>
      </c>
      <c r="I5" s="45">
        <f>計分版!J382</f>
        <v>3.4999999999999999E-9</v>
      </c>
      <c r="J5" s="25">
        <f t="shared" si="0"/>
        <v>-15.9999999965</v>
      </c>
      <c r="K5" s="26">
        <f t="shared" si="1"/>
        <v>-4571428570.4285717</v>
      </c>
      <c r="L5" s="36">
        <f>'Reference Score Calculation'!T359</f>
        <v>20</v>
      </c>
      <c r="M5" s="86">
        <f>入學要求!Z368</f>
        <v>0</v>
      </c>
      <c r="N5" s="516"/>
      <c r="O5" s="15">
        <v>3</v>
      </c>
      <c r="P5" s="15">
        <v>3</v>
      </c>
      <c r="Q5" s="15">
        <v>2</v>
      </c>
      <c r="R5" s="15">
        <v>2</v>
      </c>
      <c r="S5" s="15">
        <v>2</v>
      </c>
      <c r="T5" s="15"/>
      <c r="U5" s="285">
        <f>入學要求!S368</f>
        <v>0</v>
      </c>
      <c r="V5" s="285">
        <f>入學要求!T368</f>
        <v>0</v>
      </c>
      <c r="W5" s="285">
        <f>入學要求!U368</f>
        <v>0</v>
      </c>
      <c r="X5" s="285">
        <f>入學要求!V368</f>
        <v>0</v>
      </c>
      <c r="Y5" s="285">
        <f>入學要求!W368</f>
        <v>0</v>
      </c>
      <c r="Z5" s="285">
        <f>入學要求!X368</f>
        <v>0</v>
      </c>
      <c r="AA5" s="36">
        <f t="shared" si="2"/>
        <v>16.420000000000002</v>
      </c>
      <c r="AB5" s="510"/>
      <c r="AC5" s="36" cm="1">
        <f t="array" ref="AC5">IFERROR(INDEX('Offer Statistics'!FU$2:FU$400,MATCH(1,($A5='Offer Statistics'!$FF$2:$FF$400)*($AB$2='Offer Statistics'!$FG$2:$FG$400),0)),"/")</f>
        <v>21</v>
      </c>
      <c r="AD5" s="64" cm="1">
        <f t="array" ref="AD5">IFERROR(INDEX('Offer Statistics'!FP$2:FP$400,MATCH(1,($A5='Offer Statistics'!$FF$2:$FF$400)*($AB$2='Offer Statistics'!$FG$2:$FG$400),0)),"/")</f>
        <v>12</v>
      </c>
      <c r="AE5" s="64" cm="1">
        <f t="array" ref="AE5">IFERROR(INDEX('Offer Statistics'!FQ$2:FQ$400,MATCH(1,($A5='Offer Statistics'!$FF$2:$FF$400)*($AB$2='Offer Statistics'!$FG$2:$FG$400),0)),"/")</f>
        <v>4</v>
      </c>
      <c r="AF5" s="64" cm="1">
        <f t="array" ref="AF5">IFERROR(INDEX('Offer Statistics'!FR$2:FR$400,MATCH(1,($A5='Offer Statistics'!$FF$2:$FF$400)*($AB$2='Offer Statistics'!$FG$2:$FG$400),0)),"/")</f>
        <v>1</v>
      </c>
      <c r="AG5" s="64" cm="1">
        <f t="array" ref="AG5">IFERROR(INDEX('Offer Statistics'!FS$2:FS$400,MATCH(1,($A5='Offer Statistics'!$FF$2:$FF$400)*($AB$2='Offer Statistics'!$FG$2:$FG$400),0)),"/")</f>
        <v>0</v>
      </c>
      <c r="AH5" s="64" cm="1">
        <f t="array" ref="AH5">IFERROR(INDEX('Offer Statistics'!FT$2:FT$400,MATCH(1,($A5='Offer Statistics'!$FF$2:$FF$400)*($AB$2='Offer Statistics'!$FG$2:$FG$400),0)),"/")</f>
        <v>4</v>
      </c>
      <c r="AI5" s="524"/>
      <c r="AJ5" s="36" cm="1">
        <f t="array" ref="AJ5">IFERROR(INDEX('Offer Statistics'!FM$2:FM$400,MATCH(1,($A5='Offer Statistics'!$FF$2:$FF$400)*($AB$2='Offer Statistics'!$FG$2:$FG$400),0)),"/")</f>
        <v>1825</v>
      </c>
      <c r="AK5" s="64" cm="1">
        <f t="array" ref="AK5">IFERROR(INDEX('Offer Statistics'!FH$2:FH$400,MATCH(1,($A5='Offer Statistics'!$FF$2:$FF$400)*($AB$2='Offer Statistics'!$FG$2:$FG$400),0)),"/")</f>
        <v>197</v>
      </c>
      <c r="AL5" s="64" cm="1">
        <f t="array" ref="AL5">IFERROR(INDEX('Offer Statistics'!FI$2:FI$400,MATCH(1,($A5='Offer Statistics'!$FF$2:$FF$400)*($AB$2='Offer Statistics'!$FG$2:$FG$400),0)),"/")</f>
        <v>297</v>
      </c>
      <c r="AM5" s="64" cm="1">
        <f t="array" ref="AM5">IFERROR(INDEX('Offer Statistics'!FJ$2:FJ$400,MATCH(1,($A5='Offer Statistics'!$FF$2:$FF$400)*($AB$2='Offer Statistics'!$FG$2:$FG$400),0)),"/")</f>
        <v>314</v>
      </c>
      <c r="AN5" s="64" cm="1">
        <f t="array" ref="AN5">IFERROR(INDEX('Offer Statistics'!FK$2:FK$400,MATCH(1,($A5='Offer Statistics'!$FF$2:$FF$400)*($AB$2='Offer Statistics'!$FG$2:$FG$400),0)),"/")</f>
        <v>417</v>
      </c>
      <c r="AO5" s="64" cm="1">
        <f t="array" ref="AO5">IFERROR(INDEX('Offer Statistics'!FL$2:FL$400,MATCH(1,($A5='Offer Statistics'!$FF$2:$FF$400)*($AB$2='Offer Statistics'!$FG$2:$FG$400),0)),"/")</f>
        <v>600</v>
      </c>
      <c r="AP5" s="4"/>
      <c r="AQ5" s="15" t="str">
        <f t="shared" si="3"/>
        <v>JSSA04</v>
      </c>
      <c r="AR5" s="4"/>
    </row>
    <row r="6" spans="1:44" ht="14.55" customHeight="1">
      <c r="A6" s="4" t="str">
        <f>'Reference Score Calculation'!A360</f>
        <v>JSSA05</v>
      </c>
      <c r="B6" s="4" t="str">
        <f>'Reference Score Calculation'!C360</f>
        <v>明愛專上學院</v>
      </c>
      <c r="C6" s="4" t="str">
        <f>'Reference Score Calculation'!D360</f>
        <v>翻譯科技（榮譽）文學士</v>
      </c>
      <c r="D6" s="4" t="str">
        <f>'Reference Score Calculation'!R360</f>
        <v>BATT (Hons)</v>
      </c>
      <c r="E6" s="15" t="str">
        <f>'Reference Score Calculation'!E360</f>
        <v>Best 5</v>
      </c>
      <c r="F6" s="6" t="str">
        <f>'Reference Score Calculation'!G360</f>
        <v>/</v>
      </c>
      <c r="G6" s="44">
        <f>'Reference Score Calculation'!H360</f>
        <v>17</v>
      </c>
      <c r="H6" s="6" t="str">
        <f>'Reference Score Calculation'!I360</f>
        <v>/</v>
      </c>
      <c r="I6" s="45">
        <f>計分版!J383</f>
        <v>3.4999999999999999E-9</v>
      </c>
      <c r="J6" s="7">
        <f>IFERROR(I6-G6,"/")</f>
        <v>-16.999999996500001</v>
      </c>
      <c r="K6" s="8">
        <f>IFERROR((I6-G6)/I6,"/")</f>
        <v>-4857142856.1428576</v>
      </c>
      <c r="L6" s="36">
        <f>'Reference Score Calculation'!T360</f>
        <v>10</v>
      </c>
      <c r="M6" s="86">
        <f>入學要求!Z369</f>
        <v>0</v>
      </c>
      <c r="N6" s="516"/>
      <c r="O6" s="15">
        <v>3</v>
      </c>
      <c r="P6" s="15">
        <v>3</v>
      </c>
      <c r="Q6" s="15">
        <v>2</v>
      </c>
      <c r="R6" s="15">
        <v>2</v>
      </c>
      <c r="S6" s="15">
        <v>2</v>
      </c>
      <c r="T6" s="15"/>
      <c r="U6" s="285">
        <f>入學要求!S369</f>
        <v>0</v>
      </c>
      <c r="V6" s="285">
        <f>入學要求!T369</f>
        <v>0</v>
      </c>
      <c r="W6" s="285">
        <f>入學要求!U369</f>
        <v>0</v>
      </c>
      <c r="X6" s="285">
        <f>入學要求!V369</f>
        <v>0</v>
      </c>
      <c r="Y6" s="285">
        <f>入學要求!W369</f>
        <v>0</v>
      </c>
      <c r="Z6" s="285">
        <f>入學要求!X369</f>
        <v>0</v>
      </c>
      <c r="AA6" s="36">
        <f t="shared" si="2"/>
        <v>5.43</v>
      </c>
      <c r="AB6" s="510"/>
      <c r="AC6" s="36" cm="1">
        <f t="array" ref="AC6">IFERROR(INDEX('Offer Statistics'!FU$2:FU$400,MATCH(1,($A6='Offer Statistics'!$FF$2:$FF$400)*($AB$2='Offer Statistics'!$FG$2:$FG$400),0)),"/")</f>
        <v>18</v>
      </c>
      <c r="AD6" s="64" cm="1">
        <f t="array" ref="AD6">IFERROR(INDEX('Offer Statistics'!FP$2:FP$400,MATCH(1,($A6='Offer Statistics'!$FF$2:$FF$400)*($AB$2='Offer Statistics'!$FG$2:$FG$400),0)),"/")</f>
        <v>7</v>
      </c>
      <c r="AE6" s="64" cm="1">
        <f t="array" ref="AE6">IFERROR(INDEX('Offer Statistics'!FQ$2:FQ$400,MATCH(1,($A6='Offer Statistics'!$FF$2:$FF$400)*($AB$2='Offer Statistics'!$FG$2:$FG$400),0)),"/")</f>
        <v>2</v>
      </c>
      <c r="AF6" s="64" cm="1">
        <f t="array" ref="AF6">IFERROR(INDEX('Offer Statistics'!FR$2:FR$400,MATCH(1,($A6='Offer Statistics'!$FF$2:$FF$400)*($AB$2='Offer Statistics'!$FG$2:$FG$400),0)),"/")</f>
        <v>2</v>
      </c>
      <c r="AG6" s="64" cm="1">
        <f t="array" ref="AG6">IFERROR(INDEX('Offer Statistics'!FS$2:FS$400,MATCH(1,($A6='Offer Statistics'!$FF$2:$FF$400)*($AB$2='Offer Statistics'!$FG$2:$FG$400),0)),"/")</f>
        <v>2</v>
      </c>
      <c r="AH6" s="64" cm="1">
        <f t="array" ref="AH6">IFERROR(INDEX('Offer Statistics'!FT$2:FT$400,MATCH(1,($A6='Offer Statistics'!$FF$2:$FF$400)*($AB$2='Offer Statistics'!$FG$2:$FG$400),0)),"/")</f>
        <v>5</v>
      </c>
      <c r="AI6" s="524"/>
      <c r="AJ6" s="36" cm="1">
        <f t="array" ref="AJ6">IFERROR(INDEX('Offer Statistics'!FM$2:FM$400,MATCH(1,($A6='Offer Statistics'!$FF$2:$FF$400)*($AB$2='Offer Statistics'!$FG$2:$FG$400),0)),"/")</f>
        <v>659</v>
      </c>
      <c r="AK6" s="64" cm="1">
        <f t="array" ref="AK6">IFERROR(INDEX('Offer Statistics'!FH$2:FH$400,MATCH(1,($A6='Offer Statistics'!$FF$2:$FF$400)*($AB$2='Offer Statistics'!$FG$2:$FG$400),0)),"/")</f>
        <v>38</v>
      </c>
      <c r="AL6" s="64" cm="1">
        <f t="array" ref="AL6">IFERROR(INDEX('Offer Statistics'!FI$2:FI$400,MATCH(1,($A6='Offer Statistics'!$FF$2:$FF$400)*($AB$2='Offer Statistics'!$FG$2:$FG$400),0)),"/")</f>
        <v>81</v>
      </c>
      <c r="AM6" s="64" cm="1">
        <f t="array" ref="AM6">IFERROR(INDEX('Offer Statistics'!FJ$2:FJ$400,MATCH(1,($A6='Offer Statistics'!$FF$2:$FF$400)*($AB$2='Offer Statistics'!$FG$2:$FG$400),0)),"/")</f>
        <v>109</v>
      </c>
      <c r="AN6" s="64" cm="1">
        <f t="array" ref="AN6">IFERROR(INDEX('Offer Statistics'!FK$2:FK$400,MATCH(1,($A6='Offer Statistics'!$FF$2:$FF$400)*($AB$2='Offer Statistics'!$FG$2:$FG$400),0)),"/")</f>
        <v>165</v>
      </c>
      <c r="AO6" s="64" cm="1">
        <f t="array" ref="AO6">IFERROR(INDEX('Offer Statistics'!FL$2:FL$400,MATCH(1,($A6='Offer Statistics'!$FF$2:$FF$400)*($AB$2='Offer Statistics'!$FG$2:$FG$400),0)),"/")</f>
        <v>266</v>
      </c>
      <c r="AP6" s="4"/>
      <c r="AQ6" s="15" t="str">
        <f t="shared" si="3"/>
        <v>JSSA05</v>
      </c>
      <c r="AR6" s="4"/>
    </row>
    <row r="7" spans="1:44" ht="14.55" customHeight="1">
      <c r="A7" s="4" t="str">
        <f>'Reference Score Calculation'!A361</f>
        <v>JSSA06</v>
      </c>
      <c r="B7" s="4" t="str">
        <f>'Reference Score Calculation'!C361</f>
        <v>明愛專上學院</v>
      </c>
      <c r="C7" s="4" t="str">
        <f>'Reference Score Calculation'!D361</f>
        <v>工商管理（榮譽）酒店及旅遊管理應用學士</v>
      </c>
      <c r="D7" s="4" t="str">
        <f>'Reference Score Calculation'!R361</f>
        <v>BBA-AHTM</v>
      </c>
      <c r="E7" s="15" t="str">
        <f>'Reference Score Calculation'!E361</f>
        <v>24年新科目</v>
      </c>
      <c r="F7" s="6" t="str">
        <f>'Reference Score Calculation'!G361</f>
        <v>/</v>
      </c>
      <c r="G7" s="44" t="str">
        <f>'Reference Score Calculation'!H361</f>
        <v>/</v>
      </c>
      <c r="H7" s="6" t="str">
        <f>'Reference Score Calculation'!I361</f>
        <v>/</v>
      </c>
      <c r="I7" s="45">
        <f>計分版!J384</f>
        <v>0</v>
      </c>
      <c r="J7" s="7" t="str">
        <f>IFERROR(I7-G7,"/")</f>
        <v>/</v>
      </c>
      <c r="K7" s="8" t="str">
        <f>IFERROR((I7-G7)/I7,"/")</f>
        <v>/</v>
      </c>
      <c r="L7" s="36">
        <f>'Reference Score Calculation'!T361</f>
        <v>15</v>
      </c>
      <c r="M7" s="86">
        <f>入學要求!Z370</f>
        <v>0</v>
      </c>
      <c r="N7" s="516"/>
      <c r="O7" s="15">
        <v>3</v>
      </c>
      <c r="P7" s="15">
        <v>3</v>
      </c>
      <c r="Q7" s="15">
        <v>2</v>
      </c>
      <c r="R7" s="15">
        <v>2</v>
      </c>
      <c r="S7" s="15">
        <v>2</v>
      </c>
      <c r="T7" s="15"/>
      <c r="U7" s="285">
        <f>入學要求!S370</f>
        <v>0</v>
      </c>
      <c r="V7" s="285">
        <f>入學要求!T370</f>
        <v>0</v>
      </c>
      <c r="W7" s="285">
        <f>入學要求!U370</f>
        <v>0</v>
      </c>
      <c r="X7" s="285">
        <f>入學要求!V370</f>
        <v>0</v>
      </c>
      <c r="Y7" s="285">
        <f>入學要求!W370</f>
        <v>0</v>
      </c>
      <c r="Z7" s="285">
        <f>入學要求!X370</f>
        <v>0</v>
      </c>
      <c r="AA7" s="36" t="str">
        <f t="shared" si="2"/>
        <v>/</v>
      </c>
      <c r="AB7" s="510"/>
      <c r="AC7" s="36" t="str" cm="1">
        <f t="array" ref="AC7">IFERROR(INDEX('Offer Statistics'!FU$2:FU$400,MATCH(1,($A7='Offer Statistics'!$FF$2:$FF$400)*($AB$2='Offer Statistics'!$FG$2:$FG$400),0)),"/")</f>
        <v>/</v>
      </c>
      <c r="AD7" s="64" t="str" cm="1">
        <f t="array" ref="AD7">IFERROR(INDEX('Offer Statistics'!FP$2:FP$400,MATCH(1,($A7='Offer Statistics'!$FF$2:$FF$400)*($AB$2='Offer Statistics'!$FG$2:$FG$400),0)),"/")</f>
        <v>/</v>
      </c>
      <c r="AE7" s="64" t="str" cm="1">
        <f t="array" ref="AE7">IFERROR(INDEX('Offer Statistics'!FQ$2:FQ$400,MATCH(1,($A7='Offer Statistics'!$FF$2:$FF$400)*($AB$2='Offer Statistics'!$FG$2:$FG$400),0)),"/")</f>
        <v>/</v>
      </c>
      <c r="AF7" s="64" t="str" cm="1">
        <f t="array" ref="AF7">IFERROR(INDEX('Offer Statistics'!FR$2:FR$400,MATCH(1,($A7='Offer Statistics'!$FF$2:$FF$400)*($AB$2='Offer Statistics'!$FG$2:$FG$400),0)),"/")</f>
        <v>/</v>
      </c>
      <c r="AG7" s="64" t="str" cm="1">
        <f t="array" ref="AG7">IFERROR(INDEX('Offer Statistics'!FS$2:FS$400,MATCH(1,($A7='Offer Statistics'!$FF$2:$FF$400)*($AB$2='Offer Statistics'!$FG$2:$FG$400),0)),"/")</f>
        <v>/</v>
      </c>
      <c r="AH7" s="64" t="str" cm="1">
        <f t="array" ref="AH7">IFERROR(INDEX('Offer Statistics'!FT$2:FT$400,MATCH(1,($A7='Offer Statistics'!$FF$2:$FF$400)*($AB$2='Offer Statistics'!$FG$2:$FG$400),0)),"/")</f>
        <v>/</v>
      </c>
      <c r="AI7" s="524"/>
      <c r="AJ7" s="36" t="str" cm="1">
        <f t="array" ref="AJ7">IFERROR(INDEX('Offer Statistics'!FM$2:FM$400,MATCH(1,($A7='Offer Statistics'!$FF$2:$FF$400)*($AB$2='Offer Statistics'!$FG$2:$FG$400),0)),"/")</f>
        <v>/</v>
      </c>
      <c r="AK7" s="64" t="str" cm="1">
        <f t="array" ref="AK7">IFERROR(INDEX('Offer Statistics'!FH$2:FH$400,MATCH(1,($A7='Offer Statistics'!$FF$2:$FF$400)*($AB$2='Offer Statistics'!$FG$2:$FG$400),0)),"/")</f>
        <v>/</v>
      </c>
      <c r="AL7" s="64" t="str" cm="1">
        <f t="array" ref="AL7">IFERROR(INDEX('Offer Statistics'!FI$2:FI$400,MATCH(1,($A7='Offer Statistics'!$FF$2:$FF$400)*($AB$2='Offer Statistics'!$FG$2:$FG$400),0)),"/")</f>
        <v>/</v>
      </c>
      <c r="AM7" s="64" t="str" cm="1">
        <f t="array" ref="AM7">IFERROR(INDEX('Offer Statistics'!FJ$2:FJ$400,MATCH(1,($A7='Offer Statistics'!$FF$2:$FF$400)*($AB$2='Offer Statistics'!$FG$2:$FG$400),0)),"/")</f>
        <v>/</v>
      </c>
      <c r="AN7" s="64" t="str" cm="1">
        <f t="array" ref="AN7">IFERROR(INDEX('Offer Statistics'!FK$2:FK$400,MATCH(1,($A7='Offer Statistics'!$FF$2:$FF$400)*($AB$2='Offer Statistics'!$FG$2:$FG$400),0)),"/")</f>
        <v>/</v>
      </c>
      <c r="AO7" s="64" t="str" cm="1">
        <f t="array" ref="AO7">IFERROR(INDEX('Offer Statistics'!FL$2:FL$400,MATCH(1,($A7='Offer Statistics'!$FF$2:$FF$400)*($AB$2='Offer Statistics'!$FG$2:$FG$400),0)),"/")</f>
        <v>/</v>
      </c>
      <c r="AP7" s="4"/>
      <c r="AQ7" s="15" t="str">
        <f t="shared" si="3"/>
        <v>JSSA06</v>
      </c>
      <c r="AR7" s="4"/>
    </row>
    <row r="8" spans="1:44" ht="14.55" customHeight="1">
      <c r="A8" s="4" t="str">
        <f>'Reference Score Calculation'!A362</f>
        <v>JSSC02</v>
      </c>
      <c r="B8" s="4" t="str">
        <f>'Reference Score Calculation'!C362</f>
        <v>珠海學院</v>
      </c>
      <c r="C8" s="4" t="str">
        <f>'Reference Score Calculation'!D362</f>
        <v>建築學（榮譽）理學士</v>
      </c>
      <c r="D8" s="4" t="str">
        <f>'Reference Score Calculation'!R362</f>
        <v>B.Sc (Hons) in Arch</v>
      </c>
      <c r="E8" s="15" t="str">
        <f>'Reference Score Calculation'!E362</f>
        <v>4C1X</v>
      </c>
      <c r="F8" s="6">
        <f>'Reference Score Calculation'!G362</f>
        <v>19</v>
      </c>
      <c r="G8" s="473" t="str">
        <f>'Reference Score Calculation'!H362</f>
        <v>/</v>
      </c>
      <c r="H8" s="6">
        <f>'Reference Score Calculation'!I362</f>
        <v>17</v>
      </c>
      <c r="I8" s="45">
        <f>計分版!J385</f>
        <v>1.85E-9</v>
      </c>
      <c r="J8" s="25">
        <f>IFERROR(IF(J$1="差距(Median)",I8-F8,IF(J$1="差距(UQ)",I8-F8,IF(J$1="差距(LQ)",I8-H8))),"/")</f>
        <v>-18.999999998149999</v>
      </c>
      <c r="K8" s="26">
        <f>IFERROR(IF(J$1="差距(Median)",(I8-F8)/I8,IF(J$1="差距(UQ)",(I8-F8)/I8,IF(J$1="差距(LQ)",(I8-H8)/I8))),"/")</f>
        <v>-10270270269.270269</v>
      </c>
      <c r="L8" s="36">
        <f>'Reference Score Calculation'!T362</f>
        <v>20</v>
      </c>
      <c r="M8" s="86">
        <f>入學要求!Z371</f>
        <v>0</v>
      </c>
      <c r="N8" s="516"/>
      <c r="O8" s="15">
        <v>3</v>
      </c>
      <c r="P8" s="15">
        <v>3</v>
      </c>
      <c r="Q8" s="15">
        <v>2</v>
      </c>
      <c r="R8" s="15">
        <v>2</v>
      </c>
      <c r="S8" s="15">
        <v>2</v>
      </c>
      <c r="T8" s="15"/>
      <c r="U8" s="285">
        <f>入學要求!S371</f>
        <v>0</v>
      </c>
      <c r="V8" s="285">
        <f>入學要求!T371</f>
        <v>0</v>
      </c>
      <c r="W8" s="285">
        <f>入學要求!U371</f>
        <v>0</v>
      </c>
      <c r="X8" s="285">
        <f>入學要求!V371</f>
        <v>0</v>
      </c>
      <c r="Y8" s="285">
        <f>入學要求!W371</f>
        <v>0</v>
      </c>
      <c r="Z8" s="285">
        <f>入學要求!X371</f>
        <v>0</v>
      </c>
      <c r="AA8" s="36">
        <f t="shared" si="2"/>
        <v>8.67</v>
      </c>
      <c r="AB8" s="510"/>
      <c r="AC8" s="36" cm="1">
        <f t="array" ref="AC8">IFERROR(INDEX('Offer Statistics'!FU$2:FU$400,MATCH(1,($A8='Offer Statistics'!$FF$2:$FF$400)*($AB$2='Offer Statistics'!$FG$2:$FG$400),0)),"/")</f>
        <v>15</v>
      </c>
      <c r="AD8" s="64" cm="1">
        <f t="array" ref="AD8">IFERROR(INDEX('Offer Statistics'!FP$2:FP$400,MATCH(1,($A8='Offer Statistics'!$FF$2:$FF$400)*($AB$2='Offer Statistics'!$FG$2:$FG$400),0)),"/")</f>
        <v>9</v>
      </c>
      <c r="AE8" s="64" cm="1">
        <f t="array" ref="AE8">IFERROR(INDEX('Offer Statistics'!FQ$2:FQ$400,MATCH(1,($A8='Offer Statistics'!$FF$2:$FF$400)*($AB$2='Offer Statistics'!$FG$2:$FG$400),0)),"/")</f>
        <v>3</v>
      </c>
      <c r="AF8" s="64" cm="1">
        <f t="array" ref="AF8">IFERROR(INDEX('Offer Statistics'!FR$2:FR$400,MATCH(1,($A8='Offer Statistics'!$FF$2:$FF$400)*($AB$2='Offer Statistics'!$FG$2:$FG$400),0)),"/")</f>
        <v>1</v>
      </c>
      <c r="AG8" s="64" cm="1">
        <f t="array" ref="AG8">IFERROR(INDEX('Offer Statistics'!FS$2:FS$400,MATCH(1,($A8='Offer Statistics'!$FF$2:$FF$400)*($AB$2='Offer Statistics'!$FG$2:$FG$400),0)),"/")</f>
        <v>2</v>
      </c>
      <c r="AH8" s="64" cm="1">
        <f t="array" ref="AH8">IFERROR(INDEX('Offer Statistics'!FT$2:FT$400,MATCH(1,($A8='Offer Statistics'!$FF$2:$FF$400)*($AB$2='Offer Statistics'!$FG$2:$FG$400),0)),"/")</f>
        <v>0</v>
      </c>
      <c r="AI8" s="524"/>
      <c r="AJ8" s="36" cm="1">
        <f t="array" ref="AJ8">IFERROR(INDEX('Offer Statistics'!FM$2:FM$400,MATCH(1,($A8='Offer Statistics'!$FF$2:$FF$400)*($AB$2='Offer Statistics'!$FG$2:$FG$400),0)),"/")</f>
        <v>943</v>
      </c>
      <c r="AK8" s="64" cm="1">
        <f t="array" ref="AK8">IFERROR(INDEX('Offer Statistics'!FH$2:FH$400,MATCH(1,($A8='Offer Statistics'!$FF$2:$FF$400)*($AB$2='Offer Statistics'!$FG$2:$FG$400),0)),"/")</f>
        <v>78</v>
      </c>
      <c r="AL8" s="64" cm="1">
        <f t="array" ref="AL8">IFERROR(INDEX('Offer Statistics'!FI$2:FI$400,MATCH(1,($A8='Offer Statistics'!$FF$2:$FF$400)*($AB$2='Offer Statistics'!$FG$2:$FG$400),0)),"/")</f>
        <v>116</v>
      </c>
      <c r="AM8" s="64" cm="1">
        <f t="array" ref="AM8">IFERROR(INDEX('Offer Statistics'!FJ$2:FJ$400,MATCH(1,($A8='Offer Statistics'!$FF$2:$FF$400)*($AB$2='Offer Statistics'!$FG$2:$FG$400),0)),"/")</f>
        <v>160</v>
      </c>
      <c r="AN8" s="64" cm="1">
        <f t="array" ref="AN8">IFERROR(INDEX('Offer Statistics'!FK$2:FK$400,MATCH(1,($A8='Offer Statistics'!$FF$2:$FF$400)*($AB$2='Offer Statistics'!$FG$2:$FG$400),0)),"/")</f>
        <v>261</v>
      </c>
      <c r="AO8" s="64" cm="1">
        <f t="array" ref="AO8">IFERROR(INDEX('Offer Statistics'!FL$2:FL$400,MATCH(1,($A8='Offer Statistics'!$FF$2:$FF$400)*($AB$2='Offer Statistics'!$FG$2:$FG$400),0)),"/")</f>
        <v>328</v>
      </c>
      <c r="AP8" s="4"/>
      <c r="AQ8" s="15" t="str">
        <f t="shared" si="3"/>
        <v>JSSC02</v>
      </c>
      <c r="AR8" s="4"/>
    </row>
    <row r="9" spans="1:44" ht="14.55" customHeight="1">
      <c r="A9" s="4" t="str">
        <f>'Reference Score Calculation'!A363</f>
        <v>JSSH01</v>
      </c>
      <c r="B9" s="4" t="str">
        <f>'Reference Score Calculation'!C363</f>
        <v>恒生大學</v>
      </c>
      <c r="C9" s="4" t="str">
        <f>'Reference Score Calculation'!D363</f>
        <v>供應鏈管理工商管理（榮譽）學士</v>
      </c>
      <c r="D9" s="4" t="str">
        <f>'Reference Score Calculation'!R363</f>
        <v>BBA-SCM</v>
      </c>
      <c r="E9" s="15" t="str">
        <f>'Reference Score Calculation'!E363</f>
        <v>4C1X</v>
      </c>
      <c r="F9" s="6" t="str">
        <f>'Reference Score Calculation'!G363</f>
        <v>/</v>
      </c>
      <c r="G9" s="44">
        <f>'Reference Score Calculation'!H363</f>
        <v>16.12</v>
      </c>
      <c r="H9" s="6" t="str">
        <f>'Reference Score Calculation'!I363</f>
        <v>/</v>
      </c>
      <c r="I9" s="45">
        <f>計分版!J386</f>
        <v>1.8E-9</v>
      </c>
      <c r="J9" s="25">
        <f t="shared" ref="J9" si="4">IFERROR(I9-G9,"/")</f>
        <v>-16.119999998200001</v>
      </c>
      <c r="K9" s="26">
        <f t="shared" ref="K9" si="5">IFERROR((I9-G9)/I9,"/")</f>
        <v>-8955555554.5555553</v>
      </c>
      <c r="L9" s="36">
        <f>'Reference Score Calculation'!T363</f>
        <v>105</v>
      </c>
      <c r="M9" s="86">
        <f>入學要求!Z372</f>
        <v>0</v>
      </c>
      <c r="N9" s="516"/>
      <c r="O9" s="15">
        <v>3</v>
      </c>
      <c r="P9" s="15">
        <v>3</v>
      </c>
      <c r="Q9" s="15">
        <v>2</v>
      </c>
      <c r="R9" s="15">
        <v>2</v>
      </c>
      <c r="S9" s="15">
        <v>2</v>
      </c>
      <c r="T9" s="15"/>
      <c r="U9" s="285">
        <f>入學要求!S372</f>
        <v>0</v>
      </c>
      <c r="V9" s="285">
        <f>入學要求!T372</f>
        <v>0</v>
      </c>
      <c r="W9" s="285">
        <f>入學要求!U372</f>
        <v>0</v>
      </c>
      <c r="X9" s="285">
        <f>入學要求!V372</f>
        <v>0</v>
      </c>
      <c r="Y9" s="285">
        <f>入學要求!W372</f>
        <v>0</v>
      </c>
      <c r="Z9" s="285">
        <f>入學要求!X372</f>
        <v>0</v>
      </c>
      <c r="AA9" s="36">
        <f t="shared" si="2"/>
        <v>3.72</v>
      </c>
      <c r="AB9" s="510"/>
      <c r="AC9" s="36" cm="1">
        <f t="array" ref="AC9">IFERROR(INDEX('Offer Statistics'!FU$2:FU$400,MATCH(1,($A9='Offer Statistics'!$FF$2:$FF$400)*($AB$2='Offer Statistics'!$FG$2:$FG$400),0)),"/")</f>
        <v>198</v>
      </c>
      <c r="AD9" s="64" cm="1">
        <f t="array" ref="AD9">IFERROR(INDEX('Offer Statistics'!FP$2:FP$400,MATCH(1,($A9='Offer Statistics'!$FF$2:$FF$400)*($AB$2='Offer Statistics'!$FG$2:$FG$400),0)),"/")</f>
        <v>145</v>
      </c>
      <c r="AE9" s="64" cm="1">
        <f t="array" ref="AE9">IFERROR(INDEX('Offer Statistics'!FQ$2:FQ$400,MATCH(1,($A9='Offer Statistics'!$FF$2:$FF$400)*($AB$2='Offer Statistics'!$FG$2:$FG$400),0)),"/")</f>
        <v>35</v>
      </c>
      <c r="AF9" s="64" cm="1">
        <f t="array" ref="AF9">IFERROR(INDEX('Offer Statistics'!FR$2:FR$400,MATCH(1,($A9='Offer Statistics'!$FF$2:$FF$400)*($AB$2='Offer Statistics'!$FG$2:$FG$400),0)),"/")</f>
        <v>8</v>
      </c>
      <c r="AG9" s="64" cm="1">
        <f t="array" ref="AG9">IFERROR(INDEX('Offer Statistics'!FS$2:FS$400,MATCH(1,($A9='Offer Statistics'!$FF$2:$FF$400)*($AB$2='Offer Statistics'!$FG$2:$FG$400),0)),"/")</f>
        <v>3</v>
      </c>
      <c r="AH9" s="64" cm="1">
        <f t="array" ref="AH9">IFERROR(INDEX('Offer Statistics'!FT$2:FT$400,MATCH(1,($A9='Offer Statistics'!$FF$2:$FF$400)*($AB$2='Offer Statistics'!$FG$2:$FG$400),0)),"/")</f>
        <v>7</v>
      </c>
      <c r="AI9" s="524"/>
      <c r="AJ9" s="36" cm="1">
        <f t="array" ref="AJ9">IFERROR(INDEX('Offer Statistics'!FM$2:FM$400,MATCH(1,($A9='Offer Statistics'!$FF$2:$FF$400)*($AB$2='Offer Statistics'!$FG$2:$FG$400),0)),"/")</f>
        <v>2634</v>
      </c>
      <c r="AK9" s="64" cm="1">
        <f t="array" ref="AK9">IFERROR(INDEX('Offer Statistics'!FH$2:FH$400,MATCH(1,($A9='Offer Statistics'!$FF$2:$FF$400)*($AB$2='Offer Statistics'!$FG$2:$FG$400),0)),"/")</f>
        <v>540</v>
      </c>
      <c r="AL9" s="64" cm="1">
        <f t="array" ref="AL9">IFERROR(INDEX('Offer Statistics'!FI$2:FI$400,MATCH(1,($A9='Offer Statistics'!$FF$2:$FF$400)*($AB$2='Offer Statistics'!$FG$2:$FG$400),0)),"/")</f>
        <v>486</v>
      </c>
      <c r="AM9" s="64" cm="1">
        <f t="array" ref="AM9">IFERROR(INDEX('Offer Statistics'!FJ$2:FJ$400,MATCH(1,($A9='Offer Statistics'!$FF$2:$FF$400)*($AB$2='Offer Statistics'!$FG$2:$FG$400),0)),"/")</f>
        <v>433</v>
      </c>
      <c r="AN9" s="64" cm="1">
        <f t="array" ref="AN9">IFERROR(INDEX('Offer Statistics'!FK$2:FK$400,MATCH(1,($A9='Offer Statistics'!$FF$2:$FF$400)*($AB$2='Offer Statistics'!$FG$2:$FG$400),0)),"/")</f>
        <v>495</v>
      </c>
      <c r="AO9" s="64" cm="1">
        <f t="array" ref="AO9">IFERROR(INDEX('Offer Statistics'!FL$2:FL$400,MATCH(1,($A9='Offer Statistics'!$FF$2:$FF$400)*($AB$2='Offer Statistics'!$FG$2:$FG$400),0)),"/")</f>
        <v>680</v>
      </c>
      <c r="AP9" s="4"/>
      <c r="AQ9" s="15" t="str">
        <f t="shared" si="3"/>
        <v>JSSH01</v>
      </c>
      <c r="AR9" s="4"/>
    </row>
    <row r="10" spans="1:44" ht="14.55" customHeight="1">
      <c r="A10" s="4" t="str">
        <f>'Reference Score Calculation'!A364</f>
        <v>JSSH02</v>
      </c>
      <c r="B10" s="4" t="str">
        <f>'Reference Score Calculation'!C364</f>
        <v>恒生大學</v>
      </c>
      <c r="C10" s="4" t="str">
        <f>'Reference Score Calculation'!D364</f>
        <v>精算及保險 （榮譽）理學士</v>
      </c>
      <c r="D10" s="4" t="str">
        <f>'Reference Score Calculation'!R364</f>
        <v>BSc-AIN</v>
      </c>
      <c r="E10" s="15" t="str">
        <f>'Reference Score Calculation'!E364</f>
        <v>4C1X</v>
      </c>
      <c r="F10" s="6" t="str">
        <f>'Reference Score Calculation'!G364</f>
        <v>/</v>
      </c>
      <c r="G10" s="44">
        <f>'Reference Score Calculation'!H364</f>
        <v>16.93</v>
      </c>
      <c r="H10" s="6" t="str">
        <f>'Reference Score Calculation'!I364</f>
        <v>/</v>
      </c>
      <c r="I10" s="45">
        <f>計分版!J387</f>
        <v>1.8E-9</v>
      </c>
      <c r="J10" s="25">
        <f t="shared" ref="J10:J20" si="6">IFERROR(I10-G10,"/")</f>
        <v>-16.9299999982</v>
      </c>
      <c r="K10" s="26">
        <f t="shared" ref="K10:K20" si="7">IFERROR((I10-G10)/I10,"/")</f>
        <v>-9405555554.5555553</v>
      </c>
      <c r="L10" s="36">
        <f>'Reference Score Calculation'!T364</f>
        <v>35</v>
      </c>
      <c r="M10" s="86">
        <f>入學要求!Z373</f>
        <v>0</v>
      </c>
      <c r="N10" s="516"/>
      <c r="O10" s="15">
        <v>3</v>
      </c>
      <c r="P10" s="15">
        <v>3</v>
      </c>
      <c r="Q10" s="15">
        <v>2</v>
      </c>
      <c r="R10" s="15">
        <v>2</v>
      </c>
      <c r="S10" s="15">
        <v>2</v>
      </c>
      <c r="T10" s="15"/>
      <c r="U10" s="285">
        <f>入學要求!S373</f>
        <v>0</v>
      </c>
      <c r="V10" s="285">
        <f>入學要求!T373</f>
        <v>0</v>
      </c>
      <c r="W10" s="285">
        <f>入學要求!U373</f>
        <v>0</v>
      </c>
      <c r="X10" s="285">
        <f>入學要求!V373</f>
        <v>0</v>
      </c>
      <c r="Y10" s="285">
        <f>入學要求!W373</f>
        <v>0</v>
      </c>
      <c r="Z10" s="285">
        <f>入學要求!X373</f>
        <v>0</v>
      </c>
      <c r="AA10" s="36">
        <f t="shared" si="2"/>
        <v>5.15</v>
      </c>
      <c r="AB10" s="510"/>
      <c r="AC10" s="36" cm="1">
        <f t="array" ref="AC10">IFERROR(INDEX('Offer Statistics'!FU$2:FU$400,MATCH(1,($A10='Offer Statistics'!$FF$2:$FF$400)*($AB$2='Offer Statistics'!$FG$2:$FG$400),0)),"/")</f>
        <v>36</v>
      </c>
      <c r="AD10" s="64" cm="1">
        <f t="array" ref="AD10">IFERROR(INDEX('Offer Statistics'!FP$2:FP$400,MATCH(1,($A10='Offer Statistics'!$FF$2:$FF$400)*($AB$2='Offer Statistics'!$FG$2:$FG$400),0)),"/")</f>
        <v>26</v>
      </c>
      <c r="AE10" s="64" cm="1">
        <f t="array" ref="AE10">IFERROR(INDEX('Offer Statistics'!FQ$2:FQ$400,MATCH(1,($A10='Offer Statistics'!$FF$2:$FF$400)*($AB$2='Offer Statistics'!$FG$2:$FG$400),0)),"/")</f>
        <v>2</v>
      </c>
      <c r="AF10" s="64" cm="1">
        <f t="array" ref="AF10">IFERROR(INDEX('Offer Statistics'!FR$2:FR$400,MATCH(1,($A10='Offer Statistics'!$FF$2:$FF$400)*($AB$2='Offer Statistics'!$FG$2:$FG$400),0)),"/")</f>
        <v>2</v>
      </c>
      <c r="AG10" s="64" cm="1">
        <f t="array" ref="AG10">IFERROR(INDEX('Offer Statistics'!FS$2:FS$400,MATCH(1,($A10='Offer Statistics'!$FF$2:$FF$400)*($AB$2='Offer Statistics'!$FG$2:$FG$400),0)),"/")</f>
        <v>3</v>
      </c>
      <c r="AH10" s="64" cm="1">
        <f t="array" ref="AH10">IFERROR(INDEX('Offer Statistics'!FT$2:FT$400,MATCH(1,($A10='Offer Statistics'!$FF$2:$FF$400)*($AB$2='Offer Statistics'!$FG$2:$FG$400),0)),"/")</f>
        <v>3</v>
      </c>
      <c r="AI10" s="524"/>
      <c r="AJ10" s="36" cm="1">
        <f t="array" ref="AJ10">IFERROR(INDEX('Offer Statistics'!FM$2:FM$400,MATCH(1,($A10='Offer Statistics'!$FF$2:$FF$400)*($AB$2='Offer Statistics'!$FG$2:$FG$400),0)),"/")</f>
        <v>1187</v>
      </c>
      <c r="AK10" s="64" cm="1">
        <f t="array" ref="AK10">IFERROR(INDEX('Offer Statistics'!FH$2:FH$400,MATCH(1,($A10='Offer Statistics'!$FF$2:$FF$400)*($AB$2='Offer Statistics'!$FG$2:$FG$400),0)),"/")</f>
        <v>134</v>
      </c>
      <c r="AL10" s="64" cm="1">
        <f t="array" ref="AL10">IFERROR(INDEX('Offer Statistics'!FI$2:FI$400,MATCH(1,($A10='Offer Statistics'!$FF$2:$FF$400)*($AB$2='Offer Statistics'!$FG$2:$FG$400),0)),"/")</f>
        <v>184</v>
      </c>
      <c r="AM10" s="64" cm="1">
        <f t="array" ref="AM10">IFERROR(INDEX('Offer Statistics'!FJ$2:FJ$400,MATCH(1,($A10='Offer Statistics'!$FF$2:$FF$400)*($AB$2='Offer Statistics'!$FG$2:$FG$400),0)),"/")</f>
        <v>207</v>
      </c>
      <c r="AN10" s="64" cm="1">
        <f t="array" ref="AN10">IFERROR(INDEX('Offer Statistics'!FK$2:FK$400,MATCH(1,($A10='Offer Statistics'!$FF$2:$FF$400)*($AB$2='Offer Statistics'!$FG$2:$FG$400),0)),"/")</f>
        <v>273</v>
      </c>
      <c r="AO10" s="64" cm="1">
        <f t="array" ref="AO10">IFERROR(INDEX('Offer Statistics'!FL$2:FL$400,MATCH(1,($A10='Offer Statistics'!$FF$2:$FF$400)*($AB$2='Offer Statistics'!$FG$2:$FG$400),0)),"/")</f>
        <v>389</v>
      </c>
      <c r="AP10" s="4"/>
      <c r="AQ10" s="15" t="str">
        <f t="shared" si="3"/>
        <v>JSSH02</v>
      </c>
      <c r="AR10" s="4"/>
    </row>
    <row r="11" spans="1:44" ht="14.55" customHeight="1">
      <c r="A11" s="4" t="str">
        <f>'Reference Score Calculation'!A365</f>
        <v>JSSH03</v>
      </c>
      <c r="B11" s="4" t="str">
        <f>'Reference Score Calculation'!C365</f>
        <v>恒生大學</v>
      </c>
      <c r="C11" s="4" t="str">
        <f>'Reference Score Calculation'!D365</f>
        <v>計算機應用（榮譽）理學士</v>
      </c>
      <c r="D11" s="4" t="str">
        <f>'Reference Score Calculation'!R365</f>
        <v>BSc-AC</v>
      </c>
      <c r="E11" s="15" t="str">
        <f>'Reference Score Calculation'!E365</f>
        <v>4C1X</v>
      </c>
      <c r="F11" s="6" t="str">
        <f>'Reference Score Calculation'!G365</f>
        <v>/</v>
      </c>
      <c r="G11" s="44">
        <f>'Reference Score Calculation'!H365</f>
        <v>15.72</v>
      </c>
      <c r="H11" s="6" t="str">
        <f>'Reference Score Calculation'!I365</f>
        <v>/</v>
      </c>
      <c r="I11" s="45">
        <f>計分版!J388</f>
        <v>1.8E-9</v>
      </c>
      <c r="J11" s="25">
        <f t="shared" si="6"/>
        <v>-15.7199999982</v>
      </c>
      <c r="K11" s="26">
        <f t="shared" si="7"/>
        <v>-8733333332.333334</v>
      </c>
      <c r="L11" s="36">
        <f>'Reference Score Calculation'!T365</f>
        <v>60</v>
      </c>
      <c r="M11" s="86">
        <f>入學要求!Z374</f>
        <v>0</v>
      </c>
      <c r="N11" s="516"/>
      <c r="O11" s="15">
        <v>3</v>
      </c>
      <c r="P11" s="15">
        <v>3</v>
      </c>
      <c r="Q11" s="15">
        <v>2</v>
      </c>
      <c r="R11" s="15">
        <v>2</v>
      </c>
      <c r="S11" s="15">
        <v>2</v>
      </c>
      <c r="T11" s="15"/>
      <c r="U11" s="285">
        <f>入學要求!S374</f>
        <v>0</v>
      </c>
      <c r="V11" s="285">
        <f>入學要求!T374</f>
        <v>0</v>
      </c>
      <c r="W11" s="285">
        <f>入學要求!U374</f>
        <v>0</v>
      </c>
      <c r="X11" s="285">
        <f>入學要求!V374</f>
        <v>0</v>
      </c>
      <c r="Y11" s="285">
        <f>入學要求!W374</f>
        <v>0</v>
      </c>
      <c r="Z11" s="285">
        <f>入學要求!X374</f>
        <v>0</v>
      </c>
      <c r="AA11" s="36">
        <f t="shared" si="2"/>
        <v>6.2</v>
      </c>
      <c r="AB11" s="510"/>
      <c r="AC11" s="36" cm="1">
        <f t="array" ref="AC11">IFERROR(INDEX('Offer Statistics'!FU$2:FU$400,MATCH(1,($A11='Offer Statistics'!$FF$2:$FF$400)*($AB$2='Offer Statistics'!$FG$2:$FG$400),0)),"/")</f>
        <v>44</v>
      </c>
      <c r="AD11" s="64" cm="1">
        <f t="array" ref="AD11">IFERROR(INDEX('Offer Statistics'!FP$2:FP$400,MATCH(1,($A11='Offer Statistics'!$FF$2:$FF$400)*($AB$2='Offer Statistics'!$FG$2:$FG$400),0)),"/")</f>
        <v>41</v>
      </c>
      <c r="AE11" s="64" cm="1">
        <f t="array" ref="AE11">IFERROR(INDEX('Offer Statistics'!FQ$2:FQ$400,MATCH(1,($A11='Offer Statistics'!$FF$2:$FF$400)*($AB$2='Offer Statistics'!$FG$2:$FG$400),0)),"/")</f>
        <v>2</v>
      </c>
      <c r="AF11" s="64" cm="1">
        <f t="array" ref="AF11">IFERROR(INDEX('Offer Statistics'!FR$2:FR$400,MATCH(1,($A11='Offer Statistics'!$FF$2:$FF$400)*($AB$2='Offer Statistics'!$FG$2:$FG$400),0)),"/")</f>
        <v>1</v>
      </c>
      <c r="AG11" s="64" cm="1">
        <f t="array" ref="AG11">IFERROR(INDEX('Offer Statistics'!FS$2:FS$400,MATCH(1,($A11='Offer Statistics'!$FF$2:$FF$400)*($AB$2='Offer Statistics'!$FG$2:$FG$400),0)),"/")</f>
        <v>0</v>
      </c>
      <c r="AH11" s="64" cm="1">
        <f t="array" ref="AH11">IFERROR(INDEX('Offer Statistics'!FT$2:FT$400,MATCH(1,($A11='Offer Statistics'!$FF$2:$FF$400)*($AB$2='Offer Statistics'!$FG$2:$FG$400),0)),"/")</f>
        <v>0</v>
      </c>
      <c r="AI11" s="524"/>
      <c r="AJ11" s="36" cm="1">
        <f t="array" ref="AJ11">IFERROR(INDEX('Offer Statistics'!FM$2:FM$400,MATCH(1,($A11='Offer Statistics'!$FF$2:$FF$400)*($AB$2='Offer Statistics'!$FG$2:$FG$400),0)),"/")</f>
        <v>1449</v>
      </c>
      <c r="AK11" s="64" cm="1">
        <f t="array" ref="AK11">IFERROR(INDEX('Offer Statistics'!FH$2:FH$400,MATCH(1,($A11='Offer Statistics'!$FF$2:$FF$400)*($AB$2='Offer Statistics'!$FG$2:$FG$400),0)),"/")</f>
        <v>254</v>
      </c>
      <c r="AL11" s="64" cm="1">
        <f t="array" ref="AL11">IFERROR(INDEX('Offer Statistics'!FI$2:FI$400,MATCH(1,($A11='Offer Statistics'!$FF$2:$FF$400)*($AB$2='Offer Statistics'!$FG$2:$FG$400),0)),"/")</f>
        <v>235</v>
      </c>
      <c r="AM11" s="64" cm="1">
        <f t="array" ref="AM11">IFERROR(INDEX('Offer Statistics'!FJ$2:FJ$400,MATCH(1,($A11='Offer Statistics'!$FF$2:$FF$400)*($AB$2='Offer Statistics'!$FG$2:$FG$400),0)),"/")</f>
        <v>240</v>
      </c>
      <c r="AN11" s="64" cm="1">
        <f t="array" ref="AN11">IFERROR(INDEX('Offer Statistics'!FK$2:FK$400,MATCH(1,($A11='Offer Statistics'!$FF$2:$FF$400)*($AB$2='Offer Statistics'!$FG$2:$FG$400),0)),"/")</f>
        <v>300</v>
      </c>
      <c r="AO11" s="64" cm="1">
        <f t="array" ref="AO11">IFERROR(INDEX('Offer Statistics'!FL$2:FL$400,MATCH(1,($A11='Offer Statistics'!$FF$2:$FF$400)*($AB$2='Offer Statistics'!$FG$2:$FG$400),0)),"/")</f>
        <v>420</v>
      </c>
      <c r="AP11" s="4"/>
      <c r="AQ11" s="15" t="str">
        <f t="shared" si="3"/>
        <v>JSSH03</v>
      </c>
      <c r="AR11" s="4"/>
    </row>
    <row r="12" spans="1:44" ht="14.55" customHeight="1">
      <c r="A12" s="4" t="str">
        <f>'Reference Score Calculation'!A366</f>
        <v>JSSH04</v>
      </c>
      <c r="B12" s="4" t="str">
        <f>'Reference Score Calculation'!C366</f>
        <v>恒生大學</v>
      </c>
      <c r="C12" s="4" t="str">
        <f>'Reference Score Calculation'!D366</f>
        <v>數據科學及商業智能學（榮譽）理學士</v>
      </c>
      <c r="D12" s="4" t="str">
        <f>'Reference Score Calculation'!R366</f>
        <v>BSc-DSBI</v>
      </c>
      <c r="E12" s="15" t="str">
        <f>'Reference Score Calculation'!E366</f>
        <v>4C1X</v>
      </c>
      <c r="F12" s="6" t="str">
        <f>'Reference Score Calculation'!G366</f>
        <v>/</v>
      </c>
      <c r="G12" s="44">
        <f>'Reference Score Calculation'!H366</f>
        <v>15.92</v>
      </c>
      <c r="H12" s="6" t="str">
        <f>'Reference Score Calculation'!I366</f>
        <v>/</v>
      </c>
      <c r="I12" s="45">
        <f>計分版!J389</f>
        <v>1.8E-9</v>
      </c>
      <c r="J12" s="25">
        <f t="shared" si="6"/>
        <v>-15.9199999982</v>
      </c>
      <c r="K12" s="26">
        <f t="shared" si="7"/>
        <v>-8844444443.4444447</v>
      </c>
      <c r="L12" s="36">
        <f>'Reference Score Calculation'!T366</f>
        <v>70</v>
      </c>
      <c r="M12" s="86">
        <f>入學要求!Z375</f>
        <v>0</v>
      </c>
      <c r="N12" s="516"/>
      <c r="O12" s="15">
        <v>3</v>
      </c>
      <c r="P12" s="15">
        <v>3</v>
      </c>
      <c r="Q12" s="15">
        <v>2</v>
      </c>
      <c r="R12" s="15">
        <v>2</v>
      </c>
      <c r="S12" s="15">
        <v>2</v>
      </c>
      <c r="T12" s="15"/>
      <c r="U12" s="285">
        <f>入學要求!S375</f>
        <v>0</v>
      </c>
      <c r="V12" s="285">
        <f>入學要求!T375</f>
        <v>0</v>
      </c>
      <c r="W12" s="285">
        <f>入學要求!U375</f>
        <v>0</v>
      </c>
      <c r="X12" s="285">
        <f>入學要求!V375</f>
        <v>0</v>
      </c>
      <c r="Y12" s="285">
        <f>入學要求!W375</f>
        <v>0</v>
      </c>
      <c r="Z12" s="285">
        <f>入學要求!X375</f>
        <v>0</v>
      </c>
      <c r="AA12" s="36">
        <f t="shared" si="2"/>
        <v>4.34</v>
      </c>
      <c r="AB12" s="510"/>
      <c r="AC12" s="36" cm="1">
        <f t="array" ref="AC12">IFERROR(INDEX('Offer Statistics'!FU$2:FU$400,MATCH(1,($A12='Offer Statistics'!$FF$2:$FF$400)*($AB$2='Offer Statistics'!$FG$2:$FG$400),0)),"/")</f>
        <v>63</v>
      </c>
      <c r="AD12" s="64" cm="1">
        <f t="array" ref="AD12">IFERROR(INDEX('Offer Statistics'!FP$2:FP$400,MATCH(1,($A12='Offer Statistics'!$FF$2:$FF$400)*($AB$2='Offer Statistics'!$FG$2:$FG$400),0)),"/")</f>
        <v>50</v>
      </c>
      <c r="AE12" s="64" cm="1">
        <f t="array" ref="AE12">IFERROR(INDEX('Offer Statistics'!FQ$2:FQ$400,MATCH(1,($A12='Offer Statistics'!$FF$2:$FF$400)*($AB$2='Offer Statistics'!$FG$2:$FG$400),0)),"/")</f>
        <v>10</v>
      </c>
      <c r="AF12" s="64" cm="1">
        <f t="array" ref="AF12">IFERROR(INDEX('Offer Statistics'!FR$2:FR$400,MATCH(1,($A12='Offer Statistics'!$FF$2:$FF$400)*($AB$2='Offer Statistics'!$FG$2:$FG$400),0)),"/")</f>
        <v>2</v>
      </c>
      <c r="AG12" s="64" cm="1">
        <f t="array" ref="AG12">IFERROR(INDEX('Offer Statistics'!FS$2:FS$400,MATCH(1,($A12='Offer Statistics'!$FF$2:$FF$400)*($AB$2='Offer Statistics'!$FG$2:$FG$400),0)),"/")</f>
        <v>0</v>
      </c>
      <c r="AH12" s="64" cm="1">
        <f t="array" ref="AH12">IFERROR(INDEX('Offer Statistics'!FT$2:FT$400,MATCH(1,($A12='Offer Statistics'!$FF$2:$FF$400)*($AB$2='Offer Statistics'!$FG$2:$FG$400),0)),"/")</f>
        <v>1</v>
      </c>
      <c r="AI12" s="524"/>
      <c r="AJ12" s="36" cm="1">
        <f t="array" ref="AJ12">IFERROR(INDEX('Offer Statistics'!FM$2:FM$400,MATCH(1,($A12='Offer Statistics'!$FF$2:$FF$400)*($AB$2='Offer Statistics'!$FG$2:$FG$400),0)),"/")</f>
        <v>1747</v>
      </c>
      <c r="AK12" s="64" cm="1">
        <f t="array" ref="AK12">IFERROR(INDEX('Offer Statistics'!FH$2:FH$400,MATCH(1,($A12='Offer Statistics'!$FF$2:$FF$400)*($AB$2='Offer Statistics'!$FG$2:$FG$400),0)),"/")</f>
        <v>217</v>
      </c>
      <c r="AL12" s="64" cm="1">
        <f t="array" ref="AL12">IFERROR(INDEX('Offer Statistics'!FI$2:FI$400,MATCH(1,($A12='Offer Statistics'!$FF$2:$FF$400)*($AB$2='Offer Statistics'!$FG$2:$FG$400),0)),"/")</f>
        <v>285</v>
      </c>
      <c r="AM12" s="64" cm="1">
        <f t="array" ref="AM12">IFERROR(INDEX('Offer Statistics'!FJ$2:FJ$400,MATCH(1,($A12='Offer Statistics'!$FF$2:$FF$400)*($AB$2='Offer Statistics'!$FG$2:$FG$400),0)),"/")</f>
        <v>330</v>
      </c>
      <c r="AN12" s="64" cm="1">
        <f t="array" ref="AN12">IFERROR(INDEX('Offer Statistics'!FK$2:FK$400,MATCH(1,($A12='Offer Statistics'!$FF$2:$FF$400)*($AB$2='Offer Statistics'!$FG$2:$FG$400),0)),"/")</f>
        <v>389</v>
      </c>
      <c r="AO12" s="64" cm="1">
        <f t="array" ref="AO12">IFERROR(INDEX('Offer Statistics'!FL$2:FL$400,MATCH(1,($A12='Offer Statistics'!$FF$2:$FF$400)*($AB$2='Offer Statistics'!$FG$2:$FG$400),0)),"/")</f>
        <v>526</v>
      </c>
      <c r="AP12" s="4"/>
      <c r="AQ12" s="15" t="str">
        <f t="shared" si="3"/>
        <v>JSSH04</v>
      </c>
      <c r="AR12" s="4"/>
    </row>
    <row r="13" spans="1:44" ht="14.55" customHeight="1">
      <c r="A13" s="4" t="str">
        <f>'Reference Score Calculation'!A367</f>
        <v>JSSH05</v>
      </c>
      <c r="B13" s="4" t="str">
        <f>'Reference Score Calculation'!C367</f>
        <v>恒生大學</v>
      </c>
      <c r="C13" s="4" t="str">
        <f>'Reference Score Calculation'!D367</f>
        <v>管理科學與資訊管理（榮譽）學士</v>
      </c>
      <c r="D13" s="4" t="str">
        <f>'Reference Score Calculation'!R367</f>
        <v>BMSIM</v>
      </c>
      <c r="E13" s="15" t="str">
        <f>'Reference Score Calculation'!E367</f>
        <v>4C1X</v>
      </c>
      <c r="F13" s="6" t="str">
        <f>'Reference Score Calculation'!G367</f>
        <v>/</v>
      </c>
      <c r="G13" s="44">
        <f>'Reference Score Calculation'!H367</f>
        <v>16.55</v>
      </c>
      <c r="H13" s="6" t="str">
        <f>'Reference Score Calculation'!I367</f>
        <v>/</v>
      </c>
      <c r="I13" s="45">
        <f>計分版!J390</f>
        <v>1.8E-9</v>
      </c>
      <c r="J13" s="25">
        <f t="shared" si="6"/>
        <v>-16.549999998200001</v>
      </c>
      <c r="K13" s="26">
        <f t="shared" si="7"/>
        <v>-9194444443.4444447</v>
      </c>
      <c r="L13" s="36">
        <f>'Reference Score Calculation'!T367</f>
        <v>65</v>
      </c>
      <c r="M13" s="86">
        <f>入學要求!Z376</f>
        <v>0</v>
      </c>
      <c r="N13" s="516"/>
      <c r="O13" s="15">
        <v>3</v>
      </c>
      <c r="P13" s="15">
        <v>3</v>
      </c>
      <c r="Q13" s="15">
        <v>2</v>
      </c>
      <c r="R13" s="15">
        <v>2</v>
      </c>
      <c r="S13" s="15">
        <v>2</v>
      </c>
      <c r="T13" s="15"/>
      <c r="U13" s="285">
        <f>入學要求!S376</f>
        <v>0</v>
      </c>
      <c r="V13" s="285">
        <f>入學要求!T376</f>
        <v>0</v>
      </c>
      <c r="W13" s="285">
        <f>入學要求!U376</f>
        <v>0</v>
      </c>
      <c r="X13" s="285">
        <f>入學要求!V376</f>
        <v>0</v>
      </c>
      <c r="Y13" s="285">
        <f>入學要求!W376</f>
        <v>0</v>
      </c>
      <c r="Z13" s="285">
        <f>入學要求!X376</f>
        <v>0</v>
      </c>
      <c r="AA13" s="36">
        <f t="shared" si="2"/>
        <v>6.16</v>
      </c>
      <c r="AB13" s="510"/>
      <c r="AC13" s="36" cm="1">
        <f t="array" ref="AC13">IFERROR(INDEX('Offer Statistics'!FU$2:FU$400,MATCH(1,($A13='Offer Statistics'!$FF$2:$FF$400)*($AB$2='Offer Statistics'!$FG$2:$FG$400),0)),"/")</f>
        <v>50</v>
      </c>
      <c r="AD13" s="64" cm="1">
        <f t="array" ref="AD13">IFERROR(INDEX('Offer Statistics'!FP$2:FP$400,MATCH(1,($A13='Offer Statistics'!$FF$2:$FF$400)*($AB$2='Offer Statistics'!$FG$2:$FG$400),0)),"/")</f>
        <v>31</v>
      </c>
      <c r="AE13" s="64" cm="1">
        <f t="array" ref="AE13">IFERROR(INDEX('Offer Statistics'!FQ$2:FQ$400,MATCH(1,($A13='Offer Statistics'!$FF$2:$FF$400)*($AB$2='Offer Statistics'!$FG$2:$FG$400),0)),"/")</f>
        <v>9</v>
      </c>
      <c r="AF13" s="64" cm="1">
        <f t="array" ref="AF13">IFERROR(INDEX('Offer Statistics'!FR$2:FR$400,MATCH(1,($A13='Offer Statistics'!$FF$2:$FF$400)*($AB$2='Offer Statistics'!$FG$2:$FG$400),0)),"/")</f>
        <v>3</v>
      </c>
      <c r="AG13" s="64" cm="1">
        <f t="array" ref="AG13">IFERROR(INDEX('Offer Statistics'!FS$2:FS$400,MATCH(1,($A13='Offer Statistics'!$FF$2:$FF$400)*($AB$2='Offer Statistics'!$FG$2:$FG$400),0)),"/")</f>
        <v>2</v>
      </c>
      <c r="AH13" s="64" cm="1">
        <f t="array" ref="AH13">IFERROR(INDEX('Offer Statistics'!FT$2:FT$400,MATCH(1,($A13='Offer Statistics'!$FF$2:$FF$400)*($AB$2='Offer Statistics'!$FG$2:$FG$400),0)),"/")</f>
        <v>5</v>
      </c>
      <c r="AI13" s="524"/>
      <c r="AJ13" s="36" cm="1">
        <f t="array" ref="AJ13">IFERROR(INDEX('Offer Statistics'!FM$2:FM$400,MATCH(1,($A13='Offer Statistics'!$FF$2:$FF$400)*($AB$2='Offer Statistics'!$FG$2:$FG$400),0)),"/")</f>
        <v>1631</v>
      </c>
      <c r="AK13" s="64" cm="1">
        <f t="array" ref="AK13">IFERROR(INDEX('Offer Statistics'!FH$2:FH$400,MATCH(1,($A13='Offer Statistics'!$FF$2:$FF$400)*($AB$2='Offer Statistics'!$FG$2:$FG$400),0)),"/")</f>
        <v>191</v>
      </c>
      <c r="AL13" s="64" cm="1">
        <f t="array" ref="AL13">IFERROR(INDEX('Offer Statistics'!FI$2:FI$400,MATCH(1,($A13='Offer Statistics'!$FF$2:$FF$400)*($AB$2='Offer Statistics'!$FG$2:$FG$400),0)),"/")</f>
        <v>291</v>
      </c>
      <c r="AM13" s="64" cm="1">
        <f t="array" ref="AM13">IFERROR(INDEX('Offer Statistics'!FJ$2:FJ$400,MATCH(1,($A13='Offer Statistics'!$FF$2:$FF$400)*($AB$2='Offer Statistics'!$FG$2:$FG$400),0)),"/")</f>
        <v>328</v>
      </c>
      <c r="AN13" s="64" cm="1">
        <f t="array" ref="AN13">IFERROR(INDEX('Offer Statistics'!FK$2:FK$400,MATCH(1,($A13='Offer Statistics'!$FF$2:$FF$400)*($AB$2='Offer Statistics'!$FG$2:$FG$400),0)),"/")</f>
        <v>358</v>
      </c>
      <c r="AO13" s="64" cm="1">
        <f t="array" ref="AO13">IFERROR(INDEX('Offer Statistics'!FL$2:FL$400,MATCH(1,($A13='Offer Statistics'!$FF$2:$FF$400)*($AB$2='Offer Statistics'!$FG$2:$FG$400),0)),"/")</f>
        <v>463</v>
      </c>
      <c r="AP13" s="4"/>
      <c r="AQ13" s="15" t="str">
        <f t="shared" si="3"/>
        <v>JSSH05</v>
      </c>
      <c r="AR13" s="4"/>
    </row>
    <row r="14" spans="1:44" ht="14.55" customHeight="1">
      <c r="A14" s="4" t="str">
        <f>'Reference Score Calculation'!A368</f>
        <v>JSSH06</v>
      </c>
      <c r="B14" s="4" t="str">
        <f>'Reference Score Calculation'!C368</f>
        <v>恒生大學</v>
      </c>
      <c r="C14" s="4" t="str">
        <f>'Reference Score Calculation'!D368</f>
        <v>藝術設計（榮譽）文學士</v>
      </c>
      <c r="D14" s="4" t="str">
        <f>'Reference Score Calculation'!R368</f>
        <v>BA-AD</v>
      </c>
      <c r="E14" s="15" t="str">
        <f>'Reference Score Calculation'!E368</f>
        <v>4C1X</v>
      </c>
      <c r="F14" s="6" t="str">
        <f>'Reference Score Calculation'!G368</f>
        <v>/</v>
      </c>
      <c r="G14" s="44">
        <f>'Reference Score Calculation'!H368</f>
        <v>15.48</v>
      </c>
      <c r="H14" s="6" t="str">
        <f>'Reference Score Calculation'!I368</f>
        <v>/</v>
      </c>
      <c r="I14" s="45">
        <f>計分版!J391</f>
        <v>1.8E-9</v>
      </c>
      <c r="J14" s="25">
        <f t="shared" si="6"/>
        <v>-15.4799999982</v>
      </c>
      <c r="K14" s="26">
        <f t="shared" si="7"/>
        <v>-8599999999</v>
      </c>
      <c r="L14" s="36">
        <f>'Reference Score Calculation'!T368</f>
        <v>40</v>
      </c>
      <c r="M14" s="86">
        <f>入學要求!Z377</f>
        <v>0</v>
      </c>
      <c r="N14" s="516"/>
      <c r="O14" s="15">
        <v>3</v>
      </c>
      <c r="P14" s="15">
        <v>3</v>
      </c>
      <c r="Q14" s="15">
        <v>2</v>
      </c>
      <c r="R14" s="15">
        <v>2</v>
      </c>
      <c r="S14" s="15">
        <v>2</v>
      </c>
      <c r="T14" s="15"/>
      <c r="U14" s="285">
        <f>入學要求!S377</f>
        <v>0</v>
      </c>
      <c r="V14" s="285">
        <f>入學要求!T377</f>
        <v>0</v>
      </c>
      <c r="W14" s="285">
        <f>入學要求!U377</f>
        <v>0</v>
      </c>
      <c r="X14" s="285">
        <f>入學要求!V377</f>
        <v>0</v>
      </c>
      <c r="Y14" s="285">
        <f>入學要求!W377</f>
        <v>0</v>
      </c>
      <c r="Z14" s="285">
        <f>入學要求!X377</f>
        <v>0</v>
      </c>
      <c r="AA14" s="36">
        <f t="shared" si="2"/>
        <v>9</v>
      </c>
      <c r="AB14" s="510"/>
      <c r="AC14" s="36" cm="1">
        <f t="array" ref="AC14">IFERROR(INDEX('Offer Statistics'!FU$2:FU$400,MATCH(1,($A14='Offer Statistics'!$FF$2:$FF$400)*($AB$2='Offer Statistics'!$FG$2:$FG$400),0)),"/")</f>
        <v>58</v>
      </c>
      <c r="AD14" s="64" cm="1">
        <f t="array" ref="AD14">IFERROR(INDEX('Offer Statistics'!FP$2:FP$400,MATCH(1,($A14='Offer Statistics'!$FF$2:$FF$400)*($AB$2='Offer Statistics'!$FG$2:$FG$400),0)),"/")</f>
        <v>38</v>
      </c>
      <c r="AE14" s="64" cm="1">
        <f t="array" ref="AE14">IFERROR(INDEX('Offer Statistics'!FQ$2:FQ$400,MATCH(1,($A14='Offer Statistics'!$FF$2:$FF$400)*($AB$2='Offer Statistics'!$FG$2:$FG$400),0)),"/")</f>
        <v>7</v>
      </c>
      <c r="AF14" s="64" cm="1">
        <f t="array" ref="AF14">IFERROR(INDEX('Offer Statistics'!FR$2:FR$400,MATCH(1,($A14='Offer Statistics'!$FF$2:$FF$400)*($AB$2='Offer Statistics'!$FG$2:$FG$400),0)),"/")</f>
        <v>4</v>
      </c>
      <c r="AG14" s="64" cm="1">
        <f t="array" ref="AG14">IFERROR(INDEX('Offer Statistics'!FS$2:FS$400,MATCH(1,($A14='Offer Statistics'!$FF$2:$FF$400)*($AB$2='Offer Statistics'!$FG$2:$FG$400),0)),"/")</f>
        <v>3</v>
      </c>
      <c r="AH14" s="64" cm="1">
        <f t="array" ref="AH14">IFERROR(INDEX('Offer Statistics'!FT$2:FT$400,MATCH(1,($A14='Offer Statistics'!$FF$2:$FF$400)*($AB$2='Offer Statistics'!$FG$2:$FG$400),0)),"/")</f>
        <v>6</v>
      </c>
      <c r="AI14" s="524"/>
      <c r="AJ14" s="36" cm="1">
        <f t="array" ref="AJ14">IFERROR(INDEX('Offer Statistics'!FM$2:FM$400,MATCH(1,($A14='Offer Statistics'!$FF$2:$FF$400)*($AB$2='Offer Statistics'!$FG$2:$FG$400),0)),"/")</f>
        <v>2378</v>
      </c>
      <c r="AK14" s="64" cm="1">
        <f t="array" ref="AK14">IFERROR(INDEX('Offer Statistics'!FH$2:FH$400,MATCH(1,($A14='Offer Statistics'!$FF$2:$FF$400)*($AB$2='Offer Statistics'!$FG$2:$FG$400),0)),"/")</f>
        <v>342</v>
      </c>
      <c r="AL14" s="64" cm="1">
        <f t="array" ref="AL14">IFERROR(INDEX('Offer Statistics'!FI$2:FI$400,MATCH(1,($A14='Offer Statistics'!$FF$2:$FF$400)*($AB$2='Offer Statistics'!$FG$2:$FG$400),0)),"/")</f>
        <v>457</v>
      </c>
      <c r="AM14" s="64" cm="1">
        <f t="array" ref="AM14">IFERROR(INDEX('Offer Statistics'!FJ$2:FJ$400,MATCH(1,($A14='Offer Statistics'!$FF$2:$FF$400)*($AB$2='Offer Statistics'!$FG$2:$FG$400),0)),"/")</f>
        <v>475</v>
      </c>
      <c r="AN14" s="64" cm="1">
        <f t="array" ref="AN14">IFERROR(INDEX('Offer Statistics'!FK$2:FK$400,MATCH(1,($A14='Offer Statistics'!$FF$2:$FF$400)*($AB$2='Offer Statistics'!$FG$2:$FG$400),0)),"/")</f>
        <v>521</v>
      </c>
      <c r="AO14" s="64" cm="1">
        <f t="array" ref="AO14">IFERROR(INDEX('Offer Statistics'!FL$2:FL$400,MATCH(1,($A14='Offer Statistics'!$FF$2:$FF$400)*($AB$2='Offer Statistics'!$FG$2:$FG$400),0)),"/")</f>
        <v>583</v>
      </c>
      <c r="AP14" s="4"/>
      <c r="AQ14" s="15" t="str">
        <f t="shared" si="3"/>
        <v>JSSH06</v>
      </c>
      <c r="AR14" s="4"/>
    </row>
    <row r="15" spans="1:44" ht="14.55" customHeight="1">
      <c r="A15" s="4" t="str">
        <f>'Reference Score Calculation'!A369</f>
        <v>JSST01</v>
      </c>
      <c r="B15" s="4" t="str">
        <f>'Reference Score Calculation'!C369</f>
        <v>東華學院</v>
      </c>
      <c r="C15" s="4" t="str">
        <f>'Reference Score Calculation'!D369</f>
        <v>護理學（榮譽）健康科學學士</v>
      </c>
      <c r="D15" s="4" t="str">
        <f>'Reference Score Calculation'!R369</f>
        <v>BHSc(N)</v>
      </c>
      <c r="E15" s="15" t="str">
        <f>'Reference Score Calculation'!E369</f>
        <v>Best 5</v>
      </c>
      <c r="F15" s="6" t="str">
        <f>'Reference Score Calculation'!G369</f>
        <v>/</v>
      </c>
      <c r="G15" s="44">
        <f>'Reference Score Calculation'!H369</f>
        <v>17.3</v>
      </c>
      <c r="H15" s="6" t="str">
        <f>'Reference Score Calculation'!I369</f>
        <v>/</v>
      </c>
      <c r="I15" s="45">
        <f>計分版!J392</f>
        <v>3.3999999999999998E-9</v>
      </c>
      <c r="J15" s="25">
        <f t="shared" si="6"/>
        <v>-17.2999999966</v>
      </c>
      <c r="K15" s="26">
        <f t="shared" si="7"/>
        <v>-5088235293.1176472</v>
      </c>
      <c r="L15" s="36">
        <f>'Reference Score Calculation'!T369</f>
        <v>400</v>
      </c>
      <c r="M15" s="86">
        <f>入學要求!Z378</f>
        <v>0</v>
      </c>
      <c r="N15" s="516"/>
      <c r="O15" s="15">
        <v>3</v>
      </c>
      <c r="P15" s="15">
        <v>3</v>
      </c>
      <c r="Q15" s="15">
        <v>2</v>
      </c>
      <c r="R15" s="15">
        <v>2</v>
      </c>
      <c r="S15" s="15">
        <v>2</v>
      </c>
      <c r="T15" s="15"/>
      <c r="U15" s="285">
        <f>入學要求!S378</f>
        <v>0</v>
      </c>
      <c r="V15" s="285">
        <f>入學要求!T378</f>
        <v>0</v>
      </c>
      <c r="W15" s="285">
        <f>入學要求!U378</f>
        <v>0</v>
      </c>
      <c r="X15" s="285">
        <f>入學要求!V378</f>
        <v>0</v>
      </c>
      <c r="Y15" s="285">
        <f>入學要求!W378</f>
        <v>0</v>
      </c>
      <c r="Z15" s="285">
        <f>入學要求!X378</f>
        <v>0</v>
      </c>
      <c r="AA15" s="36">
        <f t="shared" si="2"/>
        <v>4.4400000000000004</v>
      </c>
      <c r="AB15" s="510"/>
      <c r="AC15" s="36" cm="1">
        <f t="array" ref="AC15">IFERROR(INDEX('Offer Statistics'!FU$2:FU$400,MATCH(1,($A15='Offer Statistics'!$FF$2:$FF$400)*($AB$2='Offer Statistics'!$FG$2:$FG$400),0)),"/")</f>
        <v>555</v>
      </c>
      <c r="AD15" s="64" cm="1">
        <f t="array" ref="AD15">IFERROR(INDEX('Offer Statistics'!FP$2:FP$400,MATCH(1,($A15='Offer Statistics'!$FF$2:$FF$400)*($AB$2='Offer Statistics'!$FG$2:$FG$400),0)),"/")</f>
        <v>441</v>
      </c>
      <c r="AE15" s="64" cm="1">
        <f t="array" ref="AE15">IFERROR(INDEX('Offer Statistics'!FQ$2:FQ$400,MATCH(1,($A15='Offer Statistics'!$FF$2:$FF$400)*($AB$2='Offer Statistics'!$FG$2:$FG$400),0)),"/")</f>
        <v>98</v>
      </c>
      <c r="AF15" s="64" cm="1">
        <f t="array" ref="AF15">IFERROR(INDEX('Offer Statistics'!FR$2:FR$400,MATCH(1,($A15='Offer Statistics'!$FF$2:$FF$400)*($AB$2='Offer Statistics'!$FG$2:$FG$400),0)),"/")</f>
        <v>16</v>
      </c>
      <c r="AG15" s="64" cm="1">
        <f t="array" ref="AG15">IFERROR(INDEX('Offer Statistics'!FS$2:FS$400,MATCH(1,($A15='Offer Statistics'!$FF$2:$FF$400)*($AB$2='Offer Statistics'!$FG$2:$FG$400),0)),"/")</f>
        <v>0</v>
      </c>
      <c r="AH15" s="64" cm="1">
        <f t="array" ref="AH15">IFERROR(INDEX('Offer Statistics'!FT$2:FT$400,MATCH(1,($A15='Offer Statistics'!$FF$2:$FF$400)*($AB$2='Offer Statistics'!$FG$2:$FG$400),0)),"/")</f>
        <v>0</v>
      </c>
      <c r="AI15" s="524"/>
      <c r="AJ15" s="36" cm="1">
        <f t="array" ref="AJ15">IFERROR(INDEX('Offer Statistics'!FM$2:FM$400,MATCH(1,($A15='Offer Statistics'!$FF$2:$FF$400)*($AB$2='Offer Statistics'!$FG$2:$FG$400),0)),"/")</f>
        <v>5947</v>
      </c>
      <c r="AK15" s="64" cm="1">
        <f t="array" ref="AK15">IFERROR(INDEX('Offer Statistics'!FH$2:FH$400,MATCH(1,($A15='Offer Statistics'!$FF$2:$FF$400)*($AB$2='Offer Statistics'!$FG$2:$FG$400),0)),"/")</f>
        <v>1957</v>
      </c>
      <c r="AL15" s="64" cm="1">
        <f t="array" ref="AL15">IFERROR(INDEX('Offer Statistics'!FI$2:FI$400,MATCH(1,($A15='Offer Statistics'!$FF$2:$FF$400)*($AB$2='Offer Statistics'!$FG$2:$FG$400),0)),"/")</f>
        <v>1513</v>
      </c>
      <c r="AM15" s="64" cm="1">
        <f t="array" ref="AM15">IFERROR(INDEX('Offer Statistics'!FJ$2:FJ$400,MATCH(1,($A15='Offer Statistics'!$FF$2:$FF$400)*($AB$2='Offer Statistics'!$FG$2:$FG$400),0)),"/")</f>
        <v>873</v>
      </c>
      <c r="AN15" s="64" cm="1">
        <f t="array" ref="AN15">IFERROR(INDEX('Offer Statistics'!FK$2:FK$400,MATCH(1,($A15='Offer Statistics'!$FF$2:$FF$400)*($AB$2='Offer Statistics'!$FG$2:$FG$400),0)),"/")</f>
        <v>788</v>
      </c>
      <c r="AO15" s="64" cm="1">
        <f t="array" ref="AO15">IFERROR(INDEX('Offer Statistics'!FL$2:FL$400,MATCH(1,($A15='Offer Statistics'!$FF$2:$FF$400)*($AB$2='Offer Statistics'!$FG$2:$FG$400),0)),"/")</f>
        <v>816</v>
      </c>
      <c r="AP15" s="4"/>
      <c r="AQ15" s="15" t="str">
        <f t="shared" si="3"/>
        <v>JSST01</v>
      </c>
      <c r="AR15" s="4"/>
    </row>
    <row r="16" spans="1:44" ht="14.55" customHeight="1">
      <c r="A16" s="4" t="str">
        <f>'Reference Score Calculation'!A370</f>
        <v>JSST02</v>
      </c>
      <c r="B16" s="4" t="str">
        <f>'Reference Score Calculation'!C370</f>
        <v>東華學院</v>
      </c>
      <c r="C16" s="4" t="str">
        <f>'Reference Score Calculation'!D370</f>
        <v>醫療化驗科學（榮譽）理學士</v>
      </c>
      <c r="D16" s="4" t="str">
        <f>'Reference Score Calculation'!R370</f>
        <v>BSc(MLSc)</v>
      </c>
      <c r="E16" s="15" t="str">
        <f>'Reference Score Calculation'!E370</f>
        <v>Best 5</v>
      </c>
      <c r="F16" s="6" t="str">
        <f>'Reference Score Calculation'!G370</f>
        <v>/</v>
      </c>
      <c r="G16" s="44">
        <f>'Reference Score Calculation'!H370</f>
        <v>20.8</v>
      </c>
      <c r="H16" s="6" t="str">
        <f>'Reference Score Calculation'!I370</f>
        <v>/</v>
      </c>
      <c r="I16" s="45">
        <f>計分版!J393</f>
        <v>3.3999999999999998E-9</v>
      </c>
      <c r="J16" s="25">
        <f t="shared" si="6"/>
        <v>-20.7999999966</v>
      </c>
      <c r="K16" s="26">
        <f t="shared" si="7"/>
        <v>-6117647057.8235302</v>
      </c>
      <c r="L16" s="36">
        <f>'Reference Score Calculation'!T370</f>
        <v>45</v>
      </c>
      <c r="M16" s="86">
        <f>入學要求!Z379</f>
        <v>0</v>
      </c>
      <c r="N16" s="516"/>
      <c r="O16" s="15">
        <v>3</v>
      </c>
      <c r="P16" s="15">
        <v>3</v>
      </c>
      <c r="Q16" s="15">
        <v>2</v>
      </c>
      <c r="R16" s="15">
        <v>2</v>
      </c>
      <c r="S16" s="15">
        <v>2</v>
      </c>
      <c r="T16" s="15"/>
      <c r="U16" s="285">
        <f>入學要求!S379</f>
        <v>0</v>
      </c>
      <c r="V16" s="285">
        <f>入學要求!T379</f>
        <v>0</v>
      </c>
      <c r="W16" s="285">
        <f>入學要求!U379</f>
        <v>0</v>
      </c>
      <c r="X16" s="285">
        <f>入學要求!V379</f>
        <v>0</v>
      </c>
      <c r="Y16" s="285">
        <f>入學要求!W379</f>
        <v>0</v>
      </c>
      <c r="Z16" s="285">
        <f>入學要求!X379</f>
        <v>0</v>
      </c>
      <c r="AA16" s="36">
        <f t="shared" si="2"/>
        <v>7.94</v>
      </c>
      <c r="AB16" s="510"/>
      <c r="AC16" s="36" cm="1">
        <f t="array" ref="AC16">IFERROR(INDEX('Offer Statistics'!FU$2:FU$400,MATCH(1,($A16='Offer Statistics'!$FF$2:$FF$400)*($AB$2='Offer Statistics'!$FG$2:$FG$400),0)),"/")</f>
        <v>42</v>
      </c>
      <c r="AD16" s="64" cm="1">
        <f t="array" ref="AD16">IFERROR(INDEX('Offer Statistics'!FP$2:FP$400,MATCH(1,($A16='Offer Statistics'!$FF$2:$FF$400)*($AB$2='Offer Statistics'!$FG$2:$FG$400),0)),"/")</f>
        <v>36</v>
      </c>
      <c r="AE16" s="64" cm="1">
        <f t="array" ref="AE16">IFERROR(INDEX('Offer Statistics'!FQ$2:FQ$400,MATCH(1,($A16='Offer Statistics'!$FF$2:$FF$400)*($AB$2='Offer Statistics'!$FG$2:$FG$400),0)),"/")</f>
        <v>6</v>
      </c>
      <c r="AF16" s="64" cm="1">
        <f t="array" ref="AF16">IFERROR(INDEX('Offer Statistics'!FR$2:FR$400,MATCH(1,($A16='Offer Statistics'!$FF$2:$FF$400)*($AB$2='Offer Statistics'!$FG$2:$FG$400),0)),"/")</f>
        <v>0</v>
      </c>
      <c r="AG16" s="64" cm="1">
        <f t="array" ref="AG16">IFERROR(INDEX('Offer Statistics'!FS$2:FS$400,MATCH(1,($A16='Offer Statistics'!$FF$2:$FF$400)*($AB$2='Offer Statistics'!$FG$2:$FG$400),0)),"/")</f>
        <v>0</v>
      </c>
      <c r="AH16" s="64" cm="1">
        <f t="array" ref="AH16">IFERROR(INDEX('Offer Statistics'!FT$2:FT$400,MATCH(1,($A16='Offer Statistics'!$FF$2:$FF$400)*($AB$2='Offer Statistics'!$FG$2:$FG$400),0)),"/")</f>
        <v>0</v>
      </c>
      <c r="AI16" s="524"/>
      <c r="AJ16" s="36" cm="1">
        <f t="array" ref="AJ16">IFERROR(INDEX('Offer Statistics'!FM$2:FM$400,MATCH(1,($A16='Offer Statistics'!$FF$2:$FF$400)*($AB$2='Offer Statistics'!$FG$2:$FG$400),0)),"/")</f>
        <v>2387</v>
      </c>
      <c r="AK16" s="64" cm="1">
        <f t="array" ref="AK16">IFERROR(INDEX('Offer Statistics'!FH$2:FH$400,MATCH(1,($A16='Offer Statistics'!$FF$2:$FF$400)*($AB$2='Offer Statistics'!$FG$2:$FG$400),0)),"/")</f>
        <v>286</v>
      </c>
      <c r="AL16" s="64" cm="1">
        <f t="array" ref="AL16">IFERROR(INDEX('Offer Statistics'!FI$2:FI$400,MATCH(1,($A16='Offer Statistics'!$FF$2:$FF$400)*($AB$2='Offer Statistics'!$FG$2:$FG$400),0)),"/")</f>
        <v>472</v>
      </c>
      <c r="AM16" s="64" cm="1">
        <f t="array" ref="AM16">IFERROR(INDEX('Offer Statistics'!FJ$2:FJ$400,MATCH(1,($A16='Offer Statistics'!$FF$2:$FF$400)*($AB$2='Offer Statistics'!$FG$2:$FG$400),0)),"/")</f>
        <v>520</v>
      </c>
      <c r="AN16" s="64" cm="1">
        <f t="array" ref="AN16">IFERROR(INDEX('Offer Statistics'!FK$2:FK$400,MATCH(1,($A16='Offer Statistics'!$FF$2:$FF$400)*($AB$2='Offer Statistics'!$FG$2:$FG$400),0)),"/")</f>
        <v>529</v>
      </c>
      <c r="AO16" s="64" cm="1">
        <f t="array" ref="AO16">IFERROR(INDEX('Offer Statistics'!FL$2:FL$400,MATCH(1,($A16='Offer Statistics'!$FF$2:$FF$400)*($AB$2='Offer Statistics'!$FG$2:$FG$400),0)),"/")</f>
        <v>580</v>
      </c>
      <c r="AP16" s="4"/>
      <c r="AQ16" s="15" t="str">
        <f t="shared" si="3"/>
        <v>JSST02</v>
      </c>
      <c r="AR16" s="4"/>
    </row>
    <row r="17" spans="1:44" ht="14.55" customHeight="1">
      <c r="A17" s="4" t="str">
        <f>'Reference Score Calculation'!A371</f>
        <v>JSST03</v>
      </c>
      <c r="B17" s="4" t="str">
        <f>'Reference Score Calculation'!C371</f>
        <v>東華學院</v>
      </c>
      <c r="C17" s="4" t="str">
        <f>'Reference Score Calculation'!D371</f>
        <v>放射治療學（榮譽）理學士</v>
      </c>
      <c r="D17" s="4" t="str">
        <f>'Reference Score Calculation'!R371</f>
        <v>BSc(RT)</v>
      </c>
      <c r="E17" s="15" t="str">
        <f>'Reference Score Calculation'!E371</f>
        <v>Best 5</v>
      </c>
      <c r="F17" s="6" t="str">
        <f>'Reference Score Calculation'!G371</f>
        <v>/</v>
      </c>
      <c r="G17" s="44">
        <f>'Reference Score Calculation'!H371</f>
        <v>24.4</v>
      </c>
      <c r="H17" s="6" t="str">
        <f>'Reference Score Calculation'!I371</f>
        <v>/</v>
      </c>
      <c r="I17" s="45">
        <f>計分版!J394</f>
        <v>3.3999999999999998E-9</v>
      </c>
      <c r="J17" s="25">
        <f t="shared" si="6"/>
        <v>-24.399999996599998</v>
      </c>
      <c r="K17" s="26">
        <f t="shared" si="7"/>
        <v>-7176470587.2352943</v>
      </c>
      <c r="L17" s="36">
        <f>'Reference Score Calculation'!T371</f>
        <v>20</v>
      </c>
      <c r="M17" s="86">
        <f>入學要求!Z380</f>
        <v>0</v>
      </c>
      <c r="N17" s="516"/>
      <c r="O17" s="15">
        <v>3</v>
      </c>
      <c r="P17" s="15">
        <v>3</v>
      </c>
      <c r="Q17" s="15">
        <v>2</v>
      </c>
      <c r="R17" s="15">
        <v>2</v>
      </c>
      <c r="S17" s="15">
        <v>2</v>
      </c>
      <c r="T17" s="15"/>
      <c r="U17" s="285">
        <f>入學要求!S380</f>
        <v>0</v>
      </c>
      <c r="V17" s="285">
        <f>入學要求!T380</f>
        <v>0</v>
      </c>
      <c r="W17" s="285">
        <f>入學要求!U380</f>
        <v>0</v>
      </c>
      <c r="X17" s="285">
        <f>入學要求!V380</f>
        <v>0</v>
      </c>
      <c r="Y17" s="285">
        <f>入學要求!W380</f>
        <v>0</v>
      </c>
      <c r="Z17" s="285">
        <f>入學要求!X380</f>
        <v>0</v>
      </c>
      <c r="AA17" s="36">
        <f t="shared" si="2"/>
        <v>8</v>
      </c>
      <c r="AB17" s="510"/>
      <c r="AC17" s="36" cm="1">
        <f t="array" ref="AC17">IFERROR(INDEX('Offer Statistics'!FU$2:FU$400,MATCH(1,($A17='Offer Statistics'!$FF$2:$FF$400)*($AB$2='Offer Statistics'!$FG$2:$FG$400),0)),"/")</f>
        <v>21</v>
      </c>
      <c r="AD17" s="64" cm="1">
        <f t="array" ref="AD17">IFERROR(INDEX('Offer Statistics'!FP$2:FP$400,MATCH(1,($A17='Offer Statistics'!$FF$2:$FF$400)*($AB$2='Offer Statistics'!$FG$2:$FG$400),0)),"/")</f>
        <v>19</v>
      </c>
      <c r="AE17" s="64" cm="1">
        <f t="array" ref="AE17">IFERROR(INDEX('Offer Statistics'!FQ$2:FQ$400,MATCH(1,($A17='Offer Statistics'!$FF$2:$FF$400)*($AB$2='Offer Statistics'!$FG$2:$FG$400),0)),"/")</f>
        <v>2</v>
      </c>
      <c r="AF17" s="64" cm="1">
        <f t="array" ref="AF17">IFERROR(INDEX('Offer Statistics'!FR$2:FR$400,MATCH(1,($A17='Offer Statistics'!$FF$2:$FF$400)*($AB$2='Offer Statistics'!$FG$2:$FG$400),0)),"/")</f>
        <v>0</v>
      </c>
      <c r="AG17" s="64" cm="1">
        <f t="array" ref="AG17">IFERROR(INDEX('Offer Statistics'!FS$2:FS$400,MATCH(1,($A17='Offer Statistics'!$FF$2:$FF$400)*($AB$2='Offer Statistics'!$FG$2:$FG$400),0)),"/")</f>
        <v>0</v>
      </c>
      <c r="AH17" s="64" cm="1">
        <f t="array" ref="AH17">IFERROR(INDEX('Offer Statistics'!FT$2:FT$400,MATCH(1,($A17='Offer Statistics'!$FF$2:$FF$400)*($AB$2='Offer Statistics'!$FG$2:$FG$400),0)),"/")</f>
        <v>0</v>
      </c>
      <c r="AI17" s="524"/>
      <c r="AJ17" s="36" cm="1">
        <f t="array" ref="AJ17">IFERROR(INDEX('Offer Statistics'!FM$2:FM$400,MATCH(1,($A17='Offer Statistics'!$FF$2:$FF$400)*($AB$2='Offer Statistics'!$FG$2:$FG$400),0)),"/")</f>
        <v>2161</v>
      </c>
      <c r="AK17" s="64" cm="1">
        <f t="array" ref="AK17">IFERROR(INDEX('Offer Statistics'!FH$2:FH$400,MATCH(1,($A17='Offer Statistics'!$FF$2:$FF$400)*($AB$2='Offer Statistics'!$FG$2:$FG$400),0)),"/")</f>
        <v>152</v>
      </c>
      <c r="AL17" s="64" cm="1">
        <f t="array" ref="AL17">IFERROR(INDEX('Offer Statistics'!FI$2:FI$400,MATCH(1,($A17='Offer Statistics'!$FF$2:$FF$400)*($AB$2='Offer Statistics'!$FG$2:$FG$400),0)),"/")</f>
        <v>320</v>
      </c>
      <c r="AM17" s="64" cm="1">
        <f t="array" ref="AM17">IFERROR(INDEX('Offer Statistics'!FJ$2:FJ$400,MATCH(1,($A17='Offer Statistics'!$FF$2:$FF$400)*($AB$2='Offer Statistics'!$FG$2:$FG$400),0)),"/")</f>
        <v>530</v>
      </c>
      <c r="AN17" s="64" cm="1">
        <f t="array" ref="AN17">IFERROR(INDEX('Offer Statistics'!FK$2:FK$400,MATCH(1,($A17='Offer Statistics'!$FF$2:$FF$400)*($AB$2='Offer Statistics'!$FG$2:$FG$400),0)),"/")</f>
        <v>551</v>
      </c>
      <c r="AO17" s="64" cm="1">
        <f t="array" ref="AO17">IFERROR(INDEX('Offer Statistics'!FL$2:FL$400,MATCH(1,($A17='Offer Statistics'!$FF$2:$FF$400)*($AB$2='Offer Statistics'!$FG$2:$FG$400),0)),"/")</f>
        <v>608</v>
      </c>
      <c r="AP17" s="4"/>
      <c r="AQ17" s="15" t="str">
        <f t="shared" si="3"/>
        <v>JSST03</v>
      </c>
      <c r="AR17" s="4"/>
    </row>
    <row r="18" spans="1:44" ht="14.55" customHeight="1">
      <c r="A18" s="4" t="str">
        <f>'Reference Score Calculation'!A372</f>
        <v>JSST04</v>
      </c>
      <c r="B18" s="4" t="str">
        <f>'Reference Score Calculation'!C372</f>
        <v>東華學院</v>
      </c>
      <c r="C18" s="4" t="str">
        <f>'Reference Score Calculation'!D372</f>
        <v>職業治療學（榮譽）理學士</v>
      </c>
      <c r="D18" s="4" t="str">
        <f>'Reference Score Calculation'!R372</f>
        <v>BSc(OT)</v>
      </c>
      <c r="E18" s="15" t="str">
        <f>'Reference Score Calculation'!E372</f>
        <v>Best 5</v>
      </c>
      <c r="F18" s="6" t="str">
        <f>'Reference Score Calculation'!G372</f>
        <v>/</v>
      </c>
      <c r="G18" s="44">
        <f>'Reference Score Calculation'!H372</f>
        <v>21.7</v>
      </c>
      <c r="H18" s="6" t="str">
        <f>'Reference Score Calculation'!I372</f>
        <v>/</v>
      </c>
      <c r="I18" s="45">
        <f>計分版!J395</f>
        <v>3.3999999999999998E-9</v>
      </c>
      <c r="J18" s="25">
        <f t="shared" si="6"/>
        <v>-21.699999996599999</v>
      </c>
      <c r="K18" s="26">
        <f t="shared" si="7"/>
        <v>-6382352940.1764708</v>
      </c>
      <c r="L18" s="36">
        <f>'Reference Score Calculation'!T372</f>
        <v>60</v>
      </c>
      <c r="M18" s="86">
        <f>入學要求!Z381</f>
        <v>0</v>
      </c>
      <c r="N18" s="516"/>
      <c r="O18" s="15">
        <v>3</v>
      </c>
      <c r="P18" s="15">
        <v>3</v>
      </c>
      <c r="Q18" s="15">
        <v>2</v>
      </c>
      <c r="R18" s="15">
        <v>2</v>
      </c>
      <c r="S18" s="15">
        <v>2</v>
      </c>
      <c r="T18" s="15"/>
      <c r="U18" s="285">
        <f>入學要求!S381</f>
        <v>0</v>
      </c>
      <c r="V18" s="285">
        <f>入學要求!T381</f>
        <v>0</v>
      </c>
      <c r="W18" s="285">
        <f>入學要求!U381</f>
        <v>0</v>
      </c>
      <c r="X18" s="285">
        <f>入學要求!V381</f>
        <v>0</v>
      </c>
      <c r="Y18" s="285">
        <f>入學要求!W381</f>
        <v>0</v>
      </c>
      <c r="Z18" s="285">
        <f>入學要求!X381</f>
        <v>0</v>
      </c>
      <c r="AA18" s="36">
        <f t="shared" si="2"/>
        <v>7.15</v>
      </c>
      <c r="AB18" s="510"/>
      <c r="AC18" s="36" cm="1">
        <f t="array" ref="AC18">IFERROR(INDEX('Offer Statistics'!FU$2:FU$400,MATCH(1,($A18='Offer Statistics'!$FF$2:$FF$400)*($AB$2='Offer Statistics'!$FG$2:$FG$400),0)),"/")</f>
        <v>59</v>
      </c>
      <c r="AD18" s="64" cm="1">
        <f t="array" ref="AD18">IFERROR(INDEX('Offer Statistics'!FP$2:FP$400,MATCH(1,($A18='Offer Statistics'!$FF$2:$FF$400)*($AB$2='Offer Statistics'!$FG$2:$FG$400),0)),"/")</f>
        <v>59</v>
      </c>
      <c r="AE18" s="64" cm="1">
        <f t="array" ref="AE18">IFERROR(INDEX('Offer Statistics'!FQ$2:FQ$400,MATCH(1,($A18='Offer Statistics'!$FF$2:$FF$400)*($AB$2='Offer Statistics'!$FG$2:$FG$400),0)),"/")</f>
        <v>0</v>
      </c>
      <c r="AF18" s="64" cm="1">
        <f t="array" ref="AF18">IFERROR(INDEX('Offer Statistics'!FR$2:FR$400,MATCH(1,($A18='Offer Statistics'!$FF$2:$FF$400)*($AB$2='Offer Statistics'!$FG$2:$FG$400),0)),"/")</f>
        <v>0</v>
      </c>
      <c r="AG18" s="64" cm="1">
        <f t="array" ref="AG18">IFERROR(INDEX('Offer Statistics'!FS$2:FS$400,MATCH(1,($A18='Offer Statistics'!$FF$2:$FF$400)*($AB$2='Offer Statistics'!$FG$2:$FG$400),0)),"/")</f>
        <v>0</v>
      </c>
      <c r="AH18" s="64" cm="1">
        <f t="array" ref="AH18">IFERROR(INDEX('Offer Statistics'!FT$2:FT$400,MATCH(1,($A18='Offer Statistics'!$FF$2:$FF$400)*($AB$2='Offer Statistics'!$FG$2:$FG$400),0)),"/")</f>
        <v>0</v>
      </c>
      <c r="AI18" s="524"/>
      <c r="AJ18" s="36" cm="1">
        <f t="array" ref="AJ18">IFERROR(INDEX('Offer Statistics'!FM$2:FM$400,MATCH(1,($A18='Offer Statistics'!$FF$2:$FF$400)*($AB$2='Offer Statistics'!$FG$2:$FG$400),0)),"/")</f>
        <v>2736</v>
      </c>
      <c r="AK18" s="64" cm="1">
        <f t="array" ref="AK18">IFERROR(INDEX('Offer Statistics'!FH$2:FH$400,MATCH(1,($A18='Offer Statistics'!$FF$2:$FF$400)*($AB$2='Offer Statistics'!$FG$2:$FG$400),0)),"/")</f>
        <v>422</v>
      </c>
      <c r="AL18" s="64" cm="1">
        <f t="array" ref="AL18">IFERROR(INDEX('Offer Statistics'!FI$2:FI$400,MATCH(1,($A18='Offer Statistics'!$FF$2:$FF$400)*($AB$2='Offer Statistics'!$FG$2:$FG$400),0)),"/")</f>
        <v>455</v>
      </c>
      <c r="AM18" s="64" cm="1">
        <f t="array" ref="AM18">IFERROR(INDEX('Offer Statistics'!FJ$2:FJ$400,MATCH(1,($A18='Offer Statistics'!$FF$2:$FF$400)*($AB$2='Offer Statistics'!$FG$2:$FG$400),0)),"/")</f>
        <v>655</v>
      </c>
      <c r="AN18" s="64" cm="1">
        <f t="array" ref="AN18">IFERROR(INDEX('Offer Statistics'!FK$2:FK$400,MATCH(1,($A18='Offer Statistics'!$FF$2:$FF$400)*($AB$2='Offer Statistics'!$FG$2:$FG$400),0)),"/")</f>
        <v>590</v>
      </c>
      <c r="AO18" s="64" cm="1">
        <f t="array" ref="AO18">IFERROR(INDEX('Offer Statistics'!FL$2:FL$400,MATCH(1,($A18='Offer Statistics'!$FF$2:$FF$400)*($AB$2='Offer Statistics'!$FG$2:$FG$400),0)),"/")</f>
        <v>614</v>
      </c>
      <c r="AP18" s="4"/>
      <c r="AQ18" s="15" t="str">
        <f t="shared" si="3"/>
        <v>JSST04</v>
      </c>
      <c r="AR18" s="4"/>
    </row>
    <row r="19" spans="1:44" ht="14.55" customHeight="1">
      <c r="A19" s="4" t="str">
        <f>'Reference Score Calculation'!A373</f>
        <v>JSST05</v>
      </c>
      <c r="B19" s="4" t="str">
        <f>'Reference Score Calculation'!C373</f>
        <v>東華學院</v>
      </c>
      <c r="C19" s="4" t="str">
        <f>'Reference Score Calculation'!D373</f>
        <v>物理治療學（榮譽）理學士</v>
      </c>
      <c r="D19" s="4" t="str">
        <f>'Reference Score Calculation'!R373</f>
        <v>BSc(PT)</v>
      </c>
      <c r="E19" s="15" t="str">
        <f>'Reference Score Calculation'!E373</f>
        <v>Best 5</v>
      </c>
      <c r="F19" s="6" t="str">
        <f>'Reference Score Calculation'!G373</f>
        <v>/</v>
      </c>
      <c r="G19" s="44">
        <f>'Reference Score Calculation'!H373</f>
        <v>24.2</v>
      </c>
      <c r="H19" s="6" t="str">
        <f>'Reference Score Calculation'!I373</f>
        <v>/</v>
      </c>
      <c r="I19" s="45">
        <f>計分版!J396</f>
        <v>3.3999999999999998E-9</v>
      </c>
      <c r="J19" s="25">
        <f t="shared" si="6"/>
        <v>-24.199999996599999</v>
      </c>
      <c r="K19" s="26">
        <f t="shared" si="7"/>
        <v>-7117647057.8235292</v>
      </c>
      <c r="L19" s="36">
        <f>'Reference Score Calculation'!T373</f>
        <v>60</v>
      </c>
      <c r="M19" s="86">
        <f>入學要求!Z382</f>
        <v>0</v>
      </c>
      <c r="N19" s="516"/>
      <c r="O19" s="15">
        <v>3</v>
      </c>
      <c r="P19" s="15">
        <v>3</v>
      </c>
      <c r="Q19" s="15">
        <v>2</v>
      </c>
      <c r="R19" s="15">
        <v>2</v>
      </c>
      <c r="S19" s="15">
        <v>2</v>
      </c>
      <c r="T19" s="15"/>
      <c r="U19" s="285">
        <f>入學要求!S382</f>
        <v>0</v>
      </c>
      <c r="V19" s="285">
        <f>入學要求!T382</f>
        <v>0</v>
      </c>
      <c r="W19" s="285">
        <f>入學要求!U382</f>
        <v>0</v>
      </c>
      <c r="X19" s="285">
        <f>入學要求!V382</f>
        <v>0</v>
      </c>
      <c r="Y19" s="285">
        <f>入學要求!W382</f>
        <v>0</v>
      </c>
      <c r="Z19" s="285">
        <f>入學要求!X382</f>
        <v>0</v>
      </c>
      <c r="AA19" s="36">
        <f t="shared" si="2"/>
        <v>9.42</v>
      </c>
      <c r="AB19" s="510"/>
      <c r="AC19" s="36" cm="1">
        <f t="array" ref="AC19">IFERROR(INDEX('Offer Statistics'!FU$2:FU$400,MATCH(1,($A19='Offer Statistics'!$FF$2:$FF$400)*($AB$2='Offer Statistics'!$FG$2:$FG$400),0)),"/")</f>
        <v>54</v>
      </c>
      <c r="AD19" s="64" cm="1">
        <f t="array" ref="AD19">IFERROR(INDEX('Offer Statistics'!FP$2:FP$400,MATCH(1,($A19='Offer Statistics'!$FF$2:$FF$400)*($AB$2='Offer Statistics'!$FG$2:$FG$400),0)),"/")</f>
        <v>50</v>
      </c>
      <c r="AE19" s="64" cm="1">
        <f t="array" ref="AE19">IFERROR(INDEX('Offer Statistics'!FQ$2:FQ$400,MATCH(1,($A19='Offer Statistics'!$FF$2:$FF$400)*($AB$2='Offer Statistics'!$FG$2:$FG$400),0)),"/")</f>
        <v>4</v>
      </c>
      <c r="AF19" s="64" cm="1">
        <f t="array" ref="AF19">IFERROR(INDEX('Offer Statistics'!FR$2:FR$400,MATCH(1,($A19='Offer Statistics'!$FF$2:$FF$400)*($AB$2='Offer Statistics'!$FG$2:$FG$400),0)),"/")</f>
        <v>0</v>
      </c>
      <c r="AG19" s="64" cm="1">
        <f t="array" ref="AG19">IFERROR(INDEX('Offer Statistics'!FS$2:FS$400,MATCH(1,($A19='Offer Statistics'!$FF$2:$FF$400)*($AB$2='Offer Statistics'!$FG$2:$FG$400),0)),"/")</f>
        <v>0</v>
      </c>
      <c r="AH19" s="64" cm="1">
        <f t="array" ref="AH19">IFERROR(INDEX('Offer Statistics'!FT$2:FT$400,MATCH(1,($A19='Offer Statistics'!$FF$2:$FF$400)*($AB$2='Offer Statistics'!$FG$2:$FG$400),0)),"/")</f>
        <v>0</v>
      </c>
      <c r="AI19" s="524"/>
      <c r="AJ19" s="36" cm="1">
        <f t="array" ref="AJ19">IFERROR(INDEX('Offer Statistics'!FM$2:FM$400,MATCH(1,($A19='Offer Statistics'!$FF$2:$FF$400)*($AB$2='Offer Statistics'!$FG$2:$FG$400),0)),"/")</f>
        <v>3251</v>
      </c>
      <c r="AK19" s="64" cm="1">
        <f t="array" ref="AK19">IFERROR(INDEX('Offer Statistics'!FH$2:FH$400,MATCH(1,($A19='Offer Statistics'!$FF$2:$FF$400)*($AB$2='Offer Statistics'!$FG$2:$FG$400),0)),"/")</f>
        <v>471</v>
      </c>
      <c r="AL19" s="64" cm="1">
        <f t="array" ref="AL19">IFERROR(INDEX('Offer Statistics'!FI$2:FI$400,MATCH(1,($A19='Offer Statistics'!$FF$2:$FF$400)*($AB$2='Offer Statistics'!$FG$2:$FG$400),0)),"/")</f>
        <v>535</v>
      </c>
      <c r="AM19" s="64" cm="1">
        <f t="array" ref="AM19">IFERROR(INDEX('Offer Statistics'!FJ$2:FJ$400,MATCH(1,($A19='Offer Statistics'!$FF$2:$FF$400)*($AB$2='Offer Statistics'!$FG$2:$FG$400),0)),"/")</f>
        <v>767</v>
      </c>
      <c r="AN19" s="64" cm="1">
        <f t="array" ref="AN19">IFERROR(INDEX('Offer Statistics'!FK$2:FK$400,MATCH(1,($A19='Offer Statistics'!$FF$2:$FF$400)*($AB$2='Offer Statistics'!$FG$2:$FG$400),0)),"/")</f>
        <v>681</v>
      </c>
      <c r="AO19" s="64" cm="1">
        <f t="array" ref="AO19">IFERROR(INDEX('Offer Statistics'!FL$2:FL$400,MATCH(1,($A19='Offer Statistics'!$FF$2:$FF$400)*($AB$2='Offer Statistics'!$FG$2:$FG$400),0)),"/")</f>
        <v>797</v>
      </c>
      <c r="AP19" s="4"/>
      <c r="AQ19" s="15" t="str">
        <f t="shared" si="3"/>
        <v>JSST05</v>
      </c>
      <c r="AR19" s="4"/>
    </row>
    <row r="20" spans="1:44" ht="14.55" customHeight="1">
      <c r="A20" s="4" t="str">
        <f>'Reference Score Calculation'!A374</f>
        <v>JSST06</v>
      </c>
      <c r="B20" s="4" t="str">
        <f>'Reference Score Calculation'!C374</f>
        <v>東華學院</v>
      </c>
      <c r="C20" s="4" t="str">
        <f>'Reference Score Calculation'!D374</f>
        <v>應用老年學（榮譽）理學士</v>
      </c>
      <c r="D20" s="4" t="str">
        <f>'Reference Score Calculation'!R374</f>
        <v>BSc(AG)</v>
      </c>
      <c r="E20" s="15" t="str">
        <f>'Reference Score Calculation'!E374</f>
        <v>Best 5</v>
      </c>
      <c r="F20" s="6" t="str">
        <f>'Reference Score Calculation'!G374</f>
        <v>/</v>
      </c>
      <c r="G20" s="44">
        <f>'Reference Score Calculation'!H374</f>
        <v>17.899999999999999</v>
      </c>
      <c r="H20" s="6" t="str">
        <f>'Reference Score Calculation'!I374</f>
        <v>/</v>
      </c>
      <c r="I20" s="45">
        <f>計分版!J397</f>
        <v>3.3999999999999998E-9</v>
      </c>
      <c r="J20" s="25">
        <f t="shared" si="6"/>
        <v>-17.899999996599998</v>
      </c>
      <c r="K20" s="26">
        <f t="shared" si="7"/>
        <v>-5264705881.3529406</v>
      </c>
      <c r="L20" s="36">
        <f>'Reference Score Calculation'!T374</f>
        <v>40</v>
      </c>
      <c r="M20" s="86">
        <f>入學要求!Z383</f>
        <v>0</v>
      </c>
      <c r="N20" s="516"/>
      <c r="O20" s="15">
        <v>3</v>
      </c>
      <c r="P20" s="15">
        <v>3</v>
      </c>
      <c r="Q20" s="15">
        <v>2</v>
      </c>
      <c r="R20" s="15">
        <v>2</v>
      </c>
      <c r="S20" s="15">
        <v>2</v>
      </c>
      <c r="T20" s="15"/>
      <c r="U20" s="285">
        <f>入學要求!S383</f>
        <v>0</v>
      </c>
      <c r="V20" s="285">
        <f>入學要求!T383</f>
        <v>0</v>
      </c>
      <c r="W20" s="285">
        <f>入學要求!U383</f>
        <v>0</v>
      </c>
      <c r="X20" s="285">
        <f>入學要求!V383</f>
        <v>0</v>
      </c>
      <c r="Y20" s="285">
        <f>入學要求!W383</f>
        <v>0</v>
      </c>
      <c r="Z20" s="285">
        <f>入學要求!X383</f>
        <v>0</v>
      </c>
      <c r="AA20" s="36">
        <f t="shared" si="2"/>
        <v>7.33</v>
      </c>
      <c r="AB20" s="510"/>
      <c r="AC20" s="36" cm="1">
        <f t="array" ref="AC20">IFERROR(INDEX('Offer Statistics'!FU$2:FU$400,MATCH(1,($A20='Offer Statistics'!$FF$2:$FF$400)*($AB$2='Offer Statistics'!$FG$2:$FG$400),0)),"/")</f>
        <v>20</v>
      </c>
      <c r="AD20" s="64" cm="1">
        <f t="array" ref="AD20">IFERROR(INDEX('Offer Statistics'!FP$2:FP$400,MATCH(1,($A20='Offer Statistics'!$FF$2:$FF$400)*($AB$2='Offer Statistics'!$FG$2:$FG$400),0)),"/")</f>
        <v>12</v>
      </c>
      <c r="AE20" s="64" cm="1">
        <f t="array" ref="AE20">IFERROR(INDEX('Offer Statistics'!FQ$2:FQ$400,MATCH(1,($A20='Offer Statistics'!$FF$2:$FF$400)*($AB$2='Offer Statistics'!$FG$2:$FG$400),0)),"/")</f>
        <v>7</v>
      </c>
      <c r="AF20" s="64" cm="1">
        <f t="array" ref="AF20">IFERROR(INDEX('Offer Statistics'!FR$2:FR$400,MATCH(1,($A20='Offer Statistics'!$FF$2:$FF$400)*($AB$2='Offer Statistics'!$FG$2:$FG$400),0)),"/")</f>
        <v>1</v>
      </c>
      <c r="AG20" s="64" cm="1">
        <f t="array" ref="AG20">IFERROR(INDEX('Offer Statistics'!FS$2:FS$400,MATCH(1,($A20='Offer Statistics'!$FF$2:$FF$400)*($AB$2='Offer Statistics'!$FG$2:$FG$400),0)),"/")</f>
        <v>0</v>
      </c>
      <c r="AH20" s="64" cm="1">
        <f t="array" ref="AH20">IFERROR(INDEX('Offer Statistics'!FT$2:FT$400,MATCH(1,($A20='Offer Statistics'!$FF$2:$FF$400)*($AB$2='Offer Statistics'!$FG$2:$FG$400),0)),"/")</f>
        <v>0</v>
      </c>
      <c r="AI20" s="524"/>
      <c r="AJ20" s="36" cm="1">
        <f t="array" ref="AJ20">IFERROR(INDEX('Offer Statistics'!FM$2:FM$400,MATCH(1,($A20='Offer Statistics'!$FF$2:$FF$400)*($AB$2='Offer Statistics'!$FG$2:$FG$400),0)),"/")</f>
        <v>1091</v>
      </c>
      <c r="AK20" s="64" cm="1">
        <f t="array" ref="AK20">IFERROR(INDEX('Offer Statistics'!FH$2:FH$400,MATCH(1,($A20='Offer Statistics'!$FF$2:$FF$400)*($AB$2='Offer Statistics'!$FG$2:$FG$400),0)),"/")</f>
        <v>88</v>
      </c>
      <c r="AL20" s="64" cm="1">
        <f t="array" ref="AL20">IFERROR(INDEX('Offer Statistics'!FI$2:FI$400,MATCH(1,($A20='Offer Statistics'!$FF$2:$FF$400)*($AB$2='Offer Statistics'!$FG$2:$FG$400),0)),"/")</f>
        <v>241</v>
      </c>
      <c r="AM20" s="64" cm="1">
        <f t="array" ref="AM20">IFERROR(INDEX('Offer Statistics'!FJ$2:FJ$400,MATCH(1,($A20='Offer Statistics'!$FF$2:$FF$400)*($AB$2='Offer Statistics'!$FG$2:$FG$400),0)),"/")</f>
        <v>214</v>
      </c>
      <c r="AN20" s="64" cm="1">
        <f t="array" ref="AN20">IFERROR(INDEX('Offer Statistics'!FK$2:FK$400,MATCH(1,($A20='Offer Statistics'!$FF$2:$FF$400)*($AB$2='Offer Statistics'!$FG$2:$FG$400),0)),"/")</f>
        <v>280</v>
      </c>
      <c r="AO20" s="64" cm="1">
        <f t="array" ref="AO20">IFERROR(INDEX('Offer Statistics'!FL$2:FL$400,MATCH(1,($A20='Offer Statistics'!$FF$2:$FF$400)*($AB$2='Offer Statistics'!$FG$2:$FG$400),0)),"/")</f>
        <v>268</v>
      </c>
      <c r="AP20" s="4"/>
      <c r="AQ20" s="15" t="str">
        <f t="shared" si="3"/>
        <v>JSST06</v>
      </c>
      <c r="AR20" s="4"/>
    </row>
    <row r="21" spans="1:44" ht="14.55" customHeight="1">
      <c r="A21" s="4" t="str">
        <f>'Reference Score Calculation'!A375</f>
        <v>JSST07</v>
      </c>
      <c r="B21" s="4" t="str">
        <f>'Reference Score Calculation'!C375</f>
        <v>東華學院</v>
      </c>
      <c r="C21" s="4" t="str">
        <f>'Reference Score Calculation'!D375</f>
        <v>醫療資訊及服務管理（榮譽）學士</v>
      </c>
      <c r="D21" s="4" t="str">
        <f>'Reference Score Calculation'!R375</f>
        <v>BHISM</v>
      </c>
      <c r="E21" s="15" t="str">
        <f>'Reference Score Calculation'!E375</f>
        <v>24年新科目</v>
      </c>
      <c r="F21" s="6" t="str">
        <f>'Reference Score Calculation'!G375</f>
        <v>/</v>
      </c>
      <c r="G21" s="44" t="str">
        <f>'Reference Score Calculation'!H375</f>
        <v>/</v>
      </c>
      <c r="H21" s="6" t="str">
        <f>'Reference Score Calculation'!I375</f>
        <v>/</v>
      </c>
      <c r="I21" s="45">
        <f>計分版!J398</f>
        <v>0</v>
      </c>
      <c r="J21" s="7" t="str">
        <f t="shared" ref="J21" si="8">IFERROR(I21-G21,"/")</f>
        <v>/</v>
      </c>
      <c r="K21" s="8" t="str">
        <f t="shared" ref="K21" si="9">IFERROR((I21-G21)/I21,"/")</f>
        <v>/</v>
      </c>
      <c r="L21" s="36">
        <f>'Reference Score Calculation'!T375</f>
        <v>25</v>
      </c>
      <c r="M21" s="86">
        <f>入學要求!Z384</f>
        <v>0</v>
      </c>
      <c r="N21" s="516"/>
      <c r="O21" s="15">
        <v>3</v>
      </c>
      <c r="P21" s="15">
        <v>3</v>
      </c>
      <c r="Q21" s="15">
        <v>2</v>
      </c>
      <c r="R21" s="15">
        <v>2</v>
      </c>
      <c r="S21" s="15">
        <v>2</v>
      </c>
      <c r="T21" s="15"/>
      <c r="U21" s="285">
        <f>入學要求!S384</f>
        <v>0</v>
      </c>
      <c r="V21" s="285">
        <f>入學要求!T384</f>
        <v>0</v>
      </c>
      <c r="W21" s="285">
        <f>入學要求!U384</f>
        <v>0</v>
      </c>
      <c r="X21" s="285">
        <f>入學要求!V384</f>
        <v>0</v>
      </c>
      <c r="Y21" s="285">
        <f>入學要求!W384</f>
        <v>0</v>
      </c>
      <c r="Z21" s="285">
        <f>入學要求!X384</f>
        <v>0</v>
      </c>
      <c r="AA21" s="36" t="str">
        <f t="shared" si="2"/>
        <v>/</v>
      </c>
      <c r="AB21" s="510"/>
      <c r="AC21" s="36" t="str" cm="1">
        <f t="array" ref="AC21">IFERROR(INDEX('Offer Statistics'!FU$2:FU$400,MATCH(1,($A21='Offer Statistics'!$FF$2:$FF$400)*($AB$2='Offer Statistics'!$FG$2:$FG$400),0)),"/")</f>
        <v>/</v>
      </c>
      <c r="AD21" s="64" t="str" cm="1">
        <f t="array" ref="AD21">IFERROR(INDEX('Offer Statistics'!FP$2:FP$400,MATCH(1,($A21='Offer Statistics'!$FF$2:$FF$400)*($AB$2='Offer Statistics'!$FG$2:$FG$400),0)),"/")</f>
        <v>/</v>
      </c>
      <c r="AE21" s="64" t="str" cm="1">
        <f t="array" ref="AE21">IFERROR(INDEX('Offer Statistics'!FQ$2:FQ$400,MATCH(1,($A21='Offer Statistics'!$FF$2:$FF$400)*($AB$2='Offer Statistics'!$FG$2:$FG$400),0)),"/")</f>
        <v>/</v>
      </c>
      <c r="AF21" s="64" t="str" cm="1">
        <f t="array" ref="AF21">IFERROR(INDEX('Offer Statistics'!FR$2:FR$400,MATCH(1,($A21='Offer Statistics'!$FF$2:$FF$400)*($AB$2='Offer Statistics'!$FG$2:$FG$400),0)),"/")</f>
        <v>/</v>
      </c>
      <c r="AG21" s="64" t="str" cm="1">
        <f t="array" ref="AG21">IFERROR(INDEX('Offer Statistics'!FS$2:FS$400,MATCH(1,($A21='Offer Statistics'!$FF$2:$FF$400)*($AB$2='Offer Statistics'!$FG$2:$FG$400),0)),"/")</f>
        <v>/</v>
      </c>
      <c r="AH21" s="64" t="str" cm="1">
        <f t="array" ref="AH21">IFERROR(INDEX('Offer Statistics'!FT$2:FT$400,MATCH(1,($A21='Offer Statistics'!$FF$2:$FF$400)*($AB$2='Offer Statistics'!$FG$2:$FG$400),0)),"/")</f>
        <v>/</v>
      </c>
      <c r="AI21" s="524"/>
      <c r="AJ21" s="36" t="str" cm="1">
        <f t="array" ref="AJ21">IFERROR(INDEX('Offer Statistics'!FM$2:FM$400,MATCH(1,($A21='Offer Statistics'!$FF$2:$FF$400)*($AB$2='Offer Statistics'!$FG$2:$FG$400),0)),"/")</f>
        <v>/</v>
      </c>
      <c r="AK21" s="64" t="str" cm="1">
        <f t="array" ref="AK21">IFERROR(INDEX('Offer Statistics'!FH$2:FH$400,MATCH(1,($A21='Offer Statistics'!$FF$2:$FF$400)*($AB$2='Offer Statistics'!$FG$2:$FG$400),0)),"/")</f>
        <v>/</v>
      </c>
      <c r="AL21" s="64" t="str" cm="1">
        <f t="array" ref="AL21">IFERROR(INDEX('Offer Statistics'!FI$2:FI$400,MATCH(1,($A21='Offer Statistics'!$FF$2:$FF$400)*($AB$2='Offer Statistics'!$FG$2:$FG$400),0)),"/")</f>
        <v>/</v>
      </c>
      <c r="AM21" s="64" t="str" cm="1">
        <f t="array" ref="AM21">IFERROR(INDEX('Offer Statistics'!FJ$2:FJ$400,MATCH(1,($A21='Offer Statistics'!$FF$2:$FF$400)*($AB$2='Offer Statistics'!$FG$2:$FG$400),0)),"/")</f>
        <v>/</v>
      </c>
      <c r="AN21" s="64" t="str" cm="1">
        <f t="array" ref="AN21">IFERROR(INDEX('Offer Statistics'!FK$2:FK$400,MATCH(1,($A21='Offer Statistics'!$FF$2:$FF$400)*($AB$2='Offer Statistics'!$FG$2:$FG$400),0)),"/")</f>
        <v>/</v>
      </c>
      <c r="AO21" s="64" t="str" cm="1">
        <f t="array" ref="AO21">IFERROR(INDEX('Offer Statistics'!FL$2:FL$400,MATCH(1,($A21='Offer Statistics'!$FF$2:$FF$400)*($AB$2='Offer Statistics'!$FG$2:$FG$400),0)),"/")</f>
        <v>/</v>
      </c>
      <c r="AP21" s="4"/>
      <c r="AQ21" s="15" t="str">
        <f t="shared" si="3"/>
        <v>JSST07</v>
      </c>
      <c r="AR21" s="4"/>
    </row>
    <row r="22" spans="1:44" ht="14.55" customHeight="1">
      <c r="A22" s="4" t="str">
        <f>'Reference Score Calculation'!A376</f>
        <v>JSSU12</v>
      </c>
      <c r="B22" s="4" t="str">
        <f>'Reference Score Calculation'!C376</f>
        <v>都會大學</v>
      </c>
      <c r="C22" s="4" t="str">
        <f>'Reference Score Calculation'!D376</f>
        <v>創意寫作與電影藝術榮譽文學士</v>
      </c>
      <c r="D22" s="4" t="str">
        <f>'Reference Score Calculation'!R376</f>
        <v>BA(Hons)CreaWri&amp;FilmArts</v>
      </c>
      <c r="E22" s="15" t="str">
        <f>'Reference Score Calculation'!E376</f>
        <v>Best 5</v>
      </c>
      <c r="F22" s="6" t="str">
        <f>'Reference Score Calculation'!G376</f>
        <v>/</v>
      </c>
      <c r="G22" s="473">
        <f>'Reference Score Calculation'!H376</f>
        <v>20</v>
      </c>
      <c r="H22" s="6">
        <f>'Reference Score Calculation'!I376</f>
        <v>18</v>
      </c>
      <c r="I22" s="45">
        <f>計分版!J399</f>
        <v>3.3500000000000002E-9</v>
      </c>
      <c r="J22" s="25">
        <f>IFERROR(IF(J$1="差距(Median)",I22-G22,IF(J$1="差距(UQ)",I22-G22,IF(J$1="差距(LQ)",I22-H22))),"/")</f>
        <v>-19.999999996650001</v>
      </c>
      <c r="K22" s="26">
        <f>IFERROR(IF(J$1="差距(Median)",(I22-G22)/I22,IF(J$1="差距(UQ)",(I22-G22)/I22,IF(J$1="差距(LQ)",(I22-H22)/I22))),"/")</f>
        <v>-5970149252.7313433</v>
      </c>
      <c r="L22" s="36">
        <f>'Reference Score Calculation'!T376</f>
        <v>50</v>
      </c>
      <c r="M22" s="86">
        <f>入學要求!Z385</f>
        <v>0</v>
      </c>
      <c r="N22" s="516"/>
      <c r="O22" s="15">
        <v>3</v>
      </c>
      <c r="P22" s="15">
        <v>3</v>
      </c>
      <c r="Q22" s="15">
        <v>2</v>
      </c>
      <c r="R22" s="15">
        <v>2</v>
      </c>
      <c r="S22" s="15">
        <v>2</v>
      </c>
      <c r="T22" s="15">
        <v>2</v>
      </c>
      <c r="U22" s="285">
        <f>入學要求!S385</f>
        <v>0</v>
      </c>
      <c r="V22" s="285">
        <f>入學要求!T385</f>
        <v>0</v>
      </c>
      <c r="W22" s="285">
        <f>入學要求!U385</f>
        <v>0</v>
      </c>
      <c r="X22" s="285">
        <f>入學要求!V385</f>
        <v>0</v>
      </c>
      <c r="Y22" s="285">
        <f>入學要求!W385</f>
        <v>0</v>
      </c>
      <c r="Z22" s="285">
        <f>入學要求!X385</f>
        <v>0</v>
      </c>
      <c r="AA22" s="36">
        <f t="shared" si="2"/>
        <v>4.9000000000000004</v>
      </c>
      <c r="AB22" s="510"/>
      <c r="AC22" s="36" cm="1">
        <f t="array" ref="AC22">IFERROR(INDEX('Offer Statistics'!FU$2:FU$400,MATCH(1,($A22='Offer Statistics'!$FF$2:$FF$400)*($AB$2='Offer Statistics'!$FG$2:$FG$400),0)),"/")</f>
        <v>110</v>
      </c>
      <c r="AD22" s="64" cm="1">
        <f t="array" ref="AD22">IFERROR(INDEX('Offer Statistics'!FP$2:FP$400,MATCH(1,($A22='Offer Statistics'!$FF$2:$FF$400)*($AB$2='Offer Statistics'!$FG$2:$FG$400),0)),"/")</f>
        <v>73</v>
      </c>
      <c r="AE22" s="64" cm="1">
        <f t="array" ref="AE22">IFERROR(INDEX('Offer Statistics'!FQ$2:FQ$400,MATCH(1,($A22='Offer Statistics'!$FF$2:$FF$400)*($AB$2='Offer Statistics'!$FG$2:$FG$400),0)),"/")</f>
        <v>18</v>
      </c>
      <c r="AF22" s="64" cm="1">
        <f t="array" ref="AF22">IFERROR(INDEX('Offer Statistics'!FR$2:FR$400,MATCH(1,($A22='Offer Statistics'!$FF$2:$FF$400)*($AB$2='Offer Statistics'!$FG$2:$FG$400),0)),"/")</f>
        <v>8</v>
      </c>
      <c r="AG22" s="64" cm="1">
        <f t="array" ref="AG22">IFERROR(INDEX('Offer Statistics'!FS$2:FS$400,MATCH(1,($A22='Offer Statistics'!$FF$2:$FF$400)*($AB$2='Offer Statistics'!$FG$2:$FG$400),0)),"/")</f>
        <v>8</v>
      </c>
      <c r="AH22" s="64" cm="1">
        <f t="array" ref="AH22">IFERROR(INDEX('Offer Statistics'!FT$2:FT$400,MATCH(1,($A22='Offer Statistics'!$FF$2:$FF$400)*($AB$2='Offer Statistics'!$FG$2:$FG$400),0)),"/")</f>
        <v>3</v>
      </c>
      <c r="AI22" s="524"/>
      <c r="AJ22" s="36" cm="1">
        <f t="array" ref="AJ22">IFERROR(INDEX('Offer Statistics'!FM$2:FM$400,MATCH(1,($A22='Offer Statistics'!$FF$2:$FF$400)*($AB$2='Offer Statistics'!$FG$2:$FG$400),0)),"/")</f>
        <v>2639</v>
      </c>
      <c r="AK22" s="64" cm="1">
        <f t="array" ref="AK22">IFERROR(INDEX('Offer Statistics'!FH$2:FH$400,MATCH(1,($A22='Offer Statistics'!$FF$2:$FF$400)*($AB$2='Offer Statistics'!$FG$2:$FG$400),0)),"/")</f>
        <v>358</v>
      </c>
      <c r="AL22" s="64" cm="1">
        <f t="array" ref="AL22">IFERROR(INDEX('Offer Statistics'!FI$2:FI$400,MATCH(1,($A22='Offer Statistics'!$FF$2:$FF$400)*($AB$2='Offer Statistics'!$FG$2:$FG$400),0)),"/")</f>
        <v>444</v>
      </c>
      <c r="AM22" s="64" cm="1">
        <f t="array" ref="AM22">IFERROR(INDEX('Offer Statistics'!FJ$2:FJ$400,MATCH(1,($A22='Offer Statistics'!$FF$2:$FF$400)*($AB$2='Offer Statistics'!$FG$2:$FG$400),0)),"/")</f>
        <v>519</v>
      </c>
      <c r="AN22" s="64" cm="1">
        <f t="array" ref="AN22">IFERROR(INDEX('Offer Statistics'!FK$2:FK$400,MATCH(1,($A22='Offer Statistics'!$FF$2:$FF$400)*($AB$2='Offer Statistics'!$FG$2:$FG$400),0)),"/")</f>
        <v>588</v>
      </c>
      <c r="AO22" s="64" cm="1">
        <f t="array" ref="AO22">IFERROR(INDEX('Offer Statistics'!FL$2:FL$400,MATCH(1,($A22='Offer Statistics'!$FF$2:$FF$400)*($AB$2='Offer Statistics'!$FG$2:$FG$400),0)),"/")</f>
        <v>730</v>
      </c>
      <c r="AP22" s="4"/>
      <c r="AQ22" s="15" t="str">
        <f t="shared" si="3"/>
        <v>JSSU12</v>
      </c>
      <c r="AR22" s="4"/>
    </row>
    <row r="23" spans="1:44" ht="14.55" customHeight="1">
      <c r="A23" s="4" t="str">
        <f>'Reference Score Calculation'!A377</f>
        <v>JSSU14</v>
      </c>
      <c r="B23" s="4" t="str">
        <f>'Reference Score Calculation'!C377</f>
        <v>都會大學</v>
      </c>
      <c r="C23" s="4" t="str">
        <f>'Reference Score Calculation'!D377</f>
        <v>動畫及視覺特效榮譽藝術學士</v>
      </c>
      <c r="D23" s="4" t="str">
        <f>'Reference Score Calculation'!R377</f>
        <v>BFA(Hons)AnimatVisEff</v>
      </c>
      <c r="E23" s="15" t="str">
        <f>'Reference Score Calculation'!E377</f>
        <v>Best 5</v>
      </c>
      <c r="F23" s="6" t="str">
        <f>'Reference Score Calculation'!G377</f>
        <v>/</v>
      </c>
      <c r="G23" s="473">
        <f>'Reference Score Calculation'!H377</f>
        <v>16</v>
      </c>
      <c r="H23" s="6">
        <f>'Reference Score Calculation'!I377</f>
        <v>15</v>
      </c>
      <c r="I23" s="45">
        <f>計分版!J400</f>
        <v>3.9500000000000006E-9</v>
      </c>
      <c r="J23" s="25">
        <f t="shared" ref="J23:J41" si="10">IFERROR(IF(J$1="差距(Median)",I23-G23,IF(J$1="差距(UQ)",I23-G23,IF(J$1="差距(LQ)",I23-H23))),"/")</f>
        <v>-15.999999996050001</v>
      </c>
      <c r="K23" s="26">
        <f t="shared" ref="K23:K41" si="11">IFERROR(IF(J$1="差距(Median)",(I23-G23)/I23,IF(J$1="差距(UQ)",(I23-G23)/I23,IF(J$1="差距(LQ)",(I23-H23)/I23))),"/")</f>
        <v>-4050632910.3924046</v>
      </c>
      <c r="L23" s="36">
        <f>'Reference Score Calculation'!T377</f>
        <v>80</v>
      </c>
      <c r="M23" s="86">
        <f>入學要求!Z386</f>
        <v>0</v>
      </c>
      <c r="N23" s="516"/>
      <c r="O23" s="15">
        <v>3</v>
      </c>
      <c r="P23" s="15">
        <v>3</v>
      </c>
      <c r="Q23" s="15">
        <v>2</v>
      </c>
      <c r="R23" s="15">
        <v>2</v>
      </c>
      <c r="S23" s="15">
        <v>2</v>
      </c>
      <c r="T23" s="15">
        <v>2</v>
      </c>
      <c r="U23" s="285">
        <f>入學要求!S386</f>
        <v>0</v>
      </c>
      <c r="V23" s="285">
        <f>入學要求!T386</f>
        <v>0</v>
      </c>
      <c r="W23" s="285">
        <f>入學要求!U386</f>
        <v>0</v>
      </c>
      <c r="X23" s="285">
        <f>入學要求!V386</f>
        <v>0</v>
      </c>
      <c r="Y23" s="285">
        <f>入學要求!W386</f>
        <v>0</v>
      </c>
      <c r="Z23" s="285">
        <f>入學要求!X386</f>
        <v>0</v>
      </c>
      <c r="AA23" s="36">
        <f t="shared" si="2"/>
        <v>7.96</v>
      </c>
      <c r="AB23" s="510"/>
      <c r="AC23" s="36" cm="1">
        <f t="array" ref="AC23">IFERROR(INDEX('Offer Statistics'!FU$2:FU$400,MATCH(1,($A23='Offer Statistics'!$FF$2:$FF$400)*($AB$2='Offer Statistics'!$FG$2:$FG$400),0)),"/")</f>
        <v>99</v>
      </c>
      <c r="AD23" s="64" cm="1">
        <f t="array" ref="AD23">IFERROR(INDEX('Offer Statistics'!FP$2:FP$400,MATCH(1,($A23='Offer Statistics'!$FF$2:$FF$400)*($AB$2='Offer Statistics'!$FG$2:$FG$400),0)),"/")</f>
        <v>67</v>
      </c>
      <c r="AE23" s="64" cm="1">
        <f t="array" ref="AE23">IFERROR(INDEX('Offer Statistics'!FQ$2:FQ$400,MATCH(1,($A23='Offer Statistics'!$FF$2:$FF$400)*($AB$2='Offer Statistics'!$FG$2:$FG$400),0)),"/")</f>
        <v>14</v>
      </c>
      <c r="AF23" s="64" cm="1">
        <f t="array" ref="AF23">IFERROR(INDEX('Offer Statistics'!FR$2:FR$400,MATCH(1,($A23='Offer Statistics'!$FF$2:$FF$400)*($AB$2='Offer Statistics'!$FG$2:$FG$400),0)),"/")</f>
        <v>8</v>
      </c>
      <c r="AG23" s="64" cm="1">
        <f t="array" ref="AG23">IFERROR(INDEX('Offer Statistics'!FS$2:FS$400,MATCH(1,($A23='Offer Statistics'!$FF$2:$FF$400)*($AB$2='Offer Statistics'!$FG$2:$FG$400),0)),"/")</f>
        <v>6</v>
      </c>
      <c r="AH23" s="64" cm="1">
        <f t="array" ref="AH23">IFERROR(INDEX('Offer Statistics'!FT$2:FT$400,MATCH(1,($A23='Offer Statistics'!$FF$2:$FF$400)*($AB$2='Offer Statistics'!$FG$2:$FG$400),0)),"/")</f>
        <v>4</v>
      </c>
      <c r="AI23" s="524"/>
      <c r="AJ23" s="36" cm="1">
        <f t="array" ref="AJ23">IFERROR(INDEX('Offer Statistics'!FM$2:FM$400,MATCH(1,($A23='Offer Statistics'!$FF$2:$FF$400)*($AB$2='Offer Statistics'!$FG$2:$FG$400),0)),"/")</f>
        <v>3104</v>
      </c>
      <c r="AK23" s="64" cm="1">
        <f t="array" ref="AK23">IFERROR(INDEX('Offer Statistics'!FH$2:FH$400,MATCH(1,($A23='Offer Statistics'!$FF$2:$FF$400)*($AB$2='Offer Statistics'!$FG$2:$FG$400),0)),"/")</f>
        <v>533</v>
      </c>
      <c r="AL23" s="64" cm="1">
        <f t="array" ref="AL23">IFERROR(INDEX('Offer Statistics'!FI$2:FI$400,MATCH(1,($A23='Offer Statistics'!$FF$2:$FF$400)*($AB$2='Offer Statistics'!$FG$2:$FG$400),0)),"/")</f>
        <v>537</v>
      </c>
      <c r="AM23" s="64" cm="1">
        <f t="array" ref="AM23">IFERROR(INDEX('Offer Statistics'!FJ$2:FJ$400,MATCH(1,($A23='Offer Statistics'!$FF$2:$FF$400)*($AB$2='Offer Statistics'!$FG$2:$FG$400),0)),"/")</f>
        <v>607</v>
      </c>
      <c r="AN23" s="64" cm="1">
        <f t="array" ref="AN23">IFERROR(INDEX('Offer Statistics'!FK$2:FK$400,MATCH(1,($A23='Offer Statistics'!$FF$2:$FF$400)*($AB$2='Offer Statistics'!$FG$2:$FG$400),0)),"/")</f>
        <v>637</v>
      </c>
      <c r="AO23" s="64" cm="1">
        <f t="array" ref="AO23">IFERROR(INDEX('Offer Statistics'!FL$2:FL$400,MATCH(1,($A23='Offer Statistics'!$FF$2:$FF$400)*($AB$2='Offer Statistics'!$FG$2:$FG$400),0)),"/")</f>
        <v>790</v>
      </c>
      <c r="AP23" s="4"/>
      <c r="AQ23" s="15" t="str">
        <f t="shared" si="3"/>
        <v>JSSU14</v>
      </c>
      <c r="AR23" s="4"/>
    </row>
    <row r="24" spans="1:44" ht="14.55" customHeight="1">
      <c r="A24" s="4" t="str">
        <f>'Reference Score Calculation'!A378</f>
        <v>JSSU15</v>
      </c>
      <c r="B24" s="4" t="str">
        <f>'Reference Score Calculation'!C378</f>
        <v>都會大學</v>
      </c>
      <c r="C24" s="4" t="str">
        <f>'Reference Score Calculation'!D378</f>
        <v>影像設計及數碼藝術榮譽藝術學士</v>
      </c>
      <c r="D24" s="4" t="str">
        <f>'Reference Score Calculation'!R378</f>
        <v>BFA(Hons)IDDA</v>
      </c>
      <c r="E24" s="15" t="str">
        <f>'Reference Score Calculation'!E378</f>
        <v>Best 5</v>
      </c>
      <c r="F24" s="6" t="str">
        <f>'Reference Score Calculation'!G378</f>
        <v>/</v>
      </c>
      <c r="G24" s="473">
        <f>'Reference Score Calculation'!H378</f>
        <v>16</v>
      </c>
      <c r="H24" s="6">
        <f>'Reference Score Calculation'!I378</f>
        <v>15</v>
      </c>
      <c r="I24" s="45">
        <f>計分版!J401</f>
        <v>3.9500000000000006E-9</v>
      </c>
      <c r="J24" s="25">
        <f t="shared" si="10"/>
        <v>-15.999999996050001</v>
      </c>
      <c r="K24" s="26">
        <f t="shared" si="11"/>
        <v>-4050632910.3924046</v>
      </c>
      <c r="L24" s="36">
        <f>'Reference Score Calculation'!T378</f>
        <v>35</v>
      </c>
      <c r="M24" s="86">
        <f>入學要求!Z387</f>
        <v>0</v>
      </c>
      <c r="N24" s="516"/>
      <c r="O24" s="15">
        <v>3</v>
      </c>
      <c r="P24" s="15">
        <v>3</v>
      </c>
      <c r="Q24" s="15">
        <v>2</v>
      </c>
      <c r="R24" s="15">
        <v>2</v>
      </c>
      <c r="S24" s="15">
        <v>2</v>
      </c>
      <c r="T24" s="15">
        <v>2</v>
      </c>
      <c r="U24" s="285">
        <f>入學要求!S387</f>
        <v>0</v>
      </c>
      <c r="V24" s="285">
        <f>入學要求!T387</f>
        <v>0</v>
      </c>
      <c r="W24" s="285">
        <f>入學要求!U387</f>
        <v>0</v>
      </c>
      <c r="X24" s="285">
        <f>入學要求!V387</f>
        <v>0</v>
      </c>
      <c r="Y24" s="285">
        <f>入學要求!W387</f>
        <v>0</v>
      </c>
      <c r="Z24" s="285">
        <f>入學要求!X387</f>
        <v>0</v>
      </c>
      <c r="AA24" s="36">
        <f t="shared" si="2"/>
        <v>13.17</v>
      </c>
      <c r="AB24" s="510"/>
      <c r="AC24" s="36" cm="1">
        <f t="array" ref="AC24">IFERROR(INDEX('Offer Statistics'!FU$2:FU$400,MATCH(1,($A24='Offer Statistics'!$FF$2:$FF$400)*($AB$2='Offer Statistics'!$FG$2:$FG$400),0)),"/")</f>
        <v>42</v>
      </c>
      <c r="AD24" s="64" cm="1">
        <f t="array" ref="AD24">IFERROR(INDEX('Offer Statistics'!FP$2:FP$400,MATCH(1,($A24='Offer Statistics'!$FF$2:$FF$400)*($AB$2='Offer Statistics'!$FG$2:$FG$400),0)),"/")</f>
        <v>24</v>
      </c>
      <c r="AE24" s="64" cm="1">
        <f t="array" ref="AE24">IFERROR(INDEX('Offer Statistics'!FQ$2:FQ$400,MATCH(1,($A24='Offer Statistics'!$FF$2:$FF$400)*($AB$2='Offer Statistics'!$FG$2:$FG$400),0)),"/")</f>
        <v>10</v>
      </c>
      <c r="AF24" s="64" cm="1">
        <f t="array" ref="AF24">IFERROR(INDEX('Offer Statistics'!FR$2:FR$400,MATCH(1,($A24='Offer Statistics'!$FF$2:$FF$400)*($AB$2='Offer Statistics'!$FG$2:$FG$400),0)),"/")</f>
        <v>4</v>
      </c>
      <c r="AG24" s="64" cm="1">
        <f t="array" ref="AG24">IFERROR(INDEX('Offer Statistics'!FS$2:FS$400,MATCH(1,($A24='Offer Statistics'!$FF$2:$FF$400)*($AB$2='Offer Statistics'!$FG$2:$FG$400),0)),"/")</f>
        <v>2</v>
      </c>
      <c r="AH24" s="64" cm="1">
        <f t="array" ref="AH24">IFERROR(INDEX('Offer Statistics'!FT$2:FT$400,MATCH(1,($A24='Offer Statistics'!$FF$2:$FF$400)*($AB$2='Offer Statistics'!$FG$2:$FG$400),0)),"/")</f>
        <v>2</v>
      </c>
      <c r="AI24" s="524"/>
      <c r="AJ24" s="36" cm="1">
        <f t="array" ref="AJ24">IFERROR(INDEX('Offer Statistics'!FM$2:FM$400,MATCH(1,($A24='Offer Statistics'!$FF$2:$FF$400)*($AB$2='Offer Statistics'!$FG$2:$FG$400),0)),"/")</f>
        <v>2720</v>
      </c>
      <c r="AK24" s="64" cm="1">
        <f t="array" ref="AK24">IFERROR(INDEX('Offer Statistics'!FH$2:FH$400,MATCH(1,($A24='Offer Statistics'!$FF$2:$FF$400)*($AB$2='Offer Statistics'!$FG$2:$FG$400),0)),"/")</f>
        <v>316</v>
      </c>
      <c r="AL24" s="64" cm="1">
        <f t="array" ref="AL24">IFERROR(INDEX('Offer Statistics'!FI$2:FI$400,MATCH(1,($A24='Offer Statistics'!$FF$2:$FF$400)*($AB$2='Offer Statistics'!$FG$2:$FG$400),0)),"/")</f>
        <v>497</v>
      </c>
      <c r="AM24" s="64" cm="1">
        <f t="array" ref="AM24">IFERROR(INDEX('Offer Statistics'!FJ$2:FJ$400,MATCH(1,($A24='Offer Statistics'!$FF$2:$FF$400)*($AB$2='Offer Statistics'!$FG$2:$FG$400),0)),"/")</f>
        <v>537</v>
      </c>
      <c r="AN24" s="64" cm="1">
        <f t="array" ref="AN24">IFERROR(INDEX('Offer Statistics'!FK$2:FK$400,MATCH(1,($A24='Offer Statistics'!$FF$2:$FF$400)*($AB$2='Offer Statistics'!$FG$2:$FG$400),0)),"/")</f>
        <v>604</v>
      </c>
      <c r="AO24" s="64" cm="1">
        <f t="array" ref="AO24">IFERROR(INDEX('Offer Statistics'!FL$2:FL$400,MATCH(1,($A24='Offer Statistics'!$FF$2:$FF$400)*($AB$2='Offer Statistics'!$FG$2:$FG$400),0)),"/")</f>
        <v>766</v>
      </c>
      <c r="AP24" s="4"/>
      <c r="AQ24" s="15" t="str">
        <f t="shared" si="3"/>
        <v>JSSU15</v>
      </c>
      <c r="AR24" s="4"/>
    </row>
    <row r="25" spans="1:44" ht="14.55" customHeight="1">
      <c r="A25" s="4" t="str">
        <f>'Reference Score Calculation'!A379</f>
        <v>JSSU18</v>
      </c>
      <c r="B25" s="4" t="str">
        <f>'Reference Score Calculation'!C379</f>
        <v>都會大學</v>
      </c>
      <c r="C25" s="4" t="str">
        <f>'Reference Score Calculation'!D379</f>
        <v>新音樂及互動娛樂榮譽文學士</v>
      </c>
      <c r="D25" s="4" t="str">
        <f>'Reference Score Calculation'!R379</f>
        <v>BA(Hons)NewMusic&amp;Enter</v>
      </c>
      <c r="E25" s="15" t="str">
        <f>'Reference Score Calculation'!E379</f>
        <v>24年新科目</v>
      </c>
      <c r="F25" s="6" t="str">
        <f>'Reference Score Calculation'!G379</f>
        <v>/</v>
      </c>
      <c r="G25" s="473" t="str">
        <f>'Reference Score Calculation'!H379</f>
        <v>/</v>
      </c>
      <c r="H25" s="6" t="str">
        <f>'Reference Score Calculation'!I379</f>
        <v>/</v>
      </c>
      <c r="I25" s="45">
        <f>計分版!J402</f>
        <v>0</v>
      </c>
      <c r="J25" s="7" t="str">
        <f t="shared" ref="J25" si="12">IFERROR(IF(J$1="差距(Median)",I25-G25,IF(J$1="差距(UQ)",I25-G25,IF(J$1="差距(LQ)",I25-H25))),"/")</f>
        <v>/</v>
      </c>
      <c r="K25" s="8" t="str">
        <f t="shared" ref="K25" si="13">IFERROR(IF(J$1="差距(Median)",(I25-G25)/I25,IF(J$1="差距(UQ)",(I25-G25)/I25,IF(J$1="差距(LQ)",(I25-H25)/I25))),"/")</f>
        <v>/</v>
      </c>
      <c r="L25" s="36">
        <f>'Reference Score Calculation'!T379</f>
        <v>45</v>
      </c>
      <c r="M25" s="86">
        <f>入學要求!Z388</f>
        <v>0</v>
      </c>
      <c r="N25" s="516"/>
      <c r="O25" s="15">
        <v>3</v>
      </c>
      <c r="P25" s="15">
        <v>3</v>
      </c>
      <c r="Q25" s="15">
        <v>2</v>
      </c>
      <c r="R25" s="15">
        <v>2</v>
      </c>
      <c r="S25" s="15">
        <v>2</v>
      </c>
      <c r="T25" s="15">
        <v>2</v>
      </c>
      <c r="U25" s="285">
        <f>入學要求!S388</f>
        <v>0</v>
      </c>
      <c r="V25" s="285">
        <f>入學要求!T388</f>
        <v>0</v>
      </c>
      <c r="W25" s="285">
        <f>入學要求!U388</f>
        <v>0</v>
      </c>
      <c r="X25" s="285">
        <f>入學要求!V388</f>
        <v>0</v>
      </c>
      <c r="Y25" s="285">
        <f>入學要求!W388</f>
        <v>0</v>
      </c>
      <c r="Z25" s="285">
        <f>入學要求!X388</f>
        <v>0</v>
      </c>
      <c r="AA25" s="36" t="str">
        <f t="shared" si="2"/>
        <v>/</v>
      </c>
      <c r="AB25" s="510"/>
      <c r="AC25" s="36" t="str" cm="1">
        <f t="array" ref="AC25">IFERROR(INDEX('Offer Statistics'!FU$2:FU$400,MATCH(1,($A25='Offer Statistics'!$FF$2:$FF$400)*($AB$2='Offer Statistics'!$FG$2:$FG$400),0)),"/")</f>
        <v>/</v>
      </c>
      <c r="AD25" s="64" t="str" cm="1">
        <f t="array" ref="AD25">IFERROR(INDEX('Offer Statistics'!FP$2:FP$400,MATCH(1,($A25='Offer Statistics'!$FF$2:$FF$400)*($AB$2='Offer Statistics'!$FG$2:$FG$400),0)),"/")</f>
        <v>/</v>
      </c>
      <c r="AE25" s="64" t="str" cm="1">
        <f t="array" ref="AE25">IFERROR(INDEX('Offer Statistics'!FQ$2:FQ$400,MATCH(1,($A25='Offer Statistics'!$FF$2:$FF$400)*($AB$2='Offer Statistics'!$FG$2:$FG$400),0)),"/")</f>
        <v>/</v>
      </c>
      <c r="AF25" s="64" t="str" cm="1">
        <f t="array" ref="AF25">IFERROR(INDEX('Offer Statistics'!FR$2:FR$400,MATCH(1,($A25='Offer Statistics'!$FF$2:$FF$400)*($AB$2='Offer Statistics'!$FG$2:$FG$400),0)),"/")</f>
        <v>/</v>
      </c>
      <c r="AG25" s="64" t="str" cm="1">
        <f t="array" ref="AG25">IFERROR(INDEX('Offer Statistics'!FS$2:FS$400,MATCH(1,($A25='Offer Statistics'!$FF$2:$FF$400)*($AB$2='Offer Statistics'!$FG$2:$FG$400),0)),"/")</f>
        <v>/</v>
      </c>
      <c r="AH25" s="64" t="str" cm="1">
        <f t="array" ref="AH25">IFERROR(INDEX('Offer Statistics'!FT$2:FT$400,MATCH(1,($A25='Offer Statistics'!$FF$2:$FF$400)*($AB$2='Offer Statistics'!$FG$2:$FG$400),0)),"/")</f>
        <v>/</v>
      </c>
      <c r="AI25" s="524"/>
      <c r="AJ25" s="36" t="str" cm="1">
        <f t="array" ref="AJ25">IFERROR(INDEX('Offer Statistics'!FM$2:FM$400,MATCH(1,($A25='Offer Statistics'!$FF$2:$FF$400)*($AB$2='Offer Statistics'!$FG$2:$FG$400),0)),"/")</f>
        <v>/</v>
      </c>
      <c r="AK25" s="64" t="str" cm="1">
        <f t="array" ref="AK25">IFERROR(INDEX('Offer Statistics'!FH$2:FH$400,MATCH(1,($A25='Offer Statistics'!$FF$2:$FF$400)*($AB$2='Offer Statistics'!$FG$2:$FG$400),0)),"/")</f>
        <v>/</v>
      </c>
      <c r="AL25" s="64" t="str" cm="1">
        <f t="array" ref="AL25">IFERROR(INDEX('Offer Statistics'!FI$2:FI$400,MATCH(1,($A25='Offer Statistics'!$FF$2:$FF$400)*($AB$2='Offer Statistics'!$FG$2:$FG$400),0)),"/")</f>
        <v>/</v>
      </c>
      <c r="AM25" s="64" t="str" cm="1">
        <f t="array" ref="AM25">IFERROR(INDEX('Offer Statistics'!FJ$2:FJ$400,MATCH(1,($A25='Offer Statistics'!$FF$2:$FF$400)*($AB$2='Offer Statistics'!$FG$2:$FG$400),0)),"/")</f>
        <v>/</v>
      </c>
      <c r="AN25" s="64" t="str" cm="1">
        <f t="array" ref="AN25">IFERROR(INDEX('Offer Statistics'!FK$2:FK$400,MATCH(1,($A25='Offer Statistics'!$FF$2:$FF$400)*($AB$2='Offer Statistics'!$FG$2:$FG$400),0)),"/")</f>
        <v>/</v>
      </c>
      <c r="AO25" s="64" t="str" cm="1">
        <f t="array" ref="AO25">IFERROR(INDEX('Offer Statistics'!FL$2:FL$400,MATCH(1,($A25='Offer Statistics'!$FF$2:$FF$400)*($AB$2='Offer Statistics'!$FG$2:$FG$400),0)),"/")</f>
        <v>/</v>
      </c>
      <c r="AP25" s="4"/>
      <c r="AQ25" s="15" t="str">
        <f t="shared" si="3"/>
        <v>JSSU18</v>
      </c>
      <c r="AR25" s="4"/>
    </row>
    <row r="26" spans="1:44" ht="14.55" customHeight="1">
      <c r="A26" s="4" t="str">
        <f>'Reference Score Calculation'!A380</f>
        <v>JSSU40</v>
      </c>
      <c r="B26" s="4" t="str">
        <f>'Reference Score Calculation'!C380</f>
        <v>都會大學</v>
      </c>
      <c r="C26" s="4" t="str">
        <f>'Reference Score Calculation'!D380</f>
        <v>護理學榮譽學士（普通科）</v>
      </c>
      <c r="D26" s="4" t="str">
        <f>'Reference Score Calculation'!R380</f>
        <v>BNursing(Hons)General</v>
      </c>
      <c r="E26" s="15" t="str">
        <f>'Reference Score Calculation'!E380</f>
        <v>Best 5</v>
      </c>
      <c r="F26" s="6" t="str">
        <f>'Reference Score Calculation'!G380</f>
        <v>/</v>
      </c>
      <c r="G26" s="473">
        <f>'Reference Score Calculation'!H380</f>
        <v>21</v>
      </c>
      <c r="H26" s="6">
        <f>'Reference Score Calculation'!I380</f>
        <v>19</v>
      </c>
      <c r="I26" s="45">
        <f>計分版!J403</f>
        <v>3.4999999999999999E-9</v>
      </c>
      <c r="J26" s="25">
        <f t="shared" si="10"/>
        <v>-20.999999996500001</v>
      </c>
      <c r="K26" s="26">
        <f t="shared" si="11"/>
        <v>-5999999999.000001</v>
      </c>
      <c r="L26" s="36">
        <f>'Reference Score Calculation'!T380</f>
        <v>400</v>
      </c>
      <c r="M26" s="86">
        <f>入學要求!Z389</f>
        <v>0</v>
      </c>
      <c r="N26" s="516"/>
      <c r="O26" s="15">
        <v>3</v>
      </c>
      <c r="P26" s="15">
        <v>3</v>
      </c>
      <c r="Q26" s="15">
        <v>2</v>
      </c>
      <c r="R26" s="15">
        <v>2</v>
      </c>
      <c r="S26" s="15">
        <v>2</v>
      </c>
      <c r="T26" s="15">
        <v>2</v>
      </c>
      <c r="U26" s="285">
        <f>入學要求!S389</f>
        <v>0</v>
      </c>
      <c r="V26" s="285">
        <f>入學要求!T389</f>
        <v>0</v>
      </c>
      <c r="W26" s="285">
        <f>入學要求!U389</f>
        <v>0</v>
      </c>
      <c r="X26" s="285">
        <f>入學要求!V389</f>
        <v>0</v>
      </c>
      <c r="Y26" s="285">
        <f>入學要求!W389</f>
        <v>0</v>
      </c>
      <c r="Z26" s="285">
        <f>入學要求!X389</f>
        <v>0</v>
      </c>
      <c r="AA26" s="36">
        <f t="shared" si="2"/>
        <v>6.73</v>
      </c>
      <c r="AB26" s="510"/>
      <c r="AC26" s="36" cm="1">
        <f t="array" ref="AC26">IFERROR(INDEX('Offer Statistics'!FU$2:FU$400,MATCH(1,($A26='Offer Statistics'!$FF$2:$FF$400)*($AB$2='Offer Statistics'!$FG$2:$FG$400),0)),"/")</f>
        <v>340</v>
      </c>
      <c r="AD26" s="64" cm="1">
        <f t="array" ref="AD26">IFERROR(INDEX('Offer Statistics'!FP$2:FP$400,MATCH(1,($A26='Offer Statistics'!$FF$2:$FF$400)*($AB$2='Offer Statistics'!$FG$2:$FG$400),0)),"/")</f>
        <v>340</v>
      </c>
      <c r="AE26" s="64" cm="1">
        <f t="array" ref="AE26">IFERROR(INDEX('Offer Statistics'!FQ$2:FQ$400,MATCH(1,($A26='Offer Statistics'!$FF$2:$FF$400)*($AB$2='Offer Statistics'!$FG$2:$FG$400),0)),"/")</f>
        <v>0</v>
      </c>
      <c r="AF26" s="64" cm="1">
        <f t="array" ref="AF26">IFERROR(INDEX('Offer Statistics'!FR$2:FR$400,MATCH(1,($A26='Offer Statistics'!$FF$2:$FF$400)*($AB$2='Offer Statistics'!$FG$2:$FG$400),0)),"/")</f>
        <v>0</v>
      </c>
      <c r="AG26" s="64" cm="1">
        <f t="array" ref="AG26">IFERROR(INDEX('Offer Statistics'!FS$2:FS$400,MATCH(1,($A26='Offer Statistics'!$FF$2:$FF$400)*($AB$2='Offer Statistics'!$FG$2:$FG$400),0)),"/")</f>
        <v>0</v>
      </c>
      <c r="AH26" s="64" cm="1">
        <f t="array" ref="AH26">IFERROR(INDEX('Offer Statistics'!FT$2:FT$400,MATCH(1,($A26='Offer Statistics'!$FF$2:$FF$400)*($AB$2='Offer Statistics'!$FG$2:$FG$400),0)),"/")</f>
        <v>0</v>
      </c>
      <c r="AI26" s="524"/>
      <c r="AJ26" s="36" cm="1">
        <f t="array" ref="AJ26">IFERROR(INDEX('Offer Statistics'!FM$2:FM$400,MATCH(1,($A26='Offer Statistics'!$FF$2:$FF$400)*($AB$2='Offer Statistics'!$FG$2:$FG$400),0)),"/")</f>
        <v>5463</v>
      </c>
      <c r="AK26" s="64" cm="1">
        <f t="array" ref="AK26">IFERROR(INDEX('Offer Statistics'!FH$2:FH$400,MATCH(1,($A26='Offer Statistics'!$FF$2:$FF$400)*($AB$2='Offer Statistics'!$FG$2:$FG$400),0)),"/")</f>
        <v>2287</v>
      </c>
      <c r="AL26" s="64" cm="1">
        <f t="array" ref="AL26">IFERROR(INDEX('Offer Statistics'!FI$2:FI$400,MATCH(1,($A26='Offer Statistics'!$FF$2:$FF$400)*($AB$2='Offer Statistics'!$FG$2:$FG$400),0)),"/")</f>
        <v>1023</v>
      </c>
      <c r="AM26" s="64" cm="1">
        <f t="array" ref="AM26">IFERROR(INDEX('Offer Statistics'!FJ$2:FJ$400,MATCH(1,($A26='Offer Statistics'!$FF$2:$FF$400)*($AB$2='Offer Statistics'!$FG$2:$FG$400),0)),"/")</f>
        <v>796</v>
      </c>
      <c r="AN26" s="64" cm="1">
        <f t="array" ref="AN26">IFERROR(INDEX('Offer Statistics'!FK$2:FK$400,MATCH(1,($A26='Offer Statistics'!$FF$2:$FF$400)*($AB$2='Offer Statistics'!$FG$2:$FG$400),0)),"/")</f>
        <v>639</v>
      </c>
      <c r="AO26" s="64" cm="1">
        <f t="array" ref="AO26">IFERROR(INDEX('Offer Statistics'!FL$2:FL$400,MATCH(1,($A26='Offer Statistics'!$FF$2:$FF$400)*($AB$2='Offer Statistics'!$FG$2:$FG$400),0)),"/")</f>
        <v>718</v>
      </c>
      <c r="AP26" s="4"/>
      <c r="AQ26" s="15" t="str">
        <f t="shared" si="3"/>
        <v>JSSU40</v>
      </c>
      <c r="AR26" s="4"/>
    </row>
    <row r="27" spans="1:44" ht="14.55" customHeight="1">
      <c r="A27" s="4" t="str">
        <f>'Reference Score Calculation'!A381</f>
        <v>JSSU50</v>
      </c>
      <c r="B27" s="4" t="str">
        <f>'Reference Score Calculation'!C381</f>
        <v>都會大學</v>
      </c>
      <c r="C27" s="4" t="str">
        <f>'Reference Score Calculation'!D381</f>
        <v>護理學榮譽學士（精神科）</v>
      </c>
      <c r="D27" s="4" t="str">
        <f>'Reference Score Calculation'!R381</f>
        <v>BNursing(Hons)Mental</v>
      </c>
      <c r="E27" s="15" t="str">
        <f>'Reference Score Calculation'!E381</f>
        <v>Best 5</v>
      </c>
      <c r="F27" s="6" t="str">
        <f>'Reference Score Calculation'!G381</f>
        <v>/</v>
      </c>
      <c r="G27" s="473">
        <f>'Reference Score Calculation'!H381</f>
        <v>17</v>
      </c>
      <c r="H27" s="6">
        <f>'Reference Score Calculation'!I381</f>
        <v>16</v>
      </c>
      <c r="I27" s="45">
        <f>計分版!J404</f>
        <v>3.4999999999999999E-9</v>
      </c>
      <c r="J27" s="25">
        <f t="shared" si="10"/>
        <v>-16.999999996500001</v>
      </c>
      <c r="K27" s="26">
        <f t="shared" si="11"/>
        <v>-4857142856.1428576</v>
      </c>
      <c r="L27" s="36">
        <f>'Reference Score Calculation'!T381</f>
        <v>125</v>
      </c>
      <c r="M27" s="86">
        <f>入學要求!Z390</f>
        <v>0</v>
      </c>
      <c r="N27" s="516"/>
      <c r="O27" s="15">
        <v>3</v>
      </c>
      <c r="P27" s="15">
        <v>3</v>
      </c>
      <c r="Q27" s="15">
        <v>2</v>
      </c>
      <c r="R27" s="15">
        <v>2</v>
      </c>
      <c r="S27" s="15">
        <v>2</v>
      </c>
      <c r="T27" s="15">
        <v>2</v>
      </c>
      <c r="U27" s="285">
        <f>入學要求!S390</f>
        <v>0</v>
      </c>
      <c r="V27" s="285">
        <f>入學要求!T390</f>
        <v>0</v>
      </c>
      <c r="W27" s="285">
        <f>入學要求!U390</f>
        <v>0</v>
      </c>
      <c r="X27" s="285">
        <f>入學要求!V390</f>
        <v>0</v>
      </c>
      <c r="Y27" s="285">
        <f>入學要求!W390</f>
        <v>0</v>
      </c>
      <c r="Z27" s="285">
        <f>入學要求!X390</f>
        <v>0</v>
      </c>
      <c r="AA27" s="36">
        <f t="shared" si="2"/>
        <v>6.63</v>
      </c>
      <c r="AB27" s="510"/>
      <c r="AC27" s="36" cm="1">
        <f t="array" ref="AC27">IFERROR(INDEX('Offer Statistics'!FU$2:FU$400,MATCH(1,($A27='Offer Statistics'!$FF$2:$FF$400)*($AB$2='Offer Statistics'!$FG$2:$FG$400),0)),"/")</f>
        <v>136</v>
      </c>
      <c r="AD27" s="64" cm="1">
        <f t="array" ref="AD27">IFERROR(INDEX('Offer Statistics'!FP$2:FP$400,MATCH(1,($A27='Offer Statistics'!$FF$2:$FF$400)*($AB$2='Offer Statistics'!$FG$2:$FG$400),0)),"/")</f>
        <v>136</v>
      </c>
      <c r="AE27" s="64" cm="1">
        <f t="array" ref="AE27">IFERROR(INDEX('Offer Statistics'!FQ$2:FQ$400,MATCH(1,($A27='Offer Statistics'!$FF$2:$FF$400)*($AB$2='Offer Statistics'!$FG$2:$FG$400),0)),"/")</f>
        <v>0</v>
      </c>
      <c r="AF27" s="64" cm="1">
        <f t="array" ref="AF27">IFERROR(INDEX('Offer Statistics'!FR$2:FR$400,MATCH(1,($A27='Offer Statistics'!$FF$2:$FF$400)*($AB$2='Offer Statistics'!$FG$2:$FG$400),0)),"/")</f>
        <v>0</v>
      </c>
      <c r="AG27" s="64" cm="1">
        <f t="array" ref="AG27">IFERROR(INDEX('Offer Statistics'!FS$2:FS$400,MATCH(1,($A27='Offer Statistics'!$FF$2:$FF$400)*($AB$2='Offer Statistics'!$FG$2:$FG$400),0)),"/")</f>
        <v>0</v>
      </c>
      <c r="AH27" s="64" cm="1">
        <f t="array" ref="AH27">IFERROR(INDEX('Offer Statistics'!FT$2:FT$400,MATCH(1,($A27='Offer Statistics'!$FF$2:$FF$400)*($AB$2='Offer Statistics'!$FG$2:$FG$400),0)),"/")</f>
        <v>0</v>
      </c>
      <c r="AI27" s="524"/>
      <c r="AJ27" s="36" cm="1">
        <f t="array" ref="AJ27">IFERROR(INDEX('Offer Statistics'!FM$2:FM$400,MATCH(1,($A27='Offer Statistics'!$FF$2:$FF$400)*($AB$2='Offer Statistics'!$FG$2:$FG$400),0)),"/")</f>
        <v>3844</v>
      </c>
      <c r="AK27" s="64" cm="1">
        <f t="array" ref="AK27">IFERROR(INDEX('Offer Statistics'!FH$2:FH$400,MATCH(1,($A27='Offer Statistics'!$FF$2:$FF$400)*($AB$2='Offer Statistics'!$FG$2:$FG$400),0)),"/")</f>
        <v>902</v>
      </c>
      <c r="AL27" s="64" cm="1">
        <f t="array" ref="AL27">IFERROR(INDEX('Offer Statistics'!FI$2:FI$400,MATCH(1,($A27='Offer Statistics'!$FF$2:$FF$400)*($AB$2='Offer Statistics'!$FG$2:$FG$400),0)),"/")</f>
        <v>1075</v>
      </c>
      <c r="AM27" s="64" cm="1">
        <f t="array" ref="AM27">IFERROR(INDEX('Offer Statistics'!FJ$2:FJ$400,MATCH(1,($A27='Offer Statistics'!$FF$2:$FF$400)*($AB$2='Offer Statistics'!$FG$2:$FG$400),0)),"/")</f>
        <v>702</v>
      </c>
      <c r="AN27" s="64" cm="1">
        <f t="array" ref="AN27">IFERROR(INDEX('Offer Statistics'!FK$2:FK$400,MATCH(1,($A27='Offer Statistics'!$FF$2:$FF$400)*($AB$2='Offer Statistics'!$FG$2:$FG$400),0)),"/")</f>
        <v>576</v>
      </c>
      <c r="AO27" s="64" cm="1">
        <f t="array" ref="AO27">IFERROR(INDEX('Offer Statistics'!FL$2:FL$400,MATCH(1,($A27='Offer Statistics'!$FF$2:$FF$400)*($AB$2='Offer Statistics'!$FG$2:$FG$400),0)),"/")</f>
        <v>589</v>
      </c>
      <c r="AP27" s="4"/>
      <c r="AQ27" s="15" t="str">
        <f t="shared" si="3"/>
        <v>JSSU50</v>
      </c>
      <c r="AR27" s="4"/>
    </row>
    <row r="28" spans="1:44" ht="14.55" customHeight="1">
      <c r="A28" s="4" t="str">
        <f>'Reference Score Calculation'!A382</f>
        <v>JSSU55</v>
      </c>
      <c r="B28" s="4" t="str">
        <f>'Reference Score Calculation'!C382</f>
        <v>都會大學</v>
      </c>
      <c r="C28" s="4" t="str">
        <f>'Reference Score Calculation'!D382</f>
        <v>物理治療學榮譽理學士</v>
      </c>
      <c r="D28" s="4" t="str">
        <f>'Reference Score Calculation'!R382</f>
        <v>BSc(Hons)Physiotherapy</v>
      </c>
      <c r="E28" s="15" t="str">
        <f>'Reference Score Calculation'!E382</f>
        <v>Best 5</v>
      </c>
      <c r="F28" s="6" t="str">
        <f>'Reference Score Calculation'!G382</f>
        <v>/</v>
      </c>
      <c r="G28" s="473">
        <f>'Reference Score Calculation'!H382</f>
        <v>24</v>
      </c>
      <c r="H28" s="6">
        <f>'Reference Score Calculation'!I382</f>
        <v>23</v>
      </c>
      <c r="I28" s="45">
        <f>計分版!J405</f>
        <v>3.9500000000000006E-9</v>
      </c>
      <c r="J28" s="25">
        <f t="shared" si="10"/>
        <v>-23.999999996050001</v>
      </c>
      <c r="K28" s="26">
        <f t="shared" si="11"/>
        <v>-6075949366.0886068</v>
      </c>
      <c r="L28" s="36">
        <f>'Reference Score Calculation'!T382</f>
        <v>50</v>
      </c>
      <c r="M28" s="86">
        <f>入學要求!Z391</f>
        <v>0</v>
      </c>
      <c r="N28" s="516"/>
      <c r="O28" s="15">
        <v>3</v>
      </c>
      <c r="P28" s="15">
        <v>3</v>
      </c>
      <c r="Q28" s="15">
        <v>2</v>
      </c>
      <c r="R28" s="15">
        <v>2</v>
      </c>
      <c r="S28" s="15">
        <v>2</v>
      </c>
      <c r="T28" s="15">
        <v>2</v>
      </c>
      <c r="U28" s="285">
        <f>入學要求!S391</f>
        <v>0</v>
      </c>
      <c r="V28" s="285">
        <f>入學要求!T391</f>
        <v>0</v>
      </c>
      <c r="W28" s="285">
        <f>入學要求!U391</f>
        <v>0</v>
      </c>
      <c r="X28" s="285">
        <f>入學要求!V391</f>
        <v>0</v>
      </c>
      <c r="Y28" s="285">
        <f>入學要求!W391</f>
        <v>0</v>
      </c>
      <c r="Z28" s="285">
        <f>入學要求!X391</f>
        <v>0</v>
      </c>
      <c r="AA28" s="36">
        <f t="shared" si="2"/>
        <v>7.14</v>
      </c>
      <c r="AB28" s="510"/>
      <c r="AC28" s="36" cm="1">
        <f t="array" ref="AC28">IFERROR(INDEX('Offer Statistics'!FU$2:FU$400,MATCH(1,($A28='Offer Statistics'!$FF$2:$FF$400)*($AB$2='Offer Statistics'!$FG$2:$FG$400),0)),"/")</f>
        <v>50</v>
      </c>
      <c r="AD28" s="64" cm="1">
        <f t="array" ref="AD28">IFERROR(INDEX('Offer Statistics'!FP$2:FP$400,MATCH(1,($A28='Offer Statistics'!$FF$2:$FF$400)*($AB$2='Offer Statistics'!$FG$2:$FG$400),0)),"/")</f>
        <v>50</v>
      </c>
      <c r="AE28" s="64" cm="1">
        <f t="array" ref="AE28">IFERROR(INDEX('Offer Statistics'!FQ$2:FQ$400,MATCH(1,($A28='Offer Statistics'!$FF$2:$FF$400)*($AB$2='Offer Statistics'!$FG$2:$FG$400),0)),"/")</f>
        <v>0</v>
      </c>
      <c r="AF28" s="64" cm="1">
        <f t="array" ref="AF28">IFERROR(INDEX('Offer Statistics'!FR$2:FR$400,MATCH(1,($A28='Offer Statistics'!$FF$2:$FF$400)*($AB$2='Offer Statistics'!$FG$2:$FG$400),0)),"/")</f>
        <v>0</v>
      </c>
      <c r="AG28" s="64" cm="1">
        <f t="array" ref="AG28">IFERROR(INDEX('Offer Statistics'!FS$2:FS$400,MATCH(1,($A28='Offer Statistics'!$FF$2:$FF$400)*($AB$2='Offer Statistics'!$FG$2:$FG$400),0)),"/")</f>
        <v>0</v>
      </c>
      <c r="AH28" s="64" cm="1">
        <f t="array" ref="AH28">IFERROR(INDEX('Offer Statistics'!FT$2:FT$400,MATCH(1,($A28='Offer Statistics'!$FF$2:$FF$400)*($AB$2='Offer Statistics'!$FG$2:$FG$400),0)),"/")</f>
        <v>0</v>
      </c>
      <c r="AI28" s="524"/>
      <c r="AJ28" s="36" cm="1">
        <f t="array" ref="AJ28">IFERROR(INDEX('Offer Statistics'!FM$2:FM$400,MATCH(1,($A28='Offer Statistics'!$FF$2:$FF$400)*($AB$2='Offer Statistics'!$FG$2:$FG$400),0)),"/")</f>
        <v>2204</v>
      </c>
      <c r="AK28" s="64" cm="1">
        <f t="array" ref="AK28">IFERROR(INDEX('Offer Statistics'!FH$2:FH$400,MATCH(1,($A28='Offer Statistics'!$FF$2:$FF$400)*($AB$2='Offer Statistics'!$FG$2:$FG$400),0)),"/")</f>
        <v>357</v>
      </c>
      <c r="AL28" s="64" cm="1">
        <f t="array" ref="AL28">IFERROR(INDEX('Offer Statistics'!FI$2:FI$400,MATCH(1,($A28='Offer Statistics'!$FF$2:$FF$400)*($AB$2='Offer Statistics'!$FG$2:$FG$400),0)),"/")</f>
        <v>317</v>
      </c>
      <c r="AM28" s="64" cm="1">
        <f t="array" ref="AM28">IFERROR(INDEX('Offer Statistics'!FJ$2:FJ$400,MATCH(1,($A28='Offer Statistics'!$FF$2:$FF$400)*($AB$2='Offer Statistics'!$FG$2:$FG$400),0)),"/")</f>
        <v>455</v>
      </c>
      <c r="AN28" s="64" cm="1">
        <f t="array" ref="AN28">IFERROR(INDEX('Offer Statistics'!FK$2:FK$400,MATCH(1,($A28='Offer Statistics'!$FF$2:$FF$400)*($AB$2='Offer Statistics'!$FG$2:$FG$400),0)),"/")</f>
        <v>479</v>
      </c>
      <c r="AO28" s="64" cm="1">
        <f t="array" ref="AO28">IFERROR(INDEX('Offer Statistics'!FL$2:FL$400,MATCH(1,($A28='Offer Statistics'!$FF$2:$FF$400)*($AB$2='Offer Statistics'!$FG$2:$FG$400),0)),"/")</f>
        <v>596</v>
      </c>
      <c r="AP28" s="4"/>
      <c r="AQ28" s="15" t="str">
        <f t="shared" si="3"/>
        <v>JSSU55</v>
      </c>
      <c r="AR28" s="4"/>
    </row>
    <row r="29" spans="1:44" ht="14.55" customHeight="1">
      <c r="A29" s="4" t="str">
        <f>'Reference Score Calculation'!A383</f>
        <v>JSSU61</v>
      </c>
      <c r="B29" s="4" t="str">
        <f>'Reference Score Calculation'!C383</f>
        <v>都會大學</v>
      </c>
      <c r="C29" s="4" t="str">
        <f>'Reference Score Calculation'!D383</f>
        <v>綜合檢測和認證榮譽應用理學士</v>
      </c>
      <c r="D29" s="4" t="str">
        <f>'Reference Score Calculation'!R383</f>
        <v>BASc(Hons)IntTestInsCert</v>
      </c>
      <c r="E29" s="15" t="str">
        <f>'Reference Score Calculation'!E383</f>
        <v>Best 5</v>
      </c>
      <c r="F29" s="6" t="str">
        <f>'Reference Score Calculation'!G383</f>
        <v>/</v>
      </c>
      <c r="G29" s="473">
        <f>'Reference Score Calculation'!H383</f>
        <v>16</v>
      </c>
      <c r="H29" s="6">
        <f>'Reference Score Calculation'!I383</f>
        <v>13</v>
      </c>
      <c r="I29" s="45">
        <f>計分版!J406</f>
        <v>3.9500000000000006E-9</v>
      </c>
      <c r="J29" s="25">
        <f t="shared" si="10"/>
        <v>-15.999999996050001</v>
      </c>
      <c r="K29" s="26">
        <f t="shared" si="11"/>
        <v>-4050632910.3924046</v>
      </c>
      <c r="L29" s="36">
        <f>'Reference Score Calculation'!T383</f>
        <v>55</v>
      </c>
      <c r="M29" s="86">
        <f>入學要求!Z392</f>
        <v>0</v>
      </c>
      <c r="N29" s="516"/>
      <c r="O29" s="15">
        <v>3</v>
      </c>
      <c r="P29" s="15">
        <v>3</v>
      </c>
      <c r="Q29" s="15">
        <v>2</v>
      </c>
      <c r="R29" s="15">
        <v>2</v>
      </c>
      <c r="S29" s="15">
        <v>2</v>
      </c>
      <c r="T29" s="15">
        <v>2</v>
      </c>
      <c r="U29" s="285">
        <f>入學要求!S392</f>
        <v>0</v>
      </c>
      <c r="V29" s="285">
        <f>入學要求!T392</f>
        <v>0</v>
      </c>
      <c r="W29" s="285">
        <f>入學要求!U392</f>
        <v>0</v>
      </c>
      <c r="X29" s="285">
        <f>入學要求!V392</f>
        <v>0</v>
      </c>
      <c r="Y29" s="285">
        <f>入學要求!W392</f>
        <v>0</v>
      </c>
      <c r="Z29" s="285">
        <f>入學要求!X392</f>
        <v>0</v>
      </c>
      <c r="AA29" s="36">
        <f t="shared" si="2"/>
        <v>4.29</v>
      </c>
      <c r="AB29" s="510"/>
      <c r="AC29" s="36" cm="1">
        <f t="array" ref="AC29">IFERROR(INDEX('Offer Statistics'!FU$2:FU$400,MATCH(1,($A29='Offer Statistics'!$FF$2:$FF$400)*($AB$2='Offer Statistics'!$FG$2:$FG$400),0)),"/")</f>
        <v>78</v>
      </c>
      <c r="AD29" s="64" cm="1">
        <f t="array" ref="AD29">IFERROR(INDEX('Offer Statistics'!FP$2:FP$400,MATCH(1,($A29='Offer Statistics'!$FF$2:$FF$400)*($AB$2='Offer Statistics'!$FG$2:$FG$400),0)),"/")</f>
        <v>69</v>
      </c>
      <c r="AE29" s="64" cm="1">
        <f t="array" ref="AE29">IFERROR(INDEX('Offer Statistics'!FQ$2:FQ$400,MATCH(1,($A29='Offer Statistics'!$FF$2:$FF$400)*($AB$2='Offer Statistics'!$FG$2:$FG$400),0)),"/")</f>
        <v>4</v>
      </c>
      <c r="AF29" s="64" cm="1">
        <f t="array" ref="AF29">IFERROR(INDEX('Offer Statistics'!FR$2:FR$400,MATCH(1,($A29='Offer Statistics'!$FF$2:$FF$400)*($AB$2='Offer Statistics'!$FG$2:$FG$400),0)),"/")</f>
        <v>1</v>
      </c>
      <c r="AG29" s="64" cm="1">
        <f t="array" ref="AG29">IFERROR(INDEX('Offer Statistics'!FS$2:FS$400,MATCH(1,($A29='Offer Statistics'!$FF$2:$FF$400)*($AB$2='Offer Statistics'!$FG$2:$FG$400),0)),"/")</f>
        <v>0</v>
      </c>
      <c r="AH29" s="64" cm="1">
        <f t="array" ref="AH29">IFERROR(INDEX('Offer Statistics'!FT$2:FT$400,MATCH(1,($A29='Offer Statistics'!$FF$2:$FF$400)*($AB$2='Offer Statistics'!$FG$2:$FG$400),0)),"/")</f>
        <v>4</v>
      </c>
      <c r="AI29" s="524"/>
      <c r="AJ29" s="36" cm="1">
        <f t="array" ref="AJ29">IFERROR(INDEX('Offer Statistics'!FM$2:FM$400,MATCH(1,($A29='Offer Statistics'!$FF$2:$FF$400)*($AB$2='Offer Statistics'!$FG$2:$FG$400),0)),"/")</f>
        <v>1490</v>
      </c>
      <c r="AK29" s="64" cm="1">
        <f t="array" ref="AK29">IFERROR(INDEX('Offer Statistics'!FH$2:FH$400,MATCH(1,($A29='Offer Statistics'!$FF$2:$FF$400)*($AB$2='Offer Statistics'!$FG$2:$FG$400),0)),"/")</f>
        <v>296</v>
      </c>
      <c r="AL29" s="64" cm="1">
        <f t="array" ref="AL29">IFERROR(INDEX('Offer Statistics'!FI$2:FI$400,MATCH(1,($A29='Offer Statistics'!$FF$2:$FF$400)*($AB$2='Offer Statistics'!$FG$2:$FG$400),0)),"/")</f>
        <v>264</v>
      </c>
      <c r="AM29" s="64" cm="1">
        <f t="array" ref="AM29">IFERROR(INDEX('Offer Statistics'!FJ$2:FJ$400,MATCH(1,($A29='Offer Statistics'!$FF$2:$FF$400)*($AB$2='Offer Statistics'!$FG$2:$FG$400),0)),"/")</f>
        <v>266</v>
      </c>
      <c r="AN29" s="64" cm="1">
        <f t="array" ref="AN29">IFERROR(INDEX('Offer Statistics'!FK$2:FK$400,MATCH(1,($A29='Offer Statistics'!$FF$2:$FF$400)*($AB$2='Offer Statistics'!$FG$2:$FG$400),0)),"/")</f>
        <v>302</v>
      </c>
      <c r="AO29" s="64" cm="1">
        <f t="array" ref="AO29">IFERROR(INDEX('Offer Statistics'!FL$2:FL$400,MATCH(1,($A29='Offer Statistics'!$FF$2:$FF$400)*($AB$2='Offer Statistics'!$FG$2:$FG$400),0)),"/")</f>
        <v>362</v>
      </c>
      <c r="AP29" s="4"/>
      <c r="AQ29" s="15" t="str">
        <f t="shared" si="3"/>
        <v>JSSU61</v>
      </c>
      <c r="AR29" s="4"/>
    </row>
    <row r="30" spans="1:44" ht="14.55" customHeight="1">
      <c r="A30" s="4" t="str">
        <f>'Reference Score Calculation'!A384</f>
        <v>JSSU67</v>
      </c>
      <c r="B30" s="4" t="str">
        <f>'Reference Score Calculation'!C384</f>
        <v>都會大學</v>
      </c>
      <c r="C30" s="4" t="str">
        <f>'Reference Score Calculation'!D384</f>
        <v>醫療化驗科學榮譽理學士</v>
      </c>
      <c r="D30" s="4" t="str">
        <f>'Reference Score Calculation'!R384</f>
        <v>BSc(Hons)MedLabSci</v>
      </c>
      <c r="E30" s="15" t="str">
        <f>'Reference Score Calculation'!E384</f>
        <v>Best 5</v>
      </c>
      <c r="F30" s="6" t="str">
        <f>'Reference Score Calculation'!G384</f>
        <v>/</v>
      </c>
      <c r="G30" s="473">
        <f>'Reference Score Calculation'!H384</f>
        <v>18</v>
      </c>
      <c r="H30" s="6">
        <f>'Reference Score Calculation'!I384</f>
        <v>16</v>
      </c>
      <c r="I30" s="45">
        <f>計分版!J407</f>
        <v>3.9500000000000006E-9</v>
      </c>
      <c r="J30" s="7">
        <f t="shared" si="10"/>
        <v>-17.999999996050001</v>
      </c>
      <c r="K30" s="8">
        <f t="shared" si="11"/>
        <v>-4556962024.3164549</v>
      </c>
      <c r="L30" s="36">
        <f>'Reference Score Calculation'!T384</f>
        <v>60</v>
      </c>
      <c r="M30" s="86">
        <f>入學要求!Z393</f>
        <v>0</v>
      </c>
      <c r="N30" s="516"/>
      <c r="O30" s="15">
        <v>3</v>
      </c>
      <c r="P30" s="15">
        <v>3</v>
      </c>
      <c r="Q30" s="15">
        <v>2</v>
      </c>
      <c r="R30" s="15">
        <v>2</v>
      </c>
      <c r="S30" s="15">
        <v>2</v>
      </c>
      <c r="T30" s="15">
        <v>2</v>
      </c>
      <c r="U30" s="285">
        <f>入學要求!S393</f>
        <v>0</v>
      </c>
      <c r="V30" s="285">
        <f>入學要求!T393</f>
        <v>0</v>
      </c>
      <c r="W30" s="285">
        <f>入學要求!U393</f>
        <v>0</v>
      </c>
      <c r="X30" s="285">
        <f>入學要求!V393</f>
        <v>0</v>
      </c>
      <c r="Y30" s="285">
        <f>入學要求!W393</f>
        <v>0</v>
      </c>
      <c r="Z30" s="285">
        <f>入學要求!X393</f>
        <v>0</v>
      </c>
      <c r="AA30" s="36">
        <f t="shared" si="2"/>
        <v>3.09</v>
      </c>
      <c r="AB30" s="510"/>
      <c r="AC30" s="36" cm="1">
        <f t="array" ref="AC30">IFERROR(INDEX('Offer Statistics'!FU$2:FU$400,MATCH(1,($A30='Offer Statistics'!$FF$2:$FF$400)*($AB$2='Offer Statistics'!$FG$2:$FG$400),0)),"/")</f>
        <v>114</v>
      </c>
      <c r="AD30" s="64" cm="1">
        <f t="array" ref="AD30">IFERROR(INDEX('Offer Statistics'!FP$2:FP$400,MATCH(1,($A30='Offer Statistics'!$FF$2:$FF$400)*($AB$2='Offer Statistics'!$FG$2:$FG$400),0)),"/")</f>
        <v>104</v>
      </c>
      <c r="AE30" s="64" cm="1">
        <f t="array" ref="AE30">IFERROR(INDEX('Offer Statistics'!FQ$2:FQ$400,MATCH(1,($A30='Offer Statistics'!$FF$2:$FF$400)*($AB$2='Offer Statistics'!$FG$2:$FG$400),0)),"/")</f>
        <v>10</v>
      </c>
      <c r="AF30" s="64" cm="1">
        <f t="array" ref="AF30">IFERROR(INDEX('Offer Statistics'!FR$2:FR$400,MATCH(1,($A30='Offer Statistics'!$FF$2:$FF$400)*($AB$2='Offer Statistics'!$FG$2:$FG$400),0)),"/")</f>
        <v>0</v>
      </c>
      <c r="AG30" s="64" cm="1">
        <f t="array" ref="AG30">IFERROR(INDEX('Offer Statistics'!FS$2:FS$400,MATCH(1,($A30='Offer Statistics'!$FF$2:$FF$400)*($AB$2='Offer Statistics'!$FG$2:$FG$400),0)),"/")</f>
        <v>0</v>
      </c>
      <c r="AH30" s="64" cm="1">
        <f t="array" ref="AH30">IFERROR(INDEX('Offer Statistics'!FT$2:FT$400,MATCH(1,($A30='Offer Statistics'!$FF$2:$FF$400)*($AB$2='Offer Statistics'!$FG$2:$FG$400),0)),"/")</f>
        <v>0</v>
      </c>
      <c r="AI30" s="524"/>
      <c r="AJ30" s="36" cm="1">
        <f t="array" ref="AJ30">IFERROR(INDEX('Offer Statistics'!FM$2:FM$400,MATCH(1,($A30='Offer Statistics'!$FF$2:$FF$400)*($AB$2='Offer Statistics'!$FG$2:$FG$400),0)),"/")</f>
        <v>1988</v>
      </c>
      <c r="AK30" s="64" cm="1">
        <f t="array" ref="AK30">IFERROR(INDEX('Offer Statistics'!FH$2:FH$400,MATCH(1,($A30='Offer Statistics'!$FF$2:$FF$400)*($AB$2='Offer Statistics'!$FG$2:$FG$400),0)),"/")</f>
        <v>321</v>
      </c>
      <c r="AL30" s="64" cm="1">
        <f t="array" ref="AL30">IFERROR(INDEX('Offer Statistics'!FI$2:FI$400,MATCH(1,($A30='Offer Statistics'!$FF$2:$FF$400)*($AB$2='Offer Statistics'!$FG$2:$FG$400),0)),"/")</f>
        <v>432</v>
      </c>
      <c r="AM30" s="64" cm="1">
        <f t="array" ref="AM30">IFERROR(INDEX('Offer Statistics'!FJ$2:FJ$400,MATCH(1,($A30='Offer Statistics'!$FF$2:$FF$400)*($AB$2='Offer Statistics'!$FG$2:$FG$400),0)),"/")</f>
        <v>406</v>
      </c>
      <c r="AN30" s="64" cm="1">
        <f t="array" ref="AN30">IFERROR(INDEX('Offer Statistics'!FK$2:FK$400,MATCH(1,($A30='Offer Statistics'!$FF$2:$FF$400)*($AB$2='Offer Statistics'!$FG$2:$FG$400),0)),"/")</f>
        <v>406</v>
      </c>
      <c r="AO30" s="64" cm="1">
        <f t="array" ref="AO30">IFERROR(INDEX('Offer Statistics'!FL$2:FL$400,MATCH(1,($A30='Offer Statistics'!$FF$2:$FF$400)*($AB$2='Offer Statistics'!$FG$2:$FG$400),0)),"/")</f>
        <v>423</v>
      </c>
      <c r="AP30" s="4"/>
      <c r="AQ30" s="15" t="str">
        <f t="shared" si="3"/>
        <v>JSSU67</v>
      </c>
      <c r="AR30" s="4"/>
    </row>
    <row r="31" spans="1:44" ht="14.55" customHeight="1">
      <c r="A31" s="4" t="str">
        <f>'Reference Score Calculation'!A385</f>
        <v>JSSU68</v>
      </c>
      <c r="B31" s="4" t="str">
        <f>'Reference Score Calculation'!C385</f>
        <v>都會大學</v>
      </c>
      <c r="C31" s="4" t="str">
        <f>'Reference Score Calculation'!D385</f>
        <v>分析檢測科學榮譽理學士</v>
      </c>
      <c r="D31" s="4" t="str">
        <f>'Reference Score Calculation'!R385</f>
        <v>BSc(Hons)AnalyTestSci</v>
      </c>
      <c r="E31" s="15" t="str">
        <f>'Reference Score Calculation'!E385</f>
        <v>Best 5</v>
      </c>
      <c r="F31" s="6" t="str">
        <f>'Reference Score Calculation'!G385</f>
        <v>/</v>
      </c>
      <c r="G31" s="473">
        <f>'Reference Score Calculation'!H385</f>
        <v>16</v>
      </c>
      <c r="H31" s="6">
        <f>'Reference Score Calculation'!I385</f>
        <v>16</v>
      </c>
      <c r="I31" s="45">
        <f>計分版!J408</f>
        <v>3.9500000000000006E-9</v>
      </c>
      <c r="J31" s="25">
        <f t="shared" si="10"/>
        <v>-15.999999996050001</v>
      </c>
      <c r="K31" s="26">
        <f t="shared" si="11"/>
        <v>-4050632910.3924046</v>
      </c>
      <c r="L31" s="36">
        <f>'Reference Score Calculation'!T385</f>
        <v>30</v>
      </c>
      <c r="M31" s="86">
        <f>入學要求!Z394</f>
        <v>0</v>
      </c>
      <c r="N31" s="516"/>
      <c r="O31" s="15">
        <v>3</v>
      </c>
      <c r="P31" s="15">
        <v>3</v>
      </c>
      <c r="Q31" s="15">
        <v>2</v>
      </c>
      <c r="R31" s="15">
        <v>2</v>
      </c>
      <c r="S31" s="15">
        <v>2</v>
      </c>
      <c r="T31" s="15">
        <v>2</v>
      </c>
      <c r="U31" s="285">
        <f>入學要求!S394</f>
        <v>0</v>
      </c>
      <c r="V31" s="285">
        <f>入學要求!T394</f>
        <v>0</v>
      </c>
      <c r="W31" s="285">
        <f>入學要求!U394</f>
        <v>0</v>
      </c>
      <c r="X31" s="285">
        <f>入學要求!V394</f>
        <v>0</v>
      </c>
      <c r="Y31" s="285">
        <f>入學要求!W394</f>
        <v>0</v>
      </c>
      <c r="Z31" s="285">
        <f>入學要求!X394</f>
        <v>0</v>
      </c>
      <c r="AA31" s="36">
        <f t="shared" si="2"/>
        <v>9.3800000000000008</v>
      </c>
      <c r="AB31" s="510"/>
      <c r="AC31" s="36" cm="1">
        <f t="array" ref="AC31">IFERROR(INDEX('Offer Statistics'!FU$2:FU$400,MATCH(1,($A31='Offer Statistics'!$FF$2:$FF$400)*($AB$2='Offer Statistics'!$FG$2:$FG$400),0)),"/")</f>
        <v>26</v>
      </c>
      <c r="AD31" s="64" cm="1">
        <f t="array" ref="AD31">IFERROR(INDEX('Offer Statistics'!FP$2:FP$400,MATCH(1,($A31='Offer Statistics'!$FF$2:$FF$400)*($AB$2='Offer Statistics'!$FG$2:$FG$400),0)),"/")</f>
        <v>16</v>
      </c>
      <c r="AE31" s="64" cm="1">
        <f t="array" ref="AE31">IFERROR(INDEX('Offer Statistics'!FQ$2:FQ$400,MATCH(1,($A31='Offer Statistics'!$FF$2:$FF$400)*($AB$2='Offer Statistics'!$FG$2:$FG$400),0)),"/")</f>
        <v>4</v>
      </c>
      <c r="AF31" s="64" cm="1">
        <f t="array" ref="AF31">IFERROR(INDEX('Offer Statistics'!FR$2:FR$400,MATCH(1,($A31='Offer Statistics'!$FF$2:$FF$400)*($AB$2='Offer Statistics'!$FG$2:$FG$400),0)),"/")</f>
        <v>1</v>
      </c>
      <c r="AG31" s="64" cm="1">
        <f t="array" ref="AG31">IFERROR(INDEX('Offer Statistics'!FS$2:FS$400,MATCH(1,($A31='Offer Statistics'!$FF$2:$FF$400)*($AB$2='Offer Statistics'!$FG$2:$FG$400),0)),"/")</f>
        <v>2</v>
      </c>
      <c r="AH31" s="64" cm="1">
        <f t="array" ref="AH31">IFERROR(INDEX('Offer Statistics'!FT$2:FT$400,MATCH(1,($A31='Offer Statistics'!$FF$2:$FF$400)*($AB$2='Offer Statistics'!$FG$2:$FG$400),0)),"/")</f>
        <v>3</v>
      </c>
      <c r="AI31" s="524"/>
      <c r="AJ31" s="36" cm="1">
        <f t="array" ref="AJ31">IFERROR(INDEX('Offer Statistics'!FM$2:FM$400,MATCH(1,($A31='Offer Statistics'!$FF$2:$FF$400)*($AB$2='Offer Statistics'!$FG$2:$FG$400),0)),"/")</f>
        <v>1591</v>
      </c>
      <c r="AK31" s="64" cm="1">
        <f t="array" ref="AK31">IFERROR(INDEX('Offer Statistics'!FH$2:FH$400,MATCH(1,($A31='Offer Statistics'!$FF$2:$FF$400)*($AB$2='Offer Statistics'!$FG$2:$FG$400),0)),"/")</f>
        <v>150</v>
      </c>
      <c r="AL31" s="64" cm="1">
        <f t="array" ref="AL31">IFERROR(INDEX('Offer Statistics'!FI$2:FI$400,MATCH(1,($A31='Offer Statistics'!$FF$2:$FF$400)*($AB$2='Offer Statistics'!$FG$2:$FG$400),0)),"/")</f>
        <v>285</v>
      </c>
      <c r="AM31" s="64" cm="1">
        <f t="array" ref="AM31">IFERROR(INDEX('Offer Statistics'!FJ$2:FJ$400,MATCH(1,($A31='Offer Statistics'!$FF$2:$FF$400)*($AB$2='Offer Statistics'!$FG$2:$FG$400),0)),"/")</f>
        <v>334</v>
      </c>
      <c r="AN31" s="64" cm="1">
        <f t="array" ref="AN31">IFERROR(INDEX('Offer Statistics'!FK$2:FK$400,MATCH(1,($A31='Offer Statistics'!$FF$2:$FF$400)*($AB$2='Offer Statistics'!$FG$2:$FG$400),0)),"/")</f>
        <v>372</v>
      </c>
      <c r="AO31" s="64" cm="1">
        <f t="array" ref="AO31">IFERROR(INDEX('Offer Statistics'!FL$2:FL$400,MATCH(1,($A31='Offer Statistics'!$FF$2:$FF$400)*($AB$2='Offer Statistics'!$FG$2:$FG$400),0)),"/")</f>
        <v>450</v>
      </c>
      <c r="AP31" s="4"/>
      <c r="AQ31" s="15" t="str">
        <f t="shared" si="3"/>
        <v>JSSU68</v>
      </c>
      <c r="AR31" s="4"/>
    </row>
    <row r="32" spans="1:44" ht="14.55" customHeight="1">
      <c r="A32" s="4" t="str">
        <f>'Reference Score Calculation'!A386</f>
        <v>JSSU69</v>
      </c>
      <c r="B32" s="4" t="str">
        <f>'Reference Score Calculation'!C386</f>
        <v>都會大學</v>
      </c>
      <c r="C32" s="4" t="str">
        <f>'Reference Score Calculation'!D386</f>
        <v>食品測試科學榮譽理學士</v>
      </c>
      <c r="D32" s="4" t="str">
        <f>'Reference Score Calculation'!R386</f>
        <v>BSc(Hons)FoodTestSci</v>
      </c>
      <c r="E32" s="15" t="str">
        <f>'Reference Score Calculation'!E386</f>
        <v>Best 5</v>
      </c>
      <c r="F32" s="6" t="str">
        <f>'Reference Score Calculation'!G386</f>
        <v>/</v>
      </c>
      <c r="G32" s="473">
        <f>'Reference Score Calculation'!H386</f>
        <v>16</v>
      </c>
      <c r="H32" s="6">
        <f>'Reference Score Calculation'!I386</f>
        <v>14</v>
      </c>
      <c r="I32" s="45">
        <f>計分版!J409</f>
        <v>3.9500000000000006E-9</v>
      </c>
      <c r="J32" s="25">
        <f t="shared" si="10"/>
        <v>-15.999999996050001</v>
      </c>
      <c r="K32" s="26">
        <f t="shared" si="11"/>
        <v>-4050632910.3924046</v>
      </c>
      <c r="L32" s="36">
        <f>'Reference Score Calculation'!T386</f>
        <v>30</v>
      </c>
      <c r="M32" s="86">
        <f>入學要求!Z395</f>
        <v>0</v>
      </c>
      <c r="N32" s="516"/>
      <c r="O32" s="15">
        <v>3</v>
      </c>
      <c r="P32" s="15">
        <v>3</v>
      </c>
      <c r="Q32" s="15">
        <v>2</v>
      </c>
      <c r="R32" s="15">
        <v>2</v>
      </c>
      <c r="S32" s="15">
        <v>2</v>
      </c>
      <c r="T32" s="15">
        <v>2</v>
      </c>
      <c r="U32" s="285">
        <f>入學要求!S395</f>
        <v>0</v>
      </c>
      <c r="V32" s="285">
        <f>入學要求!T395</f>
        <v>0</v>
      </c>
      <c r="W32" s="285">
        <f>入學要求!U395</f>
        <v>0</v>
      </c>
      <c r="X32" s="285">
        <f>入學要求!V395</f>
        <v>0</v>
      </c>
      <c r="Y32" s="285">
        <f>入學要求!W395</f>
        <v>0</v>
      </c>
      <c r="Z32" s="285">
        <f>入學要求!X395</f>
        <v>0</v>
      </c>
      <c r="AA32" s="36">
        <f t="shared" si="2"/>
        <v>9.64</v>
      </c>
      <c r="AB32" s="510"/>
      <c r="AC32" s="36" cm="1">
        <f t="array" ref="AC32">IFERROR(INDEX('Offer Statistics'!FU$2:FU$400,MATCH(1,($A32='Offer Statistics'!$FF$2:$FF$400)*($AB$2='Offer Statistics'!$FG$2:$FG$400),0)),"/")</f>
        <v>55</v>
      </c>
      <c r="AD32" s="64" cm="1">
        <f t="array" ref="AD32">IFERROR(INDEX('Offer Statistics'!FP$2:FP$400,MATCH(1,($A32='Offer Statistics'!$FF$2:$FF$400)*($AB$2='Offer Statistics'!$FG$2:$FG$400),0)),"/")</f>
        <v>33</v>
      </c>
      <c r="AE32" s="64" cm="1">
        <f t="array" ref="AE32">IFERROR(INDEX('Offer Statistics'!FQ$2:FQ$400,MATCH(1,($A32='Offer Statistics'!$FF$2:$FF$400)*($AB$2='Offer Statistics'!$FG$2:$FG$400),0)),"/")</f>
        <v>8</v>
      </c>
      <c r="AF32" s="64" cm="1">
        <f t="array" ref="AF32">IFERROR(INDEX('Offer Statistics'!FR$2:FR$400,MATCH(1,($A32='Offer Statistics'!$FF$2:$FF$400)*($AB$2='Offer Statistics'!$FG$2:$FG$400),0)),"/")</f>
        <v>3</v>
      </c>
      <c r="AG32" s="64" cm="1">
        <f t="array" ref="AG32">IFERROR(INDEX('Offer Statistics'!FS$2:FS$400,MATCH(1,($A32='Offer Statistics'!$FF$2:$FF$400)*($AB$2='Offer Statistics'!$FG$2:$FG$400),0)),"/")</f>
        <v>7</v>
      </c>
      <c r="AH32" s="64" cm="1">
        <f t="array" ref="AH32">IFERROR(INDEX('Offer Statistics'!FT$2:FT$400,MATCH(1,($A32='Offer Statistics'!$FF$2:$FF$400)*($AB$2='Offer Statistics'!$FG$2:$FG$400),0)),"/")</f>
        <v>4</v>
      </c>
      <c r="AI32" s="524"/>
      <c r="AJ32" s="36" cm="1">
        <f t="array" ref="AJ32">IFERROR(INDEX('Offer Statistics'!FM$2:FM$400,MATCH(1,($A32='Offer Statistics'!$FF$2:$FF$400)*($AB$2='Offer Statistics'!$FG$2:$FG$400),0)),"/")</f>
        <v>3021</v>
      </c>
      <c r="AK32" s="64" cm="1">
        <f t="array" ref="AK32">IFERROR(INDEX('Offer Statistics'!FH$2:FH$400,MATCH(1,($A32='Offer Statistics'!$FF$2:$FF$400)*($AB$2='Offer Statistics'!$FG$2:$FG$400),0)),"/")</f>
        <v>318</v>
      </c>
      <c r="AL32" s="64" cm="1">
        <f t="array" ref="AL32">IFERROR(INDEX('Offer Statistics'!FI$2:FI$400,MATCH(1,($A32='Offer Statistics'!$FF$2:$FF$400)*($AB$2='Offer Statistics'!$FG$2:$FG$400),0)),"/")</f>
        <v>517</v>
      </c>
      <c r="AM32" s="64" cm="1">
        <f t="array" ref="AM32">IFERROR(INDEX('Offer Statistics'!FJ$2:FJ$400,MATCH(1,($A32='Offer Statistics'!$FF$2:$FF$400)*($AB$2='Offer Statistics'!$FG$2:$FG$400),0)),"/")</f>
        <v>652</v>
      </c>
      <c r="AN32" s="64" cm="1">
        <f t="array" ref="AN32">IFERROR(INDEX('Offer Statistics'!FK$2:FK$400,MATCH(1,($A32='Offer Statistics'!$FF$2:$FF$400)*($AB$2='Offer Statistics'!$FG$2:$FG$400),0)),"/")</f>
        <v>719</v>
      </c>
      <c r="AO32" s="64" cm="1">
        <f t="array" ref="AO32">IFERROR(INDEX('Offer Statistics'!FL$2:FL$400,MATCH(1,($A32='Offer Statistics'!$FF$2:$FF$400)*($AB$2='Offer Statistics'!$FG$2:$FG$400),0)),"/")</f>
        <v>815</v>
      </c>
      <c r="AP32" s="4"/>
      <c r="AQ32" s="15" t="str">
        <f t="shared" si="3"/>
        <v>JSSU69</v>
      </c>
      <c r="AR32" s="4"/>
    </row>
    <row r="33" spans="1:44" ht="14.55" customHeight="1">
      <c r="A33" s="4" t="str">
        <f>'Reference Score Calculation'!A387</f>
        <v>JSSU70</v>
      </c>
      <c r="B33" s="4" t="str">
        <f>'Reference Score Calculation'!C387</f>
        <v>都會大學</v>
      </c>
      <c r="C33" s="4" t="str">
        <f>'Reference Score Calculation'!D387</f>
        <v>數據科學及人工智能榮譽理學士</v>
      </c>
      <c r="D33" s="4" t="str">
        <f>'Reference Score Calculation'!R387</f>
        <v>BSc (Hons) Data Sci &amp; AI</v>
      </c>
      <c r="E33" s="15" t="str">
        <f>'Reference Score Calculation'!E387</f>
        <v>Best 5</v>
      </c>
      <c r="F33" s="6" t="str">
        <f>'Reference Score Calculation'!G387</f>
        <v>/</v>
      </c>
      <c r="G33" s="473">
        <f>'Reference Score Calculation'!H387</f>
        <v>16</v>
      </c>
      <c r="H33" s="6">
        <f>'Reference Score Calculation'!I387</f>
        <v>15</v>
      </c>
      <c r="I33" s="45">
        <f>計分版!J410</f>
        <v>3.9500000000000006E-9</v>
      </c>
      <c r="J33" s="25">
        <f t="shared" si="10"/>
        <v>-15.999999996050001</v>
      </c>
      <c r="K33" s="26">
        <f t="shared" si="11"/>
        <v>-4050632910.3924046</v>
      </c>
      <c r="L33" s="36">
        <f>'Reference Score Calculation'!T387</f>
        <v>35</v>
      </c>
      <c r="M33" s="86">
        <f>入學要求!Z396</f>
        <v>0</v>
      </c>
      <c r="N33" s="516"/>
      <c r="O33" s="15">
        <v>3</v>
      </c>
      <c r="P33" s="15">
        <v>3</v>
      </c>
      <c r="Q33" s="15">
        <v>2</v>
      </c>
      <c r="R33" s="15">
        <v>2</v>
      </c>
      <c r="S33" s="15">
        <v>2</v>
      </c>
      <c r="T33" s="15">
        <v>2</v>
      </c>
      <c r="U33" s="285">
        <f>入學要求!S396</f>
        <v>0</v>
      </c>
      <c r="V33" s="285">
        <f>入學要求!T396</f>
        <v>0</v>
      </c>
      <c r="W33" s="285">
        <f>入學要求!U396</f>
        <v>0</v>
      </c>
      <c r="X33" s="285">
        <f>入學要求!V396</f>
        <v>0</v>
      </c>
      <c r="Y33" s="285">
        <f>入學要求!W396</f>
        <v>0</v>
      </c>
      <c r="Z33" s="285">
        <f>入學要求!X396</f>
        <v>0</v>
      </c>
      <c r="AA33" s="36">
        <f t="shared" si="2"/>
        <v>6.69</v>
      </c>
      <c r="AB33" s="510"/>
      <c r="AC33" s="36" cm="1">
        <f t="array" ref="AC33">IFERROR(INDEX('Offer Statistics'!FU$2:FU$400,MATCH(1,($A33='Offer Statistics'!$FF$2:$FF$400)*($AB$2='Offer Statistics'!$FG$2:$FG$400),0)),"/")</f>
        <v>54</v>
      </c>
      <c r="AD33" s="64" cm="1">
        <f t="array" ref="AD33">IFERROR(INDEX('Offer Statistics'!FP$2:FP$400,MATCH(1,($A33='Offer Statistics'!$FF$2:$FF$400)*($AB$2='Offer Statistics'!$FG$2:$FG$400),0)),"/")</f>
        <v>29</v>
      </c>
      <c r="AE33" s="64" cm="1">
        <f t="array" ref="AE33">IFERROR(INDEX('Offer Statistics'!FQ$2:FQ$400,MATCH(1,($A33='Offer Statistics'!$FF$2:$FF$400)*($AB$2='Offer Statistics'!$FG$2:$FG$400),0)),"/")</f>
        <v>17</v>
      </c>
      <c r="AF33" s="64" cm="1">
        <f t="array" ref="AF33">IFERROR(INDEX('Offer Statistics'!FR$2:FR$400,MATCH(1,($A33='Offer Statistics'!$FF$2:$FF$400)*($AB$2='Offer Statistics'!$FG$2:$FG$400),0)),"/")</f>
        <v>5</v>
      </c>
      <c r="AG33" s="64" cm="1">
        <f t="array" ref="AG33">IFERROR(INDEX('Offer Statistics'!FS$2:FS$400,MATCH(1,($A33='Offer Statistics'!$FF$2:$FF$400)*($AB$2='Offer Statistics'!$FG$2:$FG$400),0)),"/")</f>
        <v>3</v>
      </c>
      <c r="AH33" s="64" cm="1">
        <f t="array" ref="AH33">IFERROR(INDEX('Offer Statistics'!FT$2:FT$400,MATCH(1,($A33='Offer Statistics'!$FF$2:$FF$400)*($AB$2='Offer Statistics'!$FG$2:$FG$400),0)),"/")</f>
        <v>0</v>
      </c>
      <c r="AI33" s="524"/>
      <c r="AJ33" s="36" cm="1">
        <f t="array" ref="AJ33">IFERROR(INDEX('Offer Statistics'!FM$2:FM$400,MATCH(1,($A33='Offer Statistics'!$FF$2:$FF$400)*($AB$2='Offer Statistics'!$FG$2:$FG$400),0)),"/")</f>
        <v>1939</v>
      </c>
      <c r="AK33" s="64" cm="1">
        <f t="array" ref="AK33">IFERROR(INDEX('Offer Statistics'!FH$2:FH$400,MATCH(1,($A33='Offer Statistics'!$FF$2:$FF$400)*($AB$2='Offer Statistics'!$FG$2:$FG$400),0)),"/")</f>
        <v>194</v>
      </c>
      <c r="AL33" s="64" cm="1">
        <f t="array" ref="AL33">IFERROR(INDEX('Offer Statistics'!FI$2:FI$400,MATCH(1,($A33='Offer Statistics'!$FF$2:$FF$400)*($AB$2='Offer Statistics'!$FG$2:$FG$400),0)),"/")</f>
        <v>348</v>
      </c>
      <c r="AM33" s="64" cm="1">
        <f t="array" ref="AM33">IFERROR(INDEX('Offer Statistics'!FJ$2:FJ$400,MATCH(1,($A33='Offer Statistics'!$FF$2:$FF$400)*($AB$2='Offer Statistics'!$FG$2:$FG$400),0)),"/")</f>
        <v>336</v>
      </c>
      <c r="AN33" s="64" cm="1">
        <f t="array" ref="AN33">IFERROR(INDEX('Offer Statistics'!FK$2:FK$400,MATCH(1,($A33='Offer Statistics'!$FF$2:$FF$400)*($AB$2='Offer Statistics'!$FG$2:$FG$400),0)),"/")</f>
        <v>442</v>
      </c>
      <c r="AO33" s="64" cm="1">
        <f t="array" ref="AO33">IFERROR(INDEX('Offer Statistics'!FL$2:FL$400,MATCH(1,($A33='Offer Statistics'!$FF$2:$FF$400)*($AB$2='Offer Statistics'!$FG$2:$FG$400),0)),"/")</f>
        <v>619</v>
      </c>
      <c r="AP33" s="4"/>
      <c r="AQ33" s="15" t="str">
        <f t="shared" si="3"/>
        <v>JSSU70</v>
      </c>
      <c r="AR33" s="4"/>
    </row>
    <row r="34" spans="1:44" ht="14.55" customHeight="1">
      <c r="A34" s="4" t="str">
        <f>'Reference Score Calculation'!A388</f>
        <v>JSSU72</v>
      </c>
      <c r="B34" s="4" t="str">
        <f>'Reference Score Calculation'!C388</f>
        <v>都會大學</v>
      </c>
      <c r="C34" s="4" t="str">
        <f>'Reference Score Calculation'!D388</f>
        <v>電腦科學榮譽理學士</v>
      </c>
      <c r="D34" s="4" t="str">
        <f>'Reference Score Calculation'!R388</f>
        <v>BSc (Hons)CompSci</v>
      </c>
      <c r="E34" s="15" t="str">
        <f>'Reference Score Calculation'!E388</f>
        <v>Best 5</v>
      </c>
      <c r="F34" s="6" t="str">
        <f>'Reference Score Calculation'!G388</f>
        <v>/</v>
      </c>
      <c r="G34" s="473">
        <f>'Reference Score Calculation'!H388</f>
        <v>16</v>
      </c>
      <c r="H34" s="6">
        <f>'Reference Score Calculation'!I388</f>
        <v>16</v>
      </c>
      <c r="I34" s="45">
        <f>計分版!J411</f>
        <v>3.9500000000000006E-9</v>
      </c>
      <c r="J34" s="25">
        <f t="shared" si="10"/>
        <v>-15.999999996050001</v>
      </c>
      <c r="K34" s="26">
        <f t="shared" si="11"/>
        <v>-4050632910.3924046</v>
      </c>
      <c r="L34" s="36">
        <f>'Reference Score Calculation'!T388</f>
        <v>45</v>
      </c>
      <c r="M34" s="86">
        <f>入學要求!Z397</f>
        <v>0</v>
      </c>
      <c r="N34" s="516"/>
      <c r="O34" s="15">
        <v>3</v>
      </c>
      <c r="P34" s="15">
        <v>3</v>
      </c>
      <c r="Q34" s="15">
        <v>2</v>
      </c>
      <c r="R34" s="15">
        <v>2</v>
      </c>
      <c r="S34" s="15">
        <v>2</v>
      </c>
      <c r="T34" s="15">
        <v>2</v>
      </c>
      <c r="U34" s="285">
        <f>入學要求!S397</f>
        <v>0</v>
      </c>
      <c r="V34" s="285">
        <f>入學要求!T397</f>
        <v>0</v>
      </c>
      <c r="W34" s="285">
        <f>入學要求!U397</f>
        <v>0</v>
      </c>
      <c r="X34" s="285">
        <f>入學要求!V397</f>
        <v>0</v>
      </c>
      <c r="Y34" s="285">
        <f>入學要求!W397</f>
        <v>0</v>
      </c>
      <c r="Z34" s="285">
        <f>入學要求!X397</f>
        <v>0</v>
      </c>
      <c r="AA34" s="36">
        <f t="shared" si="2"/>
        <v>5.63</v>
      </c>
      <c r="AB34" s="510"/>
      <c r="AC34" s="36" cm="1">
        <f t="array" ref="AC34">IFERROR(INDEX('Offer Statistics'!FU$2:FU$400,MATCH(1,($A34='Offer Statistics'!$FF$2:$FF$400)*($AB$2='Offer Statistics'!$FG$2:$FG$400),0)),"/")</f>
        <v>68</v>
      </c>
      <c r="AD34" s="64" cm="1">
        <f t="array" ref="AD34">IFERROR(INDEX('Offer Statistics'!FP$2:FP$400,MATCH(1,($A34='Offer Statistics'!$FF$2:$FF$400)*($AB$2='Offer Statistics'!$FG$2:$FG$400),0)),"/")</f>
        <v>46</v>
      </c>
      <c r="AE34" s="64" cm="1">
        <f t="array" ref="AE34">IFERROR(INDEX('Offer Statistics'!FQ$2:FQ$400,MATCH(1,($A34='Offer Statistics'!$FF$2:$FF$400)*($AB$2='Offer Statistics'!$FG$2:$FG$400),0)),"/")</f>
        <v>12</v>
      </c>
      <c r="AF34" s="64" cm="1">
        <f t="array" ref="AF34">IFERROR(INDEX('Offer Statistics'!FR$2:FR$400,MATCH(1,($A34='Offer Statistics'!$FF$2:$FF$400)*($AB$2='Offer Statistics'!$FG$2:$FG$400),0)),"/")</f>
        <v>4</v>
      </c>
      <c r="AG34" s="64" cm="1">
        <f t="array" ref="AG34">IFERROR(INDEX('Offer Statistics'!FS$2:FS$400,MATCH(1,($A34='Offer Statistics'!$FF$2:$FF$400)*($AB$2='Offer Statistics'!$FG$2:$FG$400),0)),"/")</f>
        <v>1</v>
      </c>
      <c r="AH34" s="64" cm="1">
        <f t="array" ref="AH34">IFERROR(INDEX('Offer Statistics'!FT$2:FT$400,MATCH(1,($A34='Offer Statistics'!$FF$2:$FF$400)*($AB$2='Offer Statistics'!$FG$2:$FG$400),0)),"/")</f>
        <v>5</v>
      </c>
      <c r="AI34" s="524"/>
      <c r="AJ34" s="36" cm="1">
        <f t="array" ref="AJ34">IFERROR(INDEX('Offer Statistics'!FM$2:FM$400,MATCH(1,($A34='Offer Statistics'!$FF$2:$FF$400)*($AB$2='Offer Statistics'!$FG$2:$FG$400),0)),"/")</f>
        <v>1813</v>
      </c>
      <c r="AK34" s="64" cm="1">
        <f t="array" ref="AK34">IFERROR(INDEX('Offer Statistics'!FH$2:FH$400,MATCH(1,($A34='Offer Statistics'!$FF$2:$FF$400)*($AB$2='Offer Statistics'!$FG$2:$FG$400),0)),"/")</f>
        <v>259</v>
      </c>
      <c r="AL34" s="64" cm="1">
        <f t="array" ref="AL34">IFERROR(INDEX('Offer Statistics'!FI$2:FI$400,MATCH(1,($A34='Offer Statistics'!$FF$2:$FF$400)*($AB$2='Offer Statistics'!$FG$2:$FG$400),0)),"/")</f>
        <v>328</v>
      </c>
      <c r="AM34" s="64" cm="1">
        <f t="array" ref="AM34">IFERROR(INDEX('Offer Statistics'!FJ$2:FJ$400,MATCH(1,($A34='Offer Statistics'!$FF$2:$FF$400)*($AB$2='Offer Statistics'!$FG$2:$FG$400),0)),"/")</f>
        <v>320</v>
      </c>
      <c r="AN34" s="64" cm="1">
        <f t="array" ref="AN34">IFERROR(INDEX('Offer Statistics'!FK$2:FK$400,MATCH(1,($A34='Offer Statistics'!$FF$2:$FF$400)*($AB$2='Offer Statistics'!$FG$2:$FG$400),0)),"/")</f>
        <v>376</v>
      </c>
      <c r="AO34" s="64" cm="1">
        <f t="array" ref="AO34">IFERROR(INDEX('Offer Statistics'!FL$2:FL$400,MATCH(1,($A34='Offer Statistics'!$FF$2:$FF$400)*($AB$2='Offer Statistics'!$FG$2:$FG$400),0)),"/")</f>
        <v>530</v>
      </c>
      <c r="AQ34" s="15" t="str">
        <f t="shared" si="3"/>
        <v>JSSU72</v>
      </c>
    </row>
    <row r="35" spans="1:44" ht="14.55" customHeight="1">
      <c r="A35" s="4" t="str">
        <f>'Reference Score Calculation'!A389</f>
        <v>JSSU77</v>
      </c>
      <c r="B35" s="4" t="str">
        <f>'Reference Score Calculation'!C389</f>
        <v>都會大學</v>
      </c>
      <c r="C35" s="4" t="str">
        <f>'Reference Score Calculation'!D389</f>
        <v>建築管理及工料測量學榮譽理學士</v>
      </c>
      <c r="D35" s="4" t="str">
        <f>'Reference Score Calculation'!R389</f>
        <v>BSc(Hons)CMQSurveying</v>
      </c>
      <c r="E35" s="15" t="str">
        <f>'Reference Score Calculation'!E389</f>
        <v>24年新科目</v>
      </c>
      <c r="F35" s="6" t="str">
        <f>'Reference Score Calculation'!G389</f>
        <v>/</v>
      </c>
      <c r="G35" s="473" t="str">
        <f>'Reference Score Calculation'!H389</f>
        <v>/</v>
      </c>
      <c r="H35" s="6" t="str">
        <f>'Reference Score Calculation'!I389</f>
        <v>/</v>
      </c>
      <c r="I35" s="45">
        <f>計分版!J412</f>
        <v>0</v>
      </c>
      <c r="J35" s="7" t="str">
        <f t="shared" ref="J35" si="14">IFERROR(IF(J$1="差距(Median)",I35-G35,IF(J$1="差距(UQ)",I35-G35,IF(J$1="差距(LQ)",I35-H35))),"/")</f>
        <v>/</v>
      </c>
      <c r="K35" s="8" t="str">
        <f t="shared" ref="K35" si="15">IFERROR(IF(J$1="差距(Median)",(I35-G35)/I35,IF(J$1="差距(UQ)",(I35-G35)/I35,IF(J$1="差距(LQ)",(I35-H35)/I35))),"/")</f>
        <v>/</v>
      </c>
      <c r="L35" s="36">
        <f>'Reference Score Calculation'!T389</f>
        <v>25</v>
      </c>
      <c r="M35" s="86">
        <f>入學要求!Z398</f>
        <v>0</v>
      </c>
      <c r="N35" s="516"/>
      <c r="O35" s="15">
        <v>3</v>
      </c>
      <c r="P35" s="15">
        <v>3</v>
      </c>
      <c r="Q35" s="15">
        <v>2</v>
      </c>
      <c r="R35" s="15">
        <v>2</v>
      </c>
      <c r="S35" s="15">
        <v>2</v>
      </c>
      <c r="T35" s="15">
        <v>2</v>
      </c>
      <c r="U35" s="285">
        <f>入學要求!S398</f>
        <v>0</v>
      </c>
      <c r="V35" s="285">
        <f>入學要求!T398</f>
        <v>0</v>
      </c>
      <c r="W35" s="285">
        <f>入學要求!U398</f>
        <v>0</v>
      </c>
      <c r="X35" s="285">
        <f>入學要求!V398</f>
        <v>0</v>
      </c>
      <c r="Y35" s="285">
        <f>入學要求!W398</f>
        <v>0</v>
      </c>
      <c r="Z35" s="285">
        <f>入學要求!X398</f>
        <v>0</v>
      </c>
      <c r="AA35" s="36" t="str">
        <f t="shared" si="2"/>
        <v>/</v>
      </c>
      <c r="AB35" s="510"/>
      <c r="AC35" s="36" t="str" cm="1">
        <f t="array" ref="AC35">IFERROR(INDEX('Offer Statistics'!FU$2:FU$400,MATCH(1,($A35='Offer Statistics'!$FF$2:$FF$400)*($AB$2='Offer Statistics'!$FG$2:$FG$400),0)),"/")</f>
        <v>/</v>
      </c>
      <c r="AD35" s="64" t="str" cm="1">
        <f t="array" ref="AD35">IFERROR(INDEX('Offer Statistics'!FP$2:FP$400,MATCH(1,($A35='Offer Statistics'!$FF$2:$FF$400)*($AB$2='Offer Statistics'!$FG$2:$FG$400),0)),"/")</f>
        <v>/</v>
      </c>
      <c r="AE35" s="64" t="str" cm="1">
        <f t="array" ref="AE35">IFERROR(INDEX('Offer Statistics'!FQ$2:FQ$400,MATCH(1,($A35='Offer Statistics'!$FF$2:$FF$400)*($AB$2='Offer Statistics'!$FG$2:$FG$400),0)),"/")</f>
        <v>/</v>
      </c>
      <c r="AF35" s="64" t="str" cm="1">
        <f t="array" ref="AF35">IFERROR(INDEX('Offer Statistics'!FR$2:FR$400,MATCH(1,($A35='Offer Statistics'!$FF$2:$FF$400)*($AB$2='Offer Statistics'!$FG$2:$FG$400),0)),"/")</f>
        <v>/</v>
      </c>
      <c r="AG35" s="64" t="str" cm="1">
        <f t="array" ref="AG35">IFERROR(INDEX('Offer Statistics'!FS$2:FS$400,MATCH(1,($A35='Offer Statistics'!$FF$2:$FF$400)*($AB$2='Offer Statistics'!$FG$2:$FG$400),0)),"/")</f>
        <v>/</v>
      </c>
      <c r="AH35" s="64" t="str" cm="1">
        <f t="array" ref="AH35">IFERROR(INDEX('Offer Statistics'!FT$2:FT$400,MATCH(1,($A35='Offer Statistics'!$FF$2:$FF$400)*($AB$2='Offer Statistics'!$FG$2:$FG$400),0)),"/")</f>
        <v>/</v>
      </c>
      <c r="AI35" s="524"/>
      <c r="AJ35" s="36" t="str" cm="1">
        <f t="array" ref="AJ35">IFERROR(INDEX('Offer Statistics'!FM$2:FM$400,MATCH(1,($A35='Offer Statistics'!$FF$2:$FF$400)*($AB$2='Offer Statistics'!$FG$2:$FG$400),0)),"/")</f>
        <v>/</v>
      </c>
      <c r="AK35" s="64" t="str" cm="1">
        <f t="array" ref="AK35">IFERROR(INDEX('Offer Statistics'!FH$2:FH$400,MATCH(1,($A35='Offer Statistics'!$FF$2:$FF$400)*($AB$2='Offer Statistics'!$FG$2:$FG$400),0)),"/")</f>
        <v>/</v>
      </c>
      <c r="AL35" s="64" t="str" cm="1">
        <f t="array" ref="AL35">IFERROR(INDEX('Offer Statistics'!FI$2:FI$400,MATCH(1,($A35='Offer Statistics'!$FF$2:$FF$400)*($AB$2='Offer Statistics'!$FG$2:$FG$400),0)),"/")</f>
        <v>/</v>
      </c>
      <c r="AM35" s="64" t="str" cm="1">
        <f t="array" ref="AM35">IFERROR(INDEX('Offer Statistics'!FJ$2:FJ$400,MATCH(1,($A35='Offer Statistics'!$FF$2:$FF$400)*($AB$2='Offer Statistics'!$FG$2:$FG$400),0)),"/")</f>
        <v>/</v>
      </c>
      <c r="AN35" s="64" t="str" cm="1">
        <f t="array" ref="AN35">IFERROR(INDEX('Offer Statistics'!FK$2:FK$400,MATCH(1,($A35='Offer Statistics'!$FF$2:$FF$400)*($AB$2='Offer Statistics'!$FG$2:$FG$400),0)),"/")</f>
        <v>/</v>
      </c>
      <c r="AO35" s="64" t="str" cm="1">
        <f t="array" ref="AO35">IFERROR(INDEX('Offer Statistics'!FL$2:FL$400,MATCH(1,($A35='Offer Statistics'!$FF$2:$FF$400)*($AB$2='Offer Statistics'!$FG$2:$FG$400),0)),"/")</f>
        <v>/</v>
      </c>
      <c r="AQ35" s="15" t="str">
        <f t="shared" si="3"/>
        <v>JSSU77</v>
      </c>
    </row>
    <row r="36" spans="1:44" ht="14.55" customHeight="1">
      <c r="A36" s="4" t="str">
        <f>'Reference Score Calculation'!A390</f>
        <v>JSSU78</v>
      </c>
      <c r="B36" s="4" t="str">
        <f>'Reference Score Calculation'!C390</f>
        <v>都會大學</v>
      </c>
      <c r="C36" s="4" t="str">
        <f>'Reference Score Calculation'!D390</f>
        <v>屋宇設備工程及可持續發展榮譽工學士</v>
      </c>
      <c r="D36" s="4" t="str">
        <f>'Reference Score Calculation'!R390</f>
        <v>BEng(Hons)BSE&amp;SustainDev</v>
      </c>
      <c r="E36" s="15" t="str">
        <f>'Reference Score Calculation'!E390</f>
        <v>Best 5</v>
      </c>
      <c r="F36" s="6" t="str">
        <f>'Reference Score Calculation'!G390</f>
        <v>/</v>
      </c>
      <c r="G36" s="473">
        <f>'Reference Score Calculation'!H390</f>
        <v>16</v>
      </c>
      <c r="H36" s="6">
        <f>'Reference Score Calculation'!I390</f>
        <v>16</v>
      </c>
      <c r="I36" s="45">
        <f>計分版!J413</f>
        <v>3.9500000000000006E-9</v>
      </c>
      <c r="J36" s="25">
        <f t="shared" si="10"/>
        <v>-15.999999996050001</v>
      </c>
      <c r="K36" s="26">
        <f t="shared" si="11"/>
        <v>-4050632910.3924046</v>
      </c>
      <c r="L36" s="36">
        <f>'Reference Score Calculation'!T390</f>
        <v>25</v>
      </c>
      <c r="M36" s="86">
        <f>入學要求!Z399</f>
        <v>0</v>
      </c>
      <c r="N36" s="516"/>
      <c r="O36" s="15">
        <v>3</v>
      </c>
      <c r="P36" s="15">
        <v>3</v>
      </c>
      <c r="Q36" s="15">
        <v>2</v>
      </c>
      <c r="R36" s="15">
        <v>2</v>
      </c>
      <c r="S36" s="15">
        <v>2</v>
      </c>
      <c r="T36" s="15">
        <v>2</v>
      </c>
      <c r="U36" s="285">
        <f>入學要求!S399</f>
        <v>0</v>
      </c>
      <c r="V36" s="285">
        <f>入學要求!T399</f>
        <v>0</v>
      </c>
      <c r="W36" s="285">
        <f>入學要求!U399</f>
        <v>0</v>
      </c>
      <c r="X36" s="285">
        <f>入學要求!V399</f>
        <v>0</v>
      </c>
      <c r="Y36" s="285">
        <f>入學要求!W399</f>
        <v>0</v>
      </c>
      <c r="Z36" s="285">
        <f>入學要求!X399</f>
        <v>0</v>
      </c>
      <c r="AA36" s="36">
        <f t="shared" si="2"/>
        <v>7.5</v>
      </c>
      <c r="AB36" s="510"/>
      <c r="AC36" s="36" cm="1">
        <f t="array" ref="AC36">IFERROR(INDEX('Offer Statistics'!FU$2:FU$400,MATCH(1,($A36='Offer Statistics'!$FF$2:$FF$400)*($AB$2='Offer Statistics'!$FG$2:$FG$400),0)),"/")</f>
        <v>15</v>
      </c>
      <c r="AD36" s="64" cm="1">
        <f t="array" ref="AD36">IFERROR(INDEX('Offer Statistics'!FP$2:FP$400,MATCH(1,($A36='Offer Statistics'!$FF$2:$FF$400)*($AB$2='Offer Statistics'!$FG$2:$FG$400),0)),"/")</f>
        <v>12</v>
      </c>
      <c r="AE36" s="64" cm="1">
        <f t="array" ref="AE36">IFERROR(INDEX('Offer Statistics'!FQ$2:FQ$400,MATCH(1,($A36='Offer Statistics'!$FF$2:$FF$400)*($AB$2='Offer Statistics'!$FG$2:$FG$400),0)),"/")</f>
        <v>2</v>
      </c>
      <c r="AF36" s="64" cm="1">
        <f t="array" ref="AF36">IFERROR(INDEX('Offer Statistics'!FR$2:FR$400,MATCH(1,($A36='Offer Statistics'!$FF$2:$FF$400)*($AB$2='Offer Statistics'!$FG$2:$FG$400),0)),"/")</f>
        <v>0</v>
      </c>
      <c r="AG36" s="64" cm="1">
        <f t="array" ref="AG36">IFERROR(INDEX('Offer Statistics'!FS$2:FS$400,MATCH(1,($A36='Offer Statistics'!$FF$2:$FF$400)*($AB$2='Offer Statistics'!$FG$2:$FG$400),0)),"/")</f>
        <v>1</v>
      </c>
      <c r="AH36" s="64" cm="1">
        <f t="array" ref="AH36">IFERROR(INDEX('Offer Statistics'!FT$2:FT$400,MATCH(1,($A36='Offer Statistics'!$FF$2:$FF$400)*($AB$2='Offer Statistics'!$FG$2:$FG$400),0)),"/")</f>
        <v>0</v>
      </c>
      <c r="AI36" s="524"/>
      <c r="AJ36" s="36" cm="1">
        <f t="array" ref="AJ36">IFERROR(INDEX('Offer Statistics'!FM$2:FM$400,MATCH(1,($A36='Offer Statistics'!$FF$2:$FF$400)*($AB$2='Offer Statistics'!$FG$2:$FG$400),0)),"/")</f>
        <v>962</v>
      </c>
      <c r="AK36" s="64" cm="1">
        <f t="array" ref="AK36">IFERROR(INDEX('Offer Statistics'!FH$2:FH$400,MATCH(1,($A36='Offer Statistics'!$FF$2:$FF$400)*($AB$2='Offer Statistics'!$FG$2:$FG$400),0)),"/")</f>
        <v>90</v>
      </c>
      <c r="AL36" s="64" cm="1">
        <f t="array" ref="AL36">IFERROR(INDEX('Offer Statistics'!FI$2:FI$400,MATCH(1,($A36='Offer Statistics'!$FF$2:$FF$400)*($AB$2='Offer Statistics'!$FG$2:$FG$400),0)),"/")</f>
        <v>157</v>
      </c>
      <c r="AM36" s="64" cm="1">
        <f t="array" ref="AM36">IFERROR(INDEX('Offer Statistics'!FJ$2:FJ$400,MATCH(1,($A36='Offer Statistics'!$FF$2:$FF$400)*($AB$2='Offer Statistics'!$FG$2:$FG$400),0)),"/")</f>
        <v>181</v>
      </c>
      <c r="AN36" s="64" cm="1">
        <f t="array" ref="AN36">IFERROR(INDEX('Offer Statistics'!FK$2:FK$400,MATCH(1,($A36='Offer Statistics'!$FF$2:$FF$400)*($AB$2='Offer Statistics'!$FG$2:$FG$400),0)),"/")</f>
        <v>225</v>
      </c>
      <c r="AO36" s="64" cm="1">
        <f t="array" ref="AO36">IFERROR(INDEX('Offer Statistics'!FL$2:FL$400,MATCH(1,($A36='Offer Statistics'!$FF$2:$FF$400)*($AB$2='Offer Statistics'!$FG$2:$FG$400),0)),"/")</f>
        <v>309</v>
      </c>
      <c r="AQ36" s="15" t="str">
        <f t="shared" si="3"/>
        <v>JSSU78</v>
      </c>
    </row>
    <row r="37" spans="1:44" ht="14.55" customHeight="1">
      <c r="A37" s="4" t="str">
        <f>'Reference Score Calculation'!A391</f>
        <v>JSSU79</v>
      </c>
      <c r="B37" s="4" t="str">
        <f>'Reference Score Calculation'!C391</f>
        <v>都會大學</v>
      </c>
      <c r="C37" s="4" t="str">
        <f>'Reference Score Calculation'!D391</f>
        <v>土木工程榮譽工學士</v>
      </c>
      <c r="D37" s="4" t="str">
        <f>'Reference Score Calculation'!R391</f>
        <v>BEng(Hons)Civil Eng</v>
      </c>
      <c r="E37" s="15" t="str">
        <f>'Reference Score Calculation'!E391</f>
        <v>Best 5</v>
      </c>
      <c r="F37" s="6" t="str">
        <f>'Reference Score Calculation'!G391</f>
        <v>/</v>
      </c>
      <c r="G37" s="473">
        <f>'Reference Score Calculation'!H391</f>
        <v>17</v>
      </c>
      <c r="H37" s="6">
        <f>'Reference Score Calculation'!I391</f>
        <v>16</v>
      </c>
      <c r="I37" s="45">
        <f>計分版!J414</f>
        <v>3.9500000000000006E-9</v>
      </c>
      <c r="J37" s="25">
        <f t="shared" si="10"/>
        <v>-16.999999996050001</v>
      </c>
      <c r="K37" s="26">
        <f t="shared" si="11"/>
        <v>-4303797467.3544302</v>
      </c>
      <c r="L37" s="36">
        <f>'Reference Score Calculation'!T391</f>
        <v>40</v>
      </c>
      <c r="M37" s="86">
        <f>入學要求!Z400</f>
        <v>0</v>
      </c>
      <c r="N37" s="516"/>
      <c r="O37" s="15">
        <v>3</v>
      </c>
      <c r="P37" s="15">
        <v>3</v>
      </c>
      <c r="Q37" s="15">
        <v>2</v>
      </c>
      <c r="R37" s="15">
        <v>2</v>
      </c>
      <c r="S37" s="15">
        <v>2</v>
      </c>
      <c r="T37" s="15">
        <v>2</v>
      </c>
      <c r="U37" s="285">
        <f>入學要求!S400</f>
        <v>0</v>
      </c>
      <c r="V37" s="285">
        <f>入學要求!T400</f>
        <v>0</v>
      </c>
      <c r="W37" s="285">
        <f>入學要求!U400</f>
        <v>0</v>
      </c>
      <c r="X37" s="285">
        <f>入學要求!V400</f>
        <v>0</v>
      </c>
      <c r="Y37" s="285">
        <f>入學要求!W400</f>
        <v>0</v>
      </c>
      <c r="Z37" s="285">
        <f>入學要求!X400</f>
        <v>0</v>
      </c>
      <c r="AA37" s="36">
        <f t="shared" si="2"/>
        <v>4.95</v>
      </c>
      <c r="AB37" s="510"/>
      <c r="AC37" s="36" cm="1">
        <f t="array" ref="AC37">IFERROR(INDEX('Offer Statistics'!FU$2:FU$400,MATCH(1,($A37='Offer Statistics'!$FF$2:$FF$400)*($AB$2='Offer Statistics'!$FG$2:$FG$400),0)),"/")</f>
        <v>55</v>
      </c>
      <c r="AD37" s="64" cm="1">
        <f t="array" ref="AD37">IFERROR(INDEX('Offer Statistics'!FP$2:FP$400,MATCH(1,($A37='Offer Statistics'!$FF$2:$FF$400)*($AB$2='Offer Statistics'!$FG$2:$FG$400),0)),"/")</f>
        <v>39</v>
      </c>
      <c r="AE37" s="64" cm="1">
        <f t="array" ref="AE37">IFERROR(INDEX('Offer Statistics'!FQ$2:FQ$400,MATCH(1,($A37='Offer Statistics'!$FF$2:$FF$400)*($AB$2='Offer Statistics'!$FG$2:$FG$400),0)),"/")</f>
        <v>9</v>
      </c>
      <c r="AF37" s="64" cm="1">
        <f t="array" ref="AF37">IFERROR(INDEX('Offer Statistics'!FR$2:FR$400,MATCH(1,($A37='Offer Statistics'!$FF$2:$FF$400)*($AB$2='Offer Statistics'!$FG$2:$FG$400),0)),"/")</f>
        <v>3</v>
      </c>
      <c r="AG37" s="64" cm="1">
        <f t="array" ref="AG37">IFERROR(INDEX('Offer Statistics'!FS$2:FS$400,MATCH(1,($A37='Offer Statistics'!$FF$2:$FF$400)*($AB$2='Offer Statistics'!$FG$2:$FG$400),0)),"/")</f>
        <v>2</v>
      </c>
      <c r="AH37" s="64" cm="1">
        <f t="array" ref="AH37">IFERROR(INDEX('Offer Statistics'!FT$2:FT$400,MATCH(1,($A37='Offer Statistics'!$FF$2:$FF$400)*($AB$2='Offer Statistics'!$FG$2:$FG$400),0)),"/")</f>
        <v>2</v>
      </c>
      <c r="AI37" s="524"/>
      <c r="AJ37" s="36" cm="1">
        <f t="array" ref="AJ37">IFERROR(INDEX('Offer Statistics'!FM$2:FM$400,MATCH(1,($A37='Offer Statistics'!$FF$2:$FF$400)*($AB$2='Offer Statistics'!$FG$2:$FG$400),0)),"/")</f>
        <v>1600</v>
      </c>
      <c r="AK37" s="64" cm="1">
        <f t="array" ref="AK37">IFERROR(INDEX('Offer Statistics'!FH$2:FH$400,MATCH(1,($A37='Offer Statistics'!$FF$2:$FF$400)*($AB$2='Offer Statistics'!$FG$2:$FG$400),0)),"/")</f>
        <v>193</v>
      </c>
      <c r="AL37" s="64" cm="1">
        <f t="array" ref="AL37">IFERROR(INDEX('Offer Statistics'!FI$2:FI$400,MATCH(1,($A37='Offer Statistics'!$FF$2:$FF$400)*($AB$2='Offer Statistics'!$FG$2:$FG$400),0)),"/")</f>
        <v>264</v>
      </c>
      <c r="AM37" s="64" cm="1">
        <f t="array" ref="AM37">IFERROR(INDEX('Offer Statistics'!FJ$2:FJ$400,MATCH(1,($A37='Offer Statistics'!$FF$2:$FF$400)*($AB$2='Offer Statistics'!$FG$2:$FG$400),0)),"/")</f>
        <v>268</v>
      </c>
      <c r="AN37" s="64" cm="1">
        <f t="array" ref="AN37">IFERROR(INDEX('Offer Statistics'!FK$2:FK$400,MATCH(1,($A37='Offer Statistics'!$FF$2:$FF$400)*($AB$2='Offer Statistics'!$FG$2:$FG$400),0)),"/")</f>
        <v>367</v>
      </c>
      <c r="AO37" s="64" cm="1">
        <f t="array" ref="AO37">IFERROR(INDEX('Offer Statistics'!FL$2:FL$400,MATCH(1,($A37='Offer Statistics'!$FF$2:$FF$400)*($AB$2='Offer Statistics'!$FG$2:$FG$400),0)),"/")</f>
        <v>508</v>
      </c>
      <c r="AP37" s="4"/>
      <c r="AQ37" s="15" t="str">
        <f t="shared" si="3"/>
        <v>JSSU79</v>
      </c>
      <c r="AR37" s="4"/>
    </row>
    <row r="38" spans="1:44" ht="14.55" customHeight="1">
      <c r="A38" s="4" t="str">
        <f>'Reference Score Calculation'!A392</f>
        <v>JSSU90</v>
      </c>
      <c r="B38" s="4" t="str">
        <f>'Reference Score Calculation'!C392</f>
        <v>都會大學</v>
      </c>
      <c r="C38" s="4" t="str">
        <f>'Reference Score Calculation'!D392</f>
        <v>國際款待及景區管理榮譽工商管理學士</v>
      </c>
      <c r="D38" s="4" t="str">
        <f>'Reference Score Calculation'!R392</f>
        <v>BBA(Hons)Hos&amp;AttractMgt</v>
      </c>
      <c r="E38" s="15" t="str">
        <f>'Reference Score Calculation'!E392</f>
        <v>Best 5</v>
      </c>
      <c r="F38" s="6" t="str">
        <f>'Reference Score Calculation'!G392</f>
        <v>/</v>
      </c>
      <c r="G38" s="473">
        <f>'Reference Score Calculation'!H392</f>
        <v>17</v>
      </c>
      <c r="H38" s="6">
        <f>'Reference Score Calculation'!I392</f>
        <v>16</v>
      </c>
      <c r="I38" s="45">
        <f>計分版!J415</f>
        <v>3.9500000000000006E-9</v>
      </c>
      <c r="J38" s="25">
        <f t="shared" si="10"/>
        <v>-16.999999996050001</v>
      </c>
      <c r="K38" s="26">
        <f t="shared" si="11"/>
        <v>-4303797467.3544302</v>
      </c>
      <c r="L38" s="36">
        <f>'Reference Score Calculation'!T392</f>
        <v>50</v>
      </c>
      <c r="M38" s="86">
        <f>入學要求!Z401</f>
        <v>0</v>
      </c>
      <c r="N38" s="516"/>
      <c r="O38" s="15">
        <v>3</v>
      </c>
      <c r="P38" s="15">
        <v>3</v>
      </c>
      <c r="Q38" s="15">
        <v>2</v>
      </c>
      <c r="R38" s="15">
        <v>2</v>
      </c>
      <c r="S38" s="15">
        <v>2</v>
      </c>
      <c r="T38" s="15">
        <v>2</v>
      </c>
      <c r="U38" s="285">
        <f>入學要求!S401</f>
        <v>0</v>
      </c>
      <c r="V38" s="285">
        <f>入學要求!T401</f>
        <v>0</v>
      </c>
      <c r="W38" s="285">
        <f>入學要求!U401</f>
        <v>0</v>
      </c>
      <c r="X38" s="285">
        <f>入學要求!V401</f>
        <v>0</v>
      </c>
      <c r="Y38" s="285">
        <f>入學要求!W401</f>
        <v>0</v>
      </c>
      <c r="Z38" s="285">
        <f>入學要求!X401</f>
        <v>0</v>
      </c>
      <c r="AA38" s="36">
        <f t="shared" si="2"/>
        <v>7.33</v>
      </c>
      <c r="AB38" s="510"/>
      <c r="AC38" s="36" cm="1">
        <f t="array" ref="AC38">IFERROR(INDEX('Offer Statistics'!FU$2:FU$400,MATCH(1,($A38='Offer Statistics'!$FF$2:$FF$400)*($AB$2='Offer Statistics'!$FG$2:$FG$400),0)),"/")</f>
        <v>66</v>
      </c>
      <c r="AD38" s="64" cm="1">
        <f t="array" ref="AD38">IFERROR(INDEX('Offer Statistics'!FP$2:FP$400,MATCH(1,($A38='Offer Statistics'!$FF$2:$FF$400)*($AB$2='Offer Statistics'!$FG$2:$FG$400),0)),"/")</f>
        <v>49</v>
      </c>
      <c r="AE38" s="64" cm="1">
        <f t="array" ref="AE38">IFERROR(INDEX('Offer Statistics'!FQ$2:FQ$400,MATCH(1,($A38='Offer Statistics'!$FF$2:$FF$400)*($AB$2='Offer Statistics'!$FG$2:$FG$400),0)),"/")</f>
        <v>7</v>
      </c>
      <c r="AF38" s="64" cm="1">
        <f t="array" ref="AF38">IFERROR(INDEX('Offer Statistics'!FR$2:FR$400,MATCH(1,($A38='Offer Statistics'!$FF$2:$FF$400)*($AB$2='Offer Statistics'!$FG$2:$FG$400),0)),"/")</f>
        <v>4</v>
      </c>
      <c r="AG38" s="64" cm="1">
        <f t="array" ref="AG38">IFERROR(INDEX('Offer Statistics'!FS$2:FS$400,MATCH(1,($A38='Offer Statistics'!$FF$2:$FF$400)*($AB$2='Offer Statistics'!$FG$2:$FG$400),0)),"/")</f>
        <v>3</v>
      </c>
      <c r="AH38" s="64" cm="1">
        <f t="array" ref="AH38">IFERROR(INDEX('Offer Statistics'!FT$2:FT$400,MATCH(1,($A38='Offer Statistics'!$FF$2:$FF$400)*($AB$2='Offer Statistics'!$FG$2:$FG$400),0)),"/")</f>
        <v>3</v>
      </c>
      <c r="AI38" s="524"/>
      <c r="AJ38" s="36" cm="1">
        <f t="array" ref="AJ38">IFERROR(INDEX('Offer Statistics'!FM$2:FM$400,MATCH(1,($A38='Offer Statistics'!$FF$2:$FF$400)*($AB$2='Offer Statistics'!$FG$2:$FG$400),0)),"/")</f>
        <v>2392</v>
      </c>
      <c r="AK38" s="64" cm="1">
        <f t="array" ref="AK38">IFERROR(INDEX('Offer Statistics'!FH$2:FH$400,MATCH(1,($A38='Offer Statistics'!$FF$2:$FF$400)*($AB$2='Offer Statistics'!$FG$2:$FG$400),0)),"/")</f>
        <v>359</v>
      </c>
      <c r="AL38" s="64" cm="1">
        <f t="array" ref="AL38">IFERROR(INDEX('Offer Statistics'!FI$2:FI$400,MATCH(1,($A38='Offer Statistics'!$FF$2:$FF$400)*($AB$2='Offer Statistics'!$FG$2:$FG$400),0)),"/")</f>
        <v>430</v>
      </c>
      <c r="AM38" s="64" cm="1">
        <f t="array" ref="AM38">IFERROR(INDEX('Offer Statistics'!FJ$2:FJ$400,MATCH(1,($A38='Offer Statistics'!$FF$2:$FF$400)*($AB$2='Offer Statistics'!$FG$2:$FG$400),0)),"/")</f>
        <v>440</v>
      </c>
      <c r="AN38" s="64" cm="1">
        <f t="array" ref="AN38">IFERROR(INDEX('Offer Statistics'!FK$2:FK$400,MATCH(1,($A38='Offer Statistics'!$FF$2:$FF$400)*($AB$2='Offer Statistics'!$FG$2:$FG$400),0)),"/")</f>
        <v>518</v>
      </c>
      <c r="AO38" s="64" cm="1">
        <f t="array" ref="AO38">IFERROR(INDEX('Offer Statistics'!FL$2:FL$400,MATCH(1,($A38='Offer Statistics'!$FF$2:$FF$400)*($AB$2='Offer Statistics'!$FG$2:$FG$400),0)),"/")</f>
        <v>645</v>
      </c>
      <c r="AP38" s="4"/>
      <c r="AQ38" s="15" t="str">
        <f t="shared" si="3"/>
        <v>JSSU90</v>
      </c>
      <c r="AR38" s="4"/>
    </row>
    <row r="39" spans="1:44" ht="14.55" customHeight="1">
      <c r="A39" s="4" t="str">
        <f>'Reference Score Calculation'!A393</f>
        <v>JSSU95</v>
      </c>
      <c r="B39" s="4" t="str">
        <f>'Reference Score Calculation'!C393</f>
        <v>都會大學</v>
      </c>
      <c r="C39" s="4" t="str">
        <f>'Reference Score Calculation'!D393</f>
        <v>運動及康樂管理榮譽工商管理學士</v>
      </c>
      <c r="D39" s="4" t="str">
        <f>'Reference Score Calculation'!R393</f>
        <v>BBA(Hons)Sports&amp;RecMgt</v>
      </c>
      <c r="E39" s="15" t="str">
        <f>'Reference Score Calculation'!E393</f>
        <v>Best 5</v>
      </c>
      <c r="F39" s="6" t="str">
        <f>'Reference Score Calculation'!G393</f>
        <v>/</v>
      </c>
      <c r="G39" s="473">
        <f>'Reference Score Calculation'!H393</f>
        <v>16</v>
      </c>
      <c r="H39" s="6">
        <f>'Reference Score Calculation'!I393</f>
        <v>15</v>
      </c>
      <c r="I39" s="45">
        <f>計分版!J416</f>
        <v>3.9500000000000006E-9</v>
      </c>
      <c r="J39" s="25">
        <f t="shared" si="10"/>
        <v>-15.999999996050001</v>
      </c>
      <c r="K39" s="26">
        <f t="shared" si="11"/>
        <v>-4050632910.3924046</v>
      </c>
      <c r="L39" s="36">
        <f>'Reference Score Calculation'!T393</f>
        <v>40</v>
      </c>
      <c r="M39" s="86">
        <f>入學要求!Z402</f>
        <v>0</v>
      </c>
      <c r="N39" s="516"/>
      <c r="O39" s="15">
        <v>3</v>
      </c>
      <c r="P39" s="15">
        <v>3</v>
      </c>
      <c r="Q39" s="15">
        <v>2</v>
      </c>
      <c r="R39" s="15">
        <v>2</v>
      </c>
      <c r="S39" s="15">
        <v>2</v>
      </c>
      <c r="T39" s="15">
        <v>2</v>
      </c>
      <c r="U39" s="285">
        <f>入學要求!S402</f>
        <v>0</v>
      </c>
      <c r="V39" s="285">
        <f>入學要求!T402</f>
        <v>0</v>
      </c>
      <c r="W39" s="285">
        <f>入學要求!U402</f>
        <v>0</v>
      </c>
      <c r="X39" s="285">
        <f>入學要求!V402</f>
        <v>0</v>
      </c>
      <c r="Y39" s="285">
        <f>入學要求!W402</f>
        <v>0</v>
      </c>
      <c r="Z39" s="285">
        <f>入學要求!X402</f>
        <v>0</v>
      </c>
      <c r="AA39" s="36">
        <f t="shared" si="2"/>
        <v>6.63</v>
      </c>
      <c r="AB39" s="510"/>
      <c r="AC39" s="36" cm="1">
        <f t="array" ref="AC39">IFERROR(INDEX('Offer Statistics'!FU$2:FU$400,MATCH(1,($A39='Offer Statistics'!$FF$2:$FF$400)*($AB$2='Offer Statistics'!$FG$2:$FG$400),0)),"/")</f>
        <v>84</v>
      </c>
      <c r="AD39" s="64" cm="1">
        <f t="array" ref="AD39">IFERROR(INDEX('Offer Statistics'!FP$2:FP$400,MATCH(1,($A39='Offer Statistics'!$FF$2:$FF$400)*($AB$2='Offer Statistics'!$FG$2:$FG$400),0)),"/")</f>
        <v>52</v>
      </c>
      <c r="AE39" s="64" cm="1">
        <f t="array" ref="AE39">IFERROR(INDEX('Offer Statistics'!FQ$2:FQ$400,MATCH(1,($A39='Offer Statistics'!$FF$2:$FF$400)*($AB$2='Offer Statistics'!$FG$2:$FG$400),0)),"/")</f>
        <v>18</v>
      </c>
      <c r="AF39" s="64" cm="1">
        <f t="array" ref="AF39">IFERROR(INDEX('Offer Statistics'!FR$2:FR$400,MATCH(1,($A39='Offer Statistics'!$FF$2:$FF$400)*($AB$2='Offer Statistics'!$FG$2:$FG$400),0)),"/")</f>
        <v>6</v>
      </c>
      <c r="AG39" s="64" cm="1">
        <f t="array" ref="AG39">IFERROR(INDEX('Offer Statistics'!FS$2:FS$400,MATCH(1,($A39='Offer Statistics'!$FF$2:$FF$400)*($AB$2='Offer Statistics'!$FG$2:$FG$400),0)),"/")</f>
        <v>3</v>
      </c>
      <c r="AH39" s="64" cm="1">
        <f t="array" ref="AH39">IFERROR(INDEX('Offer Statistics'!FT$2:FT$400,MATCH(1,($A39='Offer Statistics'!$FF$2:$FF$400)*($AB$2='Offer Statistics'!$FG$2:$FG$400),0)),"/")</f>
        <v>5</v>
      </c>
      <c r="AI39" s="524"/>
      <c r="AJ39" s="36" cm="1">
        <f t="array" ref="AJ39">IFERROR(INDEX('Offer Statistics'!FM$2:FM$400,MATCH(1,($A39='Offer Statistics'!$FF$2:$FF$400)*($AB$2='Offer Statistics'!$FG$2:$FG$400),0)),"/")</f>
        <v>2114</v>
      </c>
      <c r="AK39" s="64" cm="1">
        <f t="array" ref="AK39">IFERROR(INDEX('Offer Statistics'!FH$2:FH$400,MATCH(1,($A39='Offer Statistics'!$FF$2:$FF$400)*($AB$2='Offer Statistics'!$FG$2:$FG$400),0)),"/")</f>
        <v>345</v>
      </c>
      <c r="AL39" s="64" cm="1">
        <f t="array" ref="AL39">IFERROR(INDEX('Offer Statistics'!FI$2:FI$400,MATCH(1,($A39='Offer Statistics'!$FF$2:$FF$400)*($AB$2='Offer Statistics'!$FG$2:$FG$400),0)),"/")</f>
        <v>427</v>
      </c>
      <c r="AM39" s="64" cm="1">
        <f t="array" ref="AM39">IFERROR(INDEX('Offer Statistics'!FJ$2:FJ$400,MATCH(1,($A39='Offer Statistics'!$FF$2:$FF$400)*($AB$2='Offer Statistics'!$FG$2:$FG$400),0)),"/")</f>
        <v>428</v>
      </c>
      <c r="AN39" s="64" cm="1">
        <f t="array" ref="AN39">IFERROR(INDEX('Offer Statistics'!FK$2:FK$400,MATCH(1,($A39='Offer Statistics'!$FF$2:$FF$400)*($AB$2='Offer Statistics'!$FG$2:$FG$400),0)),"/")</f>
        <v>421</v>
      </c>
      <c r="AO39" s="64" cm="1">
        <f t="array" ref="AO39">IFERROR(INDEX('Offer Statistics'!FL$2:FL$400,MATCH(1,($A39='Offer Statistics'!$FF$2:$FF$400)*($AB$2='Offer Statistics'!$FG$2:$FG$400),0)),"/")</f>
        <v>493</v>
      </c>
      <c r="AP39" s="4"/>
      <c r="AQ39" s="15" t="str">
        <f t="shared" si="3"/>
        <v>JSSU95</v>
      </c>
      <c r="AR39" s="4"/>
    </row>
    <row r="40" spans="1:44" ht="14.55" customHeight="1">
      <c r="A40" s="4" t="str">
        <f>'Reference Score Calculation'!A394</f>
        <v>JSSU96</v>
      </c>
      <c r="B40" s="4" t="str">
        <f>'Reference Score Calculation'!C394</f>
        <v>都會大學</v>
      </c>
      <c r="C40" s="4" t="str">
        <f>'Reference Score Calculation'!D394</f>
        <v>財務及金融科技榮譽工商管理學士</v>
      </c>
      <c r="D40" s="4" t="str">
        <f>'Reference Score Calculation'!R394</f>
        <v>BBA(Hons)Fin&amp;FinTech</v>
      </c>
      <c r="E40" s="15" t="str">
        <f>'Reference Score Calculation'!E394</f>
        <v>Best 5</v>
      </c>
      <c r="F40" s="6" t="str">
        <f>'Reference Score Calculation'!G394</f>
        <v>/</v>
      </c>
      <c r="G40" s="473">
        <f>'Reference Score Calculation'!H394</f>
        <v>17</v>
      </c>
      <c r="H40" s="6">
        <f>'Reference Score Calculation'!I394</f>
        <v>16</v>
      </c>
      <c r="I40" s="45">
        <f>計分版!J417</f>
        <v>3.9500000000000006E-9</v>
      </c>
      <c r="J40" s="25">
        <f t="shared" si="10"/>
        <v>-16.999999996050001</v>
      </c>
      <c r="K40" s="26">
        <f t="shared" si="11"/>
        <v>-4303797467.3544302</v>
      </c>
      <c r="L40" s="36">
        <f>'Reference Score Calculation'!T394</f>
        <v>30</v>
      </c>
      <c r="M40" s="86">
        <f>入學要求!Z403</f>
        <v>0</v>
      </c>
      <c r="N40" s="516"/>
      <c r="O40" s="15">
        <v>3</v>
      </c>
      <c r="P40" s="15">
        <v>3</v>
      </c>
      <c r="Q40" s="15">
        <v>2</v>
      </c>
      <c r="R40" s="15">
        <v>2</v>
      </c>
      <c r="S40" s="15">
        <v>2</v>
      </c>
      <c r="T40" s="15">
        <v>2</v>
      </c>
      <c r="U40" s="285">
        <f>入學要求!S403</f>
        <v>0</v>
      </c>
      <c r="V40" s="285">
        <f>入學要求!T403</f>
        <v>0</v>
      </c>
      <c r="W40" s="285">
        <f>入學要求!U403</f>
        <v>0</v>
      </c>
      <c r="X40" s="285">
        <f>入學要求!V403</f>
        <v>0</v>
      </c>
      <c r="Y40" s="285">
        <f>入學要求!W403</f>
        <v>0</v>
      </c>
      <c r="Z40" s="285">
        <f>入學要求!X403</f>
        <v>0</v>
      </c>
      <c r="AA40" s="36">
        <f t="shared" si="2"/>
        <v>6.64</v>
      </c>
      <c r="AB40" s="510"/>
      <c r="AC40" s="36" cm="1">
        <f t="array" ref="AC40">IFERROR(INDEX('Offer Statistics'!FU$2:FU$400,MATCH(1,($A40='Offer Statistics'!$FF$2:$FF$400)*($AB$2='Offer Statistics'!$FG$2:$FG$400),0)),"/")</f>
        <v>43</v>
      </c>
      <c r="AD40" s="64" cm="1">
        <f t="array" ref="AD40">IFERROR(INDEX('Offer Statistics'!FP$2:FP$400,MATCH(1,($A40='Offer Statistics'!$FF$2:$FF$400)*($AB$2='Offer Statistics'!$FG$2:$FG$400),0)),"/")</f>
        <v>28</v>
      </c>
      <c r="AE40" s="64" cm="1">
        <f t="array" ref="AE40">IFERROR(INDEX('Offer Statistics'!FQ$2:FQ$400,MATCH(1,($A40='Offer Statistics'!$FF$2:$FF$400)*($AB$2='Offer Statistics'!$FG$2:$FG$400),0)),"/")</f>
        <v>6</v>
      </c>
      <c r="AF40" s="64" cm="1">
        <f t="array" ref="AF40">IFERROR(INDEX('Offer Statistics'!FR$2:FR$400,MATCH(1,($A40='Offer Statistics'!$FF$2:$FF$400)*($AB$2='Offer Statistics'!$FG$2:$FG$400),0)),"/")</f>
        <v>7</v>
      </c>
      <c r="AG40" s="64" cm="1">
        <f t="array" ref="AG40">IFERROR(INDEX('Offer Statistics'!FS$2:FS$400,MATCH(1,($A40='Offer Statistics'!$FF$2:$FF$400)*($AB$2='Offer Statistics'!$FG$2:$FG$400),0)),"/")</f>
        <v>1</v>
      </c>
      <c r="AH40" s="64" cm="1">
        <f t="array" ref="AH40">IFERROR(INDEX('Offer Statistics'!FT$2:FT$400,MATCH(1,($A40='Offer Statistics'!$FF$2:$FF$400)*($AB$2='Offer Statistics'!$FG$2:$FG$400),0)),"/")</f>
        <v>1</v>
      </c>
      <c r="AI40" s="524"/>
      <c r="AJ40" s="36" cm="1">
        <f t="array" ref="AJ40">IFERROR(INDEX('Offer Statistics'!FM$2:FM$400,MATCH(1,($A40='Offer Statistics'!$FF$2:$FF$400)*($AB$2='Offer Statistics'!$FG$2:$FG$400),0)),"/")</f>
        <v>1989</v>
      </c>
      <c r="AK40" s="64" cm="1">
        <f t="array" ref="AK40">IFERROR(INDEX('Offer Statistics'!FH$2:FH$400,MATCH(1,($A40='Offer Statistics'!$FF$2:$FF$400)*($AB$2='Offer Statistics'!$FG$2:$FG$400),0)),"/")</f>
        <v>186</v>
      </c>
      <c r="AL40" s="64" cm="1">
        <f t="array" ref="AL40">IFERROR(INDEX('Offer Statistics'!FI$2:FI$400,MATCH(1,($A40='Offer Statistics'!$FF$2:$FF$400)*($AB$2='Offer Statistics'!$FG$2:$FG$400),0)),"/")</f>
        <v>300</v>
      </c>
      <c r="AM40" s="64" cm="1">
        <f t="array" ref="AM40">IFERROR(INDEX('Offer Statistics'!FJ$2:FJ$400,MATCH(1,($A40='Offer Statistics'!$FF$2:$FF$400)*($AB$2='Offer Statistics'!$FG$2:$FG$400),0)),"/")</f>
        <v>363</v>
      </c>
      <c r="AN40" s="64" cm="1">
        <f t="array" ref="AN40">IFERROR(INDEX('Offer Statistics'!FK$2:FK$400,MATCH(1,($A40='Offer Statistics'!$FF$2:$FF$400)*($AB$2='Offer Statistics'!$FG$2:$FG$400),0)),"/")</f>
        <v>439</v>
      </c>
      <c r="AO40" s="64" cm="1">
        <f t="array" ref="AO40">IFERROR(INDEX('Offer Statistics'!FL$2:FL$400,MATCH(1,($A40='Offer Statistics'!$FF$2:$FF$400)*($AB$2='Offer Statistics'!$FG$2:$FG$400),0)),"/")</f>
        <v>701</v>
      </c>
      <c r="AP40" s="4"/>
      <c r="AQ40" s="15" t="str">
        <f t="shared" si="3"/>
        <v>JSSU96</v>
      </c>
      <c r="AR40" s="4"/>
    </row>
    <row r="41" spans="1:44" ht="14.55" customHeight="1">
      <c r="A41" s="4" t="str">
        <f>'Reference Score Calculation'!A395</f>
        <v>JSSU97</v>
      </c>
      <c r="B41" s="4" t="str">
        <f>'Reference Score Calculation'!C395</f>
        <v>都會大學</v>
      </c>
      <c r="C41" s="4" t="str">
        <f>'Reference Score Calculation'!D395</f>
        <v>環球市場及供應鏈管理榮譽工商管理學士</v>
      </c>
      <c r="D41" s="4" t="str">
        <f>'Reference Score Calculation'!R395</f>
        <v>BBA(Hons)GM &amp; SCM</v>
      </c>
      <c r="E41" s="15" t="str">
        <f>'Reference Score Calculation'!E395</f>
        <v>Best 5</v>
      </c>
      <c r="F41" s="6" t="str">
        <f>'Reference Score Calculation'!G395</f>
        <v>/</v>
      </c>
      <c r="G41" s="473">
        <f>'Reference Score Calculation'!H395</f>
        <v>17</v>
      </c>
      <c r="H41" s="6">
        <f>'Reference Score Calculation'!I395</f>
        <v>17</v>
      </c>
      <c r="I41" s="45">
        <f>計分版!J418</f>
        <v>3.9500000000000006E-9</v>
      </c>
      <c r="J41" s="25">
        <f t="shared" si="10"/>
        <v>-16.999999996050001</v>
      </c>
      <c r="K41" s="26">
        <f t="shared" si="11"/>
        <v>-4303797467.3544302</v>
      </c>
      <c r="L41" s="36">
        <f>'Reference Score Calculation'!T395</f>
        <v>30</v>
      </c>
      <c r="M41" s="86">
        <f>入學要求!Z404</f>
        <v>0</v>
      </c>
      <c r="N41" s="516"/>
      <c r="O41" s="15">
        <v>3</v>
      </c>
      <c r="P41" s="15">
        <v>3</v>
      </c>
      <c r="Q41" s="15">
        <v>2</v>
      </c>
      <c r="R41" s="15">
        <v>2</v>
      </c>
      <c r="S41" s="15">
        <v>2</v>
      </c>
      <c r="T41" s="15">
        <v>2</v>
      </c>
      <c r="U41" s="285">
        <f>入學要求!S404</f>
        <v>0</v>
      </c>
      <c r="V41" s="285">
        <f>入學要求!T404</f>
        <v>0</v>
      </c>
      <c r="W41" s="285">
        <f>入學要求!U404</f>
        <v>0</v>
      </c>
      <c r="X41" s="285">
        <f>入學要求!V404</f>
        <v>0</v>
      </c>
      <c r="Y41" s="285">
        <f>入學要求!W404</f>
        <v>0</v>
      </c>
      <c r="Z41" s="285">
        <f>入學要求!X404</f>
        <v>0</v>
      </c>
      <c r="AA41" s="36">
        <f t="shared" si="2"/>
        <v>9.67</v>
      </c>
      <c r="AB41" s="510"/>
      <c r="AC41" s="36" cm="1">
        <f t="array" ref="AC41">IFERROR(INDEX('Offer Statistics'!FU$2:FU$400,MATCH(1,($A41='Offer Statistics'!$FF$2:$FF$400)*($AB$2='Offer Statistics'!$FG$2:$FG$400),0)),"/")</f>
        <v>37</v>
      </c>
      <c r="AD41" s="64" cm="1">
        <f t="array" ref="AD41">IFERROR(INDEX('Offer Statistics'!FP$2:FP$400,MATCH(1,($A41='Offer Statistics'!$FF$2:$FF$400)*($AB$2='Offer Statistics'!$FG$2:$FG$400),0)),"/")</f>
        <v>21</v>
      </c>
      <c r="AE41" s="64" cm="1">
        <f t="array" ref="AE41">IFERROR(INDEX('Offer Statistics'!FQ$2:FQ$400,MATCH(1,($A41='Offer Statistics'!$FF$2:$FF$400)*($AB$2='Offer Statistics'!$FG$2:$FG$400),0)),"/")</f>
        <v>5</v>
      </c>
      <c r="AF41" s="64" cm="1">
        <f t="array" ref="AF41">IFERROR(INDEX('Offer Statistics'!FR$2:FR$400,MATCH(1,($A41='Offer Statistics'!$FF$2:$FF$400)*($AB$2='Offer Statistics'!$FG$2:$FG$400),0)),"/")</f>
        <v>5</v>
      </c>
      <c r="AG41" s="64" cm="1">
        <f t="array" ref="AG41">IFERROR(INDEX('Offer Statistics'!FS$2:FS$400,MATCH(1,($A41='Offer Statistics'!$FF$2:$FF$400)*($AB$2='Offer Statistics'!$FG$2:$FG$400),0)),"/")</f>
        <v>2</v>
      </c>
      <c r="AH41" s="64" cm="1">
        <f t="array" ref="AH41">IFERROR(INDEX('Offer Statistics'!FT$2:FT$400,MATCH(1,($A41='Offer Statistics'!$FF$2:$FF$400)*($AB$2='Offer Statistics'!$FG$2:$FG$400),0)),"/")</f>
        <v>4</v>
      </c>
      <c r="AI41" s="524"/>
      <c r="AJ41" s="36" cm="1">
        <f t="array" ref="AJ41">IFERROR(INDEX('Offer Statistics'!FM$2:FM$400,MATCH(1,($A41='Offer Statistics'!$FF$2:$FF$400)*($AB$2='Offer Statistics'!$FG$2:$FG$400),0)),"/")</f>
        <v>2201</v>
      </c>
      <c r="AK41" s="64" cm="1">
        <f t="array" ref="AK41">IFERROR(INDEX('Offer Statistics'!FH$2:FH$400,MATCH(1,($A41='Offer Statistics'!$FF$2:$FF$400)*($AB$2='Offer Statistics'!$FG$2:$FG$400),0)),"/")</f>
        <v>203</v>
      </c>
      <c r="AL41" s="64" cm="1">
        <f t="array" ref="AL41">IFERROR(INDEX('Offer Statistics'!FI$2:FI$400,MATCH(1,($A41='Offer Statistics'!$FF$2:$FF$400)*($AB$2='Offer Statistics'!$FG$2:$FG$400),0)),"/")</f>
        <v>381</v>
      </c>
      <c r="AM41" s="64" cm="1">
        <f t="array" ref="AM41">IFERROR(INDEX('Offer Statistics'!FJ$2:FJ$400,MATCH(1,($A41='Offer Statistics'!$FF$2:$FF$400)*($AB$2='Offer Statistics'!$FG$2:$FG$400),0)),"/")</f>
        <v>432</v>
      </c>
      <c r="AN41" s="64" cm="1">
        <f t="array" ref="AN41">IFERROR(INDEX('Offer Statistics'!FK$2:FK$400,MATCH(1,($A41='Offer Statistics'!$FF$2:$FF$400)*($AB$2='Offer Statistics'!$FG$2:$FG$400),0)),"/")</f>
        <v>494</v>
      </c>
      <c r="AO41" s="64" cm="1">
        <f t="array" ref="AO41">IFERROR(INDEX('Offer Statistics'!FL$2:FL$400,MATCH(1,($A41='Offer Statistics'!$FF$2:$FF$400)*($AB$2='Offer Statistics'!$FG$2:$FG$400),0)),"/")</f>
        <v>691</v>
      </c>
      <c r="AP41" s="4"/>
      <c r="AQ41" s="15" t="str">
        <f t="shared" si="3"/>
        <v>JSSU97</v>
      </c>
      <c r="AR41" s="4"/>
    </row>
    <row r="42" spans="1:44" ht="14.55" customHeight="1">
      <c r="A42" s="4" t="str">
        <f>'Reference Score Calculation'!A396</f>
        <v>JSSV01</v>
      </c>
      <c r="B42" s="4" t="str">
        <f>'Reference Score Calculation'!C396</f>
        <v>THEi</v>
      </c>
      <c r="C42" s="4" t="str">
        <f>'Reference Score Calculation'!D396</f>
        <v>時裝設計（榮譽）文學士</v>
      </c>
      <c r="D42" s="4" t="str">
        <f>'Reference Score Calculation'!R396</f>
        <v>BA(FD)</v>
      </c>
      <c r="E42" s="15" t="str">
        <f>'Reference Score Calculation'!E396</f>
        <v>Best 5</v>
      </c>
      <c r="F42" s="6" t="str">
        <f>'Reference Score Calculation'!G396</f>
        <v>/</v>
      </c>
      <c r="G42" s="44">
        <f>'Reference Score Calculation'!H396</f>
        <v>15</v>
      </c>
      <c r="H42" s="6" t="str">
        <f>'Reference Score Calculation'!I396</f>
        <v>/</v>
      </c>
      <c r="I42" s="45">
        <f>計分版!J419</f>
        <v>3.3999999999999998E-9</v>
      </c>
      <c r="J42" s="25">
        <f t="shared" ref="J42" si="16">IFERROR(I42-G42,"/")</f>
        <v>-14.9999999966</v>
      </c>
      <c r="K42" s="26">
        <f t="shared" ref="K42" si="17">IFERROR((I42-G42)/I42,"/")</f>
        <v>-4411764704.8823528</v>
      </c>
      <c r="L42" s="36">
        <f>'Reference Score Calculation'!T396</f>
        <v>25</v>
      </c>
      <c r="M42" s="86">
        <f>入學要求!Z405</f>
        <v>0</v>
      </c>
      <c r="N42" s="516"/>
      <c r="O42" s="15">
        <v>3</v>
      </c>
      <c r="P42" s="15">
        <v>3</v>
      </c>
      <c r="Q42" s="15">
        <v>2</v>
      </c>
      <c r="R42" s="15">
        <v>2</v>
      </c>
      <c r="S42" s="15">
        <v>2</v>
      </c>
      <c r="T42" s="15"/>
      <c r="U42" s="285">
        <f>入學要求!S405</f>
        <v>0</v>
      </c>
      <c r="V42" s="285">
        <f>入學要求!T405</f>
        <v>0</v>
      </c>
      <c r="W42" s="285">
        <f>入學要求!U405</f>
        <v>0</v>
      </c>
      <c r="X42" s="285">
        <f>入學要求!V405</f>
        <v>0</v>
      </c>
      <c r="Y42" s="285">
        <f>入學要求!W405</f>
        <v>0</v>
      </c>
      <c r="Z42" s="285">
        <f>入學要求!X405</f>
        <v>0</v>
      </c>
      <c r="AA42" s="36">
        <f t="shared" si="2"/>
        <v>9.77</v>
      </c>
      <c r="AB42" s="510"/>
      <c r="AC42" s="36" cm="1">
        <f t="array" ref="AC42">IFERROR(INDEX('Offer Statistics'!FU$2:FU$400,MATCH(1,($A42='Offer Statistics'!$FF$2:$FF$400)*($AB$2='Offer Statistics'!$FG$2:$FG$400),0)),"/")</f>
        <v>43</v>
      </c>
      <c r="AD42" s="64" cm="1">
        <f t="array" ref="AD42">IFERROR(INDEX('Offer Statistics'!FP$2:FP$400,MATCH(1,($A42='Offer Statistics'!$FF$2:$FF$400)*($AB$2='Offer Statistics'!$FG$2:$FG$400),0)),"/")</f>
        <v>26</v>
      </c>
      <c r="AE42" s="64" cm="1">
        <f t="array" ref="AE42">IFERROR(INDEX('Offer Statistics'!FQ$2:FQ$400,MATCH(1,($A42='Offer Statistics'!$FF$2:$FF$400)*($AB$2='Offer Statistics'!$FG$2:$FG$400),0)),"/")</f>
        <v>7</v>
      </c>
      <c r="AF42" s="64" cm="1">
        <f t="array" ref="AF42">IFERROR(INDEX('Offer Statistics'!FR$2:FR$400,MATCH(1,($A42='Offer Statistics'!$FF$2:$FF$400)*($AB$2='Offer Statistics'!$FG$2:$FG$400),0)),"/")</f>
        <v>6</v>
      </c>
      <c r="AG42" s="64" cm="1">
        <f t="array" ref="AG42">IFERROR(INDEX('Offer Statistics'!FS$2:FS$400,MATCH(1,($A42='Offer Statistics'!$FF$2:$FF$400)*($AB$2='Offer Statistics'!$FG$2:$FG$400),0)),"/")</f>
        <v>1</v>
      </c>
      <c r="AH42" s="64" cm="1">
        <f t="array" ref="AH42">IFERROR(INDEX('Offer Statistics'!FT$2:FT$400,MATCH(1,($A42='Offer Statistics'!$FF$2:$FF$400)*($AB$2='Offer Statistics'!$FG$2:$FG$400),0)),"/")</f>
        <v>3</v>
      </c>
      <c r="AI42" s="524"/>
      <c r="AJ42" s="36" cm="1">
        <f t="array" ref="AJ42">IFERROR(INDEX('Offer Statistics'!FM$2:FM$400,MATCH(1,($A42='Offer Statistics'!$FF$2:$FF$400)*($AB$2='Offer Statistics'!$FG$2:$FG$400),0)),"/")</f>
        <v>1700</v>
      </c>
      <c r="AK42" s="64" cm="1">
        <f t="array" ref="AK42">IFERROR(INDEX('Offer Statistics'!FH$2:FH$400,MATCH(1,($A42='Offer Statistics'!$FF$2:$FF$400)*($AB$2='Offer Statistics'!$FG$2:$FG$400),0)),"/")</f>
        <v>254</v>
      </c>
      <c r="AL42" s="64" cm="1">
        <f t="array" ref="AL42">IFERROR(INDEX('Offer Statistics'!FI$2:FI$400,MATCH(1,($A42='Offer Statistics'!$FF$2:$FF$400)*($AB$2='Offer Statistics'!$FG$2:$FG$400),0)),"/")</f>
        <v>245</v>
      </c>
      <c r="AM42" s="64" cm="1">
        <f t="array" ref="AM42">IFERROR(INDEX('Offer Statistics'!FJ$2:FJ$400,MATCH(1,($A42='Offer Statistics'!$FF$2:$FF$400)*($AB$2='Offer Statistics'!$FG$2:$FG$400),0)),"/")</f>
        <v>318</v>
      </c>
      <c r="AN42" s="64" cm="1">
        <f t="array" ref="AN42">IFERROR(INDEX('Offer Statistics'!FK$2:FK$400,MATCH(1,($A42='Offer Statistics'!$FF$2:$FF$400)*($AB$2='Offer Statistics'!$FG$2:$FG$400),0)),"/")</f>
        <v>398</v>
      </c>
      <c r="AO42" s="64" cm="1">
        <f t="array" ref="AO42">IFERROR(INDEX('Offer Statistics'!FL$2:FL$400,MATCH(1,($A42='Offer Statistics'!$FF$2:$FF$400)*($AB$2='Offer Statistics'!$FG$2:$FG$400),0)),"/")</f>
        <v>485</v>
      </c>
      <c r="AP42" s="4"/>
      <c r="AQ42" s="15" t="str">
        <f t="shared" si="3"/>
        <v>JSSV01</v>
      </c>
      <c r="AR42" s="4"/>
    </row>
    <row r="43" spans="1:44" ht="14.55" customHeight="1">
      <c r="A43" s="4" t="str">
        <f>'Reference Score Calculation'!A397</f>
        <v>JSSV02</v>
      </c>
      <c r="B43" s="4" t="str">
        <f>'Reference Score Calculation'!C397</f>
        <v>THEi</v>
      </c>
      <c r="C43" s="4" t="str">
        <f>'Reference Score Calculation'!D397</f>
        <v>產品設計（榮譽）文學士</v>
      </c>
      <c r="D43" s="4" t="str">
        <f>'Reference Score Calculation'!R397</f>
        <v>BA(PD)</v>
      </c>
      <c r="E43" s="15" t="str">
        <f>'Reference Score Calculation'!E397</f>
        <v>Best 5</v>
      </c>
      <c r="F43" s="6" t="str">
        <f>'Reference Score Calculation'!G397</f>
        <v>/</v>
      </c>
      <c r="G43" s="44">
        <f>'Reference Score Calculation'!H397</f>
        <v>17</v>
      </c>
      <c r="H43" s="6" t="str">
        <f>'Reference Score Calculation'!I397</f>
        <v>/</v>
      </c>
      <c r="I43" s="45">
        <f>計分版!J420</f>
        <v>3.3999999999999998E-9</v>
      </c>
      <c r="J43" s="25">
        <f t="shared" ref="J43:J53" si="18">IFERROR(I43-G43,"/")</f>
        <v>-16.9999999966</v>
      </c>
      <c r="K43" s="26">
        <f t="shared" ref="K43:K53" si="19">IFERROR((I43-G43)/I43,"/")</f>
        <v>-4999999999</v>
      </c>
      <c r="L43" s="36">
        <f>'Reference Score Calculation'!T397</f>
        <v>15</v>
      </c>
      <c r="M43" s="86">
        <f>入學要求!Z406</f>
        <v>0</v>
      </c>
      <c r="N43" s="516"/>
      <c r="O43" s="15">
        <v>3</v>
      </c>
      <c r="P43" s="15">
        <v>3</v>
      </c>
      <c r="Q43" s="15">
        <v>2</v>
      </c>
      <c r="R43" s="15">
        <v>2</v>
      </c>
      <c r="S43" s="15">
        <v>2</v>
      </c>
      <c r="T43" s="15"/>
      <c r="U43" s="285">
        <f>入學要求!S406</f>
        <v>0</v>
      </c>
      <c r="V43" s="285">
        <f>入學要求!T406</f>
        <v>0</v>
      </c>
      <c r="W43" s="285">
        <f>入學要求!U406</f>
        <v>0</v>
      </c>
      <c r="X43" s="285">
        <f>入學要求!V406</f>
        <v>0</v>
      </c>
      <c r="Y43" s="285">
        <f>入學要求!W406</f>
        <v>0</v>
      </c>
      <c r="Z43" s="285">
        <f>入學要求!X406</f>
        <v>0</v>
      </c>
      <c r="AA43" s="36">
        <f t="shared" si="2"/>
        <v>21.13</v>
      </c>
      <c r="AB43" s="510"/>
      <c r="AC43" s="36" cm="1">
        <f t="array" ref="AC43">IFERROR(INDEX('Offer Statistics'!FU$2:FU$400,MATCH(1,($A43='Offer Statistics'!$FF$2:$FF$400)*($AB$2='Offer Statistics'!$FG$2:$FG$400),0)),"/")</f>
        <v>12</v>
      </c>
      <c r="AD43" s="64" cm="1">
        <f t="array" ref="AD43">IFERROR(INDEX('Offer Statistics'!FP$2:FP$400,MATCH(1,($A43='Offer Statistics'!$FF$2:$FF$400)*($AB$2='Offer Statistics'!$FG$2:$FG$400),0)),"/")</f>
        <v>8</v>
      </c>
      <c r="AE43" s="64" cm="1">
        <f t="array" ref="AE43">IFERROR(INDEX('Offer Statistics'!FQ$2:FQ$400,MATCH(1,($A43='Offer Statistics'!$FF$2:$FF$400)*($AB$2='Offer Statistics'!$FG$2:$FG$400),0)),"/")</f>
        <v>2</v>
      </c>
      <c r="AF43" s="64" cm="1">
        <f t="array" ref="AF43">IFERROR(INDEX('Offer Statistics'!FR$2:FR$400,MATCH(1,($A43='Offer Statistics'!$FF$2:$FF$400)*($AB$2='Offer Statistics'!$FG$2:$FG$400),0)),"/")</f>
        <v>2</v>
      </c>
      <c r="AG43" s="64" cm="1">
        <f t="array" ref="AG43">IFERROR(INDEX('Offer Statistics'!FS$2:FS$400,MATCH(1,($A43='Offer Statistics'!$FF$2:$FF$400)*($AB$2='Offer Statistics'!$FG$2:$FG$400),0)),"/")</f>
        <v>0</v>
      </c>
      <c r="AH43" s="64" cm="1">
        <f t="array" ref="AH43">IFERROR(INDEX('Offer Statistics'!FT$2:FT$400,MATCH(1,($A43='Offer Statistics'!$FF$2:$FF$400)*($AB$2='Offer Statistics'!$FG$2:$FG$400),0)),"/")</f>
        <v>0</v>
      </c>
      <c r="AI43" s="524"/>
      <c r="AJ43" s="36" cm="1">
        <f t="array" ref="AJ43">IFERROR(INDEX('Offer Statistics'!FM$2:FM$400,MATCH(1,($A43='Offer Statistics'!$FF$2:$FF$400)*($AB$2='Offer Statistics'!$FG$2:$FG$400),0)),"/")</f>
        <v>1671</v>
      </c>
      <c r="AK43" s="64" cm="1">
        <f t="array" ref="AK43">IFERROR(INDEX('Offer Statistics'!FH$2:FH$400,MATCH(1,($A43='Offer Statistics'!$FF$2:$FF$400)*($AB$2='Offer Statistics'!$FG$2:$FG$400),0)),"/")</f>
        <v>169</v>
      </c>
      <c r="AL43" s="64" cm="1">
        <f t="array" ref="AL43">IFERROR(INDEX('Offer Statistics'!FI$2:FI$400,MATCH(1,($A43='Offer Statistics'!$FF$2:$FF$400)*($AB$2='Offer Statistics'!$FG$2:$FG$400),0)),"/")</f>
        <v>276</v>
      </c>
      <c r="AM43" s="64" cm="1">
        <f t="array" ref="AM43">IFERROR(INDEX('Offer Statistics'!FJ$2:FJ$400,MATCH(1,($A43='Offer Statistics'!$FF$2:$FF$400)*($AB$2='Offer Statistics'!$FG$2:$FG$400),0)),"/")</f>
        <v>330</v>
      </c>
      <c r="AN43" s="64" cm="1">
        <f t="array" ref="AN43">IFERROR(INDEX('Offer Statistics'!FK$2:FK$400,MATCH(1,($A43='Offer Statistics'!$FF$2:$FF$400)*($AB$2='Offer Statistics'!$FG$2:$FG$400),0)),"/")</f>
        <v>409</v>
      </c>
      <c r="AO43" s="64" cm="1">
        <f t="array" ref="AO43">IFERROR(INDEX('Offer Statistics'!FL$2:FL$400,MATCH(1,($A43='Offer Statistics'!$FF$2:$FF$400)*($AB$2='Offer Statistics'!$FG$2:$FG$400),0)),"/")</f>
        <v>487</v>
      </c>
      <c r="AP43" s="4"/>
      <c r="AQ43" s="15" t="str">
        <f t="shared" si="3"/>
        <v>JSSV02</v>
      </c>
      <c r="AR43" s="4"/>
    </row>
    <row r="44" spans="1:44" ht="14.55" customHeight="1">
      <c r="A44" s="4" t="str">
        <f>'Reference Score Calculation'!A398</f>
        <v>JSSV03</v>
      </c>
      <c r="B44" s="4" t="str">
        <f>'Reference Score Calculation'!C398</f>
        <v>THEi</v>
      </c>
      <c r="C44" s="4" t="str">
        <f>'Reference Score Calculation'!D398</f>
        <v>園境建築（榮譽）文學士</v>
      </c>
      <c r="D44" s="4" t="str">
        <f>'Reference Score Calculation'!R398</f>
        <v>BA(LA)</v>
      </c>
      <c r="E44" s="15" t="str">
        <f>'Reference Score Calculation'!E398</f>
        <v>Best 5</v>
      </c>
      <c r="F44" s="6" t="str">
        <f>'Reference Score Calculation'!G398</f>
        <v>/</v>
      </c>
      <c r="G44" s="44">
        <f>'Reference Score Calculation'!H398</f>
        <v>16</v>
      </c>
      <c r="H44" s="6" t="str">
        <f>'Reference Score Calculation'!I398</f>
        <v>/</v>
      </c>
      <c r="I44" s="45">
        <f>計分版!J421</f>
        <v>3.3999999999999998E-9</v>
      </c>
      <c r="J44" s="25">
        <f t="shared" si="18"/>
        <v>-15.9999999966</v>
      </c>
      <c r="K44" s="26">
        <f t="shared" si="19"/>
        <v>-4705882351.9411764</v>
      </c>
      <c r="L44" s="36">
        <f>'Reference Score Calculation'!T398</f>
        <v>15</v>
      </c>
      <c r="M44" s="86">
        <f>入學要求!Z407</f>
        <v>0</v>
      </c>
      <c r="N44" s="516"/>
      <c r="O44" s="15">
        <v>3</v>
      </c>
      <c r="P44" s="15">
        <v>3</v>
      </c>
      <c r="Q44" s="15">
        <v>2</v>
      </c>
      <c r="R44" s="15">
        <v>2</v>
      </c>
      <c r="S44" s="15">
        <v>2</v>
      </c>
      <c r="T44" s="15"/>
      <c r="U44" s="285">
        <f>入學要求!S407</f>
        <v>0</v>
      </c>
      <c r="V44" s="285">
        <f>入學要求!T407</f>
        <v>0</v>
      </c>
      <c r="W44" s="285">
        <f>入學要求!U407</f>
        <v>0</v>
      </c>
      <c r="X44" s="285">
        <f>入學要求!V407</f>
        <v>0</v>
      </c>
      <c r="Y44" s="285">
        <f>入學要求!W407</f>
        <v>0</v>
      </c>
      <c r="Z44" s="285">
        <f>入學要求!X407</f>
        <v>0</v>
      </c>
      <c r="AA44" s="36">
        <f t="shared" si="2"/>
        <v>8</v>
      </c>
      <c r="AB44" s="510"/>
      <c r="AC44" s="36" cm="1">
        <f t="array" ref="AC44">IFERROR(INDEX('Offer Statistics'!FU$2:FU$400,MATCH(1,($A44='Offer Statistics'!$FF$2:$FF$400)*($AB$2='Offer Statistics'!$FG$2:$FG$400),0)),"/")</f>
        <v>8</v>
      </c>
      <c r="AD44" s="64" cm="1">
        <f t="array" ref="AD44">IFERROR(INDEX('Offer Statistics'!FP$2:FP$400,MATCH(1,($A44='Offer Statistics'!$FF$2:$FF$400)*($AB$2='Offer Statistics'!$FG$2:$FG$400),0)),"/")</f>
        <v>6</v>
      </c>
      <c r="AE44" s="64" cm="1">
        <f t="array" ref="AE44">IFERROR(INDEX('Offer Statistics'!FQ$2:FQ$400,MATCH(1,($A44='Offer Statistics'!$FF$2:$FF$400)*($AB$2='Offer Statistics'!$FG$2:$FG$400),0)),"/")</f>
        <v>0</v>
      </c>
      <c r="AF44" s="64" cm="1">
        <f t="array" ref="AF44">IFERROR(INDEX('Offer Statistics'!FR$2:FR$400,MATCH(1,($A44='Offer Statistics'!$FF$2:$FF$400)*($AB$2='Offer Statistics'!$FG$2:$FG$400),0)),"/")</f>
        <v>0</v>
      </c>
      <c r="AG44" s="64" cm="1">
        <f t="array" ref="AG44">IFERROR(INDEX('Offer Statistics'!FS$2:FS$400,MATCH(1,($A44='Offer Statistics'!$FF$2:$FF$400)*($AB$2='Offer Statistics'!$FG$2:$FG$400),0)),"/")</f>
        <v>2</v>
      </c>
      <c r="AH44" s="64" cm="1">
        <f t="array" ref="AH44">IFERROR(INDEX('Offer Statistics'!FT$2:FT$400,MATCH(1,($A44='Offer Statistics'!$FF$2:$FF$400)*($AB$2='Offer Statistics'!$FG$2:$FG$400),0)),"/")</f>
        <v>0</v>
      </c>
      <c r="AI44" s="524"/>
      <c r="AJ44" s="36" cm="1">
        <f t="array" ref="AJ44">IFERROR(INDEX('Offer Statistics'!FM$2:FM$400,MATCH(1,($A44='Offer Statistics'!$FF$2:$FF$400)*($AB$2='Offer Statistics'!$FG$2:$FG$400),0)),"/")</f>
        <v>779</v>
      </c>
      <c r="AK44" s="64" cm="1">
        <f t="array" ref="AK44">IFERROR(INDEX('Offer Statistics'!FH$2:FH$400,MATCH(1,($A44='Offer Statistics'!$FF$2:$FF$400)*($AB$2='Offer Statistics'!$FG$2:$FG$400),0)),"/")</f>
        <v>48</v>
      </c>
      <c r="AL44" s="64" cm="1">
        <f t="array" ref="AL44">IFERROR(INDEX('Offer Statistics'!FI$2:FI$400,MATCH(1,($A44='Offer Statistics'!$FF$2:$FF$400)*($AB$2='Offer Statistics'!$FG$2:$FG$400),0)),"/")</f>
        <v>114</v>
      </c>
      <c r="AM44" s="64" cm="1">
        <f t="array" ref="AM44">IFERROR(INDEX('Offer Statistics'!FJ$2:FJ$400,MATCH(1,($A44='Offer Statistics'!$FF$2:$FF$400)*($AB$2='Offer Statistics'!$FG$2:$FG$400),0)),"/")</f>
        <v>167</v>
      </c>
      <c r="AN44" s="64" cm="1">
        <f t="array" ref="AN44">IFERROR(INDEX('Offer Statistics'!FK$2:FK$400,MATCH(1,($A44='Offer Statistics'!$FF$2:$FF$400)*($AB$2='Offer Statistics'!$FG$2:$FG$400),0)),"/")</f>
        <v>174</v>
      </c>
      <c r="AO44" s="64" cm="1">
        <f t="array" ref="AO44">IFERROR(INDEX('Offer Statistics'!FL$2:FL$400,MATCH(1,($A44='Offer Statistics'!$FF$2:$FF$400)*($AB$2='Offer Statistics'!$FG$2:$FG$400),0)),"/")</f>
        <v>276</v>
      </c>
      <c r="AP44" s="4"/>
      <c r="AQ44" s="15" t="str">
        <f t="shared" si="3"/>
        <v>JSSV03</v>
      </c>
      <c r="AR44" s="4"/>
    </row>
    <row r="45" spans="1:44" ht="14.55" customHeight="1">
      <c r="A45" s="4" t="str">
        <f>'Reference Score Calculation'!A399</f>
        <v>JSSV04</v>
      </c>
      <c r="B45" s="4" t="str">
        <f>'Reference Score Calculation'!C399</f>
        <v>THEi</v>
      </c>
      <c r="C45" s="4" t="str">
        <f>'Reference Score Calculation'!D399</f>
        <v>廚藝及管理（榮譽）文學士</v>
      </c>
      <c r="D45" s="4" t="str">
        <f>'Reference Score Calculation'!R399</f>
        <v>BA(CAM)</v>
      </c>
      <c r="E45" s="15" t="str">
        <f>'Reference Score Calculation'!E399</f>
        <v>Best 5</v>
      </c>
      <c r="F45" s="6" t="str">
        <f>'Reference Score Calculation'!G399</f>
        <v>/</v>
      </c>
      <c r="G45" s="44">
        <f>'Reference Score Calculation'!H399</f>
        <v>17</v>
      </c>
      <c r="H45" s="6" t="str">
        <f>'Reference Score Calculation'!I399</f>
        <v>/</v>
      </c>
      <c r="I45" s="45">
        <f>計分版!J422</f>
        <v>3.3999999999999998E-9</v>
      </c>
      <c r="J45" s="25">
        <f t="shared" si="18"/>
        <v>-16.9999999966</v>
      </c>
      <c r="K45" s="26">
        <f t="shared" si="19"/>
        <v>-4999999999</v>
      </c>
      <c r="L45" s="36">
        <f>'Reference Score Calculation'!T399</f>
        <v>15</v>
      </c>
      <c r="M45" s="86">
        <f>入學要求!Z408</f>
        <v>0</v>
      </c>
      <c r="N45" s="516"/>
      <c r="O45" s="15">
        <v>3</v>
      </c>
      <c r="P45" s="15">
        <v>3</v>
      </c>
      <c r="Q45" s="15">
        <v>2</v>
      </c>
      <c r="R45" s="15">
        <v>2</v>
      </c>
      <c r="S45" s="15">
        <v>2</v>
      </c>
      <c r="T45" s="15"/>
      <c r="U45" s="285">
        <f>入學要求!S408</f>
        <v>0</v>
      </c>
      <c r="V45" s="285">
        <f>入學要求!T408</f>
        <v>0</v>
      </c>
      <c r="W45" s="285">
        <f>入學要求!U408</f>
        <v>0</v>
      </c>
      <c r="X45" s="285">
        <f>入學要求!V408</f>
        <v>0</v>
      </c>
      <c r="Y45" s="285">
        <f>入學要求!W408</f>
        <v>0</v>
      </c>
      <c r="Z45" s="285">
        <f>入學要求!X408</f>
        <v>0</v>
      </c>
      <c r="AA45" s="36">
        <f t="shared" si="2"/>
        <v>14.4</v>
      </c>
      <c r="AB45" s="510"/>
      <c r="AC45" s="36" cm="1">
        <f t="array" ref="AC45">IFERROR(INDEX('Offer Statistics'!FU$2:FU$400,MATCH(1,($A45='Offer Statistics'!$FF$2:$FF$400)*($AB$2='Offer Statistics'!$FG$2:$FG$400),0)),"/")</f>
        <v>30</v>
      </c>
      <c r="AD45" s="64" cm="1">
        <f t="array" ref="AD45">IFERROR(INDEX('Offer Statistics'!FP$2:FP$400,MATCH(1,($A45='Offer Statistics'!$FF$2:$FF$400)*($AB$2='Offer Statistics'!$FG$2:$FG$400),0)),"/")</f>
        <v>15</v>
      </c>
      <c r="AE45" s="64" cm="1">
        <f t="array" ref="AE45">IFERROR(INDEX('Offer Statistics'!FQ$2:FQ$400,MATCH(1,($A45='Offer Statistics'!$FF$2:$FF$400)*($AB$2='Offer Statistics'!$FG$2:$FG$400),0)),"/")</f>
        <v>5</v>
      </c>
      <c r="AF45" s="64" cm="1">
        <f t="array" ref="AF45">IFERROR(INDEX('Offer Statistics'!FR$2:FR$400,MATCH(1,($A45='Offer Statistics'!$FF$2:$FF$400)*($AB$2='Offer Statistics'!$FG$2:$FG$400),0)),"/")</f>
        <v>3</v>
      </c>
      <c r="AG45" s="64" cm="1">
        <f t="array" ref="AG45">IFERROR(INDEX('Offer Statistics'!FS$2:FS$400,MATCH(1,($A45='Offer Statistics'!$FF$2:$FF$400)*($AB$2='Offer Statistics'!$FG$2:$FG$400),0)),"/")</f>
        <v>3</v>
      </c>
      <c r="AH45" s="64" cm="1">
        <f t="array" ref="AH45">IFERROR(INDEX('Offer Statistics'!FT$2:FT$400,MATCH(1,($A45='Offer Statistics'!$FF$2:$FF$400)*($AB$2='Offer Statistics'!$FG$2:$FG$400),0)),"/")</f>
        <v>4</v>
      </c>
      <c r="AI45" s="524"/>
      <c r="AJ45" s="36" cm="1">
        <f t="array" ref="AJ45">IFERROR(INDEX('Offer Statistics'!FM$2:FM$400,MATCH(1,($A45='Offer Statistics'!$FF$2:$FF$400)*($AB$2='Offer Statistics'!$FG$2:$FG$400),0)),"/")</f>
        <v>1439</v>
      </c>
      <c r="AK45" s="64" cm="1">
        <f t="array" ref="AK45">IFERROR(INDEX('Offer Statistics'!FH$2:FH$400,MATCH(1,($A45='Offer Statistics'!$FF$2:$FF$400)*($AB$2='Offer Statistics'!$FG$2:$FG$400),0)),"/")</f>
        <v>216</v>
      </c>
      <c r="AL45" s="64" cm="1">
        <f t="array" ref="AL45">IFERROR(INDEX('Offer Statistics'!FI$2:FI$400,MATCH(1,($A45='Offer Statistics'!$FF$2:$FF$400)*($AB$2='Offer Statistics'!$FG$2:$FG$400),0)),"/")</f>
        <v>203</v>
      </c>
      <c r="AM45" s="64" cm="1">
        <f t="array" ref="AM45">IFERROR(INDEX('Offer Statistics'!FJ$2:FJ$400,MATCH(1,($A45='Offer Statistics'!$FF$2:$FF$400)*($AB$2='Offer Statistics'!$FG$2:$FG$400),0)),"/")</f>
        <v>256</v>
      </c>
      <c r="AN45" s="64" cm="1">
        <f t="array" ref="AN45">IFERROR(INDEX('Offer Statistics'!FK$2:FK$400,MATCH(1,($A45='Offer Statistics'!$FF$2:$FF$400)*($AB$2='Offer Statistics'!$FG$2:$FG$400),0)),"/")</f>
        <v>320</v>
      </c>
      <c r="AO45" s="64" cm="1">
        <f t="array" ref="AO45">IFERROR(INDEX('Offer Statistics'!FL$2:FL$400,MATCH(1,($A45='Offer Statistics'!$FF$2:$FF$400)*($AB$2='Offer Statistics'!$FG$2:$FG$400),0)),"/")</f>
        <v>444</v>
      </c>
      <c r="AP45" s="4"/>
      <c r="AQ45" s="15" t="str">
        <f t="shared" si="3"/>
        <v>JSSV04</v>
      </c>
      <c r="AR45" s="4"/>
    </row>
    <row r="46" spans="1:44" ht="14.55" customHeight="1">
      <c r="A46" s="4" t="str">
        <f>'Reference Score Calculation'!A400</f>
        <v>JSSV05</v>
      </c>
      <c r="B46" s="4" t="str">
        <f>'Reference Score Calculation'!C400</f>
        <v>THEi</v>
      </c>
      <c r="C46" s="4" t="str">
        <f>'Reference Score Calculation'!D400</f>
        <v>土木工程（榮譽）工學士</v>
      </c>
      <c r="D46" s="4" t="str">
        <f>'Reference Score Calculation'!R400</f>
        <v>BEng(CE)</v>
      </c>
      <c r="E46" s="15" t="str">
        <f>'Reference Score Calculation'!E400</f>
        <v>Best 5</v>
      </c>
      <c r="F46" s="6" t="str">
        <f>'Reference Score Calculation'!G400</f>
        <v>/</v>
      </c>
      <c r="G46" s="44">
        <f>'Reference Score Calculation'!H400</f>
        <v>17</v>
      </c>
      <c r="H46" s="6" t="str">
        <f>'Reference Score Calculation'!I400</f>
        <v>/</v>
      </c>
      <c r="I46" s="45">
        <f>計分版!J423</f>
        <v>3.4999999999999999E-9</v>
      </c>
      <c r="J46" s="25">
        <f t="shared" si="18"/>
        <v>-16.999999996500001</v>
      </c>
      <c r="K46" s="26">
        <f t="shared" si="19"/>
        <v>-4857142856.1428576</v>
      </c>
      <c r="L46" s="36">
        <f>'Reference Score Calculation'!T400</f>
        <v>25</v>
      </c>
      <c r="M46" s="86">
        <f>入學要求!Z409</f>
        <v>0</v>
      </c>
      <c r="N46" s="516"/>
      <c r="O46" s="15">
        <v>3</v>
      </c>
      <c r="P46" s="15">
        <v>3</v>
      </c>
      <c r="Q46" s="15">
        <v>2</v>
      </c>
      <c r="R46" s="15">
        <v>2</v>
      </c>
      <c r="S46" s="15">
        <v>2</v>
      </c>
      <c r="T46" s="15"/>
      <c r="U46" s="285">
        <f>入學要求!S409</f>
        <v>0</v>
      </c>
      <c r="V46" s="285">
        <f>入學要求!T409</f>
        <v>0</v>
      </c>
      <c r="W46" s="285">
        <f>入學要求!U409</f>
        <v>0</v>
      </c>
      <c r="X46" s="285">
        <f>入學要求!V409</f>
        <v>0</v>
      </c>
      <c r="Y46" s="285">
        <f>入學要求!W409</f>
        <v>0</v>
      </c>
      <c r="Z46" s="285">
        <f>入學要求!X409</f>
        <v>0</v>
      </c>
      <c r="AA46" s="36">
        <f t="shared" si="2"/>
        <v>18.29</v>
      </c>
      <c r="AB46" s="510"/>
      <c r="AC46" s="36" cm="1">
        <f t="array" ref="AC46">IFERROR(INDEX('Offer Statistics'!FU$2:FU$400,MATCH(1,($A46='Offer Statistics'!$FF$2:$FF$400)*($AB$2='Offer Statistics'!$FG$2:$FG$400),0)),"/")</f>
        <v>7</v>
      </c>
      <c r="AD46" s="64" cm="1">
        <f t="array" ref="AD46">IFERROR(INDEX('Offer Statistics'!FP$2:FP$400,MATCH(1,($A46='Offer Statistics'!$FF$2:$FF$400)*($AB$2='Offer Statistics'!$FG$2:$FG$400),0)),"/")</f>
        <v>7</v>
      </c>
      <c r="AE46" s="64" cm="1">
        <f t="array" ref="AE46">IFERROR(INDEX('Offer Statistics'!FQ$2:FQ$400,MATCH(1,($A46='Offer Statistics'!$FF$2:$FF$400)*($AB$2='Offer Statistics'!$FG$2:$FG$400),0)),"/")</f>
        <v>0</v>
      </c>
      <c r="AF46" s="64" cm="1">
        <f t="array" ref="AF46">IFERROR(INDEX('Offer Statistics'!FR$2:FR$400,MATCH(1,($A46='Offer Statistics'!$FF$2:$FF$400)*($AB$2='Offer Statistics'!$FG$2:$FG$400),0)),"/")</f>
        <v>0</v>
      </c>
      <c r="AG46" s="64" cm="1">
        <f t="array" ref="AG46">IFERROR(INDEX('Offer Statistics'!FS$2:FS$400,MATCH(1,($A46='Offer Statistics'!$FF$2:$FF$400)*($AB$2='Offer Statistics'!$FG$2:$FG$400),0)),"/")</f>
        <v>0</v>
      </c>
      <c r="AH46" s="64" cm="1">
        <f t="array" ref="AH46">IFERROR(INDEX('Offer Statistics'!FT$2:FT$400,MATCH(1,($A46='Offer Statistics'!$FF$2:$FF$400)*($AB$2='Offer Statistics'!$FG$2:$FG$400),0)),"/")</f>
        <v>0</v>
      </c>
      <c r="AI46" s="524"/>
      <c r="AJ46" s="36" cm="1">
        <f t="array" ref="AJ46">IFERROR(INDEX('Offer Statistics'!FM$2:FM$400,MATCH(1,($A46='Offer Statistics'!$FF$2:$FF$400)*($AB$2='Offer Statistics'!$FG$2:$FG$400),0)),"/")</f>
        <v>1145</v>
      </c>
      <c r="AK46" s="64" cm="1">
        <f t="array" ref="AK46">IFERROR(INDEX('Offer Statistics'!FH$2:FH$400,MATCH(1,($A46='Offer Statistics'!$FF$2:$FF$400)*($AB$2='Offer Statistics'!$FG$2:$FG$400),0)),"/")</f>
        <v>128</v>
      </c>
      <c r="AL46" s="64" cm="1">
        <f t="array" ref="AL46">IFERROR(INDEX('Offer Statistics'!FI$2:FI$400,MATCH(1,($A46='Offer Statistics'!$FF$2:$FF$400)*($AB$2='Offer Statistics'!$FG$2:$FG$400),0)),"/")</f>
        <v>162</v>
      </c>
      <c r="AM46" s="64" cm="1">
        <f t="array" ref="AM46">IFERROR(INDEX('Offer Statistics'!FJ$2:FJ$400,MATCH(1,($A46='Offer Statistics'!$FF$2:$FF$400)*($AB$2='Offer Statistics'!$FG$2:$FG$400),0)),"/")</f>
        <v>193</v>
      </c>
      <c r="AN46" s="64" cm="1">
        <f t="array" ref="AN46">IFERROR(INDEX('Offer Statistics'!FK$2:FK$400,MATCH(1,($A46='Offer Statistics'!$FF$2:$FF$400)*($AB$2='Offer Statistics'!$FG$2:$FG$400),0)),"/")</f>
        <v>258</v>
      </c>
      <c r="AO46" s="64" cm="1">
        <f t="array" ref="AO46">IFERROR(INDEX('Offer Statistics'!FL$2:FL$400,MATCH(1,($A46='Offer Statistics'!$FF$2:$FF$400)*($AB$2='Offer Statistics'!$FG$2:$FG$400),0)),"/")</f>
        <v>404</v>
      </c>
      <c r="AP46" s="4"/>
      <c r="AQ46" s="15" t="str">
        <f t="shared" si="3"/>
        <v>JSSV05</v>
      </c>
      <c r="AR46" s="4"/>
    </row>
    <row r="47" spans="1:44" ht="14.55" customHeight="1">
      <c r="A47" s="4" t="str">
        <f>'Reference Score Calculation'!A401</f>
        <v>JSSV07</v>
      </c>
      <c r="B47" s="4" t="str">
        <f>'Reference Score Calculation'!C401</f>
        <v>THEi</v>
      </c>
      <c r="C47" s="4" t="str">
        <f>'Reference Score Calculation'!D401</f>
        <v>園藝樹藝及園境管理（榮譽）理學士</v>
      </c>
      <c r="D47" s="4" t="str">
        <f>'Reference Score Calculation'!R401</f>
        <v>BSc(HALM)</v>
      </c>
      <c r="E47" s="15" t="str">
        <f>'Reference Score Calculation'!E401</f>
        <v>Best 5</v>
      </c>
      <c r="F47" s="6" t="str">
        <f>'Reference Score Calculation'!G401</f>
        <v>/</v>
      </c>
      <c r="G47" s="44">
        <f>'Reference Score Calculation'!H401</f>
        <v>17</v>
      </c>
      <c r="H47" s="6" t="str">
        <f>'Reference Score Calculation'!I401</f>
        <v>/</v>
      </c>
      <c r="I47" s="45">
        <f>計分版!J424</f>
        <v>3.3999999999999998E-9</v>
      </c>
      <c r="J47" s="25">
        <f t="shared" si="18"/>
        <v>-16.9999999966</v>
      </c>
      <c r="K47" s="26">
        <f t="shared" si="19"/>
        <v>-4999999999</v>
      </c>
      <c r="L47" s="36">
        <f>'Reference Score Calculation'!T401</f>
        <v>15</v>
      </c>
      <c r="M47" s="86">
        <f>入學要求!Z410</f>
        <v>0</v>
      </c>
      <c r="N47" s="516"/>
      <c r="O47" s="15">
        <v>3</v>
      </c>
      <c r="P47" s="15">
        <v>3</v>
      </c>
      <c r="Q47" s="15">
        <v>2</v>
      </c>
      <c r="R47" s="15">
        <v>2</v>
      </c>
      <c r="S47" s="15">
        <v>2</v>
      </c>
      <c r="T47" s="15"/>
      <c r="U47" s="285">
        <f>入學要求!S410</f>
        <v>0</v>
      </c>
      <c r="V47" s="285">
        <f>入學要求!T410</f>
        <v>0</v>
      </c>
      <c r="W47" s="285">
        <f>入學要求!U410</f>
        <v>0</v>
      </c>
      <c r="X47" s="285">
        <f>入學要求!V410</f>
        <v>0</v>
      </c>
      <c r="Y47" s="285">
        <f>入學要求!W410</f>
        <v>0</v>
      </c>
      <c r="Z47" s="285">
        <f>入學要求!X410</f>
        <v>0</v>
      </c>
      <c r="AA47" s="36">
        <f t="shared" si="2"/>
        <v>23.67</v>
      </c>
      <c r="AB47" s="510"/>
      <c r="AC47" s="36" cm="1">
        <f t="array" ref="AC47">IFERROR(INDEX('Offer Statistics'!FU$2:FU$400,MATCH(1,($A47='Offer Statistics'!$FF$2:$FF$400)*($AB$2='Offer Statistics'!$FG$2:$FG$400),0)),"/")</f>
        <v>6</v>
      </c>
      <c r="AD47" s="64" cm="1">
        <f t="array" ref="AD47">IFERROR(INDEX('Offer Statistics'!FP$2:FP$400,MATCH(1,($A47='Offer Statistics'!$FF$2:$FF$400)*($AB$2='Offer Statistics'!$FG$2:$FG$400),0)),"/")</f>
        <v>3</v>
      </c>
      <c r="AE47" s="64" cm="1">
        <f t="array" ref="AE47">IFERROR(INDEX('Offer Statistics'!FQ$2:FQ$400,MATCH(1,($A47='Offer Statistics'!$FF$2:$FF$400)*($AB$2='Offer Statistics'!$FG$2:$FG$400),0)),"/")</f>
        <v>2</v>
      </c>
      <c r="AF47" s="64" cm="1">
        <f t="array" ref="AF47">IFERROR(INDEX('Offer Statistics'!FR$2:FR$400,MATCH(1,($A47='Offer Statistics'!$FF$2:$FF$400)*($AB$2='Offer Statistics'!$FG$2:$FG$400),0)),"/")</f>
        <v>1</v>
      </c>
      <c r="AG47" s="64" cm="1">
        <f t="array" ref="AG47">IFERROR(INDEX('Offer Statistics'!FS$2:FS$400,MATCH(1,($A47='Offer Statistics'!$FF$2:$FF$400)*($AB$2='Offer Statistics'!$FG$2:$FG$400),0)),"/")</f>
        <v>0</v>
      </c>
      <c r="AH47" s="64" cm="1">
        <f t="array" ref="AH47">IFERROR(INDEX('Offer Statistics'!FT$2:FT$400,MATCH(1,($A47='Offer Statistics'!$FF$2:$FF$400)*($AB$2='Offer Statistics'!$FG$2:$FG$400),0)),"/")</f>
        <v>0</v>
      </c>
      <c r="AI47" s="524"/>
      <c r="AJ47" s="36" cm="1">
        <f t="array" ref="AJ47">IFERROR(INDEX('Offer Statistics'!FM$2:FM$400,MATCH(1,($A47='Offer Statistics'!$FF$2:$FF$400)*($AB$2='Offer Statistics'!$FG$2:$FG$400),0)),"/")</f>
        <v>819</v>
      </c>
      <c r="AK47" s="64" cm="1">
        <f t="array" ref="AK47">IFERROR(INDEX('Offer Statistics'!FH$2:FH$400,MATCH(1,($A47='Offer Statistics'!$FF$2:$FF$400)*($AB$2='Offer Statistics'!$FG$2:$FG$400),0)),"/")</f>
        <v>71</v>
      </c>
      <c r="AL47" s="64" cm="1">
        <f t="array" ref="AL47">IFERROR(INDEX('Offer Statistics'!FI$2:FI$400,MATCH(1,($A47='Offer Statistics'!$FF$2:$FF$400)*($AB$2='Offer Statistics'!$FG$2:$FG$400),0)),"/")</f>
        <v>110</v>
      </c>
      <c r="AM47" s="64" cm="1">
        <f t="array" ref="AM47">IFERROR(INDEX('Offer Statistics'!FJ$2:FJ$400,MATCH(1,($A47='Offer Statistics'!$FF$2:$FF$400)*($AB$2='Offer Statistics'!$FG$2:$FG$400),0)),"/")</f>
        <v>148</v>
      </c>
      <c r="AN47" s="64" cm="1">
        <f t="array" ref="AN47">IFERROR(INDEX('Offer Statistics'!FK$2:FK$400,MATCH(1,($A47='Offer Statistics'!$FF$2:$FF$400)*($AB$2='Offer Statistics'!$FG$2:$FG$400),0)),"/")</f>
        <v>183</v>
      </c>
      <c r="AO47" s="64" cm="1">
        <f t="array" ref="AO47">IFERROR(INDEX('Offer Statistics'!FL$2:FL$400,MATCH(1,($A47='Offer Statistics'!$FF$2:$FF$400)*($AB$2='Offer Statistics'!$FG$2:$FG$400),0)),"/")</f>
        <v>307</v>
      </c>
      <c r="AP47" s="4"/>
      <c r="AQ47" s="15" t="str">
        <f t="shared" si="3"/>
        <v>JSSV07</v>
      </c>
      <c r="AR47" s="4"/>
    </row>
    <row r="48" spans="1:44" ht="14.55" customHeight="1">
      <c r="A48" s="4" t="str">
        <f>'Reference Score Calculation'!A402</f>
        <v>JSSV08</v>
      </c>
      <c r="B48" s="4" t="str">
        <f>'Reference Score Calculation'!C402</f>
        <v>THEi</v>
      </c>
      <c r="C48" s="4" t="str">
        <f>'Reference Score Calculation'!D402</f>
        <v>測量學（榮譽）理學士</v>
      </c>
      <c r="D48" s="4" t="str">
        <f>'Reference Score Calculation'!R402</f>
        <v>BSc(SUR)</v>
      </c>
      <c r="E48" s="15" t="str">
        <f>'Reference Score Calculation'!E402</f>
        <v>Best 5</v>
      </c>
      <c r="F48" s="6" t="str">
        <f>'Reference Score Calculation'!G402</f>
        <v>/</v>
      </c>
      <c r="G48" s="44">
        <f>'Reference Score Calculation'!H402</f>
        <v>17</v>
      </c>
      <c r="H48" s="6" t="str">
        <f>'Reference Score Calculation'!I402</f>
        <v>/</v>
      </c>
      <c r="I48" s="45">
        <f>計分版!J425</f>
        <v>3.3999999999999998E-9</v>
      </c>
      <c r="J48" s="25">
        <f t="shared" si="18"/>
        <v>-16.9999999966</v>
      </c>
      <c r="K48" s="26">
        <f t="shared" si="19"/>
        <v>-4999999999</v>
      </c>
      <c r="L48" s="36">
        <f>'Reference Score Calculation'!T402</f>
        <v>15</v>
      </c>
      <c r="M48" s="86">
        <f>入學要求!Z411</f>
        <v>0</v>
      </c>
      <c r="N48" s="516"/>
      <c r="O48" s="15">
        <v>3</v>
      </c>
      <c r="P48" s="15">
        <v>3</v>
      </c>
      <c r="Q48" s="15">
        <v>2</v>
      </c>
      <c r="R48" s="15">
        <v>2</v>
      </c>
      <c r="S48" s="15">
        <v>2</v>
      </c>
      <c r="T48" s="15"/>
      <c r="U48" s="285">
        <f>入學要求!S411</f>
        <v>0</v>
      </c>
      <c r="V48" s="285">
        <f>入學要求!T411</f>
        <v>0</v>
      </c>
      <c r="W48" s="285">
        <f>入學要求!U411</f>
        <v>0</v>
      </c>
      <c r="X48" s="285">
        <f>入學要求!V411</f>
        <v>0</v>
      </c>
      <c r="Y48" s="285">
        <f>入學要求!W411</f>
        <v>0</v>
      </c>
      <c r="Z48" s="285">
        <f>入學要求!X411</f>
        <v>0</v>
      </c>
      <c r="AA48" s="36">
        <f t="shared" si="2"/>
        <v>10.89</v>
      </c>
      <c r="AB48" s="510"/>
      <c r="AC48" s="36" cm="1">
        <f t="array" ref="AC48">IFERROR(INDEX('Offer Statistics'!FU$2:FU$400,MATCH(1,($A48='Offer Statistics'!$FF$2:$FF$400)*($AB$2='Offer Statistics'!$FG$2:$FG$400),0)),"/")</f>
        <v>13</v>
      </c>
      <c r="AD48" s="64" cm="1">
        <f t="array" ref="AD48">IFERROR(INDEX('Offer Statistics'!FP$2:FP$400,MATCH(1,($A48='Offer Statistics'!$FF$2:$FF$400)*($AB$2='Offer Statistics'!$FG$2:$FG$400),0)),"/")</f>
        <v>9</v>
      </c>
      <c r="AE48" s="64" cm="1">
        <f t="array" ref="AE48">IFERROR(INDEX('Offer Statistics'!FQ$2:FQ$400,MATCH(1,($A48='Offer Statistics'!$FF$2:$FF$400)*($AB$2='Offer Statistics'!$FG$2:$FG$400),0)),"/")</f>
        <v>3</v>
      </c>
      <c r="AF48" s="64" cm="1">
        <f t="array" ref="AF48">IFERROR(INDEX('Offer Statistics'!FR$2:FR$400,MATCH(1,($A48='Offer Statistics'!$FF$2:$FF$400)*($AB$2='Offer Statistics'!$FG$2:$FG$400),0)),"/")</f>
        <v>1</v>
      </c>
      <c r="AG48" s="64" cm="1">
        <f t="array" ref="AG48">IFERROR(INDEX('Offer Statistics'!FS$2:FS$400,MATCH(1,($A48='Offer Statistics'!$FF$2:$FF$400)*($AB$2='Offer Statistics'!$FG$2:$FG$400),0)),"/")</f>
        <v>0</v>
      </c>
      <c r="AH48" s="64" cm="1">
        <f t="array" ref="AH48">IFERROR(INDEX('Offer Statistics'!FT$2:FT$400,MATCH(1,($A48='Offer Statistics'!$FF$2:$FF$400)*($AB$2='Offer Statistics'!$FG$2:$FG$400),0)),"/")</f>
        <v>0</v>
      </c>
      <c r="AI48" s="524"/>
      <c r="AJ48" s="36" cm="1">
        <f t="array" ref="AJ48">IFERROR(INDEX('Offer Statistics'!FM$2:FM$400,MATCH(1,($A48='Offer Statistics'!$FF$2:$FF$400)*($AB$2='Offer Statistics'!$FG$2:$FG$400),0)),"/")</f>
        <v>833</v>
      </c>
      <c r="AK48" s="64" cm="1">
        <f t="array" ref="AK48">IFERROR(INDEX('Offer Statistics'!FH$2:FH$400,MATCH(1,($A48='Offer Statistics'!$FF$2:$FF$400)*($AB$2='Offer Statistics'!$FG$2:$FG$400),0)),"/")</f>
        <v>98</v>
      </c>
      <c r="AL48" s="64" cm="1">
        <f t="array" ref="AL48">IFERROR(INDEX('Offer Statistics'!FI$2:FI$400,MATCH(1,($A48='Offer Statistics'!$FF$2:$FF$400)*($AB$2='Offer Statistics'!$FG$2:$FG$400),0)),"/")</f>
        <v>128</v>
      </c>
      <c r="AM48" s="64" cm="1">
        <f t="array" ref="AM48">IFERROR(INDEX('Offer Statistics'!FJ$2:FJ$400,MATCH(1,($A48='Offer Statistics'!$FF$2:$FF$400)*($AB$2='Offer Statistics'!$FG$2:$FG$400),0)),"/")</f>
        <v>133</v>
      </c>
      <c r="AN48" s="64" cm="1">
        <f t="array" ref="AN48">IFERROR(INDEX('Offer Statistics'!FK$2:FK$400,MATCH(1,($A48='Offer Statistics'!$FF$2:$FF$400)*($AB$2='Offer Statistics'!$FG$2:$FG$400),0)),"/")</f>
        <v>186</v>
      </c>
      <c r="AO48" s="64" cm="1">
        <f t="array" ref="AO48">IFERROR(INDEX('Offer Statistics'!FL$2:FL$400,MATCH(1,($A48='Offer Statistics'!$FF$2:$FF$400)*($AB$2='Offer Statistics'!$FG$2:$FG$400),0)),"/")</f>
        <v>288</v>
      </c>
      <c r="AP48" s="4"/>
      <c r="AQ48" s="15" t="str">
        <f t="shared" si="3"/>
        <v>JSSV08</v>
      </c>
      <c r="AR48" s="4"/>
    </row>
    <row r="49" spans="1:45" ht="14.55" customHeight="1">
      <c r="A49" s="4" t="str">
        <f>'Reference Score Calculation'!A403</f>
        <v>JSSV09</v>
      </c>
      <c r="B49" s="4" t="str">
        <f>'Reference Score Calculation'!C403</f>
        <v>THEi</v>
      </c>
      <c r="C49" s="4" t="str">
        <f>'Reference Score Calculation'!D403</f>
        <v>運動及康樂管理（榮譽）社會科學學士</v>
      </c>
      <c r="D49" s="4" t="str">
        <f>'Reference Score Calculation'!R403</f>
        <v>BSocSc(SRM)</v>
      </c>
      <c r="E49" s="15" t="str">
        <f>'Reference Score Calculation'!E403</f>
        <v>Best 5</v>
      </c>
      <c r="F49" s="6" t="str">
        <f>'Reference Score Calculation'!G403</f>
        <v>/</v>
      </c>
      <c r="G49" s="44">
        <f>'Reference Score Calculation'!H403</f>
        <v>17</v>
      </c>
      <c r="H49" s="6" t="str">
        <f>'Reference Score Calculation'!I403</f>
        <v>/</v>
      </c>
      <c r="I49" s="45">
        <f>計分版!J426</f>
        <v>3.3999999999999998E-9</v>
      </c>
      <c r="J49" s="25">
        <f t="shared" si="18"/>
        <v>-16.9999999966</v>
      </c>
      <c r="K49" s="26">
        <f t="shared" si="19"/>
        <v>-4999999999</v>
      </c>
      <c r="L49" s="36">
        <f>'Reference Score Calculation'!T403</f>
        <v>25</v>
      </c>
      <c r="M49" s="86">
        <f>入學要求!Z412</f>
        <v>0</v>
      </c>
      <c r="N49" s="516"/>
      <c r="O49" s="15">
        <v>3</v>
      </c>
      <c r="P49" s="15">
        <v>3</v>
      </c>
      <c r="Q49" s="15">
        <v>2</v>
      </c>
      <c r="R49" s="15">
        <v>2</v>
      </c>
      <c r="S49" s="15">
        <v>2</v>
      </c>
      <c r="T49" s="15"/>
      <c r="U49" s="285">
        <f>入學要求!S412</f>
        <v>0</v>
      </c>
      <c r="V49" s="285">
        <f>入學要求!T412</f>
        <v>0</v>
      </c>
      <c r="W49" s="285">
        <f>入學要求!U412</f>
        <v>0</v>
      </c>
      <c r="X49" s="285">
        <f>入學要求!V412</f>
        <v>0</v>
      </c>
      <c r="Y49" s="285">
        <f>入學要求!W412</f>
        <v>0</v>
      </c>
      <c r="Z49" s="285">
        <f>入學要求!X412</f>
        <v>0</v>
      </c>
      <c r="AA49" s="36">
        <f t="shared" si="2"/>
        <v>16.190000000000001</v>
      </c>
      <c r="AB49" s="510"/>
      <c r="AC49" s="36" cm="1">
        <f t="array" ref="AC49">IFERROR(INDEX('Offer Statistics'!FU$2:FU$400,MATCH(1,($A49='Offer Statistics'!$FF$2:$FF$400)*($AB$2='Offer Statistics'!$FG$2:$FG$400),0)),"/")</f>
        <v>33</v>
      </c>
      <c r="AD49" s="64" cm="1">
        <f t="array" ref="AD49">IFERROR(INDEX('Offer Statistics'!FP$2:FP$400,MATCH(1,($A49='Offer Statistics'!$FF$2:$FF$400)*($AB$2='Offer Statistics'!$FG$2:$FG$400),0)),"/")</f>
        <v>16</v>
      </c>
      <c r="AE49" s="64" cm="1">
        <f t="array" ref="AE49">IFERROR(INDEX('Offer Statistics'!FQ$2:FQ$400,MATCH(1,($A49='Offer Statistics'!$FF$2:$FF$400)*($AB$2='Offer Statistics'!$FG$2:$FG$400),0)),"/")</f>
        <v>12</v>
      </c>
      <c r="AF49" s="64" cm="1">
        <f t="array" ref="AF49">IFERROR(INDEX('Offer Statistics'!FR$2:FR$400,MATCH(1,($A49='Offer Statistics'!$FF$2:$FF$400)*($AB$2='Offer Statistics'!$FG$2:$FG$400),0)),"/")</f>
        <v>3</v>
      </c>
      <c r="AG49" s="64" cm="1">
        <f t="array" ref="AG49">IFERROR(INDEX('Offer Statistics'!FS$2:FS$400,MATCH(1,($A49='Offer Statistics'!$FF$2:$FF$400)*($AB$2='Offer Statistics'!$FG$2:$FG$400),0)),"/")</f>
        <v>2</v>
      </c>
      <c r="AH49" s="64" cm="1">
        <f t="array" ref="AH49">IFERROR(INDEX('Offer Statistics'!FT$2:FT$400,MATCH(1,($A49='Offer Statistics'!$FF$2:$FF$400)*($AB$2='Offer Statistics'!$FG$2:$FG$400),0)),"/")</f>
        <v>0</v>
      </c>
      <c r="AI49" s="524"/>
      <c r="AJ49" s="36" cm="1">
        <f t="array" ref="AJ49">IFERROR(INDEX('Offer Statistics'!FM$2:FM$400,MATCH(1,($A49='Offer Statistics'!$FF$2:$FF$400)*($AB$2='Offer Statistics'!$FG$2:$FG$400),0)),"/")</f>
        <v>1482</v>
      </c>
      <c r="AK49" s="64" cm="1">
        <f t="array" ref="AK49">IFERROR(INDEX('Offer Statistics'!FH$2:FH$400,MATCH(1,($A49='Offer Statistics'!$FF$2:$FF$400)*($AB$2='Offer Statistics'!$FG$2:$FG$400),0)),"/")</f>
        <v>259</v>
      </c>
      <c r="AL49" s="64" cm="1">
        <f t="array" ref="AL49">IFERROR(INDEX('Offer Statistics'!FI$2:FI$400,MATCH(1,($A49='Offer Statistics'!$FF$2:$FF$400)*($AB$2='Offer Statistics'!$FG$2:$FG$400),0)),"/")</f>
        <v>306</v>
      </c>
      <c r="AM49" s="64" cm="1">
        <f t="array" ref="AM49">IFERROR(INDEX('Offer Statistics'!FJ$2:FJ$400,MATCH(1,($A49='Offer Statistics'!$FF$2:$FF$400)*($AB$2='Offer Statistics'!$FG$2:$FG$400),0)),"/")</f>
        <v>273</v>
      </c>
      <c r="AN49" s="64" cm="1">
        <f t="array" ref="AN49">IFERROR(INDEX('Offer Statistics'!FK$2:FK$400,MATCH(1,($A49='Offer Statistics'!$FF$2:$FF$400)*($AB$2='Offer Statistics'!$FG$2:$FG$400),0)),"/")</f>
        <v>292</v>
      </c>
      <c r="AO49" s="64" cm="1">
        <f t="array" ref="AO49">IFERROR(INDEX('Offer Statistics'!FL$2:FL$400,MATCH(1,($A49='Offer Statistics'!$FF$2:$FF$400)*($AB$2='Offer Statistics'!$FG$2:$FG$400),0)),"/")</f>
        <v>352</v>
      </c>
      <c r="AP49" s="4"/>
      <c r="AQ49" s="15" t="str">
        <f t="shared" si="3"/>
        <v>JSSV09</v>
      </c>
      <c r="AR49" s="4"/>
    </row>
    <row r="50" spans="1:45" ht="14.55" customHeight="1">
      <c r="A50" s="4" t="str">
        <f>'Reference Score Calculation'!A404</f>
        <v>JSSV10</v>
      </c>
      <c r="B50" s="4" t="str">
        <f>'Reference Score Calculation'!C404</f>
        <v>THEi</v>
      </c>
      <c r="C50" s="4" t="str">
        <f>'Reference Score Calculation'!D404</f>
        <v>屋宇設備工程（榮譽）工學士</v>
      </c>
      <c r="D50" s="4" t="str">
        <f>'Reference Score Calculation'!R404</f>
        <v>BEng(BSE)</v>
      </c>
      <c r="E50" s="15" t="str">
        <f>'Reference Score Calculation'!E404</f>
        <v>Best 5</v>
      </c>
      <c r="F50" s="6" t="str">
        <f>'Reference Score Calculation'!G404</f>
        <v>/</v>
      </c>
      <c r="G50" s="44" t="str">
        <f>'Reference Score Calculation'!H404</f>
        <v>/</v>
      </c>
      <c r="H50" s="6" t="str">
        <f>'Reference Score Calculation'!I404</f>
        <v>/</v>
      </c>
      <c r="I50" s="45">
        <f>計分版!J427</f>
        <v>3.4999999999999999E-9</v>
      </c>
      <c r="J50" s="7" t="str">
        <f t="shared" si="18"/>
        <v>/</v>
      </c>
      <c r="K50" s="8" t="str">
        <f t="shared" si="19"/>
        <v>/</v>
      </c>
      <c r="L50" s="36">
        <f>'Reference Score Calculation'!T404</f>
        <v>10</v>
      </c>
      <c r="M50" s="86">
        <f>入學要求!Z413</f>
        <v>0</v>
      </c>
      <c r="N50" s="516"/>
      <c r="O50" s="15">
        <v>3</v>
      </c>
      <c r="P50" s="15">
        <v>3</v>
      </c>
      <c r="Q50" s="15">
        <v>2</v>
      </c>
      <c r="R50" s="15">
        <v>2</v>
      </c>
      <c r="S50" s="15">
        <v>2</v>
      </c>
      <c r="T50" s="15"/>
      <c r="U50" s="285">
        <f>入學要求!S413</f>
        <v>0</v>
      </c>
      <c r="V50" s="285">
        <f>入學要求!T413</f>
        <v>0</v>
      </c>
      <c r="W50" s="285">
        <f>入學要求!U413</f>
        <v>0</v>
      </c>
      <c r="X50" s="285">
        <f>入學要求!V413</f>
        <v>0</v>
      </c>
      <c r="Y50" s="285">
        <f>入學要求!W413</f>
        <v>0</v>
      </c>
      <c r="Z50" s="285">
        <f>入學要求!X413</f>
        <v>0</v>
      </c>
      <c r="AA50" s="36">
        <f t="shared" si="2"/>
        <v>16.329999999999998</v>
      </c>
      <c r="AB50" s="510"/>
      <c r="AC50" s="36" cm="1">
        <f t="array" ref="AC50">IFERROR(INDEX('Offer Statistics'!FU$2:FU$400,MATCH(1,($A50='Offer Statistics'!$FF$2:$FF$400)*($AB$2='Offer Statistics'!$FG$2:$FG$400),0)),"/")</f>
        <v>3</v>
      </c>
      <c r="AD50" s="64" cm="1">
        <f t="array" ref="AD50">IFERROR(INDEX('Offer Statistics'!FP$2:FP$400,MATCH(1,($A50='Offer Statistics'!$FF$2:$FF$400)*($AB$2='Offer Statistics'!$FG$2:$FG$400),0)),"/")</f>
        <v>3</v>
      </c>
      <c r="AE50" s="64" cm="1">
        <f t="array" ref="AE50">IFERROR(INDEX('Offer Statistics'!FQ$2:FQ$400,MATCH(1,($A50='Offer Statistics'!$FF$2:$FF$400)*($AB$2='Offer Statistics'!$FG$2:$FG$400),0)),"/")</f>
        <v>0</v>
      </c>
      <c r="AF50" s="64" cm="1">
        <f t="array" ref="AF50">IFERROR(INDEX('Offer Statistics'!FR$2:FR$400,MATCH(1,($A50='Offer Statistics'!$FF$2:$FF$400)*($AB$2='Offer Statistics'!$FG$2:$FG$400),0)),"/")</f>
        <v>0</v>
      </c>
      <c r="AG50" s="64" cm="1">
        <f t="array" ref="AG50">IFERROR(INDEX('Offer Statistics'!FS$2:FS$400,MATCH(1,($A50='Offer Statistics'!$FF$2:$FF$400)*($AB$2='Offer Statistics'!$FG$2:$FG$400),0)),"/")</f>
        <v>0</v>
      </c>
      <c r="AH50" s="64" cm="1">
        <f t="array" ref="AH50">IFERROR(INDEX('Offer Statistics'!FT$2:FT$400,MATCH(1,($A50='Offer Statistics'!$FF$2:$FF$400)*($AB$2='Offer Statistics'!$FG$2:$FG$400),0)),"/")</f>
        <v>0</v>
      </c>
      <c r="AI50" s="524"/>
      <c r="AJ50" s="36" cm="1">
        <f t="array" ref="AJ50">IFERROR(INDEX('Offer Statistics'!FM$2:FM$400,MATCH(1,($A50='Offer Statistics'!$FF$2:$FF$400)*($AB$2='Offer Statistics'!$FG$2:$FG$400),0)),"/")</f>
        <v>579</v>
      </c>
      <c r="AK50" s="64" cm="1">
        <f t="array" ref="AK50">IFERROR(INDEX('Offer Statistics'!FH$2:FH$400,MATCH(1,($A50='Offer Statistics'!$FF$2:$FF$400)*($AB$2='Offer Statistics'!$FG$2:$FG$400),0)),"/")</f>
        <v>49</v>
      </c>
      <c r="AL50" s="64" cm="1">
        <f t="array" ref="AL50">IFERROR(INDEX('Offer Statistics'!FI$2:FI$400,MATCH(1,($A50='Offer Statistics'!$FF$2:$FF$400)*($AB$2='Offer Statistics'!$FG$2:$FG$400),0)),"/")</f>
        <v>79</v>
      </c>
      <c r="AM50" s="64" cm="1">
        <f t="array" ref="AM50">IFERROR(INDEX('Offer Statistics'!FJ$2:FJ$400,MATCH(1,($A50='Offer Statistics'!$FF$2:$FF$400)*($AB$2='Offer Statistics'!$FG$2:$FG$400),0)),"/")</f>
        <v>96</v>
      </c>
      <c r="AN50" s="64" cm="1">
        <f t="array" ref="AN50">IFERROR(INDEX('Offer Statistics'!FK$2:FK$400,MATCH(1,($A50='Offer Statistics'!$FF$2:$FF$400)*($AB$2='Offer Statistics'!$FG$2:$FG$400),0)),"/")</f>
        <v>153</v>
      </c>
      <c r="AO50" s="64" cm="1">
        <f t="array" ref="AO50">IFERROR(INDEX('Offer Statistics'!FL$2:FL$400,MATCH(1,($A50='Offer Statistics'!$FF$2:$FF$400)*($AB$2='Offer Statistics'!$FG$2:$FG$400),0)),"/")</f>
        <v>202</v>
      </c>
      <c r="AP50" s="4"/>
      <c r="AQ50" s="15" t="str">
        <f t="shared" si="3"/>
        <v>JSSV10</v>
      </c>
      <c r="AR50" s="4"/>
    </row>
    <row r="51" spans="1:45" ht="14.55" customHeight="1">
      <c r="A51" s="4" t="str">
        <f>'Reference Score Calculation'!A405</f>
        <v>JSSW01</v>
      </c>
      <c r="B51" s="4" t="str">
        <f>'Reference Score Calculation'!C405</f>
        <v>伍倫貢學院</v>
      </c>
      <c r="C51" s="4" t="str">
        <f>'Reference Score Calculation'!D405</f>
        <v>營運及管理（榮譽）航空學士</v>
      </c>
      <c r="D51" s="4" t="str">
        <f>'Reference Score Calculation'!R405</f>
        <v>BAvOM</v>
      </c>
      <c r="E51" s="15" t="str">
        <f>'Reference Score Calculation'!E405</f>
        <v>Best 5</v>
      </c>
      <c r="F51" s="6" t="str">
        <f>'Reference Score Calculation'!G405</f>
        <v>/</v>
      </c>
      <c r="G51" s="44">
        <f>'Reference Score Calculation'!H405</f>
        <v>16.5</v>
      </c>
      <c r="H51" s="6" t="str">
        <f>'Reference Score Calculation'!I405</f>
        <v>/</v>
      </c>
      <c r="I51" s="45">
        <f>計分版!J428</f>
        <v>3.3999999999999998E-9</v>
      </c>
      <c r="J51" s="7">
        <f t="shared" si="18"/>
        <v>-16.4999999966</v>
      </c>
      <c r="K51" s="8">
        <f t="shared" si="19"/>
        <v>-4852941175.4705887</v>
      </c>
      <c r="L51" s="36">
        <f>'Reference Score Calculation'!T405</f>
        <v>15</v>
      </c>
      <c r="M51" s="86">
        <f>入學要求!Z414</f>
        <v>0</v>
      </c>
      <c r="N51" s="516"/>
      <c r="O51" s="15">
        <v>3</v>
      </c>
      <c r="P51" s="15">
        <v>3</v>
      </c>
      <c r="Q51" s="15">
        <v>2</v>
      </c>
      <c r="R51" s="15">
        <v>2</v>
      </c>
      <c r="S51" s="15">
        <v>2</v>
      </c>
      <c r="T51" s="15"/>
      <c r="U51" s="285">
        <f>入學要求!S414</f>
        <v>0</v>
      </c>
      <c r="V51" s="285">
        <f>入學要求!T414</f>
        <v>0</v>
      </c>
      <c r="W51" s="285">
        <f>入學要求!U414</f>
        <v>0</v>
      </c>
      <c r="X51" s="285">
        <f>入學要求!V414</f>
        <v>0</v>
      </c>
      <c r="Y51" s="285">
        <f>入學要求!W414</f>
        <v>0</v>
      </c>
      <c r="Z51" s="285">
        <f>入學要求!X414</f>
        <v>0</v>
      </c>
      <c r="AA51" s="36">
        <f t="shared" si="2"/>
        <v>8</v>
      </c>
      <c r="AB51" s="510"/>
      <c r="AC51" s="36" cm="1">
        <f t="array" ref="AC51">IFERROR(INDEX('Offer Statistics'!FU$2:FU$400,MATCH(1,($A51='Offer Statistics'!$FF$2:$FF$400)*($AB$2='Offer Statistics'!$FG$2:$FG$400),0)),"/")</f>
        <v>17</v>
      </c>
      <c r="AD51" s="64" cm="1">
        <f t="array" ref="AD51">IFERROR(INDEX('Offer Statistics'!FP$2:FP$400,MATCH(1,($A51='Offer Statistics'!$FF$2:$FF$400)*($AB$2='Offer Statistics'!$FG$2:$FG$400),0)),"/")</f>
        <v>13</v>
      </c>
      <c r="AE51" s="64" cm="1">
        <f t="array" ref="AE51">IFERROR(INDEX('Offer Statistics'!FQ$2:FQ$400,MATCH(1,($A51='Offer Statistics'!$FF$2:$FF$400)*($AB$2='Offer Statistics'!$FG$2:$FG$400),0)),"/")</f>
        <v>1</v>
      </c>
      <c r="AF51" s="64" cm="1">
        <f t="array" ref="AF51">IFERROR(INDEX('Offer Statistics'!FR$2:FR$400,MATCH(1,($A51='Offer Statistics'!$FF$2:$FF$400)*($AB$2='Offer Statistics'!$FG$2:$FG$400),0)),"/")</f>
        <v>2</v>
      </c>
      <c r="AG51" s="64" cm="1">
        <f t="array" ref="AG51">IFERROR(INDEX('Offer Statistics'!FS$2:FS$400,MATCH(1,($A51='Offer Statistics'!$FF$2:$FF$400)*($AB$2='Offer Statistics'!$FG$2:$FG$400),0)),"/")</f>
        <v>1</v>
      </c>
      <c r="AH51" s="64" cm="1">
        <f t="array" ref="AH51">IFERROR(INDEX('Offer Statistics'!FT$2:FT$400,MATCH(1,($A51='Offer Statistics'!$FF$2:$FF$400)*($AB$2='Offer Statistics'!$FG$2:$FG$400),0)),"/")</f>
        <v>0</v>
      </c>
      <c r="AI51" s="524"/>
      <c r="AJ51" s="36" cm="1">
        <f t="array" ref="AJ51">IFERROR(INDEX('Offer Statistics'!FM$2:FM$400,MATCH(1,($A51='Offer Statistics'!$FF$2:$FF$400)*($AB$2='Offer Statistics'!$FG$2:$FG$400),0)),"/")</f>
        <v>1053</v>
      </c>
      <c r="AK51" s="64" cm="1">
        <f t="array" ref="AK51">IFERROR(INDEX('Offer Statistics'!FH$2:FH$400,MATCH(1,($A51='Offer Statistics'!$FF$2:$FF$400)*($AB$2='Offer Statistics'!$FG$2:$FG$400),0)),"/")</f>
        <v>104</v>
      </c>
      <c r="AL51" s="64" cm="1">
        <f t="array" ref="AL51">IFERROR(INDEX('Offer Statistics'!FI$2:FI$400,MATCH(1,($A51='Offer Statistics'!$FF$2:$FF$400)*($AB$2='Offer Statistics'!$FG$2:$FG$400),0)),"/")</f>
        <v>147</v>
      </c>
      <c r="AM51" s="64" cm="1">
        <f t="array" ref="AM51">IFERROR(INDEX('Offer Statistics'!FJ$2:FJ$400,MATCH(1,($A51='Offer Statistics'!$FF$2:$FF$400)*($AB$2='Offer Statistics'!$FG$2:$FG$400),0)),"/")</f>
        <v>166</v>
      </c>
      <c r="AN51" s="64" cm="1">
        <f t="array" ref="AN51">IFERROR(INDEX('Offer Statistics'!FK$2:FK$400,MATCH(1,($A51='Offer Statistics'!$FF$2:$FF$400)*($AB$2='Offer Statistics'!$FG$2:$FG$400),0)),"/")</f>
        <v>286</v>
      </c>
      <c r="AO51" s="64" cm="1">
        <f t="array" ref="AO51">IFERROR(INDEX('Offer Statistics'!FL$2:FL$400,MATCH(1,($A51='Offer Statistics'!$FF$2:$FF$400)*($AB$2='Offer Statistics'!$FG$2:$FG$400),0)),"/")</f>
        <v>350</v>
      </c>
      <c r="AP51" s="4"/>
      <c r="AQ51" s="15" t="str">
        <f t="shared" si="3"/>
        <v>JSSW01</v>
      </c>
      <c r="AR51" s="4"/>
    </row>
    <row r="52" spans="1:45" ht="14.55" customHeight="1">
      <c r="A52" s="4" t="str">
        <f>'Reference Score Calculation'!A406</f>
        <v>JSSW02</v>
      </c>
      <c r="B52" s="4" t="str">
        <f>'Reference Score Calculation'!C406</f>
        <v>伍倫貢學院</v>
      </c>
      <c r="C52" s="4" t="str">
        <f>'Reference Score Calculation'!D406</f>
        <v>航運服務及營運管理學士（榮譽）</v>
      </c>
      <c r="D52" s="4" t="str">
        <f>'Reference Score Calculation'!R406</f>
        <v>BMSOM</v>
      </c>
      <c r="E52" s="15" t="str">
        <f>'Reference Score Calculation'!E406</f>
        <v>24年新科目</v>
      </c>
      <c r="F52" s="6" t="str">
        <f>'Reference Score Calculation'!G406</f>
        <v>/</v>
      </c>
      <c r="G52" s="44" t="str">
        <f>'Reference Score Calculation'!H406</f>
        <v>/</v>
      </c>
      <c r="H52" s="6" t="str">
        <f>'Reference Score Calculation'!I406</f>
        <v>/</v>
      </c>
      <c r="I52" s="45">
        <f>計分版!J429</f>
        <v>0</v>
      </c>
      <c r="J52" s="7" t="str">
        <f t="shared" ref="J52" si="20">IFERROR(I52-G52,"/")</f>
        <v>/</v>
      </c>
      <c r="K52" s="8" t="str">
        <f t="shared" ref="K52" si="21">IFERROR((I52-G52)/I52,"/")</f>
        <v>/</v>
      </c>
      <c r="L52" s="36">
        <f>'Reference Score Calculation'!T406</f>
        <v>10</v>
      </c>
      <c r="M52" s="86">
        <f>入學要求!Z415</f>
        <v>0</v>
      </c>
      <c r="N52" s="516"/>
      <c r="O52" s="15">
        <v>3</v>
      </c>
      <c r="P52" s="15">
        <v>3</v>
      </c>
      <c r="Q52" s="15">
        <v>2</v>
      </c>
      <c r="R52" s="15">
        <v>2</v>
      </c>
      <c r="S52" s="15">
        <v>2</v>
      </c>
      <c r="T52" s="15"/>
      <c r="U52" s="285">
        <f>入學要求!S415</f>
        <v>0</v>
      </c>
      <c r="V52" s="285">
        <f>入學要求!T415</f>
        <v>0</v>
      </c>
      <c r="W52" s="285">
        <f>入學要求!U415</f>
        <v>0</v>
      </c>
      <c r="X52" s="285">
        <f>入學要求!V415</f>
        <v>0</v>
      </c>
      <c r="Y52" s="285">
        <f>入學要求!W415</f>
        <v>0</v>
      </c>
      <c r="Z52" s="285">
        <f>入學要求!X415</f>
        <v>0</v>
      </c>
      <c r="AA52" s="36" t="str">
        <f t="shared" si="2"/>
        <v>/</v>
      </c>
      <c r="AB52" s="510"/>
      <c r="AC52" s="36" t="str" cm="1">
        <f t="array" ref="AC52">IFERROR(INDEX('Offer Statistics'!FU$2:FU$400,MATCH(1,($A52='Offer Statistics'!$FF$2:$FF$400)*($AB$2='Offer Statistics'!$FG$2:$FG$400),0)),"/")</f>
        <v>/</v>
      </c>
      <c r="AD52" s="64" t="str" cm="1">
        <f t="array" ref="AD52">IFERROR(INDEX('Offer Statistics'!FP$2:FP$400,MATCH(1,($A52='Offer Statistics'!$FF$2:$FF$400)*($AB$2='Offer Statistics'!$FG$2:$FG$400),0)),"/")</f>
        <v>/</v>
      </c>
      <c r="AE52" s="64" t="str" cm="1">
        <f t="array" ref="AE52">IFERROR(INDEX('Offer Statistics'!FQ$2:FQ$400,MATCH(1,($A52='Offer Statistics'!$FF$2:$FF$400)*($AB$2='Offer Statistics'!$FG$2:$FG$400),0)),"/")</f>
        <v>/</v>
      </c>
      <c r="AF52" s="64" t="str" cm="1">
        <f t="array" ref="AF52">IFERROR(INDEX('Offer Statistics'!FR$2:FR$400,MATCH(1,($A52='Offer Statistics'!$FF$2:$FF$400)*($AB$2='Offer Statistics'!$FG$2:$FG$400),0)),"/")</f>
        <v>/</v>
      </c>
      <c r="AG52" s="64" t="str" cm="1">
        <f t="array" ref="AG52">IFERROR(INDEX('Offer Statistics'!FS$2:FS$400,MATCH(1,($A52='Offer Statistics'!$FF$2:$FF$400)*($AB$2='Offer Statistics'!$FG$2:$FG$400),0)),"/")</f>
        <v>/</v>
      </c>
      <c r="AH52" s="64" t="str" cm="1">
        <f t="array" ref="AH52">IFERROR(INDEX('Offer Statistics'!FT$2:FT$400,MATCH(1,($A52='Offer Statistics'!$FF$2:$FF$400)*($AB$2='Offer Statistics'!$FG$2:$FG$400),0)),"/")</f>
        <v>/</v>
      </c>
      <c r="AI52" s="524"/>
      <c r="AJ52" s="36" t="str" cm="1">
        <f t="array" ref="AJ52">IFERROR(INDEX('Offer Statistics'!FM$2:FM$400,MATCH(1,($A52='Offer Statistics'!$FF$2:$FF$400)*($AB$2='Offer Statistics'!$FG$2:$FG$400),0)),"/")</f>
        <v>/</v>
      </c>
      <c r="AK52" s="64" t="str" cm="1">
        <f t="array" ref="AK52">IFERROR(INDEX('Offer Statistics'!FH$2:FH$400,MATCH(1,($A52='Offer Statistics'!$FF$2:$FF$400)*($AB$2='Offer Statistics'!$FG$2:$FG$400),0)),"/")</f>
        <v>/</v>
      </c>
      <c r="AL52" s="64" t="str" cm="1">
        <f t="array" ref="AL52">IFERROR(INDEX('Offer Statistics'!FI$2:FI$400,MATCH(1,($A52='Offer Statistics'!$FF$2:$FF$400)*($AB$2='Offer Statistics'!$FG$2:$FG$400),0)),"/")</f>
        <v>/</v>
      </c>
      <c r="AM52" s="64" t="str" cm="1">
        <f t="array" ref="AM52">IFERROR(INDEX('Offer Statistics'!FJ$2:FJ$400,MATCH(1,($A52='Offer Statistics'!$FF$2:$FF$400)*($AB$2='Offer Statistics'!$FG$2:$FG$400),0)),"/")</f>
        <v>/</v>
      </c>
      <c r="AN52" s="64" t="str" cm="1">
        <f t="array" ref="AN52">IFERROR(INDEX('Offer Statistics'!FK$2:FK$400,MATCH(1,($A52='Offer Statistics'!$FF$2:$FF$400)*($AB$2='Offer Statistics'!$FG$2:$FG$400),0)),"/")</f>
        <v>/</v>
      </c>
      <c r="AO52" s="64" t="str" cm="1">
        <f t="array" ref="AO52">IFERROR(INDEX('Offer Statistics'!FL$2:FL$400,MATCH(1,($A52='Offer Statistics'!$FF$2:$FF$400)*($AB$2='Offer Statistics'!$FG$2:$FG$400),0)),"/")</f>
        <v>/</v>
      </c>
      <c r="AP52" s="4"/>
      <c r="AQ52" s="15" t="str">
        <f t="shared" si="3"/>
        <v>JSSW02</v>
      </c>
      <c r="AR52" s="4"/>
    </row>
    <row r="53" spans="1:45" ht="14.55" customHeight="1">
      <c r="A53" s="4" t="str">
        <f>'Reference Score Calculation'!A407</f>
        <v>JSSY01</v>
      </c>
      <c r="B53" s="4" t="str">
        <f>'Reference Score Calculation'!C407</f>
        <v>樹仁大學</v>
      </c>
      <c r="C53" s="4" t="str">
        <f>'Reference Score Calculation'!D407</f>
        <v>金融科技（榮譽）商學士</v>
      </c>
      <c r="D53" s="4" t="str">
        <f>'Reference Score Calculation'!R407</f>
        <v>BCom (Hons) FinTech</v>
      </c>
      <c r="E53" s="15" t="str">
        <f>'Reference Score Calculation'!E407</f>
        <v>Best 5</v>
      </c>
      <c r="F53" s="6" t="str">
        <f>'Reference Score Calculation'!G407</f>
        <v>/</v>
      </c>
      <c r="G53" s="44">
        <f>'Reference Score Calculation'!H407</f>
        <v>16.7</v>
      </c>
      <c r="H53" s="6" t="str">
        <f>'Reference Score Calculation'!I407</f>
        <v>/</v>
      </c>
      <c r="I53" s="45">
        <f>計分版!J430</f>
        <v>3.9500000000000006E-9</v>
      </c>
      <c r="J53" s="25">
        <f t="shared" si="18"/>
        <v>-16.69999999605</v>
      </c>
      <c r="K53" s="26">
        <f t="shared" si="19"/>
        <v>-4227848100.2658219</v>
      </c>
      <c r="L53" s="36">
        <f>'Reference Score Calculation'!T407</f>
        <v>30</v>
      </c>
      <c r="M53" s="86">
        <f>入學要求!Z416</f>
        <v>0</v>
      </c>
      <c r="N53" s="516"/>
      <c r="O53" s="15">
        <v>3</v>
      </c>
      <c r="P53" s="15">
        <v>3</v>
      </c>
      <c r="Q53" s="15">
        <v>2</v>
      </c>
      <c r="R53" s="15">
        <v>2</v>
      </c>
      <c r="S53" s="15">
        <v>2</v>
      </c>
      <c r="T53" s="15"/>
      <c r="U53" s="285">
        <f>入學要求!S416</f>
        <v>0</v>
      </c>
      <c r="V53" s="285">
        <f>入學要求!T416</f>
        <v>0</v>
      </c>
      <c r="W53" s="285">
        <f>入學要求!U416</f>
        <v>0</v>
      </c>
      <c r="X53" s="285">
        <f>入學要求!V416</f>
        <v>0</v>
      </c>
      <c r="Y53" s="285">
        <f>入學要求!W416</f>
        <v>0</v>
      </c>
      <c r="Z53" s="285">
        <f>入學要求!X416</f>
        <v>0</v>
      </c>
      <c r="AA53" s="36">
        <f t="shared" si="2"/>
        <v>6.31</v>
      </c>
      <c r="AB53" s="510"/>
      <c r="AC53" s="36" cm="1">
        <f t="array" ref="AC53">IFERROR(INDEX('Offer Statistics'!FU$2:FU$400,MATCH(1,($A53='Offer Statistics'!$FF$2:$FF$400)*($AB$2='Offer Statistics'!$FG$2:$FG$400),0)),"/")</f>
        <v>43</v>
      </c>
      <c r="AD53" s="64" cm="1">
        <f t="array" ref="AD53">IFERROR(INDEX('Offer Statistics'!FP$2:FP$400,MATCH(1,($A53='Offer Statistics'!$FF$2:$FF$400)*($AB$2='Offer Statistics'!$FG$2:$FG$400),0)),"/")</f>
        <v>26</v>
      </c>
      <c r="AE53" s="64" cm="1">
        <f t="array" ref="AE53">IFERROR(INDEX('Offer Statistics'!FQ$2:FQ$400,MATCH(1,($A53='Offer Statistics'!$FF$2:$FF$400)*($AB$2='Offer Statistics'!$FG$2:$FG$400),0)),"/")</f>
        <v>10</v>
      </c>
      <c r="AF53" s="64" cm="1">
        <f t="array" ref="AF53">IFERROR(INDEX('Offer Statistics'!FR$2:FR$400,MATCH(1,($A53='Offer Statistics'!$FF$2:$FF$400)*($AB$2='Offer Statistics'!$FG$2:$FG$400),0)),"/")</f>
        <v>4</v>
      </c>
      <c r="AG53" s="64" cm="1">
        <f t="array" ref="AG53">IFERROR(INDEX('Offer Statistics'!FS$2:FS$400,MATCH(1,($A53='Offer Statistics'!$FF$2:$FF$400)*($AB$2='Offer Statistics'!$FG$2:$FG$400),0)),"/")</f>
        <v>0</v>
      </c>
      <c r="AH53" s="64" cm="1">
        <f t="array" ref="AH53">IFERROR(INDEX('Offer Statistics'!FT$2:FT$400,MATCH(1,($A53='Offer Statistics'!$FF$2:$FF$400)*($AB$2='Offer Statistics'!$FG$2:$FG$400),0)),"/")</f>
        <v>3</v>
      </c>
      <c r="AI53" s="524"/>
      <c r="AJ53" s="36" cm="1">
        <f t="array" ref="AJ53">IFERROR(INDEX('Offer Statistics'!FM$2:FM$400,MATCH(1,($A53='Offer Statistics'!$FF$2:$FF$400)*($AB$2='Offer Statistics'!$FG$2:$FG$400),0)),"/")</f>
        <v>1528</v>
      </c>
      <c r="AK53" s="64" cm="1">
        <f t="array" ref="AK53">IFERROR(INDEX('Offer Statistics'!FH$2:FH$400,MATCH(1,($A53='Offer Statistics'!$FF$2:$FF$400)*($AB$2='Offer Statistics'!$FG$2:$FG$400),0)),"/")</f>
        <v>164</v>
      </c>
      <c r="AL53" s="64" cm="1">
        <f t="array" ref="AL53">IFERROR(INDEX('Offer Statistics'!FI$2:FI$400,MATCH(1,($A53='Offer Statistics'!$FF$2:$FF$400)*($AB$2='Offer Statistics'!$FG$2:$FG$400),0)),"/")</f>
        <v>238</v>
      </c>
      <c r="AM53" s="64" cm="1">
        <f t="array" ref="AM53">IFERROR(INDEX('Offer Statistics'!FJ$2:FJ$400,MATCH(1,($A53='Offer Statistics'!$FF$2:$FF$400)*($AB$2='Offer Statistics'!$FG$2:$FG$400),0)),"/")</f>
        <v>248</v>
      </c>
      <c r="AN53" s="64" cm="1">
        <f t="array" ref="AN53">IFERROR(INDEX('Offer Statistics'!FK$2:FK$400,MATCH(1,($A53='Offer Statistics'!$FF$2:$FF$400)*($AB$2='Offer Statistics'!$FG$2:$FG$400),0)),"/")</f>
        <v>358</v>
      </c>
      <c r="AO53" s="64" cm="1">
        <f t="array" ref="AO53">IFERROR(INDEX('Offer Statistics'!FL$2:FL$400,MATCH(1,($A53='Offer Statistics'!$FF$2:$FF$400)*($AB$2='Offer Statistics'!$FG$2:$FG$400),0)),"/")</f>
        <v>520</v>
      </c>
      <c r="AP53" s="4"/>
      <c r="AQ53" s="15" t="str">
        <f t="shared" si="3"/>
        <v>JSSY01</v>
      </c>
      <c r="AR53" s="4"/>
    </row>
    <row r="54" spans="1:45" ht="18" customHeight="1">
      <c r="A54" s="4"/>
      <c r="B54" s="4"/>
      <c r="C54" s="4"/>
      <c r="D54" s="4"/>
      <c r="E54" s="15"/>
      <c r="F54" s="6"/>
      <c r="G54" s="44"/>
      <c r="H54" s="6"/>
      <c r="I54" s="45"/>
      <c r="J54" s="25"/>
      <c r="K54" s="26"/>
      <c r="L54" s="36"/>
      <c r="M54" s="36"/>
      <c r="N54" s="36"/>
      <c r="O54" s="15"/>
      <c r="P54" s="15"/>
      <c r="Q54" s="15"/>
      <c r="R54" s="15"/>
      <c r="S54" s="15"/>
      <c r="T54" s="15"/>
      <c r="U54" s="3"/>
      <c r="V54" s="3"/>
      <c r="W54" s="3"/>
      <c r="X54" s="3"/>
      <c r="Y54" s="3"/>
      <c r="Z54" s="3"/>
      <c r="AA54" s="3"/>
      <c r="AB54" s="281"/>
      <c r="AC54" s="36"/>
      <c r="AD54" s="64"/>
      <c r="AE54" s="64"/>
      <c r="AF54" s="64"/>
      <c r="AG54" s="64"/>
      <c r="AH54" s="64"/>
      <c r="AI54" s="280"/>
      <c r="AJ54" s="36"/>
      <c r="AK54" s="64"/>
      <c r="AL54" s="64"/>
      <c r="AM54" s="64"/>
      <c r="AN54" s="64"/>
      <c r="AO54" s="64"/>
      <c r="AP54" s="4"/>
      <c r="AQ54" s="15"/>
      <c r="AR54" s="4"/>
    </row>
    <row r="55" spans="1:45" ht="18" customHeight="1">
      <c r="A55" s="4" t="s">
        <v>2805</v>
      </c>
      <c r="D55" s="4"/>
      <c r="G55" s="15"/>
      <c r="H55" s="15"/>
      <c r="I55" s="15"/>
      <c r="J55" s="22"/>
      <c r="K55" s="23"/>
      <c r="L55" s="15"/>
      <c r="M55" s="15"/>
      <c r="N55" s="15"/>
      <c r="O55" s="15"/>
      <c r="P55" s="15"/>
      <c r="Q55" s="15"/>
      <c r="R55" s="15"/>
      <c r="S55" s="15"/>
      <c r="T55" s="15"/>
      <c r="U55" s="15"/>
      <c r="V55" s="15"/>
      <c r="W55" s="15"/>
      <c r="X55" s="15"/>
      <c r="Y55" s="15"/>
      <c r="Z55" s="15"/>
      <c r="AA55" s="15"/>
      <c r="AC55" s="15"/>
      <c r="AI55" s="15"/>
      <c r="AJ55" s="15"/>
      <c r="AK55" s="15"/>
      <c r="AL55" s="15"/>
      <c r="AM55" s="15"/>
      <c r="AN55" s="15"/>
      <c r="AO55" s="15"/>
      <c r="AP55" s="4"/>
      <c r="AQ55" s="15"/>
      <c r="AR55" s="4"/>
    </row>
    <row r="56" spans="1:45" s="4" customFormat="1" ht="18" customHeight="1">
      <c r="A56" s="23"/>
      <c r="E56" s="36"/>
      <c r="F56" s="15"/>
      <c r="G56" s="15"/>
      <c r="H56" s="15"/>
      <c r="I56" s="15"/>
      <c r="J56" s="22"/>
      <c r="K56" s="23"/>
      <c r="L56" s="15"/>
      <c r="N56" s="15"/>
      <c r="O56" s="15"/>
      <c r="P56" s="15"/>
      <c r="Q56" s="15"/>
      <c r="R56" s="15"/>
      <c r="S56" s="15"/>
      <c r="T56" s="15"/>
      <c r="U56" s="15"/>
      <c r="V56" s="15"/>
      <c r="W56" s="15"/>
      <c r="X56" s="15"/>
      <c r="Y56" s="15"/>
      <c r="Z56" s="15"/>
      <c r="AA56" s="15"/>
      <c r="AB56" s="15"/>
      <c r="AC56" s="15"/>
      <c r="AE56" s="15"/>
      <c r="AF56" s="15"/>
      <c r="AG56" s="15"/>
      <c r="AH56" s="15"/>
      <c r="AI56" s="15"/>
      <c r="AJ56" s="15"/>
      <c r="AK56" s="15"/>
      <c r="AL56" s="15"/>
      <c r="AM56" s="15"/>
      <c r="AN56" s="15"/>
      <c r="AO56" s="15"/>
      <c r="AP56" s="15"/>
      <c r="AR56" s="15"/>
      <c r="AS56" s="15"/>
    </row>
    <row r="57" spans="1:45" ht="18" customHeight="1">
      <c r="A57" s="387" t="s">
        <v>2840</v>
      </c>
      <c r="B57" s="4" t="s">
        <v>2841</v>
      </c>
      <c r="C57" s="23"/>
      <c r="D57" s="4"/>
      <c r="E57" s="4"/>
      <c r="F57" s="15"/>
      <c r="G57" s="15"/>
      <c r="H57" s="4"/>
      <c r="I57" s="4"/>
      <c r="J57" s="15"/>
      <c r="K57" s="4"/>
      <c r="L57" s="4"/>
      <c r="M57" s="36"/>
      <c r="N57" s="15"/>
      <c r="O57" s="15"/>
      <c r="P57" s="15"/>
      <c r="Q57" s="15"/>
      <c r="R57" s="15"/>
      <c r="S57" s="15"/>
      <c r="T57" s="15"/>
      <c r="U57" s="15"/>
      <c r="V57" s="15"/>
      <c r="W57" s="15"/>
      <c r="X57" s="15"/>
      <c r="Y57" s="15"/>
      <c r="Z57" s="15"/>
      <c r="AA57" s="29"/>
      <c r="AB57" s="4"/>
      <c r="AC57" s="36"/>
      <c r="AD57" s="4"/>
      <c r="AE57" s="4"/>
      <c r="AF57" s="4"/>
      <c r="AG57" s="4"/>
      <c r="AH57" s="4"/>
      <c r="AI57" s="4"/>
      <c r="AJ57" s="4"/>
      <c r="AK57" s="4"/>
      <c r="AL57" s="4"/>
      <c r="AM57" s="4"/>
      <c r="AN57" s="4"/>
      <c r="AO57" s="4"/>
      <c r="AP57" s="15"/>
      <c r="AQ57" s="2"/>
    </row>
    <row r="58" spans="1:45" ht="18" customHeight="1">
      <c r="A58" s="23"/>
      <c r="B58" s="4" t="s">
        <v>2818</v>
      </c>
      <c r="C58" s="23"/>
      <c r="D58" s="4"/>
      <c r="E58" s="4"/>
      <c r="F58" s="15"/>
      <c r="G58" s="15"/>
      <c r="H58" s="4"/>
      <c r="I58" s="4"/>
      <c r="J58" s="15"/>
      <c r="K58" s="4"/>
      <c r="L58" s="4"/>
      <c r="M58" s="36"/>
      <c r="N58" s="15"/>
      <c r="O58" s="15"/>
      <c r="P58" s="15"/>
      <c r="Q58" s="15"/>
      <c r="R58" s="15"/>
      <c r="S58" s="15"/>
      <c r="T58" s="15"/>
      <c r="U58" s="15"/>
      <c r="V58" s="15"/>
      <c r="W58" s="15"/>
      <c r="X58" s="15"/>
      <c r="Y58" s="15"/>
      <c r="Z58" s="15"/>
      <c r="AA58" s="29"/>
      <c r="AB58" s="4"/>
      <c r="AC58" s="4"/>
      <c r="AD58" s="4"/>
      <c r="AE58" s="4"/>
      <c r="AF58" s="4"/>
      <c r="AG58" s="4"/>
      <c r="AH58" s="4"/>
      <c r="AI58" s="4"/>
      <c r="AJ58" s="4"/>
      <c r="AK58" s="4"/>
      <c r="AL58" s="4"/>
      <c r="AM58" s="4"/>
      <c r="AN58" s="4"/>
      <c r="AO58" s="4"/>
      <c r="AP58" s="15"/>
      <c r="AQ58" s="2"/>
    </row>
    <row r="59" spans="1:45" ht="18" customHeight="1">
      <c r="A59" s="4"/>
      <c r="B59" s="474" t="s">
        <v>3132</v>
      </c>
      <c r="D59" s="4"/>
      <c r="G59" s="15"/>
      <c r="H59" s="15"/>
      <c r="I59" s="15"/>
      <c r="J59" s="22"/>
      <c r="K59" s="23"/>
      <c r="L59" s="15"/>
      <c r="M59" s="15"/>
      <c r="N59" s="15"/>
      <c r="O59" s="15"/>
      <c r="P59" s="15"/>
      <c r="Q59" s="15"/>
      <c r="R59" s="15"/>
      <c r="S59" s="15"/>
      <c r="T59" s="15"/>
      <c r="U59" s="15"/>
      <c r="V59" s="15"/>
      <c r="W59" s="15"/>
      <c r="X59" s="15"/>
      <c r="Y59" s="15"/>
      <c r="Z59" s="15"/>
      <c r="AA59" s="15"/>
      <c r="AC59" s="15"/>
      <c r="AD59" s="36" t="s">
        <v>214</v>
      </c>
      <c r="AI59" s="15"/>
      <c r="AJ59" s="15"/>
      <c r="AK59" s="15"/>
      <c r="AL59" s="15"/>
      <c r="AM59" s="15"/>
      <c r="AN59" s="15"/>
      <c r="AO59" s="15"/>
      <c r="AP59" s="4"/>
      <c r="AQ59" s="15"/>
      <c r="AR59" s="4"/>
    </row>
    <row r="60" spans="1:45" s="4" customFormat="1" ht="18" customHeight="1">
      <c r="C60" s="23"/>
      <c r="E60" s="15"/>
      <c r="H60" s="15"/>
      <c r="K60" s="36"/>
      <c r="L60" s="15"/>
    </row>
    <row r="61" spans="1:45" s="4" customFormat="1" ht="18" customHeight="1">
      <c r="A61" s="23" t="s">
        <v>2806</v>
      </c>
      <c r="E61" s="36"/>
      <c r="F61" s="15"/>
      <c r="G61" s="15"/>
      <c r="H61" s="15"/>
      <c r="I61" s="15"/>
      <c r="J61" s="22"/>
      <c r="K61" s="23"/>
      <c r="L61" s="15"/>
      <c r="N61" s="15"/>
      <c r="O61" s="15"/>
      <c r="P61" s="15"/>
      <c r="Q61" s="15"/>
      <c r="R61" s="15"/>
      <c r="S61" s="15"/>
      <c r="T61" s="15"/>
      <c r="U61" s="15"/>
      <c r="V61" s="15"/>
      <c r="W61" s="15"/>
      <c r="X61" s="15"/>
      <c r="Y61" s="15"/>
      <c r="Z61" s="15"/>
      <c r="AA61" s="15"/>
      <c r="AB61" s="15"/>
      <c r="AC61" s="15"/>
      <c r="AE61" s="15"/>
      <c r="AF61" s="15"/>
      <c r="AG61" s="15"/>
      <c r="AH61" s="15"/>
      <c r="AI61" s="15"/>
      <c r="AJ61" s="15"/>
      <c r="AK61" s="15"/>
      <c r="AL61" s="15"/>
      <c r="AM61" s="15"/>
      <c r="AN61" s="15"/>
      <c r="AO61" s="15"/>
      <c r="AP61" s="15"/>
      <c r="AR61" s="15"/>
      <c r="AS61" s="15"/>
    </row>
    <row r="62" spans="1:45" s="4" customFormat="1" ht="18" customHeight="1">
      <c r="A62" s="23" t="s">
        <v>204</v>
      </c>
      <c r="E62" s="36"/>
      <c r="F62" s="15"/>
      <c r="G62" s="15"/>
      <c r="H62" s="15"/>
      <c r="I62" s="15"/>
      <c r="J62" s="22"/>
      <c r="K62" s="23"/>
      <c r="L62" s="15"/>
      <c r="N62" s="15"/>
      <c r="O62" s="15"/>
      <c r="P62" s="15"/>
      <c r="Q62" s="15"/>
      <c r="R62" s="15"/>
      <c r="S62" s="15"/>
      <c r="T62" s="15"/>
      <c r="U62" s="15"/>
      <c r="V62" s="15"/>
      <c r="W62" s="15"/>
      <c r="X62" s="15"/>
      <c r="Y62" s="15"/>
      <c r="Z62" s="15"/>
      <c r="AA62" s="15"/>
      <c r="AB62" s="15"/>
      <c r="AC62" s="15"/>
      <c r="AE62" s="15"/>
      <c r="AF62" s="15"/>
      <c r="AG62" s="15"/>
      <c r="AH62" s="15"/>
      <c r="AI62" s="15"/>
      <c r="AJ62" s="15"/>
      <c r="AK62" s="15"/>
      <c r="AL62" s="15"/>
      <c r="AM62" s="15"/>
      <c r="AN62" s="15"/>
      <c r="AO62" s="15"/>
      <c r="AP62" s="15"/>
      <c r="AR62" s="15"/>
      <c r="AS62" s="15"/>
    </row>
    <row r="63" spans="1:45" s="4" customFormat="1" ht="18" customHeight="1">
      <c r="A63" s="23"/>
      <c r="E63" s="36"/>
      <c r="F63" s="15"/>
      <c r="G63" s="15"/>
      <c r="H63" s="15"/>
      <c r="I63" s="15"/>
      <c r="J63" s="22"/>
      <c r="K63" s="23"/>
      <c r="L63" s="15"/>
      <c r="N63" s="15"/>
      <c r="O63" s="15"/>
      <c r="P63" s="15"/>
      <c r="Q63" s="15"/>
      <c r="R63" s="15"/>
      <c r="S63" s="15"/>
      <c r="T63" s="15"/>
      <c r="U63" s="15"/>
      <c r="V63" s="15"/>
      <c r="W63" s="15"/>
      <c r="X63" s="15"/>
      <c r="Y63" s="15"/>
      <c r="Z63" s="15"/>
      <c r="AA63" s="15"/>
      <c r="AB63" s="15"/>
      <c r="AC63" s="15"/>
      <c r="AE63" s="15"/>
      <c r="AF63" s="15"/>
      <c r="AG63" s="15"/>
      <c r="AH63" s="15"/>
      <c r="AI63" s="15"/>
      <c r="AJ63" s="15"/>
      <c r="AK63" s="15"/>
      <c r="AL63" s="15"/>
      <c r="AM63" s="15"/>
      <c r="AN63" s="15"/>
      <c r="AO63" s="15"/>
      <c r="AP63" s="15"/>
      <c r="AR63" s="15"/>
      <c r="AS63" s="15"/>
    </row>
    <row r="64" spans="1:45" ht="18" customHeight="1">
      <c r="A64" s="3" t="s">
        <v>215</v>
      </c>
      <c r="D64" s="4"/>
      <c r="G64" s="15"/>
      <c r="H64" s="15"/>
      <c r="I64" s="15"/>
      <c r="J64" s="22"/>
      <c r="K64" s="23"/>
      <c r="L64" s="15"/>
      <c r="M64" s="15"/>
      <c r="N64" s="15"/>
      <c r="O64" s="15"/>
      <c r="P64" s="15"/>
      <c r="Q64" s="15"/>
      <c r="R64" s="15"/>
      <c r="S64" s="15"/>
      <c r="T64" s="15"/>
      <c r="U64" s="15"/>
      <c r="V64" s="15"/>
      <c r="W64" s="15"/>
      <c r="X64" s="15"/>
      <c r="Y64" s="15"/>
      <c r="Z64" s="15"/>
      <c r="AA64" s="15"/>
      <c r="AC64" s="15"/>
      <c r="AD64" s="2"/>
      <c r="AI64" s="15"/>
      <c r="AJ64" s="15"/>
      <c r="AK64" s="15"/>
      <c r="AL64" s="15"/>
      <c r="AM64" s="15"/>
      <c r="AN64" s="15"/>
      <c r="AO64" s="15"/>
      <c r="AP64" s="4"/>
      <c r="AQ64" s="15"/>
      <c r="AR64" s="4"/>
    </row>
    <row r="65" spans="1:44" ht="18" customHeight="1">
      <c r="A65" s="2" t="s">
        <v>222</v>
      </c>
      <c r="D65" s="4"/>
      <c r="G65" s="15"/>
      <c r="H65" s="15"/>
      <c r="I65" s="15"/>
      <c r="J65" s="22"/>
      <c r="K65" s="23"/>
      <c r="L65" s="15"/>
      <c r="M65" s="15"/>
      <c r="N65" s="15"/>
      <c r="O65" s="15"/>
      <c r="P65" s="15"/>
      <c r="Q65" s="15"/>
      <c r="R65" s="15"/>
      <c r="S65" s="15"/>
      <c r="T65" s="15"/>
      <c r="U65" s="15"/>
      <c r="V65" s="15"/>
      <c r="W65" s="15"/>
      <c r="X65" s="15"/>
      <c r="Y65" s="15"/>
      <c r="Z65" s="15"/>
      <c r="AA65" s="15"/>
      <c r="AC65" s="15"/>
      <c r="AI65" s="15"/>
      <c r="AJ65" s="15"/>
      <c r="AK65" s="15"/>
      <c r="AL65" s="15"/>
      <c r="AM65" s="15"/>
      <c r="AN65" s="15"/>
      <c r="AO65" s="15"/>
      <c r="AP65" s="4"/>
      <c r="AQ65" s="15"/>
      <c r="AR65" s="4"/>
    </row>
    <row r="66" spans="1:44" ht="18" customHeight="1">
      <c r="A66" s="90" t="s">
        <v>223</v>
      </c>
      <c r="B66" s="23" t="s">
        <v>3272</v>
      </c>
      <c r="D66" s="4"/>
      <c r="G66" s="15"/>
      <c r="H66" s="15"/>
      <c r="I66" s="15"/>
      <c r="J66" s="22"/>
      <c r="K66" s="23"/>
      <c r="L66" s="15"/>
      <c r="M66" s="15"/>
      <c r="N66" s="15"/>
      <c r="O66" s="15"/>
      <c r="P66" s="15"/>
      <c r="Q66" s="15"/>
      <c r="R66" s="15"/>
      <c r="S66" s="15"/>
      <c r="T66" s="15"/>
      <c r="U66" s="15"/>
      <c r="V66" s="15"/>
      <c r="W66" s="15"/>
      <c r="X66" s="15"/>
      <c r="Y66" s="15"/>
      <c r="Z66" s="15"/>
      <c r="AA66" s="15"/>
      <c r="AC66" s="15"/>
      <c r="AI66" s="15"/>
      <c r="AJ66" s="15"/>
      <c r="AK66" s="15"/>
      <c r="AL66" s="15"/>
      <c r="AM66" s="15"/>
      <c r="AN66" s="15"/>
      <c r="AO66" s="15"/>
      <c r="AP66" s="4"/>
      <c r="AQ66" s="15"/>
      <c r="AR66" s="4"/>
    </row>
    <row r="67" spans="1:44" ht="18" customHeight="1">
      <c r="A67" s="91" t="s">
        <v>225</v>
      </c>
      <c r="B67" s="23" t="s">
        <v>226</v>
      </c>
      <c r="D67" s="4"/>
      <c r="G67" s="15"/>
      <c r="H67" s="15"/>
      <c r="I67" s="15"/>
      <c r="J67" s="22"/>
      <c r="K67" s="23"/>
      <c r="L67" s="15"/>
      <c r="M67" s="15"/>
      <c r="N67" s="15"/>
      <c r="O67" s="15"/>
      <c r="P67" s="15"/>
      <c r="Q67" s="15"/>
      <c r="R67" s="15"/>
      <c r="S67" s="15"/>
      <c r="T67" s="15"/>
      <c r="U67" s="15"/>
      <c r="V67" s="15"/>
      <c r="W67" s="15"/>
      <c r="X67" s="15"/>
      <c r="Y67" s="15"/>
      <c r="Z67" s="15"/>
      <c r="AA67" s="15"/>
      <c r="AC67" s="15"/>
      <c r="AI67" s="15"/>
      <c r="AJ67" s="15"/>
      <c r="AK67" s="15"/>
      <c r="AL67" s="15"/>
      <c r="AM67" s="15"/>
      <c r="AN67" s="15"/>
      <c r="AO67" s="15"/>
      <c r="AP67" s="4"/>
      <c r="AQ67" s="15"/>
      <c r="AR67" s="4"/>
    </row>
    <row r="68" spans="1:44" ht="18" customHeight="1">
      <c r="A68" s="90" t="s">
        <v>227</v>
      </c>
      <c r="B68" s="4" t="s">
        <v>228</v>
      </c>
      <c r="D68" s="4"/>
      <c r="G68" s="15"/>
      <c r="H68" s="15"/>
      <c r="I68" s="15"/>
      <c r="J68" s="22"/>
      <c r="K68" s="23"/>
      <c r="L68" s="15"/>
      <c r="M68" s="15"/>
      <c r="N68" s="15"/>
      <c r="O68" s="15"/>
      <c r="P68" s="15"/>
      <c r="Q68" s="15"/>
      <c r="R68" s="15"/>
      <c r="S68" s="15"/>
      <c r="T68" s="15"/>
      <c r="U68" s="15"/>
      <c r="V68" s="15"/>
      <c r="W68" s="15"/>
      <c r="X68" s="15"/>
      <c r="Y68" s="15"/>
      <c r="Z68" s="15"/>
      <c r="AA68" s="15"/>
      <c r="AC68" s="15"/>
      <c r="AI68" s="15"/>
      <c r="AJ68" s="15"/>
      <c r="AK68" s="15"/>
      <c r="AL68" s="15"/>
      <c r="AM68" s="15"/>
      <c r="AN68" s="15"/>
      <c r="AO68" s="15"/>
      <c r="AP68" s="4"/>
      <c r="AQ68" s="15"/>
      <c r="AR68" s="4"/>
    </row>
    <row r="69" spans="1:44" ht="18" customHeight="1">
      <c r="A69" s="91" t="s">
        <v>229</v>
      </c>
      <c r="B69" s="23" t="s">
        <v>224</v>
      </c>
      <c r="D69" s="4"/>
      <c r="G69" s="15"/>
      <c r="H69" s="15"/>
      <c r="I69" s="15"/>
      <c r="J69" s="22"/>
      <c r="K69" s="23"/>
      <c r="L69" s="15"/>
      <c r="M69" s="15"/>
      <c r="N69" s="15"/>
      <c r="O69" s="15"/>
      <c r="P69" s="15"/>
      <c r="Q69" s="15"/>
      <c r="R69" s="15"/>
      <c r="S69" s="15"/>
      <c r="T69" s="15"/>
      <c r="U69" s="15"/>
      <c r="V69" s="15"/>
      <c r="W69" s="15"/>
      <c r="X69" s="15"/>
      <c r="Y69" s="15"/>
      <c r="Z69" s="15"/>
      <c r="AA69" s="15"/>
      <c r="AC69" s="15"/>
      <c r="AI69" s="15"/>
      <c r="AJ69" s="15"/>
      <c r="AK69" s="15"/>
      <c r="AL69" s="15"/>
      <c r="AM69" s="15"/>
      <c r="AN69" s="15"/>
      <c r="AO69" s="15"/>
      <c r="AP69" s="4"/>
      <c r="AQ69" s="15"/>
      <c r="AR69" s="4"/>
    </row>
    <row r="70" spans="1:44" ht="18" customHeight="1">
      <c r="A70" s="90" t="s">
        <v>230</v>
      </c>
      <c r="B70" s="4" t="s">
        <v>231</v>
      </c>
      <c r="D70" s="4"/>
      <c r="G70" s="15"/>
      <c r="H70" s="15"/>
      <c r="I70" s="15"/>
      <c r="J70" s="22"/>
      <c r="K70" s="23"/>
      <c r="L70" s="15"/>
      <c r="M70" s="15"/>
      <c r="N70" s="15"/>
      <c r="O70" s="15"/>
      <c r="P70" s="15"/>
      <c r="Q70" s="15"/>
      <c r="R70" s="15"/>
      <c r="S70" s="15"/>
      <c r="T70" s="15"/>
      <c r="U70" s="15"/>
      <c r="V70" s="15"/>
      <c r="W70" s="15"/>
      <c r="X70" s="15"/>
      <c r="Y70" s="15"/>
      <c r="Z70" s="15"/>
      <c r="AA70" s="15"/>
      <c r="AC70" s="15"/>
      <c r="AI70" s="15"/>
      <c r="AJ70" s="15"/>
      <c r="AK70" s="15"/>
      <c r="AL70" s="15"/>
      <c r="AM70" s="15"/>
      <c r="AN70" s="15"/>
      <c r="AO70" s="15"/>
      <c r="AP70" s="4"/>
      <c r="AQ70" s="15"/>
      <c r="AR70" s="4"/>
    </row>
    <row r="71" spans="1:44" ht="18" customHeight="1">
      <c r="A71" s="91" t="s">
        <v>232</v>
      </c>
      <c r="B71" s="4" t="s">
        <v>228</v>
      </c>
      <c r="D71" s="4"/>
      <c r="G71" s="15"/>
      <c r="H71" s="15"/>
      <c r="I71" s="15"/>
      <c r="J71" s="22"/>
      <c r="K71" s="23"/>
      <c r="L71" s="15"/>
      <c r="M71" s="15"/>
      <c r="N71" s="15"/>
      <c r="O71" s="15"/>
      <c r="P71" s="15"/>
      <c r="Q71" s="15"/>
      <c r="R71" s="15"/>
      <c r="S71" s="15"/>
      <c r="T71" s="15"/>
      <c r="U71" s="15"/>
      <c r="V71" s="15"/>
      <c r="W71" s="15"/>
      <c r="X71" s="15"/>
      <c r="Y71" s="15"/>
      <c r="Z71" s="15"/>
      <c r="AA71" s="15"/>
      <c r="AC71" s="15"/>
      <c r="AI71" s="15"/>
      <c r="AJ71" s="15"/>
      <c r="AK71" s="15"/>
      <c r="AL71" s="15"/>
      <c r="AM71" s="15"/>
      <c r="AN71" s="15"/>
      <c r="AO71" s="15"/>
      <c r="AP71" s="4"/>
      <c r="AQ71" s="15"/>
      <c r="AR71" s="4"/>
    </row>
    <row r="72" spans="1:44" ht="18" customHeight="1">
      <c r="A72" s="91" t="s">
        <v>233</v>
      </c>
      <c r="B72" s="59" t="s">
        <v>224</v>
      </c>
      <c r="D72" s="4"/>
      <c r="G72" s="15"/>
      <c r="H72" s="15"/>
      <c r="I72" s="15"/>
      <c r="J72" s="22"/>
      <c r="K72" s="23"/>
      <c r="L72" s="15"/>
      <c r="M72" s="15"/>
      <c r="N72" s="15"/>
      <c r="O72" s="15"/>
      <c r="P72" s="15"/>
      <c r="Q72" s="15"/>
      <c r="R72" s="15"/>
      <c r="S72" s="15"/>
      <c r="T72" s="15"/>
      <c r="U72" s="15"/>
      <c r="V72" s="15"/>
      <c r="W72" s="15"/>
      <c r="X72" s="15"/>
      <c r="Y72" s="15"/>
      <c r="Z72" s="15"/>
      <c r="AA72" s="15"/>
      <c r="AC72" s="15"/>
      <c r="AI72" s="15"/>
      <c r="AJ72" s="15"/>
      <c r="AK72" s="15"/>
      <c r="AL72" s="15"/>
      <c r="AM72" s="15"/>
      <c r="AN72" s="15"/>
      <c r="AO72" s="15"/>
      <c r="AP72" s="4"/>
      <c r="AQ72" s="15"/>
      <c r="AR72" s="4"/>
    </row>
    <row r="73" spans="1:44" ht="18" customHeight="1">
      <c r="A73" s="91" t="s">
        <v>234</v>
      </c>
      <c r="B73" s="23" t="s">
        <v>224</v>
      </c>
      <c r="D73" s="4"/>
      <c r="G73" s="15"/>
      <c r="H73" s="15"/>
      <c r="I73" s="15"/>
      <c r="J73" s="22"/>
      <c r="K73" s="23"/>
      <c r="L73" s="15"/>
      <c r="M73" s="15"/>
      <c r="N73" s="15"/>
      <c r="O73" s="15"/>
      <c r="P73" s="15"/>
      <c r="Q73" s="15"/>
      <c r="R73" s="15"/>
      <c r="S73" s="15"/>
      <c r="T73" s="15"/>
      <c r="U73" s="15"/>
      <c r="V73" s="15"/>
      <c r="W73" s="15"/>
      <c r="X73" s="15"/>
      <c r="Y73" s="15"/>
      <c r="Z73" s="15"/>
      <c r="AA73" s="15"/>
      <c r="AC73" s="15"/>
      <c r="AI73" s="15"/>
      <c r="AJ73" s="15"/>
      <c r="AK73" s="15"/>
      <c r="AL73" s="15"/>
      <c r="AM73" s="15"/>
      <c r="AN73" s="15"/>
      <c r="AO73" s="15"/>
      <c r="AP73" s="4"/>
      <c r="AQ73" s="15"/>
      <c r="AR73" s="4"/>
    </row>
    <row r="74" spans="1:44" ht="18" customHeight="1">
      <c r="A74" s="4"/>
      <c r="B74" s="4"/>
      <c r="D74" s="4"/>
      <c r="G74" s="15"/>
      <c r="H74" s="15"/>
      <c r="I74" s="15"/>
      <c r="J74" s="22"/>
      <c r="K74" s="23"/>
      <c r="L74" s="15"/>
      <c r="M74" s="15"/>
      <c r="N74" s="15"/>
      <c r="O74" s="15"/>
      <c r="P74" s="15"/>
      <c r="Q74" s="15"/>
      <c r="R74" s="15"/>
      <c r="S74" s="15"/>
      <c r="T74" s="15"/>
      <c r="U74" s="15"/>
      <c r="V74" s="15"/>
      <c r="W74" s="15"/>
      <c r="X74" s="15"/>
      <c r="Y74" s="15"/>
      <c r="Z74" s="15"/>
      <c r="AA74" s="15"/>
      <c r="AC74" s="15"/>
      <c r="AI74" s="15"/>
      <c r="AJ74" s="15"/>
      <c r="AK74" s="15"/>
      <c r="AL74" s="15"/>
      <c r="AM74" s="15"/>
      <c r="AN74" s="15"/>
      <c r="AO74" s="15"/>
      <c r="AP74" s="4"/>
      <c r="AQ74" s="15"/>
      <c r="AR74" s="4"/>
    </row>
    <row r="75" spans="1:44" ht="18" customHeight="1">
      <c r="A75" s="3" t="s">
        <v>135</v>
      </c>
      <c r="B75" s="4"/>
      <c r="C75" s="4"/>
      <c r="D75" s="4"/>
      <c r="AC75" s="15"/>
      <c r="AI75" s="15"/>
      <c r="AJ75" s="15"/>
      <c r="AK75" s="15"/>
      <c r="AL75" s="15"/>
      <c r="AM75" s="15"/>
      <c r="AN75" s="15"/>
      <c r="AO75" s="15"/>
      <c r="AP75" s="4"/>
      <c r="AQ75" s="15"/>
      <c r="AR75" s="4"/>
    </row>
    <row r="76" spans="1:44" ht="18" customHeight="1">
      <c r="A76" s="22" t="s">
        <v>235</v>
      </c>
      <c r="B76" s="46" t="s">
        <v>236</v>
      </c>
      <c r="C76" s="4"/>
      <c r="D76" s="4"/>
      <c r="AC76" s="15"/>
      <c r="AI76" s="15"/>
      <c r="AJ76" s="15"/>
      <c r="AK76" s="15"/>
      <c r="AL76" s="15"/>
      <c r="AM76" s="15"/>
      <c r="AN76" s="15"/>
      <c r="AO76" s="15"/>
      <c r="AP76" s="4"/>
      <c r="AQ76" s="15"/>
      <c r="AR76" s="4"/>
    </row>
    <row r="77" spans="1:44" ht="18" customHeight="1">
      <c r="A77" s="89" t="s">
        <v>237</v>
      </c>
      <c r="B77" s="277" t="s">
        <v>3273</v>
      </c>
      <c r="C77" s="4"/>
      <c r="AC77" s="15"/>
      <c r="AI77" s="15"/>
      <c r="AJ77" s="15"/>
      <c r="AK77" s="15"/>
      <c r="AL77" s="15"/>
      <c r="AM77" s="15"/>
      <c r="AN77" s="15"/>
      <c r="AO77" s="15"/>
      <c r="AP77" s="4"/>
      <c r="AQ77" s="15"/>
      <c r="AR77" s="4"/>
    </row>
    <row r="78" spans="1:44" ht="18" customHeight="1">
      <c r="A78" s="17"/>
      <c r="B78" s="171"/>
      <c r="C78" s="4"/>
      <c r="AC78" s="15"/>
      <c r="AI78" s="15"/>
      <c r="AJ78" s="15"/>
      <c r="AK78" s="15"/>
      <c r="AL78" s="15"/>
      <c r="AM78" s="15"/>
      <c r="AN78" s="15"/>
      <c r="AO78" s="15"/>
      <c r="AP78" s="4"/>
      <c r="AQ78" s="15"/>
      <c r="AR78" s="4"/>
    </row>
    <row r="79" spans="1:44" ht="18" customHeight="1">
      <c r="A79" s="22" t="s">
        <v>223</v>
      </c>
      <c r="B79" s="46" t="s">
        <v>238</v>
      </c>
      <c r="C79" s="4"/>
      <c r="AC79" s="15"/>
      <c r="AI79" s="15"/>
      <c r="AJ79" s="15"/>
      <c r="AK79" s="15"/>
      <c r="AL79" s="15"/>
      <c r="AM79" s="15"/>
      <c r="AN79" s="15"/>
      <c r="AO79" s="15"/>
      <c r="AP79" s="4"/>
      <c r="AQ79" s="15"/>
      <c r="AR79" s="4"/>
    </row>
    <row r="80" spans="1:44" ht="18" customHeight="1">
      <c r="A80" s="89" t="s">
        <v>225</v>
      </c>
      <c r="B80" s="277" t="s">
        <v>3274</v>
      </c>
      <c r="C80" s="4"/>
      <c r="AC80" s="15"/>
      <c r="AI80" s="15"/>
      <c r="AJ80" s="15"/>
      <c r="AK80" s="15"/>
      <c r="AL80" s="15"/>
      <c r="AM80" s="15"/>
      <c r="AN80" s="15"/>
      <c r="AO80" s="15"/>
      <c r="AP80" s="4"/>
      <c r="AQ80" s="15"/>
      <c r="AR80" s="4"/>
    </row>
    <row r="81" spans="1:44" ht="18" customHeight="1">
      <c r="A81" s="22" t="s">
        <v>227</v>
      </c>
      <c r="B81" s="46" t="s">
        <v>239</v>
      </c>
      <c r="C81" s="4"/>
      <c r="AC81" s="15"/>
      <c r="AI81" s="15"/>
      <c r="AJ81" s="15"/>
      <c r="AK81" s="15"/>
      <c r="AL81" s="15"/>
      <c r="AM81" s="15"/>
      <c r="AN81" s="15"/>
      <c r="AO81" s="15"/>
      <c r="AP81" s="4"/>
      <c r="AQ81" s="15"/>
      <c r="AR81" s="4"/>
    </row>
    <row r="82" spans="1:44" ht="18" customHeight="1">
      <c r="A82" s="89" t="s">
        <v>229</v>
      </c>
      <c r="B82" s="46" t="s">
        <v>240</v>
      </c>
      <c r="C82" s="4"/>
      <c r="AC82" s="15"/>
      <c r="AI82" s="15"/>
      <c r="AJ82" s="15"/>
      <c r="AK82" s="15"/>
      <c r="AL82" s="15"/>
      <c r="AM82" s="15"/>
      <c r="AN82" s="15"/>
      <c r="AO82" s="15"/>
      <c r="AP82" s="4"/>
      <c r="AQ82" s="15"/>
      <c r="AR82" s="4"/>
    </row>
    <row r="83" spans="1:44" ht="18" customHeight="1">
      <c r="A83" s="22" t="s">
        <v>230</v>
      </c>
      <c r="B83" s="46" t="s">
        <v>241</v>
      </c>
      <c r="C83" s="4"/>
      <c r="AC83" s="15"/>
      <c r="AI83" s="15"/>
      <c r="AJ83" s="15"/>
      <c r="AK83" s="15"/>
      <c r="AL83" s="15"/>
      <c r="AM83" s="15"/>
      <c r="AN83" s="15"/>
      <c r="AO83" s="15"/>
      <c r="AP83" s="4"/>
      <c r="AQ83" s="15"/>
      <c r="AR83" s="4"/>
    </row>
    <row r="84" spans="1:44" ht="18" customHeight="1">
      <c r="A84" s="89" t="s">
        <v>232</v>
      </c>
      <c r="B84" s="277" t="s">
        <v>3275</v>
      </c>
      <c r="C84" s="4"/>
      <c r="AC84" s="15"/>
      <c r="AI84" s="15"/>
      <c r="AJ84" s="15"/>
      <c r="AK84" s="15"/>
      <c r="AL84" s="15"/>
      <c r="AM84" s="15"/>
      <c r="AN84" s="15"/>
      <c r="AO84" s="15"/>
      <c r="AP84" s="4"/>
      <c r="AQ84" s="15"/>
      <c r="AR84" s="4"/>
    </row>
    <row r="85" spans="1:44" ht="18" customHeight="1">
      <c r="A85" s="89" t="s">
        <v>233</v>
      </c>
      <c r="B85" s="46" t="s">
        <v>242</v>
      </c>
      <c r="C85" s="4"/>
      <c r="AC85" s="15"/>
      <c r="AI85" s="15"/>
      <c r="AJ85" s="15"/>
      <c r="AK85" s="15"/>
      <c r="AL85" s="15"/>
      <c r="AM85" s="15"/>
      <c r="AN85" s="15"/>
      <c r="AO85" s="15"/>
      <c r="AP85" s="4"/>
      <c r="AQ85" s="15"/>
      <c r="AR85" s="4"/>
    </row>
    <row r="86" spans="1:44" ht="18" customHeight="1">
      <c r="A86" s="89" t="s">
        <v>234</v>
      </c>
      <c r="B86" s="46" t="s">
        <v>243</v>
      </c>
      <c r="C86" s="4"/>
      <c r="AC86" s="15"/>
      <c r="AI86" s="15"/>
      <c r="AJ86" s="15"/>
      <c r="AK86" s="15"/>
      <c r="AL86" s="15"/>
      <c r="AM86" s="15"/>
      <c r="AN86" s="15"/>
      <c r="AO86" s="15"/>
      <c r="AP86" s="4"/>
      <c r="AQ86" s="15"/>
      <c r="AR86" s="4"/>
    </row>
    <row r="87" spans="1:44" ht="18" customHeight="1">
      <c r="B87" s="4"/>
      <c r="AC87" s="15"/>
      <c r="AI87" s="15"/>
      <c r="AJ87" s="15"/>
      <c r="AK87" s="15"/>
      <c r="AL87" s="15"/>
      <c r="AM87" s="15"/>
      <c r="AN87" s="15"/>
      <c r="AO87" s="15"/>
      <c r="AP87" s="4"/>
      <c r="AQ87" s="15"/>
      <c r="AR87" s="4"/>
    </row>
    <row r="88" spans="1:44" ht="18" hidden="1" customHeight="1"/>
    <row r="89" spans="1:44" ht="18" hidden="1" customHeight="1"/>
    <row r="90" spans="1:44" ht="18" hidden="1" customHeight="1"/>
    <row r="91" spans="1:44" ht="18" hidden="1" customHeight="1"/>
    <row r="92" spans="1:44" ht="18" hidden="1" customHeight="1"/>
    <row r="93" spans="1:44" ht="18" hidden="1" customHeight="1"/>
    <row r="94" spans="1:44" ht="18" hidden="1" customHeight="1"/>
    <row r="95" spans="1:44" ht="18" hidden="1" customHeight="1"/>
    <row r="96" spans="1:44" ht="18" hidden="1" customHeight="1"/>
    <row r="97" ht="18" hidden="1" customHeight="1"/>
    <row r="98" ht="18" hidden="1" customHeight="1"/>
    <row r="99" ht="18" hidden="1" customHeight="1"/>
    <row r="100" ht="18" hidden="1" customHeight="1"/>
    <row r="101" ht="18" hidden="1" customHeight="1"/>
    <row r="102" ht="18" hidden="1" customHeight="1"/>
    <row r="103" ht="18" hidden="1" customHeight="1"/>
    <row r="104" ht="18" hidden="1" customHeight="1"/>
    <row r="105" ht="18" hidden="1" customHeight="1"/>
    <row r="106" ht="18" hidden="1" customHeight="1"/>
    <row r="107" ht="18" hidden="1" customHeight="1"/>
    <row r="108" ht="18" hidden="1" customHeight="1"/>
    <row r="109" ht="18" hidden="1" customHeight="1"/>
    <row r="110" ht="18" hidden="1" customHeight="1"/>
    <row r="111" ht="18" hidden="1" customHeight="1"/>
    <row r="112" ht="18" hidden="1" customHeight="1"/>
    <row r="113" ht="18" hidden="1" customHeight="1"/>
    <row r="114" ht="18" hidden="1" customHeight="1"/>
    <row r="115" ht="18" hidden="1" customHeight="1"/>
    <row r="116" ht="18" hidden="1" customHeight="1"/>
    <row r="117" ht="18" hidden="1" customHeight="1"/>
    <row r="118" ht="18" hidden="1" customHeight="1"/>
    <row r="119" ht="18" hidden="1" customHeight="1"/>
    <row r="120" ht="18" hidden="1" customHeight="1"/>
    <row r="121" ht="18" hidden="1" customHeight="1"/>
    <row r="122" ht="18" hidden="1" customHeight="1"/>
    <row r="123" ht="18" hidden="1" customHeight="1"/>
    <row r="124" ht="18" hidden="1" customHeight="1"/>
    <row r="125" ht="18" hidden="1" customHeight="1"/>
    <row r="126" ht="18" hidden="1" customHeight="1"/>
    <row r="127" ht="18" hidden="1" customHeight="1"/>
    <row r="128" ht="18" hidden="1" customHeight="1"/>
    <row r="129" ht="18" hidden="1" customHeight="1"/>
    <row r="130" ht="18" hidden="1" customHeight="1"/>
    <row r="131" ht="18" hidden="1" customHeight="1"/>
    <row r="132" ht="18" hidden="1" customHeight="1"/>
    <row r="133" ht="18" hidden="1" customHeight="1"/>
    <row r="134" ht="18" hidden="1" customHeight="1"/>
    <row r="135" ht="18" hidden="1" customHeight="1"/>
    <row r="136" ht="18" hidden="1" customHeight="1"/>
    <row r="137" ht="18" hidden="1" customHeight="1"/>
    <row r="138" ht="18" hidden="1" customHeight="1"/>
    <row r="139" ht="18" hidden="1" customHeight="1"/>
    <row r="140" ht="18" hidden="1" customHeight="1"/>
    <row r="141" ht="18" hidden="1" customHeight="1"/>
    <row r="142" ht="18" hidden="1" customHeight="1"/>
    <row r="143" ht="18" hidden="1" customHeight="1"/>
    <row r="144" ht="18" hidden="1" customHeight="1"/>
    <row r="145" ht="18" hidden="1" customHeight="1"/>
    <row r="146" ht="18" hidden="1" customHeight="1"/>
    <row r="147" ht="15.6" hidden="1"/>
    <row r="148" ht="15.6" hidden="1"/>
    <row r="149" ht="18" hidden="1" customHeight="1"/>
    <row r="150" ht="18" hidden="1" customHeight="1"/>
    <row r="151" ht="18" hidden="1" customHeight="1"/>
    <row r="152" ht="18" hidden="1" customHeight="1"/>
    <row r="153" ht="18" hidden="1" customHeight="1"/>
    <row r="154" ht="18" hidden="1" customHeight="1"/>
    <row r="155" ht="18" hidden="1" customHeight="1"/>
    <row r="156" ht="18" hidden="1" customHeight="1"/>
    <row r="157" ht="18" hidden="1" customHeight="1"/>
    <row r="158" ht="18" hidden="1" customHeight="1"/>
    <row r="159" ht="18" hidden="1" customHeight="1"/>
    <row r="160" ht="18" hidden="1" customHeight="1"/>
    <row r="161" ht="18" hidden="1" customHeight="1"/>
    <row r="162" ht="18" hidden="1" customHeight="1"/>
  </sheetData>
  <sheetProtection sheet="1" objects="1" scenarios="1" sort="0" autoFilter="0" pivotTables="0"/>
  <mergeCells count="4">
    <mergeCell ref="AB2:AB53"/>
    <mergeCell ref="AI2:AI53"/>
    <mergeCell ref="N2:N53"/>
    <mergeCell ref="J1:K1"/>
  </mergeCells>
  <phoneticPr fontId="3" type="noConversion"/>
  <conditionalFormatting sqref="A2:AI2 O3:AA53 AJ2:AQ53 A3:M53 AC3:AH53">
    <cfRule type="expression" dxfId="96" priority="21750">
      <formula>MOD(ROW(),2)=0</formula>
    </cfRule>
  </conditionalFormatting>
  <conditionalFormatting sqref="F8">
    <cfRule type="expression" dxfId="95" priority="5">
      <formula>OR($J$1="差距(UQ)",$J$1="差距(Median)")</formula>
    </cfRule>
  </conditionalFormatting>
  <conditionalFormatting sqref="G22:G41">
    <cfRule type="expression" dxfId="94" priority="2">
      <formula>OR($J$1="差距(UQ)",$J$1="差距(Median)")</formula>
    </cfRule>
  </conditionalFormatting>
  <conditionalFormatting sqref="H8">
    <cfRule type="expression" dxfId="93" priority="3">
      <formula>$J$1="差距(LQ)"</formula>
    </cfRule>
  </conditionalFormatting>
  <conditionalFormatting sqref="H22:H41">
    <cfRule type="expression" dxfId="92" priority="1">
      <formula>$J$1="差距(LQ)"</formula>
    </cfRule>
  </conditionalFormatting>
  <conditionalFormatting sqref="J2:K54">
    <cfRule type="cellIs" dxfId="91" priority="14" operator="equal">
      <formula>"/"</formula>
    </cfRule>
    <cfRule type="cellIs" dxfId="90" priority="29" operator="lessThan">
      <formula>0</formula>
    </cfRule>
    <cfRule type="cellIs" dxfId="89" priority="30" operator="greaterThan">
      <formula>0</formula>
    </cfRule>
  </conditionalFormatting>
  <conditionalFormatting sqref="M2:M53">
    <cfRule type="cellIs" dxfId="88" priority="11" operator="equal">
      <formula>2</formula>
    </cfRule>
    <cfRule type="cellIs" dxfId="87" priority="12" operator="equal">
      <formula>1</formula>
    </cfRule>
    <cfRule type="cellIs" dxfId="86" priority="13" operator="equal">
      <formula>0</formula>
    </cfRule>
  </conditionalFormatting>
  <conditionalFormatting sqref="O2:S53 T22:T41">
    <cfRule type="expression" dxfId="85" priority="21747">
      <formula>U2=2</formula>
    </cfRule>
    <cfRule type="expression" dxfId="84" priority="21748">
      <formula>U2=0</formula>
    </cfRule>
    <cfRule type="expression" dxfId="83" priority="21749">
      <formula>U2=1</formula>
    </cfRule>
  </conditionalFormatting>
  <conditionalFormatting sqref="AB2 AI2 AP2:AR2 AP3:AP33 AR3:AR33 AQ3:AQ54 AP37:AP50 AR37:AR50">
    <cfRule type="expression" dxfId="82" priority="51">
      <formula>TRUE</formula>
    </cfRule>
  </conditionalFormatting>
  <hyperlinks>
    <hyperlink ref="B79" r:id="rId1" xr:uid="{00000000-0004-0000-1100-000000000000}"/>
    <hyperlink ref="B82" r:id="rId2" xr:uid="{00000000-0004-0000-1100-000001000000}"/>
    <hyperlink ref="B80" r:id="rId3" xr:uid="{00000000-0004-0000-1100-000002000000}"/>
    <hyperlink ref="B81" r:id="rId4" xr:uid="{00000000-0004-0000-1100-000003000000}"/>
    <hyperlink ref="B83" r:id="rId5" xr:uid="{00000000-0004-0000-1100-000004000000}"/>
    <hyperlink ref="B84" r:id="rId6" xr:uid="{00000000-0004-0000-1100-000005000000}"/>
    <hyperlink ref="B85" r:id="rId7" xr:uid="{00000000-0004-0000-1100-000006000000}"/>
    <hyperlink ref="B86" r:id="rId8" xr:uid="{00000000-0004-0000-1100-000007000000}"/>
    <hyperlink ref="B76" r:id="rId9" xr:uid="{00000000-0004-0000-1100-000008000000}"/>
    <hyperlink ref="B77" r:id="rId10" xr:uid="{00000000-0004-0000-1100-000009000000}"/>
  </hyperlinks>
  <pageMargins left="0.7" right="0.7" top="0.75" bottom="0.75" header="0.3" footer="0.3"/>
  <pageSetup paperSize="9" orientation="portrait" r:id="rId11"/>
  <ignoredErrors>
    <ignoredError sqref="J8:K8" formula="1"/>
  </ignoredErrors>
  <drawing r:id="rId1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1100-000000000000}">
          <x14:formula1>
            <xm:f>選單!$K$1:$K$3</xm:f>
          </x14:formula1>
          <xm:sqref>J1</xm:sqref>
        </x14:dataValidation>
        <x14:dataValidation type="list" allowBlank="1" showInputMessage="1" showErrorMessage="1" xr:uid="{8916DBB7-0847-6C4C-B607-1E37BA8CE003}">
          <x14:formula1>
            <xm:f>選單!$J$1:$J$6</xm:f>
          </x14:formula1>
          <xm:sqref>AB2:AB53</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工作表4"/>
  <dimension ref="A1:CA438"/>
  <sheetViews>
    <sheetView topLeftCell="AQ211" workbookViewId="0">
      <selection activeCell="BB233" sqref="BB233"/>
    </sheetView>
    <sheetView topLeftCell="A51" zoomScale="85" zoomScaleNormal="85" workbookViewId="1">
      <selection activeCell="U78" sqref="U78"/>
    </sheetView>
  </sheetViews>
  <sheetFormatPr defaultColWidth="8.69921875" defaultRowHeight="13.8"/>
  <cols>
    <col min="1" max="1" width="8.69921875" style="119"/>
    <col min="2" max="2" width="9.69921875" style="119" customWidth="1"/>
    <col min="3" max="3" width="18.69921875" style="119" customWidth="1"/>
    <col min="4" max="4" width="7.5" style="119" hidden="1" customWidth="1"/>
    <col min="5" max="5" width="9.296875" style="132" customWidth="1"/>
    <col min="6" max="6" width="8.796875" style="132" customWidth="1"/>
    <col min="7" max="7" width="4.296875" style="119" customWidth="1"/>
    <col min="8" max="8" width="3.19921875" style="119" customWidth="1"/>
    <col min="9" max="9" width="6.19921875" style="119" customWidth="1"/>
    <col min="10" max="10" width="8.69921875" style="119" customWidth="1"/>
    <col min="11" max="11" width="4.796875" style="119" customWidth="1"/>
    <col min="12" max="13" width="5.69921875" style="119" customWidth="1"/>
    <col min="14" max="14" width="6.69921875" style="119" customWidth="1"/>
    <col min="15" max="20" width="5.69921875" style="119" customWidth="1"/>
    <col min="21" max="21" width="4.69921875" style="119" customWidth="1"/>
    <col min="22" max="31" width="5.69921875" style="119" customWidth="1"/>
    <col min="32" max="32" width="8" style="119" customWidth="1"/>
    <col min="33" max="33" width="7" style="119" customWidth="1"/>
    <col min="34" max="34" width="7.19921875" style="119" customWidth="1"/>
    <col min="35" max="35" width="7" style="119" customWidth="1"/>
    <col min="36" max="36" width="8" style="119" customWidth="1"/>
    <col min="37" max="37" width="8.19921875" style="119" customWidth="1"/>
    <col min="38" max="41" width="7.19921875" style="119" customWidth="1"/>
    <col min="42" max="42" width="14.19921875" style="119" customWidth="1"/>
    <col min="43" max="43" width="27.19921875" style="119" customWidth="1"/>
    <col min="44" max="44" width="10.19921875" style="119" customWidth="1"/>
    <col min="45" max="45" width="5.19921875" style="119" customWidth="1"/>
    <col min="46" max="46" width="9" style="119" bestFit="1" customWidth="1"/>
    <col min="47" max="47" width="5" style="119" customWidth="1"/>
    <col min="48" max="79" width="4.69921875" style="119" customWidth="1"/>
    <col min="80" max="16384" width="8.69921875" style="119"/>
  </cols>
  <sheetData>
    <row r="1" spans="2:51" s="130" customFormat="1">
      <c r="E1" s="131" t="s">
        <v>244</v>
      </c>
      <c r="F1" s="131"/>
      <c r="G1" s="120" t="s">
        <v>2847</v>
      </c>
      <c r="H1" s="393" t="s">
        <v>2848</v>
      </c>
      <c r="I1" s="120"/>
      <c r="J1" s="120" t="s">
        <v>245</v>
      </c>
      <c r="K1" s="120" t="s">
        <v>13</v>
      </c>
      <c r="L1" s="120" t="s">
        <v>16</v>
      </c>
      <c r="M1" s="120" t="s">
        <v>19</v>
      </c>
      <c r="N1" s="120" t="s">
        <v>324</v>
      </c>
      <c r="O1" s="120" t="s">
        <v>246</v>
      </c>
      <c r="P1" s="120" t="str">
        <f>主頁!B15</f>
        <v>請選擇第一選修科</v>
      </c>
      <c r="Q1" s="120" t="str">
        <f>主頁!B16</f>
        <v>請選擇第二選修科</v>
      </c>
      <c r="R1" s="120" t="str">
        <f>主頁!B17</f>
        <v>請選擇第三選修科</v>
      </c>
      <c r="S1" s="120" t="str">
        <f>主頁!B18</f>
        <v>請選擇第四選修科</v>
      </c>
      <c r="T1" s="120" t="str">
        <f>主頁!B19</f>
        <v>請選擇語言科目</v>
      </c>
      <c r="U1" s="120"/>
      <c r="V1" s="131"/>
      <c r="X1" s="130" t="s">
        <v>247</v>
      </c>
      <c r="AK1" s="120"/>
      <c r="AL1" s="120"/>
      <c r="AM1" s="120"/>
      <c r="AN1" s="120"/>
      <c r="AO1" s="120"/>
      <c r="AP1" s="120"/>
      <c r="AQ1" s="120"/>
      <c r="AR1" s="120"/>
      <c r="AS1" s="120"/>
      <c r="AT1" s="120"/>
      <c r="AU1" s="120"/>
    </row>
    <row r="2" spans="2:51">
      <c r="G2" s="132"/>
      <c r="I2" s="132"/>
      <c r="J2" s="133" t="s">
        <v>248</v>
      </c>
      <c r="K2" s="132" t="str">
        <f>IF($E$15=FALSE,主頁!C8,X7)</f>
        <v>請選擇等級</v>
      </c>
      <c r="L2" s="132" t="str">
        <f>IF($E$15=FALSE,主頁!C9,Y7)</f>
        <v>請選擇等級</v>
      </c>
      <c r="M2" s="132" t="str">
        <f>IF($E$15=FALSE,主頁!C10,Z7)</f>
        <v>請選擇等級</v>
      </c>
      <c r="N2" s="132" t="str">
        <f>IF($E$15=FALSE,主頁!C11,AA7)</f>
        <v>請選擇等級</v>
      </c>
      <c r="O2" s="132" t="str">
        <f>IF($E$15=FALSE,主頁!C12,AB7)</f>
        <v>請選擇等級</v>
      </c>
      <c r="P2" s="132">
        <f>IF($E$15=FALSE,IF(主頁!B15="請選擇第一選修科",0,主頁!C15),AC7)</f>
        <v>0</v>
      </c>
      <c r="Q2" s="132">
        <f>IF($E$15=FALSE,IF(主頁!B16="請選擇第二選修科",0,主頁!C16),AD7)</f>
        <v>0</v>
      </c>
      <c r="R2" s="132">
        <f>IF($E$15=FALSE,IF(主頁!B17="請選擇第三選修科",0,主頁!C17),AE7)</f>
        <v>0</v>
      </c>
      <c r="S2" s="132">
        <f>IF($E$15=FALSE,IF(主頁!B18="請選擇第四選修科",0,主頁!C18),AF7)</f>
        <v>0</v>
      </c>
      <c r="T2" s="132">
        <f>IF($E$15=FALSE,IF(主頁!B19="請選擇語言科目",0,主頁!C19),AG7)</f>
        <v>0</v>
      </c>
      <c r="U2" s="132"/>
      <c r="X2" s="119" t="str">
        <f>INDEX(O$1:T$1,MATCH(LARGE(O13:T13,1),O13:T13,0))</f>
        <v>請選擇語言科目</v>
      </c>
      <c r="Y2" s="119" t="str">
        <f>INDEX(O$1:T$1,MATCH(LARGE(O13:T13,2),O13:T13,0))</f>
        <v>請選擇第四選修科</v>
      </c>
    </row>
    <row r="3" spans="2:51">
      <c r="B3" s="133"/>
      <c r="C3" s="133" t="s">
        <v>2814</v>
      </c>
      <c r="D3" s="133"/>
      <c r="E3" s="134">
        <f>LARGE((K13:M13,P13:S13),1)+LARGE((K13:M13,P13:S13),2)+LARGE((K13:M13,P13:S13),3)+LARGE((K13:M13,P13:S13),4)</f>
        <v>3E-9</v>
      </c>
      <c r="F3" s="134"/>
      <c r="G3" s="132">
        <f>SUM(K3:M3)+SUM(O3:S3)</f>
        <v>4.3999999999999997E-9</v>
      </c>
      <c r="H3" s="119">
        <f>COUNTIF(K3:M3,"&gt;1") + COUNTIF(O3:S3,"&gt;1")</f>
        <v>0</v>
      </c>
      <c r="I3" s="132"/>
      <c r="J3" s="135" t="s">
        <v>249</v>
      </c>
      <c r="K3" s="132">
        <f>IF(OR(K2="請選擇等級",K2=FALSE,K2=0),0,LOOKUP(K2,{1,2,3,4,5,"5*","5**","U"},{1,2,3,4,5,6,7,0}))+0.0000000004</f>
        <v>4.0000000000000001E-10</v>
      </c>
      <c r="L3" s="132">
        <f>IF(OR(L2="請選擇等級",L2=FALSE,L2=0),0,LOOKUP(L2,{1,2,3,4,5,"5*","5**","U"},{1,2,3,4,5,6,7,0}))+0.0000000002</f>
        <v>2.0000000000000001E-10</v>
      </c>
      <c r="M3" s="132">
        <f>IF(OR(M2="請選擇等級",M2=FALSE,M2=0),0,LOOKUP(M2,{1,2,3,4,5,"5*","5**","U"},{1,2,3,4,5,6,7,0}))+0.0000000003</f>
        <v>3E-10</v>
      </c>
      <c r="N3" s="132">
        <f>IF(OR(N$2="請選擇等級",N$2=FALSE,N$2=0,N$2="不達標"),0,G3/H3-0.000000001)</f>
        <v>0</v>
      </c>
      <c r="O3" s="132">
        <f>IF(OR(O2="請選擇等級",O2=FALSE,O2=0),0,LOOKUP(O2,{1,2,3,4,5,"5*","5**","U"},{1,2,3,4,5,6,7,0}))+0.0000000005</f>
        <v>5.0000000000000003E-10</v>
      </c>
      <c r="P3" s="132">
        <f>IF(OR(P2="請選擇等級",P2=FALSE,P2=0),0,LOOKUP(P2,{1,2,3,4,5,"5*","5**","U"},{1,2,3,4,5,6,7,0}))+0.0000000006</f>
        <v>6E-10</v>
      </c>
      <c r="Q3" s="132">
        <f>IF(OR(Q2="請選擇等級",Q2=FALSE,Q2=0),0,LOOKUP(Q2,{1,2,3,4,5,"5*","5**","U"},{1,2,3,4,5,6,7,0}))+0.0000000007</f>
        <v>6.9999999999999996E-10</v>
      </c>
      <c r="R3" s="132">
        <f>IF(OR(R2="請選擇等級",R2=FALSE,R2=0),0,LOOKUP(R2,{1,2,3,4,5,"5*","5**","U"},{1,2,3,4,5,6,7,0}))+0.0000000008</f>
        <v>8.0000000000000003E-10</v>
      </c>
      <c r="S3" s="132">
        <f>IF(OR(S2="請選擇等級",S2=FALSE,S2=0),0,LOOKUP(S2,{1,2,3,4,5,"5*","5**","U"},{1,2,3,4,5,6,7,0}))+0.0000000009</f>
        <v>8.9999999999999999E-10</v>
      </c>
      <c r="T3" s="132">
        <f>IF(OR(T2="請選擇等級",T2=FALSE,T2=0),0,LOOKUP(T2,{"A","B","C","D","E","U"},{5,4,3,2,1,0}))+0.00000000095</f>
        <v>9.5000000000000003E-10</v>
      </c>
      <c r="U3" s="132"/>
    </row>
    <row r="4" spans="2:51">
      <c r="C4" s="133" t="s">
        <v>889</v>
      </c>
      <c r="D4" s="133"/>
      <c r="E4" s="134">
        <f>LARGE((K13:M13,P13:S13),1)+LARGE((K13:M13,P13:S13),2)+LARGE((K13:M13,P13:S13),3)+LARGE((K13:M13,P13:S13),4)+LARGE((K13:M13,P13:S13),5)</f>
        <v>3.3999999999999998E-9</v>
      </c>
      <c r="F4" s="134"/>
      <c r="G4" s="132">
        <f t="shared" ref="G4:G11" si="0">SUM(K4:M4)+SUM(O4:S4)</f>
        <v>4.3999999999999997E-9</v>
      </c>
      <c r="H4" s="119">
        <f t="shared" ref="H4:H11" si="1">COUNTIF(K4:M4,"&gt;1") + COUNTIF(O4:S4,"&gt;1")</f>
        <v>0</v>
      </c>
      <c r="I4" s="132"/>
      <c r="J4" s="135" t="s">
        <v>250</v>
      </c>
      <c r="K4" s="132">
        <f>IF(OR(K2="請選擇等級",K2=FALSE,K2=0),0,LOOKUP(K2,{"U",1,2,3,4,5,"5*","5**"},{0,1,2,3,4,5,6,7}))+0.0000000004</f>
        <v>4.0000000000000001E-10</v>
      </c>
      <c r="L4" s="132">
        <f>IF(OR(L2="請選擇等級",L2=FALSE,L2=0),0,LOOKUP(L2,{"U",1,2,3,4,5,"5*","5**"},{0,1,2,3,4,5,6,7}))+0.0000000002</f>
        <v>2.0000000000000001E-10</v>
      </c>
      <c r="M4" s="132">
        <f>IF(OR(M2="請選擇等級",M2=FALSE,M2=0),0,LOOKUP(M2,{"U",1,2,3,4,5,"5*","5**"},{0,1,2,3,4,5,6,7}))+0.0000000003</f>
        <v>3E-10</v>
      </c>
      <c r="N4" s="132">
        <f t="shared" ref="N4:N13" si="2">IF(OR(N$2="請選擇等級",N$2=FALSE,N$2=0,N$2="不達標"),0,G4/H4-0.000000001)</f>
        <v>0</v>
      </c>
      <c r="O4" s="132">
        <f>IF(OR(O2="請選擇等級",O2=FALSE,O2=0),0,LOOKUP(O2,{"U",1,2,3,4,5,"5*","5**"},{0,1,2,3,4,5,6,7}))+0.0000000005</f>
        <v>5.0000000000000003E-10</v>
      </c>
      <c r="P4" s="132">
        <f>IF(OR(P2="請選擇等級",P2=FALSE,P2=0),0,LOOKUP(P2,{"U",1,2,3,4,5,"5*","5**"},{0,1,2,3,4,5,6,7}))+0.0000000006</f>
        <v>6E-10</v>
      </c>
      <c r="Q4" s="132">
        <f>IF(OR(Q2="請選擇等級",Q2=FALSE,Q2=0),0,LOOKUP(Q2,{"U",1,2,3,4,5,"5*","5**"},{0,1,2,3,4,5,6,7}))+0.0000000007</f>
        <v>6.9999999999999996E-10</v>
      </c>
      <c r="R4" s="132">
        <f>IF(OR(R2="請選擇等級",R2=FALSE,R2=0),0,LOOKUP(R2,{"U",1,2,3,4,5,"5*","5**"},{0,1,2,3,4,5,6,7}))+0.0000000008</f>
        <v>8.0000000000000003E-10</v>
      </c>
      <c r="S4" s="132">
        <f>IF(OR(S2="請選擇等級",S2=FALSE,S2=0),0,LOOKUP(S2,{"U",1,2,3,4,5,"5*","5**"},{0,1,2,3,4,5,6,7}))+0.0000000009</f>
        <v>8.9999999999999999E-10</v>
      </c>
      <c r="T4" s="132">
        <f>IF(OR(T2="請選擇等級",T2=FALSE,T2=0),0,LOOKUP(T2,{"A","B","C","D","E","U"},{7,6,5,4,3,0}))+0.00000000095</f>
        <v>9.5000000000000003E-10</v>
      </c>
      <c r="U4" s="132"/>
      <c r="V4" s="125" t="s">
        <v>251</v>
      </c>
      <c r="W4" s="125"/>
      <c r="X4" s="118" t="s">
        <v>252</v>
      </c>
      <c r="Y4" s="118"/>
      <c r="Z4" s="118"/>
      <c r="AA4" s="118"/>
      <c r="AB4" s="118"/>
      <c r="AC4" s="118"/>
      <c r="AD4" s="118"/>
      <c r="AE4" s="118"/>
      <c r="AF4" s="118"/>
      <c r="AG4" s="118"/>
      <c r="AH4" s="118"/>
    </row>
    <row r="5" spans="2:51">
      <c r="C5" s="133" t="s">
        <v>2518</v>
      </c>
      <c r="D5" s="133"/>
      <c r="E5" s="134">
        <f>SUM($K$13:$M$13)+LARGE(($P$13:$R$13,$S$13),1)</f>
        <v>1.8E-9</v>
      </c>
      <c r="F5" s="134"/>
      <c r="G5" s="132">
        <f t="shared" si="0"/>
        <v>4.3999999999999997E-9</v>
      </c>
      <c r="H5" s="119">
        <f t="shared" si="1"/>
        <v>0</v>
      </c>
      <c r="I5" s="132"/>
      <c r="J5" s="135" t="s">
        <v>253</v>
      </c>
      <c r="K5" s="132">
        <f>IF(OR(K2="請選擇等級",K2=FALSE,K2=0),0,LOOKUP(K2,{1,2,3,4,5,"5*","5**","U"},{1,2,3,4,5.5,7,8.5,0}))+0.0000000004</f>
        <v>4.0000000000000001E-10</v>
      </c>
      <c r="L5" s="132">
        <f>IF(OR(L2="請選擇等級",L2=FALSE,L2=0),0,LOOKUP(L2,{1,2,3,4,5,"5*","5**","U"},{1,2,3,4,5.5,7,8.5,0}))+0.0000000002</f>
        <v>2.0000000000000001E-10</v>
      </c>
      <c r="M5" s="132">
        <f>IF(OR(M2="請選擇等級",M2=FALSE,M2=0),0,LOOKUP(M2,{1,2,3,4,5,"5*","5**","U"},{1,2,3,4,5.5,7,8.5,0}))+0.0000000003</f>
        <v>3E-10</v>
      </c>
      <c r="N5" s="132">
        <f t="shared" si="2"/>
        <v>0</v>
      </c>
      <c r="O5" s="132">
        <f>IF(OR(O2="請選擇等級",O2=FALSE,O2=0),0,LOOKUP(O2,{1,2,3,4,5,"5*","5**","U"},{1,2,3,4,5.5,7,8.5,0}))+0.0000000005</f>
        <v>5.0000000000000003E-10</v>
      </c>
      <c r="P5" s="132">
        <f>IF(OR(P2="請選擇等級",P2=FALSE,P2=0),0,LOOKUP(P2,{1,2,3,4,5,"5*","5**","U"},{1,2,3,4,5.5,7,8.5,0}))+0.0000000006</f>
        <v>6E-10</v>
      </c>
      <c r="Q5" s="132">
        <f>IF(OR(Q2="請選擇等級",Q2=FALSE,Q2=0),0,LOOKUP(Q2,{1,2,3,4,5,"5*","5**","U"},{1,2,3,4,5.5,7,8.5,0}))+0.0000000007</f>
        <v>6.9999999999999996E-10</v>
      </c>
      <c r="R5" s="132">
        <f>IF(OR(R2="請選擇等級",R2=FALSE,R2=0),0,LOOKUP(R2,{1,2,3,4,5,"5*","5**","U"},{1,2,3,4,5.5,7,8.5,0}))+0.0000000008</f>
        <v>8.0000000000000003E-10</v>
      </c>
      <c r="S5" s="132">
        <f>IF(OR(S2="請選擇等級",S2=FALSE,S2=0),0,LOOKUP(S2,{1,2,3,4,5,"5*","5**","U"},{1,2,3,4,5.5,7,8.5,0}))+0.0000000009</f>
        <v>8.9999999999999999E-10</v>
      </c>
      <c r="T5" s="132">
        <f>IF(OR(T2="請選擇等級",T2=FALSE,T2=0),0,LOOKUP(T2,{"A","B","C","D","E","U"},{5,4,3,2,1,0}))+0.00000000095</f>
        <v>9.5000000000000003E-10</v>
      </c>
      <c r="U5" s="132"/>
      <c r="V5" s="118" t="s">
        <v>254</v>
      </c>
      <c r="W5" s="118"/>
      <c r="X5" s="136">
        <f>主頁!D8</f>
        <v>0</v>
      </c>
      <c r="Y5" s="136">
        <f>主頁!D9</f>
        <v>0</v>
      </c>
      <c r="Z5" s="136">
        <f>主頁!D10</f>
        <v>0</v>
      </c>
      <c r="AA5" s="136">
        <f>主頁!D11</f>
        <v>0</v>
      </c>
      <c r="AB5" s="136">
        <f>主頁!D12</f>
        <v>0</v>
      </c>
      <c r="AC5" s="136">
        <f>IF(主頁!B15="請選擇第一選修科",0,主頁!D15)</f>
        <v>0</v>
      </c>
      <c r="AD5" s="136">
        <f>IF(主頁!B16="請選擇第二選修科",0,主頁!D16)</f>
        <v>0</v>
      </c>
      <c r="AE5" s="136">
        <f>IF(主頁!B17="請選擇第三選修科",0,主頁!D17)</f>
        <v>0</v>
      </c>
      <c r="AF5" s="136">
        <f>IF(主頁!B18="請選擇第四選修科",0,主頁!D18)</f>
        <v>0</v>
      </c>
      <c r="AG5" s="136">
        <f>IF(主頁!B19="請選擇語言科目",0,主頁!D19)</f>
        <v>0</v>
      </c>
      <c r="AH5" s="118"/>
    </row>
    <row r="6" spans="2:51">
      <c r="C6" s="133" t="s">
        <v>2519</v>
      </c>
      <c r="D6" s="133"/>
      <c r="E6" s="134">
        <f>SUM($K$13:$M$13)+LARGE(($P$13:$R$13,$S$13),1)+LARGE(($P$13:$R$13,$S$13),2)</f>
        <v>2.6000000000000001E-9</v>
      </c>
      <c r="F6" s="134"/>
      <c r="G6" s="132">
        <f t="shared" si="0"/>
        <v>4.3999999999999997E-9</v>
      </c>
      <c r="H6" s="119">
        <f t="shared" si="1"/>
        <v>0</v>
      </c>
      <c r="I6" s="132"/>
      <c r="J6" s="135" t="s">
        <v>255</v>
      </c>
      <c r="K6" s="425">
        <f>IF(OR(K2="請選擇等級",K2=FALSE,K2=0),0,LOOKUP(K2,{1,2,3,4,5,"5*","5**","U"},{1,2,3,4,5.5,7,8.5,0}))+0.0000000004</f>
        <v>4.0000000000000001E-10</v>
      </c>
      <c r="L6" s="132">
        <f>IF(OR(L2="請選擇等級",L2=FALSE,L2=0),0,LOOKUP(L2,{1,2,3,4,5,"5*","5**","U"},{1,2,3,4,5.5,7,8.5,0}))+0.0000000002</f>
        <v>2.0000000000000001E-10</v>
      </c>
      <c r="M6" s="132">
        <f>IF(OR(M2="請選擇等級",M2=FALSE,M2=0),0,LOOKUP(M2,{1,2,3,4,5,"5*","5**","U"},{1,2,3,4,5.5,7,8.5,0}))+0.0000000003</f>
        <v>3E-10</v>
      </c>
      <c r="N6" s="132">
        <f t="shared" si="2"/>
        <v>0</v>
      </c>
      <c r="O6" s="132">
        <f>IF(OR(O2="請選擇等級",O2=FALSE,O2=0),0,LOOKUP(O2,{1,2,3,4,5,"5*","5**","U"},{1,2,3,4,5.5,7,8.5,0}))+0.0000000005</f>
        <v>5.0000000000000003E-10</v>
      </c>
      <c r="P6" s="132">
        <f>IF(OR(P2="請選擇等級",P2=FALSE,P2=0),0,LOOKUP(P2,{1,2,3,4,5,"5*","5**","U"},{1,2,3,4,5.5,7,8.5,0}))+0.0000000006</f>
        <v>6E-10</v>
      </c>
      <c r="Q6" s="132">
        <f>IF(OR(Q2="請選擇等級",Q2=FALSE,Q2=0),0,LOOKUP(Q2,{1,2,3,4,5,"5*","5**","U"},{1,2,3,4,5.5,7,8.5,0}))+0.0000000007</f>
        <v>6.9999999999999996E-10</v>
      </c>
      <c r="R6" s="132">
        <f>IF(OR(R2="請選擇等級",R2=FALSE,R2=0),0,LOOKUP(R2,{1,2,3,4,5,"5*","5**","U"},{1,2,3,4,5.5,7,8.5,0}))+0.0000000008</f>
        <v>8.0000000000000003E-10</v>
      </c>
      <c r="S6" s="132">
        <f>IF(OR(S2="請選擇等級",S2=FALSE,S2=0),0,LOOKUP(S2,{1,2,3,4,5,"5*","5**","U"},{1,2,3,4,5.5,7,8.5,0}))+0.0000000009</f>
        <v>8.9999999999999999E-10</v>
      </c>
      <c r="T6" s="132">
        <f>IF(OR(T2="請選擇等級",T2=FALSE,T2=0),0,LOOKUP(T2,{"A","B","C","D","E","U"},{7,5.5,4,2,1,0}))+0.00000000095</f>
        <v>9.5000000000000003E-10</v>
      </c>
      <c r="U6" s="132"/>
      <c r="V6" s="118" t="s">
        <v>256</v>
      </c>
      <c r="W6" s="118"/>
      <c r="X6" s="136" t="b">
        <f>ISNUMBER(X5)</f>
        <v>1</v>
      </c>
      <c r="Y6" s="136" t="b">
        <f t="shared" ref="Y6:AB6" si="3">ISNUMBER(Y5)</f>
        <v>1</v>
      </c>
      <c r="Z6" s="136" t="b">
        <f t="shared" si="3"/>
        <v>1</v>
      </c>
      <c r="AA6" s="136" t="b">
        <f t="shared" si="3"/>
        <v>1</v>
      </c>
      <c r="AB6" s="136" t="b">
        <f t="shared" si="3"/>
        <v>1</v>
      </c>
      <c r="AC6" s="136" t="b">
        <f t="shared" ref="AC6" si="4">ISNUMBER(AC5)</f>
        <v>1</v>
      </c>
      <c r="AD6" s="136" t="b">
        <f t="shared" ref="AD6" si="5">ISNUMBER(AD5)</f>
        <v>1</v>
      </c>
      <c r="AE6" s="136" t="b">
        <f t="shared" ref="AE6" si="6">ISNUMBER(AE5)</f>
        <v>1</v>
      </c>
      <c r="AF6" s="136" t="b">
        <f t="shared" ref="AF6" si="7">ISNUMBER(AF5)</f>
        <v>1</v>
      </c>
      <c r="AG6" s="136" t="b">
        <f>ISTEXT(AG5)</f>
        <v>0</v>
      </c>
      <c r="AH6" s="118"/>
    </row>
    <row r="7" spans="2:51">
      <c r="E7" s="134"/>
      <c r="F7" s="134"/>
      <c r="G7" s="132">
        <f t="shared" si="0"/>
        <v>4.3999999999999997E-9</v>
      </c>
      <c r="H7" s="119">
        <f t="shared" si="1"/>
        <v>0</v>
      </c>
      <c r="I7" s="132"/>
      <c r="J7" s="135" t="s">
        <v>257</v>
      </c>
      <c r="K7" s="132">
        <f>IF(OR(K2="請選擇等級",K2=FALSE,K2=0),0,LOOKUP(K2,{1,2,3,4,5,"5*","5**","U"},{1,2,3,4,5.5,7,8.5,0}))+0.0000000004</f>
        <v>4.0000000000000001E-10</v>
      </c>
      <c r="L7" s="132">
        <f>IF(OR(L2="請選擇等級",L2=FALSE,L2=0),0,LOOKUP(L2,{1,2,3,4,5,"5*","5**","U"},{1,2,3,4,5.5,7,8.5,0}))+0.0000000002</f>
        <v>2.0000000000000001E-10</v>
      </c>
      <c r="M7" s="132">
        <f>IF(OR(M2="請選擇等級",M2=FALSE,M2=0),0,LOOKUP(M2,{1,2,3,4,5,"5*","5**","U"},{1,2,3,4,5.5,7,8.5,0}))+0.0000000003</f>
        <v>3E-10</v>
      </c>
      <c r="N7" s="132">
        <f t="shared" si="2"/>
        <v>0</v>
      </c>
      <c r="O7" s="132">
        <f>IF(OR(O2="請選擇等級",O2=FALSE,O2=0),0,LOOKUP(O2,{1,2,3,4,5,"5*","5**","U"},{1,2,3,4,5.5,7,8.5,0}))+0.0000000005</f>
        <v>5.0000000000000003E-10</v>
      </c>
      <c r="P7" s="132">
        <f>IF(OR(P2="請選擇等級",P2=FALSE,P2=0),0,LOOKUP(P2,{1,2,3,4,5,"5*","5**","U"},{1,2,3,4,5.5,7,8.5,0}))+0.0000000006</f>
        <v>6E-10</v>
      </c>
      <c r="Q7" s="132">
        <f>IF(OR(Q2="請選擇等級",Q2=FALSE,Q2=0),0,LOOKUP(Q2,{1,2,3,4,5,"5*","5**","U"},{1,2,3,4,5.5,7,8.5,0}))+0.0000000007</f>
        <v>6.9999999999999996E-10</v>
      </c>
      <c r="R7" s="132">
        <f>IF(OR(R2="請選擇等級",R2=FALSE,R2=0),0,LOOKUP(R2,{1,2,3,4,5,"5*","5**","U"},{1,2,3,4,5.5,7,8.5,0}))+0.0000000008</f>
        <v>8.0000000000000003E-10</v>
      </c>
      <c r="S7" s="132">
        <f>IF(OR(S2="請選擇等級",S2=FALSE,S2=0),0,LOOKUP(S2,{1,2,3,4,5,"5*","5**","U"},{1,2,3,4,5.5,7,8.5,0}))+0.0000000009</f>
        <v>8.9999999999999999E-10</v>
      </c>
      <c r="T7" s="132">
        <f>IF(OR(T2="請選擇等級",T2=FALSE,T2=0),0,LOOKUP(T2,{"A","B","C","D","E","U"},{7,5.5,4,2.5,1,0}))+0.00000000095</f>
        <v>9.5000000000000003E-10</v>
      </c>
      <c r="U7" s="132"/>
      <c r="V7" s="118" t="s">
        <v>258</v>
      </c>
      <c r="W7" s="118"/>
      <c r="X7" s="136">
        <f>IF(OR(X5="請選擇等級",X6=FALSE,X5=0),0,LOOKUP(X5,{1,2,3,4,5,6,7,0},{1,2,3,4,5,"5*","5**","U"}))</f>
        <v>0</v>
      </c>
      <c r="Y7" s="136">
        <f>IF(OR(Y5="請選擇等級",Y6=FALSE,Y5=0),0,LOOKUP(Y5,{1,2,3,4,5,6,7,0},{1,2,3,4,5,"5*","5**","U"}))</f>
        <v>0</v>
      </c>
      <c r="Z7" s="136">
        <f>IF(OR(Z5="請選擇等級",Z6=FALSE,Z5=0),0,LOOKUP(Z5,{1,2,3,4,5,6,7,0},{1,2,3,4,5,"5*","5**","U"}))</f>
        <v>0</v>
      </c>
      <c r="AA7" s="136">
        <f>IF(OR(AA5="請選擇等級",AA6=FALSE,AA5=0),0,LOOKUP(AA5,{1,2,3,4,5,6,7,0},{1,2,3,4,5,"5*","5**","U"}))</f>
        <v>0</v>
      </c>
      <c r="AB7" s="136">
        <f>IF(OR(AB5="請選擇等級",AB6=FALSE,AB5=0),0,LOOKUP(AB5,{1,2,3,4,5,6,7,0},{1,2,3,4,5,"5*","5**","U"}))</f>
        <v>0</v>
      </c>
      <c r="AC7" s="136">
        <f>IF(OR(AC5="請選擇等級",AC6=FALSE,AC5=0),0,LOOKUP(AC5,{1,2,3,4,5,6,7,0},{1,2,3,4,5,"5*","5**","U"}))</f>
        <v>0</v>
      </c>
      <c r="AD7" s="136">
        <f>IF(OR(AD5="請選擇等級",AD6=FALSE,AD5=0),0,LOOKUP(AD5,{1,2,3,4,5,6,7,0},{1,2,3,4,5,"5*","5**","U"}))</f>
        <v>0</v>
      </c>
      <c r="AE7" s="136">
        <f>IF(OR(AE5="請選擇等級",AE6=FALSE,AE5=0),0,LOOKUP(AE5,{1,2,3,4,5,6,7,0},{1,2,3,4,5,"5*","5**","U"}))</f>
        <v>0</v>
      </c>
      <c r="AF7" s="136">
        <f>IF(OR(AF5="請選擇等級",AF6=FALSE,AF5=0),0,LOOKUP(AF5,{1,2,3,4,5,6,7,0},{1,2,3,4,5,"5*","5**","U"}))</f>
        <v>0</v>
      </c>
      <c r="AG7" s="136">
        <f>IF(AG6=TRUE,AG5,0)</f>
        <v>0</v>
      </c>
      <c r="AH7" s="118"/>
    </row>
    <row r="8" spans="2:51">
      <c r="C8" s="133" t="s">
        <v>2849</v>
      </c>
      <c r="D8" s="133"/>
      <c r="E8" s="134">
        <f>LARGE((K13:M13,O13:S13),1)+LARGE((K13:M13,O13:S13),2)+LARGE((K13:M13,O13:S13),3)+LARGE((K13:M13,O13:S13),4)</f>
        <v>3E-9</v>
      </c>
      <c r="F8" s="134"/>
      <c r="G8" s="132">
        <f t="shared" si="0"/>
        <v>4.3999999999999997E-9</v>
      </c>
      <c r="H8" s="119">
        <f t="shared" si="1"/>
        <v>0</v>
      </c>
      <c r="J8" s="135" t="s">
        <v>259</v>
      </c>
      <c r="K8" s="132">
        <f>IF(OR(K2="請選擇等級",K2=FALSE,K2=0),0,LOOKUP(K2,{1,2,3,4,5,"5*","5**","U"},{1,2,3,4,5.5,7,8.5,0}))+0.0000000004</f>
        <v>4.0000000000000001E-10</v>
      </c>
      <c r="L8" s="132">
        <f>IF(OR(L2="請選擇等級",L2=FALSE,L2=0),0,LOOKUP(L2,{1,2,3,4,5,"5*","5**","U"},{1,2,3,4,5.5,7,8.5,0}))+0.0000000002</f>
        <v>2.0000000000000001E-10</v>
      </c>
      <c r="M8" s="132">
        <f>IF(OR(M2="請選擇等級",M2=FALSE,M2=0),0,LOOKUP(M2,{1,2,3,4,5,"5*","5**","U"},{1,2,3,4,5.5,7,8.5,0}))+0.0000000003</f>
        <v>3E-10</v>
      </c>
      <c r="N8" s="132">
        <f t="shared" si="2"/>
        <v>0</v>
      </c>
      <c r="O8" s="132">
        <f>IF(OR(O2="請選擇等級",O2=FALSE,O2=0),0,LOOKUP(O2,{1,2,3,4,5,"5*","5**","U"},{1,2,3,4,5.5,7,8.5,0}))+0.0000000005</f>
        <v>5.0000000000000003E-10</v>
      </c>
      <c r="P8" s="132">
        <f>IF(OR(P2="請選擇等級",P2=FALSE,P2=0),0,LOOKUP(P2,{1,2,3,4,5,"5*","5**","U"},{1,2,3,4,5.5,7,8.5,0}))+0.0000000006</f>
        <v>6E-10</v>
      </c>
      <c r="Q8" s="132">
        <f>IF(OR(Q2="請選擇等級",Q2=FALSE,Q2=0),0,LOOKUP(Q2,{1,2,3,4,5,"5*","5**","U"},{1,2,3,4,5.5,7,8.5,0}))+0.0000000007</f>
        <v>6.9999999999999996E-10</v>
      </c>
      <c r="R8" s="132">
        <f>IF(OR(R2="請選擇等級",R2=FALSE,R2=0),0,LOOKUP(R2,{1,2,3,4,5,"5*","5**","U"},{1,2,3,4,5.5,7,8.5,0}))+0.0000000008</f>
        <v>8.0000000000000003E-10</v>
      </c>
      <c r="S8" s="132">
        <f>IF(OR(S2="請選擇等級",S2=FALSE,S2=0),0,LOOKUP(S2,{1,2,3,4,5,"5*","5**","U"},{1,2,3,4,5.5,7,8.5,0}))+0.0000000009</f>
        <v>8.9999999999999999E-10</v>
      </c>
      <c r="T8" s="132">
        <f>IF(OR(T2="請選擇等級",T2=FALSE,T2=0),0,LOOKUP(T2,{"A","B","C","D","E","U"},{7,5.5,4,2.5,1,0}))+0.00000000095</f>
        <v>9.5000000000000003E-10</v>
      </c>
      <c r="U8" s="132"/>
      <c r="V8" s="118"/>
      <c r="W8" s="118"/>
      <c r="X8" s="118"/>
      <c r="Y8" s="118"/>
      <c r="Z8" s="118"/>
      <c r="AA8" s="118"/>
      <c r="AB8" s="118"/>
      <c r="AC8" s="118"/>
      <c r="AD8" s="118"/>
      <c r="AE8" s="118"/>
      <c r="AF8" s="118"/>
      <c r="AG8" s="118"/>
      <c r="AH8" s="118"/>
    </row>
    <row r="9" spans="2:51">
      <c r="C9" s="133" t="s">
        <v>2850</v>
      </c>
      <c r="D9" s="133"/>
      <c r="E9" s="134">
        <f>LARGE((K13:M13,O13:S13),1)+LARGE((K13:M13,O13:S13),2)+LARGE((K13:M13,O13:S13),3)+LARGE((K13:M13,O13:S13),4)+LARGE((K13:M13,O13:S13),5)</f>
        <v>3.4999999999999999E-9</v>
      </c>
      <c r="F9" s="134"/>
      <c r="G9" s="132">
        <f t="shared" si="0"/>
        <v>4.3999999999999997E-9</v>
      </c>
      <c r="H9" s="119">
        <f t="shared" si="1"/>
        <v>0</v>
      </c>
      <c r="J9" s="135" t="s">
        <v>260</v>
      </c>
      <c r="K9" s="132">
        <f>IF(OR(K2="請選擇等級",K2=FALSE,K2=0),0,LOOKUP(K2,{1,2,3,4,5,"5*","5**","U"},{1,2,3,4,5,6,7,0}))+0.0000000004</f>
        <v>4.0000000000000001E-10</v>
      </c>
      <c r="L9" s="132">
        <f>IF(OR(L2="請選擇等級",L2=FALSE,L2=0),0,LOOKUP(L2,{1,2,3,4,5,"5*","5**","U"},{1,2,3,4,5,6,7,0}))+0.0000000002</f>
        <v>2.0000000000000001E-10</v>
      </c>
      <c r="M9" s="132">
        <f>IF(OR(M2="請選擇等級",M2=FALSE,M2=0),0,LOOKUP(M2,{1,2,3,4,5,"5*","5**","U"},{1,2,3,4,5,6,7,0}))+0.0000000003</f>
        <v>3E-10</v>
      </c>
      <c r="N9" s="132">
        <f t="shared" si="2"/>
        <v>0</v>
      </c>
      <c r="O9" s="132">
        <f>IF(OR(O2="請選擇等級",O2=FALSE,O2=0),0,LOOKUP(O2,{1,2,3,4,5,"5*","5**","U"},{1,2,3,4,5,6,7,0}))+0.0000000005</f>
        <v>5.0000000000000003E-10</v>
      </c>
      <c r="P9" s="132">
        <f>IF(OR(P2="請選擇等級",P2=FALSE,P2=0),0,LOOKUP(P2,{1,2,3,4,5,"5*","5**","U"},{1,2,3,4,5,6,7,0}))+0.0000000006</f>
        <v>6E-10</v>
      </c>
      <c r="Q9" s="132">
        <f>IF(OR(Q2="請選擇等級",Q2=FALSE,Q2=0),0,LOOKUP(Q2,{1,2,3,4,5,"5*","5**","U"},{1,2,3,4,5,6,7,0}))+0.0000000007</f>
        <v>6.9999999999999996E-10</v>
      </c>
      <c r="R9" s="132">
        <f>IF(OR(R2="請選擇等級",R2=FALSE,R2=0),0,LOOKUP(R2,{1,2,3,4,5,"5*","5**","U"},{1,2,3,4,5,6,7,0}))+0.0000000008</f>
        <v>8.0000000000000003E-10</v>
      </c>
      <c r="S9" s="132">
        <f>IF(OR(S2="請選擇等級",S2=FALSE,S2=0),0,LOOKUP(S2,{1,2,3,4,5,"5*","5**","U"},{1,2,3,4,5,6,7,0}))+0.0000000009</f>
        <v>8.9999999999999999E-10</v>
      </c>
      <c r="T9" s="132">
        <f>IF(OR(T2="請選擇等級",T2=FALSE,T2=0),0,LOOKUP(T2,{"A","B","C","D","E","U"},{5,4,3,2,1,0}))+0.00000000095</f>
        <v>9.5000000000000003E-10</v>
      </c>
      <c r="U9" s="132"/>
    </row>
    <row r="10" spans="2:51">
      <c r="E10" s="134"/>
      <c r="F10" s="134"/>
      <c r="G10" s="132">
        <f t="shared" si="0"/>
        <v>4.3999999999999997E-9</v>
      </c>
      <c r="H10" s="119">
        <f t="shared" si="1"/>
        <v>0</v>
      </c>
      <c r="J10" s="135" t="s">
        <v>261</v>
      </c>
      <c r="K10" s="132">
        <f>IF(OR(K2="請選擇等級",K2=FALSE,K2=0),0,LOOKUP(K2,{1,2,3,4,5,"5*","5**","U"},{1,2,3,4,5,6,7,0}))+0.0000000004</f>
        <v>4.0000000000000001E-10</v>
      </c>
      <c r="L10" s="132">
        <f>IF(OR(L2="請選擇等級",L2=FALSE,L2=0),0,LOOKUP(L2,{1,2,3,4,5,"5*","5**","U"},{1,2,3,4,5,6,7,0}))+0.0000000002</f>
        <v>2.0000000000000001E-10</v>
      </c>
      <c r="M10" s="132">
        <f>IF(OR(M2="請選擇等級",M2=FALSE,M2=0),0,LOOKUP(M2,{1,2,3,4,5,"5*","5**","U"},{1,2,3,4,5,6,7,0}))+0.0000000003</f>
        <v>3E-10</v>
      </c>
      <c r="N10" s="132">
        <v>0</v>
      </c>
      <c r="O10" s="132">
        <f>IF(OR(O2="請選擇等級",O2=FALSE,O2=0),0,LOOKUP(O2,{1,2,3,4,5,"5*","5**","U"},{1,2,3,4,5,6,7,0}))+0.0000000005</f>
        <v>5.0000000000000003E-10</v>
      </c>
      <c r="P10" s="132">
        <f>IF(OR(P2="請選擇等級",P2=FALSE,P2=0),0,LOOKUP(P2,{1,2,3,4,5,"5*","5**","U"},{1,2,3,4,5,6,7,0}))+0.0000000006</f>
        <v>6E-10</v>
      </c>
      <c r="Q10" s="132">
        <f>IF(OR(Q2="請選擇等級",Q2=FALSE,Q2=0),0,LOOKUP(Q2,{1,2,3,4,5,"5*","5**","U"},{1,2,3,4,5,6,7,0}))+0.0000000007</f>
        <v>6.9999999999999996E-10</v>
      </c>
      <c r="R10" s="132">
        <f>IF(OR(R2="請選擇等級",R2=FALSE,R2=0),0,LOOKUP(R2,{1,2,3,4,5,"5*","5**","U"},{1,2,3,4,5,6,7,0}))+0.0000000008</f>
        <v>8.0000000000000003E-10</v>
      </c>
      <c r="S10" s="132">
        <f>IF(OR(S2="請選擇等級",S2=FALSE,S2=0),0,LOOKUP(S2,{1,2,3,4,5,"5*","5**","U"},{1,2,3,4,5,6,7,0}))+0.0000000009</f>
        <v>8.9999999999999999E-10</v>
      </c>
      <c r="T10" s="132">
        <f>IF(OR(T2="請選擇等級",T2=FALSE,T2=0),0,LOOKUP(T2,{"A","B","C","D","E","U"},{7,6,5,4,3,0}))+0.00000000095</f>
        <v>9.5000000000000003E-10</v>
      </c>
      <c r="U10" s="119" t="s">
        <v>262</v>
      </c>
      <c r="V10" s="119" t="s">
        <v>263</v>
      </c>
      <c r="W10" s="119" t="s">
        <v>264</v>
      </c>
    </row>
    <row r="11" spans="2:51">
      <c r="E11" s="134"/>
      <c r="F11" s="134"/>
      <c r="G11" s="132">
        <f t="shared" si="0"/>
        <v>3.9000000000000002E-9</v>
      </c>
      <c r="H11" s="119">
        <f t="shared" si="1"/>
        <v>0</v>
      </c>
      <c r="I11" s="132"/>
      <c r="J11" s="135" t="s">
        <v>265</v>
      </c>
      <c r="K11" s="132">
        <f>IF(OR(K2="請選擇等級",K2=FALSE,K2=0),0,LOOKUP(K2,{1,2,3,4,5,"5*","5**","U"},{1,2,3,4,5,6,7,0}))+0.0000000004</f>
        <v>4.0000000000000001E-10</v>
      </c>
      <c r="L11" s="132">
        <f>IF(OR(L2="請選擇等級",L2=FALSE,L2=0),0,LOOKUP(L2,{1,2,3,4,5,"5*","5**","U"},{1,2,3,4,5,6,7,0}))+0.0000000002</f>
        <v>2.0000000000000001E-10</v>
      </c>
      <c r="M11" s="132">
        <f>IF(OR(M2="請選擇等級",M2=FALSE,M2=0),0,LOOKUP(M2,{1,2,3,4,5,"5*","5**","U"},{1,2,3,4,5,6,7,0}))+0.0000000003</f>
        <v>3E-10</v>
      </c>
      <c r="N11" s="132">
        <f t="shared" si="2"/>
        <v>0</v>
      </c>
      <c r="O11" s="132"/>
      <c r="P11" s="132">
        <f>IF(OR(P2="請選擇等級",P2=FALSE,P2=0),0,LOOKUP(P2,{1,2,3,4,5,"5*","5**","U"},{1,2,3,4,5,6,7,0}))+0.0000000006</f>
        <v>6E-10</v>
      </c>
      <c r="Q11" s="132">
        <f>IF(OR(Q2="請選擇等級",Q2=FALSE,Q2=0),0,LOOKUP(Q2,{1,2,3,4,5,"5*","5**","U"},{1,2,3,4,5,6,7,0}))+0.0000000007</f>
        <v>6.9999999999999996E-10</v>
      </c>
      <c r="R11" s="132">
        <f>IF(OR(R2="請選擇等級",R2=FALSE,R2=0),0,LOOKUP(R2,{1,2,3,4,5,"5*","5**","U"},{1,2,3,4,5,6,7,0}))+0.0000000008</f>
        <v>8.0000000000000003E-10</v>
      </c>
      <c r="S11" s="132">
        <f>IF(OR(S2="請選擇等級",S2=FALSE,S2=0),0,LOOKUP(S2,{1,2,3,4,5,"5*","5**","U"},{1,2,3,4,5,6,7,0}))+0.0000000009</f>
        <v>8.9999999999999999E-10</v>
      </c>
      <c r="T11" s="132">
        <f>IF(OR(T2="請選擇等級",T2=FALSE,T2=0),0,LOOKUP(T2,{"A","B","C","D","E","U"},{6,5,4,3,2,0}))+0.00000000095</f>
        <v>9.5000000000000003E-10</v>
      </c>
      <c r="U11" s="119">
        <f>IF(OR(T2="請選擇等級",T2=FALSE,T2=0),0,LOOKUP(T2,{"A","B","C","D","E","U"},{3,3,3,2,2,0}))+0.00000000095</f>
        <v>9.5000000000000003E-10</v>
      </c>
      <c r="V11" s="119">
        <f>IF(OR(T2="請選擇等級",T2=FALSE,T2=0),0,LOOKUP(T2,{"A","B","C","D","E","U"},{5,4,3,2,1,0}))+0.00000000095</f>
        <v>9.5000000000000003E-10</v>
      </c>
    </row>
    <row r="12" spans="2:51">
      <c r="C12" s="133" t="s">
        <v>2886</v>
      </c>
      <c r="D12" s="133"/>
      <c r="E12" s="134">
        <f>SUM($K$13:$M$13)+LARGE(($O$13:$S$13),1)</f>
        <v>1.8E-9</v>
      </c>
      <c r="F12" s="134"/>
      <c r="G12" s="132"/>
      <c r="I12" s="132"/>
      <c r="J12" s="135"/>
      <c r="K12" s="132"/>
      <c r="L12" s="132"/>
      <c r="M12" s="132"/>
      <c r="N12" s="132"/>
      <c r="O12" s="132"/>
      <c r="P12" s="132"/>
      <c r="Q12" s="132"/>
      <c r="R12" s="132"/>
      <c r="S12" s="132"/>
      <c r="T12" s="132"/>
      <c r="U12" s="132"/>
    </row>
    <row r="13" spans="2:51">
      <c r="C13" s="133" t="s">
        <v>2887</v>
      </c>
      <c r="D13" s="133"/>
      <c r="E13" s="134">
        <f>SUM($K$13:$M$13)+LARGE(($O$13:$S$13),1)+LARGE(($O$13:$S$13),2)</f>
        <v>2.6000000000000001E-9</v>
      </c>
      <c r="F13" s="134"/>
      <c r="G13" s="132">
        <f>SUM(K13:M13)+SUM(O13:S13)</f>
        <v>4.3999999999999997E-9</v>
      </c>
      <c r="H13" s="119">
        <f>COUNTIF(K13:M13,"&gt;1") + COUNTIF(O13:S13,"&gt;1")</f>
        <v>0</v>
      </c>
      <c r="I13" s="132"/>
      <c r="J13" s="135" t="s">
        <v>266</v>
      </c>
      <c r="K13" s="132">
        <f>IF(OR(K2="請選擇等級",K2=FALSE,K2=0),0,LOOKUP(K2,{1,2,3,4,5,"5*","5**","U"},{1,2,3,4,5,6,7,0}))+0.0000000004</f>
        <v>4.0000000000000001E-10</v>
      </c>
      <c r="L13" s="132">
        <f>IF(OR(L2="請選擇等級",L2=FALSE,L2=0),0,LOOKUP(L2,{1,2,3,4,5,"5*","5**","U"},{1,2,3,4,5,6,7,0}))+0.0000000002</f>
        <v>2.0000000000000001E-10</v>
      </c>
      <c r="M13" s="132">
        <f>IF(OR(M2="請選擇等級",M2=FALSE,M2=0),0,LOOKUP(M2,{1,2,3,4,5,"5*","5**","U"},{1,2,3,4,5,6,7,0}))+0.0000000003</f>
        <v>3E-10</v>
      </c>
      <c r="N13" s="132">
        <f t="shared" si="2"/>
        <v>0</v>
      </c>
      <c r="O13" s="132">
        <f>IF(OR(O2="請選擇等級",O2=FALSE,O2=0),0,LOOKUP(O2,{1,2,3,4,5,"5*","5**","U"},{1,2,3,4,5,6,7,0}))+0.0000000005</f>
        <v>5.0000000000000003E-10</v>
      </c>
      <c r="P13" s="132">
        <f>IF(OR(P2="請選擇等級",P2=FALSE,P2=0),0,LOOKUP(P2,{1,2,3,4,5,"5*","5**","U"},{1,2,3,4,5,6,7,0}))+0.0000000006</f>
        <v>6E-10</v>
      </c>
      <c r="Q13" s="132">
        <f>IF(OR(Q2="請選擇等級",Q2=FALSE,Q2=0),0,LOOKUP(Q2,{1,2,3,4,5,"5*","5**","U"},{1,2,3,4,5,6,7,0}))+0.0000000007</f>
        <v>6.9999999999999996E-10</v>
      </c>
      <c r="R13" s="132">
        <f>IF(OR(R2="請選擇等級",R2=FALSE,R2=0),0,LOOKUP(R2,{1,2,3,4,5,"5*","5**","U"},{1,2,3,4,5,6,7,0}))+0.0000000008</f>
        <v>8.0000000000000003E-10</v>
      </c>
      <c r="S13" s="132">
        <f>IF(OR(S2="請選擇等級",S2=FALSE,S2=0),0,LOOKUP(S2,{1,2,3,4,5,"5*","5**","U"},{1,2,3,4,5,6,7,0}))+0.0000000009</f>
        <v>8.9999999999999999E-10</v>
      </c>
      <c r="T13" s="132">
        <f>IF(OR(T2="請選擇等級",T2=FALSE,T2=0),0,LOOKUP(T2,{"A","B","C","D","E","U"},{5,4,3,2,1,0}))+0.00000000095</f>
        <v>9.5000000000000003E-10</v>
      </c>
      <c r="U13" s="132"/>
    </row>
    <row r="14" spans="2:51">
      <c r="C14" s="133" t="s">
        <v>2509</v>
      </c>
      <c r="D14" s="133"/>
      <c r="E14" s="134" t="b">
        <f>IF(主頁!I5="是",TRUE,IF(主頁!I5="否",FALSE))</f>
        <v>1</v>
      </c>
      <c r="F14" s="134"/>
      <c r="G14" s="132"/>
      <c r="I14" s="132"/>
      <c r="J14" s="135" t="s">
        <v>267</v>
      </c>
      <c r="K14" s="132" t="str">
        <f>IF(OR(K2="請選擇等級",K2=FALSE,K2=0),"無",K2)</f>
        <v>無</v>
      </c>
      <c r="L14" s="132" t="str">
        <f t="shared" ref="L14:T14" si="8">IF(OR(L2="請選擇等級",L2=FALSE,L2=0),"無",L2)</f>
        <v>無</v>
      </c>
      <c r="M14" s="132" t="str">
        <f t="shared" si="8"/>
        <v>無</v>
      </c>
      <c r="N14" s="132" t="str">
        <f>IF(OR(N2="請選擇等級",N2=FALSE,N2=0),"無",N2)</f>
        <v>無</v>
      </c>
      <c r="O14" s="132" t="str">
        <f t="shared" si="8"/>
        <v>無</v>
      </c>
      <c r="P14" s="132" t="str">
        <f t="shared" si="8"/>
        <v>無</v>
      </c>
      <c r="Q14" s="132" t="str">
        <f t="shared" si="8"/>
        <v>無</v>
      </c>
      <c r="R14" s="132" t="str">
        <f t="shared" si="8"/>
        <v>無</v>
      </c>
      <c r="S14" s="132" t="str">
        <f t="shared" si="8"/>
        <v>無</v>
      </c>
      <c r="T14" s="132" t="str">
        <f t="shared" si="8"/>
        <v>無</v>
      </c>
      <c r="U14" s="132"/>
      <c r="W14" s="119" t="s">
        <v>268</v>
      </c>
    </row>
    <row r="15" spans="2:51">
      <c r="C15" s="133" t="s">
        <v>2508</v>
      </c>
      <c r="D15" s="133"/>
      <c r="E15" s="137" t="b">
        <f>IF(主頁!D5="是",TRUE,IF(主頁!D5="否",FALSE))</f>
        <v>0</v>
      </c>
      <c r="F15" s="137"/>
      <c r="G15" s="132"/>
      <c r="H15" s="132"/>
      <c r="I15" s="132"/>
      <c r="J15" s="135" t="s">
        <v>269</v>
      </c>
      <c r="K15" s="132" t="b">
        <v>0</v>
      </c>
      <c r="L15" s="132" t="b">
        <v>0</v>
      </c>
      <c r="M15" s="132" t="b">
        <v>0</v>
      </c>
      <c r="N15" s="132" t="b">
        <v>0</v>
      </c>
      <c r="O15" s="132" t="b">
        <v>0</v>
      </c>
      <c r="P15" s="132" t="b">
        <v>0</v>
      </c>
      <c r="Q15" s="132" t="b">
        <f>IF(主頁!D36="是",TRUE,IF(主頁!D36="否",FALSE))</f>
        <v>0</v>
      </c>
      <c r="R15" s="132" t="b">
        <f>IF(主頁!D37="是",TRUE,IF(主頁!D37="否",FALSE))</f>
        <v>0</v>
      </c>
      <c r="S15" s="132" t="b">
        <f>IF(主頁!D38="是",TRUE,IF(主頁!D38="否",FALSE))</f>
        <v>0</v>
      </c>
      <c r="T15" s="132" t="b">
        <v>0</v>
      </c>
      <c r="U15" s="132"/>
      <c r="W15" s="119" t="b">
        <f>OR(K15:T15)</f>
        <v>0</v>
      </c>
    </row>
    <row r="16" spans="2:51">
      <c r="D16" s="133"/>
      <c r="E16" s="134"/>
      <c r="F16" s="134"/>
      <c r="G16" s="132"/>
      <c r="H16" s="132"/>
      <c r="I16" s="132"/>
      <c r="J16" s="135"/>
      <c r="K16" s="132"/>
      <c r="L16" s="132"/>
      <c r="M16" s="132"/>
      <c r="N16" s="132"/>
      <c r="O16" s="132"/>
      <c r="P16" s="132"/>
      <c r="Q16" s="132"/>
      <c r="R16" s="132"/>
      <c r="S16" s="132"/>
      <c r="T16" s="132"/>
      <c r="U16" s="132"/>
      <c r="AY16" s="119" t="s">
        <v>270</v>
      </c>
    </row>
    <row r="17" spans="2:51">
      <c r="D17" s="133"/>
      <c r="E17" s="134"/>
      <c r="F17" s="134"/>
      <c r="G17" s="132"/>
      <c r="H17" s="132"/>
      <c r="I17" s="132"/>
      <c r="J17" s="135"/>
      <c r="K17" s="132"/>
      <c r="L17" s="132"/>
      <c r="M17" s="132"/>
      <c r="N17" s="132"/>
      <c r="O17" s="132"/>
      <c r="P17" s="132"/>
      <c r="Q17" s="132"/>
      <c r="R17" s="132"/>
      <c r="S17" s="132"/>
      <c r="T17" s="132"/>
    </row>
    <row r="18" spans="2:51">
      <c r="D18" s="133"/>
      <c r="E18" s="134"/>
      <c r="F18" s="134"/>
      <c r="G18" s="132"/>
      <c r="H18" s="132"/>
      <c r="I18" s="132"/>
      <c r="J18" s="135"/>
      <c r="K18" s="132"/>
      <c r="L18" s="132"/>
      <c r="M18" s="132"/>
      <c r="N18" s="132"/>
      <c r="O18" s="132"/>
      <c r="P18" s="132"/>
      <c r="Q18" s="132"/>
      <c r="R18" s="132"/>
      <c r="S18" s="132"/>
      <c r="T18" s="132"/>
      <c r="U18" s="132"/>
    </row>
    <row r="19" spans="2:51">
      <c r="D19" s="133"/>
      <c r="E19" s="137"/>
      <c r="F19" s="137"/>
      <c r="G19" s="132"/>
      <c r="H19" s="132"/>
      <c r="I19" s="132"/>
      <c r="J19" s="135"/>
      <c r="K19" s="132"/>
      <c r="L19" s="132"/>
      <c r="M19" s="132"/>
      <c r="N19" s="132"/>
      <c r="O19" s="132"/>
      <c r="P19" s="132"/>
      <c r="Q19" s="132"/>
      <c r="R19" s="132"/>
      <c r="S19" s="132"/>
      <c r="T19" s="132"/>
      <c r="U19" s="132"/>
      <c r="AY19" s="119" t="s">
        <v>271</v>
      </c>
    </row>
    <row r="20" spans="2:51">
      <c r="E20" s="119"/>
      <c r="F20" s="119"/>
      <c r="G20" s="132"/>
      <c r="H20" s="132"/>
      <c r="I20" s="132"/>
      <c r="J20" s="135"/>
      <c r="K20" s="132"/>
      <c r="L20" s="132"/>
      <c r="M20" s="132"/>
      <c r="N20" s="132"/>
      <c r="O20" s="132"/>
      <c r="P20" s="132"/>
      <c r="Q20" s="132"/>
      <c r="R20" s="132"/>
      <c r="S20" s="132"/>
      <c r="T20" s="132"/>
      <c r="U20" s="132"/>
    </row>
    <row r="21" spans="2:51">
      <c r="C21" s="133"/>
      <c r="D21" s="133"/>
      <c r="J21" s="133"/>
    </row>
    <row r="22" spans="2:51">
      <c r="B22" s="119" t="s">
        <v>272</v>
      </c>
      <c r="J22" s="119" t="s">
        <v>273</v>
      </c>
      <c r="K22" s="133" t="s">
        <v>274</v>
      </c>
      <c r="L22" s="133" t="s">
        <v>275</v>
      </c>
      <c r="M22" s="133" t="s">
        <v>276</v>
      </c>
      <c r="N22" s="133" t="s">
        <v>277</v>
      </c>
      <c r="O22" s="133" t="s">
        <v>278</v>
      </c>
      <c r="P22" s="133" t="s">
        <v>279</v>
      </c>
      <c r="Q22" s="133" t="s">
        <v>280</v>
      </c>
      <c r="R22" s="133" t="s">
        <v>281</v>
      </c>
      <c r="S22" s="133" t="s">
        <v>282</v>
      </c>
      <c r="T22" s="133" t="s">
        <v>283</v>
      </c>
      <c r="V22" s="119" t="str">
        <f t="shared" ref="V22:AE22" si="9">K1</f>
        <v>中國語文</v>
      </c>
      <c r="W22" s="119" t="str">
        <f t="shared" si="9"/>
        <v>英國語文</v>
      </c>
      <c r="X22" s="119" t="str">
        <f t="shared" si="9"/>
        <v>數學</v>
      </c>
      <c r="Y22" s="119" t="str">
        <f t="shared" si="9"/>
        <v>通識教育</v>
      </c>
      <c r="Z22" s="119" t="str">
        <f t="shared" si="9"/>
        <v>數學延伸</v>
      </c>
      <c r="AA22" s="119" t="str">
        <f t="shared" si="9"/>
        <v>請選擇第一選修科</v>
      </c>
      <c r="AB22" s="119" t="str">
        <f t="shared" si="9"/>
        <v>請選擇第二選修科</v>
      </c>
      <c r="AC22" s="119" t="str">
        <f t="shared" si="9"/>
        <v>請選擇第三選修科</v>
      </c>
      <c r="AD22" s="119" t="str">
        <f t="shared" si="9"/>
        <v>請選擇第四選修科</v>
      </c>
      <c r="AE22" s="119" t="str">
        <f t="shared" si="9"/>
        <v>請選擇語言科目</v>
      </c>
      <c r="AF22" s="119" t="s">
        <v>284</v>
      </c>
      <c r="AG22" s="119" t="s">
        <v>285</v>
      </c>
      <c r="AH22" s="119" t="s">
        <v>286</v>
      </c>
      <c r="AI22" s="119" t="s">
        <v>287</v>
      </c>
      <c r="AJ22" s="119" t="s">
        <v>288</v>
      </c>
      <c r="AK22" s="119" t="s">
        <v>289</v>
      </c>
      <c r="AL22" s="119" t="s">
        <v>290</v>
      </c>
      <c r="AM22" s="119" t="s">
        <v>291</v>
      </c>
      <c r="AN22" s="119" t="s">
        <v>292</v>
      </c>
      <c r="AO22" s="119" t="s">
        <v>293</v>
      </c>
    </row>
    <row r="23" spans="2:51">
      <c r="J23" s="119">
        <f t="shared" ref="J23:AO23" si="10">IFERROR(INDEX(J$36:J$498,MATCH($B24,$B$36:$B$498,0)),"")</f>
        <v>4.1000000000000003E-9</v>
      </c>
      <c r="K23" s="119">
        <f t="shared" si="10"/>
        <v>1</v>
      </c>
      <c r="L23" s="119">
        <f t="shared" si="10"/>
        <v>1</v>
      </c>
      <c r="M23" s="119">
        <f t="shared" si="10"/>
        <v>1.5</v>
      </c>
      <c r="N23" s="119">
        <f t="shared" si="10"/>
        <v>0</v>
      </c>
      <c r="O23" s="119">
        <f t="shared" si="10"/>
        <v>1.5</v>
      </c>
      <c r="P23" s="119">
        <f t="shared" si="10"/>
        <v>1</v>
      </c>
      <c r="Q23" s="119">
        <f t="shared" si="10"/>
        <v>1</v>
      </c>
      <c r="R23" s="119">
        <f t="shared" si="10"/>
        <v>1</v>
      </c>
      <c r="S23" s="119">
        <f t="shared" si="10"/>
        <v>1</v>
      </c>
      <c r="T23" s="119">
        <f t="shared" si="10"/>
        <v>1</v>
      </c>
      <c r="U23" s="119">
        <f t="shared" si="10"/>
        <v>0</v>
      </c>
      <c r="V23" s="119">
        <f t="shared" si="10"/>
        <v>4.0000000000000001E-10</v>
      </c>
      <c r="W23" s="119">
        <f t="shared" si="10"/>
        <v>2.0000000000000001E-10</v>
      </c>
      <c r="X23" s="119">
        <f t="shared" si="10"/>
        <v>4.5E-10</v>
      </c>
      <c r="Y23" s="119">
        <f t="shared" si="10"/>
        <v>0</v>
      </c>
      <c r="Z23" s="119">
        <f t="shared" si="10"/>
        <v>7.500000000000001E-10</v>
      </c>
      <c r="AA23" s="119">
        <f t="shared" si="10"/>
        <v>6E-10</v>
      </c>
      <c r="AB23" s="119">
        <f t="shared" si="10"/>
        <v>6.9999999999999996E-10</v>
      </c>
      <c r="AC23" s="119">
        <f t="shared" si="10"/>
        <v>8.0000000000000003E-10</v>
      </c>
      <c r="AD23" s="119">
        <f t="shared" si="10"/>
        <v>8.9999999999999999E-10</v>
      </c>
      <c r="AE23" s="119">
        <f t="shared" si="10"/>
        <v>9.5000000000000003E-10</v>
      </c>
      <c r="AF23" s="119" t="b">
        <f t="shared" si="10"/>
        <v>0</v>
      </c>
      <c r="AG23" s="119" t="b">
        <f t="shared" si="10"/>
        <v>0</v>
      </c>
      <c r="AH23" s="119" t="b">
        <f t="shared" si="10"/>
        <v>0</v>
      </c>
      <c r="AI23" s="119" t="b">
        <f t="shared" si="10"/>
        <v>0</v>
      </c>
      <c r="AJ23" s="119" t="b">
        <f t="shared" si="10"/>
        <v>1</v>
      </c>
      <c r="AK23" s="119" t="b">
        <f t="shared" si="10"/>
        <v>0</v>
      </c>
      <c r="AL23" s="119" t="b">
        <f t="shared" si="10"/>
        <v>1</v>
      </c>
      <c r="AM23" s="119" t="b">
        <f t="shared" si="10"/>
        <v>1</v>
      </c>
      <c r="AN23" s="119" t="b">
        <f t="shared" si="10"/>
        <v>1</v>
      </c>
      <c r="AO23" s="119" t="b">
        <f t="shared" si="10"/>
        <v>1</v>
      </c>
    </row>
    <row r="24" spans="2:51">
      <c r="B24" s="119" t="str">
        <f>'All in One'!C8</f>
        <v>JS4458</v>
      </c>
      <c r="C24" s="119" t="str">
        <f>'All in One'!E8</f>
        <v>CUHK</v>
      </c>
      <c r="J24" s="119">
        <f>IFERROR(ROUND(J23,2),"")</f>
        <v>0</v>
      </c>
      <c r="K24" s="119">
        <f t="shared" ref="K24" si="11">IFERROR(ROUND(K23,2),"")</f>
        <v>1</v>
      </c>
      <c r="L24" s="119">
        <f t="shared" ref="L24" si="12">IFERROR(ROUND(L23,2),"")</f>
        <v>1</v>
      </c>
      <c r="M24" s="119">
        <f t="shared" ref="M24" si="13">IFERROR(ROUND(M23,2),"")</f>
        <v>1.5</v>
      </c>
      <c r="N24" s="119">
        <f t="shared" ref="N24" si="14">IFERROR(ROUND(N23,2),"")</f>
        <v>0</v>
      </c>
      <c r="O24" s="119">
        <f t="shared" ref="O24" si="15">IFERROR(ROUND(O23,2),"")</f>
        <v>1.5</v>
      </c>
      <c r="P24" s="119">
        <f t="shared" ref="P24" si="16">IFERROR(ROUND(P23,2),"")</f>
        <v>1</v>
      </c>
      <c r="Q24" s="119">
        <f t="shared" ref="Q24" si="17">IFERROR(ROUND(Q23,2),"")</f>
        <v>1</v>
      </c>
      <c r="R24" s="119">
        <f t="shared" ref="R24" si="18">IFERROR(ROUND(R23,2),"")</f>
        <v>1</v>
      </c>
      <c r="S24" s="119">
        <f t="shared" ref="S24" si="19">IFERROR(ROUND(S23,2),"")</f>
        <v>1</v>
      </c>
      <c r="T24" s="119">
        <f t="shared" ref="T24" si="20">IFERROR(ROUND(T23,2),"")</f>
        <v>1</v>
      </c>
      <c r="U24" s="119">
        <f t="shared" ref="U24" si="21">IFERROR(ROUND(U23,2),"")</f>
        <v>0</v>
      </c>
      <c r="V24" s="119">
        <f t="shared" ref="V24" si="22">IFERROR(ROUND(V23,2),"")</f>
        <v>0</v>
      </c>
      <c r="W24" s="119">
        <f t="shared" ref="W24" si="23">IFERROR(ROUND(W23,2),"")</f>
        <v>0</v>
      </c>
      <c r="X24" s="119">
        <f t="shared" ref="X24" si="24">IFERROR(ROUND(X23,2),"")</f>
        <v>0</v>
      </c>
      <c r="Y24" s="119">
        <f t="shared" ref="Y24" si="25">IFERROR(ROUND(Y23,2),"")</f>
        <v>0</v>
      </c>
      <c r="Z24" s="119">
        <f t="shared" ref="Z24" si="26">IFERROR(ROUND(Z23,2),"")</f>
        <v>0</v>
      </c>
      <c r="AA24" s="119">
        <f t="shared" ref="AA24" si="27">IFERROR(ROUND(AA23,2),"")</f>
        <v>0</v>
      </c>
      <c r="AB24" s="119">
        <f t="shared" ref="AB24" si="28">IFERROR(ROUND(AB23,2),"")</f>
        <v>0</v>
      </c>
      <c r="AC24" s="119">
        <f t="shared" ref="AC24" si="29">IFERROR(ROUND(AC23,2),"")</f>
        <v>0</v>
      </c>
      <c r="AD24" s="119">
        <f t="shared" ref="AD24" si="30">IFERROR(ROUND(AD23,2),"")</f>
        <v>0</v>
      </c>
      <c r="AE24" s="119">
        <f t="shared" ref="AE24" si="31">IFERROR(ROUND(AE23,2),"")</f>
        <v>0</v>
      </c>
      <c r="AF24" s="119">
        <f t="shared" ref="AF24" si="32">IFERROR(ROUND(AF23,2),"")</f>
        <v>0</v>
      </c>
      <c r="AG24" s="119">
        <f t="shared" ref="AG24" si="33">IFERROR(ROUND(AG23,2),"")</f>
        <v>0</v>
      </c>
      <c r="AH24" s="119">
        <f t="shared" ref="AH24" si="34">IFERROR(ROUND(AH23,2),"")</f>
        <v>0</v>
      </c>
      <c r="AI24" s="119">
        <f t="shared" ref="AI24" si="35">IFERROR(ROUND(AI23,2),"")</f>
        <v>0</v>
      </c>
      <c r="AJ24" s="119">
        <f t="shared" ref="AJ24" si="36">IFERROR(ROUND(AJ23,2),"")</f>
        <v>1</v>
      </c>
      <c r="AK24" s="119">
        <f t="shared" ref="AK24" si="37">IFERROR(ROUND(AK23,2),"")</f>
        <v>0</v>
      </c>
      <c r="AL24" s="119">
        <f t="shared" ref="AL24" si="38">IFERROR(ROUND(AL23,2),"")</f>
        <v>1</v>
      </c>
      <c r="AM24" s="119">
        <f t="shared" ref="AM24" si="39">IFERROR(ROUND(AM23,2),"")</f>
        <v>1</v>
      </c>
      <c r="AN24" s="119">
        <f t="shared" ref="AN24" si="40">IFERROR(ROUND(AN23,2),"")</f>
        <v>1</v>
      </c>
      <c r="AO24" s="119">
        <f t="shared" ref="AO24" si="41">IFERROR(ROUND(AO23,2),"")</f>
        <v>1</v>
      </c>
    </row>
    <row r="25" spans="2:51">
      <c r="I25" s="119">
        <v>2</v>
      </c>
      <c r="J25" s="119" t="str">
        <f t="shared" ref="J25:AO25" si="42">IFERROR(INDEX(J$36:J$498,MATCH($B26,$B$36:$B$498,0)),"")</f>
        <v/>
      </c>
      <c r="K25" s="119" t="str">
        <f t="shared" si="42"/>
        <v/>
      </c>
      <c r="L25" s="119" t="str">
        <f t="shared" si="42"/>
        <v/>
      </c>
      <c r="M25" s="119" t="str">
        <f t="shared" si="42"/>
        <v/>
      </c>
      <c r="N25" s="119" t="str">
        <f t="shared" si="42"/>
        <v/>
      </c>
      <c r="O25" s="119" t="str">
        <f t="shared" si="42"/>
        <v/>
      </c>
      <c r="P25" s="119" t="str">
        <f t="shared" si="42"/>
        <v/>
      </c>
      <c r="Q25" s="119" t="str">
        <f t="shared" si="42"/>
        <v/>
      </c>
      <c r="R25" s="119" t="str">
        <f t="shared" si="42"/>
        <v/>
      </c>
      <c r="S25" s="119" t="str">
        <f t="shared" si="42"/>
        <v/>
      </c>
      <c r="T25" s="119" t="str">
        <f t="shared" si="42"/>
        <v/>
      </c>
      <c r="U25" s="119" t="str">
        <f t="shared" si="42"/>
        <v/>
      </c>
      <c r="V25" s="119" t="str">
        <f t="shared" si="42"/>
        <v/>
      </c>
      <c r="W25" s="119" t="str">
        <f t="shared" si="42"/>
        <v/>
      </c>
      <c r="X25" s="119" t="str">
        <f t="shared" si="42"/>
        <v/>
      </c>
      <c r="Y25" s="119" t="str">
        <f t="shared" si="42"/>
        <v/>
      </c>
      <c r="Z25" s="119" t="str">
        <f t="shared" si="42"/>
        <v/>
      </c>
      <c r="AA25" s="119" t="str">
        <f t="shared" si="42"/>
        <v/>
      </c>
      <c r="AB25" s="119" t="str">
        <f t="shared" si="42"/>
        <v/>
      </c>
      <c r="AC25" s="119" t="str">
        <f t="shared" si="42"/>
        <v/>
      </c>
      <c r="AD25" s="119" t="str">
        <f t="shared" si="42"/>
        <v/>
      </c>
      <c r="AE25" s="119" t="str">
        <f t="shared" si="42"/>
        <v/>
      </c>
      <c r="AF25" s="119" t="str">
        <f t="shared" si="42"/>
        <v/>
      </c>
      <c r="AG25" s="119" t="str">
        <f t="shared" si="42"/>
        <v/>
      </c>
      <c r="AH25" s="119" t="str">
        <f t="shared" si="42"/>
        <v/>
      </c>
      <c r="AI25" s="119" t="str">
        <f t="shared" si="42"/>
        <v/>
      </c>
      <c r="AJ25" s="119" t="str">
        <f t="shared" si="42"/>
        <v/>
      </c>
      <c r="AK25" s="119" t="str">
        <f t="shared" si="42"/>
        <v/>
      </c>
      <c r="AL25" s="119" t="str">
        <f t="shared" si="42"/>
        <v/>
      </c>
      <c r="AM25" s="119" t="str">
        <f t="shared" si="42"/>
        <v/>
      </c>
      <c r="AN25" s="119" t="str">
        <f t="shared" si="42"/>
        <v/>
      </c>
      <c r="AO25" s="119" t="str">
        <f t="shared" si="42"/>
        <v/>
      </c>
    </row>
    <row r="26" spans="2:51">
      <c r="B26" s="119" t="str">
        <f>_xlfn.CONCAT(B24,"-2")</f>
        <v>JS4458-2</v>
      </c>
      <c r="J26" s="119" t="str">
        <f>IFERROR(ROUND(J25,2),"")</f>
        <v/>
      </c>
      <c r="K26" s="119" t="str">
        <f t="shared" ref="K26:AO26" si="43">IFERROR(ROUND(K25,2),"")</f>
        <v/>
      </c>
      <c r="L26" s="119" t="str">
        <f t="shared" si="43"/>
        <v/>
      </c>
      <c r="M26" s="119" t="str">
        <f t="shared" si="43"/>
        <v/>
      </c>
      <c r="N26" s="119" t="str">
        <f t="shared" si="43"/>
        <v/>
      </c>
      <c r="O26" s="119" t="str">
        <f t="shared" si="43"/>
        <v/>
      </c>
      <c r="P26" s="119" t="str">
        <f t="shared" si="43"/>
        <v/>
      </c>
      <c r="Q26" s="119" t="str">
        <f t="shared" si="43"/>
        <v/>
      </c>
      <c r="R26" s="119" t="str">
        <f t="shared" si="43"/>
        <v/>
      </c>
      <c r="S26" s="119" t="str">
        <f t="shared" si="43"/>
        <v/>
      </c>
      <c r="T26" s="119" t="str">
        <f t="shared" si="43"/>
        <v/>
      </c>
      <c r="U26" s="119" t="str">
        <f t="shared" si="43"/>
        <v/>
      </c>
      <c r="V26" s="119" t="str">
        <f t="shared" si="43"/>
        <v/>
      </c>
      <c r="W26" s="119" t="str">
        <f t="shared" si="43"/>
        <v/>
      </c>
      <c r="X26" s="119" t="str">
        <f t="shared" si="43"/>
        <v/>
      </c>
      <c r="Y26" s="119" t="str">
        <f t="shared" si="43"/>
        <v/>
      </c>
      <c r="Z26" s="119" t="str">
        <f t="shared" si="43"/>
        <v/>
      </c>
      <c r="AA26" s="119" t="str">
        <f t="shared" si="43"/>
        <v/>
      </c>
      <c r="AB26" s="119" t="str">
        <f t="shared" si="43"/>
        <v/>
      </c>
      <c r="AC26" s="119" t="str">
        <f t="shared" si="43"/>
        <v/>
      </c>
      <c r="AD26" s="119" t="str">
        <f t="shared" si="43"/>
        <v/>
      </c>
      <c r="AE26" s="119" t="str">
        <f t="shared" si="43"/>
        <v/>
      </c>
      <c r="AF26" s="119" t="str">
        <f t="shared" si="43"/>
        <v/>
      </c>
      <c r="AG26" s="119" t="str">
        <f t="shared" si="43"/>
        <v/>
      </c>
      <c r="AH26" s="119" t="str">
        <f t="shared" si="43"/>
        <v/>
      </c>
      <c r="AI26" s="119" t="str">
        <f t="shared" si="43"/>
        <v/>
      </c>
      <c r="AJ26" s="119" t="str">
        <f t="shared" si="43"/>
        <v/>
      </c>
      <c r="AK26" s="119" t="str">
        <f t="shared" si="43"/>
        <v/>
      </c>
      <c r="AL26" s="119" t="str">
        <f t="shared" si="43"/>
        <v/>
      </c>
      <c r="AM26" s="119" t="str">
        <f t="shared" si="43"/>
        <v/>
      </c>
      <c r="AN26" s="119" t="str">
        <f t="shared" si="43"/>
        <v/>
      </c>
      <c r="AO26" s="119" t="str">
        <f t="shared" si="43"/>
        <v/>
      </c>
    </row>
    <row r="27" spans="2:51">
      <c r="I27" s="119">
        <v>3</v>
      </c>
      <c r="J27" s="119" t="str">
        <f t="shared" ref="J27:AO27" si="44">IFERROR(INDEX(J$36:J$498,MATCH($B28,$B$36:$B$498,0)),"")</f>
        <v/>
      </c>
      <c r="K27" s="119" t="str">
        <f t="shared" si="44"/>
        <v/>
      </c>
      <c r="L27" s="119" t="str">
        <f t="shared" si="44"/>
        <v/>
      </c>
      <c r="M27" s="119" t="str">
        <f t="shared" si="44"/>
        <v/>
      </c>
      <c r="N27" s="119" t="str">
        <f t="shared" si="44"/>
        <v/>
      </c>
      <c r="O27" s="119" t="str">
        <f t="shared" si="44"/>
        <v/>
      </c>
      <c r="P27" s="119" t="str">
        <f t="shared" si="44"/>
        <v/>
      </c>
      <c r="Q27" s="119" t="str">
        <f t="shared" si="44"/>
        <v/>
      </c>
      <c r="R27" s="119" t="str">
        <f t="shared" si="44"/>
        <v/>
      </c>
      <c r="S27" s="119" t="str">
        <f t="shared" si="44"/>
        <v/>
      </c>
      <c r="T27" s="119" t="str">
        <f t="shared" si="44"/>
        <v/>
      </c>
      <c r="U27" s="119" t="str">
        <f t="shared" si="44"/>
        <v/>
      </c>
      <c r="V27" s="119" t="str">
        <f t="shared" si="44"/>
        <v/>
      </c>
      <c r="W27" s="119" t="str">
        <f t="shared" si="44"/>
        <v/>
      </c>
      <c r="X27" s="119" t="str">
        <f t="shared" si="44"/>
        <v/>
      </c>
      <c r="Y27" s="119" t="str">
        <f t="shared" si="44"/>
        <v/>
      </c>
      <c r="Z27" s="119" t="str">
        <f t="shared" si="44"/>
        <v/>
      </c>
      <c r="AA27" s="119" t="str">
        <f t="shared" si="44"/>
        <v/>
      </c>
      <c r="AB27" s="119" t="str">
        <f t="shared" si="44"/>
        <v/>
      </c>
      <c r="AC27" s="119" t="str">
        <f t="shared" si="44"/>
        <v/>
      </c>
      <c r="AD27" s="119" t="str">
        <f t="shared" si="44"/>
        <v/>
      </c>
      <c r="AE27" s="119" t="str">
        <f t="shared" si="44"/>
        <v/>
      </c>
      <c r="AF27" s="119" t="str">
        <f t="shared" si="44"/>
        <v/>
      </c>
      <c r="AG27" s="119" t="str">
        <f t="shared" si="44"/>
        <v/>
      </c>
      <c r="AH27" s="119" t="str">
        <f t="shared" si="44"/>
        <v/>
      </c>
      <c r="AI27" s="119" t="str">
        <f t="shared" si="44"/>
        <v/>
      </c>
      <c r="AJ27" s="119" t="str">
        <f t="shared" si="44"/>
        <v/>
      </c>
      <c r="AK27" s="119" t="str">
        <f t="shared" si="44"/>
        <v/>
      </c>
      <c r="AL27" s="119" t="str">
        <f t="shared" si="44"/>
        <v/>
      </c>
      <c r="AM27" s="119" t="str">
        <f t="shared" si="44"/>
        <v/>
      </c>
      <c r="AN27" s="119" t="str">
        <f t="shared" si="44"/>
        <v/>
      </c>
      <c r="AO27" s="119" t="str">
        <f t="shared" si="44"/>
        <v/>
      </c>
    </row>
    <row r="28" spans="2:51">
      <c r="B28" s="119" t="str">
        <f>_xlfn.CONCAT(B24,"-3")</f>
        <v>JS4458-3</v>
      </c>
      <c r="J28" s="119" t="str">
        <f>IFERROR(ROUND(J27,2),"")</f>
        <v/>
      </c>
      <c r="K28" s="119" t="str">
        <f t="shared" ref="K28" si="45">IFERROR(ROUND(K27,2),"")</f>
        <v/>
      </c>
      <c r="L28" s="119" t="str">
        <f t="shared" ref="L28" si="46">IFERROR(ROUND(L27,2),"")</f>
        <v/>
      </c>
      <c r="M28" s="119" t="str">
        <f t="shared" ref="M28" si="47">IFERROR(ROUND(M27,2),"")</f>
        <v/>
      </c>
      <c r="N28" s="119" t="str">
        <f t="shared" ref="N28" si="48">IFERROR(ROUND(N27,2),"")</f>
        <v/>
      </c>
      <c r="O28" s="119" t="str">
        <f t="shared" ref="O28" si="49">IFERROR(ROUND(O27,2),"")</f>
        <v/>
      </c>
      <c r="P28" s="119" t="str">
        <f t="shared" ref="P28" si="50">IFERROR(ROUND(P27,2),"")</f>
        <v/>
      </c>
      <c r="Q28" s="119" t="str">
        <f t="shared" ref="Q28" si="51">IFERROR(ROUND(Q27,2),"")</f>
        <v/>
      </c>
      <c r="R28" s="119" t="str">
        <f t="shared" ref="R28" si="52">IFERROR(ROUND(R27,2),"")</f>
        <v/>
      </c>
      <c r="S28" s="119" t="str">
        <f t="shared" ref="S28" si="53">IFERROR(ROUND(S27,2),"")</f>
        <v/>
      </c>
      <c r="T28" s="119" t="str">
        <f t="shared" ref="T28" si="54">IFERROR(ROUND(T27,2),"")</f>
        <v/>
      </c>
      <c r="U28" s="119" t="str">
        <f t="shared" ref="U28" si="55">IFERROR(ROUND(U27,2),"")</f>
        <v/>
      </c>
      <c r="V28" s="119" t="str">
        <f t="shared" ref="V28" si="56">IFERROR(ROUND(V27,2),"")</f>
        <v/>
      </c>
      <c r="W28" s="119" t="str">
        <f t="shared" ref="W28" si="57">IFERROR(ROUND(W27,2),"")</f>
        <v/>
      </c>
      <c r="X28" s="119" t="str">
        <f t="shared" ref="X28" si="58">IFERROR(ROUND(X27,2),"")</f>
        <v/>
      </c>
      <c r="Y28" s="119" t="str">
        <f t="shared" ref="Y28" si="59">IFERROR(ROUND(Y27,2),"")</f>
        <v/>
      </c>
      <c r="Z28" s="119" t="str">
        <f t="shared" ref="Z28" si="60">IFERROR(ROUND(Z27,2),"")</f>
        <v/>
      </c>
      <c r="AA28" s="119" t="str">
        <f t="shared" ref="AA28" si="61">IFERROR(ROUND(AA27,2),"")</f>
        <v/>
      </c>
      <c r="AB28" s="119" t="str">
        <f t="shared" ref="AB28" si="62">IFERROR(ROUND(AB27,2),"")</f>
        <v/>
      </c>
      <c r="AC28" s="119" t="str">
        <f t="shared" ref="AC28" si="63">IFERROR(ROUND(AC27,2),"")</f>
        <v/>
      </c>
      <c r="AD28" s="119" t="str">
        <f t="shared" ref="AD28" si="64">IFERROR(ROUND(AD27,2),"")</f>
        <v/>
      </c>
      <c r="AE28" s="119" t="str">
        <f t="shared" ref="AE28" si="65">IFERROR(ROUND(AE27,2),"")</f>
        <v/>
      </c>
      <c r="AF28" s="119" t="str">
        <f t="shared" ref="AF28" si="66">IFERROR(ROUND(AF27,2),"")</f>
        <v/>
      </c>
      <c r="AG28" s="119" t="str">
        <f t="shared" ref="AG28" si="67">IFERROR(ROUND(AG27,2),"")</f>
        <v/>
      </c>
      <c r="AH28" s="119" t="str">
        <f t="shared" ref="AH28" si="68">IFERROR(ROUND(AH27,2),"")</f>
        <v/>
      </c>
      <c r="AI28" s="119" t="str">
        <f t="shared" ref="AI28" si="69">IFERROR(ROUND(AI27,2),"")</f>
        <v/>
      </c>
      <c r="AJ28" s="119" t="str">
        <f t="shared" ref="AJ28" si="70">IFERROR(ROUND(AJ27,2),"")</f>
        <v/>
      </c>
      <c r="AK28" s="119" t="str">
        <f t="shared" ref="AK28" si="71">IFERROR(ROUND(AK27,2),"")</f>
        <v/>
      </c>
      <c r="AL28" s="119" t="str">
        <f t="shared" ref="AL28" si="72">IFERROR(ROUND(AL27,2),"")</f>
        <v/>
      </c>
      <c r="AM28" s="119" t="str">
        <f t="shared" ref="AM28" si="73">IFERROR(ROUND(AM27,2),"")</f>
        <v/>
      </c>
      <c r="AN28" s="119" t="str">
        <f t="shared" ref="AN28" si="74">IFERROR(ROUND(AN27,2),"")</f>
        <v/>
      </c>
      <c r="AO28" s="119" t="str">
        <f t="shared" ref="AO28" si="75">IFERROR(ROUND(AO27,2),"")</f>
        <v/>
      </c>
    </row>
    <row r="29" spans="2:51">
      <c r="P29" s="137"/>
      <c r="Q29" s="137"/>
    </row>
    <row r="30" spans="2:51">
      <c r="J30" s="119" t="s">
        <v>248</v>
      </c>
      <c r="K30" s="143">
        <f t="shared" ref="K30:T30" si="76">IFERROR(IF(OR($B$24="JS4501",$B$24="JS4502"),K13,INDEX(K3:K11,MATCH($C$24,$J3:$J11,0))),K13)</f>
        <v>4.0000000000000001E-10</v>
      </c>
      <c r="L30" s="143">
        <f t="shared" si="76"/>
        <v>2.0000000000000001E-10</v>
      </c>
      <c r="M30" s="143">
        <f t="shared" si="76"/>
        <v>3E-10</v>
      </c>
      <c r="N30" s="143">
        <f t="shared" si="76"/>
        <v>0</v>
      </c>
      <c r="O30" s="143">
        <f t="shared" si="76"/>
        <v>5.0000000000000003E-10</v>
      </c>
      <c r="P30" s="143">
        <f t="shared" si="76"/>
        <v>6E-10</v>
      </c>
      <c r="Q30" s="143">
        <f t="shared" si="76"/>
        <v>6.9999999999999996E-10</v>
      </c>
      <c r="R30" s="143">
        <f t="shared" si="76"/>
        <v>8.0000000000000003E-10</v>
      </c>
      <c r="S30" s="143">
        <f t="shared" si="76"/>
        <v>8.9999999999999999E-10</v>
      </c>
      <c r="T30" s="143">
        <f t="shared" si="76"/>
        <v>9.5000000000000003E-10</v>
      </c>
    </row>
    <row r="31" spans="2:51">
      <c r="K31" s="119">
        <f t="shared" ref="K31:T31" si="77">ROUND(K30,2)</f>
        <v>0</v>
      </c>
      <c r="L31" s="119">
        <f t="shared" si="77"/>
        <v>0</v>
      </c>
      <c r="M31" s="119">
        <f t="shared" si="77"/>
        <v>0</v>
      </c>
      <c r="N31" s="119">
        <f t="shared" si="77"/>
        <v>0</v>
      </c>
      <c r="O31" s="119">
        <f t="shared" si="77"/>
        <v>0</v>
      </c>
      <c r="P31" s="119">
        <f t="shared" si="77"/>
        <v>0</v>
      </c>
      <c r="Q31" s="119">
        <f t="shared" si="77"/>
        <v>0</v>
      </c>
      <c r="R31" s="119">
        <f t="shared" si="77"/>
        <v>0</v>
      </c>
      <c r="S31" s="119">
        <f t="shared" si="77"/>
        <v>0</v>
      </c>
      <c r="T31" s="119">
        <f t="shared" si="77"/>
        <v>0</v>
      </c>
    </row>
    <row r="32" spans="2:51">
      <c r="J32" s="133"/>
    </row>
    <row r="33" spans="1:57">
      <c r="J33" s="133"/>
      <c r="L33" s="133"/>
      <c r="P33" s="137"/>
      <c r="AF33" s="232" t="s">
        <v>294</v>
      </c>
    </row>
    <row r="34" spans="1:57">
      <c r="A34" s="231" t="s">
        <v>295</v>
      </c>
      <c r="B34" s="138"/>
      <c r="C34" s="138"/>
      <c r="D34" s="158"/>
      <c r="E34" s="139"/>
      <c r="F34" s="139"/>
      <c r="G34" s="138"/>
      <c r="H34" s="138"/>
      <c r="I34" s="138"/>
      <c r="J34" s="138"/>
      <c r="K34" s="138"/>
      <c r="L34" s="138"/>
      <c r="M34" s="138"/>
      <c r="N34" s="138"/>
      <c r="O34" s="138"/>
      <c r="P34" s="138"/>
      <c r="Q34" s="138"/>
      <c r="R34" s="138"/>
      <c r="S34" s="138"/>
      <c r="T34" s="138"/>
      <c r="U34" s="138"/>
    </row>
    <row r="35" spans="1:57">
      <c r="A35" s="232" t="s">
        <v>296</v>
      </c>
      <c r="B35" s="154" t="s">
        <v>249</v>
      </c>
      <c r="C35" s="140"/>
      <c r="D35" s="140"/>
      <c r="E35" s="141"/>
      <c r="F35" s="456"/>
      <c r="G35" s="19" t="s">
        <v>297</v>
      </c>
      <c r="H35" s="19" t="s">
        <v>298</v>
      </c>
      <c r="I35" s="19" t="s">
        <v>299</v>
      </c>
      <c r="J35" s="133" t="s">
        <v>273</v>
      </c>
      <c r="K35" s="133" t="s">
        <v>274</v>
      </c>
      <c r="L35" s="133" t="s">
        <v>275</v>
      </c>
      <c r="M35" s="133" t="s">
        <v>276</v>
      </c>
      <c r="N35" s="133" t="s">
        <v>277</v>
      </c>
      <c r="O35" s="133" t="s">
        <v>278</v>
      </c>
      <c r="P35" s="133" t="s">
        <v>279</v>
      </c>
      <c r="Q35" s="133" t="s">
        <v>280</v>
      </c>
      <c r="R35" s="133" t="s">
        <v>281</v>
      </c>
      <c r="S35" s="133" t="s">
        <v>282</v>
      </c>
      <c r="T35" s="133" t="s">
        <v>283</v>
      </c>
      <c r="U35" s="133"/>
      <c r="V35" s="133" t="str">
        <f t="shared" ref="V35:AE35" si="78">K1</f>
        <v>中國語文</v>
      </c>
      <c r="W35" s="133" t="str">
        <f t="shared" si="78"/>
        <v>英國語文</v>
      </c>
      <c r="X35" s="133" t="str">
        <f t="shared" si="78"/>
        <v>數學</v>
      </c>
      <c r="Y35" s="133" t="str">
        <f t="shared" si="78"/>
        <v>通識教育</v>
      </c>
      <c r="Z35" s="133" t="str">
        <f t="shared" si="78"/>
        <v>數學延伸</v>
      </c>
      <c r="AA35" s="133" t="str">
        <f t="shared" si="78"/>
        <v>請選擇第一選修科</v>
      </c>
      <c r="AB35" s="133" t="str">
        <f t="shared" si="78"/>
        <v>請選擇第二選修科</v>
      </c>
      <c r="AC35" s="133" t="str">
        <f t="shared" si="78"/>
        <v>請選擇第三選修科</v>
      </c>
      <c r="AD35" s="133" t="str">
        <f t="shared" si="78"/>
        <v>請選擇第四選修科</v>
      </c>
      <c r="AE35" s="133" t="str">
        <f t="shared" si="78"/>
        <v>請選擇語言科目</v>
      </c>
      <c r="AF35" s="133" t="s">
        <v>284</v>
      </c>
      <c r="AG35" s="133" t="s">
        <v>285</v>
      </c>
      <c r="AH35" s="133" t="s">
        <v>286</v>
      </c>
      <c r="AI35" s="133" t="s">
        <v>287</v>
      </c>
      <c r="AJ35" s="133" t="s">
        <v>288</v>
      </c>
      <c r="AK35" s="133" t="s">
        <v>289</v>
      </c>
      <c r="AL35" s="133" t="s">
        <v>290</v>
      </c>
      <c r="AM35" s="133" t="s">
        <v>291</v>
      </c>
      <c r="AN35" s="133" t="s">
        <v>292</v>
      </c>
      <c r="AO35" s="133" t="s">
        <v>293</v>
      </c>
      <c r="AQ35" s="2"/>
      <c r="AR35" s="2"/>
      <c r="AS35" s="2"/>
      <c r="AT35" s="233" t="s">
        <v>249</v>
      </c>
      <c r="AU35" s="233" t="s">
        <v>300</v>
      </c>
      <c r="AV35" s="234"/>
      <c r="AW35" s="235"/>
      <c r="AX35" s="235"/>
      <c r="AY35" s="235"/>
      <c r="AZ35" s="235"/>
      <c r="BA35" s="235"/>
      <c r="BB35" s="235"/>
      <c r="BC35" s="235"/>
      <c r="BD35" s="235"/>
      <c r="BE35" s="235"/>
    </row>
    <row r="36" spans="1:57">
      <c r="A36" s="119" t="s">
        <v>812</v>
      </c>
      <c r="B36" s="119" t="str">
        <f>'Reference Score Calculation'!A13</f>
        <v>JS1000</v>
      </c>
      <c r="C36" s="119" t="str">
        <f>'Reference Score Calculation'!D13</f>
        <v>理學士(計算金融及金融科技)</v>
      </c>
      <c r="D36" s="2"/>
      <c r="E36" s="395" t="str">
        <f>'Reference Score Calculation'!E13</f>
        <v>4C2X</v>
      </c>
      <c r="F36" s="395"/>
      <c r="G36" s="16" t="str">
        <f>入學要求!AB22</f>
        <v>v</v>
      </c>
      <c r="H36" s="16" t="str">
        <f>入學要求!AC22</f>
        <v>E</v>
      </c>
      <c r="I36" s="16" t="str">
        <f>入學要求!AD22</f>
        <v>NO</v>
      </c>
      <c r="J36" s="119">
        <f>SUMIF(AF36:AO36,TRUE,V36:AE36)</f>
        <v>2.7499999999999998E-9</v>
      </c>
      <c r="K36" s="122">
        <v>1</v>
      </c>
      <c r="L36" s="122">
        <v>1</v>
      </c>
      <c r="M36" s="122">
        <v>1</v>
      </c>
      <c r="N36" s="122">
        <v>1</v>
      </c>
      <c r="O36" s="122">
        <v>1</v>
      </c>
      <c r="P36" s="122">
        <v>1</v>
      </c>
      <c r="Q36" s="122">
        <v>1</v>
      </c>
      <c r="R36" s="122">
        <v>1</v>
      </c>
      <c r="S36" s="122">
        <v>1</v>
      </c>
      <c r="T36" s="122">
        <v>1</v>
      </c>
      <c r="V36" s="119">
        <f t="shared" ref="V36:V67" si="79">K$3*K36</f>
        <v>4.0000000000000001E-10</v>
      </c>
      <c r="W36" s="119">
        <f t="shared" ref="W36:W67" si="80">L$3*L36</f>
        <v>2.0000000000000001E-10</v>
      </c>
      <c r="X36" s="119">
        <f t="shared" ref="X36:X67" si="81">M$3*M36</f>
        <v>3E-10</v>
      </c>
      <c r="Y36" s="119">
        <f t="shared" ref="Y36:Y67" si="82">N$3*N36</f>
        <v>0</v>
      </c>
      <c r="Z36" s="119">
        <f t="shared" ref="Z36:Z67" si="83">IF(G36="v",O$3*O36,0)</f>
        <v>5.0000000000000003E-10</v>
      </c>
      <c r="AA36" s="119">
        <f t="shared" ref="AA36:AA67" si="84">P$3*P36</f>
        <v>6E-10</v>
      </c>
      <c r="AB36" s="119">
        <f t="shared" ref="AB36:AB67" si="85">Q$3*Q36</f>
        <v>6.9999999999999996E-10</v>
      </c>
      <c r="AC36" s="119">
        <f t="shared" ref="AC36:AC67" si="86">R$3*R36</f>
        <v>8.0000000000000003E-10</v>
      </c>
      <c r="AD36" s="119">
        <f t="shared" ref="AD36:AD67" si="87">S$3*S36</f>
        <v>8.9999999999999999E-10</v>
      </c>
      <c r="AE36" s="119">
        <f t="shared" ref="AE36:AE67" si="88">IF(H36="E",T$3*T36,0)</f>
        <v>9.5000000000000003E-10</v>
      </c>
      <c r="AF36" s="119" t="b">
        <f t="shared" ref="AF36:AI37" si="89">IF(OR($E36="4C2X",$E36="4C1X"),TRUE,IF($E36="Best 5",IF(V36&gt;LARGE($V36:$AE36,6),TRUE),IF($E36="Best 6",IF(V36&gt;LARGE($V36:$AE36,7),TRUE))))</f>
        <v>1</v>
      </c>
      <c r="AG36" s="119" t="b">
        <f t="shared" si="89"/>
        <v>1</v>
      </c>
      <c r="AH36" s="119" t="b">
        <f t="shared" si="89"/>
        <v>1</v>
      </c>
      <c r="AI36" s="119" t="b">
        <f t="shared" si="89"/>
        <v>1</v>
      </c>
      <c r="AJ36" s="119" t="b">
        <f t="shared" ref="AJ36:AO36" si="90">IF($E36="4C2X",IF(Z36&gt;LARGE($Z36:$AE36,3),TRUE),IF($E36="4C1X",IF(Z36&gt;LARGE($Z36:$AE36,2),TRUE),IF($E36="Best 5",IF(Z36&gt;LARGE($V36:$AE36,6),TRUE),IF($E36="Best 6",IF(Z36&gt;LARGE($V36:$AE36,7),TRUE)))))</f>
        <v>0</v>
      </c>
      <c r="AK36" s="119" t="b">
        <f t="shared" si="90"/>
        <v>0</v>
      </c>
      <c r="AL36" s="119" t="b">
        <f t="shared" si="90"/>
        <v>0</v>
      </c>
      <c r="AM36" s="119" t="b">
        <f t="shared" si="90"/>
        <v>0</v>
      </c>
      <c r="AN36" s="119" t="b">
        <f t="shared" si="90"/>
        <v>1</v>
      </c>
      <c r="AO36" s="119" t="b">
        <f t="shared" si="90"/>
        <v>1</v>
      </c>
      <c r="AQ36" s="2" t="str">
        <f>'Reference Score Calculation'!M13</f>
        <v>/</v>
      </c>
      <c r="AR36" s="2"/>
      <c r="AS36" s="2"/>
      <c r="AT36" s="234"/>
      <c r="AU36" s="233"/>
      <c r="AV36" s="234"/>
      <c r="AW36" s="235"/>
      <c r="AX36" s="235"/>
      <c r="AY36" s="235"/>
      <c r="AZ36" s="235"/>
      <c r="BA36" s="235"/>
      <c r="BB36" s="235"/>
      <c r="BC36" s="235"/>
      <c r="BD36" s="235"/>
      <c r="BE36" s="235"/>
    </row>
    <row r="37" spans="1:57">
      <c r="A37" s="119" t="s">
        <v>821</v>
      </c>
      <c r="B37" s="119" t="str">
        <f>'Reference Score Calculation'!A14</f>
        <v>JS1001</v>
      </c>
      <c r="C37" s="119" t="str">
        <f>'Reference Score Calculation'!D14</f>
        <v>工商管理學士(環球商業)</v>
      </c>
      <c r="D37" s="2"/>
      <c r="E37" s="395" t="str">
        <f>'Reference Score Calculation'!E14</f>
        <v>4C2X</v>
      </c>
      <c r="F37" s="395"/>
      <c r="G37" s="16" t="str">
        <f>入學要求!AB23</f>
        <v>v</v>
      </c>
      <c r="H37" s="16" t="str">
        <f>入學要求!AC23</f>
        <v>E</v>
      </c>
      <c r="I37" s="16" t="str">
        <f>入學要求!AD23</f>
        <v>NO</v>
      </c>
      <c r="J37" s="119">
        <f t="shared" ref="J37:J68" si="91">SUMIF(AF37:AO37,TRUE,V37:AE37)</f>
        <v>2.7499999999999998E-9</v>
      </c>
      <c r="K37" s="122">
        <v>1</v>
      </c>
      <c r="L37" s="122">
        <v>1</v>
      </c>
      <c r="M37" s="122">
        <v>1</v>
      </c>
      <c r="N37" s="122">
        <v>1</v>
      </c>
      <c r="O37" s="122">
        <v>1</v>
      </c>
      <c r="P37" s="122">
        <v>1</v>
      </c>
      <c r="Q37" s="122">
        <v>1</v>
      </c>
      <c r="R37" s="122">
        <v>1</v>
      </c>
      <c r="S37" s="122">
        <v>1</v>
      </c>
      <c r="T37" s="122">
        <v>1</v>
      </c>
      <c r="V37" s="119">
        <f t="shared" si="79"/>
        <v>4.0000000000000001E-10</v>
      </c>
      <c r="W37" s="119">
        <f t="shared" si="80"/>
        <v>2.0000000000000001E-10</v>
      </c>
      <c r="X37" s="119">
        <f t="shared" si="81"/>
        <v>3E-10</v>
      </c>
      <c r="Y37" s="119">
        <f t="shared" si="82"/>
        <v>0</v>
      </c>
      <c r="Z37" s="119">
        <f t="shared" si="83"/>
        <v>5.0000000000000003E-10</v>
      </c>
      <c r="AA37" s="119">
        <f t="shared" si="84"/>
        <v>6E-10</v>
      </c>
      <c r="AB37" s="119">
        <f t="shared" si="85"/>
        <v>6.9999999999999996E-10</v>
      </c>
      <c r="AC37" s="119">
        <f t="shared" si="86"/>
        <v>8.0000000000000003E-10</v>
      </c>
      <c r="AD37" s="119">
        <f t="shared" si="87"/>
        <v>8.9999999999999999E-10</v>
      </c>
      <c r="AE37" s="119">
        <f t="shared" si="88"/>
        <v>9.5000000000000003E-10</v>
      </c>
      <c r="AF37" s="119" t="b">
        <f t="shared" si="89"/>
        <v>1</v>
      </c>
      <c r="AG37" s="119" t="b">
        <f t="shared" si="89"/>
        <v>1</v>
      </c>
      <c r="AH37" s="119" t="b">
        <f t="shared" si="89"/>
        <v>1</v>
      </c>
      <c r="AI37" s="119" t="b">
        <f t="shared" si="89"/>
        <v>1</v>
      </c>
      <c r="AJ37" s="119" t="b">
        <f>IF($E37="4C2X",IF(Z37&gt;LARGE($Z37:$AE37,3),TRUE),IF($E37="4C1X",IF(Z37&gt;LARGE($Z37:$AE37,2),TRUE),IF($E37="Best 5",IF(Z37&gt;LARGE($V37:$AE37,6),TRUE),IF($E37="Best 6",IF(Z37&gt;LARGE($V37:$AE37,7),TRUE)))))</f>
        <v>0</v>
      </c>
      <c r="AK37" s="119" t="b">
        <f>IF($E37="4C2X",IF(AA37&gt;LARGE($Z37:$AE37,3),TRUE),IF($E37="4C1X",IF(AA37&gt;LARGE($Z37:$AE37,2),TRUE),IF($E37="Best 5",IF(AA37&gt;LARGE($V37:$AE37,6),TRUE),IF($E37="Best 6",IF(AA37&gt;LARGE($V37:$AE37,7),TRUE)))))</f>
        <v>0</v>
      </c>
      <c r="AL37" s="119" t="b">
        <f>IF($E37="4C2X",IF(AB37&gt;LARGE($Z37:$AE37,3),TRUE),IF($E37="4C1X",IF(AB37&gt;LARGE($Z37:$AE37,2),TRUE),IF($E37="Best 5",IF(AB37&gt;LARGE($V37:$AE37,6),TRUE),IF($E37="Best 6",IF(AB37&gt;LARGE($V37:$AE37,7),TRUE)))))</f>
        <v>0</v>
      </c>
      <c r="AM37" s="119" t="b">
        <f>IF($E37="4C2X",IF(AC37&gt;LARGE($Z37:$AE37,3),TRUE),IF($E37="4C1X",IF(AC37&gt;LARGE($Z37:$AE37,2),TRUE),IF($E37="Best 5",IF(AC37&gt;LARGE($V37:$AE37,6),TRUE),IF($E37="Best 6",IF(AC37&gt;LARGE($V37:$AE37,7),TRUE)))))</f>
        <v>0</v>
      </c>
      <c r="AN37" s="119" t="b">
        <f>IF($E37="4C2X",IF(AD37&gt;LARGE($Z37:$AE37,3),TRUE),IF($E37="4C1X",IF(AD37&gt;LARGE($Z37:$AE37,2),TRUE),IF($E37="Best 5",IF(AD37&gt;LARGE($V37:$AE37,6),TRUE),IF($E37="Best 6",IF(AD37&gt;LARGE($V37:$AE37,7),TRUE)))))</f>
        <v>1</v>
      </c>
      <c r="AO37" s="119" t="b">
        <f>IF($H37="E",IF($E37="4C2X",IF(AE37&gt;LARGE($Z37:$AE37,3),TRUE),IF($E37="4C1X",IF(AE37&gt;LARGE($Z37:$AE37,2),TRUE),IF($E37="Best 5",IF(AE37&gt;LARGE($V37:$AE37,6),TRUE),IF($E37="Best 6",IF(AE37&gt;LARGE($V37:$AE37,7),TRUE))))),FALSE)</f>
        <v>1</v>
      </c>
      <c r="AQ37" s="2" t="str">
        <f>'Reference Score Calculation'!M14</f>
        <v>/</v>
      </c>
      <c r="AR37" s="2"/>
      <c r="AS37" s="2"/>
      <c r="AT37" s="236" t="s">
        <v>301</v>
      </c>
      <c r="AU37" s="237"/>
      <c r="AV37" s="237"/>
      <c r="AW37" s="237"/>
      <c r="AX37" s="237"/>
      <c r="AY37" s="237"/>
      <c r="AZ37" s="237"/>
      <c r="BA37" s="237"/>
      <c r="BB37" s="237"/>
      <c r="BC37" s="237"/>
      <c r="BD37" s="237"/>
      <c r="BE37" s="237"/>
    </row>
    <row r="38" spans="1:57">
      <c r="A38" s="119" t="s">
        <v>825</v>
      </c>
      <c r="B38" s="119" t="str">
        <f>'Reference Score Calculation'!A15</f>
        <v>JS1002</v>
      </c>
      <c r="C38" s="119" t="str">
        <f>'Reference Score Calculation'!D15</f>
        <v>工商管理學士(會計)</v>
      </c>
      <c r="D38" s="2"/>
      <c r="E38" s="396" t="str">
        <f>'Reference Score Calculation'!E15</f>
        <v>Best 6</v>
      </c>
      <c r="F38" s="396"/>
      <c r="G38" s="16" t="str">
        <f>入學要求!AB24</f>
        <v>v</v>
      </c>
      <c r="H38" s="16" t="str">
        <f>入學要求!AC24</f>
        <v>E</v>
      </c>
      <c r="I38" s="16" t="str">
        <f>入學要求!AD24</f>
        <v>NO</v>
      </c>
      <c r="J38" s="119">
        <f>SUMIF(AF38:AO38,TRUE,V38:AE38)</f>
        <v>3.8500000000000006E-9</v>
      </c>
      <c r="K38" s="122">
        <v>1</v>
      </c>
      <c r="L38" s="122">
        <v>1</v>
      </c>
      <c r="M38" s="122">
        <v>1</v>
      </c>
      <c r="N38" s="122">
        <v>1</v>
      </c>
      <c r="O38" s="122">
        <v>1</v>
      </c>
      <c r="P38" s="122">
        <v>1</v>
      </c>
      <c r="Q38" s="122">
        <v>1</v>
      </c>
      <c r="R38" s="122">
        <v>1</v>
      </c>
      <c r="S38" s="122">
        <v>1</v>
      </c>
      <c r="T38" s="122">
        <v>1</v>
      </c>
      <c r="V38" s="119">
        <f t="shared" si="79"/>
        <v>4.0000000000000001E-10</v>
      </c>
      <c r="W38" s="119">
        <f t="shared" si="80"/>
        <v>2.0000000000000001E-10</v>
      </c>
      <c r="X38" s="119">
        <f t="shared" si="81"/>
        <v>3E-10</v>
      </c>
      <c r="Y38" s="119">
        <f t="shared" si="82"/>
        <v>0</v>
      </c>
      <c r="Z38" s="119">
        <f t="shared" si="83"/>
        <v>5.0000000000000003E-10</v>
      </c>
      <c r="AA38" s="119">
        <f t="shared" si="84"/>
        <v>6E-10</v>
      </c>
      <c r="AB38" s="119">
        <f t="shared" si="85"/>
        <v>6.9999999999999996E-10</v>
      </c>
      <c r="AC38" s="119">
        <f t="shared" si="86"/>
        <v>8.0000000000000003E-10</v>
      </c>
      <c r="AD38" s="119">
        <f t="shared" si="87"/>
        <v>8.9999999999999999E-10</v>
      </c>
      <c r="AE38" s="119">
        <f t="shared" si="88"/>
        <v>9.5000000000000003E-10</v>
      </c>
      <c r="AF38" s="143" t="b">
        <f>IF(V38&gt;LARGE(($V38,$Y38:$AE38),5),TRUE)</f>
        <v>0</v>
      </c>
      <c r="AG38" s="232" t="b">
        <f>TRUE</f>
        <v>1</v>
      </c>
      <c r="AH38" s="232" t="b">
        <f>TRUE</f>
        <v>1</v>
      </c>
      <c r="AI38" s="143" t="b">
        <f>IF(Y38&gt;LARGE(($V38,$Y38:$AE38),5),TRUE)</f>
        <v>0</v>
      </c>
      <c r="AJ38" s="143" t="b">
        <f>IF(Z38&gt;LARGE(($V38,$Y38:$AE38),5),TRUE)</f>
        <v>0</v>
      </c>
      <c r="AK38" s="143" t="b">
        <f>IF(AA38&gt;LARGE(($V38,$Y38:$AE38),5),TRUE)</f>
        <v>0</v>
      </c>
      <c r="AL38" s="143" t="b">
        <f>IF(AB38&gt;LARGE(($V38,$Y38:$AE38),5),TRUE)</f>
        <v>1</v>
      </c>
      <c r="AM38" s="143" t="b">
        <f>IF(AC38&gt;LARGE(($V38,$Y38:$AE38),5),TRUE)</f>
        <v>1</v>
      </c>
      <c r="AN38" s="143" t="b">
        <f>IF(AD38&gt;LARGE(($V38,$Y38:$AE38),5),TRUE)</f>
        <v>1</v>
      </c>
      <c r="AO38" s="143" t="b">
        <f>IF(AE38&gt;LARGE(($V38,$Y38:$AE38),5),TRUE)</f>
        <v>1</v>
      </c>
      <c r="AP38" s="232"/>
      <c r="AQ38" s="2" t="str">
        <f>'Reference Score Calculation'!M15</f>
        <v>最佳六科必須包括︰英文、數學</v>
      </c>
      <c r="AR38" s="2"/>
      <c r="AS38" s="2"/>
      <c r="AT38" s="237"/>
      <c r="AU38" s="237"/>
      <c r="AV38" s="237"/>
      <c r="AW38" s="237"/>
      <c r="AX38" s="237"/>
      <c r="AY38" s="237"/>
      <c r="AZ38" s="237"/>
      <c r="BA38" s="237"/>
      <c r="BB38" s="237"/>
      <c r="BC38" s="237"/>
      <c r="BD38" s="237"/>
      <c r="BE38" s="237"/>
    </row>
    <row r="39" spans="1:57">
      <c r="A39" s="119" t="s">
        <v>830</v>
      </c>
      <c r="B39" s="119" t="str">
        <f>'Reference Score Calculation'!A16</f>
        <v>JS1005</v>
      </c>
      <c r="C39" s="119" t="str">
        <f>'Reference Score Calculation'!D16</f>
        <v>工商管理學士(管理學)</v>
      </c>
      <c r="D39" s="2"/>
      <c r="E39" s="396" t="str">
        <f>'Reference Score Calculation'!E16</f>
        <v>4C2X</v>
      </c>
      <c r="F39" s="396"/>
      <c r="G39" s="16" t="str">
        <f>入學要求!AB25</f>
        <v>v</v>
      </c>
      <c r="H39" s="16" t="str">
        <f>入學要求!AC25</f>
        <v>E</v>
      </c>
      <c r="I39" s="16" t="str">
        <f>入學要求!AD25</f>
        <v>NO</v>
      </c>
      <c r="J39" s="119">
        <f t="shared" si="91"/>
        <v>2.7499999999999998E-9</v>
      </c>
      <c r="K39" s="122">
        <v>1</v>
      </c>
      <c r="L39" s="122">
        <v>1</v>
      </c>
      <c r="M39" s="122">
        <v>1</v>
      </c>
      <c r="N39" s="122">
        <v>1</v>
      </c>
      <c r="O39" s="122">
        <v>1</v>
      </c>
      <c r="P39" s="122">
        <v>1</v>
      </c>
      <c r="Q39" s="122">
        <v>1</v>
      </c>
      <c r="R39" s="122">
        <v>1</v>
      </c>
      <c r="S39" s="122">
        <v>1</v>
      </c>
      <c r="T39" s="122">
        <v>1</v>
      </c>
      <c r="V39" s="119">
        <f t="shared" si="79"/>
        <v>4.0000000000000001E-10</v>
      </c>
      <c r="W39" s="119">
        <f t="shared" si="80"/>
        <v>2.0000000000000001E-10</v>
      </c>
      <c r="X39" s="119">
        <f t="shared" si="81"/>
        <v>3E-10</v>
      </c>
      <c r="Y39" s="119">
        <f t="shared" si="82"/>
        <v>0</v>
      </c>
      <c r="Z39" s="119">
        <f t="shared" si="83"/>
        <v>5.0000000000000003E-10</v>
      </c>
      <c r="AA39" s="119">
        <f t="shared" si="84"/>
        <v>6E-10</v>
      </c>
      <c r="AB39" s="119">
        <f t="shared" si="85"/>
        <v>6.9999999999999996E-10</v>
      </c>
      <c r="AC39" s="119">
        <f t="shared" si="86"/>
        <v>8.0000000000000003E-10</v>
      </c>
      <c r="AD39" s="119">
        <f t="shared" si="87"/>
        <v>8.9999999999999999E-10</v>
      </c>
      <c r="AE39" s="119">
        <f t="shared" si="88"/>
        <v>9.5000000000000003E-10</v>
      </c>
      <c r="AF39" s="119" t="b">
        <f t="shared" ref="AF39:AF52" si="92">IF(OR($E39="4C2X",$E39="4C1X"),TRUE,IF($E39="Best 5",IF(V39&gt;LARGE($V39:$AE39,6),TRUE),IF($E39="Best 6",IF(V39&gt;LARGE($V39:$AE39,7),TRUE))))</f>
        <v>1</v>
      </c>
      <c r="AG39" s="119" t="b">
        <f t="shared" ref="AG39" si="93">IF(OR($E39="4C2X",$E39="4C1X"),TRUE,IF($E39="Best 5",IF(W39&gt;LARGE($V39:$AE39,6),TRUE),IF($E39="Best 6",IF(W39&gt;LARGE($V39:$AE39,7),TRUE))))</f>
        <v>1</v>
      </c>
      <c r="AH39" s="119" t="b">
        <f t="shared" ref="AH39" si="94">IF(OR($E39="4C2X",$E39="4C1X"),TRUE,IF($E39="Best 5",IF(X39&gt;LARGE($V39:$AE39,6),TRUE),IF($E39="Best 6",IF(X39&gt;LARGE($V39:$AE39,7),TRUE))))</f>
        <v>1</v>
      </c>
      <c r="AI39" s="119" t="b">
        <f t="shared" ref="AI39" si="95">IF(OR($E39="4C2X",$E39="4C1X"),TRUE,IF($E39="Best 5",IF(Y39&gt;LARGE($V39:$AE39,6),TRUE),IF($E39="Best 6",IF(Y39&gt;LARGE($V39:$AE39,7),TRUE))))</f>
        <v>1</v>
      </c>
      <c r="AJ39" s="119" t="b">
        <f t="shared" ref="AJ39:AJ52" si="96">IF($E39="4C2X",IF(Z39&gt;LARGE($Z39:$AE39,3),TRUE),IF($E39="4C1X",IF(Z39&gt;LARGE($Z39:$AE39,2),TRUE),IF($E39="Best 5",IF(Z39&gt;LARGE($V39:$AE39,6),TRUE),IF($E39="Best 6",IF(Z39&gt;LARGE($V39:$AE39,7),TRUE)))))</f>
        <v>0</v>
      </c>
      <c r="AK39" s="119" t="b">
        <f t="shared" ref="AK39" si="97">IF($E39="4C2X",IF(AA39&gt;LARGE($Z39:$AE39,3),TRUE),IF($E39="4C1X",IF(AA39&gt;LARGE($Z39:$AE39,2),TRUE),IF($E39="Best 5",IF(AA39&gt;LARGE($V39:$AE39,6),TRUE),IF($E39="Best 6",IF(AA39&gt;LARGE($V39:$AE39,7),TRUE)))))</f>
        <v>0</v>
      </c>
      <c r="AL39" s="119" t="b">
        <f t="shared" ref="AL39" si="98">IF($E39="4C2X",IF(AB39&gt;LARGE($Z39:$AE39,3),TRUE),IF($E39="4C1X",IF(AB39&gt;LARGE($Z39:$AE39,2),TRUE),IF($E39="Best 5",IF(AB39&gt;LARGE($V39:$AE39,6),TRUE),IF($E39="Best 6",IF(AB39&gt;LARGE($V39:$AE39,7),TRUE)))))</f>
        <v>0</v>
      </c>
      <c r="AM39" s="119" t="b">
        <f t="shared" ref="AM39" si="99">IF($E39="4C2X",IF(AC39&gt;LARGE($Z39:$AE39,3),TRUE),IF($E39="4C1X",IF(AC39&gt;LARGE($Z39:$AE39,2),TRUE),IF($E39="Best 5",IF(AC39&gt;LARGE($V39:$AE39,6),TRUE),IF($E39="Best 6",IF(AC39&gt;LARGE($V39:$AE39,7),TRUE)))))</f>
        <v>0</v>
      </c>
      <c r="AN39" s="119" t="b">
        <f t="shared" ref="AN39" si="100">IF($E39="4C2X",IF(AD39&gt;LARGE($Z39:$AE39,3),TRUE),IF($E39="4C1X",IF(AD39&gt;LARGE($Z39:$AE39,2),TRUE),IF($E39="Best 5",IF(AD39&gt;LARGE($V39:$AE39,6),TRUE),IF($E39="Best 6",IF(AD39&gt;LARGE($V39:$AE39,7),TRUE)))))</f>
        <v>1</v>
      </c>
      <c r="AO39" s="119" t="b">
        <f t="shared" ref="AO39" si="101">IF($E39="4C2X",IF(AE39&gt;LARGE($Z39:$AE39,3),TRUE),IF($E39="4C1X",IF(AE39&gt;LARGE($Z39:$AE39,2),TRUE),IF($E39="Best 5",IF(AE39&gt;LARGE($V39:$AE39,6),TRUE),IF($E39="Best 6",IF(AE39&gt;LARGE($V39:$AE39,7),TRUE)))))</f>
        <v>1</v>
      </c>
      <c r="AQ39" s="2" t="str">
        <f>'Reference Score Calculation'!M16</f>
        <v>/</v>
      </c>
      <c r="AR39" s="2"/>
      <c r="AS39" s="2"/>
      <c r="AT39" s="238" t="s">
        <v>302</v>
      </c>
      <c r="AU39" s="237" t="str">
        <f>P1</f>
        <v>請選擇第一選修科</v>
      </c>
      <c r="AV39" s="237" t="str">
        <f>Q1</f>
        <v>請選擇第二選修科</v>
      </c>
      <c r="AW39" s="237" t="str">
        <f>R1</f>
        <v>請選擇第三選修科</v>
      </c>
      <c r="AX39" s="237" t="str">
        <f>S1</f>
        <v>請選擇第四選修科</v>
      </c>
      <c r="AY39" s="237"/>
      <c r="AZ39" s="237"/>
      <c r="BA39" s="237" t="s">
        <v>303</v>
      </c>
      <c r="BB39" s="239" t="s">
        <v>304</v>
      </c>
      <c r="BC39" s="237"/>
      <c r="BD39" s="237"/>
      <c r="BE39" s="237"/>
    </row>
    <row r="40" spans="1:57">
      <c r="A40" s="119" t="s">
        <v>834</v>
      </c>
      <c r="B40" s="119" t="str">
        <f>'Reference Score Calculation'!A17</f>
        <v>JS1007</v>
      </c>
      <c r="C40" s="119" t="str">
        <f>'Reference Score Calculation'!D17</f>
        <v>工商管理學士(市場營銷)</v>
      </c>
      <c r="D40" s="2"/>
      <c r="E40" s="394" t="str">
        <f>'Reference Score Calculation'!E17</f>
        <v>4C2X</v>
      </c>
      <c r="F40" s="394"/>
      <c r="G40" s="16" t="str">
        <f>入學要求!AB26</f>
        <v>v</v>
      </c>
      <c r="H40" s="16" t="str">
        <f>入學要求!AC26</f>
        <v>E</v>
      </c>
      <c r="I40" s="16" t="str">
        <f>入學要求!AD26</f>
        <v>NO</v>
      </c>
      <c r="J40" s="119">
        <f t="shared" si="91"/>
        <v>2.8499999999999999E-9</v>
      </c>
      <c r="K40" s="122">
        <v>1</v>
      </c>
      <c r="L40" s="122">
        <v>1.5</v>
      </c>
      <c r="M40" s="122">
        <v>1</v>
      </c>
      <c r="N40" s="122">
        <v>1</v>
      </c>
      <c r="O40" s="122">
        <v>1</v>
      </c>
      <c r="P40" s="122">
        <v>1</v>
      </c>
      <c r="Q40" s="122">
        <v>1</v>
      </c>
      <c r="R40" s="122">
        <v>1</v>
      </c>
      <c r="S40" s="122">
        <v>1</v>
      </c>
      <c r="T40" s="122">
        <v>1</v>
      </c>
      <c r="V40" s="119">
        <f t="shared" si="79"/>
        <v>4.0000000000000001E-10</v>
      </c>
      <c r="W40" s="119">
        <f t="shared" si="80"/>
        <v>3E-10</v>
      </c>
      <c r="X40" s="119">
        <f t="shared" si="81"/>
        <v>3E-10</v>
      </c>
      <c r="Y40" s="119">
        <f t="shared" si="82"/>
        <v>0</v>
      </c>
      <c r="Z40" s="119">
        <f t="shared" si="83"/>
        <v>5.0000000000000003E-10</v>
      </c>
      <c r="AA40" s="119">
        <f t="shared" si="84"/>
        <v>6E-10</v>
      </c>
      <c r="AB40" s="119">
        <f t="shared" si="85"/>
        <v>6.9999999999999996E-10</v>
      </c>
      <c r="AC40" s="119">
        <f t="shared" si="86"/>
        <v>8.0000000000000003E-10</v>
      </c>
      <c r="AD40" s="119">
        <f t="shared" si="87"/>
        <v>8.9999999999999999E-10</v>
      </c>
      <c r="AE40" s="119">
        <f t="shared" si="88"/>
        <v>9.5000000000000003E-10</v>
      </c>
      <c r="AF40" s="119" t="b">
        <f t="shared" si="92"/>
        <v>1</v>
      </c>
      <c r="AG40" s="119" t="b">
        <f t="shared" ref="AG40:AG52" si="102">IF(OR($E40="4C2X",$E40="4C1X"),TRUE,IF($E40="Best 5",IF(W40&gt;LARGE($V40:$AE40,6),TRUE),IF($E40="Best 6",IF(W40&gt;LARGE($V40:$AE40,7),TRUE))))</f>
        <v>1</v>
      </c>
      <c r="AH40" s="119" t="b">
        <f t="shared" ref="AH40:AH52" si="103">IF(OR($E40="4C2X",$E40="4C1X"),TRUE,IF($E40="Best 5",IF(X40&gt;LARGE($V40:$AE40,6),TRUE),IF($E40="Best 6",IF(X40&gt;LARGE($V40:$AE40,7),TRUE))))</f>
        <v>1</v>
      </c>
      <c r="AI40" s="119" t="b">
        <f t="shared" ref="AI40:AI52" si="104">IF(OR($E40="4C2X",$E40="4C1X"),TRUE,IF($E40="Best 5",IF(Y40&gt;LARGE($V40:$AE40,6),TRUE),IF($E40="Best 6",IF(Y40&gt;LARGE($V40:$AE40,7),TRUE))))</f>
        <v>1</v>
      </c>
      <c r="AJ40" s="119" t="b">
        <f t="shared" si="96"/>
        <v>0</v>
      </c>
      <c r="AK40" s="119" t="b">
        <f t="shared" ref="AK40:AK52" si="105">IF($E40="4C2X",IF(AA40&gt;LARGE($Z40:$AE40,3),TRUE),IF($E40="4C1X",IF(AA40&gt;LARGE($Z40:$AE40,2),TRUE),IF($E40="Best 5",IF(AA40&gt;LARGE($V40:$AE40,6),TRUE),IF($E40="Best 6",IF(AA40&gt;LARGE($V40:$AE40,7),TRUE)))))</f>
        <v>0</v>
      </c>
      <c r="AL40" s="119" t="b">
        <f t="shared" ref="AL40:AL52" si="106">IF($E40="4C2X",IF(AB40&gt;LARGE($Z40:$AE40,3),TRUE),IF($E40="4C1X",IF(AB40&gt;LARGE($Z40:$AE40,2),TRUE),IF($E40="Best 5",IF(AB40&gt;LARGE($V40:$AE40,6),TRUE),IF($E40="Best 6",IF(AB40&gt;LARGE($V40:$AE40,7),TRUE)))))</f>
        <v>0</v>
      </c>
      <c r="AM40" s="119" t="b">
        <f t="shared" ref="AM40:AM52" si="107">IF($E40="4C2X",IF(AC40&gt;LARGE($Z40:$AE40,3),TRUE),IF($E40="4C1X",IF(AC40&gt;LARGE($Z40:$AE40,2),TRUE),IF($E40="Best 5",IF(AC40&gt;LARGE($V40:$AE40,6),TRUE),IF($E40="Best 6",IF(AC40&gt;LARGE($V40:$AE40,7),TRUE)))))</f>
        <v>0</v>
      </c>
      <c r="AN40" s="119" t="b">
        <f t="shared" ref="AN40:AN52" si="108">IF($E40="4C2X",IF(AD40&gt;LARGE($Z40:$AE40,3),TRUE),IF($E40="4C1X",IF(AD40&gt;LARGE($Z40:$AE40,2),TRUE),IF($E40="Best 5",IF(AD40&gt;LARGE($V40:$AE40,6),TRUE),IF($E40="Best 6",IF(AD40&gt;LARGE($V40:$AE40,7),TRUE)))))</f>
        <v>1</v>
      </c>
      <c r="AO40" s="119" t="b">
        <f t="shared" ref="AO40:AO52" si="109">IF($H40="E",IF($E40="4C2X",IF(AE40&gt;LARGE($Z40:$AE40,3),TRUE),IF($E40="4C1X",IF(AE40&gt;LARGE($Z40:$AE40,2),TRUE),IF($E40="Best 5",IF(AE40&gt;LARGE($V40:$AE40,6),TRUE),IF($E40="Best 6",IF(AE40&gt;LARGE($V40:$AE40,7),TRUE))))),FALSE)</f>
        <v>1</v>
      </c>
      <c r="AQ40" s="2" t="str">
        <f>'Reference Score Calculation'!M17</f>
        <v>/</v>
      </c>
      <c r="AR40" s="2"/>
      <c r="AS40" s="2"/>
      <c r="AT40" s="237"/>
      <c r="AU40" s="240">
        <f>IF(OR(P1="物理",P1="化學",P1="生物"),P3,0)</f>
        <v>0</v>
      </c>
      <c r="AV40" s="240">
        <f t="shared" ref="AV40:AX40" si="110">IF(OR(Q1="物理",Q1="化學",Q1="生物"),Q3,0)</f>
        <v>0</v>
      </c>
      <c r="AW40" s="240">
        <f t="shared" si="110"/>
        <v>0</v>
      </c>
      <c r="AX40" s="240">
        <f t="shared" si="110"/>
        <v>0</v>
      </c>
      <c r="AY40" s="237"/>
      <c r="AZ40" s="237"/>
      <c r="BA40" s="240" t="str">
        <f>IF(BB40&gt;0,INDEX(AU39:AX39,MATCH(LARGE(AU40:AX40,1),AU40:AX40,0)),"無")</f>
        <v>無</v>
      </c>
      <c r="BB40" s="240">
        <f>LARGE((AU40:AX40),1)</f>
        <v>0</v>
      </c>
      <c r="BC40" s="237"/>
      <c r="BD40" s="237"/>
      <c r="BE40" s="237"/>
    </row>
    <row r="41" spans="1:57">
      <c r="A41" s="119" t="s">
        <v>840</v>
      </c>
      <c r="B41" s="119" t="str">
        <f>'Reference Score Calculation'!A18</f>
        <v>JS1012</v>
      </c>
      <c r="C41" s="119" t="str">
        <f>'Reference Score Calculation'!D18</f>
        <v>經濟及金融系 [選項: 工商管理學士(商業經濟)、工商管理學士(金融)]</v>
      </c>
      <c r="D41" s="2"/>
      <c r="E41" s="396" t="str">
        <f>'Reference Score Calculation'!E18</f>
        <v>4C2X</v>
      </c>
      <c r="F41" s="396"/>
      <c r="G41" s="16" t="str">
        <f>入學要求!AB27</f>
        <v>v</v>
      </c>
      <c r="H41" s="16" t="str">
        <f>入學要求!AC27</f>
        <v>E</v>
      </c>
      <c r="I41" s="16" t="str">
        <f>入學要求!AD27</f>
        <v>NO</v>
      </c>
      <c r="J41" s="119">
        <f t="shared" si="91"/>
        <v>2.7499999999999998E-9</v>
      </c>
      <c r="K41" s="122">
        <v>1</v>
      </c>
      <c r="L41" s="122">
        <v>1</v>
      </c>
      <c r="M41" s="122">
        <v>1</v>
      </c>
      <c r="N41" s="122">
        <v>1</v>
      </c>
      <c r="O41" s="122">
        <v>1</v>
      </c>
      <c r="P41" s="122">
        <v>1</v>
      </c>
      <c r="Q41" s="122">
        <v>1</v>
      </c>
      <c r="R41" s="122">
        <v>1</v>
      </c>
      <c r="S41" s="122">
        <v>1</v>
      </c>
      <c r="T41" s="122">
        <v>1</v>
      </c>
      <c r="V41" s="119">
        <f t="shared" si="79"/>
        <v>4.0000000000000001E-10</v>
      </c>
      <c r="W41" s="119">
        <f t="shared" si="80"/>
        <v>2.0000000000000001E-10</v>
      </c>
      <c r="X41" s="119">
        <f t="shared" si="81"/>
        <v>3E-10</v>
      </c>
      <c r="Y41" s="119">
        <f t="shared" si="82"/>
        <v>0</v>
      </c>
      <c r="Z41" s="119">
        <f t="shared" si="83"/>
        <v>5.0000000000000003E-10</v>
      </c>
      <c r="AA41" s="119">
        <f t="shared" si="84"/>
        <v>6E-10</v>
      </c>
      <c r="AB41" s="119">
        <f t="shared" si="85"/>
        <v>6.9999999999999996E-10</v>
      </c>
      <c r="AC41" s="119">
        <f t="shared" si="86"/>
        <v>8.0000000000000003E-10</v>
      </c>
      <c r="AD41" s="119">
        <f t="shared" si="87"/>
        <v>8.9999999999999999E-10</v>
      </c>
      <c r="AE41" s="119">
        <f t="shared" si="88"/>
        <v>9.5000000000000003E-10</v>
      </c>
      <c r="AF41" s="119" t="b">
        <f t="shared" si="92"/>
        <v>1</v>
      </c>
      <c r="AG41" s="119" t="b">
        <f t="shared" si="102"/>
        <v>1</v>
      </c>
      <c r="AH41" s="119" t="b">
        <f t="shared" si="103"/>
        <v>1</v>
      </c>
      <c r="AI41" s="119" t="b">
        <f t="shared" si="104"/>
        <v>1</v>
      </c>
      <c r="AJ41" s="119" t="b">
        <f t="shared" si="96"/>
        <v>0</v>
      </c>
      <c r="AK41" s="119" t="b">
        <f t="shared" si="105"/>
        <v>0</v>
      </c>
      <c r="AL41" s="119" t="b">
        <f t="shared" si="106"/>
        <v>0</v>
      </c>
      <c r="AM41" s="119" t="b">
        <f t="shared" si="107"/>
        <v>0</v>
      </c>
      <c r="AN41" s="119" t="b">
        <f t="shared" si="108"/>
        <v>1</v>
      </c>
      <c r="AO41" s="119" t="b">
        <f t="shared" si="109"/>
        <v>1</v>
      </c>
      <c r="AQ41" s="2" t="str">
        <f>'Reference Score Calculation'!M18</f>
        <v>/</v>
      </c>
      <c r="AR41" s="2"/>
      <c r="AS41" s="2"/>
      <c r="AT41" s="237"/>
      <c r="AU41" s="241" t="s">
        <v>2836</v>
      </c>
      <c r="AV41" s="237"/>
      <c r="AW41" s="237"/>
      <c r="AX41" s="237"/>
      <c r="AY41" s="237"/>
      <c r="AZ41" s="237"/>
      <c r="BA41" s="235"/>
      <c r="BB41" s="237"/>
      <c r="BC41" s="237"/>
      <c r="BD41" s="237"/>
      <c r="BE41" s="237"/>
    </row>
    <row r="42" spans="1:57">
      <c r="A42" s="119" t="s">
        <v>845</v>
      </c>
      <c r="B42" s="119" t="str">
        <f>'Reference Score Calculation'!A19</f>
        <v>JS1013</v>
      </c>
      <c r="C42" s="119" t="str">
        <f>'Reference Score Calculation'!D19</f>
        <v>工商管理學士(商業經濟)</v>
      </c>
      <c r="D42" s="2"/>
      <c r="E42" s="396" t="str">
        <f>'Reference Score Calculation'!E19</f>
        <v>4C2X</v>
      </c>
      <c r="F42" s="396"/>
      <c r="G42" s="16" t="str">
        <f>入學要求!AB28</f>
        <v>v</v>
      </c>
      <c r="H42" s="16" t="str">
        <f>入學要求!AC28</f>
        <v>E</v>
      </c>
      <c r="I42" s="16" t="str">
        <f>入學要求!AD28</f>
        <v>NO</v>
      </c>
      <c r="J42" s="119">
        <f t="shared" si="91"/>
        <v>2.7499999999999998E-9</v>
      </c>
      <c r="K42" s="122">
        <v>1</v>
      </c>
      <c r="L42" s="122">
        <v>1</v>
      </c>
      <c r="M42" s="122">
        <v>1</v>
      </c>
      <c r="N42" s="122">
        <v>1</v>
      </c>
      <c r="O42" s="122">
        <v>1</v>
      </c>
      <c r="P42" s="122">
        <v>1</v>
      </c>
      <c r="Q42" s="122">
        <v>1</v>
      </c>
      <c r="R42" s="122">
        <v>1</v>
      </c>
      <c r="S42" s="122">
        <v>1</v>
      </c>
      <c r="T42" s="122">
        <v>1</v>
      </c>
      <c r="V42" s="119">
        <f t="shared" si="79"/>
        <v>4.0000000000000001E-10</v>
      </c>
      <c r="W42" s="119">
        <f t="shared" si="80"/>
        <v>2.0000000000000001E-10</v>
      </c>
      <c r="X42" s="119">
        <f t="shared" si="81"/>
        <v>3E-10</v>
      </c>
      <c r="Y42" s="119">
        <f t="shared" si="82"/>
        <v>0</v>
      </c>
      <c r="Z42" s="119">
        <f t="shared" si="83"/>
        <v>5.0000000000000003E-10</v>
      </c>
      <c r="AA42" s="119">
        <f t="shared" si="84"/>
        <v>6E-10</v>
      </c>
      <c r="AB42" s="119">
        <f t="shared" si="85"/>
        <v>6.9999999999999996E-10</v>
      </c>
      <c r="AC42" s="119">
        <f t="shared" si="86"/>
        <v>8.0000000000000003E-10</v>
      </c>
      <c r="AD42" s="119">
        <f t="shared" si="87"/>
        <v>8.9999999999999999E-10</v>
      </c>
      <c r="AE42" s="119">
        <f t="shared" si="88"/>
        <v>9.5000000000000003E-10</v>
      </c>
      <c r="AF42" s="119" t="b">
        <f t="shared" si="92"/>
        <v>1</v>
      </c>
      <c r="AG42" s="119" t="b">
        <f t="shared" si="102"/>
        <v>1</v>
      </c>
      <c r="AH42" s="119" t="b">
        <f t="shared" si="103"/>
        <v>1</v>
      </c>
      <c r="AI42" s="119" t="b">
        <f t="shared" si="104"/>
        <v>1</v>
      </c>
      <c r="AJ42" s="119" t="b">
        <f t="shared" si="96"/>
        <v>0</v>
      </c>
      <c r="AK42" s="119" t="b">
        <f t="shared" si="105"/>
        <v>0</v>
      </c>
      <c r="AL42" s="119" t="b">
        <f t="shared" si="106"/>
        <v>0</v>
      </c>
      <c r="AM42" s="119" t="b">
        <f t="shared" si="107"/>
        <v>0</v>
      </c>
      <c r="AN42" s="119" t="b">
        <f t="shared" si="108"/>
        <v>1</v>
      </c>
      <c r="AO42" s="119" t="b">
        <f t="shared" si="109"/>
        <v>1</v>
      </c>
      <c r="AQ42" s="2" t="str">
        <f>'Reference Score Calculation'!M19</f>
        <v>/</v>
      </c>
      <c r="AR42" s="2"/>
      <c r="AS42" s="2"/>
      <c r="AT42" s="237"/>
      <c r="AU42" s="237" t="str">
        <f>P1</f>
        <v>請選擇第一選修科</v>
      </c>
      <c r="AV42" s="237" t="str">
        <f>Q1</f>
        <v>請選擇第二選修科</v>
      </c>
      <c r="AW42" s="237" t="str">
        <f>R1</f>
        <v>請選擇第三選修科</v>
      </c>
      <c r="AX42" s="237" t="str">
        <f>S1</f>
        <v>請選擇第四選修科</v>
      </c>
      <c r="AY42" s="237" t="str">
        <f>O1</f>
        <v>數學延伸</v>
      </c>
      <c r="AZ42" s="235"/>
      <c r="BA42" s="237" t="s">
        <v>306</v>
      </c>
      <c r="BB42" s="242" t="s">
        <v>307</v>
      </c>
      <c r="BC42" s="237"/>
      <c r="BD42" s="237"/>
      <c r="BE42" s="237"/>
    </row>
    <row r="43" spans="1:57">
      <c r="A43" s="119" t="s">
        <v>848</v>
      </c>
      <c r="B43" s="119" t="str">
        <f>'Reference Score Calculation'!A20</f>
        <v>JS1014</v>
      </c>
      <c r="C43" s="119" t="str">
        <f>'Reference Score Calculation'!D20</f>
        <v>工商管理學士(金融)</v>
      </c>
      <c r="D43" s="2"/>
      <c r="E43" s="396" t="str">
        <f>'Reference Score Calculation'!E20</f>
        <v>4C2X</v>
      </c>
      <c r="F43" s="396"/>
      <c r="G43" s="16" t="str">
        <f>入學要求!AB29</f>
        <v>v</v>
      </c>
      <c r="H43" s="16" t="str">
        <f>入學要求!AC29</f>
        <v>E</v>
      </c>
      <c r="I43" s="16" t="str">
        <f>入學要求!AD29</f>
        <v>NO</v>
      </c>
      <c r="J43" s="119">
        <f t="shared" si="91"/>
        <v>2.7499999999999998E-9</v>
      </c>
      <c r="K43" s="122">
        <v>1</v>
      </c>
      <c r="L43" s="122">
        <v>1</v>
      </c>
      <c r="M43" s="122">
        <v>1</v>
      </c>
      <c r="N43" s="122">
        <v>1</v>
      </c>
      <c r="O43" s="122">
        <v>1</v>
      </c>
      <c r="P43" s="122">
        <v>1</v>
      </c>
      <c r="Q43" s="122">
        <v>1</v>
      </c>
      <c r="R43" s="122">
        <v>1</v>
      </c>
      <c r="S43" s="122">
        <v>1</v>
      </c>
      <c r="T43" s="122">
        <v>1</v>
      </c>
      <c r="V43" s="119">
        <f t="shared" si="79"/>
        <v>4.0000000000000001E-10</v>
      </c>
      <c r="W43" s="119">
        <f t="shared" si="80"/>
        <v>2.0000000000000001E-10</v>
      </c>
      <c r="X43" s="119">
        <f t="shared" si="81"/>
        <v>3E-10</v>
      </c>
      <c r="Y43" s="119">
        <f t="shared" si="82"/>
        <v>0</v>
      </c>
      <c r="Z43" s="119">
        <f t="shared" si="83"/>
        <v>5.0000000000000003E-10</v>
      </c>
      <c r="AA43" s="119">
        <f t="shared" si="84"/>
        <v>6E-10</v>
      </c>
      <c r="AB43" s="119">
        <f t="shared" si="85"/>
        <v>6.9999999999999996E-10</v>
      </c>
      <c r="AC43" s="119">
        <f t="shared" si="86"/>
        <v>8.0000000000000003E-10</v>
      </c>
      <c r="AD43" s="119">
        <f t="shared" si="87"/>
        <v>8.9999999999999999E-10</v>
      </c>
      <c r="AE43" s="119">
        <f t="shared" si="88"/>
        <v>9.5000000000000003E-10</v>
      </c>
      <c r="AF43" s="119" t="b">
        <f t="shared" si="92"/>
        <v>1</v>
      </c>
      <c r="AG43" s="119" t="b">
        <f t="shared" si="102"/>
        <v>1</v>
      </c>
      <c r="AH43" s="119" t="b">
        <f t="shared" si="103"/>
        <v>1</v>
      </c>
      <c r="AI43" s="119" t="b">
        <f t="shared" si="104"/>
        <v>1</v>
      </c>
      <c r="AJ43" s="119" t="b">
        <f t="shared" si="96"/>
        <v>0</v>
      </c>
      <c r="AK43" s="119" t="b">
        <f t="shared" si="105"/>
        <v>0</v>
      </c>
      <c r="AL43" s="119" t="b">
        <f t="shared" si="106"/>
        <v>0</v>
      </c>
      <c r="AM43" s="119" t="b">
        <f t="shared" si="107"/>
        <v>0</v>
      </c>
      <c r="AN43" s="119" t="b">
        <f t="shared" si="108"/>
        <v>1</v>
      </c>
      <c r="AO43" s="119" t="b">
        <f t="shared" si="109"/>
        <v>1</v>
      </c>
      <c r="AQ43" s="2" t="str">
        <f>'Reference Score Calculation'!M20</f>
        <v>/</v>
      </c>
      <c r="AR43" s="2"/>
      <c r="AS43" s="2"/>
      <c r="AT43" s="237"/>
      <c r="AU43" s="240">
        <f>IF(AU42=$BA$40,0,IF(OR(P1="物理",P1="化學",P1="生物",P1="地理"),P6,0))</f>
        <v>0</v>
      </c>
      <c r="AV43" s="240">
        <f t="shared" ref="AV43:AX43" si="111">IF(AV42=$BA$40,0,IF(OR(Q1="物理",Q1="化學",Q1="生物",Q1="地理"),Q6,0))</f>
        <v>0</v>
      </c>
      <c r="AW43" s="240">
        <f t="shared" si="111"/>
        <v>0</v>
      </c>
      <c r="AX43" s="240">
        <f t="shared" si="111"/>
        <v>0</v>
      </c>
      <c r="AY43" s="240">
        <f>O3</f>
        <v>5.0000000000000003E-10</v>
      </c>
      <c r="AZ43" s="237"/>
      <c r="BA43" s="240" t="str">
        <f>IF(BB43&gt;0,INDEX(AU42:AY42,MATCH(LARGE(AU43:AY43,1),AU43:AY43,0)),"無")</f>
        <v>數學延伸</v>
      </c>
      <c r="BB43" s="240">
        <f>LARGE((AU43:AY43),1)</f>
        <v>5.0000000000000003E-10</v>
      </c>
      <c r="BC43" s="237"/>
      <c r="BD43" s="237"/>
      <c r="BE43" s="237"/>
    </row>
    <row r="44" spans="1:57">
      <c r="A44" s="119" t="s">
        <v>851</v>
      </c>
      <c r="B44" s="119" t="str">
        <f>'Reference Score Calculation'!A21</f>
        <v>JS1017</v>
      </c>
      <c r="C44" s="119" t="str">
        <f>'Reference Score Calculation'!D21</f>
        <v>資訊系統學系 [選項: 工商管理學士(環球商業系統管理)、工商管理學士(資訊管理)]</v>
      </c>
      <c r="D44" s="2"/>
      <c r="E44" s="395" t="str">
        <f>'Reference Score Calculation'!E21</f>
        <v>4C2X</v>
      </c>
      <c r="F44" s="395"/>
      <c r="G44" s="16" t="str">
        <f>入學要求!AB30</f>
        <v>v</v>
      </c>
      <c r="H44" s="16" t="str">
        <f>入學要求!AC30</f>
        <v>E</v>
      </c>
      <c r="I44" s="16" t="str">
        <f>入學要求!AD30</f>
        <v>NO</v>
      </c>
      <c r="J44" s="119">
        <f t="shared" si="91"/>
        <v>2.7499999999999998E-9</v>
      </c>
      <c r="K44" s="122">
        <v>1</v>
      </c>
      <c r="L44" s="122">
        <v>1</v>
      </c>
      <c r="M44" s="122">
        <v>1</v>
      </c>
      <c r="N44" s="122">
        <v>1</v>
      </c>
      <c r="O44" s="122">
        <v>1</v>
      </c>
      <c r="P44" s="122">
        <v>1</v>
      </c>
      <c r="Q44" s="122">
        <v>1</v>
      </c>
      <c r="R44" s="122">
        <v>1</v>
      </c>
      <c r="S44" s="122">
        <v>1</v>
      </c>
      <c r="T44" s="122">
        <v>1</v>
      </c>
      <c r="V44" s="119">
        <f t="shared" si="79"/>
        <v>4.0000000000000001E-10</v>
      </c>
      <c r="W44" s="119">
        <f t="shared" si="80"/>
        <v>2.0000000000000001E-10</v>
      </c>
      <c r="X44" s="119">
        <f t="shared" si="81"/>
        <v>3E-10</v>
      </c>
      <c r="Y44" s="119">
        <f t="shared" si="82"/>
        <v>0</v>
      </c>
      <c r="Z44" s="119">
        <f t="shared" si="83"/>
        <v>5.0000000000000003E-10</v>
      </c>
      <c r="AA44" s="119">
        <f t="shared" si="84"/>
        <v>6E-10</v>
      </c>
      <c r="AB44" s="119">
        <f t="shared" si="85"/>
        <v>6.9999999999999996E-10</v>
      </c>
      <c r="AC44" s="119">
        <f t="shared" si="86"/>
        <v>8.0000000000000003E-10</v>
      </c>
      <c r="AD44" s="119">
        <f t="shared" si="87"/>
        <v>8.9999999999999999E-10</v>
      </c>
      <c r="AE44" s="119">
        <f t="shared" si="88"/>
        <v>9.5000000000000003E-10</v>
      </c>
      <c r="AF44" s="119" t="b">
        <f t="shared" si="92"/>
        <v>1</v>
      </c>
      <c r="AG44" s="119" t="b">
        <f t="shared" si="102"/>
        <v>1</v>
      </c>
      <c r="AH44" s="119" t="b">
        <f t="shared" si="103"/>
        <v>1</v>
      </c>
      <c r="AI44" s="119" t="b">
        <f t="shared" si="104"/>
        <v>1</v>
      </c>
      <c r="AJ44" s="119" t="b">
        <f t="shared" si="96"/>
        <v>0</v>
      </c>
      <c r="AK44" s="119" t="b">
        <f t="shared" si="105"/>
        <v>0</v>
      </c>
      <c r="AL44" s="119" t="b">
        <f t="shared" si="106"/>
        <v>0</v>
      </c>
      <c r="AM44" s="119" t="b">
        <f t="shared" si="107"/>
        <v>0</v>
      </c>
      <c r="AN44" s="119" t="b">
        <f t="shared" si="108"/>
        <v>1</v>
      </c>
      <c r="AO44" s="119" t="b">
        <f t="shared" si="109"/>
        <v>1</v>
      </c>
      <c r="AQ44" s="2" t="str">
        <f>'Reference Score Calculation'!M21</f>
        <v>/</v>
      </c>
      <c r="AR44" s="2"/>
      <c r="AS44" s="2"/>
      <c r="AT44" s="234"/>
      <c r="AU44" s="241" t="s">
        <v>2837</v>
      </c>
      <c r="AV44" s="237"/>
      <c r="AW44" s="237"/>
      <c r="AX44" s="237"/>
      <c r="AY44" s="237"/>
      <c r="AZ44" s="235"/>
      <c r="BA44" s="235"/>
      <c r="BB44" s="235"/>
      <c r="BC44" s="237"/>
      <c r="BD44" s="237"/>
      <c r="BE44" s="237"/>
    </row>
    <row r="45" spans="1:57">
      <c r="A45" s="119" t="s">
        <v>853</v>
      </c>
      <c r="B45" s="119" t="str">
        <f>'Reference Score Calculation'!A22</f>
        <v>JS1018</v>
      </c>
      <c r="C45" s="119" t="str">
        <f>'Reference Score Calculation'!D22</f>
        <v>工商管理學士(環球商業系統管理)</v>
      </c>
      <c r="D45" s="2"/>
      <c r="E45" s="395" t="str">
        <f>'Reference Score Calculation'!E22</f>
        <v>4C2X</v>
      </c>
      <c r="F45" s="395"/>
      <c r="G45" s="16" t="str">
        <f>入學要求!AB31</f>
        <v>v</v>
      </c>
      <c r="H45" s="16" t="str">
        <f>入學要求!AC31</f>
        <v>E</v>
      </c>
      <c r="I45" s="16" t="str">
        <f>入學要求!AD31</f>
        <v>NO</v>
      </c>
      <c r="J45" s="119">
        <f t="shared" si="91"/>
        <v>2.7499999999999998E-9</v>
      </c>
      <c r="K45" s="122">
        <v>1</v>
      </c>
      <c r="L45" s="122">
        <v>1</v>
      </c>
      <c r="M45" s="122">
        <v>1</v>
      </c>
      <c r="N45" s="122">
        <v>1</v>
      </c>
      <c r="O45" s="122">
        <v>1</v>
      </c>
      <c r="P45" s="122">
        <v>1</v>
      </c>
      <c r="Q45" s="122">
        <v>1</v>
      </c>
      <c r="R45" s="122">
        <v>1</v>
      </c>
      <c r="S45" s="122">
        <v>1</v>
      </c>
      <c r="T45" s="122">
        <v>1</v>
      </c>
      <c r="V45" s="119">
        <f t="shared" si="79"/>
        <v>4.0000000000000001E-10</v>
      </c>
      <c r="W45" s="119">
        <f t="shared" si="80"/>
        <v>2.0000000000000001E-10</v>
      </c>
      <c r="X45" s="119">
        <f t="shared" si="81"/>
        <v>3E-10</v>
      </c>
      <c r="Y45" s="119">
        <f t="shared" si="82"/>
        <v>0</v>
      </c>
      <c r="Z45" s="119">
        <f t="shared" si="83"/>
        <v>5.0000000000000003E-10</v>
      </c>
      <c r="AA45" s="119">
        <f t="shared" si="84"/>
        <v>6E-10</v>
      </c>
      <c r="AB45" s="119">
        <f t="shared" si="85"/>
        <v>6.9999999999999996E-10</v>
      </c>
      <c r="AC45" s="119">
        <f t="shared" si="86"/>
        <v>8.0000000000000003E-10</v>
      </c>
      <c r="AD45" s="119">
        <f t="shared" si="87"/>
        <v>8.9999999999999999E-10</v>
      </c>
      <c r="AE45" s="119">
        <f t="shared" si="88"/>
        <v>9.5000000000000003E-10</v>
      </c>
      <c r="AF45" s="119" t="b">
        <f t="shared" si="92"/>
        <v>1</v>
      </c>
      <c r="AG45" s="119" t="b">
        <f t="shared" si="102"/>
        <v>1</v>
      </c>
      <c r="AH45" s="119" t="b">
        <f t="shared" si="103"/>
        <v>1</v>
      </c>
      <c r="AI45" s="119" t="b">
        <f t="shared" si="104"/>
        <v>1</v>
      </c>
      <c r="AJ45" s="119" t="b">
        <f t="shared" si="96"/>
        <v>0</v>
      </c>
      <c r="AK45" s="119" t="b">
        <f t="shared" si="105"/>
        <v>0</v>
      </c>
      <c r="AL45" s="119" t="b">
        <f t="shared" si="106"/>
        <v>0</v>
      </c>
      <c r="AM45" s="119" t="b">
        <f t="shared" si="107"/>
        <v>0</v>
      </c>
      <c r="AN45" s="119" t="b">
        <f t="shared" si="108"/>
        <v>1</v>
      </c>
      <c r="AO45" s="119" t="b">
        <f t="shared" si="109"/>
        <v>1</v>
      </c>
      <c r="AQ45" s="2" t="str">
        <f>'Reference Score Calculation'!M22</f>
        <v>/</v>
      </c>
      <c r="AR45" s="2"/>
      <c r="AS45" s="2"/>
      <c r="AT45" s="237"/>
      <c r="AU45" s="237" t="str">
        <f t="shared" ref="AU45:BD45" si="112">K1</f>
        <v>中國語文</v>
      </c>
      <c r="AV45" s="237" t="str">
        <f t="shared" si="112"/>
        <v>英國語文</v>
      </c>
      <c r="AW45" s="237" t="str">
        <f t="shared" si="112"/>
        <v>數學</v>
      </c>
      <c r="AX45" s="237"/>
      <c r="AY45" s="237" t="str">
        <f t="shared" si="112"/>
        <v>數學延伸</v>
      </c>
      <c r="AZ45" s="237" t="str">
        <f t="shared" si="112"/>
        <v>請選擇第一選修科</v>
      </c>
      <c r="BA45" s="237" t="str">
        <f t="shared" si="112"/>
        <v>請選擇第二選修科</v>
      </c>
      <c r="BB45" s="237" t="str">
        <f t="shared" si="112"/>
        <v>請選擇第三選修科</v>
      </c>
      <c r="BC45" s="237" t="str">
        <f t="shared" si="112"/>
        <v>請選擇第四選修科</v>
      </c>
      <c r="BD45" s="237" t="str">
        <f t="shared" si="112"/>
        <v>請選擇語言科目</v>
      </c>
      <c r="BE45" s="237"/>
    </row>
    <row r="46" spans="1:57">
      <c r="A46" s="119" t="s">
        <v>856</v>
      </c>
      <c r="B46" s="119" t="str">
        <f>'Reference Score Calculation'!A23</f>
        <v>JS1019</v>
      </c>
      <c r="C46" s="119" t="str">
        <f>'Reference Score Calculation'!D23</f>
        <v>工商管理學士(資訊管理)</v>
      </c>
      <c r="D46" s="2"/>
      <c r="E46" s="395" t="str">
        <f>'Reference Score Calculation'!E23</f>
        <v>4C2X</v>
      </c>
      <c r="F46" s="395"/>
      <c r="G46" s="16" t="str">
        <f>入學要求!AB32</f>
        <v>v</v>
      </c>
      <c r="H46" s="16" t="str">
        <f>入學要求!AC32</f>
        <v>E</v>
      </c>
      <c r="I46" s="16" t="str">
        <f>入學要求!AD32</f>
        <v>NO</v>
      </c>
      <c r="J46" s="119">
        <f t="shared" si="91"/>
        <v>2.7499999999999998E-9</v>
      </c>
      <c r="K46" s="122">
        <v>1</v>
      </c>
      <c r="L46" s="122">
        <v>1</v>
      </c>
      <c r="M46" s="122">
        <v>1</v>
      </c>
      <c r="N46" s="122">
        <v>1</v>
      </c>
      <c r="O46" s="122">
        <v>1</v>
      </c>
      <c r="P46" s="122">
        <v>1</v>
      </c>
      <c r="Q46" s="122">
        <v>1</v>
      </c>
      <c r="R46" s="122">
        <v>1</v>
      </c>
      <c r="S46" s="122">
        <v>1</v>
      </c>
      <c r="T46" s="122">
        <v>1</v>
      </c>
      <c r="V46" s="119">
        <f t="shared" si="79"/>
        <v>4.0000000000000001E-10</v>
      </c>
      <c r="W46" s="119">
        <f t="shared" si="80"/>
        <v>2.0000000000000001E-10</v>
      </c>
      <c r="X46" s="119">
        <f t="shared" si="81"/>
        <v>3E-10</v>
      </c>
      <c r="Y46" s="119">
        <f t="shared" si="82"/>
        <v>0</v>
      </c>
      <c r="Z46" s="119">
        <f t="shared" si="83"/>
        <v>5.0000000000000003E-10</v>
      </c>
      <c r="AA46" s="119">
        <f t="shared" si="84"/>
        <v>6E-10</v>
      </c>
      <c r="AB46" s="119">
        <f t="shared" si="85"/>
        <v>6.9999999999999996E-10</v>
      </c>
      <c r="AC46" s="119">
        <f t="shared" si="86"/>
        <v>8.0000000000000003E-10</v>
      </c>
      <c r="AD46" s="119">
        <f t="shared" si="87"/>
        <v>8.9999999999999999E-10</v>
      </c>
      <c r="AE46" s="119">
        <f t="shared" si="88"/>
        <v>9.5000000000000003E-10</v>
      </c>
      <c r="AF46" s="119" t="b">
        <f t="shared" si="92"/>
        <v>1</v>
      </c>
      <c r="AG46" s="119" t="b">
        <f t="shared" si="102"/>
        <v>1</v>
      </c>
      <c r="AH46" s="119" t="b">
        <f t="shared" si="103"/>
        <v>1</v>
      </c>
      <c r="AI46" s="119" t="b">
        <f t="shared" si="104"/>
        <v>1</v>
      </c>
      <c r="AJ46" s="119" t="b">
        <f t="shared" si="96"/>
        <v>0</v>
      </c>
      <c r="AK46" s="119" t="b">
        <f t="shared" si="105"/>
        <v>0</v>
      </c>
      <c r="AL46" s="119" t="b">
        <f t="shared" si="106"/>
        <v>0</v>
      </c>
      <c r="AM46" s="119" t="b">
        <f t="shared" si="107"/>
        <v>0</v>
      </c>
      <c r="AN46" s="119" t="b">
        <f t="shared" si="108"/>
        <v>1</v>
      </c>
      <c r="AO46" s="119" t="b">
        <f t="shared" si="109"/>
        <v>1</v>
      </c>
      <c r="AQ46" s="2" t="str">
        <f>'Reference Score Calculation'!M23</f>
        <v>/</v>
      </c>
      <c r="AR46" s="2"/>
      <c r="AS46" s="2"/>
      <c r="AT46" s="237"/>
      <c r="AU46" s="240">
        <f>K3</f>
        <v>4.0000000000000001E-10</v>
      </c>
      <c r="AV46" s="237"/>
      <c r="AW46" s="237"/>
      <c r="AX46" s="237"/>
      <c r="AY46" s="240">
        <f>IF(AY45=BA43,O3*1.5,O3)</f>
        <v>7.500000000000001E-10</v>
      </c>
      <c r="AZ46" s="240">
        <f>IF(AZ45=$BA$40,0,IF(AZ45=$BA$43,P3*1.5,P3))</f>
        <v>6E-10</v>
      </c>
      <c r="BA46" s="240">
        <f>IF(BA45=$BA$40,0,IF(BA45=$BA$43,Q3*1.5,Q3))</f>
        <v>6.9999999999999996E-10</v>
      </c>
      <c r="BB46" s="240">
        <f>IF(BB45=$BA$40,0,IF(BB45=$BA$43,R3*1.5,R3))</f>
        <v>8.0000000000000003E-10</v>
      </c>
      <c r="BC46" s="240">
        <f>IF(BC45=$BA$40,0,IF(BC45=$BA$43,S3*1.5,S3))</f>
        <v>8.9999999999999999E-10</v>
      </c>
      <c r="BD46" s="240">
        <f>T3</f>
        <v>9.5000000000000003E-10</v>
      </c>
      <c r="BE46" s="237"/>
    </row>
    <row r="47" spans="1:57">
      <c r="A47" s="119" t="s">
        <v>859</v>
      </c>
      <c r="B47" s="119" t="str">
        <f>'Reference Score Calculation'!A24</f>
        <v>JS1025</v>
      </c>
      <c r="C47" s="119" t="str">
        <f>'Reference Score Calculation'!D24</f>
        <v>管理科學系 [選項: 工商管理學士(商業決策分析)、工商管理學士(環球營運管理)]</v>
      </c>
      <c r="D47" s="2"/>
      <c r="E47" s="395" t="str">
        <f>'Reference Score Calculation'!E24</f>
        <v>4C2X</v>
      </c>
      <c r="F47" s="395"/>
      <c r="G47" s="16" t="str">
        <f>入學要求!AB33</f>
        <v>v</v>
      </c>
      <c r="H47" s="16" t="str">
        <f>入學要求!AC33</f>
        <v>E</v>
      </c>
      <c r="I47" s="16" t="str">
        <f>入學要求!AD33</f>
        <v>NO</v>
      </c>
      <c r="J47" s="119">
        <f t="shared" si="91"/>
        <v>2.7499999999999998E-9</v>
      </c>
      <c r="K47" s="122">
        <v>1</v>
      </c>
      <c r="L47" s="122">
        <v>1</v>
      </c>
      <c r="M47" s="122">
        <v>1</v>
      </c>
      <c r="N47" s="122">
        <v>1</v>
      </c>
      <c r="O47" s="122">
        <v>1</v>
      </c>
      <c r="P47" s="122">
        <v>1</v>
      </c>
      <c r="Q47" s="122">
        <v>1</v>
      </c>
      <c r="R47" s="122">
        <v>1</v>
      </c>
      <c r="S47" s="122">
        <v>1</v>
      </c>
      <c r="T47" s="122">
        <v>1</v>
      </c>
      <c r="V47" s="119">
        <f t="shared" si="79"/>
        <v>4.0000000000000001E-10</v>
      </c>
      <c r="W47" s="119">
        <f t="shared" si="80"/>
        <v>2.0000000000000001E-10</v>
      </c>
      <c r="X47" s="119">
        <f t="shared" si="81"/>
        <v>3E-10</v>
      </c>
      <c r="Y47" s="119">
        <f t="shared" si="82"/>
        <v>0</v>
      </c>
      <c r="Z47" s="119">
        <f t="shared" si="83"/>
        <v>5.0000000000000003E-10</v>
      </c>
      <c r="AA47" s="119">
        <f t="shared" si="84"/>
        <v>6E-10</v>
      </c>
      <c r="AB47" s="119">
        <f t="shared" si="85"/>
        <v>6.9999999999999996E-10</v>
      </c>
      <c r="AC47" s="119">
        <f t="shared" si="86"/>
        <v>8.0000000000000003E-10</v>
      </c>
      <c r="AD47" s="119">
        <f t="shared" si="87"/>
        <v>8.9999999999999999E-10</v>
      </c>
      <c r="AE47" s="119">
        <f t="shared" si="88"/>
        <v>9.5000000000000003E-10</v>
      </c>
      <c r="AF47" s="119" t="b">
        <f t="shared" si="92"/>
        <v>1</v>
      </c>
      <c r="AG47" s="119" t="b">
        <f t="shared" si="102"/>
        <v>1</v>
      </c>
      <c r="AH47" s="119" t="b">
        <f t="shared" si="103"/>
        <v>1</v>
      </c>
      <c r="AI47" s="119" t="b">
        <f t="shared" si="104"/>
        <v>1</v>
      </c>
      <c r="AJ47" s="119" t="b">
        <f t="shared" si="96"/>
        <v>0</v>
      </c>
      <c r="AK47" s="119" t="b">
        <f t="shared" si="105"/>
        <v>0</v>
      </c>
      <c r="AL47" s="119" t="b">
        <f t="shared" si="106"/>
        <v>0</v>
      </c>
      <c r="AM47" s="119" t="b">
        <f t="shared" si="107"/>
        <v>0</v>
      </c>
      <c r="AN47" s="119" t="b">
        <f t="shared" si="108"/>
        <v>1</v>
      </c>
      <c r="AO47" s="119" t="b">
        <f t="shared" si="109"/>
        <v>1</v>
      </c>
      <c r="AQ47" s="2" t="str">
        <f>'Reference Score Calculation'!M24</f>
        <v>/</v>
      </c>
      <c r="AR47" s="2"/>
      <c r="AS47" s="2"/>
      <c r="AT47" s="237"/>
      <c r="AU47" s="245" t="b">
        <f>IF(AU46&gt;LARGE($AU$46:$BD$46,3),TRUE,FALSE)</f>
        <v>0</v>
      </c>
      <c r="AV47" s="163"/>
      <c r="AW47" s="163"/>
      <c r="AX47" s="237"/>
      <c r="AY47" s="245" t="b">
        <f t="shared" ref="AY47:BD47" si="113">IF(AY46&gt;LARGE($AU$46:$BD$46,3),TRUE,FALSE)</f>
        <v>0</v>
      </c>
      <c r="AZ47" s="245" t="b">
        <f t="shared" si="113"/>
        <v>0</v>
      </c>
      <c r="BA47" s="245" t="b">
        <f t="shared" si="113"/>
        <v>0</v>
      </c>
      <c r="BB47" s="245" t="b">
        <f t="shared" si="113"/>
        <v>0</v>
      </c>
      <c r="BC47" s="245" t="b">
        <f t="shared" si="113"/>
        <v>1</v>
      </c>
      <c r="BD47" s="245" t="b">
        <f t="shared" si="113"/>
        <v>1</v>
      </c>
      <c r="BE47" s="237"/>
    </row>
    <row r="48" spans="1:57">
      <c r="A48" s="119" t="s">
        <v>863</v>
      </c>
      <c r="B48" s="119" t="str">
        <f>'Reference Score Calculation'!A25</f>
        <v>JS1026</v>
      </c>
      <c r="C48" s="119" t="str">
        <f>'Reference Score Calculation'!D25</f>
        <v>工商管理學士(商業決策分析)</v>
      </c>
      <c r="D48" s="2"/>
      <c r="E48" s="395" t="str">
        <f>'Reference Score Calculation'!E25</f>
        <v>4C2X</v>
      </c>
      <c r="F48" s="395"/>
      <c r="G48" s="16" t="str">
        <f>入學要求!AB34</f>
        <v>v</v>
      </c>
      <c r="H48" s="16" t="str">
        <f>入學要求!AC34</f>
        <v>E</v>
      </c>
      <c r="I48" s="16" t="str">
        <f>入學要求!AD34</f>
        <v>NO</v>
      </c>
      <c r="J48" s="119">
        <f t="shared" si="91"/>
        <v>2.7499999999999998E-9</v>
      </c>
      <c r="K48" s="122">
        <v>1</v>
      </c>
      <c r="L48" s="122">
        <v>1</v>
      </c>
      <c r="M48" s="122">
        <v>1</v>
      </c>
      <c r="N48" s="122">
        <v>1</v>
      </c>
      <c r="O48" s="122">
        <v>1</v>
      </c>
      <c r="P48" s="122">
        <v>1</v>
      </c>
      <c r="Q48" s="122">
        <v>1</v>
      </c>
      <c r="R48" s="122">
        <v>1</v>
      </c>
      <c r="S48" s="122">
        <v>1</v>
      </c>
      <c r="T48" s="122">
        <v>1</v>
      </c>
      <c r="V48" s="119">
        <f t="shared" si="79"/>
        <v>4.0000000000000001E-10</v>
      </c>
      <c r="W48" s="119">
        <f t="shared" si="80"/>
        <v>2.0000000000000001E-10</v>
      </c>
      <c r="X48" s="119">
        <f t="shared" si="81"/>
        <v>3E-10</v>
      </c>
      <c r="Y48" s="119">
        <f t="shared" si="82"/>
        <v>0</v>
      </c>
      <c r="Z48" s="119">
        <f t="shared" si="83"/>
        <v>5.0000000000000003E-10</v>
      </c>
      <c r="AA48" s="119">
        <f t="shared" si="84"/>
        <v>6E-10</v>
      </c>
      <c r="AB48" s="119">
        <f t="shared" si="85"/>
        <v>6.9999999999999996E-10</v>
      </c>
      <c r="AC48" s="119">
        <f t="shared" si="86"/>
        <v>8.0000000000000003E-10</v>
      </c>
      <c r="AD48" s="119">
        <f t="shared" si="87"/>
        <v>8.9999999999999999E-10</v>
      </c>
      <c r="AE48" s="119">
        <f t="shared" si="88"/>
        <v>9.5000000000000003E-10</v>
      </c>
      <c r="AF48" s="119" t="b">
        <f t="shared" si="92"/>
        <v>1</v>
      </c>
      <c r="AG48" s="119" t="b">
        <f t="shared" si="102"/>
        <v>1</v>
      </c>
      <c r="AH48" s="119" t="b">
        <f t="shared" si="103"/>
        <v>1</v>
      </c>
      <c r="AI48" s="119" t="b">
        <f t="shared" si="104"/>
        <v>1</v>
      </c>
      <c r="AJ48" s="119" t="b">
        <f t="shared" si="96"/>
        <v>0</v>
      </c>
      <c r="AK48" s="119" t="b">
        <f t="shared" si="105"/>
        <v>0</v>
      </c>
      <c r="AL48" s="119" t="b">
        <f t="shared" si="106"/>
        <v>0</v>
      </c>
      <c r="AM48" s="119" t="b">
        <f t="shared" si="107"/>
        <v>0</v>
      </c>
      <c r="AN48" s="119" t="b">
        <f t="shared" si="108"/>
        <v>1</v>
      </c>
      <c r="AO48" s="119" t="b">
        <f t="shared" si="109"/>
        <v>1</v>
      </c>
      <c r="AQ48" s="2" t="str">
        <f>'Reference Score Calculation'!M25</f>
        <v>/</v>
      </c>
      <c r="AR48" s="2"/>
      <c r="AS48" s="2"/>
      <c r="AT48" s="234"/>
      <c r="AU48" s="237"/>
      <c r="AV48" s="237"/>
      <c r="AW48" s="237"/>
      <c r="AX48" s="237"/>
      <c r="AY48" s="237"/>
      <c r="AZ48" s="237"/>
      <c r="BA48" s="237"/>
      <c r="BB48" s="237"/>
      <c r="BC48" s="235"/>
      <c r="BD48" s="235"/>
      <c r="BE48" s="235"/>
    </row>
    <row r="49" spans="1:76">
      <c r="A49" s="119" t="s">
        <v>866</v>
      </c>
      <c r="B49" s="119" t="str">
        <f>'Reference Score Calculation'!A26</f>
        <v>JS1027</v>
      </c>
      <c r="C49" s="119" t="str">
        <f>'Reference Score Calculation'!D26</f>
        <v>工商管理學士(環球營運管理)</v>
      </c>
      <c r="D49" s="2"/>
      <c r="E49" s="395" t="str">
        <f>'Reference Score Calculation'!E26</f>
        <v>4C2X</v>
      </c>
      <c r="F49" s="395"/>
      <c r="G49" s="16" t="str">
        <f>入學要求!AB35</f>
        <v>v</v>
      </c>
      <c r="H49" s="16" t="str">
        <f>入學要求!AC35</f>
        <v>E</v>
      </c>
      <c r="I49" s="16" t="str">
        <f>入學要求!AD35</f>
        <v>NO</v>
      </c>
      <c r="J49" s="119">
        <f t="shared" si="91"/>
        <v>2.7499999999999998E-9</v>
      </c>
      <c r="K49" s="122">
        <v>1</v>
      </c>
      <c r="L49" s="122">
        <v>1</v>
      </c>
      <c r="M49" s="122">
        <v>1</v>
      </c>
      <c r="N49" s="122">
        <v>1</v>
      </c>
      <c r="O49" s="122">
        <v>1</v>
      </c>
      <c r="P49" s="122">
        <v>1</v>
      </c>
      <c r="Q49" s="122">
        <v>1</v>
      </c>
      <c r="R49" s="122">
        <v>1</v>
      </c>
      <c r="S49" s="122">
        <v>1</v>
      </c>
      <c r="T49" s="122">
        <v>1</v>
      </c>
      <c r="V49" s="119">
        <f t="shared" si="79"/>
        <v>4.0000000000000001E-10</v>
      </c>
      <c r="W49" s="119">
        <f t="shared" si="80"/>
        <v>2.0000000000000001E-10</v>
      </c>
      <c r="X49" s="119">
        <f t="shared" si="81"/>
        <v>3E-10</v>
      </c>
      <c r="Y49" s="119">
        <f t="shared" si="82"/>
        <v>0</v>
      </c>
      <c r="Z49" s="119">
        <f t="shared" si="83"/>
        <v>5.0000000000000003E-10</v>
      </c>
      <c r="AA49" s="119">
        <f t="shared" si="84"/>
        <v>6E-10</v>
      </c>
      <c r="AB49" s="119">
        <f t="shared" si="85"/>
        <v>6.9999999999999996E-10</v>
      </c>
      <c r="AC49" s="119">
        <f t="shared" si="86"/>
        <v>8.0000000000000003E-10</v>
      </c>
      <c r="AD49" s="119">
        <f t="shared" si="87"/>
        <v>8.9999999999999999E-10</v>
      </c>
      <c r="AE49" s="119">
        <f t="shared" si="88"/>
        <v>9.5000000000000003E-10</v>
      </c>
      <c r="AF49" s="119" t="b">
        <f t="shared" si="92"/>
        <v>1</v>
      </c>
      <c r="AG49" s="119" t="b">
        <f t="shared" si="102"/>
        <v>1</v>
      </c>
      <c r="AH49" s="119" t="b">
        <f t="shared" si="103"/>
        <v>1</v>
      </c>
      <c r="AI49" s="119" t="b">
        <f t="shared" si="104"/>
        <v>1</v>
      </c>
      <c r="AJ49" s="119" t="b">
        <f t="shared" si="96"/>
        <v>0</v>
      </c>
      <c r="AK49" s="119" t="b">
        <f t="shared" si="105"/>
        <v>0</v>
      </c>
      <c r="AL49" s="119" t="b">
        <f t="shared" si="106"/>
        <v>0</v>
      </c>
      <c r="AM49" s="119" t="b">
        <f t="shared" si="107"/>
        <v>0</v>
      </c>
      <c r="AN49" s="119" t="b">
        <f t="shared" si="108"/>
        <v>1</v>
      </c>
      <c r="AO49" s="119" t="b">
        <f t="shared" si="109"/>
        <v>1</v>
      </c>
      <c r="AQ49" s="2" t="str">
        <f>'Reference Score Calculation'!M26</f>
        <v>/</v>
      </c>
      <c r="AR49" s="2"/>
      <c r="AS49" s="2"/>
      <c r="AT49" s="237"/>
      <c r="AU49" s="237"/>
      <c r="AV49" s="237"/>
      <c r="AW49" s="237"/>
      <c r="AX49" s="237"/>
      <c r="AY49" s="237"/>
      <c r="AZ49" s="237"/>
      <c r="BA49" s="237"/>
      <c r="BB49" s="237"/>
      <c r="BC49" s="237"/>
      <c r="BD49" s="237"/>
      <c r="BE49" s="237"/>
    </row>
    <row r="50" spans="1:76">
      <c r="A50" s="119" t="s">
        <v>869</v>
      </c>
      <c r="B50" s="119" t="str">
        <f>'Reference Score Calculation'!A27</f>
        <v>JS1041</v>
      </c>
      <c r="C50" s="119" t="str">
        <f>'Reference Score Calculation'!D27</f>
        <v>創意媒體學院 [選項: 文學士(創意媒體)、理學士(創意媒體)、文理學士(新媒體)]</v>
      </c>
      <c r="D50" s="2"/>
      <c r="E50" s="397" t="str">
        <f>'Reference Score Calculation'!E27</f>
        <v>4C2X</v>
      </c>
      <c r="F50" s="397"/>
      <c r="G50" s="16" t="str">
        <f>入學要求!AB36</f>
        <v>v</v>
      </c>
      <c r="H50" s="16" t="str">
        <f>入學要求!AC36</f>
        <v>E</v>
      </c>
      <c r="I50" s="16" t="str">
        <f>入學要求!AD36</f>
        <v>v</v>
      </c>
      <c r="J50" s="119">
        <f t="shared" si="91"/>
        <v>2.9499999999999999E-9</v>
      </c>
      <c r="K50" s="122">
        <v>1</v>
      </c>
      <c r="L50" s="122">
        <v>2</v>
      </c>
      <c r="M50" s="122">
        <v>1</v>
      </c>
      <c r="N50" s="122">
        <v>1</v>
      </c>
      <c r="O50" s="122">
        <v>1</v>
      </c>
      <c r="P50" s="122">
        <v>1</v>
      </c>
      <c r="Q50" s="122">
        <v>1</v>
      </c>
      <c r="R50" s="122">
        <v>1</v>
      </c>
      <c r="S50" s="122">
        <v>1</v>
      </c>
      <c r="T50" s="122">
        <v>1</v>
      </c>
      <c r="V50" s="119">
        <f t="shared" si="79"/>
        <v>4.0000000000000001E-10</v>
      </c>
      <c r="W50" s="119">
        <f t="shared" si="80"/>
        <v>4.0000000000000001E-10</v>
      </c>
      <c r="X50" s="119">
        <f t="shared" si="81"/>
        <v>3E-10</v>
      </c>
      <c r="Y50" s="119">
        <f t="shared" si="82"/>
        <v>0</v>
      </c>
      <c r="Z50" s="119">
        <f t="shared" si="83"/>
        <v>5.0000000000000003E-10</v>
      </c>
      <c r="AA50" s="119">
        <f t="shared" si="84"/>
        <v>6E-10</v>
      </c>
      <c r="AB50" s="119">
        <f t="shared" si="85"/>
        <v>6.9999999999999996E-10</v>
      </c>
      <c r="AC50" s="119">
        <f t="shared" si="86"/>
        <v>8.0000000000000003E-10</v>
      </c>
      <c r="AD50" s="119">
        <f t="shared" si="87"/>
        <v>8.9999999999999999E-10</v>
      </c>
      <c r="AE50" s="119">
        <f t="shared" si="88"/>
        <v>9.5000000000000003E-10</v>
      </c>
      <c r="AF50" s="119" t="b">
        <f t="shared" si="92"/>
        <v>1</v>
      </c>
      <c r="AG50" s="119" t="b">
        <f t="shared" si="102"/>
        <v>1</v>
      </c>
      <c r="AH50" s="119" t="b">
        <f t="shared" si="103"/>
        <v>1</v>
      </c>
      <c r="AI50" s="119" t="b">
        <f t="shared" si="104"/>
        <v>1</v>
      </c>
      <c r="AJ50" s="119" t="b">
        <f>IF($E50="4C2X",IF(Z50&gt;LARGE($Z50:$AE50,3),TRUE),IF($E50="4C1X",IF(Z50&gt;LARGE($Z50:$AE50,2),TRUE),IF($E50="Best 5",IF(Z50&gt;LARGE($V50:$AE50,6),TRUE),IF($E50="Best 6",IF(Z50&gt;LARGE($V50:$AE50,7),TRUE)))))</f>
        <v>0</v>
      </c>
      <c r="AK50" s="119" t="b">
        <f t="shared" si="105"/>
        <v>0</v>
      </c>
      <c r="AL50" s="119" t="b">
        <f t="shared" si="106"/>
        <v>0</v>
      </c>
      <c r="AM50" s="119" t="b">
        <f t="shared" si="107"/>
        <v>0</v>
      </c>
      <c r="AN50" s="119" t="b">
        <f t="shared" si="108"/>
        <v>1</v>
      </c>
      <c r="AO50" s="119" t="b">
        <f t="shared" si="109"/>
        <v>1</v>
      </c>
      <c r="AQ50" s="2" t="str">
        <f>'Reference Score Calculation'!M27</f>
        <v>/</v>
      </c>
      <c r="AR50" s="2"/>
      <c r="AS50" s="2"/>
      <c r="AT50" s="243" t="s">
        <v>308</v>
      </c>
      <c r="AU50" s="234"/>
      <c r="AV50" s="234"/>
      <c r="AW50" s="234"/>
      <c r="AX50" s="234"/>
      <c r="AY50" s="234"/>
      <c r="AZ50" s="234"/>
      <c r="BA50" s="234"/>
      <c r="BB50" s="234"/>
      <c r="BC50" s="234"/>
      <c r="BD50" s="234"/>
      <c r="BE50" s="234"/>
    </row>
    <row r="51" spans="1:76">
      <c r="A51" s="119" t="s">
        <v>877</v>
      </c>
      <c r="B51" s="119" t="str">
        <f>'Reference Score Calculation'!A28</f>
        <v>JS1042</v>
      </c>
      <c r="C51" s="119" t="str">
        <f>'Reference Score Calculation'!D28</f>
        <v>文學士(創意媒體)</v>
      </c>
      <c r="D51" s="2"/>
      <c r="E51" s="397" t="str">
        <f>'Reference Score Calculation'!E28</f>
        <v>4C2X</v>
      </c>
      <c r="F51" s="397"/>
      <c r="G51" s="16" t="str">
        <f>入學要求!AB37</f>
        <v>v</v>
      </c>
      <c r="H51" s="16" t="str">
        <f>入學要求!AC37</f>
        <v>E</v>
      </c>
      <c r="I51" s="16" t="str">
        <f>入學要求!AD37</f>
        <v>v</v>
      </c>
      <c r="J51" s="119">
        <f t="shared" si="91"/>
        <v>2.9499999999999999E-9</v>
      </c>
      <c r="K51" s="122">
        <v>1</v>
      </c>
      <c r="L51" s="122">
        <v>2</v>
      </c>
      <c r="M51" s="122">
        <v>1</v>
      </c>
      <c r="N51" s="122">
        <v>1</v>
      </c>
      <c r="O51" s="122">
        <v>1</v>
      </c>
      <c r="P51" s="122">
        <v>1</v>
      </c>
      <c r="Q51" s="122">
        <v>1</v>
      </c>
      <c r="R51" s="122">
        <v>1</v>
      </c>
      <c r="S51" s="122">
        <v>1</v>
      </c>
      <c r="T51" s="122">
        <v>1</v>
      </c>
      <c r="V51" s="119">
        <f t="shared" si="79"/>
        <v>4.0000000000000001E-10</v>
      </c>
      <c r="W51" s="119">
        <f t="shared" si="80"/>
        <v>4.0000000000000001E-10</v>
      </c>
      <c r="X51" s="119">
        <f t="shared" si="81"/>
        <v>3E-10</v>
      </c>
      <c r="Y51" s="119">
        <f t="shared" si="82"/>
        <v>0</v>
      </c>
      <c r="Z51" s="119">
        <f t="shared" si="83"/>
        <v>5.0000000000000003E-10</v>
      </c>
      <c r="AA51" s="119">
        <f t="shared" si="84"/>
        <v>6E-10</v>
      </c>
      <c r="AB51" s="119">
        <f t="shared" si="85"/>
        <v>6.9999999999999996E-10</v>
      </c>
      <c r="AC51" s="119">
        <f t="shared" si="86"/>
        <v>8.0000000000000003E-10</v>
      </c>
      <c r="AD51" s="119">
        <f t="shared" si="87"/>
        <v>8.9999999999999999E-10</v>
      </c>
      <c r="AE51" s="119">
        <f t="shared" si="88"/>
        <v>9.5000000000000003E-10</v>
      </c>
      <c r="AF51" s="119" t="b">
        <f t="shared" si="92"/>
        <v>1</v>
      </c>
      <c r="AG51" s="119" t="b">
        <f t="shared" si="102"/>
        <v>1</v>
      </c>
      <c r="AH51" s="119" t="b">
        <f t="shared" si="103"/>
        <v>1</v>
      </c>
      <c r="AI51" s="119" t="b">
        <f t="shared" si="104"/>
        <v>1</v>
      </c>
      <c r="AJ51" s="119" t="b">
        <f t="shared" si="96"/>
        <v>0</v>
      </c>
      <c r="AK51" s="119" t="b">
        <f t="shared" si="105"/>
        <v>0</v>
      </c>
      <c r="AL51" s="119" t="b">
        <f t="shared" si="106"/>
        <v>0</v>
      </c>
      <c r="AM51" s="119" t="b">
        <f t="shared" si="107"/>
        <v>0</v>
      </c>
      <c r="AN51" s="119" t="b">
        <f t="shared" si="108"/>
        <v>1</v>
      </c>
      <c r="AO51" s="119" t="b">
        <f t="shared" si="109"/>
        <v>1</v>
      </c>
      <c r="AQ51" s="2" t="str">
        <f>'Reference Score Calculation'!M28</f>
        <v>/</v>
      </c>
      <c r="AR51" s="2"/>
      <c r="AS51" s="2"/>
      <c r="AT51" s="234"/>
      <c r="AU51" s="234"/>
      <c r="AV51" s="234"/>
      <c r="AW51" s="234"/>
      <c r="AX51" s="234"/>
      <c r="AY51" s="234"/>
      <c r="AZ51" s="234"/>
      <c r="BA51" s="234"/>
      <c r="BB51" s="234"/>
      <c r="BC51" s="234"/>
      <c r="BD51" s="234"/>
      <c r="BE51" s="234"/>
    </row>
    <row r="52" spans="1:76">
      <c r="A52" s="119" t="s">
        <v>880</v>
      </c>
      <c r="B52" s="119" t="str">
        <f>'Reference Score Calculation'!A29</f>
        <v>JS1043</v>
      </c>
      <c r="C52" s="119" t="str">
        <f>'Reference Score Calculation'!D29</f>
        <v>理學士(創意媒體)</v>
      </c>
      <c r="D52" s="2"/>
      <c r="E52" s="397" t="str">
        <f>'Reference Score Calculation'!E29</f>
        <v>4C2X</v>
      </c>
      <c r="F52" s="397"/>
      <c r="G52" s="16" t="str">
        <f>入學要求!AB38</f>
        <v>v</v>
      </c>
      <c r="H52" s="16" t="str">
        <f>入學要求!AC38</f>
        <v>E</v>
      </c>
      <c r="I52" s="16" t="str">
        <f>入學要求!AD38</f>
        <v>v</v>
      </c>
      <c r="J52" s="119">
        <f t="shared" si="91"/>
        <v>3.1000000000000005E-9</v>
      </c>
      <c r="K52" s="122">
        <v>1</v>
      </c>
      <c r="L52" s="122">
        <v>2</v>
      </c>
      <c r="M52" s="122">
        <v>1.5</v>
      </c>
      <c r="N52" s="122">
        <v>1</v>
      </c>
      <c r="O52" s="122">
        <v>1</v>
      </c>
      <c r="P52" s="122">
        <v>1</v>
      </c>
      <c r="Q52" s="122">
        <v>1</v>
      </c>
      <c r="R52" s="122">
        <v>1</v>
      </c>
      <c r="S52" s="122">
        <v>1</v>
      </c>
      <c r="T52" s="122">
        <v>1</v>
      </c>
      <c r="V52" s="119">
        <f t="shared" si="79"/>
        <v>4.0000000000000001E-10</v>
      </c>
      <c r="W52" s="119">
        <f t="shared" si="80"/>
        <v>4.0000000000000001E-10</v>
      </c>
      <c r="X52" s="119">
        <f t="shared" si="81"/>
        <v>4.5E-10</v>
      </c>
      <c r="Y52" s="119">
        <f t="shared" si="82"/>
        <v>0</v>
      </c>
      <c r="Z52" s="119">
        <f t="shared" si="83"/>
        <v>5.0000000000000003E-10</v>
      </c>
      <c r="AA52" s="119">
        <f t="shared" si="84"/>
        <v>6E-10</v>
      </c>
      <c r="AB52" s="119">
        <f t="shared" si="85"/>
        <v>6.9999999999999996E-10</v>
      </c>
      <c r="AC52" s="119">
        <f t="shared" si="86"/>
        <v>8.0000000000000003E-10</v>
      </c>
      <c r="AD52" s="119">
        <f t="shared" si="87"/>
        <v>8.9999999999999999E-10</v>
      </c>
      <c r="AE52" s="119">
        <f t="shared" si="88"/>
        <v>9.5000000000000003E-10</v>
      </c>
      <c r="AF52" s="119" t="b">
        <f t="shared" si="92"/>
        <v>1</v>
      </c>
      <c r="AG52" s="119" t="b">
        <f t="shared" si="102"/>
        <v>1</v>
      </c>
      <c r="AH52" s="119" t="b">
        <f t="shared" si="103"/>
        <v>1</v>
      </c>
      <c r="AI52" s="119" t="b">
        <f t="shared" si="104"/>
        <v>1</v>
      </c>
      <c r="AJ52" s="119" t="b">
        <f t="shared" si="96"/>
        <v>0</v>
      </c>
      <c r="AK52" s="119" t="b">
        <f t="shared" si="105"/>
        <v>0</v>
      </c>
      <c r="AL52" s="119" t="b">
        <f t="shared" si="106"/>
        <v>0</v>
      </c>
      <c r="AM52" s="119" t="b">
        <f t="shared" si="107"/>
        <v>0</v>
      </c>
      <c r="AN52" s="119" t="b">
        <f t="shared" si="108"/>
        <v>1</v>
      </c>
      <c r="AO52" s="119" t="b">
        <f t="shared" si="109"/>
        <v>1</v>
      </c>
      <c r="AQ52" s="2" t="str">
        <f>'Reference Score Calculation'!M29</f>
        <v>/</v>
      </c>
      <c r="AR52" s="2"/>
      <c r="AS52" s="2"/>
      <c r="AT52" s="237"/>
      <c r="AU52" s="237" t="str">
        <f>P1</f>
        <v>請選擇第一選修科</v>
      </c>
      <c r="AV52" s="237" t="str">
        <f>Q1</f>
        <v>請選擇第二選修科</v>
      </c>
      <c r="AW52" s="237" t="str">
        <f>R1</f>
        <v>請選擇第三選修科</v>
      </c>
      <c r="AX52" s="237" t="str">
        <f>S1</f>
        <v>請選擇第四選修科</v>
      </c>
      <c r="AY52" s="237" t="str">
        <f>O1</f>
        <v>數學延伸</v>
      </c>
      <c r="AZ52" s="237"/>
      <c r="BA52" s="237" t="s">
        <v>309</v>
      </c>
      <c r="BB52" s="237"/>
      <c r="BC52" s="237"/>
      <c r="BD52" s="237"/>
      <c r="BE52" s="237"/>
    </row>
    <row r="53" spans="1:76">
      <c r="A53" s="119" t="s">
        <v>885</v>
      </c>
      <c r="B53" s="119" t="str">
        <f>'Reference Score Calculation'!A30</f>
        <v>JS1044</v>
      </c>
      <c r="C53" s="119" t="str">
        <f>'Reference Score Calculation'!D30</f>
        <v>文理學士(新媒體)</v>
      </c>
      <c r="D53" s="2"/>
      <c r="E53" s="397" t="str">
        <f>'Reference Score Calculation'!E30</f>
        <v>Best 5</v>
      </c>
      <c r="F53" s="397"/>
      <c r="G53" s="16" t="str">
        <f>入學要求!AB39</f>
        <v>v</v>
      </c>
      <c r="H53" s="16" t="str">
        <f>入學要求!AC39</f>
        <v>E</v>
      </c>
      <c r="I53" s="16" t="str">
        <f>入學要求!AD39</f>
        <v>v</v>
      </c>
      <c r="J53" s="119">
        <f t="shared" si="91"/>
        <v>3.7500000000000005E-9</v>
      </c>
      <c r="K53" s="122">
        <v>1</v>
      </c>
      <c r="L53" s="122">
        <v>2</v>
      </c>
      <c r="M53" s="122">
        <v>1</v>
      </c>
      <c r="N53" s="122">
        <v>0</v>
      </c>
      <c r="O53" s="122">
        <v>1</v>
      </c>
      <c r="P53" s="122">
        <v>1</v>
      </c>
      <c r="Q53" s="122">
        <v>1</v>
      </c>
      <c r="R53" s="122">
        <v>1</v>
      </c>
      <c r="S53" s="122">
        <v>1</v>
      </c>
      <c r="T53" s="122">
        <v>1</v>
      </c>
      <c r="V53" s="119">
        <f t="shared" si="79"/>
        <v>4.0000000000000001E-10</v>
      </c>
      <c r="W53" s="119">
        <f t="shared" si="80"/>
        <v>4.0000000000000001E-10</v>
      </c>
      <c r="X53" s="119">
        <f t="shared" si="81"/>
        <v>3E-10</v>
      </c>
      <c r="Y53" s="119">
        <f t="shared" si="82"/>
        <v>0</v>
      </c>
      <c r="Z53" s="119">
        <f t="shared" si="83"/>
        <v>5.0000000000000003E-10</v>
      </c>
      <c r="AA53" s="119">
        <f t="shared" si="84"/>
        <v>6E-10</v>
      </c>
      <c r="AB53" s="119">
        <f t="shared" si="85"/>
        <v>6.9999999999999996E-10</v>
      </c>
      <c r="AC53" s="119">
        <f t="shared" si="86"/>
        <v>8.0000000000000003E-10</v>
      </c>
      <c r="AD53" s="119">
        <f t="shared" si="87"/>
        <v>8.9999999999999999E-10</v>
      </c>
      <c r="AE53" s="119">
        <f t="shared" si="88"/>
        <v>9.5000000000000003E-10</v>
      </c>
      <c r="AF53" s="143" t="b">
        <f>IF(V53&gt;LARGE(($V53,$X53:$AE53),5),TRUE)</f>
        <v>0</v>
      </c>
      <c r="AG53" s="232" t="b">
        <f>TRUE</f>
        <v>1</v>
      </c>
      <c r="AH53" s="143" t="b">
        <f>IF(X53&gt;LARGE(($V53,$X53:$AE53),5),TRUE)</f>
        <v>0</v>
      </c>
      <c r="AI53" s="143" t="b">
        <f>IF(Y53&gt;LARGE(($V53,$X53:$AE53),5),TRUE)</f>
        <v>0</v>
      </c>
      <c r="AJ53" s="143" t="b">
        <f>IF(Z53&gt;LARGE(($V53,$X53:$AE53),5),TRUE)</f>
        <v>0</v>
      </c>
      <c r="AK53" s="143" t="b">
        <f>IF(AA53&gt;LARGE(($V53,$X53:$AE53),5),TRUE)</f>
        <v>0</v>
      </c>
      <c r="AL53" s="143" t="b">
        <f>IF(AB53&gt;LARGE(($V53,$X53:$AE53),5),TRUE)</f>
        <v>1</v>
      </c>
      <c r="AM53" s="143" t="b">
        <f>IF(AC53&gt;LARGE(($V53,$X53:$AE53),5),TRUE)</f>
        <v>1</v>
      </c>
      <c r="AN53" s="143" t="b">
        <f>IF(AD53&gt;LARGE(($V53,$X53:$AE53),5),TRUE)</f>
        <v>1</v>
      </c>
      <c r="AO53" s="143" t="b">
        <f>IF(AE53&gt;LARGE(($V53,$X53:$AE53),5),TRUE)</f>
        <v>1</v>
      </c>
      <c r="AQ53" s="2" t="str">
        <f>'Reference Score Calculation'!M30</f>
        <v>最佳五科必須包括︰英文</v>
      </c>
      <c r="AR53" s="2"/>
      <c r="AS53" s="2"/>
      <c r="AT53" s="238" t="s">
        <v>310</v>
      </c>
      <c r="AU53" s="240">
        <f>IF(OR(P1="化學",P1="生物",P1="資訊及通訊科技",P1="物理"),P3,0)</f>
        <v>0</v>
      </c>
      <c r="AV53" s="240">
        <f t="shared" ref="AV53:AX53" si="114">IF(OR(Q1="化學",Q1="生物",Q1="資訊及通訊科技",Q1="物理"),Q3,0)</f>
        <v>0</v>
      </c>
      <c r="AW53" s="240">
        <f t="shared" si="114"/>
        <v>0</v>
      </c>
      <c r="AX53" s="240">
        <f t="shared" si="114"/>
        <v>0</v>
      </c>
      <c r="AY53" s="240">
        <f>O3</f>
        <v>5.0000000000000003E-10</v>
      </c>
      <c r="AZ53" s="237"/>
      <c r="BA53" s="240" t="str">
        <f>IF(BB53&gt;0,INDEX(AU52:AY52,MATCH(LARGE(AU53:AY53,1),AU53:AY53,0)),"無")</f>
        <v>數學延伸</v>
      </c>
      <c r="BB53" s="240">
        <f>LARGE((AU53:AY53),1)</f>
        <v>5.0000000000000003E-10</v>
      </c>
      <c r="BC53" s="237"/>
      <c r="BD53" s="237"/>
      <c r="BE53" s="237"/>
    </row>
    <row r="54" spans="1:76">
      <c r="A54" s="119" t="s">
        <v>891</v>
      </c>
      <c r="B54" s="119" t="str">
        <f>'Reference Score Calculation'!A31</f>
        <v>JS1051</v>
      </c>
      <c r="C54" s="119" t="str">
        <f>'Reference Score Calculation'!D31</f>
        <v>能源及環境學院 [選項: 工學士(能源科學及工程學)、工學士(環境科學及工程學)]</v>
      </c>
      <c r="D54" s="2"/>
      <c r="E54" s="397" t="str">
        <f>'Reference Score Calculation'!E31</f>
        <v>Best 5</v>
      </c>
      <c r="F54" s="397"/>
      <c r="G54" s="16" t="str">
        <f>入學要求!AB40</f>
        <v>v</v>
      </c>
      <c r="H54" s="16" t="str">
        <f>入學要求!AC40</f>
        <v>E</v>
      </c>
      <c r="I54" s="16" t="str">
        <f>入學要求!AD40</f>
        <v>NO</v>
      </c>
      <c r="J54" s="119">
        <f t="shared" si="91"/>
        <v>3.0000000000000004E-9</v>
      </c>
      <c r="K54" s="122">
        <v>1</v>
      </c>
      <c r="L54" s="122">
        <v>2</v>
      </c>
      <c r="M54" s="122">
        <v>2.5</v>
      </c>
      <c r="N54" s="122">
        <v>0</v>
      </c>
      <c r="O54" s="122">
        <f>IF(O1=BA43,1.5,1)</f>
        <v>1.5</v>
      </c>
      <c r="P54" s="122">
        <f>IF(P1=$BA$40,2.5,IF(P1=$BA$43,1.5,1))</f>
        <v>1</v>
      </c>
      <c r="Q54" s="122">
        <f>IF(Q1=$BA$40,2.5,IF(Q1=$BA$43,1.5,1))</f>
        <v>1</v>
      </c>
      <c r="R54" s="122">
        <f>IF(R1=$BA$40,2.5,IF(R1=$BA$43,1.5,1))</f>
        <v>1</v>
      </c>
      <c r="S54" s="122">
        <f>IF(S1=$BA$40,2.5,IF(S1=$BA$43,1.5,1))</f>
        <v>1</v>
      </c>
      <c r="T54" s="122">
        <v>1</v>
      </c>
      <c r="V54" s="119">
        <f t="shared" si="79"/>
        <v>4.0000000000000001E-10</v>
      </c>
      <c r="W54" s="119">
        <f t="shared" si="80"/>
        <v>4.0000000000000001E-10</v>
      </c>
      <c r="X54" s="119">
        <f t="shared" si="81"/>
        <v>7.5E-10</v>
      </c>
      <c r="Y54" s="119">
        <f t="shared" si="82"/>
        <v>0</v>
      </c>
      <c r="Z54" s="119">
        <f t="shared" si="83"/>
        <v>7.500000000000001E-10</v>
      </c>
      <c r="AA54" s="119">
        <f t="shared" si="84"/>
        <v>6E-10</v>
      </c>
      <c r="AB54" s="119">
        <f t="shared" si="85"/>
        <v>6.9999999999999996E-10</v>
      </c>
      <c r="AC54" s="119">
        <f t="shared" si="86"/>
        <v>8.0000000000000003E-10</v>
      </c>
      <c r="AD54" s="119">
        <f t="shared" si="87"/>
        <v>8.9999999999999999E-10</v>
      </c>
      <c r="AE54" s="119">
        <f t="shared" si="88"/>
        <v>9.5000000000000003E-10</v>
      </c>
      <c r="AF54" s="143" t="b">
        <f>AU47</f>
        <v>0</v>
      </c>
      <c r="AG54" s="232" t="b">
        <f>TRUE</f>
        <v>1</v>
      </c>
      <c r="AH54" s="232" t="b">
        <f>TRUE</f>
        <v>1</v>
      </c>
      <c r="AI54" s="143">
        <f>AX47</f>
        <v>0</v>
      </c>
      <c r="AJ54" s="143" t="b">
        <f>AY47</f>
        <v>0</v>
      </c>
      <c r="AK54" s="232" t="b">
        <f>IF(P1=$BA$40,TRUE,AZ47)</f>
        <v>0</v>
      </c>
      <c r="AL54" s="232" t="b">
        <f>IF(Q1=$BA$40,TRUE,BA47)</f>
        <v>0</v>
      </c>
      <c r="AM54" s="232" t="b">
        <f>IF(R1=$BA$40,TRUE,BB47)</f>
        <v>0</v>
      </c>
      <c r="AN54" s="232" t="b">
        <f>IF(S1=$BA$40,TRUE,BC47)</f>
        <v>1</v>
      </c>
      <c r="AO54" s="143" t="b">
        <f>BD47</f>
        <v>1</v>
      </c>
      <c r="AQ54" s="2" t="str">
        <f>'Reference Score Calculation'!M31</f>
        <v>最佳五科必須包括︰英文、數學 及 以下其中一科︰</v>
      </c>
      <c r="AR54" s="2"/>
      <c r="AS54" s="2"/>
      <c r="AT54" s="237"/>
      <c r="AU54" s="241" t="s">
        <v>2857</v>
      </c>
      <c r="AV54" s="237"/>
      <c r="AW54" s="237"/>
      <c r="AX54" s="237"/>
      <c r="AY54" s="237"/>
      <c r="AZ54" s="237"/>
      <c r="BA54" s="237"/>
      <c r="BB54" s="237"/>
      <c r="BC54" s="237"/>
      <c r="BD54" s="237"/>
      <c r="BE54" s="237"/>
    </row>
    <row r="55" spans="1:76">
      <c r="A55" s="119" t="s">
        <v>2533</v>
      </c>
      <c r="B55" s="119" t="str">
        <f>'Reference Score Calculation'!A32</f>
        <v>JS1052</v>
      </c>
      <c r="C55" s="119" t="str">
        <f>'Reference Score Calculation'!D32</f>
        <v>工學士(環境科學及工程學)與工商管理學士(金融)</v>
      </c>
      <c r="D55" s="2"/>
      <c r="E55" s="397" t="str">
        <f>'Reference Score Calculation'!E32</f>
        <v>24年新科目</v>
      </c>
      <c r="F55" s="397"/>
      <c r="G55" s="16" t="str">
        <f>入學要求!AB41</f>
        <v>v</v>
      </c>
      <c r="H55" s="16" t="str">
        <f>入學要求!AC41</f>
        <v>E</v>
      </c>
      <c r="I55" s="16" t="str">
        <f>入學要求!AD41</f>
        <v>NO</v>
      </c>
      <c r="J55" s="119">
        <f t="shared" si="91"/>
        <v>3.0000000000000004E-9</v>
      </c>
      <c r="K55" s="122">
        <v>1</v>
      </c>
      <c r="L55" s="122">
        <v>2</v>
      </c>
      <c r="M55" s="122">
        <v>2.5</v>
      </c>
      <c r="N55" s="122">
        <v>1</v>
      </c>
      <c r="O55" s="122">
        <f>IF(O1=BA43,1.5,1)</f>
        <v>1.5</v>
      </c>
      <c r="P55" s="122">
        <f>IF(P1=$BA$40,2.5,IF(P1=$BA$43,1.5,1))</f>
        <v>1</v>
      </c>
      <c r="Q55" s="122">
        <f>IF(Q1=$BA$40,2.5,IF(Q1=$BA$43,1.5,1))</f>
        <v>1</v>
      </c>
      <c r="R55" s="122">
        <f>IF(R1=$BA$40,2.5,IF(R1=$BA$43,1.5,1))</f>
        <v>1</v>
      </c>
      <c r="S55" s="122">
        <f>IF(S1=$BA$40,2.5,IF(S1=$BA$43,1.5,1))</f>
        <v>1</v>
      </c>
      <c r="T55" s="122">
        <v>1</v>
      </c>
      <c r="V55" s="119">
        <f t="shared" si="79"/>
        <v>4.0000000000000001E-10</v>
      </c>
      <c r="W55" s="119">
        <f t="shared" si="80"/>
        <v>4.0000000000000001E-10</v>
      </c>
      <c r="X55" s="119">
        <f t="shared" si="81"/>
        <v>7.5E-10</v>
      </c>
      <c r="Y55" s="119">
        <f t="shared" si="82"/>
        <v>0</v>
      </c>
      <c r="Z55" s="119">
        <f t="shared" si="83"/>
        <v>7.500000000000001E-10</v>
      </c>
      <c r="AA55" s="119">
        <f t="shared" si="84"/>
        <v>6E-10</v>
      </c>
      <c r="AB55" s="119">
        <f t="shared" si="85"/>
        <v>6.9999999999999996E-10</v>
      </c>
      <c r="AC55" s="119">
        <f t="shared" si="86"/>
        <v>8.0000000000000003E-10</v>
      </c>
      <c r="AD55" s="119">
        <f t="shared" si="87"/>
        <v>8.9999999999999999E-10</v>
      </c>
      <c r="AE55" s="119">
        <f t="shared" si="88"/>
        <v>9.5000000000000003E-10</v>
      </c>
      <c r="AF55" s="143" t="b">
        <f>AU47</f>
        <v>0</v>
      </c>
      <c r="AG55" s="232" t="b">
        <f>TRUE</f>
        <v>1</v>
      </c>
      <c r="AH55" s="232" t="b">
        <f>TRUE</f>
        <v>1</v>
      </c>
      <c r="AI55" s="143">
        <f>AX47</f>
        <v>0</v>
      </c>
      <c r="AJ55" s="143" t="b">
        <f>AY47</f>
        <v>0</v>
      </c>
      <c r="AK55" s="232" t="b">
        <f>IF(P1=$BA$40,TRUE,AZ47)</f>
        <v>0</v>
      </c>
      <c r="AL55" s="232" t="b">
        <f>IF(Q1=$BA$40,TRUE,BA47)</f>
        <v>0</v>
      </c>
      <c r="AM55" s="232" t="b">
        <f t="shared" ref="AM55:AN55" si="115">IF(R1=$BA$40,TRUE,BB47)</f>
        <v>0</v>
      </c>
      <c r="AN55" s="232" t="b">
        <f t="shared" si="115"/>
        <v>1</v>
      </c>
      <c r="AO55" s="143" t="b">
        <f>BD47</f>
        <v>1</v>
      </c>
      <c r="AQ55" s="2" t="str">
        <f>'Reference Score Calculation'!M32</f>
        <v>/</v>
      </c>
      <c r="AR55" s="2"/>
      <c r="AS55" s="2"/>
      <c r="AT55" s="237"/>
      <c r="AU55" s="241"/>
      <c r="AV55" s="237"/>
      <c r="AW55" s="237"/>
      <c r="AX55" s="237"/>
      <c r="AY55" s="237"/>
      <c r="AZ55" s="237"/>
      <c r="BA55" s="237"/>
      <c r="BB55" s="237"/>
      <c r="BC55" s="237"/>
      <c r="BD55" s="237"/>
      <c r="BE55" s="237"/>
    </row>
    <row r="56" spans="1:76">
      <c r="A56" s="119" t="s">
        <v>901</v>
      </c>
      <c r="B56" s="119" t="str">
        <f>'Reference Score Calculation'!A33</f>
        <v>JS1061</v>
      </c>
      <c r="C56" s="119" t="str">
        <f>'Reference Score Calculation'!D33</f>
        <v>法律學學士</v>
      </c>
      <c r="D56" s="2"/>
      <c r="E56" s="395" t="str">
        <f>'Reference Score Calculation'!E33</f>
        <v>Best 6</v>
      </c>
      <c r="F56" s="395"/>
      <c r="G56" s="16" t="str">
        <f>入學要求!AB41</f>
        <v>v</v>
      </c>
      <c r="H56" s="16" t="str">
        <f>入學要求!AC41</f>
        <v>E</v>
      </c>
      <c r="I56" s="16" t="str">
        <f>入學要求!AD41</f>
        <v>NO</v>
      </c>
      <c r="J56" s="119">
        <f>SUMIF(AF56:AO56,TRUE,V56:AE56)</f>
        <v>4.1499999999999999E-9</v>
      </c>
      <c r="K56" s="122">
        <v>1</v>
      </c>
      <c r="L56" s="122">
        <v>1</v>
      </c>
      <c r="M56" s="122">
        <v>1</v>
      </c>
      <c r="N56" s="122">
        <v>1</v>
      </c>
      <c r="O56" s="122">
        <v>1</v>
      </c>
      <c r="P56" s="122">
        <v>1</v>
      </c>
      <c r="Q56" s="122">
        <v>1</v>
      </c>
      <c r="R56" s="122">
        <v>1</v>
      </c>
      <c r="S56" s="122">
        <v>1</v>
      </c>
      <c r="T56" s="122">
        <v>1</v>
      </c>
      <c r="V56" s="119">
        <f t="shared" si="79"/>
        <v>4.0000000000000001E-10</v>
      </c>
      <c r="W56" s="119">
        <f t="shared" si="80"/>
        <v>2.0000000000000001E-10</v>
      </c>
      <c r="X56" s="119">
        <f t="shared" si="81"/>
        <v>3E-10</v>
      </c>
      <c r="Y56" s="119">
        <f t="shared" si="82"/>
        <v>0</v>
      </c>
      <c r="Z56" s="119">
        <f t="shared" si="83"/>
        <v>5.0000000000000003E-10</v>
      </c>
      <c r="AA56" s="119">
        <f t="shared" si="84"/>
        <v>6E-10</v>
      </c>
      <c r="AB56" s="119">
        <f t="shared" si="85"/>
        <v>6.9999999999999996E-10</v>
      </c>
      <c r="AC56" s="119">
        <f t="shared" si="86"/>
        <v>8.0000000000000003E-10</v>
      </c>
      <c r="AD56" s="119">
        <f t="shared" si="87"/>
        <v>8.9999999999999999E-10</v>
      </c>
      <c r="AE56" s="119">
        <f t="shared" si="88"/>
        <v>9.5000000000000003E-10</v>
      </c>
      <c r="AF56" s="143" t="b">
        <f>IF(V56&gt;LARGE(($V56,$X56:$AE56),6),TRUE)</f>
        <v>0</v>
      </c>
      <c r="AG56" s="232" t="b">
        <f>TRUE</f>
        <v>1</v>
      </c>
      <c r="AH56" s="143" t="b">
        <f>IF(X56&gt;LARGE(($V56,$X56:$AE56),6),TRUE)</f>
        <v>0</v>
      </c>
      <c r="AI56" s="143" t="b">
        <f>IF(Y56&gt;LARGE(($V56,$X56:$AE56),6),TRUE)</f>
        <v>0</v>
      </c>
      <c r="AJ56" s="143" t="b">
        <f>IF(Z56&gt;LARGE(($V56,$X56:$AE56),6),TRUE)</f>
        <v>0</v>
      </c>
      <c r="AK56" s="143" t="b">
        <f>IF(AA56&gt;LARGE(($V56,$X56:$AE56),6),TRUE)</f>
        <v>1</v>
      </c>
      <c r="AL56" s="143" t="b">
        <f>IF(AB56&gt;LARGE(($V56,$X56:$AE56),6),TRUE)</f>
        <v>1</v>
      </c>
      <c r="AM56" s="143" t="b">
        <f>IF(AC56&gt;LARGE(($V56,$X56:$AE56),6),TRUE)</f>
        <v>1</v>
      </c>
      <c r="AN56" s="143" t="b">
        <f>IF(AD56&gt;LARGE(($V56,$X56:$AE56),6),TRUE)</f>
        <v>1</v>
      </c>
      <c r="AO56" s="143" t="b">
        <f>IF(AE56&gt;LARGE(($V56,$X56:$AE56),6),TRUE)</f>
        <v>1</v>
      </c>
      <c r="AQ56" s="2" t="str">
        <f>'Reference Score Calculation'!M33</f>
        <v>最佳六科必須包括︰英文</v>
      </c>
      <c r="AR56" s="2"/>
      <c r="AS56" s="2"/>
      <c r="AT56" s="237"/>
      <c r="AU56" s="237" t="str">
        <f>K1</f>
        <v>中國語文</v>
      </c>
      <c r="AV56" s="237"/>
      <c r="AW56" s="237" t="str">
        <f t="shared" ref="AW56:BB56" si="116">O1</f>
        <v>數學延伸</v>
      </c>
      <c r="AX56" s="237" t="str">
        <f t="shared" si="116"/>
        <v>請選擇第一選修科</v>
      </c>
      <c r="AY56" s="237" t="str">
        <f t="shared" si="116"/>
        <v>請選擇第二選修科</v>
      </c>
      <c r="AZ56" s="237" t="str">
        <f t="shared" si="116"/>
        <v>請選擇第三選修科</v>
      </c>
      <c r="BA56" s="237" t="str">
        <f t="shared" si="116"/>
        <v>請選擇第四選修科</v>
      </c>
      <c r="BB56" s="237" t="str">
        <f t="shared" si="116"/>
        <v>請選擇語言科目</v>
      </c>
      <c r="BC56" s="237"/>
      <c r="BD56" s="237"/>
      <c r="BE56" s="237"/>
    </row>
    <row r="57" spans="1:76">
      <c r="A57" s="119" t="s">
        <v>908</v>
      </c>
      <c r="B57" s="119" t="str">
        <f>'Reference Score Calculation'!A34</f>
        <v>JS1062</v>
      </c>
      <c r="C57" s="119" t="str">
        <f>'Reference Score Calculation'!D34</f>
        <v>法律學學士與工商管理學士(會計)</v>
      </c>
      <c r="D57" s="2"/>
      <c r="E57" s="394" t="str">
        <f>'Reference Score Calculation'!E34</f>
        <v>Best 6</v>
      </c>
      <c r="F57" s="394"/>
      <c r="G57" s="16" t="str">
        <f>入學要求!AB42</f>
        <v>v</v>
      </c>
      <c r="H57" s="16" t="str">
        <f>入學要求!AC42</f>
        <v>E</v>
      </c>
      <c r="I57" s="16" t="str">
        <f>入學要求!AD42</f>
        <v>NO</v>
      </c>
      <c r="J57" s="119">
        <f t="shared" si="91"/>
        <v>4.25E-9</v>
      </c>
      <c r="K57" s="122">
        <v>1</v>
      </c>
      <c r="L57" s="122">
        <v>1.5</v>
      </c>
      <c r="M57" s="122">
        <v>1</v>
      </c>
      <c r="N57" s="122">
        <v>1</v>
      </c>
      <c r="O57" s="122">
        <v>1</v>
      </c>
      <c r="P57" s="122">
        <v>1</v>
      </c>
      <c r="Q57" s="122">
        <v>1</v>
      </c>
      <c r="R57" s="122">
        <v>1</v>
      </c>
      <c r="S57" s="122">
        <v>1</v>
      </c>
      <c r="T57" s="122">
        <v>1</v>
      </c>
      <c r="V57" s="119">
        <f t="shared" si="79"/>
        <v>4.0000000000000001E-10</v>
      </c>
      <c r="W57" s="119">
        <f t="shared" si="80"/>
        <v>3E-10</v>
      </c>
      <c r="X57" s="119">
        <f t="shared" si="81"/>
        <v>3E-10</v>
      </c>
      <c r="Y57" s="119">
        <f t="shared" si="82"/>
        <v>0</v>
      </c>
      <c r="Z57" s="119">
        <f t="shared" si="83"/>
        <v>5.0000000000000003E-10</v>
      </c>
      <c r="AA57" s="119">
        <f t="shared" si="84"/>
        <v>6E-10</v>
      </c>
      <c r="AB57" s="119">
        <f t="shared" si="85"/>
        <v>6.9999999999999996E-10</v>
      </c>
      <c r="AC57" s="119">
        <f t="shared" si="86"/>
        <v>8.0000000000000003E-10</v>
      </c>
      <c r="AD57" s="119">
        <f t="shared" si="87"/>
        <v>8.9999999999999999E-10</v>
      </c>
      <c r="AE57" s="119">
        <f t="shared" si="88"/>
        <v>9.5000000000000003E-10</v>
      </c>
      <c r="AF57" s="143" t="b">
        <f>IF(V57&gt;LARGE(($V57,$X57:$AE57),6),TRUE)</f>
        <v>0</v>
      </c>
      <c r="AG57" s="232" t="b">
        <f>TRUE</f>
        <v>1</v>
      </c>
      <c r="AH57" s="143" t="b">
        <f>IF(X57&gt;LARGE(($V57,$X57:$AE57),6),TRUE)</f>
        <v>0</v>
      </c>
      <c r="AI57" s="143" t="b">
        <f>IF(Y57&gt;LARGE(($V57,$X57:$AE57),6),TRUE)</f>
        <v>0</v>
      </c>
      <c r="AJ57" s="143" t="b">
        <f>IF(Z57&gt;LARGE(($V57,$X57:$AE57),6),TRUE)</f>
        <v>0</v>
      </c>
      <c r="AK57" s="143" t="b">
        <f>IF(AA57&gt;LARGE(($V57,$X57:$AE57),6),TRUE)</f>
        <v>1</v>
      </c>
      <c r="AL57" s="143" t="b">
        <f>IF(AB57&gt;LARGE(($V57,$X57:$AE57),6),TRUE)</f>
        <v>1</v>
      </c>
      <c r="AM57" s="143" t="b">
        <f>IF(AC57&gt;LARGE(($V57,$X57:$AE57),6),TRUE)</f>
        <v>1</v>
      </c>
      <c r="AN57" s="143" t="b">
        <f>IF(AD57&gt;LARGE(($V57,$X57:$AE57),6),TRUE)</f>
        <v>1</v>
      </c>
      <c r="AO57" s="143" t="b">
        <f>IF(AE57&gt;LARGE(($V57,$X57:$AE57),6),TRUE)</f>
        <v>1</v>
      </c>
      <c r="AQ57" s="2" t="str">
        <f>'Reference Score Calculation'!M34</f>
        <v>最佳六科必須包括︰英文</v>
      </c>
      <c r="AR57" s="2"/>
      <c r="AS57" s="2"/>
      <c r="AT57" s="237"/>
      <c r="AU57" s="240">
        <f>K3</f>
        <v>4.0000000000000001E-10</v>
      </c>
      <c r="AV57" s="237"/>
      <c r="AW57" s="240">
        <f>IF(AW56=$BA$53,0,O3)</f>
        <v>0</v>
      </c>
      <c r="AX57" s="240">
        <f>IF(AX56=$BA$53,0,P3)</f>
        <v>6E-10</v>
      </c>
      <c r="AY57" s="240">
        <f>IF(AY56=$BA$53,0,Q3)</f>
        <v>6.9999999999999996E-10</v>
      </c>
      <c r="AZ57" s="240">
        <f>IF(AZ56=$BA$53,0,R3)</f>
        <v>8.0000000000000003E-10</v>
      </c>
      <c r="BA57" s="240">
        <f>IF(BA56=$BA$53,0,S3)</f>
        <v>8.9999999999999999E-10</v>
      </c>
      <c r="BB57" s="240">
        <f>T3</f>
        <v>9.5000000000000003E-10</v>
      </c>
      <c r="BC57" s="237"/>
      <c r="BD57" s="237"/>
      <c r="BE57" s="237"/>
      <c r="BG57" s="2"/>
      <c r="BH57" s="2"/>
      <c r="BI57" s="2"/>
      <c r="BJ57" s="2"/>
      <c r="BK57" s="2"/>
      <c r="BX57" s="2"/>
    </row>
    <row r="58" spans="1:76">
      <c r="A58" s="119" t="s">
        <v>912</v>
      </c>
      <c r="B58" s="119" t="str">
        <f>'Reference Score Calculation'!A35</f>
        <v>JS1071</v>
      </c>
      <c r="C58" s="119" t="str">
        <f>'Reference Score Calculation'!D35</f>
        <v>數據科學學院 [選項：理學士 (數據科學)、理學士 (數據與系統工程)]</v>
      </c>
      <c r="D58" s="2"/>
      <c r="E58" s="394" t="str">
        <f>'Reference Score Calculation'!E35</f>
        <v>4C2X</v>
      </c>
      <c r="F58" s="394"/>
      <c r="G58" s="16" t="str">
        <f>入學要求!AB43</f>
        <v>v</v>
      </c>
      <c r="H58" s="16" t="str">
        <f>入學要求!AC43</f>
        <v>E</v>
      </c>
      <c r="I58" s="16" t="str">
        <f>入學要求!AD43</f>
        <v>NO</v>
      </c>
      <c r="J58" s="119">
        <f t="shared" si="91"/>
        <v>3.2500000000000002E-9</v>
      </c>
      <c r="K58" s="122">
        <v>1</v>
      </c>
      <c r="L58" s="122">
        <v>2</v>
      </c>
      <c r="M58" s="122">
        <v>2</v>
      </c>
      <c r="N58" s="122">
        <v>1</v>
      </c>
      <c r="O58" s="122">
        <v>1</v>
      </c>
      <c r="P58" s="122">
        <v>1</v>
      </c>
      <c r="Q58" s="122">
        <v>1</v>
      </c>
      <c r="R58" s="122">
        <v>1</v>
      </c>
      <c r="S58" s="122">
        <v>1</v>
      </c>
      <c r="T58" s="122">
        <v>1</v>
      </c>
      <c r="V58" s="119">
        <f t="shared" si="79"/>
        <v>4.0000000000000001E-10</v>
      </c>
      <c r="W58" s="119">
        <f t="shared" si="80"/>
        <v>4.0000000000000001E-10</v>
      </c>
      <c r="X58" s="119">
        <f t="shared" si="81"/>
        <v>6E-10</v>
      </c>
      <c r="Y58" s="119">
        <f t="shared" si="82"/>
        <v>0</v>
      </c>
      <c r="Z58" s="119">
        <f t="shared" si="83"/>
        <v>5.0000000000000003E-10</v>
      </c>
      <c r="AA58" s="119">
        <f t="shared" si="84"/>
        <v>6E-10</v>
      </c>
      <c r="AB58" s="119">
        <f t="shared" si="85"/>
        <v>6.9999999999999996E-10</v>
      </c>
      <c r="AC58" s="119">
        <f t="shared" si="86"/>
        <v>8.0000000000000003E-10</v>
      </c>
      <c r="AD58" s="119">
        <f t="shared" si="87"/>
        <v>8.9999999999999999E-10</v>
      </c>
      <c r="AE58" s="119">
        <f t="shared" si="88"/>
        <v>9.5000000000000003E-10</v>
      </c>
      <c r="AF58" s="119" t="b">
        <f t="shared" ref="AF58:AF59" si="117">IF(OR($E58="4C2X",$E58="4C1X"),TRUE,IF($E58="Best 5",IF(V58&gt;LARGE($V58:$AE58,6),TRUE),IF($E58="Best 6",IF(V58&gt;LARGE($V58:$AE58,7),TRUE))))</f>
        <v>1</v>
      </c>
      <c r="AG58" s="119" t="b">
        <f t="shared" ref="AG58:AG59" si="118">IF(OR($E58="4C2X",$E58="4C1X"),TRUE,IF($E58="Best 5",IF(W58&gt;LARGE($V58:$AE58,6),TRUE),IF($E58="Best 6",IF(W58&gt;LARGE($V58:$AE58,7),TRUE))))</f>
        <v>1</v>
      </c>
      <c r="AH58" s="119" t="b">
        <f t="shared" ref="AH58:AH59" si="119">IF(OR($E58="4C2X",$E58="4C1X"),TRUE,IF($E58="Best 5",IF(X58&gt;LARGE($V58:$AE58,6),TRUE),IF($E58="Best 6",IF(X58&gt;LARGE($V58:$AE58,7),TRUE))))</f>
        <v>1</v>
      </c>
      <c r="AI58" s="119" t="b">
        <f t="shared" ref="AI58:AI59" si="120">IF(OR($E58="4C2X",$E58="4C1X"),TRUE,IF($E58="Best 5",IF(Y58&gt;LARGE($V58:$AE58,6),TRUE),IF($E58="Best 6",IF(Y58&gt;LARGE($V58:$AE58,7),TRUE))))</f>
        <v>1</v>
      </c>
      <c r="AJ58" s="119" t="b">
        <f t="shared" ref="AJ58:AJ59" si="121">IF($E57="4C2X",IF(Z58&gt;LARGE($Z58:$AE58,3),TRUE),IF($E57="4C1X",IF(Z58&gt;LARGE($Z58:$AE58,2),TRUE),IF($E57="Best 5",IF(Z58&gt;LARGE($V58:$AE58,6),TRUE),IF($E57="Best 6",IF(Z58&gt;LARGE($V58:$AE58,7),TRUE)))))</f>
        <v>0</v>
      </c>
      <c r="AK58" s="119" t="b">
        <f t="shared" ref="AK58:AK59" si="122">IF($E58="4C2X",IF(AA58&gt;LARGE($Z58:$AE58,3),TRUE),IF($E58="4C1X",IF(AA58&gt;LARGE($Z58:$AE58,2),TRUE),IF($E58="Best 5",IF(AA58&gt;LARGE($V58:$AE58,6),TRUE),IF($E58="Best 6",IF(AA58&gt;LARGE($V58:$AE58,7),TRUE)))))</f>
        <v>0</v>
      </c>
      <c r="AL58" s="119" t="b">
        <f t="shared" ref="AL58:AL59" si="123">IF($E58="4C2X",IF(AB58&gt;LARGE($Z58:$AE58,3),TRUE),IF($E58="4C1X",IF(AB58&gt;LARGE($Z58:$AE58,2),TRUE),IF($E58="Best 5",IF(AB58&gt;LARGE($V58:$AE58,6),TRUE),IF($E58="Best 6",IF(AB58&gt;LARGE($V58:$AE58,7),TRUE)))))</f>
        <v>0</v>
      </c>
      <c r="AM58" s="119" t="b">
        <f t="shared" ref="AM58:AM59" si="124">IF($E58="4C2X",IF(AC58&gt;LARGE($Z58:$AE58,3),TRUE),IF($E58="4C1X",IF(AC58&gt;LARGE($Z58:$AE58,2),TRUE),IF($E58="Best 5",IF(AC58&gt;LARGE($V58:$AE58,6),TRUE),IF($E58="Best 6",IF(AC58&gt;LARGE($V58:$AE58,7),TRUE)))))</f>
        <v>0</v>
      </c>
      <c r="AN58" s="119" t="b">
        <f t="shared" ref="AN58:AN59" si="125">IF($E58="4C2X",IF(AD58&gt;LARGE($Z58:$AE58,3),TRUE),IF($E58="4C1X",IF(AD58&gt;LARGE($Z58:$AE58,2),TRUE),IF($E58="Best 5",IF(AD58&gt;LARGE($V58:$AE58,6),TRUE),IF($E58="Best 6",IF(AD58&gt;LARGE($V58:$AE58,7),TRUE)))))</f>
        <v>1</v>
      </c>
      <c r="AO58" s="119" t="b">
        <f t="shared" ref="AO58:AO59" si="126">IF($H58="E",IF($E58="4C2X",IF(AE58&gt;LARGE($Z58:$AE58,3),TRUE),IF($E58="4C1X",IF(AE58&gt;LARGE($Z58:$AE58,2),TRUE),IF($E58="Best 5",IF(AE58&gt;LARGE($V58:$AE58,6),TRUE),IF($E58="Best 6",IF(AE58&gt;LARGE($V58:$AE58,7),TRUE))))),FALSE)</f>
        <v>1</v>
      </c>
      <c r="AQ58" s="2" t="str">
        <f>'Reference Score Calculation'!M35</f>
        <v>/</v>
      </c>
      <c r="AR58" s="2"/>
      <c r="AS58" s="2"/>
      <c r="AT58" s="237"/>
      <c r="AU58" s="245" t="b">
        <f t="shared" ref="AU58:BB58" si="127">IF(AU57&gt;LARGE($AU$57:$BB$57,3),TRUE,FALSE)</f>
        <v>0</v>
      </c>
      <c r="AV58" s="237"/>
      <c r="AW58" s="245" t="b">
        <f t="shared" si="127"/>
        <v>0</v>
      </c>
      <c r="AX58" s="245" t="b">
        <f t="shared" si="127"/>
        <v>0</v>
      </c>
      <c r="AY58" s="245" t="b">
        <f>IF(AY57&gt;LARGE($AU$57:$BB$57,3),TRUE,FALSE)</f>
        <v>0</v>
      </c>
      <c r="AZ58" s="245" t="b">
        <f t="shared" si="127"/>
        <v>0</v>
      </c>
      <c r="BA58" s="245" t="b">
        <f t="shared" si="127"/>
        <v>1</v>
      </c>
      <c r="BB58" s="245" t="b">
        <f t="shared" si="127"/>
        <v>1</v>
      </c>
      <c r="BC58" s="163"/>
      <c r="BD58" s="237"/>
      <c r="BE58" s="237"/>
    </row>
    <row r="59" spans="1:76">
      <c r="A59" s="119" t="s">
        <v>919</v>
      </c>
      <c r="B59" s="119" t="str">
        <f>'Reference Score Calculation'!A36</f>
        <v>JS1072</v>
      </c>
      <c r="C59" s="119" t="str">
        <f>'Reference Score Calculation'!D36</f>
        <v>理學士(數據科學)</v>
      </c>
      <c r="D59" s="2"/>
      <c r="E59" s="394" t="str">
        <f>'Reference Score Calculation'!E36</f>
        <v>4C2X</v>
      </c>
      <c r="F59" s="394"/>
      <c r="G59" s="16" t="str">
        <f>入學要求!AB44</f>
        <v>v</v>
      </c>
      <c r="H59" s="16" t="str">
        <f>入學要求!AC44</f>
        <v>E</v>
      </c>
      <c r="I59" s="16" t="str">
        <f>入學要求!AD44</f>
        <v>NO</v>
      </c>
      <c r="J59" s="119">
        <f t="shared" si="91"/>
        <v>3.2500000000000002E-9</v>
      </c>
      <c r="K59" s="122">
        <v>1</v>
      </c>
      <c r="L59" s="122">
        <v>2</v>
      </c>
      <c r="M59" s="122">
        <v>2</v>
      </c>
      <c r="N59" s="122">
        <v>1</v>
      </c>
      <c r="O59" s="122">
        <v>1</v>
      </c>
      <c r="P59" s="122">
        <v>1</v>
      </c>
      <c r="Q59" s="122">
        <v>1</v>
      </c>
      <c r="R59" s="122">
        <v>1</v>
      </c>
      <c r="S59" s="122">
        <v>1</v>
      </c>
      <c r="T59" s="122">
        <v>1</v>
      </c>
      <c r="V59" s="119">
        <f t="shared" si="79"/>
        <v>4.0000000000000001E-10</v>
      </c>
      <c r="W59" s="119">
        <f t="shared" si="80"/>
        <v>4.0000000000000001E-10</v>
      </c>
      <c r="X59" s="119">
        <f t="shared" si="81"/>
        <v>6E-10</v>
      </c>
      <c r="Y59" s="119">
        <f t="shared" si="82"/>
        <v>0</v>
      </c>
      <c r="Z59" s="119">
        <f t="shared" si="83"/>
        <v>5.0000000000000003E-10</v>
      </c>
      <c r="AA59" s="119">
        <f t="shared" si="84"/>
        <v>6E-10</v>
      </c>
      <c r="AB59" s="119">
        <f t="shared" si="85"/>
        <v>6.9999999999999996E-10</v>
      </c>
      <c r="AC59" s="119">
        <f t="shared" si="86"/>
        <v>8.0000000000000003E-10</v>
      </c>
      <c r="AD59" s="119">
        <f t="shared" si="87"/>
        <v>8.9999999999999999E-10</v>
      </c>
      <c r="AE59" s="119">
        <f t="shared" si="88"/>
        <v>9.5000000000000003E-10</v>
      </c>
      <c r="AF59" s="119" t="b">
        <f t="shared" si="117"/>
        <v>1</v>
      </c>
      <c r="AG59" s="119" t="b">
        <f t="shared" si="118"/>
        <v>1</v>
      </c>
      <c r="AH59" s="119" t="b">
        <f t="shared" si="119"/>
        <v>1</v>
      </c>
      <c r="AI59" s="119" t="b">
        <f t="shared" si="120"/>
        <v>1</v>
      </c>
      <c r="AJ59" s="119" t="b">
        <f t="shared" si="121"/>
        <v>0</v>
      </c>
      <c r="AK59" s="119" t="b">
        <f t="shared" si="122"/>
        <v>0</v>
      </c>
      <c r="AL59" s="119" t="b">
        <f t="shared" si="123"/>
        <v>0</v>
      </c>
      <c r="AM59" s="119" t="b">
        <f t="shared" si="124"/>
        <v>0</v>
      </c>
      <c r="AN59" s="119" t="b">
        <f t="shared" si="125"/>
        <v>1</v>
      </c>
      <c r="AO59" s="119" t="b">
        <f t="shared" si="126"/>
        <v>1</v>
      </c>
      <c r="AQ59" s="2" t="str">
        <f>'Reference Score Calculation'!M36</f>
        <v>/</v>
      </c>
      <c r="AR59" s="2"/>
      <c r="AS59" s="2"/>
      <c r="AT59" s="237"/>
      <c r="AU59" s="237"/>
      <c r="AV59" s="237"/>
      <c r="AW59" s="237"/>
      <c r="AX59" s="237"/>
      <c r="AY59" s="237"/>
      <c r="AZ59" s="237"/>
      <c r="BA59" s="237"/>
      <c r="BB59" s="237"/>
      <c r="BC59" s="237"/>
      <c r="BD59" s="237"/>
      <c r="BE59" s="237"/>
    </row>
    <row r="60" spans="1:76">
      <c r="A60" s="119" t="s">
        <v>922</v>
      </c>
      <c r="B60" s="119" t="str">
        <f>'Reference Score Calculation'!A37</f>
        <v>JS1074</v>
      </c>
      <c r="C60" s="119" t="str">
        <f>'Reference Score Calculation'!D37</f>
        <v>理學士(數據與系統工程)</v>
      </c>
      <c r="D60" s="2"/>
      <c r="E60" s="394" t="str">
        <f>'Reference Score Calculation'!E37</f>
        <v>4C2X</v>
      </c>
      <c r="F60" s="394"/>
      <c r="G60" s="16" t="str">
        <f>入學要求!AB45</f>
        <v>v</v>
      </c>
      <c r="H60" s="16" t="str">
        <f>入學要求!AC45</f>
        <v>E</v>
      </c>
      <c r="I60" s="16" t="str">
        <f>入學要求!AD45</f>
        <v>NO</v>
      </c>
      <c r="J60" s="119">
        <f t="shared" si="91"/>
        <v>3.2500000000000002E-9</v>
      </c>
      <c r="K60" s="122">
        <v>1</v>
      </c>
      <c r="L60" s="122">
        <v>2</v>
      </c>
      <c r="M60" s="122">
        <v>2</v>
      </c>
      <c r="N60" s="122">
        <v>1</v>
      </c>
      <c r="O60" s="122">
        <v>1</v>
      </c>
      <c r="P60" s="122">
        <v>1</v>
      </c>
      <c r="Q60" s="122">
        <v>1</v>
      </c>
      <c r="R60" s="122">
        <v>1</v>
      </c>
      <c r="S60" s="122">
        <v>1</v>
      </c>
      <c r="T60" s="122">
        <v>1</v>
      </c>
      <c r="V60" s="119">
        <f t="shared" si="79"/>
        <v>4.0000000000000001E-10</v>
      </c>
      <c r="W60" s="119">
        <f t="shared" si="80"/>
        <v>4.0000000000000001E-10</v>
      </c>
      <c r="X60" s="119">
        <f t="shared" si="81"/>
        <v>6E-10</v>
      </c>
      <c r="Y60" s="119">
        <f t="shared" si="82"/>
        <v>0</v>
      </c>
      <c r="Z60" s="119">
        <f t="shared" si="83"/>
        <v>5.0000000000000003E-10</v>
      </c>
      <c r="AA60" s="119">
        <f t="shared" si="84"/>
        <v>6E-10</v>
      </c>
      <c r="AB60" s="119">
        <f t="shared" si="85"/>
        <v>6.9999999999999996E-10</v>
      </c>
      <c r="AC60" s="119">
        <f t="shared" si="86"/>
        <v>8.0000000000000003E-10</v>
      </c>
      <c r="AD60" s="119">
        <f t="shared" si="87"/>
        <v>8.9999999999999999E-10</v>
      </c>
      <c r="AE60" s="119">
        <f t="shared" si="88"/>
        <v>9.5000000000000003E-10</v>
      </c>
      <c r="AF60" s="119" t="b">
        <f t="shared" ref="AF60" si="128">IF(OR($E60="4C2X",$E60="4C1X"),TRUE,IF($E60="Best 5",IF(V60&gt;LARGE($V60:$AE60,6),TRUE),IF($E60="Best 6",IF(V60&gt;LARGE($V60:$AE60,7),TRUE))))</f>
        <v>1</v>
      </c>
      <c r="AG60" s="119" t="b">
        <f>IF(OR($E60="4C2X",$E60="4C1X"),TRUE,IF($E60="Best 5",IF(W60&gt;LARGE($V60:$AE60,6),TRUE),IF($E60="Best 6",IF(W60&gt;LARGE($V60:$AE60,7),TRUE))))</f>
        <v>1</v>
      </c>
      <c r="AH60" s="119" t="b">
        <f t="shared" ref="AH60" si="129">IF(OR($E60="4C2X",$E60="4C1X"),TRUE,IF($E60="Best 5",IF(X60&gt;LARGE($V60:$AE60,6),TRUE),IF($E60="Best 6",IF(X60&gt;LARGE($V60:$AE60,7),TRUE))))</f>
        <v>1</v>
      </c>
      <c r="AI60" s="119" t="b">
        <f t="shared" ref="AI60" si="130">IF(OR($E60="4C2X",$E60="4C1X"),TRUE,IF($E60="Best 5",IF(Y60&gt;LARGE($V60:$AE60,6),TRUE),IF($E60="Best 6",IF(Y60&gt;LARGE($V60:$AE60,7),TRUE))))</f>
        <v>1</v>
      </c>
      <c r="AJ60" s="119" t="b">
        <f>IF($E59="4C2X",IF(Z60&gt;LARGE($Z60:$AE60,3),TRUE),IF($E59="4C1X",IF(Z60&gt;LARGE($Z60:$AE60,2),TRUE),IF($E59="Best 5",IF(Z60&gt;LARGE($V60:$AE60,6),TRUE),IF($E59="Best 6",IF(Z60&gt;LARGE($V60:$AE60,7),TRUE)))))</f>
        <v>0</v>
      </c>
      <c r="AK60" s="119" t="b">
        <f>IF($E60="4C2X",IF(AA60&gt;LARGE($Z60:$AE60,3),TRUE),IF($E60="4C1X",IF(AA60&gt;LARGE($Z60:$AE60,2),TRUE),IF($E60="Best 5",IF(AA60&gt;LARGE($V60:$AE60,6),TRUE),IF($E60="Best 6",IF(AA60&gt;LARGE($V60:$AE60,7),TRUE)))))</f>
        <v>0</v>
      </c>
      <c r="AL60" s="119" t="b">
        <f>IF($E60="4C2X",IF(AB60&gt;LARGE($Z60:$AE60,3),TRUE),IF($E60="4C1X",IF(AB60&gt;LARGE($Z60:$AE60,2),TRUE),IF($E60="Best 5",IF(AB60&gt;LARGE($V60:$AE60,6),TRUE),IF($E60="Best 6",IF(AB60&gt;LARGE($V60:$AE60,7),TRUE)))))</f>
        <v>0</v>
      </c>
      <c r="AM60" s="119" t="b">
        <f>IF($E60="4C2X",IF(AC60&gt;LARGE($Z60:$AE60,3),TRUE),IF($E60="4C1X",IF(AC60&gt;LARGE($Z60:$AE60,2),TRUE),IF($E60="Best 5",IF(AC60&gt;LARGE($V60:$AE60,6),TRUE),IF($E60="Best 6",IF(AC60&gt;LARGE($V60:$AE60,7),TRUE)))))</f>
        <v>0</v>
      </c>
      <c r="AN60" s="119" t="b">
        <f>IF($E60="4C2X",IF(AD60&gt;LARGE($Z60:$AE60,3),TRUE),IF($E60="4C1X",IF(AD60&gt;LARGE($Z60:$AE60,2),TRUE),IF($E60="Best 5",IF(AD60&gt;LARGE($V60:$AE60,6),TRUE),IF($E60="Best 6",IF(AD60&gt;LARGE($V60:$AE60,7),TRUE)))))</f>
        <v>1</v>
      </c>
      <c r="AO60" s="119" t="b">
        <f>IF($H60="E",IF($E60="4C2X",IF(AE60&gt;LARGE($Z60:$AE60,3),TRUE),IF($E60="4C1X",IF(AE60&gt;LARGE($Z60:$AE60,2),TRUE),IF($E60="Best 5",IF(AE60&gt;LARGE($V60:$AE60,6),TRUE),IF($E60="Best 6",IF(AE60&gt;LARGE($V60:$AE60,7),TRUE))))),FALSE)</f>
        <v>1</v>
      </c>
      <c r="AQ60" s="2" t="str">
        <f>'Reference Score Calculation'!M37</f>
        <v>/</v>
      </c>
      <c r="AR60" s="2"/>
      <c r="AS60" s="2"/>
      <c r="AT60" s="237"/>
      <c r="AU60" s="237" t="str">
        <f>P1</f>
        <v>請選擇第一選修科</v>
      </c>
      <c r="AV60" s="237" t="str">
        <f>Q1</f>
        <v>請選擇第二選修科</v>
      </c>
      <c r="AW60" s="237" t="str">
        <f>R1</f>
        <v>請選擇第三選修科</v>
      </c>
      <c r="AX60" s="237" t="str">
        <f>S1</f>
        <v>請選擇第四選修科</v>
      </c>
      <c r="AY60" s="237" t="str">
        <f>O1</f>
        <v>數學延伸</v>
      </c>
      <c r="AZ60" s="237"/>
      <c r="BA60" s="237" t="s">
        <v>309</v>
      </c>
      <c r="BB60" s="237"/>
      <c r="BC60" s="237"/>
      <c r="BD60" s="237"/>
      <c r="BE60" s="237"/>
    </row>
    <row r="61" spans="1:76">
      <c r="A61" s="119" t="s">
        <v>925</v>
      </c>
      <c r="B61" s="119" t="str">
        <f>'Reference Score Calculation'!A38</f>
        <v>JS1102</v>
      </c>
      <c r="C61" s="119" t="str">
        <f>'Reference Score Calculation'!D38</f>
        <v>社會科學學士(國際關係及全球事務)</v>
      </c>
      <c r="D61" s="2"/>
      <c r="E61" s="396" t="str">
        <f>'Reference Score Calculation'!E38</f>
        <v>Best 5</v>
      </c>
      <c r="F61" s="396"/>
      <c r="G61" s="16" t="str">
        <f>入學要求!AB46</f>
        <v>v</v>
      </c>
      <c r="H61" s="16" t="str">
        <f>入學要求!AC46</f>
        <v>E</v>
      </c>
      <c r="I61" s="16" t="str">
        <f>入學要求!AD46</f>
        <v>NO</v>
      </c>
      <c r="J61" s="119">
        <f t="shared" si="91"/>
        <v>3.5500000000000004E-9</v>
      </c>
      <c r="K61" s="122">
        <v>1</v>
      </c>
      <c r="L61" s="122">
        <v>1</v>
      </c>
      <c r="M61" s="122">
        <v>1</v>
      </c>
      <c r="N61" s="122">
        <v>0</v>
      </c>
      <c r="O61" s="122">
        <v>1</v>
      </c>
      <c r="P61" s="122">
        <v>1</v>
      </c>
      <c r="Q61" s="122">
        <v>1</v>
      </c>
      <c r="R61" s="122">
        <v>1</v>
      </c>
      <c r="S61" s="122">
        <v>1</v>
      </c>
      <c r="T61" s="122">
        <v>1</v>
      </c>
      <c r="V61" s="119">
        <f t="shared" si="79"/>
        <v>4.0000000000000001E-10</v>
      </c>
      <c r="W61" s="119">
        <f t="shared" si="80"/>
        <v>2.0000000000000001E-10</v>
      </c>
      <c r="X61" s="119">
        <f t="shared" si="81"/>
        <v>3E-10</v>
      </c>
      <c r="Y61" s="119">
        <f t="shared" si="82"/>
        <v>0</v>
      </c>
      <c r="Z61" s="119">
        <f t="shared" si="83"/>
        <v>5.0000000000000003E-10</v>
      </c>
      <c r="AA61" s="119">
        <f t="shared" si="84"/>
        <v>6E-10</v>
      </c>
      <c r="AB61" s="119">
        <f t="shared" si="85"/>
        <v>6.9999999999999996E-10</v>
      </c>
      <c r="AC61" s="119">
        <f t="shared" si="86"/>
        <v>8.0000000000000003E-10</v>
      </c>
      <c r="AD61" s="119">
        <f t="shared" si="87"/>
        <v>8.9999999999999999E-10</v>
      </c>
      <c r="AE61" s="119">
        <f t="shared" si="88"/>
        <v>9.5000000000000003E-10</v>
      </c>
      <c r="AF61" s="143" t="b">
        <f>IF(V61&gt;LARGE(($V61,$X61,$Z61:$AE61),5),TRUE)</f>
        <v>0</v>
      </c>
      <c r="AG61" s="232" t="b">
        <f>TRUE</f>
        <v>1</v>
      </c>
      <c r="AH61" s="143" t="b">
        <f>IF(X61&gt;LARGE(($V61,$X61,$Z61:$AE61),5),TRUE)</f>
        <v>0</v>
      </c>
      <c r="AI61" s="143" t="b">
        <f>IF(Y61&gt;LARGE(($V61,$X61,$Z61:$AE61),5),TRUE)</f>
        <v>0</v>
      </c>
      <c r="AJ61" s="143" t="b">
        <f>IF(Z61&gt;LARGE(($V61,$X61,$Z61:$AE61),5),TRUE)</f>
        <v>0</v>
      </c>
      <c r="AK61" s="143" t="b">
        <f>IF(AA61&gt;LARGE(($V61,$X61,$Z61:$AE61),5),TRUE)</f>
        <v>0</v>
      </c>
      <c r="AL61" s="143" t="b">
        <f>IF(AB61&gt;LARGE(($V61,$X61,$Z61:$AE61),5),TRUE)</f>
        <v>1</v>
      </c>
      <c r="AM61" s="143" t="b">
        <f>IF(AC61&gt;LARGE(($V61,$X61,$Z61:$AE61),5),TRUE)</f>
        <v>1</v>
      </c>
      <c r="AN61" s="143" t="b">
        <f>IF(AD61&gt;LARGE(($V61,$X61,$Z61:$AE61),5),TRUE)</f>
        <v>1</v>
      </c>
      <c r="AO61" s="143" t="b">
        <f>IF(AE61&gt;LARGE(($V61,$X61,$Z61:$AE61),5),TRUE)</f>
        <v>1</v>
      </c>
      <c r="AQ61" s="2" t="str">
        <f>'Reference Score Calculation'!M38</f>
        <v>最佳五科必須包括︰英文、通識</v>
      </c>
      <c r="AR61" s="2"/>
      <c r="AS61" s="2"/>
      <c r="AT61" s="238" t="s">
        <v>311</v>
      </c>
      <c r="AU61" s="240">
        <f>IF(OR(P1="化學",P1="生物",P1="組合科學(物理、化學)",P1="組合科學(物理、生物)",P1="綜合科學",P1="資訊及通訊科技",P1="設計與應用科技",P1="物理"),P3,0)</f>
        <v>0</v>
      </c>
      <c r="AV61" s="240">
        <f>IF(OR(Q1="化學",Q1="生物",Q1="組合科學(物理、化學)",Q1="組合科學(物理、生物)",Q1="綜合科學",Q1="資訊及通訊科技",Q1="設計與應用科技",Q1="物理"),Q3,0)</f>
        <v>0</v>
      </c>
      <c r="AW61" s="240">
        <f>IF(OR(R1="化學",R1="生物",R1="組合科學(物理、化學)",R1="組合科學(物理、生物)",R1="綜合科學",R1="資訊及通訊科技",R1="設計與應用科技",R1="物理"),R3,0)</f>
        <v>0</v>
      </c>
      <c r="AX61" s="240">
        <f>IF(OR(S1="化學",S1="生物",S1="組合科學(物理、化學)",S1="組合科學(物理、生物)",S1="綜合科學",S1="資訊及通訊科技",S1="設計與應用科技",S1="物理"),S3,0)</f>
        <v>0</v>
      </c>
      <c r="AY61" s="240">
        <f>O3</f>
        <v>5.0000000000000003E-10</v>
      </c>
      <c r="AZ61" s="237"/>
      <c r="BA61" s="240" t="str">
        <f>IF(BB61&gt;0,INDEX(AU60:AY60,MATCH(LARGE(AU61:AY61,1),AU61:AY61,0)),"無")</f>
        <v>數學延伸</v>
      </c>
      <c r="BB61" s="240">
        <f>LARGE((AU61:AY61),1)</f>
        <v>5.0000000000000003E-10</v>
      </c>
      <c r="BC61" s="235"/>
      <c r="BD61" s="235"/>
      <c r="BE61" s="235"/>
    </row>
    <row r="62" spans="1:76">
      <c r="A62" s="119" t="s">
        <v>930</v>
      </c>
      <c r="B62" s="119" t="str">
        <f>'Reference Score Calculation'!A39</f>
        <v>JS1103</v>
      </c>
      <c r="C62" s="119" t="str">
        <f>'Reference Score Calculation'!D39</f>
        <v>文學士(中文及歷史)</v>
      </c>
      <c r="D62" s="2"/>
      <c r="E62" s="397" t="str">
        <f>'Reference Score Calculation'!E39</f>
        <v>4C2X</v>
      </c>
      <c r="F62" s="397"/>
      <c r="G62" s="16" t="str">
        <f>入學要求!AB47</f>
        <v>v</v>
      </c>
      <c r="H62" s="16" t="str">
        <f>入學要求!AC47</f>
        <v>E</v>
      </c>
      <c r="I62" s="16" t="str">
        <f>入學要求!AD47</f>
        <v>NO</v>
      </c>
      <c r="J62" s="119">
        <f t="shared" si="91"/>
        <v>3.3500000000000002E-9</v>
      </c>
      <c r="K62" s="122">
        <v>2</v>
      </c>
      <c r="L62" s="122">
        <v>2</v>
      </c>
      <c r="M62" s="122">
        <v>1</v>
      </c>
      <c r="N62" s="122">
        <v>1.5</v>
      </c>
      <c r="O62" s="122">
        <v>1</v>
      </c>
      <c r="P62" s="122">
        <f>IF(OR(P1="中國歷史",P1="中國文學",P1="歷史",P1="視覺藝術"),1.5,1)</f>
        <v>1</v>
      </c>
      <c r="Q62" s="122">
        <f>IF(OR(Q1="中國歷史",Q1="中國文學",Q1="歷史",Q1="視覺藝術"),1.5,1)</f>
        <v>1</v>
      </c>
      <c r="R62" s="122">
        <f>IF(OR(R1="中國歷史",R1="中國文學",R1="歷史",R1="視覺藝術"),1.5,1)</f>
        <v>1</v>
      </c>
      <c r="S62" s="122">
        <f>IF(OR(S1="中國歷史",S1="中國文學",S1="歷史",S1="視覺藝術"),1.5,1)</f>
        <v>1</v>
      </c>
      <c r="T62" s="122">
        <v>1</v>
      </c>
      <c r="V62" s="119">
        <f t="shared" si="79"/>
        <v>8.0000000000000003E-10</v>
      </c>
      <c r="W62" s="119">
        <f t="shared" si="80"/>
        <v>4.0000000000000001E-10</v>
      </c>
      <c r="X62" s="119">
        <f t="shared" si="81"/>
        <v>3E-10</v>
      </c>
      <c r="Y62" s="119">
        <f t="shared" si="82"/>
        <v>0</v>
      </c>
      <c r="Z62" s="119">
        <f t="shared" si="83"/>
        <v>5.0000000000000003E-10</v>
      </c>
      <c r="AA62" s="119">
        <f t="shared" si="84"/>
        <v>6E-10</v>
      </c>
      <c r="AB62" s="119">
        <f t="shared" si="85"/>
        <v>6.9999999999999996E-10</v>
      </c>
      <c r="AC62" s="119">
        <f t="shared" si="86"/>
        <v>8.0000000000000003E-10</v>
      </c>
      <c r="AD62" s="119">
        <f t="shared" si="87"/>
        <v>8.9999999999999999E-10</v>
      </c>
      <c r="AE62" s="119">
        <f t="shared" si="88"/>
        <v>9.5000000000000003E-10</v>
      </c>
      <c r="AF62" s="119" t="b">
        <f>IF(OR($E62="4C2X",$E62="4C1X"),TRUE,IF($E62="Best 5",IF(V62&gt;LARGE($V62:$AE62,6),TRUE),IF($E62="Best 6",IF(V62&gt;LARGE($V62:$AE62,7),TRUE))))</f>
        <v>1</v>
      </c>
      <c r="AG62" s="119" t="b">
        <f>IF(OR($E62="4C2X",$E62="4C1X"),TRUE,IF($E62="Best 5",IF(W62&gt;LARGE($V62:$AE62,6),TRUE),IF($E62="Best 6",IF(W62&gt;LARGE($V62:$AE62,7),TRUE))))</f>
        <v>1</v>
      </c>
      <c r="AH62" s="119" t="b">
        <f t="shared" ref="AH62" si="131">IF(OR($E62="4C2X",$E62="4C1X"),TRUE,IF($E62="Best 5",IF(X62&gt;LARGE($V62:$AE62,6),TRUE),IF($E62="Best 6",IF(X62&gt;LARGE($V62:$AE62,7),TRUE))))</f>
        <v>1</v>
      </c>
      <c r="AI62" s="119" t="b">
        <f t="shared" ref="AI62" si="132">IF(OR($E62="4C2X",$E62="4C1X"),TRUE,IF($E62="Best 5",IF(Y62&gt;LARGE($V62:$AE62,6),TRUE),IF($E62="Best 6",IF(Y62&gt;LARGE($V62:$AE62,7),TRUE))))</f>
        <v>1</v>
      </c>
      <c r="AJ62" s="119" t="b">
        <f>IF($E62="4C2X",IF(Z62&gt;LARGE($Z62:$AE62,3),TRUE),IF($E62="4C1X",IF(Z62&gt;LARGE($Z62:$AE62,2),TRUE),IF($E62="Best 5",IF(Z62&gt;LARGE($V62:$AE62,6),TRUE),IF($E62="Best 6",IF(Z62&gt;LARGE($V62:$AE62,7),TRUE)))))</f>
        <v>0</v>
      </c>
      <c r="AK62" s="119" t="b">
        <f t="shared" ref="AK62:AO62" si="133">IF($E62="4C2X",IF(AA62&gt;LARGE($Z62:$AE62,3),TRUE),IF($E62="4C1X",IF(AA62&gt;LARGE($Z62:$AE62,2),TRUE),IF($E62="Best 5",IF(AA62&gt;LARGE($V62:$AE62,6),TRUE),IF($E62="Best 6",IF(AA62&gt;LARGE($V62:$AE62,7),TRUE)))))</f>
        <v>0</v>
      </c>
      <c r="AL62" s="119" t="b">
        <f t="shared" si="133"/>
        <v>0</v>
      </c>
      <c r="AM62" s="119" t="b">
        <f t="shared" si="133"/>
        <v>0</v>
      </c>
      <c r="AN62" s="119" t="b">
        <f t="shared" si="133"/>
        <v>1</v>
      </c>
      <c r="AO62" s="119" t="b">
        <f t="shared" si="133"/>
        <v>1</v>
      </c>
      <c r="AQ62" s="2" t="str">
        <f>'Reference Score Calculation'!M39</f>
        <v>/</v>
      </c>
      <c r="AR62" s="2"/>
      <c r="AS62" s="2"/>
      <c r="AT62" s="237"/>
      <c r="AU62" s="241" t="s">
        <v>2856</v>
      </c>
      <c r="AV62" s="237"/>
      <c r="AW62" s="237"/>
      <c r="AX62" s="237"/>
      <c r="AY62" s="237"/>
      <c r="AZ62" s="237"/>
      <c r="BA62" s="237"/>
      <c r="BB62" s="237"/>
      <c r="BC62" s="237"/>
      <c r="BD62" s="237"/>
      <c r="BE62" s="237"/>
    </row>
    <row r="63" spans="1:76">
      <c r="A63" s="119" t="s">
        <v>935</v>
      </c>
      <c r="B63" s="119" t="str">
        <f>'Reference Score Calculation'!A40</f>
        <v>JS1104</v>
      </c>
      <c r="C63" s="119" t="str">
        <f>'Reference Score Calculation'!D40</f>
        <v>文學士(英語語言)</v>
      </c>
      <c r="D63" s="2"/>
      <c r="E63" s="397" t="str">
        <f>'Reference Score Calculation'!E40</f>
        <v>Best 6</v>
      </c>
      <c r="F63" s="397"/>
      <c r="G63" s="16" t="str">
        <f>入學要求!AB48</f>
        <v>v</v>
      </c>
      <c r="H63" s="16" t="str">
        <f>入學要求!AC48</f>
        <v>E</v>
      </c>
      <c r="I63" s="16" t="str">
        <f>入學要求!AD48</f>
        <v>NO</v>
      </c>
      <c r="J63" s="119">
        <f t="shared" si="91"/>
        <v>4.4500000000000001E-9</v>
      </c>
      <c r="K63" s="122">
        <v>1</v>
      </c>
      <c r="L63" s="122">
        <v>2.5</v>
      </c>
      <c r="M63" s="122">
        <v>1</v>
      </c>
      <c r="N63" s="122">
        <v>1.5</v>
      </c>
      <c r="O63" s="122">
        <v>1</v>
      </c>
      <c r="P63" s="122">
        <f>IF(P1="英國文學",1.5,1)</f>
        <v>1</v>
      </c>
      <c r="Q63" s="122">
        <f>IF(Q1="英國文學",1.5,1)</f>
        <v>1</v>
      </c>
      <c r="R63" s="122">
        <f>IF(R1="英國文學",1.5,1)</f>
        <v>1</v>
      </c>
      <c r="S63" s="122">
        <f>IF(S1="英國文學",1.5,1)</f>
        <v>1</v>
      </c>
      <c r="T63" s="122">
        <v>1</v>
      </c>
      <c r="V63" s="119">
        <f t="shared" si="79"/>
        <v>4.0000000000000001E-10</v>
      </c>
      <c r="W63" s="119">
        <f t="shared" si="80"/>
        <v>5.0000000000000003E-10</v>
      </c>
      <c r="X63" s="119">
        <f t="shared" si="81"/>
        <v>3E-10</v>
      </c>
      <c r="Y63" s="119">
        <f t="shared" si="82"/>
        <v>0</v>
      </c>
      <c r="Z63" s="119">
        <f t="shared" si="83"/>
        <v>5.0000000000000003E-10</v>
      </c>
      <c r="AA63" s="119">
        <f t="shared" si="84"/>
        <v>6E-10</v>
      </c>
      <c r="AB63" s="119">
        <f t="shared" si="85"/>
        <v>6.9999999999999996E-10</v>
      </c>
      <c r="AC63" s="119">
        <f t="shared" si="86"/>
        <v>8.0000000000000003E-10</v>
      </c>
      <c r="AD63" s="119">
        <f t="shared" si="87"/>
        <v>8.9999999999999999E-10</v>
      </c>
      <c r="AE63" s="119">
        <f t="shared" si="88"/>
        <v>9.5000000000000003E-10</v>
      </c>
      <c r="AF63" s="143" t="b">
        <f>IF(V63&gt;LARGE(($V63,$X63:$AE63),6),TRUE)</f>
        <v>0</v>
      </c>
      <c r="AG63" s="232" t="b">
        <f>TRUE</f>
        <v>1</v>
      </c>
      <c r="AH63" s="143" t="b">
        <f>IF(X63&gt;LARGE(($V63,$X63:$AE63),6),TRUE)</f>
        <v>0</v>
      </c>
      <c r="AI63" s="143" t="b">
        <f>IF(Y63&gt;LARGE(($V63,$X63:$AE63),6),TRUE)</f>
        <v>0</v>
      </c>
      <c r="AJ63" s="143" t="b">
        <f>IF(Z63&gt;LARGE(($V63,$X63:$AE63),6),TRUE)</f>
        <v>0</v>
      </c>
      <c r="AK63" s="143" t="b">
        <f>IF(AA63&gt;LARGE(($V63,$X63:$AE63),6),TRUE)</f>
        <v>1</v>
      </c>
      <c r="AL63" s="143" t="b">
        <f>IF(AB63&gt;LARGE(($V63,$X63:$AE63),6),TRUE)</f>
        <v>1</v>
      </c>
      <c r="AM63" s="143" t="b">
        <f>IF(AC63&gt;LARGE(($V63,$X63:$AE63),6),TRUE)</f>
        <v>1</v>
      </c>
      <c r="AN63" s="143" t="b">
        <f>IF(AD63&gt;LARGE(($V63,$X63:$AE63),6),TRUE)</f>
        <v>1</v>
      </c>
      <c r="AO63" s="143" t="b">
        <f>IF(AE63&gt;LARGE(($V63,$X63:$AE63),6),TRUE)</f>
        <v>1</v>
      </c>
      <c r="AQ63" s="2" t="str">
        <f>'Reference Score Calculation'!M40</f>
        <v>最佳六科必須包括︰英文</v>
      </c>
      <c r="AR63" s="2"/>
      <c r="AS63" s="2"/>
      <c r="AT63" s="237"/>
      <c r="AU63" s="237" t="str">
        <f t="shared" ref="AU63:BD63" si="134">K1</f>
        <v>中國語文</v>
      </c>
      <c r="AV63" s="237" t="str">
        <f t="shared" si="134"/>
        <v>英國語文</v>
      </c>
      <c r="AW63" s="237" t="str">
        <f t="shared" si="134"/>
        <v>數學</v>
      </c>
      <c r="AX63" s="237" t="str">
        <f t="shared" si="134"/>
        <v>通識教育</v>
      </c>
      <c r="AY63" s="237" t="str">
        <f t="shared" si="134"/>
        <v>數學延伸</v>
      </c>
      <c r="AZ63" s="237" t="str">
        <f t="shared" si="134"/>
        <v>請選擇第一選修科</v>
      </c>
      <c r="BA63" s="237" t="str">
        <f t="shared" si="134"/>
        <v>請選擇第二選修科</v>
      </c>
      <c r="BB63" s="237" t="str">
        <f t="shared" si="134"/>
        <v>請選擇第三選修科</v>
      </c>
      <c r="BC63" s="237" t="str">
        <f t="shared" si="134"/>
        <v>請選擇第四選修科</v>
      </c>
      <c r="BD63" s="237" t="str">
        <f t="shared" si="134"/>
        <v>請選擇語言科目</v>
      </c>
      <c r="BE63" s="237"/>
    </row>
    <row r="64" spans="1:76">
      <c r="A64" s="119" t="s">
        <v>940</v>
      </c>
      <c r="B64" s="119" t="str">
        <f>'Reference Score Calculation'!A41</f>
        <v>JS1106</v>
      </c>
      <c r="C64" s="119" t="str">
        <f>'Reference Score Calculation'!D41</f>
        <v>媒體與傳播系 [選項: 文學士(數碼電視與廣播)、文學士(媒體與傳播)]</v>
      </c>
      <c r="D64" s="2"/>
      <c r="E64" s="394" t="str">
        <f>'Reference Score Calculation'!E41</f>
        <v>Best 5</v>
      </c>
      <c r="F64" s="394"/>
      <c r="G64" s="16" t="str">
        <f>入學要求!AB49</f>
        <v>v</v>
      </c>
      <c r="H64" s="16" t="str">
        <f>入學要求!AC49</f>
        <v>E</v>
      </c>
      <c r="I64" s="16" t="str">
        <f>入學要求!AD49</f>
        <v>NO</v>
      </c>
      <c r="J64" s="119">
        <f t="shared" si="91"/>
        <v>3.6E-9</v>
      </c>
      <c r="K64" s="122">
        <v>1.25</v>
      </c>
      <c r="L64" s="122">
        <v>1.25</v>
      </c>
      <c r="M64" s="122">
        <v>1</v>
      </c>
      <c r="N64" s="122">
        <v>0</v>
      </c>
      <c r="O64" s="122">
        <v>1</v>
      </c>
      <c r="P64" s="122">
        <v>1</v>
      </c>
      <c r="Q64" s="122">
        <v>1</v>
      </c>
      <c r="R64" s="122">
        <v>1</v>
      </c>
      <c r="S64" s="122">
        <v>1</v>
      </c>
      <c r="T64" s="122">
        <v>1</v>
      </c>
      <c r="V64" s="119">
        <f t="shared" si="79"/>
        <v>5.0000000000000003E-10</v>
      </c>
      <c r="W64" s="119">
        <f t="shared" si="80"/>
        <v>2.5000000000000002E-10</v>
      </c>
      <c r="X64" s="119">
        <f t="shared" si="81"/>
        <v>3E-10</v>
      </c>
      <c r="Y64" s="119">
        <f t="shared" si="82"/>
        <v>0</v>
      </c>
      <c r="Z64" s="119">
        <f t="shared" si="83"/>
        <v>5.0000000000000003E-10</v>
      </c>
      <c r="AA64" s="119">
        <f t="shared" si="84"/>
        <v>6E-10</v>
      </c>
      <c r="AB64" s="119">
        <f t="shared" si="85"/>
        <v>6.9999999999999996E-10</v>
      </c>
      <c r="AC64" s="119">
        <f t="shared" si="86"/>
        <v>8.0000000000000003E-10</v>
      </c>
      <c r="AD64" s="119">
        <f t="shared" si="87"/>
        <v>8.9999999999999999E-10</v>
      </c>
      <c r="AE64" s="119">
        <f t="shared" si="88"/>
        <v>9.5000000000000003E-10</v>
      </c>
      <c r="AF64" s="143" t="b">
        <f>IF(V64&gt;LARGE(($V64,$X64:$AE64),5),TRUE)</f>
        <v>0</v>
      </c>
      <c r="AG64" s="232" t="b">
        <f>TRUE</f>
        <v>1</v>
      </c>
      <c r="AH64" s="143" t="b">
        <f>IF(X64&gt;LARGE(($V64,$X64:$AE64),5),TRUE)</f>
        <v>0</v>
      </c>
      <c r="AI64" s="143" t="b">
        <f>IF(Y64&gt;LARGE(($V64,$X64:$AE64),5),TRUE)</f>
        <v>0</v>
      </c>
      <c r="AJ64" s="143" t="b">
        <f>IF(Z64&gt;LARGE(($V64,$X64:$AE64),5),TRUE)</f>
        <v>0</v>
      </c>
      <c r="AK64" s="143" t="b">
        <f>IF(AA64&gt;LARGE(($V64,$X64:$AE64),5),TRUE)</f>
        <v>0</v>
      </c>
      <c r="AL64" s="143" t="b">
        <f>IF(AB64&gt;LARGE(($V64,$X64:$AE64),5),TRUE)</f>
        <v>1</v>
      </c>
      <c r="AM64" s="143" t="b">
        <f>IF(AC64&gt;LARGE(($V64,$X64:$AE64),5),TRUE)</f>
        <v>1</v>
      </c>
      <c r="AN64" s="143" t="b">
        <f>IF(AD64&gt;LARGE(($V64,$X64:$AE64),5),TRUE)</f>
        <v>1</v>
      </c>
      <c r="AO64" s="143" t="b">
        <f>IF(AE64&gt;LARGE(($V64,$X64:$AE64),5),TRUE)</f>
        <v>1</v>
      </c>
      <c r="AQ64" s="2" t="str">
        <f>'Reference Score Calculation'!M41</f>
        <v>最佳五科必須包括︰英文</v>
      </c>
      <c r="AR64" s="2"/>
      <c r="AS64" s="2"/>
      <c r="AT64" s="237"/>
      <c r="AU64" s="240">
        <f>K3</f>
        <v>4.0000000000000001E-10</v>
      </c>
      <c r="AV64" s="240">
        <f>L3</f>
        <v>2.0000000000000001E-10</v>
      </c>
      <c r="AW64" s="237"/>
      <c r="AX64" s="240">
        <f>N3</f>
        <v>0</v>
      </c>
      <c r="AY64" s="240">
        <f>IF(AW56=$BA$53,0,O3)</f>
        <v>0</v>
      </c>
      <c r="AZ64" s="240">
        <f>IF(AX56=$BA$53,0,P3)</f>
        <v>6E-10</v>
      </c>
      <c r="BA64" s="240">
        <f>IF(AY56=$BA$53,0,Q3)</f>
        <v>6.9999999999999996E-10</v>
      </c>
      <c r="BB64" s="240">
        <f>IF(AZ56=$BA$53,0,R3)</f>
        <v>8.0000000000000003E-10</v>
      </c>
      <c r="BC64" s="240">
        <f>IF(BA56=$BA$53,0,S3)</f>
        <v>8.9999999999999999E-10</v>
      </c>
      <c r="BD64" s="240">
        <f>T3</f>
        <v>9.5000000000000003E-10</v>
      </c>
      <c r="BE64" s="237"/>
    </row>
    <row r="65" spans="1:76">
      <c r="A65" s="119" t="s">
        <v>946</v>
      </c>
      <c r="B65" s="119" t="str">
        <f>'Reference Score Calculation'!A42</f>
        <v>JS1108</v>
      </c>
      <c r="C65" s="119" t="str">
        <f>'Reference Score Calculation'!D42</f>
        <v>社會科學學士(公共政策與政治)</v>
      </c>
      <c r="D65" s="2"/>
      <c r="E65" s="394" t="str">
        <f>'Reference Score Calculation'!E42</f>
        <v>4C2X</v>
      </c>
      <c r="F65" s="394"/>
      <c r="G65" s="16" t="str">
        <f>入學要求!AB50</f>
        <v>v</v>
      </c>
      <c r="H65" s="16" t="str">
        <f>入學要求!AC50</f>
        <v>E</v>
      </c>
      <c r="I65" s="16" t="str">
        <f>入學要求!AD50</f>
        <v>NO</v>
      </c>
      <c r="J65" s="119">
        <f>SUMIF(AF65:AO65,TRUE,V65:AE65)</f>
        <v>2.8499999999999999E-9</v>
      </c>
      <c r="K65" s="122">
        <v>1</v>
      </c>
      <c r="L65" s="122">
        <v>1.5</v>
      </c>
      <c r="M65" s="122">
        <v>1</v>
      </c>
      <c r="N65" s="122">
        <v>1</v>
      </c>
      <c r="O65" s="122">
        <v>1</v>
      </c>
      <c r="P65" s="122">
        <v>1</v>
      </c>
      <c r="Q65" s="122">
        <v>1</v>
      </c>
      <c r="R65" s="122">
        <v>1</v>
      </c>
      <c r="S65" s="122">
        <v>1</v>
      </c>
      <c r="T65" s="122">
        <v>1</v>
      </c>
      <c r="V65" s="119">
        <f t="shared" si="79"/>
        <v>4.0000000000000001E-10</v>
      </c>
      <c r="W65" s="119">
        <f t="shared" si="80"/>
        <v>3E-10</v>
      </c>
      <c r="X65" s="119">
        <f t="shared" si="81"/>
        <v>3E-10</v>
      </c>
      <c r="Y65" s="119">
        <f t="shared" si="82"/>
        <v>0</v>
      </c>
      <c r="Z65" s="119">
        <f t="shared" si="83"/>
        <v>5.0000000000000003E-10</v>
      </c>
      <c r="AA65" s="119">
        <f t="shared" si="84"/>
        <v>6E-10</v>
      </c>
      <c r="AB65" s="119">
        <f t="shared" si="85"/>
        <v>6.9999999999999996E-10</v>
      </c>
      <c r="AC65" s="119">
        <f t="shared" si="86"/>
        <v>8.0000000000000003E-10</v>
      </c>
      <c r="AD65" s="119">
        <f t="shared" si="87"/>
        <v>8.9999999999999999E-10</v>
      </c>
      <c r="AE65" s="119">
        <f t="shared" si="88"/>
        <v>9.5000000000000003E-10</v>
      </c>
      <c r="AF65" s="119" t="b">
        <f t="shared" ref="AF65:AF66" si="135">IF(OR($E65="4C2X",$E65="4C1X"),TRUE,IF($E65="Best 5",IF(V65&gt;LARGE($V65:$AE65,6),TRUE),IF($E65="Best 6",IF(V65&gt;LARGE($V65:$AE65,7),TRUE))))</f>
        <v>1</v>
      </c>
      <c r="AG65" s="119" t="b">
        <f>IF(OR($E65="4C2X",$E65="4C1X"),TRUE,IF($E65="Best 5",IF(W65&gt;LARGE($V65:$AE65,6),TRUE),IF($E65="Best 6",IF(W65&gt;LARGE($V65:$AE65,7),TRUE))))</f>
        <v>1</v>
      </c>
      <c r="AH65" s="119" t="b">
        <f t="shared" ref="AH65:AH66" si="136">IF(OR($E65="4C2X",$E65="4C1X"),TRUE,IF($E65="Best 5",IF(X65&gt;LARGE($V65:$AE65,6),TRUE),IF($E65="Best 6",IF(X65&gt;LARGE($V65:$AE65,7),TRUE))))</f>
        <v>1</v>
      </c>
      <c r="AI65" s="119" t="b">
        <f t="shared" ref="AI65:AI66" si="137">IF(OR($E65="4C2X",$E65="4C1X"),TRUE,IF($E65="Best 5",IF(Y65&gt;LARGE($V65:$AE65,6),TRUE),IF($E65="Best 6",IF(Y65&gt;LARGE($V65:$AE65,7),TRUE))))</f>
        <v>1</v>
      </c>
      <c r="AJ65" s="119" t="b">
        <f>IF($E64="4C2X",IF(Z65&gt;LARGE($Z65:$AE65,3),TRUE),IF($E64="4C1X",IF(Z65&gt;LARGE($Z65:$AE65,2),TRUE),IF($E64="Best 5",IF(Z65&gt;LARGE($V65:$AE65,6),TRUE),IF($E64="Best 6",IF(Z65&gt;LARGE($V65:$AE65,7),TRUE)))))</f>
        <v>0</v>
      </c>
      <c r="AK65" s="119" t="b">
        <f>IF($E65="4C2X",IF(AA65&gt;LARGE($Z65:$AE65,3),TRUE),IF($E65="4C1X",IF(AA65&gt;LARGE($Z65:$AE65,2),TRUE),IF($E65="Best 5",IF(AA65&gt;LARGE($V65:$AE65,6),TRUE),IF($E65="Best 6",IF(AA65&gt;LARGE($V65:$AE65,7),TRUE)))))</f>
        <v>0</v>
      </c>
      <c r="AL65" s="119" t="b">
        <f t="shared" ref="AL65:AL66" si="138">IF($E65="4C2X",IF(AB65&gt;LARGE($Z65:$AE65,3),TRUE),IF($E65="4C1X",IF(AB65&gt;LARGE($Z65:$AE65,2),TRUE),IF($E65="Best 5",IF(AB65&gt;LARGE($V65:$AE65,6),TRUE),IF($E65="Best 6",IF(AB65&gt;LARGE($V65:$AE65,7),TRUE)))))</f>
        <v>0</v>
      </c>
      <c r="AM65" s="119" t="b">
        <f t="shared" ref="AM65:AM66" si="139">IF($E65="4C2X",IF(AC65&gt;LARGE($Z65:$AE65,3),TRUE),IF($E65="4C1X",IF(AC65&gt;LARGE($Z65:$AE65,2),TRUE),IF($E65="Best 5",IF(AC65&gt;LARGE($V65:$AE65,6),TRUE),IF($E65="Best 6",IF(AC65&gt;LARGE($V65:$AE65,7),TRUE)))))</f>
        <v>0</v>
      </c>
      <c r="AN65" s="119" t="b">
        <f t="shared" ref="AN65:AN66" si="140">IF($E65="4C2X",IF(AD65&gt;LARGE($Z65:$AE65,3),TRUE),IF($E65="4C1X",IF(AD65&gt;LARGE($Z65:$AE65,2),TRUE),IF($E65="Best 5",IF(AD65&gt;LARGE($V65:$AE65,6),TRUE),IF($E65="Best 6",IF(AD65&gt;LARGE($V65:$AE65,7),TRUE)))))</f>
        <v>1</v>
      </c>
      <c r="AO65" s="119" t="b">
        <f>IF($H65="E",IF($E65="4C2X",IF(AE65&gt;LARGE($Z65:$AE65,3),TRUE),IF($E65="4C1X",IF(AE65&gt;LARGE($Z65:$AE65,2),TRUE),IF($E65="Best 5",IF(AE65&gt;LARGE($V65:$AE65,6),TRUE),IF($E65="Best 6",IF(AE65&gt;LARGE($V65:$AE65,7),TRUE))))),FALSE)</f>
        <v>1</v>
      </c>
      <c r="AQ65" s="2" t="str">
        <f>'Reference Score Calculation'!M42</f>
        <v>/</v>
      </c>
      <c r="AR65" s="2"/>
      <c r="AS65" s="2"/>
      <c r="AT65" s="237"/>
      <c r="AU65" s="245" t="b">
        <f>IF(AU64&gt;LARGE($AU$64:$BD$64,5),TRUE,FALSE)</f>
        <v>0</v>
      </c>
      <c r="AV65" s="245" t="b">
        <f t="shared" ref="AV65:BD65" si="141">IF(AV64&gt;LARGE($AU$64:$BD$64,5),TRUE,FALSE)</f>
        <v>0</v>
      </c>
      <c r="AW65" s="245"/>
      <c r="AX65" s="245" t="b">
        <f t="shared" si="141"/>
        <v>0</v>
      </c>
      <c r="AY65" s="245" t="b">
        <f t="shared" si="141"/>
        <v>0</v>
      </c>
      <c r="AZ65" s="245" t="b">
        <f t="shared" si="141"/>
        <v>0</v>
      </c>
      <c r="BA65" s="245" t="b">
        <f t="shared" si="141"/>
        <v>1</v>
      </c>
      <c r="BB65" s="245" t="b">
        <f t="shared" si="141"/>
        <v>1</v>
      </c>
      <c r="BC65" s="245" t="b">
        <f t="shared" si="141"/>
        <v>1</v>
      </c>
      <c r="BD65" s="245" t="b">
        <f t="shared" si="141"/>
        <v>1</v>
      </c>
      <c r="BE65" s="235"/>
    </row>
    <row r="66" spans="1:76">
      <c r="A66" s="119" t="s">
        <v>949</v>
      </c>
      <c r="B66" s="119" t="str">
        <f>'Reference Score Calculation'!A43</f>
        <v>JS1109</v>
      </c>
      <c r="C66" s="119" t="str">
        <f>'Reference Score Calculation'!D43</f>
        <v>文學士(語言學及語言應用)</v>
      </c>
      <c r="D66" s="2"/>
      <c r="E66" s="394" t="str">
        <f>'Reference Score Calculation'!E43</f>
        <v>4C2X</v>
      </c>
      <c r="F66" s="394"/>
      <c r="G66" s="16" t="str">
        <f>入學要求!AB51</f>
        <v>v</v>
      </c>
      <c r="H66" s="16" t="str">
        <f>入學要求!AC51</f>
        <v>E</v>
      </c>
      <c r="I66" s="16" t="str">
        <f>入學要求!AD51</f>
        <v>NO</v>
      </c>
      <c r="J66" s="119">
        <f t="shared" si="91"/>
        <v>3.3000000000000006E-9</v>
      </c>
      <c r="K66" s="122">
        <v>1.5</v>
      </c>
      <c r="L66" s="122">
        <v>2</v>
      </c>
      <c r="M66" s="122">
        <v>1.5</v>
      </c>
      <c r="N66" s="122">
        <v>1</v>
      </c>
      <c r="O66" s="122">
        <v>1</v>
      </c>
      <c r="P66" s="122">
        <v>1</v>
      </c>
      <c r="Q66" s="122">
        <v>1</v>
      </c>
      <c r="R66" s="122">
        <v>1</v>
      </c>
      <c r="S66" s="122">
        <v>1</v>
      </c>
      <c r="T66" s="122">
        <v>1</v>
      </c>
      <c r="V66" s="119">
        <f t="shared" si="79"/>
        <v>6E-10</v>
      </c>
      <c r="W66" s="119">
        <f t="shared" si="80"/>
        <v>4.0000000000000001E-10</v>
      </c>
      <c r="X66" s="119">
        <f t="shared" si="81"/>
        <v>4.5E-10</v>
      </c>
      <c r="Y66" s="119">
        <f t="shared" si="82"/>
        <v>0</v>
      </c>
      <c r="Z66" s="119">
        <f t="shared" si="83"/>
        <v>5.0000000000000003E-10</v>
      </c>
      <c r="AA66" s="119">
        <f t="shared" si="84"/>
        <v>6E-10</v>
      </c>
      <c r="AB66" s="119">
        <f t="shared" si="85"/>
        <v>6.9999999999999996E-10</v>
      </c>
      <c r="AC66" s="119">
        <f t="shared" si="86"/>
        <v>8.0000000000000003E-10</v>
      </c>
      <c r="AD66" s="119">
        <f t="shared" si="87"/>
        <v>8.9999999999999999E-10</v>
      </c>
      <c r="AE66" s="119">
        <f t="shared" si="88"/>
        <v>9.5000000000000003E-10</v>
      </c>
      <c r="AF66" s="119" t="b">
        <f t="shared" si="135"/>
        <v>1</v>
      </c>
      <c r="AG66" s="119" t="b">
        <f>IF(OR($E66="4C2X",$E66="4C1X"),TRUE,IF($E66="Best 5",IF(W66&gt;LARGE($V66:$AE66,6),TRUE),IF($E66="Best 6",IF(W66&gt;LARGE($V66:$AE66,7),TRUE))))</f>
        <v>1</v>
      </c>
      <c r="AH66" s="119" t="b">
        <f t="shared" si="136"/>
        <v>1</v>
      </c>
      <c r="AI66" s="119" t="b">
        <f t="shared" si="137"/>
        <v>1</v>
      </c>
      <c r="AJ66" s="119" t="b">
        <f>IF($E65="4C2X",IF(Z66&gt;LARGE($Z66:$AE66,3),TRUE),IF($E65="4C1X",IF(Z66&gt;LARGE($Z66:$AE66,2),TRUE),IF($E65="Best 5",IF(Z66&gt;LARGE($V66:$AE66,6),TRUE),IF($E65="Best 6",IF(Z66&gt;LARGE($V66:$AE66,7),TRUE)))))</f>
        <v>0</v>
      </c>
      <c r="AK66" s="119" t="b">
        <f>IF($E66="4C2X",IF(AA66&gt;LARGE($Z66:$AE66,3),TRUE),IF($E66="4C1X",IF(AA66&gt;LARGE($Z66:$AE66,2),TRUE),IF($E66="Best 5",IF(AA66&gt;LARGE($V66:$AE66,6),TRUE),IF($E66="Best 6",IF(AA66&gt;LARGE($V66:$AE66,7),TRUE)))))</f>
        <v>0</v>
      </c>
      <c r="AL66" s="119" t="b">
        <f t="shared" si="138"/>
        <v>0</v>
      </c>
      <c r="AM66" s="119" t="b">
        <f t="shared" si="139"/>
        <v>0</v>
      </c>
      <c r="AN66" s="119" t="b">
        <f t="shared" si="140"/>
        <v>1</v>
      </c>
      <c r="AO66" s="119" t="b">
        <f>IF($H66="E",IF($E66="4C2X",IF(AE66&gt;LARGE($Z66:$AE66,3),TRUE),IF($E66="4C1X",IF(AE66&gt;LARGE($Z66:$AE66,2),TRUE),IF($E66="Best 5",IF(AE66&gt;LARGE($V66:$AE66,6),TRUE),IF($E66="Best 6",IF(AE66&gt;LARGE($V66:$AE66,7),TRUE))))),FALSE)</f>
        <v>1</v>
      </c>
      <c r="AQ66" s="2" t="str">
        <f>'Reference Score Calculation'!M43</f>
        <v>/</v>
      </c>
      <c r="AR66" s="2"/>
      <c r="AS66" s="2"/>
      <c r="AT66" s="237"/>
      <c r="AU66" s="237"/>
      <c r="AV66" s="237"/>
      <c r="AW66" s="237"/>
      <c r="AX66" s="237"/>
      <c r="AY66" s="237"/>
      <c r="AZ66" s="237"/>
      <c r="BA66" s="237"/>
      <c r="BB66" s="237"/>
      <c r="BC66" s="237"/>
      <c r="BD66" s="237"/>
      <c r="BE66" s="237"/>
    </row>
    <row r="67" spans="1:76">
      <c r="A67" s="119" t="s">
        <v>955</v>
      </c>
      <c r="B67" s="119" t="str">
        <f>'Reference Score Calculation'!A44</f>
        <v>JS1110</v>
      </c>
      <c r="C67" s="119" t="str">
        <f>'Reference Score Calculation'!D44</f>
        <v>社會及行為科學系 [選項: 社會科學學士(犯罪學及社會學)、社會科學學士(心理學)、社會科學學士(社會工作)]</v>
      </c>
      <c r="D67" s="2"/>
      <c r="E67" s="394" t="str">
        <f>'Reference Score Calculation'!E44</f>
        <v>Best 5</v>
      </c>
      <c r="F67" s="394"/>
      <c r="G67" s="16" t="str">
        <f>入學要求!AB52</f>
        <v>v</v>
      </c>
      <c r="H67" s="16" t="str">
        <f>入學要求!AC52</f>
        <v>E</v>
      </c>
      <c r="I67" s="16" t="str">
        <f>入學要求!AD52</f>
        <v>NO</v>
      </c>
      <c r="J67" s="119">
        <f t="shared" si="91"/>
        <v>3.7500000000000005E-9</v>
      </c>
      <c r="K67" s="122">
        <v>1</v>
      </c>
      <c r="L67" s="122">
        <v>2</v>
      </c>
      <c r="M67" s="122">
        <v>1</v>
      </c>
      <c r="N67" s="122">
        <v>0</v>
      </c>
      <c r="O67" s="122">
        <v>1</v>
      </c>
      <c r="P67" s="122">
        <v>1</v>
      </c>
      <c r="Q67" s="122">
        <v>1</v>
      </c>
      <c r="R67" s="122">
        <v>1</v>
      </c>
      <c r="S67" s="122">
        <v>1</v>
      </c>
      <c r="T67" s="122">
        <v>1</v>
      </c>
      <c r="V67" s="119">
        <f t="shared" si="79"/>
        <v>4.0000000000000001E-10</v>
      </c>
      <c r="W67" s="119">
        <f t="shared" si="80"/>
        <v>4.0000000000000001E-10</v>
      </c>
      <c r="X67" s="119">
        <f t="shared" si="81"/>
        <v>3E-10</v>
      </c>
      <c r="Y67" s="119">
        <f t="shared" si="82"/>
        <v>0</v>
      </c>
      <c r="Z67" s="119">
        <f t="shared" si="83"/>
        <v>5.0000000000000003E-10</v>
      </c>
      <c r="AA67" s="119">
        <f t="shared" si="84"/>
        <v>6E-10</v>
      </c>
      <c r="AB67" s="119">
        <f t="shared" si="85"/>
        <v>6.9999999999999996E-10</v>
      </c>
      <c r="AC67" s="119">
        <f t="shared" si="86"/>
        <v>8.0000000000000003E-10</v>
      </c>
      <c r="AD67" s="119">
        <f t="shared" si="87"/>
        <v>8.9999999999999999E-10</v>
      </c>
      <c r="AE67" s="119">
        <f t="shared" si="88"/>
        <v>9.5000000000000003E-10</v>
      </c>
      <c r="AF67" s="143" t="b">
        <f>IF(V67&gt;LARGE(($V67,$X67:$AE67),5),TRUE)</f>
        <v>0</v>
      </c>
      <c r="AG67" s="232" t="b">
        <f>TRUE</f>
        <v>1</v>
      </c>
      <c r="AH67" s="143" t="b">
        <f>IF(X67&gt;LARGE(($V67,$X67:$AE67),5),TRUE)</f>
        <v>0</v>
      </c>
      <c r="AI67" s="143" t="b">
        <f>IF(Y67&gt;LARGE(($V67,$X67:$AE67),5),TRUE)</f>
        <v>0</v>
      </c>
      <c r="AJ67" s="143" t="b">
        <f>IF(Z67&gt;LARGE(($V67,$X67:$AE67),5),TRUE)</f>
        <v>0</v>
      </c>
      <c r="AK67" s="143" t="b">
        <f>IF(AA67&gt;LARGE(($V67,$X67:$AE67),5),TRUE)</f>
        <v>0</v>
      </c>
      <c r="AL67" s="143" t="b">
        <f>IF(AB67&gt;LARGE(($V67,$X67:$AE67),5),TRUE)</f>
        <v>1</v>
      </c>
      <c r="AM67" s="143" t="b">
        <f>IF(AC67&gt;LARGE(($V67,$X67:$AE67),5),TRUE)</f>
        <v>1</v>
      </c>
      <c r="AN67" s="143" t="b">
        <f>IF(AD67&gt;LARGE(($V67,$X67:$AE67),5),TRUE)</f>
        <v>1</v>
      </c>
      <c r="AO67" s="143" t="b">
        <f>IF(AE67&gt;LARGE(($V67,$X67:$AE67),5),TRUE)</f>
        <v>1</v>
      </c>
      <c r="AQ67" s="2" t="str">
        <f>'Reference Score Calculation'!M44</f>
        <v>最佳五科必須包括︰英文</v>
      </c>
      <c r="AR67" s="2"/>
      <c r="AS67" s="2"/>
      <c r="AT67" s="237"/>
      <c r="AU67" s="237" t="s">
        <v>312</v>
      </c>
      <c r="AV67" s="237"/>
      <c r="AW67" s="241" t="s">
        <v>313</v>
      </c>
      <c r="AX67" s="237"/>
      <c r="AY67" s="237"/>
      <c r="AZ67" s="237"/>
      <c r="BA67" s="237"/>
      <c r="BB67" s="237"/>
      <c r="BC67" s="237"/>
      <c r="BD67" s="237"/>
      <c r="BE67" s="237"/>
    </row>
    <row r="68" spans="1:76">
      <c r="A68" s="119" t="s">
        <v>959</v>
      </c>
      <c r="B68" s="119" t="str">
        <f>'Reference Score Calculation'!A45</f>
        <v>JS1111</v>
      </c>
      <c r="C68" s="119" t="str">
        <f>'Reference Score Calculation'!D45</f>
        <v>社會科學學士(犯罪學及社會學)</v>
      </c>
      <c r="D68" s="2"/>
      <c r="E68" s="394" t="str">
        <f>'Reference Score Calculation'!E45</f>
        <v>Best 5</v>
      </c>
      <c r="F68" s="394"/>
      <c r="G68" s="16" t="str">
        <f>入學要求!AB53</f>
        <v>v</v>
      </c>
      <c r="H68" s="16" t="str">
        <f>入學要求!AC53</f>
        <v>E</v>
      </c>
      <c r="I68" s="16" t="str">
        <f>入學要求!AD53</f>
        <v>NO</v>
      </c>
      <c r="J68" s="119">
        <f t="shared" si="91"/>
        <v>3.7500000000000005E-9</v>
      </c>
      <c r="K68" s="122">
        <v>1</v>
      </c>
      <c r="L68" s="122">
        <v>2</v>
      </c>
      <c r="M68" s="122">
        <v>1</v>
      </c>
      <c r="N68" s="122">
        <v>0</v>
      </c>
      <c r="O68" s="122">
        <v>1</v>
      </c>
      <c r="P68" s="122">
        <v>1</v>
      </c>
      <c r="Q68" s="122">
        <v>1</v>
      </c>
      <c r="R68" s="122">
        <v>1</v>
      </c>
      <c r="S68" s="122">
        <v>1</v>
      </c>
      <c r="T68" s="122">
        <v>1</v>
      </c>
      <c r="V68" s="119">
        <f t="shared" ref="V68:V90" si="142">K$3*K68</f>
        <v>4.0000000000000001E-10</v>
      </c>
      <c r="W68" s="119">
        <f t="shared" ref="W68:W90" si="143">L$3*L68</f>
        <v>4.0000000000000001E-10</v>
      </c>
      <c r="X68" s="119">
        <f t="shared" ref="X68:X90" si="144">M$3*M68</f>
        <v>3E-10</v>
      </c>
      <c r="Y68" s="119">
        <f t="shared" ref="Y68:Y90" si="145">N$3*N68</f>
        <v>0</v>
      </c>
      <c r="Z68" s="119">
        <f t="shared" ref="Z68:Z90" si="146">IF(G68="v",O$3*O68,0)</f>
        <v>5.0000000000000003E-10</v>
      </c>
      <c r="AA68" s="119">
        <f t="shared" ref="AA68:AA90" si="147">P$3*P68</f>
        <v>6E-10</v>
      </c>
      <c r="AB68" s="119">
        <f t="shared" ref="AB68:AB90" si="148">Q$3*Q68</f>
        <v>6.9999999999999996E-10</v>
      </c>
      <c r="AC68" s="119">
        <f t="shared" ref="AC68:AC90" si="149">R$3*R68</f>
        <v>8.0000000000000003E-10</v>
      </c>
      <c r="AD68" s="119">
        <f t="shared" ref="AD68:AD90" si="150">S$3*S68</f>
        <v>8.9999999999999999E-10</v>
      </c>
      <c r="AE68" s="119">
        <f t="shared" ref="AE68:AE90" si="151">IF(H68="E",T$3*T68,0)</f>
        <v>9.5000000000000003E-10</v>
      </c>
      <c r="AF68" s="143" t="b">
        <f>IF(V68&gt;LARGE(($V68,$X68:$AE68),5),TRUE)</f>
        <v>0</v>
      </c>
      <c r="AG68" s="232" t="b">
        <f>TRUE</f>
        <v>1</v>
      </c>
      <c r="AH68" s="143" t="b">
        <f>IF(X68&gt;LARGE(($V68,$X68:$AE68),5),TRUE)</f>
        <v>0</v>
      </c>
      <c r="AI68" s="143" t="b">
        <f>IF(Y68&gt;LARGE(($V68,$X68:$AE68),5),TRUE)</f>
        <v>0</v>
      </c>
      <c r="AJ68" s="143" t="b">
        <f>IF(Z68&gt;LARGE(($V68,$X68:$AE68),5),TRUE)</f>
        <v>0</v>
      </c>
      <c r="AK68" s="143" t="b">
        <f>IF(AA68&gt;LARGE(($V68,$X68:$AE68),5),TRUE)</f>
        <v>0</v>
      </c>
      <c r="AL68" s="143" t="b">
        <f>IF(AB68&gt;LARGE(($V68,$X68:$AE68),5),TRUE)</f>
        <v>1</v>
      </c>
      <c r="AM68" s="143" t="b">
        <f>IF(AC68&gt;LARGE(($V68,$X68:$AE68),5),TRUE)</f>
        <v>1</v>
      </c>
      <c r="AN68" s="143" t="b">
        <f>IF(AD68&gt;LARGE(($V68,$X68:$AE68),5),TRUE)</f>
        <v>1</v>
      </c>
      <c r="AO68" s="143" t="b">
        <f>IF(AE68&gt;LARGE(($V68,$X68:$AE68),5),TRUE)</f>
        <v>1</v>
      </c>
      <c r="AQ68" s="2" t="str">
        <f>'Reference Score Calculation'!M45</f>
        <v>最佳五科必須包括︰英文</v>
      </c>
      <c r="AR68" s="2"/>
      <c r="AS68" s="2"/>
      <c r="AT68" s="234" t="s">
        <v>314</v>
      </c>
      <c r="AU68" s="240" t="str">
        <f>IF(M3&gt;O3,M1,O1)</f>
        <v>數學延伸</v>
      </c>
      <c r="AV68" s="237"/>
      <c r="AW68" s="237"/>
      <c r="AX68" s="237"/>
      <c r="AY68" s="237"/>
      <c r="AZ68" s="237"/>
      <c r="BA68" s="237"/>
      <c r="BB68" s="237"/>
      <c r="BC68" s="237"/>
      <c r="BD68" s="237"/>
      <c r="BE68" s="237"/>
    </row>
    <row r="69" spans="1:76">
      <c r="A69" s="119" t="s">
        <v>962</v>
      </c>
      <c r="B69" s="119" t="str">
        <f>'Reference Score Calculation'!A46</f>
        <v>JS1112</v>
      </c>
      <c r="C69" s="119" t="str">
        <f>'Reference Score Calculation'!D46</f>
        <v>社會科學學士(心理學)</v>
      </c>
      <c r="D69" s="2"/>
      <c r="E69" s="394" t="str">
        <f>'Reference Score Calculation'!E46</f>
        <v>Best 5</v>
      </c>
      <c r="F69" s="394"/>
      <c r="G69" s="16" t="str">
        <f>入學要求!AB54</f>
        <v>v</v>
      </c>
      <c r="H69" s="16" t="str">
        <f>入學要求!AC54</f>
        <v>E</v>
      </c>
      <c r="I69" s="16" t="str">
        <f>入學要求!AD54</f>
        <v>NO</v>
      </c>
      <c r="J69" s="119">
        <f t="shared" ref="J69:J90" si="152">SUMIF(AF69:AO69,TRUE,V69:AE69)</f>
        <v>3.7500000000000005E-9</v>
      </c>
      <c r="K69" s="122">
        <v>1</v>
      </c>
      <c r="L69" s="122">
        <v>2</v>
      </c>
      <c r="M69" s="122">
        <v>1</v>
      </c>
      <c r="N69" s="122">
        <v>0</v>
      </c>
      <c r="O69" s="122">
        <v>1</v>
      </c>
      <c r="P69" s="122">
        <v>1</v>
      </c>
      <c r="Q69" s="122">
        <v>1</v>
      </c>
      <c r="R69" s="122">
        <v>1</v>
      </c>
      <c r="S69" s="122">
        <v>1</v>
      </c>
      <c r="T69" s="122">
        <v>1</v>
      </c>
      <c r="V69" s="119">
        <f t="shared" si="142"/>
        <v>4.0000000000000001E-10</v>
      </c>
      <c r="W69" s="119">
        <f t="shared" si="143"/>
        <v>4.0000000000000001E-10</v>
      </c>
      <c r="X69" s="119">
        <f t="shared" si="144"/>
        <v>3E-10</v>
      </c>
      <c r="Y69" s="119">
        <f t="shared" si="145"/>
        <v>0</v>
      </c>
      <c r="Z69" s="119">
        <f t="shared" si="146"/>
        <v>5.0000000000000003E-10</v>
      </c>
      <c r="AA69" s="119">
        <f t="shared" si="147"/>
        <v>6E-10</v>
      </c>
      <c r="AB69" s="119">
        <f t="shared" si="148"/>
        <v>6.9999999999999996E-10</v>
      </c>
      <c r="AC69" s="119">
        <f t="shared" si="149"/>
        <v>8.0000000000000003E-10</v>
      </c>
      <c r="AD69" s="119">
        <f t="shared" si="150"/>
        <v>8.9999999999999999E-10</v>
      </c>
      <c r="AE69" s="119">
        <f t="shared" si="151"/>
        <v>9.5000000000000003E-10</v>
      </c>
      <c r="AF69" s="143" t="b">
        <f>IF(V69&gt;LARGE(($V69,$X69:$AE69),5),TRUE)</f>
        <v>0</v>
      </c>
      <c r="AG69" s="232" t="b">
        <f>TRUE</f>
        <v>1</v>
      </c>
      <c r="AH69" s="143" t="b">
        <f>IF(X69&gt;LARGE(($V69,$X69:$AE69),5),TRUE)</f>
        <v>0</v>
      </c>
      <c r="AI69" s="143" t="b">
        <f>IF(Y69&gt;LARGE(($V69,$X69:$AE69),5),TRUE)</f>
        <v>0</v>
      </c>
      <c r="AJ69" s="143" t="b">
        <f>IF(Z69&gt;LARGE(($V69,$X69:$AE69),5),TRUE)</f>
        <v>0</v>
      </c>
      <c r="AK69" s="143" t="b">
        <f>IF(AA69&gt;LARGE(($V69,$X69:$AE69),5),TRUE)</f>
        <v>0</v>
      </c>
      <c r="AL69" s="143" t="b">
        <f>IF(AB69&gt;LARGE(($V69,$X69:$AE69),5),TRUE)</f>
        <v>1</v>
      </c>
      <c r="AM69" s="143" t="b">
        <f>IF(AC69&gt;LARGE(($V69,$X69:$AE69),5),TRUE)</f>
        <v>1</v>
      </c>
      <c r="AN69" s="143" t="b">
        <f>IF(AD69&gt;LARGE(($V69,$X69:$AE69),5),TRUE)</f>
        <v>1</v>
      </c>
      <c r="AO69" s="143" t="b">
        <f>IF(AE69&gt;LARGE(($V69,$X69:$AE69),5),TRUE)</f>
        <v>1</v>
      </c>
      <c r="AQ69" s="2" t="str">
        <f>'Reference Score Calculation'!M46</f>
        <v>最佳五科必須包括︰英文</v>
      </c>
      <c r="AR69" s="2"/>
      <c r="AS69" s="2"/>
      <c r="AT69" s="234"/>
      <c r="AU69" s="241" t="s">
        <v>2824</v>
      </c>
      <c r="AV69" s="237"/>
      <c r="AW69" s="237"/>
      <c r="AX69" s="237"/>
      <c r="AY69" s="237"/>
      <c r="AZ69" s="237"/>
      <c r="BA69" s="237"/>
      <c r="BB69" s="237"/>
      <c r="BC69" s="235"/>
      <c r="BD69" s="235"/>
      <c r="BE69" s="235"/>
    </row>
    <row r="70" spans="1:76">
      <c r="A70" s="119" t="s">
        <v>965</v>
      </c>
      <c r="B70" s="119" t="str">
        <f>'Reference Score Calculation'!A47</f>
        <v>JS1113</v>
      </c>
      <c r="C70" s="119" t="str">
        <f>'Reference Score Calculation'!D47</f>
        <v>社會科學學士(社會工作)</v>
      </c>
      <c r="D70" s="2"/>
      <c r="E70" s="394" t="str">
        <f>'Reference Score Calculation'!E47</f>
        <v>Best 5</v>
      </c>
      <c r="F70" s="394"/>
      <c r="G70" s="16" t="str">
        <f>入學要求!AB55</f>
        <v>v</v>
      </c>
      <c r="H70" s="16" t="str">
        <f>入學要求!AC55</f>
        <v>E</v>
      </c>
      <c r="I70" s="16" t="str">
        <f>入學要求!AD55</f>
        <v>NO</v>
      </c>
      <c r="J70" s="119">
        <f t="shared" si="152"/>
        <v>3.7500000000000005E-9</v>
      </c>
      <c r="K70" s="122">
        <v>1</v>
      </c>
      <c r="L70" s="122">
        <v>2</v>
      </c>
      <c r="M70" s="122">
        <v>1</v>
      </c>
      <c r="N70" s="122">
        <v>0</v>
      </c>
      <c r="O70" s="122">
        <v>1</v>
      </c>
      <c r="P70" s="122">
        <v>1</v>
      </c>
      <c r="Q70" s="122">
        <v>1</v>
      </c>
      <c r="R70" s="122">
        <v>1</v>
      </c>
      <c r="S70" s="122">
        <v>1</v>
      </c>
      <c r="T70" s="122">
        <v>1</v>
      </c>
      <c r="V70" s="119">
        <f t="shared" si="142"/>
        <v>4.0000000000000001E-10</v>
      </c>
      <c r="W70" s="119">
        <f t="shared" si="143"/>
        <v>4.0000000000000001E-10</v>
      </c>
      <c r="X70" s="119">
        <f t="shared" si="144"/>
        <v>3E-10</v>
      </c>
      <c r="Y70" s="119">
        <f t="shared" si="145"/>
        <v>0</v>
      </c>
      <c r="Z70" s="119">
        <f t="shared" si="146"/>
        <v>5.0000000000000003E-10</v>
      </c>
      <c r="AA70" s="119">
        <f t="shared" si="147"/>
        <v>6E-10</v>
      </c>
      <c r="AB70" s="119">
        <f t="shared" si="148"/>
        <v>6.9999999999999996E-10</v>
      </c>
      <c r="AC70" s="119">
        <f t="shared" si="149"/>
        <v>8.0000000000000003E-10</v>
      </c>
      <c r="AD70" s="119">
        <f t="shared" si="150"/>
        <v>8.9999999999999999E-10</v>
      </c>
      <c r="AE70" s="119">
        <f t="shared" si="151"/>
        <v>9.5000000000000003E-10</v>
      </c>
      <c r="AF70" s="143" t="b">
        <f>IF(V70&gt;LARGE(($V70,$X70:$AE70),5),TRUE)</f>
        <v>0</v>
      </c>
      <c r="AG70" s="232" t="b">
        <f>TRUE</f>
        <v>1</v>
      </c>
      <c r="AH70" s="143" t="b">
        <f>IF(X70&gt;LARGE(($V70,$X70:$AE70),5),TRUE)</f>
        <v>0</v>
      </c>
      <c r="AI70" s="143" t="b">
        <f>IF(Y70&gt;LARGE(($V70,$X70:$AE70),5),TRUE)</f>
        <v>0</v>
      </c>
      <c r="AJ70" s="143" t="b">
        <f>IF(Z70&gt;LARGE(($V70,$X70:$AE70),5),TRUE)</f>
        <v>0</v>
      </c>
      <c r="AK70" s="143" t="b">
        <f>IF(AA70&gt;LARGE(($V70,$X70:$AE70),5),TRUE)</f>
        <v>0</v>
      </c>
      <c r="AL70" s="143" t="b">
        <f>IF(AB70&gt;LARGE(($V70,$X70:$AE70),5),TRUE)</f>
        <v>1</v>
      </c>
      <c r="AM70" s="143" t="b">
        <f>IF(AC70&gt;LARGE(($V70,$X70:$AE70),5),TRUE)</f>
        <v>1</v>
      </c>
      <c r="AN70" s="143" t="b">
        <f>IF(AD70&gt;LARGE(($V70,$X70:$AE70),5),TRUE)</f>
        <v>1</v>
      </c>
      <c r="AO70" s="143" t="b">
        <f>IF(AE70&gt;LARGE(($V70,$X70:$AE70),5),TRUE)</f>
        <v>1</v>
      </c>
      <c r="AQ70" s="2" t="str">
        <f>'Reference Score Calculation'!M47</f>
        <v>最佳五科必須包括︰英文</v>
      </c>
      <c r="AR70" s="2"/>
      <c r="AS70" s="2"/>
      <c r="AT70" s="237"/>
      <c r="AU70" s="237" t="str">
        <f t="shared" ref="AU70:BD70" si="153">K1</f>
        <v>中國語文</v>
      </c>
      <c r="AV70" s="237" t="str">
        <f t="shared" si="153"/>
        <v>英國語文</v>
      </c>
      <c r="AW70" s="237" t="str">
        <f t="shared" si="153"/>
        <v>數學</v>
      </c>
      <c r="AX70" s="235"/>
      <c r="AY70" s="237" t="str">
        <f t="shared" si="153"/>
        <v>數學延伸</v>
      </c>
      <c r="AZ70" s="237" t="str">
        <f t="shared" si="153"/>
        <v>請選擇第一選修科</v>
      </c>
      <c r="BA70" s="237" t="str">
        <f t="shared" si="153"/>
        <v>請選擇第二選修科</v>
      </c>
      <c r="BB70" s="237" t="str">
        <f t="shared" si="153"/>
        <v>請選擇第三選修科</v>
      </c>
      <c r="BC70" s="237" t="str">
        <f t="shared" si="153"/>
        <v>請選擇第四選修科</v>
      </c>
      <c r="BD70" s="237" t="str">
        <f t="shared" si="153"/>
        <v>請選擇語言科目</v>
      </c>
      <c r="BE70" s="237"/>
    </row>
    <row r="71" spans="1:76">
      <c r="A71" s="119" t="s">
        <v>968</v>
      </c>
      <c r="B71" s="119" t="str">
        <f>'Reference Score Calculation'!A48</f>
        <v>JS1122</v>
      </c>
      <c r="C71" s="119" t="str">
        <f>'Reference Score Calculation'!D48</f>
        <v>社會科學學士(公共政策)與法律學學士</v>
      </c>
      <c r="D71" s="2"/>
      <c r="E71" s="395" t="str">
        <f>'Reference Score Calculation'!E48</f>
        <v>4C2X</v>
      </c>
      <c r="F71" s="395"/>
      <c r="G71" s="16" t="str">
        <f>入學要求!AB56</f>
        <v>v</v>
      </c>
      <c r="H71" s="16" t="str">
        <f>入學要求!AC56</f>
        <v>E</v>
      </c>
      <c r="I71" s="16" t="str">
        <f>入學要求!AD56</f>
        <v>NO</v>
      </c>
      <c r="J71" s="119">
        <f t="shared" si="152"/>
        <v>2.7499999999999998E-9</v>
      </c>
      <c r="K71" s="122">
        <v>1</v>
      </c>
      <c r="L71" s="122">
        <v>1</v>
      </c>
      <c r="M71" s="122">
        <v>1</v>
      </c>
      <c r="N71" s="122">
        <v>1</v>
      </c>
      <c r="O71" s="122">
        <v>1</v>
      </c>
      <c r="P71" s="122">
        <v>1</v>
      </c>
      <c r="Q71" s="122">
        <v>1</v>
      </c>
      <c r="R71" s="122">
        <v>1</v>
      </c>
      <c r="S71" s="122">
        <v>1</v>
      </c>
      <c r="T71" s="122">
        <v>1</v>
      </c>
      <c r="U71" s="2"/>
      <c r="V71" s="119">
        <f t="shared" si="142"/>
        <v>4.0000000000000001E-10</v>
      </c>
      <c r="W71" s="119">
        <f t="shared" si="143"/>
        <v>2.0000000000000001E-10</v>
      </c>
      <c r="X71" s="119">
        <f t="shared" si="144"/>
        <v>3E-10</v>
      </c>
      <c r="Y71" s="119">
        <f t="shared" si="145"/>
        <v>0</v>
      </c>
      <c r="Z71" s="119">
        <f t="shared" si="146"/>
        <v>5.0000000000000003E-10</v>
      </c>
      <c r="AA71" s="119">
        <f t="shared" si="147"/>
        <v>6E-10</v>
      </c>
      <c r="AB71" s="119">
        <f t="shared" si="148"/>
        <v>6.9999999999999996E-10</v>
      </c>
      <c r="AC71" s="119">
        <f t="shared" si="149"/>
        <v>8.0000000000000003E-10</v>
      </c>
      <c r="AD71" s="119">
        <f t="shared" si="150"/>
        <v>8.9999999999999999E-10</v>
      </c>
      <c r="AE71" s="119">
        <f t="shared" si="151"/>
        <v>9.5000000000000003E-10</v>
      </c>
      <c r="AF71" s="119" t="b">
        <f t="shared" ref="AF71" si="154">IF(OR($E71="4C2X",$E71="4C1X"),TRUE,IF($E71="Best 5",IF(V71&gt;LARGE($V71:$AE71,6),TRUE),IF($E71="Best 6",IF(V71&gt;LARGE($V71:$AE71,7),TRUE))))</f>
        <v>1</v>
      </c>
      <c r="AG71" s="119" t="b">
        <f>IF(OR($E71="4C2X",$E71="4C1X"),TRUE,IF($E71="Best 5",IF(W71&gt;LARGE($V71:$AE71,6),TRUE),IF($E71="Best 6",IF(W71&gt;LARGE($V71:$AE71,7),TRUE))))</f>
        <v>1</v>
      </c>
      <c r="AH71" s="119" t="b">
        <f t="shared" ref="AH71" si="155">IF(OR($E71="4C2X",$E71="4C1X"),TRUE,IF($E71="Best 5",IF(X71&gt;LARGE($V71:$AE71,6),TRUE),IF($E71="Best 6",IF(X71&gt;LARGE($V71:$AE71,7),TRUE))))</f>
        <v>1</v>
      </c>
      <c r="AI71" s="119" t="b">
        <f t="shared" ref="AI71" si="156">IF(OR($E71="4C2X",$E71="4C1X"),TRUE,IF($E71="Best 5",IF(Y71&gt;LARGE($V71:$AE71,6),TRUE),IF($E71="Best 6",IF(Y71&gt;LARGE($V71:$AE71,7),TRUE))))</f>
        <v>1</v>
      </c>
      <c r="AJ71" s="119" t="b">
        <f>IF($E70="4C2X",IF(Z71&gt;LARGE($Z71:$AE71,3),TRUE),IF($E70="4C1X",IF(Z71&gt;LARGE($Z71:$AE71,2),TRUE),IF($E70="Best 5",IF(Z71&gt;LARGE($V71:$AE71,6),TRUE),IF($E70="Best 6",IF(Z71&gt;LARGE($V71:$AE71,7),TRUE)))))</f>
        <v>0</v>
      </c>
      <c r="AK71" s="119" t="b">
        <f>IF($E71="4C2X",IF(AA71&gt;LARGE($Z71:$AE71,3),TRUE),IF($E71="4C1X",IF(AA71&gt;LARGE($Z71:$AE71,2),TRUE),IF($E71="Best 5",IF(AA71&gt;LARGE($V71:$AE71,6),TRUE),IF($E71="Best 6",IF(AA71&gt;LARGE($V71:$AE71,7),TRUE)))))</f>
        <v>0</v>
      </c>
      <c r="AL71" s="119" t="b">
        <f t="shared" ref="AL71" si="157">IF($E71="4C2X",IF(AB71&gt;LARGE($Z71:$AE71,3),TRUE),IF($E71="4C1X",IF(AB71&gt;LARGE($Z71:$AE71,2),TRUE),IF($E71="Best 5",IF(AB71&gt;LARGE($V71:$AE71,6),TRUE),IF($E71="Best 6",IF(AB71&gt;LARGE($V71:$AE71,7),TRUE)))))</f>
        <v>0</v>
      </c>
      <c r="AM71" s="119" t="b">
        <f t="shared" ref="AM71" si="158">IF($E71="4C2X",IF(AC71&gt;LARGE($Z71:$AE71,3),TRUE),IF($E71="4C1X",IF(AC71&gt;LARGE($Z71:$AE71,2),TRUE),IF($E71="Best 5",IF(AC71&gt;LARGE($V71:$AE71,6),TRUE),IF($E71="Best 6",IF(AC71&gt;LARGE($V71:$AE71,7),TRUE)))))</f>
        <v>0</v>
      </c>
      <c r="AN71" s="119" t="b">
        <f t="shared" ref="AN71" si="159">IF($E71="4C2X",IF(AD71&gt;LARGE($Z71:$AE71,3),TRUE),IF($E71="4C1X",IF(AD71&gt;LARGE($Z71:$AE71,2),TRUE),IF($E71="Best 5",IF(AD71&gt;LARGE($V71:$AE71,6),TRUE),IF($E71="Best 6",IF(AD71&gt;LARGE($V71:$AE71,7),TRUE)))))</f>
        <v>1</v>
      </c>
      <c r="AO71" s="119" t="b">
        <f>IF($H71="E",IF($E71="4C2X",IF(AE71&gt;LARGE($Z71:$AE71,3),TRUE),IF($E71="4C1X",IF(AE71&gt;LARGE($Z71:$AE71,2),TRUE),IF($E71="Best 5",IF(AE71&gt;LARGE($V71:$AE71,6),TRUE),IF($E71="Best 6",IF(AE71&gt;LARGE($V71:$AE71,7),TRUE))))),FALSE)</f>
        <v>1</v>
      </c>
      <c r="AQ71" s="2" t="str">
        <f>'Reference Score Calculation'!M48</f>
        <v>/</v>
      </c>
      <c r="AR71" s="2"/>
      <c r="AS71" s="2"/>
      <c r="AT71" s="237"/>
      <c r="AU71" s="240">
        <f>K3</f>
        <v>4.0000000000000001E-10</v>
      </c>
      <c r="AV71" s="240">
        <f>L3*2</f>
        <v>4.0000000000000001E-10</v>
      </c>
      <c r="AW71" s="240">
        <f>IF(AW70=$AU$68,M3*2,0)</f>
        <v>0</v>
      </c>
      <c r="AX71" s="235"/>
      <c r="AY71" s="240">
        <f>IF(AY70=$AU$68,O3*2,0)</f>
        <v>1.0000000000000001E-9</v>
      </c>
      <c r="AZ71" s="240">
        <f>IF(OR(P1="物理",P1="化學",P1="生物"),P3*2,P3)</f>
        <v>6E-10</v>
      </c>
      <c r="BA71" s="240">
        <f>IF(OR(Q1="物理",Q1="化學",Q1="生物"),Q3*2,Q3)</f>
        <v>6.9999999999999996E-10</v>
      </c>
      <c r="BB71" s="240">
        <f>IF(OR(R1="物理",R1="化學",R1="生物"),R3*2,R3)</f>
        <v>8.0000000000000003E-10</v>
      </c>
      <c r="BC71" s="240">
        <f>IF(OR(S1="物理",S1="化學",S1="生物"),S3*2,S3)</f>
        <v>8.9999999999999999E-10</v>
      </c>
      <c r="BD71" s="240">
        <f>T3</f>
        <v>9.5000000000000003E-10</v>
      </c>
      <c r="BE71" s="237"/>
      <c r="BH71" s="2"/>
      <c r="BI71" s="2"/>
      <c r="BJ71" s="2"/>
      <c r="BK71" s="2"/>
      <c r="BX71" s="2"/>
    </row>
    <row r="72" spans="1:76">
      <c r="A72" s="119" t="s">
        <v>971</v>
      </c>
      <c r="B72" s="119" t="str">
        <f>'Reference Score Calculation'!A49</f>
        <v>JS1123</v>
      </c>
      <c r="C72" s="119" t="str">
        <f>'Reference Score Calculation'!D49</f>
        <v>社會科學學士(犯罪學)與法律學學士</v>
      </c>
      <c r="D72" s="2"/>
      <c r="E72" s="395" t="str">
        <f>'Reference Score Calculation'!E49</f>
        <v>Best 6</v>
      </c>
      <c r="F72" s="395"/>
      <c r="G72" s="16" t="str">
        <f>入學要求!AB57</f>
        <v>v</v>
      </c>
      <c r="H72" s="16" t="str">
        <f>入學要求!AC57</f>
        <v>E</v>
      </c>
      <c r="I72" s="16" t="str">
        <f>入學要求!AD57</f>
        <v>NO</v>
      </c>
      <c r="J72" s="119">
        <f t="shared" si="152"/>
        <v>4.1499999999999999E-9</v>
      </c>
      <c r="K72" s="122">
        <v>1</v>
      </c>
      <c r="L72" s="122">
        <v>1</v>
      </c>
      <c r="M72" s="122">
        <v>1</v>
      </c>
      <c r="N72" s="122">
        <v>1</v>
      </c>
      <c r="O72" s="122">
        <v>1</v>
      </c>
      <c r="P72" s="122">
        <v>1</v>
      </c>
      <c r="Q72" s="122">
        <v>1</v>
      </c>
      <c r="R72" s="122">
        <v>1</v>
      </c>
      <c r="S72" s="122">
        <v>1</v>
      </c>
      <c r="T72" s="122">
        <v>1</v>
      </c>
      <c r="U72" s="2"/>
      <c r="V72" s="119">
        <f t="shared" si="142"/>
        <v>4.0000000000000001E-10</v>
      </c>
      <c r="W72" s="119">
        <f t="shared" si="143"/>
        <v>2.0000000000000001E-10</v>
      </c>
      <c r="X72" s="119">
        <f t="shared" si="144"/>
        <v>3E-10</v>
      </c>
      <c r="Y72" s="119">
        <f t="shared" si="145"/>
        <v>0</v>
      </c>
      <c r="Z72" s="119">
        <f t="shared" si="146"/>
        <v>5.0000000000000003E-10</v>
      </c>
      <c r="AA72" s="119">
        <f t="shared" si="147"/>
        <v>6E-10</v>
      </c>
      <c r="AB72" s="119">
        <f t="shared" si="148"/>
        <v>6.9999999999999996E-10</v>
      </c>
      <c r="AC72" s="119">
        <f t="shared" si="149"/>
        <v>8.0000000000000003E-10</v>
      </c>
      <c r="AD72" s="119">
        <f t="shared" si="150"/>
        <v>8.9999999999999999E-10</v>
      </c>
      <c r="AE72" s="119">
        <f t="shared" si="151"/>
        <v>9.5000000000000003E-10</v>
      </c>
      <c r="AF72" s="143" t="b">
        <f>IF(V72&gt;LARGE(($V72,$X72:$AE72),6),TRUE)</f>
        <v>0</v>
      </c>
      <c r="AG72" s="232" t="b">
        <f>TRUE</f>
        <v>1</v>
      </c>
      <c r="AH72" s="143" t="b">
        <f>IF(X72&gt;LARGE(($V72,$X72:$AE72),6),TRUE)</f>
        <v>0</v>
      </c>
      <c r="AI72" s="143" t="b">
        <f>IF(Y72&gt;LARGE(($V72,$X72:$AE72),6),TRUE)</f>
        <v>0</v>
      </c>
      <c r="AJ72" s="143" t="b">
        <f>IF(Z72&gt;LARGE(($V72,$X72:$AE72),6),TRUE)</f>
        <v>0</v>
      </c>
      <c r="AK72" s="143" t="b">
        <f>IF(AA72&gt;LARGE(($V72,$X72:$AE72),6),TRUE)</f>
        <v>1</v>
      </c>
      <c r="AL72" s="143" t="b">
        <f>IF(AB72&gt;LARGE(($V72,$X72:$AE72),6),TRUE)</f>
        <v>1</v>
      </c>
      <c r="AM72" s="143" t="b">
        <f>IF(AC72&gt;LARGE(($V72,$X72:$AE72),6),TRUE)</f>
        <v>1</v>
      </c>
      <c r="AN72" s="143" t="b">
        <f>IF(AD72&gt;LARGE(($V72,$X72:$AE72),6),TRUE)</f>
        <v>1</v>
      </c>
      <c r="AO72" s="143" t="b">
        <f>IF(AE72&gt;LARGE(($V72,$X72:$AE72),6),TRUE)</f>
        <v>1</v>
      </c>
      <c r="AQ72" s="2" t="str">
        <f>'Reference Score Calculation'!M49</f>
        <v>最佳六科必須包括︰英文</v>
      </c>
      <c r="AR72" s="2"/>
      <c r="AS72" s="2"/>
      <c r="AT72" s="237"/>
      <c r="AU72" s="245" t="b">
        <f t="shared" ref="AU72:BD72" si="160">IF(AU71&gt;LARGE($AU$71:$BD$71,6),TRUE,FALSE)</f>
        <v>0</v>
      </c>
      <c r="AV72" s="245" t="b">
        <f t="shared" si="160"/>
        <v>0</v>
      </c>
      <c r="AW72" s="245" t="b">
        <f t="shared" si="160"/>
        <v>0</v>
      </c>
      <c r="AX72" s="235"/>
      <c r="AY72" s="245" t="b">
        <f t="shared" si="160"/>
        <v>1</v>
      </c>
      <c r="AZ72" s="245" t="b">
        <f t="shared" si="160"/>
        <v>0</v>
      </c>
      <c r="BA72" s="245" t="b">
        <f t="shared" si="160"/>
        <v>1</v>
      </c>
      <c r="BB72" s="245" t="b">
        <f t="shared" si="160"/>
        <v>1</v>
      </c>
      <c r="BC72" s="245" t="b">
        <f t="shared" si="160"/>
        <v>1</v>
      </c>
      <c r="BD72" s="245" t="b">
        <f t="shared" si="160"/>
        <v>1</v>
      </c>
      <c r="BE72" s="237"/>
      <c r="BH72" s="2"/>
      <c r="BI72" s="2"/>
      <c r="BJ72" s="2"/>
      <c r="BK72" s="2"/>
      <c r="BX72" s="2"/>
    </row>
    <row r="73" spans="1:76">
      <c r="A73" s="119" t="s">
        <v>974</v>
      </c>
      <c r="B73" s="119" t="str">
        <f>'Reference Score Calculation'!A50</f>
        <v>JS1200</v>
      </c>
      <c r="C73" s="119" t="str">
        <f>'Reference Score Calculation'!D50</f>
        <v>環球精研與科創課程</v>
      </c>
      <c r="D73" s="2"/>
      <c r="E73" s="394" t="str">
        <f>'Reference Score Calculation'!E50</f>
        <v>Best 5</v>
      </c>
      <c r="F73" s="394"/>
      <c r="G73" s="16" t="str">
        <f>入學要求!AB58</f>
        <v>v</v>
      </c>
      <c r="H73" s="16" t="str">
        <f>入學要求!AC58</f>
        <v>E</v>
      </c>
      <c r="I73" s="16" t="str">
        <f>入學要求!AD58</f>
        <v>NO</v>
      </c>
      <c r="J73" s="119">
        <f t="shared" si="152"/>
        <v>4.6500000000000003E-9</v>
      </c>
      <c r="K73" s="122">
        <v>1</v>
      </c>
      <c r="L73" s="122">
        <v>2</v>
      </c>
      <c r="M73" s="122">
        <v>2.5</v>
      </c>
      <c r="N73" s="122">
        <v>0</v>
      </c>
      <c r="O73" s="122">
        <v>2.5</v>
      </c>
      <c r="P73" s="122">
        <f>IF(OR(P1="物理",P1="化學",P1="生物",P1="經濟"),2.5,1)</f>
        <v>1</v>
      </c>
      <c r="Q73" s="122">
        <f>IF(OR(Q1="物理",Q1="化學",Q1="生物",Q1="經濟"),2.5,1)</f>
        <v>1</v>
      </c>
      <c r="R73" s="122">
        <f>IF(OR(R1="物理",R1="化學",R1="生物",R1="經濟"),2.5,1)</f>
        <v>1</v>
      </c>
      <c r="S73" s="122">
        <f>IF(OR(S1="物理",S1="化學",S1="生物",S1="經濟"),2.5,1)</f>
        <v>1</v>
      </c>
      <c r="T73" s="122">
        <v>1</v>
      </c>
      <c r="V73" s="119">
        <f t="shared" si="142"/>
        <v>4.0000000000000001E-10</v>
      </c>
      <c r="W73" s="119">
        <f t="shared" si="143"/>
        <v>4.0000000000000001E-10</v>
      </c>
      <c r="X73" s="119">
        <f t="shared" si="144"/>
        <v>7.5E-10</v>
      </c>
      <c r="Y73" s="119">
        <f t="shared" si="145"/>
        <v>0</v>
      </c>
      <c r="Z73" s="119">
        <f t="shared" si="146"/>
        <v>1.25E-9</v>
      </c>
      <c r="AA73" s="119">
        <f t="shared" si="147"/>
        <v>6E-10</v>
      </c>
      <c r="AB73" s="119">
        <f t="shared" si="148"/>
        <v>6.9999999999999996E-10</v>
      </c>
      <c r="AC73" s="119">
        <f t="shared" si="149"/>
        <v>8.0000000000000003E-10</v>
      </c>
      <c r="AD73" s="119">
        <f t="shared" si="150"/>
        <v>8.9999999999999999E-10</v>
      </c>
      <c r="AE73" s="119">
        <f t="shared" si="151"/>
        <v>9.5000000000000003E-10</v>
      </c>
      <c r="AF73" s="119" t="b">
        <f t="shared" ref="AF73" si="161">IF(OR($E73="4C2X",$E73="4C1X"),TRUE,IF($E73="Best 5",IF(V73&gt;LARGE($V73:$AE73,6),TRUE),IF($E73="Best 6",IF(V73&gt;LARGE($V73:$AE73,7),TRUE))))</f>
        <v>0</v>
      </c>
      <c r="AG73" s="119" t="b">
        <f>IF(OR($E73="4C2X",$E73="4C1X"),TRUE,IF($E73="Best 5",IF(W73&gt;LARGE($V73:$AE73,6),TRUE),IF($E73="Best 6",IF(W73&gt;LARGE($V73:$AE73,7),TRUE))))</f>
        <v>0</v>
      </c>
      <c r="AH73" s="119" t="b">
        <f t="shared" ref="AH73" si="162">IF(OR($E73="4C2X",$E73="4C1X"),TRUE,IF($E73="Best 5",IF(X73&gt;LARGE($V73:$AE73,6),TRUE),IF($E73="Best 6",IF(X73&gt;LARGE($V73:$AE73,7),TRUE))))</f>
        <v>1</v>
      </c>
      <c r="AI73" s="119" t="b">
        <f t="shared" ref="AI73" si="163">IF(OR($E73="4C2X",$E73="4C1X"),TRUE,IF($E73="Best 5",IF(Y73&gt;LARGE($V73:$AE73,6),TRUE),IF($E73="Best 6",IF(Y73&gt;LARGE($V73:$AE73,7),TRUE))))</f>
        <v>0</v>
      </c>
      <c r="AJ73" s="119" t="b">
        <f>IF($E72="4C2X",IF(Z73&gt;LARGE($Z73:$AE73,3),TRUE),IF($E72="4C1X",IF(Z73&gt;LARGE($Z73:$AE73,2),TRUE),IF($E72="Best 5",IF(Z73&gt;LARGE($V73:$AE73,6),TRUE),IF($E72="Best 6",IF(Z73&gt;LARGE($V73:$AE73,7),TRUE)))))</f>
        <v>1</v>
      </c>
      <c r="AK73" s="119" t="b">
        <f>IF($E73="4C2X",IF(AA73&gt;LARGE($Z73:$AE73,3),TRUE),IF($E73="4C1X",IF(AA73&gt;LARGE($Z73:$AE73,2),TRUE),IF($E73="Best 5",IF(AA73&gt;LARGE($V73:$AE73,6),TRUE),IF($E73="Best 6",IF(AA73&gt;LARGE($V73:$AE73,7),TRUE)))))</f>
        <v>0</v>
      </c>
      <c r="AL73" s="119" t="b">
        <f t="shared" ref="AL73" si="164">IF($E73="4C2X",IF(AB73&gt;LARGE($Z73:$AE73,3),TRUE),IF($E73="4C1X",IF(AB73&gt;LARGE($Z73:$AE73,2),TRUE),IF($E73="Best 5",IF(AB73&gt;LARGE($V73:$AE73,6),TRUE),IF($E73="Best 6",IF(AB73&gt;LARGE($V73:$AE73,7),TRUE)))))</f>
        <v>0</v>
      </c>
      <c r="AM73" s="119" t="b">
        <f t="shared" ref="AM73" si="165">IF($E73="4C2X",IF(AC73&gt;LARGE($Z73:$AE73,3),TRUE),IF($E73="4C1X",IF(AC73&gt;LARGE($Z73:$AE73,2),TRUE),IF($E73="Best 5",IF(AC73&gt;LARGE($V73:$AE73,6),TRUE),IF($E73="Best 6",IF(AC73&gt;LARGE($V73:$AE73,7),TRUE)))))</f>
        <v>1</v>
      </c>
      <c r="AN73" s="119" t="b">
        <f t="shared" ref="AN73" si="166">IF($E73="4C2X",IF(AD73&gt;LARGE($Z73:$AE73,3),TRUE),IF($E73="4C1X",IF(AD73&gt;LARGE($Z73:$AE73,2),TRUE),IF($E73="Best 5",IF(AD73&gt;LARGE($V73:$AE73,6),TRUE),IF($E73="Best 6",IF(AD73&gt;LARGE($V73:$AE73,7),TRUE)))))</f>
        <v>1</v>
      </c>
      <c r="AO73" s="119" t="b">
        <f>IF($H73="E",IF($E73="4C2X",IF(AE73&gt;LARGE($Z73:$AE73,3),TRUE),IF($E73="4C1X",IF(AE73&gt;LARGE($Z73:$AE73,2),TRUE),IF($E73="Best 5",IF(AE73&gt;LARGE($V73:$AE73,6),TRUE),IF($E73="Best 6",IF(AE73&gt;LARGE($V73:$AE73,7),TRUE))))),FALSE)</f>
        <v>1</v>
      </c>
      <c r="AQ73" s="2" t="str">
        <f>'Reference Score Calculation'!M50</f>
        <v>/</v>
      </c>
      <c r="AR73" s="2"/>
      <c r="AS73" s="2"/>
      <c r="AT73" s="234"/>
      <c r="AU73" s="235"/>
      <c r="AV73" s="235"/>
      <c r="AW73" s="235"/>
      <c r="AX73" s="235"/>
      <c r="AY73" s="235"/>
      <c r="AZ73" s="235"/>
      <c r="BA73" s="235"/>
      <c r="BB73" s="235"/>
      <c r="BC73" s="235"/>
      <c r="BD73" s="235"/>
      <c r="BE73" s="235"/>
    </row>
    <row r="74" spans="1:76">
      <c r="A74" s="119" t="s">
        <v>979</v>
      </c>
      <c r="B74" s="119" t="str">
        <f>'Reference Score Calculation'!A51</f>
        <v>JS1201</v>
      </c>
      <c r="C74" s="119" t="str">
        <f>'Reference Score Calculation'!D51</f>
        <v>建築學及土木工程學系 [選項: 工學士(建築工程)、工學士(土木工程)、理學士(建築學及測量學)]</v>
      </c>
      <c r="D74" s="2"/>
      <c r="E74" s="397" t="str">
        <f>'Reference Score Calculation'!E51</f>
        <v>Best 6</v>
      </c>
      <c r="F74" s="397"/>
      <c r="G74" s="16" t="str">
        <f>入學要求!AB59</f>
        <v>v</v>
      </c>
      <c r="H74" s="16" t="str">
        <f>入學要求!AC59</f>
        <v>NO</v>
      </c>
      <c r="I74" s="16" t="str">
        <f>入學要求!AD59</f>
        <v>NO</v>
      </c>
      <c r="J74" s="119">
        <f t="shared" si="152"/>
        <v>4.9E-9</v>
      </c>
      <c r="K74" s="122">
        <v>1.5</v>
      </c>
      <c r="L74" s="122">
        <v>2.5</v>
      </c>
      <c r="M74" s="122">
        <v>2.5</v>
      </c>
      <c r="N74" s="122">
        <v>1</v>
      </c>
      <c r="O74" s="122">
        <v>2.5</v>
      </c>
      <c r="P74" s="122">
        <f>IF(P1="物理",2.5,1)</f>
        <v>1</v>
      </c>
      <c r="Q74" s="122">
        <f t="shared" ref="Q74:S74" si="167">IF(Q1="物理",2.5,1)</f>
        <v>1</v>
      </c>
      <c r="R74" s="122">
        <f t="shared" si="167"/>
        <v>1</v>
      </c>
      <c r="S74" s="122">
        <f t="shared" si="167"/>
        <v>1</v>
      </c>
      <c r="T74" s="122">
        <v>1</v>
      </c>
      <c r="V74" s="119">
        <f t="shared" si="142"/>
        <v>6E-10</v>
      </c>
      <c r="W74" s="119">
        <f t="shared" si="143"/>
        <v>5.0000000000000003E-10</v>
      </c>
      <c r="X74" s="119">
        <f t="shared" si="144"/>
        <v>7.5E-10</v>
      </c>
      <c r="Y74" s="119">
        <f t="shared" si="145"/>
        <v>0</v>
      </c>
      <c r="Z74" s="119">
        <f t="shared" si="146"/>
        <v>1.25E-9</v>
      </c>
      <c r="AA74" s="119">
        <f t="shared" si="147"/>
        <v>6E-10</v>
      </c>
      <c r="AB74" s="119">
        <f t="shared" si="148"/>
        <v>6.9999999999999996E-10</v>
      </c>
      <c r="AC74" s="119">
        <f t="shared" si="149"/>
        <v>8.0000000000000003E-10</v>
      </c>
      <c r="AD74" s="119">
        <f t="shared" si="150"/>
        <v>8.9999999999999999E-10</v>
      </c>
      <c r="AE74" s="119">
        <f t="shared" si="151"/>
        <v>0</v>
      </c>
      <c r="AF74" s="143" t="b">
        <f>IF(V74&gt;LARGE(($V74,$X74:$AE74),6),TRUE)</f>
        <v>0</v>
      </c>
      <c r="AG74" s="232" t="b">
        <f>TRUE</f>
        <v>1</v>
      </c>
      <c r="AH74" s="143" t="b">
        <f>IF(X74&gt;LARGE(($V74,$X74:$AE74),6),TRUE)</f>
        <v>1</v>
      </c>
      <c r="AI74" s="143" t="b">
        <f>IF(Y74&gt;LARGE(($V74,$X74:$AE74),6),TRUE)</f>
        <v>0</v>
      </c>
      <c r="AJ74" s="143" t="b">
        <f>IF(Z74&gt;LARGE(($V74,$X74:$AE74),6),TRUE)</f>
        <v>1</v>
      </c>
      <c r="AK74" s="143" t="b">
        <f>IF(AA74&gt;LARGE(($V74,$X74:$AE74),6),TRUE)</f>
        <v>0</v>
      </c>
      <c r="AL74" s="143" t="b">
        <f>IF(AB74&gt;LARGE(($V74,$X74:$AE74),6),TRUE)</f>
        <v>1</v>
      </c>
      <c r="AM74" s="143" t="b">
        <f>IF(AC74&gt;LARGE(($V74,$X74:$AE74),6),TRUE)</f>
        <v>1</v>
      </c>
      <c r="AN74" s="143" t="b">
        <f>IF(AD74&gt;LARGE(($V74,$X74:$AE74),6),TRUE)</f>
        <v>1</v>
      </c>
      <c r="AO74" s="143" t="b">
        <f>IF(AE74&gt;LARGE(($V74,$X74:$AE74),6),TRUE)</f>
        <v>0</v>
      </c>
      <c r="AQ74" s="2" t="str">
        <f>'Reference Score Calculation'!M51</f>
        <v>最佳六科必須包括︰英文</v>
      </c>
      <c r="AR74" s="2"/>
      <c r="AS74" s="2"/>
      <c r="AT74" s="244" t="s">
        <v>315</v>
      </c>
      <c r="AU74" s="235"/>
      <c r="AV74" s="235"/>
      <c r="AW74" s="235"/>
      <c r="AX74" s="235"/>
      <c r="AY74" s="235"/>
      <c r="AZ74" s="235"/>
      <c r="BA74" s="235"/>
      <c r="BB74" s="235"/>
      <c r="BC74" s="235"/>
      <c r="BD74" s="235"/>
      <c r="BE74" s="237"/>
    </row>
    <row r="75" spans="1:76">
      <c r="A75" s="119" t="s">
        <v>985</v>
      </c>
      <c r="B75" s="119" t="str">
        <f>'Reference Score Calculation'!A52</f>
        <v>JS1202</v>
      </c>
      <c r="C75" s="119" t="str">
        <f>'Reference Score Calculation'!D52</f>
        <v>理學士(化學)</v>
      </c>
      <c r="D75" s="2"/>
      <c r="E75" s="397" t="str">
        <f>'Reference Score Calculation'!E52</f>
        <v>Best 5</v>
      </c>
      <c r="F75" s="397"/>
      <c r="G75" s="16" t="str">
        <f>入學要求!AB60</f>
        <v>v</v>
      </c>
      <c r="H75" s="16" t="str">
        <f>入學要求!AC60</f>
        <v>NO</v>
      </c>
      <c r="I75" s="16" t="str">
        <f>入學要求!AD60</f>
        <v>NO</v>
      </c>
      <c r="J75" s="119">
        <f t="shared" si="152"/>
        <v>3.4999999999999999E-9</v>
      </c>
      <c r="K75" s="122">
        <v>1</v>
      </c>
      <c r="L75" s="122">
        <v>2</v>
      </c>
      <c r="M75" s="122">
        <v>1.5</v>
      </c>
      <c r="N75" s="122">
        <v>0</v>
      </c>
      <c r="O75" s="122">
        <v>1</v>
      </c>
      <c r="P75" s="122">
        <f>IF(P1="化學",2,IF(OR(P1="組合科學(物理、化學)",P1="組合科學(生物、化學)"),1.5,1))</f>
        <v>1</v>
      </c>
      <c r="Q75" s="122">
        <f>IF(Q1="化學",2,IF(OR(Q1="組合科學(物理、化學)",Q1="組合科學(生物、化學)"),1.5,1))</f>
        <v>1</v>
      </c>
      <c r="R75" s="122">
        <f>IF(R1="化學",2,IF(OR(R1="組合科學(物理、化學)",R1="組合科學(生物、化學)"),1.5,1))</f>
        <v>1</v>
      </c>
      <c r="S75" s="122">
        <f>IF(S1="化學",2,IF(OR(S1="組合科學(物理、化學)",S1="組合科學(生物、化學)"),1.5,1))</f>
        <v>1</v>
      </c>
      <c r="T75" s="122">
        <v>1</v>
      </c>
      <c r="V75" s="119">
        <f t="shared" si="142"/>
        <v>4.0000000000000001E-10</v>
      </c>
      <c r="W75" s="119">
        <f t="shared" si="143"/>
        <v>4.0000000000000001E-10</v>
      </c>
      <c r="X75" s="119">
        <f t="shared" si="144"/>
        <v>4.5E-10</v>
      </c>
      <c r="Y75" s="119">
        <f t="shared" si="145"/>
        <v>0</v>
      </c>
      <c r="Z75" s="119">
        <f t="shared" si="146"/>
        <v>5.0000000000000003E-10</v>
      </c>
      <c r="AA75" s="119">
        <f t="shared" si="147"/>
        <v>6E-10</v>
      </c>
      <c r="AB75" s="119">
        <f t="shared" si="148"/>
        <v>6.9999999999999996E-10</v>
      </c>
      <c r="AC75" s="119">
        <f t="shared" si="149"/>
        <v>8.0000000000000003E-10</v>
      </c>
      <c r="AD75" s="119">
        <f t="shared" si="150"/>
        <v>8.9999999999999999E-10</v>
      </c>
      <c r="AE75" s="119">
        <f t="shared" si="151"/>
        <v>0</v>
      </c>
      <c r="AF75" s="119" t="b">
        <f t="shared" ref="AF75" si="168">IF(OR($E75="4C2X",$E75="4C1X"),TRUE,IF($E75="Best 5",IF(V75&gt;LARGE($V75:$AE75,6),TRUE),IF($E75="Best 6",IF(V75&gt;LARGE($V75:$AE75,7),TRUE))))</f>
        <v>0</v>
      </c>
      <c r="AG75" s="119" t="b">
        <f>IF(OR($E75="4C2X",$E75="4C1X"),TRUE,IF($E75="Best 5",IF(W75&gt;LARGE($V75:$AE75,6),TRUE),IF($E75="Best 6",IF(W75&gt;LARGE($V75:$AE75,7),TRUE))))</f>
        <v>0</v>
      </c>
      <c r="AH75" s="119" t="b">
        <f t="shared" ref="AH75" si="169">IF(OR($E75="4C2X",$E75="4C1X"),TRUE,IF($E75="Best 5",IF(X75&gt;LARGE($V75:$AE75,6),TRUE),IF($E75="Best 6",IF(X75&gt;LARGE($V75:$AE75,7),TRUE))))</f>
        <v>0</v>
      </c>
      <c r="AI75" s="119" t="b">
        <f t="shared" ref="AI75" si="170">IF(OR($E75="4C2X",$E75="4C1X"),TRUE,IF($E75="Best 5",IF(Y75&gt;LARGE($V75:$AE75,6),TRUE),IF($E75="Best 6",IF(Y75&gt;LARGE($V75:$AE75,7),TRUE))))</f>
        <v>0</v>
      </c>
      <c r="AJ75" s="119" t="b">
        <f>IF($E74="4C2X",IF(Z75&gt;LARGE($Z75:$AE75,3),TRUE),IF($E74="4C1X",IF(Z75&gt;LARGE($Z75:$AE75,2),TRUE),IF($E74="Best 5",IF(Z75&gt;LARGE($V75:$AE75,6),TRUE),IF($E74="Best 6",IF(Z75&gt;LARGE($V75:$AE75,7),TRUE)))))</f>
        <v>1</v>
      </c>
      <c r="AK75" s="119" t="b">
        <f>IF($E75="4C2X",IF(AA75&gt;LARGE($Z75:$AE75,3),TRUE),IF($E75="4C1X",IF(AA75&gt;LARGE($Z75:$AE75,2),TRUE),IF($E75="Best 5",IF(AA75&gt;LARGE($V75:$AE75,6),TRUE),IF($E75="Best 6",IF(AA75&gt;LARGE($V75:$AE75,7),TRUE)))))</f>
        <v>1</v>
      </c>
      <c r="AL75" s="119" t="b">
        <f t="shared" ref="AL75" si="171">IF($E75="4C2X",IF(AB75&gt;LARGE($Z75:$AE75,3),TRUE),IF($E75="4C1X",IF(AB75&gt;LARGE($Z75:$AE75,2),TRUE),IF($E75="Best 5",IF(AB75&gt;LARGE($V75:$AE75,6),TRUE),IF($E75="Best 6",IF(AB75&gt;LARGE($V75:$AE75,7),TRUE)))))</f>
        <v>1</v>
      </c>
      <c r="AM75" s="119" t="b">
        <f t="shared" ref="AM75" si="172">IF($E75="4C2X",IF(AC75&gt;LARGE($Z75:$AE75,3),TRUE),IF($E75="4C1X",IF(AC75&gt;LARGE($Z75:$AE75,2),TRUE),IF($E75="Best 5",IF(AC75&gt;LARGE($V75:$AE75,6),TRUE),IF($E75="Best 6",IF(AC75&gt;LARGE($V75:$AE75,7),TRUE)))))</f>
        <v>1</v>
      </c>
      <c r="AN75" s="119" t="b">
        <f t="shared" ref="AN75" si="173">IF($E75="4C2X",IF(AD75&gt;LARGE($Z75:$AE75,3),TRUE),IF($E75="4C1X",IF(AD75&gt;LARGE($Z75:$AE75,2),TRUE),IF($E75="Best 5",IF(AD75&gt;LARGE($V75:$AE75,6),TRUE),IF($E75="Best 6",IF(AD75&gt;LARGE($V75:$AE75,7),TRUE)))))</f>
        <v>1</v>
      </c>
      <c r="AO75" s="119" t="b">
        <f>IF($H75="E",IF($E75="4C2X",IF(AE75&gt;LARGE($Z75:$AE75,3),TRUE),IF($E75="4C1X",IF(AE75&gt;LARGE($Z75:$AE75,2),TRUE),IF($E75="Best 5",IF(AE75&gt;LARGE($V75:$AE75,6),TRUE),IF($E75="Best 6",IF(AE75&gt;LARGE($V75:$AE75,7),TRUE))))),FALSE)</f>
        <v>0</v>
      </c>
      <c r="AQ75" s="2" t="str">
        <f>'Reference Score Calculation'!M52</f>
        <v>/</v>
      </c>
      <c r="AR75" s="2"/>
      <c r="AS75" s="2"/>
      <c r="AT75" s="235"/>
      <c r="AU75" s="235"/>
      <c r="AV75" s="235"/>
      <c r="AW75" s="235"/>
      <c r="AX75" s="235"/>
      <c r="AY75" s="235"/>
      <c r="AZ75" s="235"/>
      <c r="BA75" s="235"/>
      <c r="BB75" s="235"/>
      <c r="BC75" s="235"/>
      <c r="BD75" s="235"/>
      <c r="BE75" s="237"/>
    </row>
    <row r="76" spans="1:76">
      <c r="A76" s="119" t="s">
        <v>989</v>
      </c>
      <c r="B76" s="119" t="str">
        <f>'Reference Score Calculation'!A53</f>
        <v>JS1204</v>
      </c>
      <c r="C76" s="119" t="str">
        <f>'Reference Score Calculation'!D53</f>
        <v>理學士(電腦科學)</v>
      </c>
      <c r="D76" s="2"/>
      <c r="E76" s="396" t="str">
        <f>'Reference Score Calculation'!E53</f>
        <v>Best 5</v>
      </c>
      <c r="F76" s="396"/>
      <c r="G76" s="16" t="str">
        <f>入學要求!AB61</f>
        <v>v</v>
      </c>
      <c r="H76" s="16" t="str">
        <f>入學要求!AC61</f>
        <v>E</v>
      </c>
      <c r="I76" s="16" t="str">
        <f>入學要求!AD61</f>
        <v>NO</v>
      </c>
      <c r="J76" s="119">
        <f t="shared" si="152"/>
        <v>2.8499999999999999E-9</v>
      </c>
      <c r="K76" s="122">
        <v>1</v>
      </c>
      <c r="L76" s="122">
        <v>1</v>
      </c>
      <c r="M76" s="122">
        <v>1</v>
      </c>
      <c r="N76" s="122">
        <v>0</v>
      </c>
      <c r="O76" s="122">
        <v>1</v>
      </c>
      <c r="P76" s="122">
        <v>1</v>
      </c>
      <c r="Q76" s="122">
        <v>1</v>
      </c>
      <c r="R76" s="122">
        <v>1</v>
      </c>
      <c r="S76" s="122">
        <v>1</v>
      </c>
      <c r="T76" s="122">
        <v>1</v>
      </c>
      <c r="V76" s="119">
        <f t="shared" si="142"/>
        <v>4.0000000000000001E-10</v>
      </c>
      <c r="W76" s="119">
        <f t="shared" si="143"/>
        <v>2.0000000000000001E-10</v>
      </c>
      <c r="X76" s="119">
        <f t="shared" si="144"/>
        <v>3E-10</v>
      </c>
      <c r="Y76" s="119">
        <f t="shared" si="145"/>
        <v>0</v>
      </c>
      <c r="Z76" s="119">
        <f t="shared" si="146"/>
        <v>5.0000000000000003E-10</v>
      </c>
      <c r="AA76" s="119">
        <f t="shared" si="147"/>
        <v>6E-10</v>
      </c>
      <c r="AB76" s="119">
        <f t="shared" si="148"/>
        <v>6.9999999999999996E-10</v>
      </c>
      <c r="AC76" s="119">
        <f t="shared" si="149"/>
        <v>8.0000000000000003E-10</v>
      </c>
      <c r="AD76" s="119">
        <f t="shared" si="150"/>
        <v>8.9999999999999999E-10</v>
      </c>
      <c r="AE76" s="119">
        <f t="shared" si="151"/>
        <v>9.5000000000000003E-10</v>
      </c>
      <c r="AF76" s="143" t="b">
        <f>AU58</f>
        <v>0</v>
      </c>
      <c r="AG76" s="232" t="b">
        <f>TRUE</f>
        <v>1</v>
      </c>
      <c r="AH76" s="232" t="b">
        <f>TRUE</f>
        <v>1</v>
      </c>
      <c r="AI76" s="143">
        <f>AV58</f>
        <v>0</v>
      </c>
      <c r="AJ76" s="143" t="b">
        <f>IF(O1=$BA$53,TRUE,AW58)</f>
        <v>1</v>
      </c>
      <c r="AK76" s="232" t="b">
        <f>IF(P1=$BA$53,TRUE,AX58)</f>
        <v>0</v>
      </c>
      <c r="AL76" s="232" t="b">
        <f>IF(Q1=$BA$53,TRUE,AY58)</f>
        <v>0</v>
      </c>
      <c r="AM76" s="232" t="b">
        <f>IF(R1=$BA$53,TRUE,AZ58)</f>
        <v>0</v>
      </c>
      <c r="AN76" s="232" t="b">
        <f>IF(S1=$BA$53,TRUE,BA58)</f>
        <v>1</v>
      </c>
      <c r="AO76" s="143" t="b">
        <f>IF(U1=$BA$53,TRUE,BB58)</f>
        <v>1</v>
      </c>
      <c r="AQ76" s="2" t="str">
        <f>'Reference Score Calculation'!M53</f>
        <v>最佳五科必須包括︰英文、數學 及 以下其中一科︰</v>
      </c>
      <c r="AR76" s="2"/>
      <c r="AS76" s="2"/>
      <c r="AT76" s="237"/>
      <c r="AU76" s="237" t="str">
        <f>P1</f>
        <v>請選擇第一選修科</v>
      </c>
      <c r="AV76" s="237" t="str">
        <f>Q1</f>
        <v>請選擇第二選修科</v>
      </c>
      <c r="AW76" s="237" t="str">
        <f>R1</f>
        <v>請選擇第三選修科</v>
      </c>
      <c r="AX76" s="237" t="str">
        <f>S1</f>
        <v>請選擇第四選修科</v>
      </c>
      <c r="AY76" s="237"/>
      <c r="AZ76" s="237" t="s">
        <v>316</v>
      </c>
      <c r="BA76" s="237"/>
      <c r="BB76" s="237"/>
      <c r="BC76" s="237"/>
      <c r="BD76" s="235"/>
      <c r="BE76" s="237"/>
    </row>
    <row r="77" spans="1:76">
      <c r="A77" s="119" t="s">
        <v>994</v>
      </c>
      <c r="B77" s="119" t="str">
        <f>'Reference Score Calculation'!A54</f>
        <v>JS1205</v>
      </c>
      <c r="C77" s="119" t="str">
        <f>'Reference Score Calculation'!D54</f>
        <v>電機工程學系 [選項: 工學士(電子計算機及數據工程學)、工學士(電子及電機工程學)、工學士(資訊工程學)、工學士(微電子工程學)]</v>
      </c>
      <c r="D77" s="2"/>
      <c r="E77" s="397" t="str">
        <f>'Reference Score Calculation'!E54</f>
        <v>Best 5</v>
      </c>
      <c r="F77" s="397"/>
      <c r="G77" s="16" t="str">
        <f>入學要求!AB62</f>
        <v>v</v>
      </c>
      <c r="H77" s="16" t="str">
        <f>入學要求!AC62</f>
        <v>E</v>
      </c>
      <c r="I77" s="16" t="str">
        <f>入學要求!AD62</f>
        <v>NO</v>
      </c>
      <c r="J77" s="119">
        <f t="shared" si="152"/>
        <v>3.8500000000000006E-9</v>
      </c>
      <c r="K77" s="122">
        <v>1</v>
      </c>
      <c r="L77" s="122">
        <v>2</v>
      </c>
      <c r="M77" s="122">
        <v>2</v>
      </c>
      <c r="N77" s="122">
        <v>0</v>
      </c>
      <c r="O77" s="122">
        <v>2</v>
      </c>
      <c r="P77" s="122">
        <f>IF(OR(P1="物理",P1="組合科學(物理、化學)",P1="組合科學(物理、生物)",P1="資訊及通訊科技"),2,IF(OR(P1="生物",P1="化學",P1="組合科學(生物、化學)",P1="綜合科學"),1.5,1))</f>
        <v>1</v>
      </c>
      <c r="Q77" s="122">
        <f>IF(OR(Q1="物理",Q1="組合科學(物理、化學)",Q1="組合科學(物理、生物)",Q1="資訊及通訊科技"),2,IF(OR(Q1="生物",Q1="化學",Q1="組合科學(生物、化學)",Q1="綜合科學"),1.5,1))</f>
        <v>1</v>
      </c>
      <c r="R77" s="122">
        <f>IF(OR(R1="物理",R1="組合科學(物理、化學)",R1="組合科學(物理、生物)",R1="資訊及通訊科技"),2,IF(OR(R1="生物",R1="化學",R1="組合科學(生物、化學)",R1="綜合科學"),1.5,1))</f>
        <v>1</v>
      </c>
      <c r="S77" s="122">
        <f>IF(OR(S1="物理",S1="組合科學(物理、化學)",S1="組合科學(物理、生物)",S1="資訊及通訊科技"),2,IF(OR(S1="生物",S1="化學",S1="組合科學(生物、化學)",S1="綜合科學"),1.5,1))</f>
        <v>1</v>
      </c>
      <c r="T77" s="122">
        <v>1</v>
      </c>
      <c r="V77" s="119">
        <f t="shared" si="142"/>
        <v>4.0000000000000001E-10</v>
      </c>
      <c r="W77" s="119">
        <f t="shared" si="143"/>
        <v>4.0000000000000001E-10</v>
      </c>
      <c r="X77" s="119">
        <f t="shared" si="144"/>
        <v>6E-10</v>
      </c>
      <c r="Y77" s="119">
        <f t="shared" si="145"/>
        <v>0</v>
      </c>
      <c r="Z77" s="119">
        <f t="shared" si="146"/>
        <v>1.0000000000000001E-9</v>
      </c>
      <c r="AA77" s="119">
        <f t="shared" si="147"/>
        <v>6E-10</v>
      </c>
      <c r="AB77" s="119">
        <f t="shared" si="148"/>
        <v>6.9999999999999996E-10</v>
      </c>
      <c r="AC77" s="119">
        <f t="shared" si="149"/>
        <v>8.0000000000000003E-10</v>
      </c>
      <c r="AD77" s="119">
        <f t="shared" si="150"/>
        <v>8.9999999999999999E-10</v>
      </c>
      <c r="AE77" s="119">
        <f t="shared" si="151"/>
        <v>9.5000000000000003E-10</v>
      </c>
      <c r="AF77" s="143" t="b">
        <f>IF(V77&gt;LARGE(($V77,$Y77:$AE77),4),TRUE)</f>
        <v>0</v>
      </c>
      <c r="AG77" s="232" t="b">
        <f>TRUE</f>
        <v>1</v>
      </c>
      <c r="AH77" s="232" t="b">
        <f>TRUE</f>
        <v>1</v>
      </c>
      <c r="AI77" s="143" t="b">
        <f>IF(Y77&gt;LARGE(($V77,$Y77:$AE77),4),TRUE)</f>
        <v>0</v>
      </c>
      <c r="AJ77" s="143" t="b">
        <f>IF(Z77&gt;LARGE(($V77,$Y77:$AE77),4),TRUE)</f>
        <v>1</v>
      </c>
      <c r="AK77" s="143" t="b">
        <f>IF(AA77&gt;LARGE(($V77,$Y77:$AE77),4),TRUE)</f>
        <v>0</v>
      </c>
      <c r="AL77" s="143" t="b">
        <f>IF(AB77&gt;LARGE(($V77,$Y77:$AE77),4),TRUE)</f>
        <v>0</v>
      </c>
      <c r="AM77" s="143" t="b">
        <f>IF(AC77&gt;LARGE(($V77,$Y77:$AE77),4),TRUE)</f>
        <v>0</v>
      </c>
      <c r="AN77" s="143" t="b">
        <f>IF(AD77&gt;LARGE(($V77,$Y77:$AE77),4),TRUE)</f>
        <v>1</v>
      </c>
      <c r="AO77" s="143" t="b">
        <f>IF(AE77&gt;LARGE(($V77,$Y77:$AE77),4),TRUE)</f>
        <v>1</v>
      </c>
      <c r="AQ77" s="2" t="str">
        <f>'Reference Score Calculation'!M54</f>
        <v>最佳五科必須包括︰英文、數學</v>
      </c>
      <c r="AR77" s="2"/>
      <c r="AS77" s="2"/>
      <c r="AT77" s="238" t="s">
        <v>317</v>
      </c>
      <c r="AU77" s="240">
        <f>IF(OR(P1="化學",P1="生物"),P3,0)</f>
        <v>0</v>
      </c>
      <c r="AV77" s="240">
        <f>IF(OR(Q1="化學",Q1="生物"),Q3,0)</f>
        <v>0</v>
      </c>
      <c r="AW77" s="240">
        <f>IF(OR(R1="化學",R1="生物"),R3,0)</f>
        <v>0</v>
      </c>
      <c r="AX77" s="240">
        <f>IF(OR(S1="化學",S1="生物"),S3,0)</f>
        <v>0</v>
      </c>
      <c r="AY77" s="237"/>
      <c r="AZ77" s="240" t="str">
        <f>IF(BA77&gt;0,INDEX(AU76:AX76,MATCH(LARGE(AU77:AX77,1),AU77:AX77,0)),"無")</f>
        <v>無</v>
      </c>
      <c r="BA77" s="240">
        <f>LARGE((AU77:AX77),1)</f>
        <v>0</v>
      </c>
      <c r="BB77" s="240" t="str">
        <f>IF(BC77&gt;0,INDEX(AU76:AX76,MATCH(LARGE(AU77:AX77,2),AU77:AX77,0)),"無")</f>
        <v>無</v>
      </c>
      <c r="BC77" s="240">
        <f>LARGE((AU77:AX77),2)</f>
        <v>0</v>
      </c>
      <c r="BD77" s="235"/>
      <c r="BE77" s="235"/>
    </row>
    <row r="78" spans="1:76">
      <c r="A78" s="119" t="s">
        <v>1002</v>
      </c>
      <c r="B78" s="119" t="str">
        <f>'Reference Score Calculation'!A55</f>
        <v>JS1206</v>
      </c>
      <c r="C78" s="119" t="str">
        <f>'Reference Score Calculation'!D55</f>
        <v>理學士(計算數學)</v>
      </c>
      <c r="D78" s="2"/>
      <c r="E78" s="397" t="str">
        <f>'Reference Score Calculation'!E55</f>
        <v>Best 5</v>
      </c>
      <c r="F78" s="397"/>
      <c r="G78" s="16" t="str">
        <f>入學要求!AB63</f>
        <v>v</v>
      </c>
      <c r="H78" s="16" t="str">
        <f>入學要求!AC63</f>
        <v>E</v>
      </c>
      <c r="I78" s="16" t="str">
        <f>入學要求!AD63</f>
        <v>NO</v>
      </c>
      <c r="J78" s="119">
        <f>SUMIF(AF78:AO78,TRUE,V78:AE78)</f>
        <v>4.4000000000000005E-9</v>
      </c>
      <c r="K78" s="122">
        <v>1</v>
      </c>
      <c r="L78" s="122">
        <v>2</v>
      </c>
      <c r="M78" s="122">
        <v>2.5</v>
      </c>
      <c r="N78" s="122">
        <v>0</v>
      </c>
      <c r="O78" s="122">
        <v>2</v>
      </c>
      <c r="P78" s="122">
        <f>IF(OR(P1="物理",P1="生物",P1="化學",P1="組合科學(物理、化學)",P1="組合科學(物理、生物)",P1="組合科學(生物、化學)"),1.5,1)</f>
        <v>1</v>
      </c>
      <c r="Q78" s="122">
        <f>IF(OR(Q1="物理",Q1="生物",Q1="化學",Q1="組合科學(物理、化學)",Q1="組合科學(物理、生物)",Q1="組合科學(生物、化學)"),1.5,1)</f>
        <v>1</v>
      </c>
      <c r="R78" s="122">
        <f>IF(OR(R1="物理",R1="生物",R1="化學",R1="組合科學(物理、化學)",R1="組合科學(物理、生物)",R1="組合科學(生物、化學)"),1.5,1)</f>
        <v>1</v>
      </c>
      <c r="S78" s="122">
        <f>IF(OR(S1="物理",S1="生物",S1="化學",S1="組合科學(物理、化學)",S1="組合科學(物理、生物)",S1="組合科學(生物、化學)"),1.5,1)</f>
        <v>1</v>
      </c>
      <c r="T78" s="122">
        <v>1</v>
      </c>
      <c r="V78" s="119">
        <f t="shared" si="142"/>
        <v>4.0000000000000001E-10</v>
      </c>
      <c r="W78" s="119">
        <f t="shared" si="143"/>
        <v>4.0000000000000001E-10</v>
      </c>
      <c r="X78" s="119">
        <f t="shared" si="144"/>
        <v>7.5E-10</v>
      </c>
      <c r="Y78" s="119">
        <f t="shared" si="145"/>
        <v>0</v>
      </c>
      <c r="Z78" s="119">
        <f t="shared" si="146"/>
        <v>1.0000000000000001E-9</v>
      </c>
      <c r="AA78" s="119">
        <f t="shared" si="147"/>
        <v>6E-10</v>
      </c>
      <c r="AB78" s="119">
        <f t="shared" si="148"/>
        <v>6.9999999999999996E-10</v>
      </c>
      <c r="AC78" s="119">
        <f t="shared" si="149"/>
        <v>8.0000000000000003E-10</v>
      </c>
      <c r="AD78" s="119">
        <f t="shared" si="150"/>
        <v>8.9999999999999999E-10</v>
      </c>
      <c r="AE78" s="119">
        <f t="shared" si="151"/>
        <v>9.5000000000000003E-10</v>
      </c>
      <c r="AF78" s="143" t="b">
        <f>IF(V78&gt;LARGE(($V78:$W78,$Y78:$AE78),5),TRUE)</f>
        <v>0</v>
      </c>
      <c r="AG78" s="143" t="b">
        <f>IF(W78&gt;LARGE(($V78:$W78,$Y78:$AE78),5),TRUE)</f>
        <v>0</v>
      </c>
      <c r="AH78" s="232" t="b">
        <f>TRUE</f>
        <v>1</v>
      </c>
      <c r="AI78" s="143" t="b">
        <f>IF(Y78&gt;LARGE(($V78:$W78,$Y78:$AE78),5),TRUE)</f>
        <v>0</v>
      </c>
      <c r="AJ78" s="143" t="b">
        <f>IF(Z78&gt;LARGE(($V78:$W78,$Y78:$AE78),5),TRUE)</f>
        <v>1</v>
      </c>
      <c r="AK78" s="143" t="b">
        <f>IF(AA78&gt;LARGE(($V78:$W78,$Y78:$AE78),5),TRUE)</f>
        <v>0</v>
      </c>
      <c r="AL78" s="143" t="b">
        <f>IF(AB78&gt;LARGE(($V78:$W78,$Y78:$AE78),5),TRUE)</f>
        <v>0</v>
      </c>
      <c r="AM78" s="143" t="b">
        <f>IF(AC78&gt;LARGE(($V78:$W78,$Y78:$AE78),5),TRUE)</f>
        <v>1</v>
      </c>
      <c r="AN78" s="143" t="b">
        <f>IF(AD78&gt;LARGE(($V78:$W78,$Y78:$AE78),5),TRUE)</f>
        <v>1</v>
      </c>
      <c r="AO78" s="143" t="b">
        <f>IF(AE78&gt;LARGE(($V78:$W78,$Y78:$AE78),5),TRUE)</f>
        <v>1</v>
      </c>
      <c r="AQ78" s="2" t="str">
        <f>'Reference Score Calculation'!M55</f>
        <v>最佳五科必須包括︰數學</v>
      </c>
      <c r="AR78" s="2"/>
      <c r="AS78" s="2"/>
      <c r="AT78" s="237"/>
      <c r="AU78" s="237"/>
      <c r="AV78" s="237"/>
      <c r="AW78" s="237"/>
      <c r="AX78" s="237"/>
      <c r="AY78" s="237"/>
      <c r="AZ78" s="237"/>
      <c r="BA78" s="237"/>
      <c r="BB78" s="237"/>
      <c r="BC78" s="237"/>
      <c r="BD78" s="235"/>
      <c r="BE78" s="237"/>
    </row>
    <row r="79" spans="1:76">
      <c r="A79" s="119" t="s">
        <v>1007</v>
      </c>
      <c r="B79" s="119" t="str">
        <f>'Reference Score Calculation'!A56</f>
        <v>JS1207</v>
      </c>
      <c r="C79" s="119" t="str">
        <f>'Reference Score Calculation'!D56</f>
        <v>機械工程學系 [選項: 工學士(航空航天工程)、工學士(機械工程)、工學士(核子及風險工程)]</v>
      </c>
      <c r="D79" s="2"/>
      <c r="E79" s="397" t="str">
        <f>'Reference Score Calculation'!E56</f>
        <v>Best 6</v>
      </c>
      <c r="F79" s="397"/>
      <c r="G79" s="16" t="str">
        <f>入學要求!AB64</f>
        <v>v</v>
      </c>
      <c r="H79" s="16" t="str">
        <f>入學要求!AC64</f>
        <v>E</v>
      </c>
      <c r="I79" s="16" t="str">
        <f>入學要求!AD64</f>
        <v>NO</v>
      </c>
      <c r="J79" s="119">
        <f t="shared" si="152"/>
        <v>4.7000000000000007E-9</v>
      </c>
      <c r="K79" s="122">
        <v>1</v>
      </c>
      <c r="L79" s="122">
        <v>2</v>
      </c>
      <c r="M79" s="122">
        <v>2</v>
      </c>
      <c r="N79" s="122">
        <v>1</v>
      </c>
      <c r="O79" s="122">
        <v>1.5</v>
      </c>
      <c r="P79" s="122">
        <f>IF(P1="物理",2,IF(OR(P1="化學",P1="組合科學(物理、化學)",P1="組合科學(物理、生物)",P1="組合科學(生物、化學)",P1="設計與應用科技"),1.5,1))</f>
        <v>1</v>
      </c>
      <c r="Q79" s="122">
        <f>IF(Q1="物理",2,IF(OR(Q1="化學",Q1="組合科學(物理、化學)",Q1="組合科學(物理、生物)",Q1="組合科學(生物、化學)",Q1="設計與應用科技"),1.5,1))</f>
        <v>1</v>
      </c>
      <c r="R79" s="122">
        <f>IF(R1="物理",2,IF(OR(R1="化學",R1="組合科學(物理、化學)",R1="組合科學(物理、生物)",R1="組合科學(生物、化學)",R1="設計與應用科技"),1.5,1))</f>
        <v>1</v>
      </c>
      <c r="S79" s="122">
        <f>IF(S1="物理",2,IF(OR(S1="化學",S1="組合科學(物理、化學)",S1="組合科學(物理、生物)",S1="組合科學(生物、化學)",S1="設計與應用科技"),1.5,1))</f>
        <v>1</v>
      </c>
      <c r="T79" s="122">
        <v>1</v>
      </c>
      <c r="V79" s="119">
        <f t="shared" si="142"/>
        <v>4.0000000000000001E-10</v>
      </c>
      <c r="W79" s="119">
        <f t="shared" si="143"/>
        <v>4.0000000000000001E-10</v>
      </c>
      <c r="X79" s="119">
        <f t="shared" si="144"/>
        <v>6E-10</v>
      </c>
      <c r="Y79" s="119">
        <f t="shared" si="145"/>
        <v>0</v>
      </c>
      <c r="Z79" s="119">
        <f t="shared" si="146"/>
        <v>7.500000000000001E-10</v>
      </c>
      <c r="AA79" s="119">
        <f t="shared" si="147"/>
        <v>6E-10</v>
      </c>
      <c r="AB79" s="119">
        <f t="shared" si="148"/>
        <v>6.9999999999999996E-10</v>
      </c>
      <c r="AC79" s="119">
        <f t="shared" si="149"/>
        <v>8.0000000000000003E-10</v>
      </c>
      <c r="AD79" s="119">
        <f t="shared" si="150"/>
        <v>8.9999999999999999E-10</v>
      </c>
      <c r="AE79" s="119">
        <f t="shared" si="151"/>
        <v>9.5000000000000003E-10</v>
      </c>
      <c r="AF79" s="143" t="b">
        <f>IF(V79&gt;LARGE(($V79:$W79,$Y79:$AE79),6),TRUE)</f>
        <v>0</v>
      </c>
      <c r="AG79" s="143" t="b">
        <f>IF(W79&gt;LARGE(($V79:$W79,$Y79:$AE79),6),TRUE)</f>
        <v>0</v>
      </c>
      <c r="AH79" s="232" t="b">
        <f>TRUE</f>
        <v>1</v>
      </c>
      <c r="AI79" s="143" t="b">
        <f>IF(Y79&gt;LARGE(($V79:$W79,$Y79:$AE79),6),TRUE)</f>
        <v>0</v>
      </c>
      <c r="AJ79" s="143" t="b">
        <f>IF(Z79&gt;LARGE(($V79:$W79,$Y79:$AE79),6),TRUE)</f>
        <v>1</v>
      </c>
      <c r="AK79" s="143" t="b">
        <f>IF(AA79&gt;LARGE(($V79:$W79,$Y79:$AE79),6),TRUE)</f>
        <v>0</v>
      </c>
      <c r="AL79" s="143" t="b">
        <f>IF(AB79&gt;LARGE(($V79:$W79,$Y79:$AE79),6),TRUE)</f>
        <v>1</v>
      </c>
      <c r="AM79" s="143" t="b">
        <f>IF(AC79&gt;LARGE(($V79:$W79,$Y79:$AE79),6),TRUE)</f>
        <v>1</v>
      </c>
      <c r="AN79" s="143" t="b">
        <f>IF(AD79&gt;LARGE(($V79:$W79,$Y79:$AE79),6),TRUE)</f>
        <v>1</v>
      </c>
      <c r="AO79" s="143" t="b">
        <f>IF(AE79&gt;LARGE(($V79:$W79,$Y79:$AE79),6),TRUE)</f>
        <v>1</v>
      </c>
      <c r="AQ79" s="2" t="str">
        <f>'Reference Score Calculation'!M56</f>
        <v>最佳六科必須包括︰數學</v>
      </c>
      <c r="AR79" s="2"/>
      <c r="AS79" s="2"/>
      <c r="AT79" s="237"/>
      <c r="AU79" s="237"/>
      <c r="AV79" s="237"/>
      <c r="AW79" s="237"/>
      <c r="AX79" s="237"/>
      <c r="AY79" s="237"/>
      <c r="AZ79" s="237"/>
      <c r="BA79" s="237"/>
      <c r="BB79" s="237"/>
      <c r="BC79" s="237"/>
      <c r="BD79" s="237"/>
      <c r="BE79" s="237"/>
    </row>
    <row r="80" spans="1:76" ht="13.2" customHeight="1">
      <c r="A80" s="119" t="s">
        <v>1013</v>
      </c>
      <c r="B80" s="119" t="str">
        <f>'Reference Score Calculation'!A57</f>
        <v>JS1208</v>
      </c>
      <c r="C80" s="119" t="str">
        <f>'Reference Score Calculation'!D57</f>
        <v>理學士(物理學)</v>
      </c>
      <c r="D80" s="2"/>
      <c r="E80" s="394" t="str">
        <f>'Reference Score Calculation'!E57</f>
        <v>Best 5</v>
      </c>
      <c r="F80" s="394"/>
      <c r="G80" s="16" t="str">
        <f>入學要求!AB65</f>
        <v>v</v>
      </c>
      <c r="H80" s="16" t="str">
        <f>入學要求!AC65</f>
        <v>E</v>
      </c>
      <c r="I80" s="16" t="str">
        <f>入學要求!AD65</f>
        <v>NO</v>
      </c>
      <c r="J80" s="119">
        <f t="shared" si="152"/>
        <v>3.7750000000000007E-9</v>
      </c>
      <c r="K80" s="122">
        <v>1</v>
      </c>
      <c r="L80" s="122">
        <v>2</v>
      </c>
      <c r="M80" s="122">
        <v>1.25</v>
      </c>
      <c r="N80" s="122">
        <v>0</v>
      </c>
      <c r="O80" s="122">
        <v>1.5</v>
      </c>
      <c r="P80" s="122">
        <f>IF(P1="物理",2,1)</f>
        <v>1</v>
      </c>
      <c r="Q80" s="122">
        <f>IF(Q1="物理",2,1)</f>
        <v>1</v>
      </c>
      <c r="R80" s="122">
        <f>IF(R1="物理",2,1)</f>
        <v>1</v>
      </c>
      <c r="S80" s="122">
        <f>IF(S1="物理",2,1)</f>
        <v>1</v>
      </c>
      <c r="T80" s="122">
        <v>1</v>
      </c>
      <c r="V80" s="119">
        <f t="shared" si="142"/>
        <v>4.0000000000000001E-10</v>
      </c>
      <c r="W80" s="119">
        <f t="shared" si="143"/>
        <v>4.0000000000000001E-10</v>
      </c>
      <c r="X80" s="119">
        <f t="shared" si="144"/>
        <v>3.75E-10</v>
      </c>
      <c r="Y80" s="119">
        <f t="shared" si="145"/>
        <v>0</v>
      </c>
      <c r="Z80" s="119">
        <f t="shared" si="146"/>
        <v>7.500000000000001E-10</v>
      </c>
      <c r="AA80" s="119">
        <f t="shared" si="147"/>
        <v>6E-10</v>
      </c>
      <c r="AB80" s="119">
        <f t="shared" si="148"/>
        <v>6.9999999999999996E-10</v>
      </c>
      <c r="AC80" s="119">
        <f t="shared" si="149"/>
        <v>8.0000000000000003E-10</v>
      </c>
      <c r="AD80" s="119">
        <f t="shared" si="150"/>
        <v>8.9999999999999999E-10</v>
      </c>
      <c r="AE80" s="119">
        <f t="shared" si="151"/>
        <v>9.5000000000000003E-10</v>
      </c>
      <c r="AF80" s="143" t="b">
        <f>IF(V80&gt;LARGE(($V80:$W80,$Y80:$AE80),5),TRUE)</f>
        <v>0</v>
      </c>
      <c r="AG80" s="143" t="b">
        <f>IF(W80&gt;LARGE(($V80:$W80,$Y80:$AE80),5),TRUE)</f>
        <v>0</v>
      </c>
      <c r="AH80" s="232" t="b">
        <f>TRUE</f>
        <v>1</v>
      </c>
      <c r="AI80" s="143" t="b">
        <f>IF(Y80&gt;LARGE(($V80:$W80,$Y80:$AE80),5),TRUE)</f>
        <v>0</v>
      </c>
      <c r="AJ80" s="143" t="b">
        <f>IF(Z80&gt;LARGE(($V80:$W80,$Y80:$AE80),5),TRUE)</f>
        <v>1</v>
      </c>
      <c r="AK80" s="143" t="b">
        <f>IF(AA80&gt;LARGE(($V80:$W80,$Y80:$AE80),5),TRUE)</f>
        <v>0</v>
      </c>
      <c r="AL80" s="143" t="b">
        <f>IF(AB80&gt;LARGE(($V80:$W80,$Y80:$AE80),5),TRUE)</f>
        <v>0</v>
      </c>
      <c r="AM80" s="143" t="b">
        <f>IF(AC80&gt;LARGE(($V80:$W80,$Y80:$AE80),5),TRUE)</f>
        <v>1</v>
      </c>
      <c r="AN80" s="143" t="b">
        <f>IF(AD80&gt;LARGE(($V80:$W80,$Y80:$AE80),5),TRUE)</f>
        <v>1</v>
      </c>
      <c r="AO80" s="143" t="b">
        <f>IF(AE80&gt;LARGE(($V80:$W80,$Y80:$AE80),5),TRUE)</f>
        <v>1</v>
      </c>
      <c r="AQ80" s="2" t="str">
        <f>'Reference Score Calculation'!M57</f>
        <v>最佳五科必須包括︰數學</v>
      </c>
      <c r="AR80" s="2"/>
      <c r="AS80" s="2"/>
      <c r="AT80" s="237"/>
      <c r="AU80" s="237" t="str">
        <f t="shared" ref="AU80:BD80" si="174">K1</f>
        <v>中國語文</v>
      </c>
      <c r="AV80" s="237" t="str">
        <f t="shared" si="174"/>
        <v>英國語文</v>
      </c>
      <c r="AW80" s="237" t="str">
        <f t="shared" si="174"/>
        <v>數學</v>
      </c>
      <c r="AX80" s="237" t="str">
        <f t="shared" si="174"/>
        <v>通識教育</v>
      </c>
      <c r="AY80" s="237" t="str">
        <f t="shared" si="174"/>
        <v>數學延伸</v>
      </c>
      <c r="AZ80" s="237" t="str">
        <f t="shared" si="174"/>
        <v>請選擇第一選修科</v>
      </c>
      <c r="BA80" s="237" t="str">
        <f t="shared" si="174"/>
        <v>請選擇第二選修科</v>
      </c>
      <c r="BB80" s="237" t="str">
        <f t="shared" si="174"/>
        <v>請選擇第三選修科</v>
      </c>
      <c r="BC80" s="237" t="str">
        <f t="shared" si="174"/>
        <v>請選擇第四選修科</v>
      </c>
      <c r="BD80" s="237" t="str">
        <f t="shared" si="174"/>
        <v>請選擇語言科目</v>
      </c>
      <c r="BE80" s="237"/>
    </row>
    <row r="81" spans="1:62">
      <c r="A81" s="119" t="s">
        <v>1018</v>
      </c>
      <c r="B81" s="119" t="str">
        <f>'Reference Score Calculation'!A58</f>
        <v>JS1210</v>
      </c>
      <c r="C81" s="119" t="str">
        <f>'Reference Score Calculation'!D58</f>
        <v>工學士(材料科學及工程)</v>
      </c>
      <c r="D81" s="2"/>
      <c r="E81" s="397" t="str">
        <f>'Reference Score Calculation'!E58</f>
        <v>Best 6</v>
      </c>
      <c r="F81" s="397"/>
      <c r="G81" s="16" t="str">
        <f>入學要求!AB66</f>
        <v>v</v>
      </c>
      <c r="H81" s="16" t="str">
        <f>入學要求!AC66</f>
        <v>E</v>
      </c>
      <c r="I81" s="16" t="str">
        <f>入學要求!AD66</f>
        <v>NO</v>
      </c>
      <c r="J81" s="119">
        <f t="shared" si="152"/>
        <v>4.7000000000000007E-9</v>
      </c>
      <c r="K81" s="122">
        <v>1</v>
      </c>
      <c r="L81" s="122">
        <v>1.5</v>
      </c>
      <c r="M81" s="122">
        <v>2</v>
      </c>
      <c r="N81" s="122">
        <v>1</v>
      </c>
      <c r="O81" s="122">
        <v>1.5</v>
      </c>
      <c r="P81" s="122">
        <f>IF(P1="物理",2,IF(OR(P1="生物",P1="化學"),1.5,1))</f>
        <v>1</v>
      </c>
      <c r="Q81" s="122">
        <f>IF(Q1="物理",2,IF(OR(Q1="生物",Q1="化學"),1.5,1))</f>
        <v>1</v>
      </c>
      <c r="R81" s="122">
        <f>IF(R1="物理",2,IF(OR(R1="生物",R1="化學"),1.5,1))</f>
        <v>1</v>
      </c>
      <c r="S81" s="122">
        <f>IF(S1="物理",2,IF(OR(S1="生物",S1="化學"),1.5,1))</f>
        <v>1</v>
      </c>
      <c r="T81" s="122">
        <v>1</v>
      </c>
      <c r="V81" s="119">
        <f t="shared" si="142"/>
        <v>4.0000000000000001E-10</v>
      </c>
      <c r="W81" s="119">
        <f t="shared" si="143"/>
        <v>3E-10</v>
      </c>
      <c r="X81" s="119">
        <f t="shared" si="144"/>
        <v>6E-10</v>
      </c>
      <c r="Y81" s="119">
        <f t="shared" si="145"/>
        <v>0</v>
      </c>
      <c r="Z81" s="119">
        <f t="shared" si="146"/>
        <v>7.500000000000001E-10</v>
      </c>
      <c r="AA81" s="119">
        <f t="shared" si="147"/>
        <v>6E-10</v>
      </c>
      <c r="AB81" s="119">
        <f t="shared" si="148"/>
        <v>6.9999999999999996E-10</v>
      </c>
      <c r="AC81" s="119">
        <f t="shared" si="149"/>
        <v>8.0000000000000003E-10</v>
      </c>
      <c r="AD81" s="119">
        <f t="shared" si="150"/>
        <v>8.9999999999999999E-10</v>
      </c>
      <c r="AE81" s="119">
        <f t="shared" si="151"/>
        <v>9.5000000000000003E-10</v>
      </c>
      <c r="AF81" s="143" t="b">
        <f>AU65</f>
        <v>0</v>
      </c>
      <c r="AG81" s="143" t="b">
        <f>AV65</f>
        <v>0</v>
      </c>
      <c r="AH81" s="232" t="b">
        <f>TRUE</f>
        <v>1</v>
      </c>
      <c r="AI81" s="143" t="b">
        <f>AX65</f>
        <v>0</v>
      </c>
      <c r="AJ81" s="143" t="b">
        <f>IF(O1=$BA$61,TRUE,AY65)</f>
        <v>1</v>
      </c>
      <c r="AK81" s="232" t="b">
        <f>IF(P1=$BA$61,TRUE,AZ65)</f>
        <v>0</v>
      </c>
      <c r="AL81" s="232" t="b">
        <f>IF(Q1=$BA$61,TRUE,BA65)</f>
        <v>1</v>
      </c>
      <c r="AM81" s="232" t="b">
        <f>IF(R1=$BA$61,TRUE,BB65)</f>
        <v>1</v>
      </c>
      <c r="AN81" s="232" t="b">
        <f>IF(S1=$BA$61,TRUE,BC65)</f>
        <v>1</v>
      </c>
      <c r="AO81" s="143" t="b">
        <f>BD65</f>
        <v>1</v>
      </c>
      <c r="AQ81" s="2" t="str">
        <f>'Reference Score Calculation'!M58</f>
        <v>最佳六科必須包括︰英文、數學 及 以下其中一科︰</v>
      </c>
      <c r="AR81" s="2"/>
      <c r="AS81" s="2"/>
      <c r="AT81" s="234"/>
      <c r="AU81" s="240">
        <f>K3</f>
        <v>4.0000000000000001E-10</v>
      </c>
      <c r="AV81" s="237"/>
      <c r="AW81" s="237"/>
      <c r="AX81" s="240">
        <f>N3</f>
        <v>0</v>
      </c>
      <c r="AY81" s="237"/>
      <c r="AZ81" s="240">
        <f>IF(OR(AZ80=$BB$77,AZ80=$AZ$77),0,P3)</f>
        <v>6E-10</v>
      </c>
      <c r="BA81" s="240">
        <f>IF(OR(BA80=$BB$77,BA80=$AZ$77),0,Q3)</f>
        <v>6.9999999999999996E-10</v>
      </c>
      <c r="BB81" s="240">
        <f>IF(OR(BB80=$BB$77,BB80=$AZ$77),0,R3)</f>
        <v>8.0000000000000003E-10</v>
      </c>
      <c r="BC81" s="240">
        <f>IF(OR(BC80=$BB$77,BC80=$AZ$77),0,S3)</f>
        <v>8.9999999999999999E-10</v>
      </c>
      <c r="BD81" s="237"/>
      <c r="BE81" s="237"/>
    </row>
    <row r="82" spans="1:62">
      <c r="A82" s="119" t="s">
        <v>1024</v>
      </c>
      <c r="B82" s="119" t="str">
        <f>'Reference Score Calculation'!A59</f>
        <v>JS1211</v>
      </c>
      <c r="C82" s="119" t="str">
        <f>'Reference Score Calculation'!D59</f>
        <v>工學士(生物醫學工程)</v>
      </c>
      <c r="D82" s="2"/>
      <c r="E82" s="397" t="str">
        <f>'Reference Score Calculation'!E59</f>
        <v>Best 5</v>
      </c>
      <c r="F82" s="397"/>
      <c r="G82" s="16" t="str">
        <f>入學要求!AB67</f>
        <v>v</v>
      </c>
      <c r="H82" s="16" t="str">
        <f>入學要求!AC67</f>
        <v>E</v>
      </c>
      <c r="I82" s="16" t="str">
        <f>入學要求!AD67</f>
        <v>NO</v>
      </c>
      <c r="J82" s="119">
        <f t="shared" si="152"/>
        <v>4.3500000000000001E-9</v>
      </c>
      <c r="K82" s="122">
        <v>1</v>
      </c>
      <c r="L82" s="122">
        <v>2</v>
      </c>
      <c r="M82" s="122">
        <v>2</v>
      </c>
      <c r="N82" s="122">
        <v>0</v>
      </c>
      <c r="O82" s="122">
        <v>2</v>
      </c>
      <c r="P82" s="122">
        <f>IF(OR(P1="物理",P1="化學",P1="生物"),2,1)</f>
        <v>1</v>
      </c>
      <c r="Q82" s="122">
        <f t="shared" ref="Q82:S82" si="175">IF(OR(Q1="物理",Q1="化學",Q1="生物"),2,1)</f>
        <v>1</v>
      </c>
      <c r="R82" s="122">
        <f t="shared" si="175"/>
        <v>1</v>
      </c>
      <c r="S82" s="122">
        <f t="shared" si="175"/>
        <v>1</v>
      </c>
      <c r="T82" s="122">
        <v>1</v>
      </c>
      <c r="V82" s="119">
        <f t="shared" si="142"/>
        <v>4.0000000000000001E-10</v>
      </c>
      <c r="W82" s="119">
        <f t="shared" si="143"/>
        <v>4.0000000000000001E-10</v>
      </c>
      <c r="X82" s="119">
        <f t="shared" si="144"/>
        <v>6E-10</v>
      </c>
      <c r="Y82" s="119">
        <f t="shared" si="145"/>
        <v>0</v>
      </c>
      <c r="Z82" s="119">
        <f t="shared" si="146"/>
        <v>1.0000000000000001E-9</v>
      </c>
      <c r="AA82" s="119">
        <f t="shared" si="147"/>
        <v>6E-10</v>
      </c>
      <c r="AB82" s="119">
        <f t="shared" si="148"/>
        <v>6.9999999999999996E-10</v>
      </c>
      <c r="AC82" s="119">
        <f t="shared" si="149"/>
        <v>8.0000000000000003E-10</v>
      </c>
      <c r="AD82" s="119">
        <f t="shared" si="150"/>
        <v>8.9999999999999999E-10</v>
      </c>
      <c r="AE82" s="119">
        <f t="shared" si="151"/>
        <v>9.5000000000000003E-10</v>
      </c>
      <c r="AF82" s="143" t="b">
        <f t="shared" ref="AF82:AO82" si="176">AU72</f>
        <v>0</v>
      </c>
      <c r="AG82" s="143" t="b">
        <f t="shared" si="176"/>
        <v>0</v>
      </c>
      <c r="AH82" s="232" t="b">
        <f t="shared" si="176"/>
        <v>0</v>
      </c>
      <c r="AI82" s="143">
        <f t="shared" si="176"/>
        <v>0</v>
      </c>
      <c r="AJ82" s="232" t="b">
        <f t="shared" si="176"/>
        <v>1</v>
      </c>
      <c r="AK82" s="143" t="b">
        <f t="shared" si="176"/>
        <v>0</v>
      </c>
      <c r="AL82" s="143" t="b">
        <f t="shared" si="176"/>
        <v>1</v>
      </c>
      <c r="AM82" s="143" t="b">
        <f t="shared" si="176"/>
        <v>1</v>
      </c>
      <c r="AN82" s="143" t="b">
        <f t="shared" si="176"/>
        <v>1</v>
      </c>
      <c r="AO82" s="143" t="b">
        <f t="shared" si="176"/>
        <v>1</v>
      </c>
      <c r="AQ82" s="2" t="str">
        <f>'Reference Score Calculation'!M59</f>
        <v>若同學同時修讀數學及M1/2，最佳五科只會包含其中一科。</v>
      </c>
      <c r="AR82" s="2"/>
      <c r="AS82" s="2"/>
      <c r="AT82" s="237"/>
      <c r="AU82" s="245" t="b">
        <f>IF(AU81&gt;LARGE($AU$81:$BD$81,3),TRUE,FALSE)</f>
        <v>0</v>
      </c>
      <c r="AV82" s="245"/>
      <c r="AW82" s="245"/>
      <c r="AX82" s="245" t="b">
        <f t="shared" ref="AX82:BC82" si="177">IF(AX81&gt;LARGE($AU$81:$BD$81,3),TRUE,FALSE)</f>
        <v>0</v>
      </c>
      <c r="AY82" s="245" t="b">
        <f t="shared" si="177"/>
        <v>0</v>
      </c>
      <c r="AZ82" s="245" t="b">
        <f t="shared" si="177"/>
        <v>0</v>
      </c>
      <c r="BA82" s="245" t="b">
        <f t="shared" si="177"/>
        <v>0</v>
      </c>
      <c r="BB82" s="245" t="b">
        <f t="shared" si="177"/>
        <v>1</v>
      </c>
      <c r="BC82" s="245" t="b">
        <f t="shared" si="177"/>
        <v>1</v>
      </c>
      <c r="BD82" s="235"/>
      <c r="BE82" s="237"/>
    </row>
    <row r="83" spans="1:62">
      <c r="A83" s="119" t="s">
        <v>1029</v>
      </c>
      <c r="B83" s="142" t="str">
        <f>'Reference Score Calculation'!A60</f>
        <v>JS1216</v>
      </c>
      <c r="C83" s="119" t="str">
        <f>'Reference Score Calculation'!D60</f>
        <v>工學士(智能製造工程學)</v>
      </c>
      <c r="D83" s="2"/>
      <c r="E83" s="397" t="str">
        <f>'Reference Score Calculation'!E60</f>
        <v>Best 5</v>
      </c>
      <c r="F83" s="397"/>
      <c r="G83" s="16" t="str">
        <f>入學要求!AB68</f>
        <v>v</v>
      </c>
      <c r="H83" s="16" t="str">
        <f>入學要求!AC68</f>
        <v>E</v>
      </c>
      <c r="I83" s="16" t="str">
        <f>入學要求!AD68</f>
        <v>NO</v>
      </c>
      <c r="J83" s="119">
        <f t="shared" si="152"/>
        <v>3.8500000000000006E-9</v>
      </c>
      <c r="K83" s="122">
        <v>1</v>
      </c>
      <c r="L83" s="122">
        <v>2</v>
      </c>
      <c r="M83" s="122">
        <v>2</v>
      </c>
      <c r="N83" s="122">
        <v>0</v>
      </c>
      <c r="O83" s="122">
        <v>2</v>
      </c>
      <c r="P83" s="122">
        <f>IF(OR(P1="物理",P1="資訊及通訊科技"),2,IF(OR(P1="化學",P1="設計與應用科技"),1.5,1))</f>
        <v>1</v>
      </c>
      <c r="Q83" s="122">
        <f t="shared" ref="Q83:S83" si="178">IF(OR(Q1="物理",Q1="資訊及通訊科技"),2,IF(OR(Q1="化學",Q1="設計與應用科技"),1.5,1))</f>
        <v>1</v>
      </c>
      <c r="R83" s="122">
        <f t="shared" si="178"/>
        <v>1</v>
      </c>
      <c r="S83" s="122">
        <f t="shared" si="178"/>
        <v>1</v>
      </c>
      <c r="T83" s="122">
        <v>1</v>
      </c>
      <c r="V83" s="119">
        <f t="shared" si="142"/>
        <v>4.0000000000000001E-10</v>
      </c>
      <c r="W83" s="119">
        <f t="shared" si="143"/>
        <v>4.0000000000000001E-10</v>
      </c>
      <c r="X83" s="119">
        <f t="shared" si="144"/>
        <v>6E-10</v>
      </c>
      <c r="Y83" s="119">
        <f t="shared" si="145"/>
        <v>0</v>
      </c>
      <c r="Z83" s="119">
        <f t="shared" si="146"/>
        <v>1.0000000000000001E-9</v>
      </c>
      <c r="AA83" s="119">
        <f t="shared" si="147"/>
        <v>6E-10</v>
      </c>
      <c r="AB83" s="119">
        <f t="shared" si="148"/>
        <v>6.9999999999999996E-10</v>
      </c>
      <c r="AC83" s="119">
        <f t="shared" si="149"/>
        <v>8.0000000000000003E-10</v>
      </c>
      <c r="AD83" s="119">
        <f t="shared" si="150"/>
        <v>8.9999999999999999E-10</v>
      </c>
      <c r="AE83" s="119">
        <f t="shared" si="151"/>
        <v>9.5000000000000003E-10</v>
      </c>
      <c r="AF83" s="143" t="b">
        <f>IF(V83&gt;LARGE(($V83,$Y83:$AE83),4),TRUE)</f>
        <v>0</v>
      </c>
      <c r="AG83" s="232" t="b">
        <f>TRUE</f>
        <v>1</v>
      </c>
      <c r="AH83" s="232" t="b">
        <f>TRUE</f>
        <v>1</v>
      </c>
      <c r="AI83" s="143" t="b">
        <f>IF(Y83&gt;LARGE(($V83,$Y83:$AE83),4),TRUE)</f>
        <v>0</v>
      </c>
      <c r="AJ83" s="143" t="b">
        <f>IF(Z83&gt;LARGE(($V83,$Y83:$AE83),4),TRUE)</f>
        <v>1</v>
      </c>
      <c r="AK83" s="143" t="b">
        <f>IF(AA83&gt;LARGE(($V83,$Y83:$AE83),4),TRUE)</f>
        <v>0</v>
      </c>
      <c r="AL83" s="143" t="b">
        <f>IF(AB83&gt;LARGE(($V83,$Y83:$AE83),4),TRUE)</f>
        <v>0</v>
      </c>
      <c r="AM83" s="143" t="b">
        <f>IF(AC83&gt;LARGE(($V83,$Y83:$AE83),4),TRUE)</f>
        <v>0</v>
      </c>
      <c r="AN83" s="143" t="b">
        <f>IF(AD83&gt;LARGE(($V83,$Y83:$AE83),4),TRUE)</f>
        <v>1</v>
      </c>
      <c r="AO83" s="143" t="b">
        <f>IF(AE83&gt;LARGE(($V83,$Y83:$AE83),4),TRUE)</f>
        <v>1</v>
      </c>
      <c r="AQ83" s="2" t="str">
        <f>'Reference Score Calculation'!M60</f>
        <v>最佳五科必須包括︰英文、數學</v>
      </c>
      <c r="AR83" s="2"/>
      <c r="AS83" s="2"/>
      <c r="AT83" s="237"/>
      <c r="AU83" s="237"/>
      <c r="AV83" s="237"/>
      <c r="AW83" s="237"/>
      <c r="AX83" s="237"/>
      <c r="AY83" s="237"/>
      <c r="AZ83" s="237"/>
      <c r="BA83" s="237"/>
      <c r="BB83" s="237"/>
      <c r="BC83" s="237"/>
      <c r="BD83" s="237"/>
      <c r="BE83" s="237"/>
    </row>
    <row r="84" spans="1:62">
      <c r="A84" s="119" t="s">
        <v>1033</v>
      </c>
      <c r="B84" s="119" t="str">
        <f>'Reference Score Calculation'!A61</f>
        <v>JS1217</v>
      </c>
      <c r="C84" s="119" t="str">
        <f>'Reference Score Calculation'!D61</f>
        <v>工學院(選項: 工學院任何一個主修及工程創業副修)</v>
      </c>
      <c r="D84" s="2"/>
      <c r="E84" s="397" t="str">
        <f>'Reference Score Calculation'!E61</f>
        <v>Best 6</v>
      </c>
      <c r="F84" s="397"/>
      <c r="G84" s="16" t="str">
        <f>入學要求!AB69</f>
        <v>v</v>
      </c>
      <c r="H84" s="16" t="str">
        <f>入學要求!AC69</f>
        <v>E</v>
      </c>
      <c r="I84" s="16" t="str">
        <f>入學要求!AD69</f>
        <v>NO</v>
      </c>
      <c r="J84" s="119">
        <f t="shared" si="152"/>
        <v>4.7500000000000003E-9</v>
      </c>
      <c r="K84" s="122">
        <v>1</v>
      </c>
      <c r="L84" s="122">
        <v>2</v>
      </c>
      <c r="M84" s="122">
        <v>2</v>
      </c>
      <c r="N84" s="122">
        <v>1</v>
      </c>
      <c r="O84" s="122">
        <v>2</v>
      </c>
      <c r="P84" s="122">
        <f>IF(OR(P1="物理",P1="生物",P1="化學",P1="資訊及通訊科技",P1="設計與應用科技"),2,1)</f>
        <v>1</v>
      </c>
      <c r="Q84" s="122">
        <f t="shared" ref="Q84:S84" si="179">IF(OR(Q1="物理",Q1="生物",Q1="化學",Q1="資訊及通訊科技",Q1="設計與應用科技"),2,1)</f>
        <v>1</v>
      </c>
      <c r="R84" s="122">
        <f t="shared" si="179"/>
        <v>1</v>
      </c>
      <c r="S84" s="122">
        <f t="shared" si="179"/>
        <v>1</v>
      </c>
      <c r="T84" s="122">
        <v>1</v>
      </c>
      <c r="V84" s="119">
        <f t="shared" si="142"/>
        <v>4.0000000000000001E-10</v>
      </c>
      <c r="W84" s="119">
        <f t="shared" si="143"/>
        <v>4.0000000000000001E-10</v>
      </c>
      <c r="X84" s="119">
        <f t="shared" si="144"/>
        <v>6E-10</v>
      </c>
      <c r="Y84" s="119">
        <f t="shared" si="145"/>
        <v>0</v>
      </c>
      <c r="Z84" s="119">
        <f t="shared" si="146"/>
        <v>1.0000000000000001E-9</v>
      </c>
      <c r="AA84" s="119">
        <f t="shared" si="147"/>
        <v>6E-10</v>
      </c>
      <c r="AB84" s="119">
        <f t="shared" si="148"/>
        <v>6.9999999999999996E-10</v>
      </c>
      <c r="AC84" s="119">
        <f t="shared" si="149"/>
        <v>8.0000000000000003E-10</v>
      </c>
      <c r="AD84" s="119">
        <f t="shared" si="150"/>
        <v>8.9999999999999999E-10</v>
      </c>
      <c r="AE84" s="119">
        <f t="shared" si="151"/>
        <v>9.5000000000000003E-10</v>
      </c>
      <c r="AF84" s="143" t="b">
        <f>IF(V84&gt;LARGE(($V84,$X84:$AE84),6),TRUE)</f>
        <v>0</v>
      </c>
      <c r="AG84" s="232" t="b">
        <f>TRUE</f>
        <v>1</v>
      </c>
      <c r="AH84" s="143" t="b">
        <f>IF(X84&gt;LARGE(($V84,$X84:$AE84),6),TRUE)</f>
        <v>0</v>
      </c>
      <c r="AI84" s="143" t="b">
        <f>IF(Y84&gt;LARGE(($V84,$X84:$AE84),6),TRUE)</f>
        <v>0</v>
      </c>
      <c r="AJ84" s="143" t="b">
        <f>IF(Z84&gt;LARGE(($V84,$X84:$AE84),6),TRUE)</f>
        <v>1</v>
      </c>
      <c r="AK84" s="143" t="b">
        <f>IF(AA84&gt;LARGE(($V84,$X84:$AE84),6),TRUE)</f>
        <v>0</v>
      </c>
      <c r="AL84" s="143" t="b">
        <f>IF(AB84&gt;LARGE(($V84,$X84:$AE84),6),TRUE)</f>
        <v>1</v>
      </c>
      <c r="AM84" s="143" t="b">
        <f>IF(AC84&gt;LARGE(($V84,$X84:$AE84),6),TRUE)</f>
        <v>1</v>
      </c>
      <c r="AN84" s="143" t="b">
        <f>IF(AD84&gt;LARGE(($V84,$X84:$AE84),6),TRUE)</f>
        <v>1</v>
      </c>
      <c r="AO84" s="143" t="b">
        <f>IF(AE84&gt;LARGE(($V84,$X84:$AE84),6),TRUE)</f>
        <v>1</v>
      </c>
      <c r="AQ84" s="2" t="str">
        <f>'Reference Score Calculation'!M61</f>
        <v>最佳六科必須包括︰英文</v>
      </c>
      <c r="AR84" s="2"/>
      <c r="AS84" s="2"/>
      <c r="AT84" s="237"/>
      <c r="AU84" s="237"/>
      <c r="AV84" s="237"/>
      <c r="AW84" s="237"/>
      <c r="AX84" s="237"/>
      <c r="AY84" s="237"/>
      <c r="AZ84" s="237"/>
      <c r="BA84" s="237"/>
      <c r="BB84" s="237"/>
      <c r="BC84" s="237"/>
      <c r="BD84" s="237"/>
      <c r="BE84" s="237"/>
      <c r="BG84" s="2"/>
      <c r="BH84" s="2"/>
      <c r="BI84" s="2"/>
      <c r="BJ84" s="2"/>
    </row>
    <row r="85" spans="1:62">
      <c r="A85" s="119" t="s">
        <v>1037</v>
      </c>
      <c r="B85" s="119" t="str">
        <f>'Reference Score Calculation'!A62</f>
        <v>JS1220</v>
      </c>
      <c r="C85" s="119" t="str">
        <f>'Reference Score Calculation'!D62</f>
        <v>法律學學士與理學士(計算數學)</v>
      </c>
      <c r="D85" s="2"/>
      <c r="E85" s="394" t="str">
        <f>'Reference Score Calculation'!E62</f>
        <v>Best 5</v>
      </c>
      <c r="F85" s="394"/>
      <c r="G85" s="16" t="str">
        <f>入學要求!AB70</f>
        <v>v</v>
      </c>
      <c r="H85" s="16" t="str">
        <f>入學要求!AC70</f>
        <v>NO</v>
      </c>
      <c r="I85" s="16" t="str">
        <f>入學要求!AD70</f>
        <v>NO</v>
      </c>
      <c r="J85" s="119">
        <f t="shared" si="152"/>
        <v>3.05E-9</v>
      </c>
      <c r="K85" s="122">
        <v>1</v>
      </c>
      <c r="L85" s="122">
        <v>1.5</v>
      </c>
      <c r="M85" s="122">
        <v>1</v>
      </c>
      <c r="N85" s="122">
        <v>0</v>
      </c>
      <c r="O85" s="122">
        <v>1.5</v>
      </c>
      <c r="P85" s="122">
        <v>1</v>
      </c>
      <c r="Q85" s="122">
        <v>1</v>
      </c>
      <c r="R85" s="122">
        <v>1</v>
      </c>
      <c r="S85" s="122">
        <v>1</v>
      </c>
      <c r="T85" s="122">
        <v>1</v>
      </c>
      <c r="V85" s="119">
        <f t="shared" si="142"/>
        <v>4.0000000000000001E-10</v>
      </c>
      <c r="W85" s="119">
        <f t="shared" si="143"/>
        <v>3E-10</v>
      </c>
      <c r="X85" s="119">
        <f t="shared" si="144"/>
        <v>3E-10</v>
      </c>
      <c r="Y85" s="119">
        <f t="shared" si="145"/>
        <v>0</v>
      </c>
      <c r="Z85" s="119">
        <f t="shared" si="146"/>
        <v>7.500000000000001E-10</v>
      </c>
      <c r="AA85" s="119">
        <f t="shared" si="147"/>
        <v>6E-10</v>
      </c>
      <c r="AB85" s="119">
        <f t="shared" si="148"/>
        <v>6.9999999999999996E-10</v>
      </c>
      <c r="AC85" s="119">
        <f t="shared" si="149"/>
        <v>8.0000000000000003E-10</v>
      </c>
      <c r="AD85" s="119">
        <f t="shared" si="150"/>
        <v>8.9999999999999999E-10</v>
      </c>
      <c r="AE85" s="119">
        <f t="shared" si="151"/>
        <v>0</v>
      </c>
      <c r="AF85" s="143" t="b">
        <f>IF(V85&gt;LARGE(($V85,$Y85:$AE85),4),TRUE)</f>
        <v>0</v>
      </c>
      <c r="AG85" s="232" t="b">
        <f>TRUE</f>
        <v>1</v>
      </c>
      <c r="AH85" s="232" t="b">
        <f>TRUE</f>
        <v>1</v>
      </c>
      <c r="AI85" s="143" t="b">
        <f>IF(Y85&gt;LARGE(($V85,$Y85:$AE85),4),TRUE)</f>
        <v>0</v>
      </c>
      <c r="AJ85" s="143" t="b">
        <f>IF(Z85&gt;LARGE(($V85,$Y85:$AE85),4),TRUE)</f>
        <v>1</v>
      </c>
      <c r="AK85" s="143" t="b">
        <f>IF(AA85&gt;LARGE(($V85,$Y85:$AE85),4),TRUE)</f>
        <v>0</v>
      </c>
      <c r="AL85" s="143" t="b">
        <f>IF(AB85&gt;LARGE(($V85,$Y85:$AE85),4),TRUE)</f>
        <v>0</v>
      </c>
      <c r="AM85" s="143" t="b">
        <f>IF(AC85&gt;LARGE(($V85,$Y85:$AE85),4),TRUE)</f>
        <v>1</v>
      </c>
      <c r="AN85" s="143" t="b">
        <f>IF(AD85&gt;LARGE(($V85,$Y85:$AE85),4),TRUE)</f>
        <v>1</v>
      </c>
      <c r="AO85" s="143" t="b">
        <f>IF(AE85&gt;LARGE(($V85,$Y85:$AE85),4),TRUE)</f>
        <v>0</v>
      </c>
      <c r="AQ85" s="2" t="str">
        <f>'Reference Score Calculation'!M62</f>
        <v>最佳五科必須包括︰英文、數學</v>
      </c>
      <c r="AR85" s="2"/>
      <c r="AS85" s="2"/>
      <c r="AT85" s="234"/>
      <c r="AU85" s="235"/>
      <c r="AV85" s="235"/>
      <c r="AW85" s="235"/>
      <c r="AX85" s="235"/>
      <c r="AY85" s="235"/>
      <c r="AZ85" s="235"/>
      <c r="BA85" s="235"/>
      <c r="BB85" s="235"/>
      <c r="BC85" s="235"/>
      <c r="BD85" s="235"/>
      <c r="BE85" s="235"/>
      <c r="BG85" s="2"/>
      <c r="BH85" s="2"/>
      <c r="BI85" s="2"/>
      <c r="BJ85" s="2"/>
    </row>
    <row r="86" spans="1:62">
      <c r="A86" s="119" t="s">
        <v>1043</v>
      </c>
      <c r="B86" s="119" t="str">
        <f>'Reference Score Calculation'!A63</f>
        <v>JS1221</v>
      </c>
      <c r="C86" s="119" t="str">
        <f>'Reference Score Calculation'!D63</f>
        <v>理學士(電腦科學)與理學士(計算金融及金融科技)</v>
      </c>
      <c r="D86" s="2"/>
      <c r="E86" s="396" t="str">
        <f>'Reference Score Calculation'!E63</f>
        <v>4C2X</v>
      </c>
      <c r="F86" s="396"/>
      <c r="G86" s="16" t="str">
        <f>入學要求!AB71</f>
        <v>v</v>
      </c>
      <c r="H86" s="16" t="str">
        <f>入學要求!AC71</f>
        <v>E</v>
      </c>
      <c r="I86" s="16" t="str">
        <f>入學要求!AD71</f>
        <v>NO</v>
      </c>
      <c r="J86" s="119">
        <f t="shared" si="152"/>
        <v>2.7499999999999998E-9</v>
      </c>
      <c r="K86" s="122">
        <v>1</v>
      </c>
      <c r="L86" s="122">
        <v>1</v>
      </c>
      <c r="M86" s="122">
        <v>1</v>
      </c>
      <c r="N86" s="122">
        <v>1</v>
      </c>
      <c r="O86" s="122">
        <v>1</v>
      </c>
      <c r="P86" s="122">
        <v>1</v>
      </c>
      <c r="Q86" s="122">
        <v>1</v>
      </c>
      <c r="R86" s="122">
        <v>1</v>
      </c>
      <c r="S86" s="122">
        <v>1</v>
      </c>
      <c r="T86" s="122">
        <v>1</v>
      </c>
      <c r="V86" s="119">
        <f t="shared" si="142"/>
        <v>4.0000000000000001E-10</v>
      </c>
      <c r="W86" s="119">
        <f t="shared" si="143"/>
        <v>2.0000000000000001E-10</v>
      </c>
      <c r="X86" s="119">
        <f t="shared" si="144"/>
        <v>3E-10</v>
      </c>
      <c r="Y86" s="119">
        <f t="shared" si="145"/>
        <v>0</v>
      </c>
      <c r="Z86" s="119">
        <f t="shared" si="146"/>
        <v>5.0000000000000003E-10</v>
      </c>
      <c r="AA86" s="119">
        <f t="shared" si="147"/>
        <v>6E-10</v>
      </c>
      <c r="AB86" s="119">
        <f t="shared" si="148"/>
        <v>6.9999999999999996E-10</v>
      </c>
      <c r="AC86" s="119">
        <f t="shared" si="149"/>
        <v>8.0000000000000003E-10</v>
      </c>
      <c r="AD86" s="119">
        <f t="shared" si="150"/>
        <v>8.9999999999999999E-10</v>
      </c>
      <c r="AE86" s="119">
        <f t="shared" si="151"/>
        <v>9.5000000000000003E-10</v>
      </c>
      <c r="AF86" s="119" t="b">
        <f t="shared" ref="AF86" si="180">IF(OR($E86="4C2X",$E86="4C1X"),TRUE,IF($E86="Best 5",IF(V86&gt;LARGE($V86:$AE86,6),TRUE),IF($E86="Best 6",IF(V86&gt;LARGE($V86:$AE86,7),TRUE))))</f>
        <v>1</v>
      </c>
      <c r="AG86" s="119" t="b">
        <f>IF(OR($E86="4C2X",$E86="4C1X"),TRUE,IF($E86="Best 5",IF(W86&gt;LARGE($V86:$AE86,6),TRUE),IF($E86="Best 6",IF(W86&gt;LARGE($V86:$AE86,7),TRUE))))</f>
        <v>1</v>
      </c>
      <c r="AH86" s="119" t="b">
        <f t="shared" ref="AH86" si="181">IF(OR($E86="4C2X",$E86="4C1X"),TRUE,IF($E86="Best 5",IF(X86&gt;LARGE($V86:$AE86,6),TRUE),IF($E86="Best 6",IF(X86&gt;LARGE($V86:$AE86,7),TRUE))))</f>
        <v>1</v>
      </c>
      <c r="AI86" s="119" t="b">
        <f t="shared" ref="AI86" si="182">IF(OR($E86="4C2X",$E86="4C1X"),TRUE,IF($E86="Best 5",IF(Y86&gt;LARGE($V86:$AE86,6),TRUE),IF($E86="Best 6",IF(Y86&gt;LARGE($V86:$AE86,7),TRUE))))</f>
        <v>1</v>
      </c>
      <c r="AJ86" s="119" t="b">
        <f>IF($E85="4C2X",IF(Z86&gt;LARGE($Z86:$AE86,3),TRUE),IF($E85="4C1X",IF(Z86&gt;LARGE($Z86:$AE86,2),TRUE),IF($E85="Best 5",IF(Z86&gt;LARGE($V86:$AE86,6),TRUE),IF($E85="Best 6",IF(Z86&gt;LARGE($V86:$AE86,7),TRUE)))))</f>
        <v>0</v>
      </c>
      <c r="AK86" s="119" t="b">
        <f>IF($E86="4C2X",IF(AA86&gt;LARGE($Z86:$AE86,3),TRUE),IF($E86="4C1X",IF(AA86&gt;LARGE($Z86:$AE86,2),TRUE),IF($E86="Best 5",IF(AA86&gt;LARGE($V86:$AE86,6),TRUE),IF($E86="Best 6",IF(AA86&gt;LARGE($V86:$AE86,7),TRUE)))))</f>
        <v>0</v>
      </c>
      <c r="AL86" s="119" t="b">
        <f t="shared" ref="AL86" si="183">IF($E86="4C2X",IF(AB86&gt;LARGE($Z86:$AE86,3),TRUE),IF($E86="4C1X",IF(AB86&gt;LARGE($Z86:$AE86,2),TRUE),IF($E86="Best 5",IF(AB86&gt;LARGE($V86:$AE86,6),TRUE),IF($E86="Best 6",IF(AB86&gt;LARGE($V86:$AE86,7),TRUE)))))</f>
        <v>0</v>
      </c>
      <c r="AM86" s="119" t="b">
        <f t="shared" ref="AM86" si="184">IF($E86="4C2X",IF(AC86&gt;LARGE($Z86:$AE86,3),TRUE),IF($E86="4C1X",IF(AC86&gt;LARGE($Z86:$AE86,2),TRUE),IF($E86="Best 5",IF(AC86&gt;LARGE($V86:$AE86,6),TRUE),IF($E86="Best 6",IF(AC86&gt;LARGE($V86:$AE86,7),TRUE)))))</f>
        <v>0</v>
      </c>
      <c r="AN86" s="119" t="b">
        <f t="shared" ref="AN86" si="185">IF($E86="4C2X",IF(AD86&gt;LARGE($Z86:$AE86,3),TRUE),IF($E86="4C1X",IF(AD86&gt;LARGE($Z86:$AE86,2),TRUE),IF($E86="Best 5",IF(AD86&gt;LARGE($V86:$AE86,6),TRUE),IF($E86="Best 6",IF(AD86&gt;LARGE($V86:$AE86,7),TRUE)))))</f>
        <v>1</v>
      </c>
      <c r="AO86" s="119" t="b">
        <f>IF($H86="E",IF($E86="4C2X",IF(AE86&gt;LARGE($Z86:$AE86,3),TRUE),IF($E86="4C1X",IF(AE86&gt;LARGE($Z86:$AE86,2),TRUE),IF($E86="Best 5",IF(AE86&gt;LARGE($V86:$AE86,6),TRUE),IF($E86="Best 6",IF(AE86&gt;LARGE($V86:$AE86,7),TRUE))))),FALSE)</f>
        <v>1</v>
      </c>
      <c r="AQ86" s="2" t="str">
        <f>'Reference Score Calculation'!M63</f>
        <v>/</v>
      </c>
      <c r="AR86" s="2"/>
      <c r="AS86" s="2"/>
      <c r="AT86" s="237"/>
      <c r="AU86" s="237"/>
      <c r="AV86" s="237"/>
      <c r="AW86" s="237"/>
      <c r="AX86" s="237"/>
      <c r="AY86" s="237"/>
      <c r="AZ86" s="237"/>
      <c r="BA86" s="237"/>
      <c r="BB86" s="237"/>
      <c r="BC86" s="237"/>
      <c r="BD86" s="237"/>
      <c r="BE86" s="237"/>
      <c r="BG86" s="2"/>
      <c r="BH86" s="2"/>
      <c r="BI86" s="2"/>
      <c r="BJ86" s="2"/>
    </row>
    <row r="87" spans="1:62">
      <c r="A87" s="119" t="s">
        <v>1046</v>
      </c>
      <c r="B87" s="119" t="str">
        <f>'Reference Score Calculation'!A64</f>
        <v>JS1801</v>
      </c>
      <c r="C87" s="119" t="str">
        <f>'Reference Score Calculation'!D64</f>
        <v>獸醫學學士</v>
      </c>
      <c r="D87" s="2"/>
      <c r="E87" s="395" t="str">
        <f>'Reference Score Calculation'!E64</f>
        <v>Best 6</v>
      </c>
      <c r="F87" s="395"/>
      <c r="G87" s="16" t="str">
        <f>入學要求!AB72</f>
        <v>v</v>
      </c>
      <c r="H87" s="16" t="str">
        <f>入學要求!AC72</f>
        <v>E</v>
      </c>
      <c r="I87" s="16" t="str">
        <f>入學要求!AD72</f>
        <v>NO</v>
      </c>
      <c r="J87" s="119">
        <f t="shared" si="152"/>
        <v>2.1999999999999998E-9</v>
      </c>
      <c r="K87" s="122">
        <v>1</v>
      </c>
      <c r="L87" s="122">
        <v>1</v>
      </c>
      <c r="M87" s="122">
        <v>1</v>
      </c>
      <c r="N87" s="122">
        <v>1</v>
      </c>
      <c r="O87" s="122">
        <v>1</v>
      </c>
      <c r="P87" s="122">
        <v>1</v>
      </c>
      <c r="Q87" s="122">
        <v>1</v>
      </c>
      <c r="R87" s="122">
        <v>1</v>
      </c>
      <c r="S87" s="122">
        <v>1</v>
      </c>
      <c r="T87" s="122">
        <v>1</v>
      </c>
      <c r="V87" s="119">
        <f t="shared" si="142"/>
        <v>4.0000000000000001E-10</v>
      </c>
      <c r="W87" s="119">
        <f t="shared" si="143"/>
        <v>2.0000000000000001E-10</v>
      </c>
      <c r="X87" s="119">
        <f t="shared" si="144"/>
        <v>3E-10</v>
      </c>
      <c r="Y87" s="119">
        <f t="shared" si="145"/>
        <v>0</v>
      </c>
      <c r="Z87" s="119">
        <f t="shared" si="146"/>
        <v>5.0000000000000003E-10</v>
      </c>
      <c r="AA87" s="119">
        <f t="shared" si="147"/>
        <v>6E-10</v>
      </c>
      <c r="AB87" s="119">
        <f t="shared" si="148"/>
        <v>6.9999999999999996E-10</v>
      </c>
      <c r="AC87" s="119">
        <f t="shared" si="149"/>
        <v>8.0000000000000003E-10</v>
      </c>
      <c r="AD87" s="119">
        <f t="shared" si="150"/>
        <v>8.9999999999999999E-10</v>
      </c>
      <c r="AE87" s="119">
        <f t="shared" si="151"/>
        <v>9.5000000000000003E-10</v>
      </c>
      <c r="AF87" s="143" t="b">
        <f>AU82</f>
        <v>0</v>
      </c>
      <c r="AG87" s="232" t="b">
        <f>TRUE</f>
        <v>1</v>
      </c>
      <c r="AH87" s="232" t="b">
        <f>TRUE</f>
        <v>1</v>
      </c>
      <c r="AI87" s="143" t="b">
        <f>AX82</f>
        <v>0</v>
      </c>
      <c r="AJ87" s="143" t="b">
        <f>AY82</f>
        <v>0</v>
      </c>
      <c r="AK87" s="232" t="b">
        <f>IF(OR(P1=$AZ$77,P1=$BB$77),TRUE,AZ82)</f>
        <v>0</v>
      </c>
      <c r="AL87" s="232" t="b">
        <f>IF(OR(Q1=$AZ$77,Q1=$BB$77),TRUE,BA82)</f>
        <v>0</v>
      </c>
      <c r="AM87" s="232" t="b">
        <f>IF(OR(R1=$AZ$77,R1=$BB$77),TRUE,BB82)</f>
        <v>1</v>
      </c>
      <c r="AN87" s="232" t="b">
        <f>IF(OR(S1=$AZ$77,S1=$BB$77),TRUE,BC82)</f>
        <v>1</v>
      </c>
      <c r="AO87" s="143" t="b">
        <f>FALSE</f>
        <v>0</v>
      </c>
      <c r="AQ87" s="2" t="str">
        <f>'Reference Score Calculation'!M64</f>
        <v>最佳六科必須包括︰英文、數學、生物 及 化學</v>
      </c>
      <c r="AR87" s="2"/>
      <c r="AS87" s="2"/>
      <c r="AT87" s="237"/>
      <c r="AU87" s="237"/>
      <c r="AV87" s="237"/>
      <c r="AW87" s="237"/>
      <c r="AX87" s="237"/>
      <c r="AY87" s="237"/>
      <c r="AZ87" s="237"/>
      <c r="BA87" s="237"/>
      <c r="BB87" s="237"/>
      <c r="BC87" s="237"/>
      <c r="BD87" s="237"/>
      <c r="BE87" s="237"/>
    </row>
    <row r="88" spans="1:62">
      <c r="A88" s="119" t="s">
        <v>76</v>
      </c>
      <c r="B88" s="119" t="str">
        <f>'Reference Score Calculation'!A65</f>
        <v>JS1805</v>
      </c>
      <c r="C88" s="119" t="str">
        <f>'Reference Score Calculation'!D65</f>
        <v>生物醫學系 [選項: 理學士(生物科學)、理學士(生物醫學)]</v>
      </c>
      <c r="D88" s="2"/>
      <c r="E88" s="397" t="str">
        <f>'Reference Score Calculation'!E65</f>
        <v>4C2X</v>
      </c>
      <c r="F88" s="397"/>
      <c r="G88" s="16" t="str">
        <f>入學要求!AB73</f>
        <v>NO</v>
      </c>
      <c r="H88" s="16" t="str">
        <f>入學要求!AC73</f>
        <v>NO</v>
      </c>
      <c r="I88" s="16" t="str">
        <f>入學要求!AD73</f>
        <v>NO</v>
      </c>
      <c r="J88" s="119">
        <f t="shared" si="152"/>
        <v>2.9499999999999999E-9</v>
      </c>
      <c r="K88" s="122">
        <v>1</v>
      </c>
      <c r="L88" s="153">
        <v>2</v>
      </c>
      <c r="M88" s="122">
        <v>1.5</v>
      </c>
      <c r="N88" s="122">
        <v>1</v>
      </c>
      <c r="O88" s="122">
        <v>1.5</v>
      </c>
      <c r="P88" s="122">
        <f>IF(OR(P1="生物",P1="化學"),2,IF(OR(P1="物理",P1="企業、會計與財務概論",P1="資訊及通訊科技",P1="設計與應用科技"),1.5,1))</f>
        <v>1</v>
      </c>
      <c r="Q88" s="122">
        <f t="shared" ref="Q88:S88" si="186">IF(OR(Q1="生物",Q1="化學"),2,IF(OR(Q1="物理",Q1="企業、會計與財務概論",Q1="資訊及通訊科技",Q1="設計與應用科技"),1.5,1))</f>
        <v>1</v>
      </c>
      <c r="R88" s="122">
        <f t="shared" si="186"/>
        <v>1</v>
      </c>
      <c r="S88" s="122">
        <f t="shared" si="186"/>
        <v>1</v>
      </c>
      <c r="T88" s="122">
        <f>IF(OR(T1="生物",T1="化學",T1="組合科學(物理、化學)",T1="組合科學(物理、生物)",T1="組合科學(生物、化學)"),2,IF(OR(T1="物理",T1="企業、會計與財務概論",T1="資訊及通訊科技",T1="設計與應用科技",T1="綜合科學"),1.5,1))</f>
        <v>1</v>
      </c>
      <c r="V88" s="119">
        <f t="shared" si="142"/>
        <v>4.0000000000000001E-10</v>
      </c>
      <c r="W88" s="119">
        <f t="shared" si="143"/>
        <v>4.0000000000000001E-10</v>
      </c>
      <c r="X88" s="119">
        <f t="shared" si="144"/>
        <v>4.5E-10</v>
      </c>
      <c r="Y88" s="119">
        <f t="shared" si="145"/>
        <v>0</v>
      </c>
      <c r="Z88" s="119">
        <f t="shared" si="146"/>
        <v>0</v>
      </c>
      <c r="AA88" s="119">
        <f t="shared" si="147"/>
        <v>6E-10</v>
      </c>
      <c r="AB88" s="119">
        <f t="shared" si="148"/>
        <v>6.9999999999999996E-10</v>
      </c>
      <c r="AC88" s="119">
        <f t="shared" si="149"/>
        <v>8.0000000000000003E-10</v>
      </c>
      <c r="AD88" s="119">
        <f t="shared" si="150"/>
        <v>8.9999999999999999E-10</v>
      </c>
      <c r="AE88" s="119">
        <f t="shared" si="151"/>
        <v>0</v>
      </c>
      <c r="AF88" s="119" t="b">
        <f t="shared" ref="AF88" si="187">IF(OR($E88="4C2X",$E88="4C1X"),TRUE,IF($E88="Best 5",IF(V88&gt;LARGE($V88:$AE88,6),TRUE),IF($E88="Best 6",IF(V88&gt;LARGE($V88:$AE88,7),TRUE))))</f>
        <v>1</v>
      </c>
      <c r="AG88" s="119" t="b">
        <f>IF(OR($E88="4C2X",$E88="4C1X"),TRUE,IF($E88="Best 5",IF(W88&gt;LARGE($V88:$AE88,6),TRUE),IF($E88="Best 6",IF(W88&gt;LARGE($V88:$AE88,7),TRUE))))</f>
        <v>1</v>
      </c>
      <c r="AH88" s="119" t="b">
        <f t="shared" ref="AH88" si="188">IF(OR($E88="4C2X",$E88="4C1X"),TRUE,IF($E88="Best 5",IF(X88&gt;LARGE($V88:$AE88,6),TRUE),IF($E88="Best 6",IF(X88&gt;LARGE($V88:$AE88,7),TRUE))))</f>
        <v>1</v>
      </c>
      <c r="AI88" s="119" t="b">
        <f t="shared" ref="AI88" si="189">IF(OR($E88="4C2X",$E88="4C1X"),TRUE,IF($E88="Best 5",IF(Y88&gt;LARGE($V88:$AE88,6),TRUE),IF($E88="Best 6",IF(Y88&gt;LARGE($V88:$AE88,7),TRUE))))</f>
        <v>1</v>
      </c>
      <c r="AJ88" s="119" t="b">
        <f>IF($E87="4C2X",IF(Z88&gt;LARGE($Z88:$AE88,3),TRUE),IF($E87="4C1X",IF(Z88&gt;LARGE($Z88:$AE88,2),TRUE),IF($E87="Best 5",IF(Z88&gt;LARGE($V88:$AE88,6),TRUE),IF($E87="Best 6",IF(Z88&gt;LARGE($V88:$AE88,7),TRUE)))))</f>
        <v>0</v>
      </c>
      <c r="AK88" s="119" t="b">
        <f>IF($E88="4C2X",IF(AA88&gt;LARGE($Z88:$AE88,3),TRUE),IF($E88="4C1X",IF(AA88&gt;LARGE($Z88:$AE88,2),TRUE),IF($E88="Best 5",IF(AA88&gt;LARGE($V88:$AE88,6),TRUE),IF($E88="Best 6",IF(AA88&gt;LARGE($V88:$AE88,7),TRUE)))))</f>
        <v>0</v>
      </c>
      <c r="AL88" s="119" t="b">
        <f t="shared" ref="AL88" si="190">IF($E88="4C2X",IF(AB88&gt;LARGE($Z88:$AE88,3),TRUE),IF($E88="4C1X",IF(AB88&gt;LARGE($Z88:$AE88,2),TRUE),IF($E88="Best 5",IF(AB88&gt;LARGE($V88:$AE88,6),TRUE),IF($E88="Best 6",IF(AB88&gt;LARGE($V88:$AE88,7),TRUE)))))</f>
        <v>0</v>
      </c>
      <c r="AM88" s="119" t="b">
        <f t="shared" ref="AM88" si="191">IF($E88="4C2X",IF(AC88&gt;LARGE($Z88:$AE88,3),TRUE),IF($E88="4C1X",IF(AC88&gt;LARGE($Z88:$AE88,2),TRUE),IF($E88="Best 5",IF(AC88&gt;LARGE($V88:$AE88,6),TRUE),IF($E88="Best 6",IF(AC88&gt;LARGE($V88:$AE88,7),TRUE)))))</f>
        <v>1</v>
      </c>
      <c r="AN88" s="119" t="b">
        <f t="shared" ref="AN88" si="192">IF($E88="4C2X",IF(AD88&gt;LARGE($Z88:$AE88,3),TRUE),IF($E88="4C1X",IF(AD88&gt;LARGE($Z88:$AE88,2),TRUE),IF($E88="Best 5",IF(AD88&gt;LARGE($V88:$AE88,6),TRUE),IF($E88="Best 6",IF(AD88&gt;LARGE($V88:$AE88,7),TRUE)))))</f>
        <v>1</v>
      </c>
      <c r="AO88" s="119" t="b">
        <f>IF($H88="E",IF($E88="4C2X",IF(AE88&gt;LARGE($Z88:$AE88,3),TRUE),IF($E88="4C1X",IF(AE88&gt;LARGE($Z88:$AE88,2),TRUE),IF($E88="Best 5",IF(AE88&gt;LARGE($V88:$AE88,6),TRUE),IF($E88="Best 6",IF(AE88&gt;LARGE($V88:$AE88,7),TRUE))))),FALSE)</f>
        <v>0</v>
      </c>
      <c r="AQ88" s="2" t="str">
        <f>'Reference Score Calculation'!M65</f>
        <v>/</v>
      </c>
      <c r="AR88" s="2"/>
      <c r="AS88" s="2"/>
      <c r="AT88" s="237"/>
      <c r="AU88" s="237"/>
      <c r="AV88" s="237"/>
      <c r="AW88" s="237"/>
      <c r="AX88" s="237"/>
      <c r="AY88" s="237"/>
      <c r="AZ88" s="237"/>
      <c r="BA88" s="237"/>
      <c r="BB88" s="237"/>
      <c r="BC88" s="237"/>
      <c r="BD88" s="237"/>
      <c r="BE88" s="237"/>
    </row>
    <row r="89" spans="1:62">
      <c r="A89" s="119" t="s">
        <v>1057</v>
      </c>
      <c r="B89" s="119" t="str">
        <f>'Reference Score Calculation'!A66</f>
        <v>JS1806</v>
      </c>
      <c r="C89" s="119" t="str">
        <f>'Reference Score Calculation'!D66</f>
        <v>理學士(生物科學)</v>
      </c>
      <c r="D89" s="2"/>
      <c r="E89" s="397" t="str">
        <f>'Reference Score Calculation'!E66</f>
        <v>4C2X</v>
      </c>
      <c r="F89" s="397"/>
      <c r="G89" s="16" t="str">
        <f>入學要求!AB74</f>
        <v>v</v>
      </c>
      <c r="H89" s="16" t="str">
        <f>入學要求!AC74</f>
        <v>NO</v>
      </c>
      <c r="I89" s="16" t="str">
        <f>入學要求!AD74</f>
        <v>v</v>
      </c>
      <c r="J89" s="119">
        <f t="shared" si="152"/>
        <v>2.9499999999999999E-9</v>
      </c>
      <c r="K89" s="122">
        <v>1</v>
      </c>
      <c r="L89" s="153">
        <v>2</v>
      </c>
      <c r="M89" s="122">
        <v>1.5</v>
      </c>
      <c r="N89" s="122">
        <v>1</v>
      </c>
      <c r="O89" s="122">
        <v>1.5</v>
      </c>
      <c r="P89" s="122">
        <f>IF(OR(P1="生物",P1="化學"),2,IF(OR(P1="物理",P1="企業、會計與財務概論",P1="資訊及通訊科技",P1="設計與應用科技"),1.5,1))</f>
        <v>1</v>
      </c>
      <c r="Q89" s="122">
        <f t="shared" ref="Q89:S89" si="193">IF(OR(Q1="生物",Q1="化學"),2,IF(OR(Q1="物理",Q1="企業、會計與財務概論",Q1="資訊及通訊科技",Q1="設計與應用科技"),1.5,1))</f>
        <v>1</v>
      </c>
      <c r="R89" s="122">
        <f t="shared" si="193"/>
        <v>1</v>
      </c>
      <c r="S89" s="122">
        <f t="shared" si="193"/>
        <v>1</v>
      </c>
      <c r="T89" s="122">
        <f>IF(OR(T2="生物",T2="化學",T2="組合科學(物理、化學)",T2="組合科學(物理、生物)",T2="組合科學(生物、化學)"),2,IF(OR(T2="物理",T2="企業、會計與財務概論",T2="資訊及通訊科技",T2="設計與應用科技",T2="綜合科學"),1.5,1))</f>
        <v>1</v>
      </c>
      <c r="V89" s="119">
        <f t="shared" si="142"/>
        <v>4.0000000000000001E-10</v>
      </c>
      <c r="W89" s="119">
        <f t="shared" si="143"/>
        <v>4.0000000000000001E-10</v>
      </c>
      <c r="X89" s="119">
        <f t="shared" si="144"/>
        <v>4.5E-10</v>
      </c>
      <c r="Y89" s="119">
        <f t="shared" si="145"/>
        <v>0</v>
      </c>
      <c r="Z89" s="119">
        <f t="shared" si="146"/>
        <v>7.500000000000001E-10</v>
      </c>
      <c r="AA89" s="119">
        <f t="shared" si="147"/>
        <v>6E-10</v>
      </c>
      <c r="AB89" s="119">
        <f t="shared" si="148"/>
        <v>6.9999999999999996E-10</v>
      </c>
      <c r="AC89" s="119">
        <f t="shared" si="149"/>
        <v>8.0000000000000003E-10</v>
      </c>
      <c r="AD89" s="119">
        <f t="shared" si="150"/>
        <v>8.9999999999999999E-10</v>
      </c>
      <c r="AE89" s="119">
        <f t="shared" si="151"/>
        <v>0</v>
      </c>
      <c r="AF89" s="119" t="b">
        <f t="shared" ref="AF89:AF90" si="194">IF(OR($E89="4C2X",$E89="4C1X"),TRUE,IF($E89="Best 5",IF(V89&gt;LARGE($V89:$AE89,6),TRUE),IF($E89="Best 6",IF(V89&gt;LARGE($V89:$AE89,7),TRUE))))</f>
        <v>1</v>
      </c>
      <c r="AG89" s="119" t="b">
        <f t="shared" ref="AG89:AG90" si="195">IF(OR($E89="4C2X",$E89="4C1X"),TRUE,IF($E89="Best 5",IF(W89&gt;LARGE($V89:$AE89,6),TRUE),IF($E89="Best 6",IF(W89&gt;LARGE($V89:$AE89,7),TRUE))))</f>
        <v>1</v>
      </c>
      <c r="AH89" s="119" t="b">
        <f t="shared" ref="AH89:AH90" si="196">IF(OR($E89="4C2X",$E89="4C1X"),TRUE,IF($E89="Best 5",IF(X89&gt;LARGE($V89:$AE89,6),TRUE),IF($E89="Best 6",IF(X89&gt;LARGE($V89:$AE89,7),TRUE))))</f>
        <v>1</v>
      </c>
      <c r="AI89" s="119" t="b">
        <f t="shared" ref="AI89:AI90" si="197">IF(OR($E89="4C2X",$E89="4C1X"),TRUE,IF($E89="Best 5",IF(Y89&gt;LARGE($V89:$AE89,6),TRUE),IF($E89="Best 6",IF(Y89&gt;LARGE($V89:$AE89,7),TRUE))))</f>
        <v>1</v>
      </c>
      <c r="AJ89" s="119" t="b">
        <f t="shared" ref="AJ89:AJ90" si="198">IF($E88="4C2X",IF(Z89&gt;LARGE($Z89:$AE89,3),TRUE),IF($E88="4C1X",IF(Z89&gt;LARGE($Z89:$AE89,2),TRUE),IF($E88="Best 5",IF(Z89&gt;LARGE($V89:$AE89,6),TRUE),IF($E88="Best 6",IF(Z89&gt;LARGE($V89:$AE89,7),TRUE)))))</f>
        <v>0</v>
      </c>
      <c r="AK89" s="119" t="b">
        <f t="shared" ref="AK89:AK90" si="199">IF($E89="4C2X",IF(AA89&gt;LARGE($Z89:$AE89,3),TRUE),IF($E89="4C1X",IF(AA89&gt;LARGE($Z89:$AE89,2),TRUE),IF($E89="Best 5",IF(AA89&gt;LARGE($V89:$AE89,6),TRUE),IF($E89="Best 6",IF(AA89&gt;LARGE($V89:$AE89,7),TRUE)))))</f>
        <v>0</v>
      </c>
      <c r="AL89" s="119" t="b">
        <f t="shared" ref="AL89:AL90" si="200">IF($E89="4C2X",IF(AB89&gt;LARGE($Z89:$AE89,3),TRUE),IF($E89="4C1X",IF(AB89&gt;LARGE($Z89:$AE89,2),TRUE),IF($E89="Best 5",IF(AB89&gt;LARGE($V89:$AE89,6),TRUE),IF($E89="Best 6",IF(AB89&gt;LARGE($V89:$AE89,7),TRUE)))))</f>
        <v>0</v>
      </c>
      <c r="AM89" s="119" t="b">
        <f t="shared" ref="AM89:AM90" si="201">IF($E89="4C2X",IF(AC89&gt;LARGE($Z89:$AE89,3),TRUE),IF($E89="4C1X",IF(AC89&gt;LARGE($Z89:$AE89,2),TRUE),IF($E89="Best 5",IF(AC89&gt;LARGE($V89:$AE89,6),TRUE),IF($E89="Best 6",IF(AC89&gt;LARGE($V89:$AE89,7),TRUE)))))</f>
        <v>1</v>
      </c>
      <c r="AN89" s="119" t="b">
        <f t="shared" ref="AN89:AN90" si="202">IF($E89="4C2X",IF(AD89&gt;LARGE($Z89:$AE89,3),TRUE),IF($E89="4C1X",IF(AD89&gt;LARGE($Z89:$AE89,2),TRUE),IF($E89="Best 5",IF(AD89&gt;LARGE($V89:$AE89,6),TRUE),IF($E89="Best 6",IF(AD89&gt;LARGE($V89:$AE89,7),TRUE)))))</f>
        <v>1</v>
      </c>
      <c r="AO89" s="119" t="b">
        <f t="shared" ref="AO89:AO90" si="203">IF($H89="E",IF($E89="4C2X",IF(AE89&gt;LARGE($Z89:$AE89,3),TRUE),IF($E89="4C1X",IF(AE89&gt;LARGE($Z89:$AE89,2),TRUE),IF($E89="Best 5",IF(AE89&gt;LARGE($V89:$AE89,6),TRUE),IF($E89="Best 6",IF(AE89&gt;LARGE($V89:$AE89,7),TRUE))))),FALSE)</f>
        <v>0</v>
      </c>
      <c r="AQ89" s="2" t="str">
        <f>'Reference Score Calculation'!M66</f>
        <v>/</v>
      </c>
      <c r="AR89" s="2"/>
      <c r="AS89" s="2"/>
      <c r="AT89" s="234"/>
      <c r="AU89" s="235"/>
      <c r="AV89" s="235"/>
      <c r="AW89" s="235"/>
      <c r="AX89" s="235"/>
      <c r="AY89" s="235"/>
      <c r="AZ89" s="235"/>
      <c r="BA89" s="235"/>
      <c r="BB89" s="235"/>
      <c r="BC89" s="235"/>
      <c r="BD89" s="235"/>
      <c r="BE89" s="235"/>
    </row>
    <row r="90" spans="1:62">
      <c r="A90" s="119" t="s">
        <v>162</v>
      </c>
      <c r="B90" s="119" t="str">
        <f>'Reference Score Calculation'!A67</f>
        <v>JS1807</v>
      </c>
      <c r="C90" s="119" t="str">
        <f>'Reference Score Calculation'!D67</f>
        <v>理學士(生物醫學)</v>
      </c>
      <c r="D90" s="2"/>
      <c r="E90" s="397" t="str">
        <f>'Reference Score Calculation'!E67</f>
        <v>4C2X</v>
      </c>
      <c r="F90" s="397"/>
      <c r="G90" s="16" t="str">
        <f>入學要求!AB75</f>
        <v>v</v>
      </c>
      <c r="H90" s="16" t="str">
        <f>入學要求!AC75</f>
        <v>NO</v>
      </c>
      <c r="I90" s="16" t="str">
        <f>入學要求!AD75</f>
        <v>v</v>
      </c>
      <c r="J90" s="119">
        <f t="shared" si="152"/>
        <v>2.9499999999999999E-9</v>
      </c>
      <c r="K90" s="122">
        <v>1</v>
      </c>
      <c r="L90" s="153">
        <v>2</v>
      </c>
      <c r="M90" s="122">
        <v>1.5</v>
      </c>
      <c r="N90" s="122">
        <v>1</v>
      </c>
      <c r="O90" s="122">
        <v>1.5</v>
      </c>
      <c r="P90" s="122">
        <f>IF(OR(P1="生物",P1="化學"),2,IF(OR(P1="物理",P1="企業、會計與財務概論",P1="資訊及通訊科技",P1="設計與應用科技"),1.5,1))</f>
        <v>1</v>
      </c>
      <c r="Q90" s="122">
        <f t="shared" ref="Q90:S90" si="204">IF(OR(Q1="生物",Q1="化學"),2,IF(OR(Q1="物理",Q1="企業、會計與財務概論",Q1="資訊及通訊科技",Q1="設計與應用科技"),1.5,1))</f>
        <v>1</v>
      </c>
      <c r="R90" s="122">
        <f t="shared" si="204"/>
        <v>1</v>
      </c>
      <c r="S90" s="122">
        <f t="shared" si="204"/>
        <v>1</v>
      </c>
      <c r="T90" s="122">
        <f>IF(OR(T3="生物",T3="化學",T3="組合科學(物理、化學)",T3="組合科學(物理、生物)",T3="組合科學(生物、化學)"),2,IF(OR(T3="物理",T3="企業、會計與財務概論",T3="資訊及通訊科技",T3="設計與應用科技",T3="綜合科學"),1.5,1))</f>
        <v>1</v>
      </c>
      <c r="V90" s="119">
        <f t="shared" si="142"/>
        <v>4.0000000000000001E-10</v>
      </c>
      <c r="W90" s="119">
        <f t="shared" si="143"/>
        <v>4.0000000000000001E-10</v>
      </c>
      <c r="X90" s="119">
        <f t="shared" si="144"/>
        <v>4.5E-10</v>
      </c>
      <c r="Y90" s="119">
        <f t="shared" si="145"/>
        <v>0</v>
      </c>
      <c r="Z90" s="119">
        <f t="shared" si="146"/>
        <v>7.500000000000001E-10</v>
      </c>
      <c r="AA90" s="119">
        <f t="shared" si="147"/>
        <v>6E-10</v>
      </c>
      <c r="AB90" s="119">
        <f t="shared" si="148"/>
        <v>6.9999999999999996E-10</v>
      </c>
      <c r="AC90" s="119">
        <f t="shared" si="149"/>
        <v>8.0000000000000003E-10</v>
      </c>
      <c r="AD90" s="119">
        <f t="shared" si="150"/>
        <v>8.9999999999999999E-10</v>
      </c>
      <c r="AE90" s="119">
        <f t="shared" si="151"/>
        <v>0</v>
      </c>
      <c r="AF90" s="119" t="b">
        <f t="shared" si="194"/>
        <v>1</v>
      </c>
      <c r="AG90" s="119" t="b">
        <f t="shared" si="195"/>
        <v>1</v>
      </c>
      <c r="AH90" s="119" t="b">
        <f t="shared" si="196"/>
        <v>1</v>
      </c>
      <c r="AI90" s="119" t="b">
        <f t="shared" si="197"/>
        <v>1</v>
      </c>
      <c r="AJ90" s="119" t="b">
        <f t="shared" si="198"/>
        <v>0</v>
      </c>
      <c r="AK90" s="119" t="b">
        <f t="shared" si="199"/>
        <v>0</v>
      </c>
      <c r="AL90" s="119" t="b">
        <f t="shared" si="200"/>
        <v>0</v>
      </c>
      <c r="AM90" s="119" t="b">
        <f t="shared" si="201"/>
        <v>1</v>
      </c>
      <c r="AN90" s="119" t="b">
        <f t="shared" si="202"/>
        <v>1</v>
      </c>
      <c r="AO90" s="119" t="b">
        <f t="shared" si="203"/>
        <v>0</v>
      </c>
      <c r="AQ90" s="2" t="str">
        <f>'Reference Score Calculation'!M67</f>
        <v>/</v>
      </c>
      <c r="AR90" s="2"/>
      <c r="AS90" s="2"/>
    </row>
    <row r="91" spans="1:62">
      <c r="C91" s="398" t="s">
        <v>2858</v>
      </c>
      <c r="D91" s="2"/>
      <c r="E91" s="119"/>
      <c r="F91" s="2"/>
      <c r="G91" s="16"/>
      <c r="H91" s="16"/>
      <c r="I91" s="16"/>
      <c r="K91" s="122"/>
      <c r="L91" s="153"/>
      <c r="M91" s="122"/>
      <c r="N91" s="122"/>
      <c r="O91" s="122"/>
      <c r="P91" s="122"/>
      <c r="Q91" s="122"/>
      <c r="R91" s="122"/>
      <c r="S91" s="122"/>
      <c r="T91" s="122"/>
      <c r="AQ91" s="2"/>
      <c r="AR91" s="2"/>
      <c r="AS91" s="2"/>
    </row>
    <row r="92" spans="1:62">
      <c r="B92" s="154" t="s">
        <v>318</v>
      </c>
      <c r="C92" s="145"/>
      <c r="D92" s="145"/>
      <c r="E92" s="146"/>
      <c r="F92" s="457"/>
      <c r="G92" s="19" t="s">
        <v>297</v>
      </c>
      <c r="H92" s="19" t="s">
        <v>298</v>
      </c>
      <c r="I92" s="19" t="s">
        <v>299</v>
      </c>
      <c r="J92" s="133" t="s">
        <v>245</v>
      </c>
      <c r="K92" s="133" t="s">
        <v>274</v>
      </c>
      <c r="L92" s="133" t="s">
        <v>275</v>
      </c>
      <c r="M92" s="133" t="s">
        <v>276</v>
      </c>
      <c r="N92" s="133" t="s">
        <v>277</v>
      </c>
      <c r="O92" s="133" t="s">
        <v>278</v>
      </c>
      <c r="P92" s="133" t="s">
        <v>279</v>
      </c>
      <c r="Q92" s="133" t="s">
        <v>280</v>
      </c>
      <c r="R92" s="133" t="s">
        <v>281</v>
      </c>
      <c r="S92" s="133" t="s">
        <v>282</v>
      </c>
      <c r="T92" s="133" t="s">
        <v>319</v>
      </c>
      <c r="U92" s="144"/>
      <c r="V92" s="133" t="str">
        <f t="shared" ref="V92:AE92" si="205">K1</f>
        <v>中國語文</v>
      </c>
      <c r="W92" s="133" t="str">
        <f t="shared" si="205"/>
        <v>英國語文</v>
      </c>
      <c r="X92" s="133" t="str">
        <f t="shared" si="205"/>
        <v>數學</v>
      </c>
      <c r="Y92" s="133" t="str">
        <f t="shared" si="205"/>
        <v>通識教育</v>
      </c>
      <c r="Z92" s="133" t="str">
        <f t="shared" si="205"/>
        <v>數學延伸</v>
      </c>
      <c r="AA92" s="133" t="str">
        <f t="shared" si="205"/>
        <v>請選擇第一選修科</v>
      </c>
      <c r="AB92" s="133" t="str">
        <f t="shared" si="205"/>
        <v>請選擇第二選修科</v>
      </c>
      <c r="AC92" s="133" t="str">
        <f t="shared" si="205"/>
        <v>請選擇第三選修科</v>
      </c>
      <c r="AD92" s="133" t="str">
        <f t="shared" si="205"/>
        <v>請選擇第四選修科</v>
      </c>
      <c r="AE92" s="133" t="str">
        <f t="shared" si="205"/>
        <v>請選擇語言科目</v>
      </c>
      <c r="AF92" s="133" t="s">
        <v>284</v>
      </c>
      <c r="AG92" s="133" t="s">
        <v>285</v>
      </c>
      <c r="AH92" s="133" t="s">
        <v>286</v>
      </c>
      <c r="AI92" s="133" t="s">
        <v>287</v>
      </c>
      <c r="AJ92" s="133" t="s">
        <v>288</v>
      </c>
      <c r="AK92" s="133" t="s">
        <v>289</v>
      </c>
      <c r="AL92" s="133" t="s">
        <v>290</v>
      </c>
      <c r="AM92" s="133" t="s">
        <v>291</v>
      </c>
      <c r="AN92" s="133" t="s">
        <v>292</v>
      </c>
      <c r="AO92" s="133" t="s">
        <v>320</v>
      </c>
      <c r="AQ92" s="2"/>
      <c r="AR92" s="2"/>
      <c r="AS92" s="2"/>
    </row>
    <row r="93" spans="1:62">
      <c r="A93" s="119" t="str">
        <f>'Reference Score Calculation'!A70</f>
        <v>JS2020</v>
      </c>
      <c r="B93" s="119" t="str">
        <f>'Reference Score Calculation'!A70</f>
        <v>JS2020</v>
      </c>
      <c r="C93" s="132" t="str">
        <f>'Reference Score Calculation'!D70</f>
        <v>文學士(榮譽) (中國語言文學 / 創意及專業寫作 / 英國語言文學 / 人文學 / 翻譯學)</v>
      </c>
      <c r="D93" s="21"/>
      <c r="E93" s="369" t="s">
        <v>815</v>
      </c>
      <c r="F93" s="369"/>
      <c r="G93" s="119" t="str">
        <f>入學要求!AB79</f>
        <v>v</v>
      </c>
      <c r="H93" s="119" t="str">
        <f>入學要求!AC79</f>
        <v>C</v>
      </c>
      <c r="I93" s="119" t="str">
        <f>入學要求!AD79</f>
        <v>v</v>
      </c>
      <c r="J93" s="119">
        <f>SUMIF(AF93:AO93,TRUE,V93:AE93)</f>
        <v>2.6000000000000001E-9</v>
      </c>
      <c r="K93" s="119">
        <v>1</v>
      </c>
      <c r="L93" s="119">
        <v>1</v>
      </c>
      <c r="M93" s="119">
        <v>1</v>
      </c>
      <c r="N93" s="119">
        <v>1</v>
      </c>
      <c r="O93" s="119">
        <v>1</v>
      </c>
      <c r="P93" s="119">
        <v>1</v>
      </c>
      <c r="Q93" s="119">
        <v>1</v>
      </c>
      <c r="R93" s="119">
        <v>1</v>
      </c>
      <c r="S93" s="119">
        <v>1</v>
      </c>
      <c r="T93" s="119">
        <v>1</v>
      </c>
      <c r="V93" s="119">
        <f t="shared" ref="V93:V113" si="206">K$4*K93</f>
        <v>4.0000000000000001E-10</v>
      </c>
      <c r="W93" s="119">
        <f t="shared" ref="W93:W113" si="207">L$4*L93</f>
        <v>2.0000000000000001E-10</v>
      </c>
      <c r="X93" s="119">
        <f t="shared" ref="X93:X113" si="208">M$4*M93</f>
        <v>3E-10</v>
      </c>
      <c r="Y93" s="119">
        <f t="shared" ref="Y93:Y114" si="209">N$4*N93</f>
        <v>0</v>
      </c>
      <c r="Z93" s="119">
        <f t="shared" ref="Z93:Z113" si="210">IF(G93="v",O$4*O93,0)</f>
        <v>5.0000000000000003E-10</v>
      </c>
      <c r="AA93" s="119">
        <f t="shared" ref="AA93:AA113" si="211">P$4*P93</f>
        <v>6E-10</v>
      </c>
      <c r="AB93" s="119">
        <f t="shared" ref="AB93:AB113" si="212">Q$4*Q93</f>
        <v>6.9999999999999996E-10</v>
      </c>
      <c r="AC93" s="119">
        <f t="shared" ref="AC93:AC113" si="213">R$4*R93</f>
        <v>8.0000000000000003E-10</v>
      </c>
      <c r="AD93" s="119">
        <f t="shared" ref="AD93:AD113" si="214">S$4*S93</f>
        <v>8.9999999999999999E-10</v>
      </c>
      <c r="AE93" s="119">
        <f t="shared" ref="AE93:AE113" si="215">IF(H93="E",T$4*T93,0)</f>
        <v>0</v>
      </c>
      <c r="AF93" s="119" t="b">
        <f>IF(OR($E93="4C2X",$E93="4C1X"),TRUE,IF($E93="Best 5",IF(V93&gt;LARGE($V93:$AE93,6),TRUE),IF($E93="Best 6",IF(V93&gt;LARGE($V93:$AE93,7),TRUE))))</f>
        <v>1</v>
      </c>
      <c r="AG93" s="119" t="b">
        <f>IF(OR($E93="4C2X",$E93="4C1X"),TRUE,IF($E93="Best 5",IF(W93&gt;LARGE($V93:$AE93,6),TRUE),IF($E93="Best 6",IF(W93&gt;LARGE($V93:$AE93,7),TRUE))))</f>
        <v>1</v>
      </c>
      <c r="AH93" s="119" t="b">
        <f>IF(OR($E93="4C2X",$E93="4C1X"),TRUE,IF($E93="Best 5",IF(X93&gt;LARGE($V93:$AE93,6),TRUE),IF($E93="Best 6",IF(X93&gt;LARGE($V93:$AE93,7),TRUE))))</f>
        <v>1</v>
      </c>
      <c r="AI93" s="119" t="b">
        <f>IF(OR($E93="4C2X",$E93="4C1X"),TRUE,IF($E93="Best 5",IF(Y93&gt;LARGE($V93:$AE93,6),TRUE),IF($E93="Best 6",IF(Y93&gt;LARGE($V93:$AE93,7),TRUE))))</f>
        <v>1</v>
      </c>
      <c r="AJ93" s="119" t="b">
        <f>IF($E93="4C2X",IF(Z93&gt;LARGE($Z93:$AE93,3),TRUE),IF($E93="4C1X",IF(Z93&gt;LARGE($Z93:$AE93,2),TRUE),IF($E93="Best 5",IF(Z93&gt;LARGE($V93:$AE93,6),TRUE),IF($E93="Best 6",IF(Z93&gt;LARGE($V93:$AE93,7),TRUE)))))</f>
        <v>0</v>
      </c>
      <c r="AK93" s="119" t="b">
        <f t="shared" ref="AK93" si="216">IF($E93="4C2X",IF(AA93&gt;LARGE($Z93:$AE93,3),TRUE),IF($E93="4C1X",IF(AA93&gt;LARGE($Z93:$AE93,2),TRUE),IF($E93="Best 5",IF(AA93&gt;LARGE($V93:$AE93,6),TRUE),IF($E93="Best 6",IF(AA93&gt;LARGE($V93:$AE93,7),TRUE)))))</f>
        <v>0</v>
      </c>
      <c r="AL93" s="119" t="b">
        <f t="shared" ref="AL93" si="217">IF($E93="4C2X",IF(AB93&gt;LARGE($Z93:$AE93,3),TRUE),IF($E93="4C1X",IF(AB93&gt;LARGE($Z93:$AE93,2),TRUE),IF($E93="Best 5",IF(AB93&gt;LARGE($V93:$AE93,6),TRUE),IF($E93="Best 6",IF(AB93&gt;LARGE($V93:$AE93,7),TRUE)))))</f>
        <v>0</v>
      </c>
      <c r="AM93" s="119" t="b">
        <f t="shared" ref="AM93" si="218">IF($E93="4C2X",IF(AC93&gt;LARGE($Z93:$AE93,3),TRUE),IF($E93="4C1X",IF(AC93&gt;LARGE($Z93:$AE93,2),TRUE),IF($E93="Best 5",IF(AC93&gt;LARGE($V93:$AE93,6),TRUE),IF($E93="Best 6",IF(AC93&gt;LARGE($V93:$AE93,7),TRUE)))))</f>
        <v>1</v>
      </c>
      <c r="AN93" s="119" t="b">
        <f t="shared" ref="AN93" si="219">IF($E93="4C2X",IF(AD93&gt;LARGE($Z93:$AE93,3),TRUE),IF($E93="4C1X",IF(AD93&gt;LARGE($Z93:$AE93,2),TRUE),IF($E93="Best 5",IF(AD93&gt;LARGE($V93:$AE93,6),TRUE),IF($E93="Best 6",IF(AD93&gt;LARGE($V93:$AE93,7),TRUE)))))</f>
        <v>1</v>
      </c>
      <c r="AO93" s="119" t="b">
        <f>IF($H93="E",IF($E93="4C2X",IF(AE93&gt;LARGE($Z93:$AE93,3),TRUE),IF($E93="4C1X",IF(AE93&gt;LARGE($Z93:$AE93,2),TRUE),IF($E93="Best 5",IF(AE93&gt;LARGE($V93:$AE93,6),TRUE),IF($E93="Best 6",IF(AE93&gt;LARGE($V93:$AE93,7),TRUE))))),FALSE)</f>
        <v>0</v>
      </c>
      <c r="AQ93" s="2"/>
      <c r="AR93" s="2"/>
      <c r="AS93" s="2"/>
    </row>
    <row r="94" spans="1:62">
      <c r="A94" s="119" t="str">
        <f>'Reference Score Calculation'!A71</f>
        <v>JS2025</v>
      </c>
      <c r="B94" s="119" t="str">
        <f>'Reference Score Calculation'!A71</f>
        <v>JS2025</v>
      </c>
      <c r="C94" s="132" t="str">
        <f>'Reference Score Calculation'!D71</f>
        <v>宗教、哲學及倫理文學士(榮譽)</v>
      </c>
      <c r="D94" s="21"/>
      <c r="E94" s="369" t="s">
        <v>815</v>
      </c>
      <c r="F94" s="369"/>
      <c r="G94" s="119" t="str">
        <f>入學要求!AB80</f>
        <v>v</v>
      </c>
      <c r="H94" s="119" t="str">
        <f>入學要求!AC80</f>
        <v>C</v>
      </c>
      <c r="I94" s="119" t="str">
        <f>入學要求!AD80</f>
        <v>v</v>
      </c>
      <c r="J94" s="119">
        <f t="shared" ref="J94:J113" si="220">SUMIF(AF94:AO94,TRUE,V94:AE94)</f>
        <v>2.6000000000000001E-9</v>
      </c>
      <c r="K94" s="119">
        <v>1</v>
      </c>
      <c r="L94" s="119">
        <v>1</v>
      </c>
      <c r="M94" s="119">
        <v>1</v>
      </c>
      <c r="N94" s="119">
        <v>1</v>
      </c>
      <c r="O94" s="119">
        <v>1</v>
      </c>
      <c r="P94" s="119">
        <v>1</v>
      </c>
      <c r="Q94" s="119">
        <v>1</v>
      </c>
      <c r="R94" s="119">
        <v>1</v>
      </c>
      <c r="S94" s="119">
        <v>1</v>
      </c>
      <c r="T94" s="119">
        <v>1</v>
      </c>
      <c r="V94" s="119">
        <f t="shared" si="206"/>
        <v>4.0000000000000001E-10</v>
      </c>
      <c r="W94" s="119">
        <f t="shared" si="207"/>
        <v>2.0000000000000001E-10</v>
      </c>
      <c r="X94" s="119">
        <f t="shared" si="208"/>
        <v>3E-10</v>
      </c>
      <c r="Y94" s="119">
        <f t="shared" si="209"/>
        <v>0</v>
      </c>
      <c r="Z94" s="119">
        <f t="shared" si="210"/>
        <v>5.0000000000000003E-10</v>
      </c>
      <c r="AA94" s="119">
        <f t="shared" si="211"/>
        <v>6E-10</v>
      </c>
      <c r="AB94" s="119">
        <f t="shared" si="212"/>
        <v>6.9999999999999996E-10</v>
      </c>
      <c r="AC94" s="119">
        <f t="shared" si="213"/>
        <v>8.0000000000000003E-10</v>
      </c>
      <c r="AD94" s="119">
        <f t="shared" si="214"/>
        <v>8.9999999999999999E-10</v>
      </c>
      <c r="AE94" s="119">
        <f t="shared" si="215"/>
        <v>0</v>
      </c>
      <c r="AF94" s="119" t="b">
        <f t="shared" ref="AF94:AF113" si="221">IF(OR($E94="4C2X",$E94="4C1X"),TRUE,IF($E94="Best 5",IF(V94&gt;LARGE($V94:$AE94,6),TRUE),IF($E94="Best 6",IF(V94&gt;LARGE($V94:$AE94,7),TRUE))))</f>
        <v>1</v>
      </c>
      <c r="AG94" s="119" t="b">
        <f t="shared" ref="AG94:AG113" si="222">IF(OR($E94="4C2X",$E94="4C1X"),TRUE,IF($E94="Best 5",IF(W94&gt;LARGE($V94:$AE94,6),TRUE),IF($E94="Best 6",IF(W94&gt;LARGE($V94:$AE94,7),TRUE))))</f>
        <v>1</v>
      </c>
      <c r="AH94" s="119" t="b">
        <f t="shared" ref="AH94:AH113" si="223">IF(OR($E94="4C2X",$E94="4C1X"),TRUE,IF($E94="Best 5",IF(X94&gt;LARGE($V94:$AE94,6),TRUE),IF($E94="Best 6",IF(X94&gt;LARGE($V94:$AE94,7),TRUE))))</f>
        <v>1</v>
      </c>
      <c r="AI94" s="119" t="b">
        <f t="shared" ref="AI94:AI113" si="224">IF(OR($E94="4C2X",$E94="4C1X"),TRUE,IF($E94="Best 5",IF(Y94&gt;LARGE($V94:$AE94,6),TRUE),IF($E94="Best 6",IF(Y94&gt;LARGE($V94:$AE94,7),TRUE))))</f>
        <v>1</v>
      </c>
      <c r="AJ94" s="119" t="b">
        <f t="shared" ref="AJ94:AJ113" si="225">IF($E94="4C2X",IF(Z94&gt;LARGE($Z94:$AE94,3),TRUE),IF($E94="4C1X",IF(Z94&gt;LARGE($Z94:$AE94,2),TRUE),IF($E94="Best 5",IF(Z94&gt;LARGE($V94:$AE94,6),TRUE),IF($E94="Best 6",IF(Z94&gt;LARGE($V94:$AE94,7),TRUE)))))</f>
        <v>0</v>
      </c>
      <c r="AK94" s="119" t="b">
        <f t="shared" ref="AK94:AK113" si="226">IF($E94="4C2X",IF(AA94&gt;LARGE($Z94:$AE94,3),TRUE),IF($E94="4C1X",IF(AA94&gt;LARGE($Z94:$AE94,2),TRUE),IF($E94="Best 5",IF(AA94&gt;LARGE($V94:$AE94,6),TRUE),IF($E94="Best 6",IF(AA94&gt;LARGE($V94:$AE94,7),TRUE)))))</f>
        <v>0</v>
      </c>
      <c r="AL94" s="119" t="b">
        <f t="shared" ref="AL94:AL113" si="227">IF($E94="4C2X",IF(AB94&gt;LARGE($Z94:$AE94,3),TRUE),IF($E94="4C1X",IF(AB94&gt;LARGE($Z94:$AE94,2),TRUE),IF($E94="Best 5",IF(AB94&gt;LARGE($V94:$AE94,6),TRUE),IF($E94="Best 6",IF(AB94&gt;LARGE($V94:$AE94,7),TRUE)))))</f>
        <v>0</v>
      </c>
      <c r="AM94" s="119" t="b">
        <f t="shared" ref="AM94:AM113" si="228">IF($E94="4C2X",IF(AC94&gt;LARGE($Z94:$AE94,3),TRUE),IF($E94="4C1X",IF(AC94&gt;LARGE($Z94:$AE94,2),TRUE),IF($E94="Best 5",IF(AC94&gt;LARGE($V94:$AE94,6),TRUE),IF($E94="Best 6",IF(AC94&gt;LARGE($V94:$AE94,7),TRUE)))))</f>
        <v>1</v>
      </c>
      <c r="AN94" s="119" t="b">
        <f t="shared" ref="AN94:AN113" si="229">IF($E94="4C2X",IF(AD94&gt;LARGE($Z94:$AE94,3),TRUE),IF($E94="4C1X",IF(AD94&gt;LARGE($Z94:$AE94,2),TRUE),IF($E94="Best 5",IF(AD94&gt;LARGE($V94:$AE94,6),TRUE),IF($E94="Best 6",IF(AD94&gt;LARGE($V94:$AE94,7),TRUE)))))</f>
        <v>1</v>
      </c>
      <c r="AO94" s="119" t="b">
        <f t="shared" ref="AO94:AO113" si="230">IF($H94="E",IF($E94="4C2X",IF(AE94&gt;LARGE($Z94:$AE94,3),TRUE),IF($E94="4C1X",IF(AE94&gt;LARGE($Z94:$AE94,2),TRUE),IF($E94="Best 5",IF(AE94&gt;LARGE($V94:$AE94,6),TRUE),IF($E94="Best 6",IF(AE94&gt;LARGE($V94:$AE94,7),TRUE))))),FALSE)</f>
        <v>0</v>
      </c>
      <c r="AQ94" s="2"/>
      <c r="AR94" s="2"/>
      <c r="AS94" s="2"/>
    </row>
    <row r="95" spans="1:62">
      <c r="A95" s="119" t="str">
        <f>'Reference Score Calculation'!A72</f>
        <v>JS2060</v>
      </c>
      <c r="B95" s="119" t="str">
        <f>'Reference Score Calculation'!A72</f>
        <v>JS2060</v>
      </c>
      <c r="C95" s="132" t="str">
        <f>'Reference Score Calculation'!D72</f>
        <v>文學士(榮譽) / 音樂學士(榮譽) (音樂 / 創意產業)</v>
      </c>
      <c r="D95" s="21"/>
      <c r="E95" s="369" t="s">
        <v>815</v>
      </c>
      <c r="F95" s="369"/>
      <c r="G95" s="119" t="str">
        <f>入學要求!AB81</f>
        <v>v</v>
      </c>
      <c r="H95" s="119" t="str">
        <f>入學要求!AC81</f>
        <v>C</v>
      </c>
      <c r="I95" s="119" t="str">
        <f>入學要求!AD81</f>
        <v>v</v>
      </c>
      <c r="J95" s="119">
        <f t="shared" si="220"/>
        <v>2.6000000000000001E-9</v>
      </c>
      <c r="K95" s="119">
        <v>1</v>
      </c>
      <c r="L95" s="119">
        <v>1</v>
      </c>
      <c r="M95" s="119">
        <v>1</v>
      </c>
      <c r="N95" s="119">
        <v>1</v>
      </c>
      <c r="O95" s="119">
        <v>1</v>
      </c>
      <c r="P95" s="119">
        <v>1</v>
      </c>
      <c r="Q95" s="119">
        <v>1</v>
      </c>
      <c r="R95" s="119">
        <v>1</v>
      </c>
      <c r="S95" s="119">
        <v>1</v>
      </c>
      <c r="T95" s="119">
        <v>1</v>
      </c>
      <c r="V95" s="119">
        <f t="shared" si="206"/>
        <v>4.0000000000000001E-10</v>
      </c>
      <c r="W95" s="119">
        <f t="shared" si="207"/>
        <v>2.0000000000000001E-10</v>
      </c>
      <c r="X95" s="119">
        <f t="shared" si="208"/>
        <v>3E-10</v>
      </c>
      <c r="Y95" s="119">
        <f t="shared" si="209"/>
        <v>0</v>
      </c>
      <c r="Z95" s="119">
        <f t="shared" si="210"/>
        <v>5.0000000000000003E-10</v>
      </c>
      <c r="AA95" s="119">
        <f t="shared" si="211"/>
        <v>6E-10</v>
      </c>
      <c r="AB95" s="119">
        <f t="shared" si="212"/>
        <v>6.9999999999999996E-10</v>
      </c>
      <c r="AC95" s="119">
        <f t="shared" si="213"/>
        <v>8.0000000000000003E-10</v>
      </c>
      <c r="AD95" s="119">
        <f t="shared" si="214"/>
        <v>8.9999999999999999E-10</v>
      </c>
      <c r="AE95" s="119">
        <f t="shared" si="215"/>
        <v>0</v>
      </c>
      <c r="AF95" s="119" t="b">
        <f t="shared" si="221"/>
        <v>1</v>
      </c>
      <c r="AG95" s="119" t="b">
        <f t="shared" si="222"/>
        <v>1</v>
      </c>
      <c r="AH95" s="119" t="b">
        <f t="shared" si="223"/>
        <v>1</v>
      </c>
      <c r="AI95" s="119" t="b">
        <f t="shared" si="224"/>
        <v>1</v>
      </c>
      <c r="AJ95" s="119" t="b">
        <f t="shared" si="225"/>
        <v>0</v>
      </c>
      <c r="AK95" s="119" t="b">
        <f t="shared" si="226"/>
        <v>0</v>
      </c>
      <c r="AL95" s="119" t="b">
        <f t="shared" si="227"/>
        <v>0</v>
      </c>
      <c r="AM95" s="119" t="b">
        <f t="shared" si="228"/>
        <v>1</v>
      </c>
      <c r="AN95" s="119" t="b">
        <f t="shared" si="229"/>
        <v>1</v>
      </c>
      <c r="AO95" s="119" t="b">
        <f t="shared" si="230"/>
        <v>0</v>
      </c>
      <c r="AQ95" s="2"/>
      <c r="AR95" s="2"/>
      <c r="AS95" s="2"/>
    </row>
    <row r="96" spans="1:62">
      <c r="A96" s="119" t="str">
        <f>'Reference Score Calculation'!A73</f>
        <v>JS2110</v>
      </c>
      <c r="B96" s="119" t="str">
        <f>'Reference Score Calculation'!A73</f>
        <v>JS2110</v>
      </c>
      <c r="C96" s="132" t="str">
        <f>'Reference Score Calculation'!D73</f>
        <v>工商管理學士(榮譽) - 會計學專修</v>
      </c>
      <c r="D96" s="21"/>
      <c r="E96" s="408" t="s">
        <v>828</v>
      </c>
      <c r="F96" s="408"/>
      <c r="G96" s="119" t="str">
        <f>入學要求!AB82</f>
        <v>v</v>
      </c>
      <c r="H96" s="119" t="str">
        <f>入學要求!AC82</f>
        <v>NO</v>
      </c>
      <c r="I96" s="119" t="str">
        <f>入學要求!AD82</f>
        <v>v</v>
      </c>
      <c r="J96" s="119">
        <f t="shared" si="220"/>
        <v>3.9000000000000002E-9</v>
      </c>
      <c r="K96" s="119">
        <v>1</v>
      </c>
      <c r="L96" s="119">
        <v>1.2</v>
      </c>
      <c r="M96" s="119">
        <v>1</v>
      </c>
      <c r="N96" s="119">
        <v>1</v>
      </c>
      <c r="O96" s="119">
        <v>1</v>
      </c>
      <c r="P96" s="119">
        <v>1</v>
      </c>
      <c r="Q96" s="119">
        <v>1</v>
      </c>
      <c r="R96" s="119">
        <v>1</v>
      </c>
      <c r="S96" s="119">
        <v>1</v>
      </c>
      <c r="T96" s="119">
        <v>1</v>
      </c>
      <c r="V96" s="119">
        <f t="shared" si="206"/>
        <v>4.0000000000000001E-10</v>
      </c>
      <c r="W96" s="119">
        <f t="shared" si="207"/>
        <v>2.4E-10</v>
      </c>
      <c r="X96" s="119">
        <f t="shared" si="208"/>
        <v>3E-10</v>
      </c>
      <c r="Y96" s="119">
        <f t="shared" si="209"/>
        <v>0</v>
      </c>
      <c r="Z96" s="119">
        <f t="shared" si="210"/>
        <v>5.0000000000000003E-10</v>
      </c>
      <c r="AA96" s="119">
        <f t="shared" si="211"/>
        <v>6E-10</v>
      </c>
      <c r="AB96" s="119">
        <f t="shared" si="212"/>
        <v>6.9999999999999996E-10</v>
      </c>
      <c r="AC96" s="119">
        <f t="shared" si="213"/>
        <v>8.0000000000000003E-10</v>
      </c>
      <c r="AD96" s="119">
        <f t="shared" si="214"/>
        <v>8.9999999999999999E-10</v>
      </c>
      <c r="AE96" s="119">
        <f t="shared" si="215"/>
        <v>0</v>
      </c>
      <c r="AF96" s="119" t="b">
        <f t="shared" si="221"/>
        <v>1</v>
      </c>
      <c r="AG96" s="119" t="b">
        <f t="shared" si="222"/>
        <v>0</v>
      </c>
      <c r="AH96" s="119" t="b">
        <f t="shared" si="223"/>
        <v>0</v>
      </c>
      <c r="AI96" s="119" t="b">
        <f t="shared" si="224"/>
        <v>0</v>
      </c>
      <c r="AJ96" s="119" t="b">
        <f t="shared" si="225"/>
        <v>1</v>
      </c>
      <c r="AK96" s="119" t="b">
        <f t="shared" si="226"/>
        <v>1</v>
      </c>
      <c r="AL96" s="119" t="b">
        <f t="shared" si="227"/>
        <v>1</v>
      </c>
      <c r="AM96" s="119" t="b">
        <f t="shared" si="228"/>
        <v>1</v>
      </c>
      <c r="AN96" s="119" t="b">
        <f t="shared" si="229"/>
        <v>1</v>
      </c>
      <c r="AO96" s="119" t="b">
        <f t="shared" si="230"/>
        <v>0</v>
      </c>
      <c r="AQ96" s="2"/>
      <c r="AR96" s="2"/>
      <c r="AS96" s="2"/>
    </row>
    <row r="97" spans="1:79">
      <c r="A97" s="119" t="str">
        <f>'Reference Score Calculation'!A74</f>
        <v>JS2120</v>
      </c>
      <c r="B97" s="119" t="str">
        <f>'Reference Score Calculation'!A74</f>
        <v>JS2120</v>
      </c>
      <c r="C97" s="132" t="str">
        <f>'Reference Score Calculation'!D74</f>
        <v>工商管理學士(榮譽)</v>
      </c>
      <c r="D97" s="21"/>
      <c r="E97" s="408" t="s">
        <v>828</v>
      </c>
      <c r="F97" s="408"/>
      <c r="G97" s="119" t="str">
        <f>入學要求!AB83</f>
        <v>v</v>
      </c>
      <c r="H97" s="119" t="str">
        <f>入學要求!AC83</f>
        <v>NO</v>
      </c>
      <c r="I97" s="119" t="str">
        <f>入學要求!AD83</f>
        <v>v</v>
      </c>
      <c r="J97" s="119">
        <f t="shared" si="220"/>
        <v>3.9000000000000002E-9</v>
      </c>
      <c r="K97" s="119">
        <v>1</v>
      </c>
      <c r="L97" s="119">
        <v>1.2</v>
      </c>
      <c r="M97" s="119">
        <v>1</v>
      </c>
      <c r="N97" s="119">
        <v>1</v>
      </c>
      <c r="O97" s="119">
        <v>1</v>
      </c>
      <c r="P97" s="119">
        <v>1</v>
      </c>
      <c r="Q97" s="119">
        <v>1</v>
      </c>
      <c r="R97" s="119">
        <v>1</v>
      </c>
      <c r="S97" s="119">
        <v>1</v>
      </c>
      <c r="T97" s="119">
        <v>1</v>
      </c>
      <c r="V97" s="119">
        <f t="shared" si="206"/>
        <v>4.0000000000000001E-10</v>
      </c>
      <c r="W97" s="119">
        <f t="shared" si="207"/>
        <v>2.4E-10</v>
      </c>
      <c r="X97" s="119">
        <f t="shared" si="208"/>
        <v>3E-10</v>
      </c>
      <c r="Y97" s="119">
        <f t="shared" si="209"/>
        <v>0</v>
      </c>
      <c r="Z97" s="119">
        <f t="shared" si="210"/>
        <v>5.0000000000000003E-10</v>
      </c>
      <c r="AA97" s="119">
        <f t="shared" si="211"/>
        <v>6E-10</v>
      </c>
      <c r="AB97" s="119">
        <f t="shared" si="212"/>
        <v>6.9999999999999996E-10</v>
      </c>
      <c r="AC97" s="119">
        <f t="shared" si="213"/>
        <v>8.0000000000000003E-10</v>
      </c>
      <c r="AD97" s="119">
        <f t="shared" si="214"/>
        <v>8.9999999999999999E-10</v>
      </c>
      <c r="AE97" s="119">
        <f t="shared" si="215"/>
        <v>0</v>
      </c>
      <c r="AF97" s="119" t="b">
        <f t="shared" si="221"/>
        <v>1</v>
      </c>
      <c r="AG97" s="119" t="b">
        <f t="shared" si="222"/>
        <v>0</v>
      </c>
      <c r="AH97" s="119" t="b">
        <f t="shared" si="223"/>
        <v>0</v>
      </c>
      <c r="AI97" s="119" t="b">
        <f t="shared" si="224"/>
        <v>0</v>
      </c>
      <c r="AJ97" s="119" t="b">
        <f t="shared" si="225"/>
        <v>1</v>
      </c>
      <c r="AK97" s="119" t="b">
        <f t="shared" si="226"/>
        <v>1</v>
      </c>
      <c r="AL97" s="119" t="b">
        <f t="shared" si="227"/>
        <v>1</v>
      </c>
      <c r="AM97" s="119" t="b">
        <f t="shared" si="228"/>
        <v>1</v>
      </c>
      <c r="AN97" s="119" t="b">
        <f t="shared" si="229"/>
        <v>1</v>
      </c>
      <c r="AO97" s="119" t="b">
        <f t="shared" si="230"/>
        <v>0</v>
      </c>
      <c r="AQ97" s="2"/>
      <c r="AR97" s="2"/>
      <c r="AS97" s="2"/>
    </row>
    <row r="98" spans="1:79">
      <c r="A98" s="119" t="str">
        <f>'Reference Score Calculation'!A75</f>
        <v>JS2310</v>
      </c>
      <c r="B98" s="119" t="str">
        <f>'Reference Score Calculation'!A75</f>
        <v>JS2310</v>
      </c>
      <c r="C98" s="132" t="str">
        <f>'Reference Score Calculation'!D75</f>
        <v>傳理學學士(榮譽) (新聞與數碼媒體 / 公關及廣告)</v>
      </c>
      <c r="D98" s="21"/>
      <c r="E98" s="408" t="s">
        <v>889</v>
      </c>
      <c r="F98" s="408"/>
      <c r="G98" s="119" t="str">
        <f>入學要求!AB84</f>
        <v>v</v>
      </c>
      <c r="H98" s="119" t="str">
        <f>入學要求!AC84</f>
        <v>C</v>
      </c>
      <c r="I98" s="119" t="str">
        <f>入學要求!AD84</f>
        <v>v</v>
      </c>
      <c r="J98" s="119">
        <f t="shared" si="220"/>
        <v>3.0000000000000004E-9</v>
      </c>
      <c r="K98" s="119">
        <v>1.25</v>
      </c>
      <c r="L98" s="119">
        <v>1.25</v>
      </c>
      <c r="M98" s="119">
        <v>1</v>
      </c>
      <c r="N98" s="119">
        <v>0</v>
      </c>
      <c r="O98" s="119">
        <v>1</v>
      </c>
      <c r="P98" s="119">
        <v>1</v>
      </c>
      <c r="Q98" s="119">
        <v>1</v>
      </c>
      <c r="R98" s="119">
        <v>1</v>
      </c>
      <c r="S98" s="119">
        <v>1</v>
      </c>
      <c r="T98" s="119">
        <v>1</v>
      </c>
      <c r="V98" s="119">
        <f t="shared" si="206"/>
        <v>5.0000000000000003E-10</v>
      </c>
      <c r="W98" s="119">
        <f t="shared" si="207"/>
        <v>2.5000000000000002E-10</v>
      </c>
      <c r="X98" s="119">
        <f t="shared" si="208"/>
        <v>3E-10</v>
      </c>
      <c r="Y98" s="119">
        <f t="shared" si="209"/>
        <v>0</v>
      </c>
      <c r="Z98" s="119">
        <f t="shared" si="210"/>
        <v>5.0000000000000003E-10</v>
      </c>
      <c r="AA98" s="119">
        <f t="shared" si="211"/>
        <v>6E-10</v>
      </c>
      <c r="AB98" s="119">
        <f t="shared" si="212"/>
        <v>6.9999999999999996E-10</v>
      </c>
      <c r="AC98" s="119">
        <f t="shared" si="213"/>
        <v>8.0000000000000003E-10</v>
      </c>
      <c r="AD98" s="119">
        <f t="shared" si="214"/>
        <v>8.9999999999999999E-10</v>
      </c>
      <c r="AE98" s="119">
        <f t="shared" si="215"/>
        <v>0</v>
      </c>
      <c r="AF98" s="119" t="b">
        <f t="shared" si="221"/>
        <v>0</v>
      </c>
      <c r="AG98" s="119" t="b">
        <f t="shared" si="222"/>
        <v>0</v>
      </c>
      <c r="AH98" s="119" t="b">
        <f t="shared" si="223"/>
        <v>0</v>
      </c>
      <c r="AI98" s="119" t="b">
        <f t="shared" si="224"/>
        <v>0</v>
      </c>
      <c r="AJ98" s="119" t="b">
        <f t="shared" si="225"/>
        <v>0</v>
      </c>
      <c r="AK98" s="119" t="b">
        <f t="shared" si="226"/>
        <v>1</v>
      </c>
      <c r="AL98" s="119" t="b">
        <f t="shared" si="227"/>
        <v>1</v>
      </c>
      <c r="AM98" s="119" t="b">
        <f t="shared" si="228"/>
        <v>1</v>
      </c>
      <c r="AN98" s="119" t="b">
        <f t="shared" si="229"/>
        <v>1</v>
      </c>
      <c r="AO98" s="119" t="b">
        <f t="shared" si="230"/>
        <v>0</v>
      </c>
      <c r="AQ98" s="2"/>
      <c r="AR98" s="2"/>
      <c r="AS98" s="2"/>
      <c r="AW98" s="398" t="s">
        <v>2948</v>
      </c>
    </row>
    <row r="99" spans="1:79">
      <c r="A99" s="119" t="str">
        <f>'Reference Score Calculation'!A76</f>
        <v>JS2330</v>
      </c>
      <c r="B99" s="119" t="str">
        <f>'Reference Score Calculation'!A76</f>
        <v>JS2330</v>
      </c>
      <c r="C99" s="132" t="str">
        <f>'Reference Score Calculation'!D76</f>
        <v>電影電視文學士(榮譽)</v>
      </c>
      <c r="D99" s="21"/>
      <c r="E99" s="408" t="s">
        <v>889</v>
      </c>
      <c r="F99" s="408"/>
      <c r="G99" s="119" t="str">
        <f>入學要求!AB85</f>
        <v>v</v>
      </c>
      <c r="H99" s="119" t="str">
        <f>入學要求!AC85</f>
        <v>C</v>
      </c>
      <c r="I99" s="119" t="str">
        <f>入學要求!AD85</f>
        <v>v</v>
      </c>
      <c r="J99" s="119">
        <f t="shared" si="220"/>
        <v>3.0000000000000004E-9</v>
      </c>
      <c r="K99" s="119">
        <v>1.25</v>
      </c>
      <c r="L99" s="119">
        <v>1.25</v>
      </c>
      <c r="M99" s="119">
        <v>1</v>
      </c>
      <c r="N99" s="119">
        <v>0</v>
      </c>
      <c r="O99" s="119">
        <v>1</v>
      </c>
      <c r="P99" s="119">
        <v>1</v>
      </c>
      <c r="Q99" s="119">
        <v>1</v>
      </c>
      <c r="R99" s="119">
        <v>1</v>
      </c>
      <c r="S99" s="119">
        <v>1</v>
      </c>
      <c r="T99" s="119">
        <v>1</v>
      </c>
      <c r="V99" s="119">
        <f t="shared" si="206"/>
        <v>5.0000000000000003E-10</v>
      </c>
      <c r="W99" s="119">
        <f t="shared" si="207"/>
        <v>2.5000000000000002E-10</v>
      </c>
      <c r="X99" s="119">
        <f t="shared" si="208"/>
        <v>3E-10</v>
      </c>
      <c r="Y99" s="119">
        <f t="shared" si="209"/>
        <v>0</v>
      </c>
      <c r="Z99" s="119">
        <f t="shared" si="210"/>
        <v>5.0000000000000003E-10</v>
      </c>
      <c r="AA99" s="119">
        <f t="shared" si="211"/>
        <v>6E-10</v>
      </c>
      <c r="AB99" s="119">
        <f t="shared" si="212"/>
        <v>6.9999999999999996E-10</v>
      </c>
      <c r="AC99" s="119">
        <f t="shared" si="213"/>
        <v>8.0000000000000003E-10</v>
      </c>
      <c r="AD99" s="119">
        <f t="shared" si="214"/>
        <v>8.9999999999999999E-10</v>
      </c>
      <c r="AE99" s="119">
        <f t="shared" si="215"/>
        <v>0</v>
      </c>
      <c r="AF99" s="119" t="b">
        <f t="shared" si="221"/>
        <v>0</v>
      </c>
      <c r="AG99" s="119" t="b">
        <f t="shared" si="222"/>
        <v>0</v>
      </c>
      <c r="AH99" s="119" t="b">
        <f t="shared" si="223"/>
        <v>0</v>
      </c>
      <c r="AI99" s="119" t="b">
        <f t="shared" si="224"/>
        <v>0</v>
      </c>
      <c r="AJ99" s="119" t="b">
        <f t="shared" si="225"/>
        <v>0</v>
      </c>
      <c r="AK99" s="119" t="b">
        <f t="shared" si="226"/>
        <v>1</v>
      </c>
      <c r="AL99" s="119" t="b">
        <f t="shared" si="227"/>
        <v>1</v>
      </c>
      <c r="AM99" s="119" t="b">
        <f t="shared" si="228"/>
        <v>1</v>
      </c>
      <c r="AN99" s="119" t="b">
        <f t="shared" si="229"/>
        <v>1</v>
      </c>
      <c r="AO99" s="119" t="b">
        <f t="shared" si="230"/>
        <v>0</v>
      </c>
      <c r="AQ99" s="2"/>
      <c r="AR99" s="2"/>
      <c r="AS99" s="2"/>
      <c r="AW99" s="417" t="s">
        <v>2949</v>
      </c>
      <c r="AX99" s="416"/>
    </row>
    <row r="100" spans="1:79">
      <c r="A100" s="119" t="str">
        <f>'Reference Score Calculation'!A77</f>
        <v>JS2340</v>
      </c>
      <c r="B100" s="119" t="str">
        <f>'Reference Score Calculation'!A77</f>
        <v>JS2340</v>
      </c>
      <c r="C100" s="132" t="str">
        <f>'Reference Score Calculation'!D77</f>
        <v>環球螢幕演技藝術學士(榮譽)</v>
      </c>
      <c r="D100" s="21"/>
      <c r="E100" s="369" t="s">
        <v>889</v>
      </c>
      <c r="F100" s="369"/>
      <c r="G100" s="119" t="str">
        <f>入學要求!AB86</f>
        <v>v</v>
      </c>
      <c r="H100" s="119" t="str">
        <f>入學要求!AC86</f>
        <v>C</v>
      </c>
      <c r="I100" s="119" t="str">
        <f>入學要求!AD86</f>
        <v>v</v>
      </c>
      <c r="J100" s="119">
        <f t="shared" si="220"/>
        <v>3.4999999999999999E-9</v>
      </c>
      <c r="K100" s="119">
        <v>1</v>
      </c>
      <c r="L100" s="119">
        <v>1</v>
      </c>
      <c r="M100" s="119">
        <v>1</v>
      </c>
      <c r="N100" s="119">
        <v>0</v>
      </c>
      <c r="O100" s="119">
        <v>1</v>
      </c>
      <c r="P100" s="119">
        <v>1</v>
      </c>
      <c r="Q100" s="119">
        <v>1</v>
      </c>
      <c r="R100" s="119">
        <v>1</v>
      </c>
      <c r="S100" s="119">
        <v>1</v>
      </c>
      <c r="T100" s="119">
        <v>1</v>
      </c>
      <c r="V100" s="119">
        <f t="shared" si="206"/>
        <v>4.0000000000000001E-10</v>
      </c>
      <c r="W100" s="119">
        <f t="shared" si="207"/>
        <v>2.0000000000000001E-10</v>
      </c>
      <c r="X100" s="119">
        <f t="shared" si="208"/>
        <v>3E-10</v>
      </c>
      <c r="Y100" s="119">
        <f t="shared" si="209"/>
        <v>0</v>
      </c>
      <c r="Z100" s="119">
        <f t="shared" si="210"/>
        <v>5.0000000000000003E-10</v>
      </c>
      <c r="AA100" s="119">
        <f t="shared" si="211"/>
        <v>6E-10</v>
      </c>
      <c r="AB100" s="119">
        <f t="shared" si="212"/>
        <v>6.9999999999999996E-10</v>
      </c>
      <c r="AC100" s="119">
        <f t="shared" si="213"/>
        <v>8.0000000000000003E-10</v>
      </c>
      <c r="AD100" s="119">
        <f t="shared" si="214"/>
        <v>8.9999999999999999E-10</v>
      </c>
      <c r="AE100" s="119">
        <f t="shared" si="215"/>
        <v>0</v>
      </c>
      <c r="AF100" s="119" t="b">
        <f t="shared" si="221"/>
        <v>0</v>
      </c>
      <c r="AG100" s="119" t="b">
        <f t="shared" si="222"/>
        <v>0</v>
      </c>
      <c r="AH100" s="119" t="b">
        <f t="shared" si="223"/>
        <v>0</v>
      </c>
      <c r="AI100" s="119" t="b">
        <f t="shared" si="224"/>
        <v>0</v>
      </c>
      <c r="AJ100" s="119" t="b">
        <f t="shared" si="225"/>
        <v>1</v>
      </c>
      <c r="AK100" s="119" t="b">
        <f t="shared" si="226"/>
        <v>1</v>
      </c>
      <c r="AL100" s="119" t="b">
        <f t="shared" si="227"/>
        <v>1</v>
      </c>
      <c r="AM100" s="119" t="b">
        <f t="shared" si="228"/>
        <v>1</v>
      </c>
      <c r="AN100" s="119" t="b">
        <f t="shared" si="229"/>
        <v>1</v>
      </c>
      <c r="AO100" s="119" t="b">
        <f t="shared" si="230"/>
        <v>0</v>
      </c>
      <c r="AQ100" s="2"/>
      <c r="AR100" s="2"/>
      <c r="AS100" s="2"/>
      <c r="AW100" s="119" t="s">
        <v>321</v>
      </c>
    </row>
    <row r="101" spans="1:79">
      <c r="A101" s="119" t="str">
        <f>'Reference Score Calculation'!A78</f>
        <v>JS2370</v>
      </c>
      <c r="B101" s="119" t="str">
        <f>'Reference Score Calculation'!A78</f>
        <v>JS2370</v>
      </c>
      <c r="C101" s="132" t="str">
        <f>'Reference Score Calculation'!D78</f>
        <v>傳理學學士(榮譽) - 遊戲設計與動畫主修</v>
      </c>
      <c r="D101" s="21"/>
      <c r="E101" s="408" t="s">
        <v>889</v>
      </c>
      <c r="F101" s="408"/>
      <c r="G101" s="119" t="str">
        <f>入學要求!AB87</f>
        <v>v</v>
      </c>
      <c r="H101" s="119" t="str">
        <f>入學要求!AC87</f>
        <v>C</v>
      </c>
      <c r="I101" s="119" t="str">
        <f>入學要求!AD87</f>
        <v>v</v>
      </c>
      <c r="J101" s="119">
        <f t="shared" si="220"/>
        <v>3.4999999999999999E-9</v>
      </c>
      <c r="K101" s="119">
        <v>1</v>
      </c>
      <c r="L101" s="119">
        <v>1.25</v>
      </c>
      <c r="M101" s="119">
        <v>1.1000000000000001</v>
      </c>
      <c r="N101" s="119">
        <v>0</v>
      </c>
      <c r="O101" s="119">
        <v>1</v>
      </c>
      <c r="P101" s="119">
        <f>IF(P1="視覺藝術",1.15,1)</f>
        <v>1</v>
      </c>
      <c r="Q101" s="119">
        <f>IF(Q1="視覺藝術",1.15,1)</f>
        <v>1</v>
      </c>
      <c r="R101" s="119">
        <f>IF(R1="視覺藝術",1.15,1)</f>
        <v>1</v>
      </c>
      <c r="S101" s="119">
        <f>IF(S1="視覺藝術",1.15,1)</f>
        <v>1</v>
      </c>
      <c r="T101" s="119">
        <v>1</v>
      </c>
      <c r="V101" s="119">
        <f t="shared" si="206"/>
        <v>4.0000000000000001E-10</v>
      </c>
      <c r="W101" s="119">
        <f t="shared" si="207"/>
        <v>2.5000000000000002E-10</v>
      </c>
      <c r="X101" s="119">
        <f t="shared" si="208"/>
        <v>3.3000000000000005E-10</v>
      </c>
      <c r="Y101" s="119">
        <f t="shared" si="209"/>
        <v>0</v>
      </c>
      <c r="Z101" s="119">
        <f t="shared" si="210"/>
        <v>5.0000000000000003E-10</v>
      </c>
      <c r="AA101" s="119">
        <f t="shared" si="211"/>
        <v>6E-10</v>
      </c>
      <c r="AB101" s="119">
        <f t="shared" si="212"/>
        <v>6.9999999999999996E-10</v>
      </c>
      <c r="AC101" s="119">
        <f t="shared" si="213"/>
        <v>8.0000000000000003E-10</v>
      </c>
      <c r="AD101" s="119">
        <f t="shared" si="214"/>
        <v>8.9999999999999999E-10</v>
      </c>
      <c r="AE101" s="119">
        <f t="shared" si="215"/>
        <v>0</v>
      </c>
      <c r="AF101" s="119" t="b">
        <f t="shared" si="221"/>
        <v>0</v>
      </c>
      <c r="AG101" s="119" t="b">
        <f t="shared" si="222"/>
        <v>0</v>
      </c>
      <c r="AH101" s="119" t="b">
        <f t="shared" si="223"/>
        <v>0</v>
      </c>
      <c r="AI101" s="119" t="b">
        <f t="shared" si="224"/>
        <v>0</v>
      </c>
      <c r="AJ101" s="119" t="b">
        <f t="shared" si="225"/>
        <v>1</v>
      </c>
      <c r="AK101" s="119" t="b">
        <f t="shared" si="226"/>
        <v>1</v>
      </c>
      <c r="AL101" s="119" t="b">
        <f t="shared" si="227"/>
        <v>1</v>
      </c>
      <c r="AM101" s="119" t="b">
        <f t="shared" si="228"/>
        <v>1</v>
      </c>
      <c r="AN101" s="119" t="b">
        <f t="shared" si="229"/>
        <v>1</v>
      </c>
      <c r="AO101" s="119" t="b">
        <f t="shared" si="230"/>
        <v>0</v>
      </c>
      <c r="AQ101" s="2"/>
      <c r="AR101" s="2"/>
      <c r="AS101" s="2"/>
    </row>
    <row r="102" spans="1:79">
      <c r="A102" s="119" t="str">
        <f>'Reference Score Calculation'!A79</f>
        <v>JS2410</v>
      </c>
      <c r="B102" s="119" t="str">
        <f>'Reference Score Calculation'!A79</f>
        <v>JS2410</v>
      </c>
      <c r="C102" s="132" t="str">
        <f>'Reference Score Calculation'!D79</f>
        <v>中醫學學士及生物醫學理學士(榮譽)</v>
      </c>
      <c r="D102" s="21"/>
      <c r="E102" s="397" t="s">
        <v>889</v>
      </c>
      <c r="F102" s="397"/>
      <c r="G102" s="119" t="str">
        <f>入學要求!AB88</f>
        <v>v</v>
      </c>
      <c r="H102" s="119" t="str">
        <f>入學要求!AC88</f>
        <v>NO</v>
      </c>
      <c r="I102" s="119" t="str">
        <f>入學要求!AD88</f>
        <v>NO</v>
      </c>
      <c r="J102" s="119">
        <f t="shared" si="220"/>
        <v>3.6E-9</v>
      </c>
      <c r="K102" s="119">
        <v>1.5</v>
      </c>
      <c r="L102" s="119">
        <v>1.5</v>
      </c>
      <c r="M102" s="119">
        <v>1</v>
      </c>
      <c r="N102" s="119">
        <v>0</v>
      </c>
      <c r="O102" s="119">
        <v>1</v>
      </c>
      <c r="P102" s="119">
        <f>IF(P1="生物",1.5,IF(P1="化學",1.25,1))</f>
        <v>1</v>
      </c>
      <c r="Q102" s="119">
        <f>IF(Q1="生物",1.5,IF(Q1="化學",1.25,1))</f>
        <v>1</v>
      </c>
      <c r="R102" s="119">
        <f>IF(R1="生物",1.5,IF(R1="化學",1.25,1))</f>
        <v>1</v>
      </c>
      <c r="S102" s="119">
        <f>IF(S1="生物",1.5,IF(S1="化學",1.25,1))</f>
        <v>1</v>
      </c>
      <c r="T102" s="119">
        <v>1</v>
      </c>
      <c r="V102" s="119">
        <f t="shared" si="206"/>
        <v>6E-10</v>
      </c>
      <c r="W102" s="119">
        <f t="shared" si="207"/>
        <v>3E-10</v>
      </c>
      <c r="X102" s="119">
        <f t="shared" si="208"/>
        <v>3E-10</v>
      </c>
      <c r="Y102" s="119">
        <f t="shared" si="209"/>
        <v>0</v>
      </c>
      <c r="Z102" s="119">
        <f t="shared" si="210"/>
        <v>5.0000000000000003E-10</v>
      </c>
      <c r="AA102" s="119">
        <f t="shared" si="211"/>
        <v>6E-10</v>
      </c>
      <c r="AB102" s="119">
        <f t="shared" si="212"/>
        <v>6.9999999999999996E-10</v>
      </c>
      <c r="AC102" s="119">
        <f t="shared" si="213"/>
        <v>8.0000000000000003E-10</v>
      </c>
      <c r="AD102" s="119">
        <f t="shared" si="214"/>
        <v>8.9999999999999999E-10</v>
      </c>
      <c r="AE102" s="119">
        <f t="shared" si="215"/>
        <v>0</v>
      </c>
      <c r="AF102" s="119" t="b">
        <f t="shared" si="221"/>
        <v>1</v>
      </c>
      <c r="AG102" s="119" t="b">
        <f t="shared" si="222"/>
        <v>0</v>
      </c>
      <c r="AH102" s="119" t="b">
        <f t="shared" si="223"/>
        <v>0</v>
      </c>
      <c r="AI102" s="119" t="b">
        <f t="shared" si="224"/>
        <v>0</v>
      </c>
      <c r="AJ102" s="119" t="b">
        <f t="shared" si="225"/>
        <v>0</v>
      </c>
      <c r="AK102" s="119" t="b">
        <f t="shared" si="226"/>
        <v>1</v>
      </c>
      <c r="AL102" s="119" t="b">
        <f t="shared" si="227"/>
        <v>1</v>
      </c>
      <c r="AM102" s="119" t="b">
        <f t="shared" si="228"/>
        <v>1</v>
      </c>
      <c r="AN102" s="119" t="b">
        <f t="shared" si="229"/>
        <v>1</v>
      </c>
      <c r="AO102" s="119" t="b">
        <f t="shared" si="230"/>
        <v>0</v>
      </c>
      <c r="AQ102" s="2"/>
      <c r="AR102" s="2"/>
      <c r="AS102" s="2"/>
      <c r="AW102" s="398" t="s">
        <v>2950</v>
      </c>
    </row>
    <row r="103" spans="1:79">
      <c r="A103" s="119" t="str">
        <f>'Reference Score Calculation'!A80</f>
        <v>JS2420</v>
      </c>
      <c r="B103" s="119" t="str">
        <f>'Reference Score Calculation'!A80</f>
        <v>JS2420</v>
      </c>
      <c r="C103" s="132" t="str">
        <f>'Reference Score Calculation'!D80</f>
        <v>中藥學學士(榮譽)</v>
      </c>
      <c r="D103" s="21"/>
      <c r="E103" s="397" t="s">
        <v>889</v>
      </c>
      <c r="F103" s="397"/>
      <c r="G103" s="119" t="str">
        <f>入學要求!AB89</f>
        <v>v</v>
      </c>
      <c r="H103" s="119" t="str">
        <f>入學要求!AC89</f>
        <v>NO</v>
      </c>
      <c r="I103" s="119" t="str">
        <f>入學要求!AD89</f>
        <v>NO</v>
      </c>
      <c r="J103" s="119">
        <f t="shared" si="220"/>
        <v>3.4999999999999999E-9</v>
      </c>
      <c r="K103" s="119">
        <v>1</v>
      </c>
      <c r="L103" s="119">
        <v>1.5</v>
      </c>
      <c r="M103" s="119">
        <v>1.25</v>
      </c>
      <c r="N103" s="119">
        <v>0</v>
      </c>
      <c r="O103" s="119">
        <v>1</v>
      </c>
      <c r="P103" s="119">
        <f>IF(P1="化學",1.5,IF(P1="生物",1.25,1))</f>
        <v>1</v>
      </c>
      <c r="Q103" s="119">
        <f>IF(Q1="化學",1.5,IF(Q1="生物",1.25,1))</f>
        <v>1</v>
      </c>
      <c r="R103" s="119">
        <f>IF(R1="化學",1.5,IF(R1="生物",1.25,1))</f>
        <v>1</v>
      </c>
      <c r="S103" s="119">
        <f>IF(S1="化學",1.5,IF(S1="生物",1.25,1))</f>
        <v>1</v>
      </c>
      <c r="T103" s="119">
        <v>1</v>
      </c>
      <c r="V103" s="119">
        <f t="shared" si="206"/>
        <v>4.0000000000000001E-10</v>
      </c>
      <c r="W103" s="119">
        <f t="shared" si="207"/>
        <v>3E-10</v>
      </c>
      <c r="X103" s="119">
        <f t="shared" si="208"/>
        <v>3.75E-10</v>
      </c>
      <c r="Y103" s="119">
        <f t="shared" si="209"/>
        <v>0</v>
      </c>
      <c r="Z103" s="119">
        <f t="shared" si="210"/>
        <v>5.0000000000000003E-10</v>
      </c>
      <c r="AA103" s="119">
        <f t="shared" si="211"/>
        <v>6E-10</v>
      </c>
      <c r="AB103" s="119">
        <f t="shared" si="212"/>
        <v>6.9999999999999996E-10</v>
      </c>
      <c r="AC103" s="119">
        <f t="shared" si="213"/>
        <v>8.0000000000000003E-10</v>
      </c>
      <c r="AD103" s="119">
        <f t="shared" si="214"/>
        <v>8.9999999999999999E-10</v>
      </c>
      <c r="AE103" s="119">
        <f t="shared" si="215"/>
        <v>0</v>
      </c>
      <c r="AF103" s="119" t="b">
        <f t="shared" si="221"/>
        <v>0</v>
      </c>
      <c r="AG103" s="119" t="b">
        <f t="shared" si="222"/>
        <v>0</v>
      </c>
      <c r="AH103" s="119" t="b">
        <f t="shared" si="223"/>
        <v>0</v>
      </c>
      <c r="AI103" s="119" t="b">
        <f t="shared" si="224"/>
        <v>0</v>
      </c>
      <c r="AJ103" s="119" t="b">
        <f t="shared" si="225"/>
        <v>1</v>
      </c>
      <c r="AK103" s="119" t="b">
        <f t="shared" si="226"/>
        <v>1</v>
      </c>
      <c r="AL103" s="119" t="b">
        <f t="shared" si="227"/>
        <v>1</v>
      </c>
      <c r="AM103" s="119" t="b">
        <f t="shared" si="228"/>
        <v>1</v>
      </c>
      <c r="AN103" s="119" t="b">
        <f t="shared" si="229"/>
        <v>1</v>
      </c>
      <c r="AO103" s="119" t="b">
        <f t="shared" si="230"/>
        <v>0</v>
      </c>
      <c r="AQ103" s="2"/>
      <c r="AR103" s="2"/>
      <c r="AS103" s="2"/>
      <c r="AW103" s="119" t="s">
        <v>2951</v>
      </c>
    </row>
    <row r="104" spans="1:79">
      <c r="A104" s="119" t="str">
        <f>'Reference Score Calculation'!A81</f>
        <v>JS2510</v>
      </c>
      <c r="B104" s="119" t="str">
        <f>'Reference Score Calculation'!A81</f>
        <v>JS2510</v>
      </c>
      <c r="C104" s="132" t="str">
        <f>'Reference Score Calculation'!D81</f>
        <v>理學士(榮譽)</v>
      </c>
      <c r="D104" s="21"/>
      <c r="E104" s="369" t="s">
        <v>815</v>
      </c>
      <c r="F104" s="369"/>
      <c r="G104" s="119" t="str">
        <f>入學要求!AB90</f>
        <v>v</v>
      </c>
      <c r="H104" s="119" t="str">
        <f>入學要求!AC90</f>
        <v>C</v>
      </c>
      <c r="I104" s="119" t="str">
        <f>入學要求!AD90</f>
        <v>v</v>
      </c>
      <c r="J104" s="119">
        <f t="shared" si="220"/>
        <v>2.6000000000000001E-9</v>
      </c>
      <c r="K104" s="119">
        <v>1</v>
      </c>
      <c r="L104" s="119">
        <v>1</v>
      </c>
      <c r="M104" s="119">
        <v>1</v>
      </c>
      <c r="N104" s="119">
        <v>1</v>
      </c>
      <c r="O104" s="119">
        <v>1</v>
      </c>
      <c r="P104" s="119">
        <v>1</v>
      </c>
      <c r="Q104" s="119">
        <v>1</v>
      </c>
      <c r="R104" s="119">
        <v>1</v>
      </c>
      <c r="S104" s="119">
        <v>1</v>
      </c>
      <c r="T104" s="119">
        <v>1</v>
      </c>
      <c r="V104" s="119">
        <f t="shared" si="206"/>
        <v>4.0000000000000001E-10</v>
      </c>
      <c r="W104" s="119">
        <f t="shared" si="207"/>
        <v>2.0000000000000001E-10</v>
      </c>
      <c r="X104" s="119">
        <f t="shared" si="208"/>
        <v>3E-10</v>
      </c>
      <c r="Y104" s="119">
        <f t="shared" si="209"/>
        <v>0</v>
      </c>
      <c r="Z104" s="119">
        <f t="shared" si="210"/>
        <v>5.0000000000000003E-10</v>
      </c>
      <c r="AA104" s="119">
        <f t="shared" si="211"/>
        <v>6E-10</v>
      </c>
      <c r="AB104" s="119">
        <f t="shared" si="212"/>
        <v>6.9999999999999996E-10</v>
      </c>
      <c r="AC104" s="119">
        <f t="shared" si="213"/>
        <v>8.0000000000000003E-10</v>
      </c>
      <c r="AD104" s="119">
        <f t="shared" si="214"/>
        <v>8.9999999999999999E-10</v>
      </c>
      <c r="AE104" s="119">
        <f t="shared" si="215"/>
        <v>0</v>
      </c>
      <c r="AF104" s="119" t="b">
        <f t="shared" si="221"/>
        <v>1</v>
      </c>
      <c r="AG104" s="119" t="b">
        <f t="shared" si="222"/>
        <v>1</v>
      </c>
      <c r="AH104" s="119" t="b">
        <f t="shared" si="223"/>
        <v>1</v>
      </c>
      <c r="AI104" s="119" t="b">
        <f t="shared" si="224"/>
        <v>1</v>
      </c>
      <c r="AJ104" s="119" t="b">
        <f t="shared" si="225"/>
        <v>0</v>
      </c>
      <c r="AK104" s="119" t="b">
        <f t="shared" si="226"/>
        <v>0</v>
      </c>
      <c r="AL104" s="119" t="b">
        <f t="shared" si="227"/>
        <v>0</v>
      </c>
      <c r="AM104" s="119" t="b">
        <f t="shared" si="228"/>
        <v>1</v>
      </c>
      <c r="AN104" s="119" t="b">
        <f t="shared" si="229"/>
        <v>1</v>
      </c>
      <c r="AO104" s="119" t="b">
        <f t="shared" si="230"/>
        <v>0</v>
      </c>
      <c r="AQ104" s="2"/>
      <c r="AR104" s="2"/>
      <c r="AS104" s="2"/>
      <c r="AW104" s="119" t="s">
        <v>1750</v>
      </c>
      <c r="AY104" s="398" t="s">
        <v>2947</v>
      </c>
    </row>
    <row r="105" spans="1:79">
      <c r="A105" s="119" t="str">
        <f>'Reference Score Calculation'!A82</f>
        <v>JS2610</v>
      </c>
      <c r="B105" s="119" t="str">
        <f>'Reference Score Calculation'!A82</f>
        <v>JS2610</v>
      </c>
      <c r="C105" s="132" t="str">
        <f>'Reference Score Calculation'!D82</f>
        <v>文學士(榮譽) / 社會科學學士(榮譽) (歐洲研究 [法文/德文] / 地理 / 全球及中國研究 / 政治及國際關係學 / 歷史 / 社會學)</v>
      </c>
      <c r="D105" s="21"/>
      <c r="E105" s="408" t="s">
        <v>815</v>
      </c>
      <c r="F105" s="408"/>
      <c r="G105" s="119" t="str">
        <f>入學要求!AB91</f>
        <v>v</v>
      </c>
      <c r="H105" s="119" t="str">
        <f>入學要求!AC91</f>
        <v>C</v>
      </c>
      <c r="I105" s="119" t="str">
        <f>入學要求!AD91</f>
        <v>NO</v>
      </c>
      <c r="J105" s="119">
        <f t="shared" si="220"/>
        <v>2.8000000000000003E-9</v>
      </c>
      <c r="K105" s="119">
        <v>1</v>
      </c>
      <c r="L105" s="119">
        <v>2</v>
      </c>
      <c r="M105" s="119">
        <v>1</v>
      </c>
      <c r="N105" s="119">
        <v>1</v>
      </c>
      <c r="O105" s="119">
        <v>1</v>
      </c>
      <c r="P105" s="119">
        <v>1</v>
      </c>
      <c r="Q105" s="119">
        <v>1</v>
      </c>
      <c r="R105" s="119">
        <v>1</v>
      </c>
      <c r="S105" s="119">
        <v>1</v>
      </c>
      <c r="T105" s="119">
        <v>1</v>
      </c>
      <c r="V105" s="119">
        <f t="shared" si="206"/>
        <v>4.0000000000000001E-10</v>
      </c>
      <c r="W105" s="119">
        <f t="shared" si="207"/>
        <v>4.0000000000000001E-10</v>
      </c>
      <c r="X105" s="119">
        <f t="shared" si="208"/>
        <v>3E-10</v>
      </c>
      <c r="Y105" s="119">
        <f t="shared" si="209"/>
        <v>0</v>
      </c>
      <c r="Z105" s="119">
        <f t="shared" si="210"/>
        <v>5.0000000000000003E-10</v>
      </c>
      <c r="AA105" s="119">
        <f t="shared" si="211"/>
        <v>6E-10</v>
      </c>
      <c r="AB105" s="119">
        <f t="shared" si="212"/>
        <v>6.9999999999999996E-10</v>
      </c>
      <c r="AC105" s="119">
        <f t="shared" si="213"/>
        <v>8.0000000000000003E-10</v>
      </c>
      <c r="AD105" s="119">
        <f t="shared" si="214"/>
        <v>8.9999999999999999E-10</v>
      </c>
      <c r="AE105" s="119">
        <f t="shared" si="215"/>
        <v>0</v>
      </c>
      <c r="AF105" s="119" t="b">
        <f t="shared" si="221"/>
        <v>1</v>
      </c>
      <c r="AG105" s="119" t="b">
        <f t="shared" si="222"/>
        <v>1</v>
      </c>
      <c r="AH105" s="119" t="b">
        <f t="shared" si="223"/>
        <v>1</v>
      </c>
      <c r="AI105" s="119" t="b">
        <f t="shared" si="224"/>
        <v>1</v>
      </c>
      <c r="AJ105" s="119" t="b">
        <f t="shared" si="225"/>
        <v>0</v>
      </c>
      <c r="AK105" s="119" t="b">
        <f t="shared" si="226"/>
        <v>0</v>
      </c>
      <c r="AL105" s="119" t="b">
        <f t="shared" si="227"/>
        <v>0</v>
      </c>
      <c r="AM105" s="119" t="b">
        <f t="shared" si="228"/>
        <v>1</v>
      </c>
      <c r="AN105" s="119" t="b">
        <f t="shared" si="229"/>
        <v>1</v>
      </c>
      <c r="AO105" s="119" t="b">
        <f t="shared" si="230"/>
        <v>0</v>
      </c>
      <c r="AQ105" s="2"/>
      <c r="AR105" s="2"/>
      <c r="AS105" s="2"/>
    </row>
    <row r="106" spans="1:79">
      <c r="A106" s="119" t="str">
        <f>'Reference Score Calculation'!A83</f>
        <v>JS2620</v>
      </c>
      <c r="B106" s="119" t="str">
        <f>'Reference Score Calculation'!A83</f>
        <v>JS2620</v>
      </c>
      <c r="C106" s="132" t="str">
        <f>'Reference Score Calculation'!D83</f>
        <v>體育及康樂管理文學士(榮譽)</v>
      </c>
      <c r="D106" s="21"/>
      <c r="E106" s="369" t="s">
        <v>815</v>
      </c>
      <c r="F106" s="369"/>
      <c r="G106" s="119" t="str">
        <f>入學要求!AB92</f>
        <v>v</v>
      </c>
      <c r="H106" s="119" t="str">
        <f>入學要求!AC92</f>
        <v>NO</v>
      </c>
      <c r="I106" s="119" t="str">
        <f>入學要求!AD92</f>
        <v>v</v>
      </c>
      <c r="J106" s="119">
        <f t="shared" si="220"/>
        <v>2.6000000000000001E-9</v>
      </c>
      <c r="K106" s="119">
        <v>1</v>
      </c>
      <c r="L106" s="119">
        <v>1</v>
      </c>
      <c r="M106" s="119">
        <v>1</v>
      </c>
      <c r="N106" s="119">
        <v>1</v>
      </c>
      <c r="O106" s="119">
        <v>1</v>
      </c>
      <c r="P106" s="119">
        <v>1</v>
      </c>
      <c r="Q106" s="119">
        <v>1</v>
      </c>
      <c r="R106" s="119">
        <v>1</v>
      </c>
      <c r="S106" s="119">
        <v>1</v>
      </c>
      <c r="T106" s="119">
        <v>1</v>
      </c>
      <c r="V106" s="119">
        <f t="shared" si="206"/>
        <v>4.0000000000000001E-10</v>
      </c>
      <c r="W106" s="119">
        <f t="shared" si="207"/>
        <v>2.0000000000000001E-10</v>
      </c>
      <c r="X106" s="119">
        <f t="shared" si="208"/>
        <v>3E-10</v>
      </c>
      <c r="Y106" s="119">
        <f t="shared" si="209"/>
        <v>0</v>
      </c>
      <c r="Z106" s="119">
        <f t="shared" si="210"/>
        <v>5.0000000000000003E-10</v>
      </c>
      <c r="AA106" s="119">
        <f t="shared" si="211"/>
        <v>6E-10</v>
      </c>
      <c r="AB106" s="119">
        <f t="shared" si="212"/>
        <v>6.9999999999999996E-10</v>
      </c>
      <c r="AC106" s="119">
        <f t="shared" si="213"/>
        <v>8.0000000000000003E-10</v>
      </c>
      <c r="AD106" s="119">
        <f t="shared" si="214"/>
        <v>8.9999999999999999E-10</v>
      </c>
      <c r="AE106" s="119">
        <f t="shared" si="215"/>
        <v>0</v>
      </c>
      <c r="AF106" s="119" t="b">
        <f t="shared" si="221"/>
        <v>1</v>
      </c>
      <c r="AG106" s="119" t="b">
        <f t="shared" si="222"/>
        <v>1</v>
      </c>
      <c r="AH106" s="119" t="b">
        <f t="shared" si="223"/>
        <v>1</v>
      </c>
      <c r="AI106" s="119" t="b">
        <f t="shared" si="224"/>
        <v>1</v>
      </c>
      <c r="AJ106" s="119" t="b">
        <f t="shared" si="225"/>
        <v>0</v>
      </c>
      <c r="AK106" s="119" t="b">
        <f t="shared" si="226"/>
        <v>0</v>
      </c>
      <c r="AL106" s="119" t="b">
        <f t="shared" si="227"/>
        <v>0</v>
      </c>
      <c r="AM106" s="119" t="b">
        <f t="shared" si="228"/>
        <v>1</v>
      </c>
      <c r="AN106" s="119" t="b">
        <f t="shared" si="229"/>
        <v>1</v>
      </c>
      <c r="AO106" s="119" t="b">
        <f t="shared" si="230"/>
        <v>0</v>
      </c>
      <c r="AQ106" s="2"/>
      <c r="AR106" s="2"/>
      <c r="AS106" s="2"/>
      <c r="AW106" s="398" t="s">
        <v>2952</v>
      </c>
    </row>
    <row r="107" spans="1:79">
      <c r="A107" s="119" t="str">
        <f>'Reference Score Calculation'!A84</f>
        <v>JS2660</v>
      </c>
      <c r="B107" s="119" t="str">
        <f>'Reference Score Calculation'!A84</f>
        <v>JS2660</v>
      </c>
      <c r="C107" s="132" t="str">
        <f>'Reference Score Calculation'!D84</f>
        <v>社會工作學士(榮譽)</v>
      </c>
      <c r="D107" s="21"/>
      <c r="E107" s="408" t="s">
        <v>815</v>
      </c>
      <c r="F107" s="408"/>
      <c r="G107" s="119" t="str">
        <f>入學要求!AB93</f>
        <v>v</v>
      </c>
      <c r="H107" s="119" t="str">
        <f>入學要求!AC93</f>
        <v>C</v>
      </c>
      <c r="I107" s="119" t="str">
        <f>入學要求!AD93</f>
        <v>v</v>
      </c>
      <c r="J107" s="119">
        <f t="shared" si="220"/>
        <v>2.8000000000000003E-9</v>
      </c>
      <c r="K107" s="119">
        <v>1</v>
      </c>
      <c r="L107" s="119">
        <v>2</v>
      </c>
      <c r="M107" s="119">
        <v>1</v>
      </c>
      <c r="N107" s="119">
        <v>1.5</v>
      </c>
      <c r="O107" s="119">
        <v>1</v>
      </c>
      <c r="P107" s="119">
        <v>1</v>
      </c>
      <c r="Q107" s="119">
        <v>1</v>
      </c>
      <c r="R107" s="119">
        <v>1</v>
      </c>
      <c r="S107" s="119">
        <v>1</v>
      </c>
      <c r="T107" s="119">
        <v>1</v>
      </c>
      <c r="V107" s="119">
        <f t="shared" si="206"/>
        <v>4.0000000000000001E-10</v>
      </c>
      <c r="W107" s="119">
        <f t="shared" si="207"/>
        <v>4.0000000000000001E-10</v>
      </c>
      <c r="X107" s="119">
        <f t="shared" si="208"/>
        <v>3E-10</v>
      </c>
      <c r="Y107" s="119">
        <f t="shared" si="209"/>
        <v>0</v>
      </c>
      <c r="Z107" s="119">
        <f t="shared" si="210"/>
        <v>5.0000000000000003E-10</v>
      </c>
      <c r="AA107" s="119">
        <f t="shared" si="211"/>
        <v>6E-10</v>
      </c>
      <c r="AB107" s="119">
        <f t="shared" si="212"/>
        <v>6.9999999999999996E-10</v>
      </c>
      <c r="AC107" s="119">
        <f t="shared" si="213"/>
        <v>8.0000000000000003E-10</v>
      </c>
      <c r="AD107" s="119">
        <f t="shared" si="214"/>
        <v>8.9999999999999999E-10</v>
      </c>
      <c r="AE107" s="119">
        <f t="shared" si="215"/>
        <v>0</v>
      </c>
      <c r="AF107" s="119" t="b">
        <f t="shared" si="221"/>
        <v>1</v>
      </c>
      <c r="AG107" s="119" t="b">
        <f t="shared" si="222"/>
        <v>1</v>
      </c>
      <c r="AH107" s="119" t="b">
        <f t="shared" si="223"/>
        <v>1</v>
      </c>
      <c r="AI107" s="119" t="b">
        <f t="shared" si="224"/>
        <v>1</v>
      </c>
      <c r="AJ107" s="119" t="b">
        <f t="shared" si="225"/>
        <v>0</v>
      </c>
      <c r="AK107" s="119" t="b">
        <f t="shared" si="226"/>
        <v>0</v>
      </c>
      <c r="AL107" s="119" t="b">
        <f t="shared" si="227"/>
        <v>0</v>
      </c>
      <c r="AM107" s="119" t="b">
        <f t="shared" si="228"/>
        <v>1</v>
      </c>
      <c r="AN107" s="119" t="b">
        <f t="shared" si="229"/>
        <v>1</v>
      </c>
      <c r="AO107" s="119" t="b">
        <f t="shared" si="230"/>
        <v>0</v>
      </c>
      <c r="AQ107" s="2"/>
      <c r="AR107" s="2"/>
      <c r="AS107" s="2"/>
      <c r="AW107" s="119" t="s">
        <v>2980</v>
      </c>
    </row>
    <row r="108" spans="1:79">
      <c r="A108" s="119" t="str">
        <f>'Reference Score Calculation'!A85</f>
        <v>JS2810</v>
      </c>
      <c r="B108" s="119" t="str">
        <f>'Reference Score Calculation'!A85</f>
        <v>JS2810</v>
      </c>
      <c r="C108" s="132" t="str">
        <f>'Reference Score Calculation'!D85</f>
        <v>視覺藝術文學士(榮譽)</v>
      </c>
      <c r="D108" s="21"/>
      <c r="E108" s="369" t="s">
        <v>889</v>
      </c>
      <c r="F108" s="369"/>
      <c r="G108" s="119" t="str">
        <f>入學要求!AB94</f>
        <v>v</v>
      </c>
      <c r="H108" s="119" t="str">
        <f>入學要求!AC94</f>
        <v>C</v>
      </c>
      <c r="I108" s="119" t="str">
        <f>入學要求!AD94</f>
        <v>v</v>
      </c>
      <c r="J108" s="119">
        <f t="shared" si="220"/>
        <v>3.4999999999999999E-9</v>
      </c>
      <c r="K108" s="119">
        <v>1</v>
      </c>
      <c r="L108" s="119">
        <v>1</v>
      </c>
      <c r="M108" s="119">
        <v>1</v>
      </c>
      <c r="N108" s="119">
        <v>0</v>
      </c>
      <c r="O108" s="119">
        <v>1</v>
      </c>
      <c r="P108" s="119">
        <v>1</v>
      </c>
      <c r="Q108" s="119">
        <v>1</v>
      </c>
      <c r="R108" s="119">
        <v>1</v>
      </c>
      <c r="S108" s="119">
        <v>1</v>
      </c>
      <c r="T108" s="119">
        <v>1</v>
      </c>
      <c r="V108" s="119">
        <f t="shared" si="206"/>
        <v>4.0000000000000001E-10</v>
      </c>
      <c r="W108" s="119">
        <f t="shared" si="207"/>
        <v>2.0000000000000001E-10</v>
      </c>
      <c r="X108" s="119">
        <f t="shared" si="208"/>
        <v>3E-10</v>
      </c>
      <c r="Y108" s="119">
        <f t="shared" si="209"/>
        <v>0</v>
      </c>
      <c r="Z108" s="119">
        <f t="shared" si="210"/>
        <v>5.0000000000000003E-10</v>
      </c>
      <c r="AA108" s="119">
        <f t="shared" si="211"/>
        <v>6E-10</v>
      </c>
      <c r="AB108" s="119">
        <f t="shared" si="212"/>
        <v>6.9999999999999996E-10</v>
      </c>
      <c r="AC108" s="119">
        <f t="shared" si="213"/>
        <v>8.0000000000000003E-10</v>
      </c>
      <c r="AD108" s="119">
        <f t="shared" si="214"/>
        <v>8.9999999999999999E-10</v>
      </c>
      <c r="AE108" s="119">
        <f t="shared" si="215"/>
        <v>0</v>
      </c>
      <c r="AF108" s="119" t="b">
        <f t="shared" si="221"/>
        <v>0</v>
      </c>
      <c r="AG108" s="119" t="b">
        <f t="shared" si="222"/>
        <v>0</v>
      </c>
      <c r="AH108" s="119" t="b">
        <f t="shared" si="223"/>
        <v>0</v>
      </c>
      <c r="AI108" s="119" t="b">
        <f t="shared" si="224"/>
        <v>0</v>
      </c>
      <c r="AJ108" s="119" t="b">
        <f t="shared" si="225"/>
        <v>1</v>
      </c>
      <c r="AK108" s="119" t="b">
        <f t="shared" si="226"/>
        <v>1</v>
      </c>
      <c r="AL108" s="119" t="b">
        <f t="shared" si="227"/>
        <v>1</v>
      </c>
      <c r="AM108" s="119" t="b">
        <f t="shared" si="228"/>
        <v>1</v>
      </c>
      <c r="AN108" s="119" t="b">
        <f t="shared" si="229"/>
        <v>1</v>
      </c>
      <c r="AO108" s="119" t="b">
        <f t="shared" si="230"/>
        <v>0</v>
      </c>
      <c r="AQ108" s="2"/>
      <c r="AR108" s="2"/>
      <c r="AS108" s="2"/>
    </row>
    <row r="109" spans="1:79">
      <c r="A109" s="119" t="str">
        <f>'Reference Score Calculation'!A86</f>
        <v>JS2910</v>
      </c>
      <c r="B109" s="119" t="str">
        <f>'Reference Score Calculation'!A86</f>
        <v>JS2910</v>
      </c>
      <c r="C109" s="132" t="str">
        <f>'Reference Score Calculation'!D86</f>
        <v>商業計算及數據分析理學士(榮譽)</v>
      </c>
      <c r="D109" s="21"/>
      <c r="E109" s="369" t="s">
        <v>828</v>
      </c>
      <c r="F109" s="369"/>
      <c r="G109" s="119" t="str">
        <f>入學要求!AB95</f>
        <v>v</v>
      </c>
      <c r="H109" s="119" t="str">
        <f>入學要求!AC95</f>
        <v>C</v>
      </c>
      <c r="I109" s="119" t="str">
        <f>入學要求!AD95</f>
        <v>v</v>
      </c>
      <c r="J109" s="119">
        <f t="shared" si="220"/>
        <v>3.9000000000000002E-9</v>
      </c>
      <c r="K109" s="119">
        <v>1</v>
      </c>
      <c r="L109" s="119">
        <v>1</v>
      </c>
      <c r="M109" s="119">
        <v>1</v>
      </c>
      <c r="N109" s="119">
        <v>1</v>
      </c>
      <c r="O109" s="119">
        <v>1</v>
      </c>
      <c r="P109" s="119">
        <v>1</v>
      </c>
      <c r="Q109" s="119">
        <v>1</v>
      </c>
      <c r="R109" s="119">
        <v>1</v>
      </c>
      <c r="S109" s="119">
        <v>1</v>
      </c>
      <c r="T109" s="119">
        <v>1</v>
      </c>
      <c r="V109" s="119">
        <f t="shared" si="206"/>
        <v>4.0000000000000001E-10</v>
      </c>
      <c r="W109" s="119">
        <f t="shared" si="207"/>
        <v>2.0000000000000001E-10</v>
      </c>
      <c r="X109" s="119">
        <f t="shared" si="208"/>
        <v>3E-10</v>
      </c>
      <c r="Y109" s="119">
        <f t="shared" si="209"/>
        <v>0</v>
      </c>
      <c r="Z109" s="119">
        <f t="shared" si="210"/>
        <v>5.0000000000000003E-10</v>
      </c>
      <c r="AA109" s="119">
        <f t="shared" si="211"/>
        <v>6E-10</v>
      </c>
      <c r="AB109" s="119">
        <f t="shared" si="212"/>
        <v>6.9999999999999996E-10</v>
      </c>
      <c r="AC109" s="119">
        <f t="shared" si="213"/>
        <v>8.0000000000000003E-10</v>
      </c>
      <c r="AD109" s="119">
        <f t="shared" si="214"/>
        <v>8.9999999999999999E-10</v>
      </c>
      <c r="AE109" s="119">
        <f t="shared" si="215"/>
        <v>0</v>
      </c>
      <c r="AF109" s="119" t="b">
        <f t="shared" si="221"/>
        <v>1</v>
      </c>
      <c r="AG109" s="119" t="b">
        <f t="shared" si="222"/>
        <v>0</v>
      </c>
      <c r="AH109" s="119" t="b">
        <f t="shared" si="223"/>
        <v>0</v>
      </c>
      <c r="AI109" s="119" t="b">
        <f t="shared" si="224"/>
        <v>0</v>
      </c>
      <c r="AJ109" s="119" t="b">
        <f t="shared" si="225"/>
        <v>1</v>
      </c>
      <c r="AK109" s="119" t="b">
        <f t="shared" si="226"/>
        <v>1</v>
      </c>
      <c r="AL109" s="119" t="b">
        <f t="shared" si="227"/>
        <v>1</v>
      </c>
      <c r="AM109" s="119" t="b">
        <f t="shared" si="228"/>
        <v>1</v>
      </c>
      <c r="AN109" s="119" t="b">
        <f t="shared" si="229"/>
        <v>1</v>
      </c>
      <c r="AO109" s="119" t="b">
        <f t="shared" si="230"/>
        <v>0</v>
      </c>
      <c r="AQ109" s="2"/>
      <c r="AR109" s="2"/>
      <c r="AS109" s="2"/>
    </row>
    <row r="110" spans="1:79">
      <c r="A110" s="119" t="str">
        <f>'Reference Score Calculation'!A87</f>
        <v>JS2920</v>
      </c>
      <c r="B110" s="119" t="str">
        <f>'Reference Score Calculation'!A87</f>
        <v>JS2920</v>
      </c>
      <c r="C110" s="132" t="str">
        <f>'Reference Score Calculation'!D87</f>
        <v>藝術及科技文理學士(榮譽)</v>
      </c>
      <c r="D110" s="21"/>
      <c r="E110" s="408" t="s">
        <v>815</v>
      </c>
      <c r="F110" s="408"/>
      <c r="G110" s="119" t="str">
        <f>入學要求!AB96</f>
        <v>v</v>
      </c>
      <c r="H110" s="119" t="str">
        <f>入學要求!AC96</f>
        <v>C</v>
      </c>
      <c r="I110" s="119" t="str">
        <f>入學要求!AD96</f>
        <v>v</v>
      </c>
      <c r="J110" s="119">
        <f t="shared" si="220"/>
        <v>2.6600000000000003E-9</v>
      </c>
      <c r="K110" s="119">
        <v>1</v>
      </c>
      <c r="L110" s="119">
        <v>1</v>
      </c>
      <c r="M110" s="119">
        <v>1.2</v>
      </c>
      <c r="N110" s="119">
        <v>1</v>
      </c>
      <c r="O110" s="119">
        <v>1</v>
      </c>
      <c r="P110" s="119">
        <v>1</v>
      </c>
      <c r="Q110" s="119">
        <v>1</v>
      </c>
      <c r="R110" s="119">
        <v>1</v>
      </c>
      <c r="S110" s="119">
        <v>1</v>
      </c>
      <c r="T110" s="119">
        <v>1</v>
      </c>
      <c r="V110" s="119">
        <f t="shared" si="206"/>
        <v>4.0000000000000001E-10</v>
      </c>
      <c r="W110" s="119">
        <f t="shared" si="207"/>
        <v>2.0000000000000001E-10</v>
      </c>
      <c r="X110" s="119">
        <f t="shared" si="208"/>
        <v>3.6E-10</v>
      </c>
      <c r="Y110" s="119">
        <f t="shared" si="209"/>
        <v>0</v>
      </c>
      <c r="Z110" s="119">
        <f t="shared" si="210"/>
        <v>5.0000000000000003E-10</v>
      </c>
      <c r="AA110" s="119">
        <f t="shared" si="211"/>
        <v>6E-10</v>
      </c>
      <c r="AB110" s="119">
        <f t="shared" si="212"/>
        <v>6.9999999999999996E-10</v>
      </c>
      <c r="AC110" s="119">
        <f t="shared" si="213"/>
        <v>8.0000000000000003E-10</v>
      </c>
      <c r="AD110" s="119">
        <f t="shared" si="214"/>
        <v>8.9999999999999999E-10</v>
      </c>
      <c r="AE110" s="119">
        <f t="shared" si="215"/>
        <v>0</v>
      </c>
      <c r="AF110" s="119" t="b">
        <f t="shared" si="221"/>
        <v>1</v>
      </c>
      <c r="AG110" s="119" t="b">
        <f t="shared" si="222"/>
        <v>1</v>
      </c>
      <c r="AH110" s="119" t="b">
        <f t="shared" si="223"/>
        <v>1</v>
      </c>
      <c r="AI110" s="119" t="b">
        <f t="shared" si="224"/>
        <v>1</v>
      </c>
      <c r="AJ110" s="119" t="b">
        <f t="shared" si="225"/>
        <v>0</v>
      </c>
      <c r="AK110" s="119" t="b">
        <f t="shared" si="226"/>
        <v>0</v>
      </c>
      <c r="AL110" s="119" t="b">
        <f t="shared" si="227"/>
        <v>0</v>
      </c>
      <c r="AM110" s="119" t="b">
        <f t="shared" si="228"/>
        <v>1</v>
      </c>
      <c r="AN110" s="119" t="b">
        <f t="shared" si="229"/>
        <v>1</v>
      </c>
      <c r="AO110" s="119" t="b">
        <f t="shared" si="230"/>
        <v>0</v>
      </c>
      <c r="AQ110" s="2"/>
      <c r="AR110" s="2"/>
      <c r="AS110" s="2"/>
    </row>
    <row r="111" spans="1:79">
      <c r="A111" s="119" t="str">
        <f>'Reference Score Calculation'!A88</f>
        <v>JS2930</v>
      </c>
      <c r="B111" s="119" t="str">
        <f>'Reference Score Calculation'!A88</f>
        <v>JS2930</v>
      </c>
      <c r="C111" s="132" t="str">
        <f>'Reference Score Calculation'!D88</f>
        <v>工商管理文學士(榮譽)(全球娛樂)</v>
      </c>
      <c r="D111" s="21"/>
      <c r="E111" s="369" t="s">
        <v>815</v>
      </c>
      <c r="F111" s="369"/>
      <c r="G111" s="119" t="str">
        <f>入學要求!AB97</f>
        <v>v</v>
      </c>
      <c r="H111" s="119" t="str">
        <f>入學要求!AC97</f>
        <v>C</v>
      </c>
      <c r="I111" s="119" t="str">
        <f>入學要求!AD97</f>
        <v>v</v>
      </c>
      <c r="J111" s="119">
        <f t="shared" si="220"/>
        <v>2.6000000000000001E-9</v>
      </c>
      <c r="K111" s="119">
        <v>1</v>
      </c>
      <c r="L111" s="119">
        <v>1</v>
      </c>
      <c r="M111" s="119">
        <v>1</v>
      </c>
      <c r="N111" s="119">
        <v>1</v>
      </c>
      <c r="O111" s="119">
        <v>1</v>
      </c>
      <c r="P111" s="119">
        <v>1</v>
      </c>
      <c r="Q111" s="119">
        <v>1</v>
      </c>
      <c r="R111" s="119">
        <v>1</v>
      </c>
      <c r="S111" s="119">
        <v>1</v>
      </c>
      <c r="T111" s="119">
        <v>1</v>
      </c>
      <c r="V111" s="119">
        <f t="shared" si="206"/>
        <v>4.0000000000000001E-10</v>
      </c>
      <c r="W111" s="119">
        <f t="shared" si="207"/>
        <v>2.0000000000000001E-10</v>
      </c>
      <c r="X111" s="119">
        <f t="shared" si="208"/>
        <v>3E-10</v>
      </c>
      <c r="Y111" s="119">
        <f t="shared" si="209"/>
        <v>0</v>
      </c>
      <c r="Z111" s="119">
        <f t="shared" si="210"/>
        <v>5.0000000000000003E-10</v>
      </c>
      <c r="AA111" s="119">
        <f t="shared" si="211"/>
        <v>6E-10</v>
      </c>
      <c r="AB111" s="119">
        <f t="shared" si="212"/>
        <v>6.9999999999999996E-10</v>
      </c>
      <c r="AC111" s="119">
        <f t="shared" si="213"/>
        <v>8.0000000000000003E-10</v>
      </c>
      <c r="AD111" s="119">
        <f t="shared" si="214"/>
        <v>8.9999999999999999E-10</v>
      </c>
      <c r="AE111" s="119">
        <f t="shared" si="215"/>
        <v>0</v>
      </c>
      <c r="AF111" s="119" t="b">
        <f t="shared" si="221"/>
        <v>1</v>
      </c>
      <c r="AG111" s="119" t="b">
        <f t="shared" si="222"/>
        <v>1</v>
      </c>
      <c r="AH111" s="119" t="b">
        <f t="shared" si="223"/>
        <v>1</v>
      </c>
      <c r="AI111" s="119" t="b">
        <f t="shared" si="224"/>
        <v>1</v>
      </c>
      <c r="AJ111" s="119" t="b">
        <f t="shared" si="225"/>
        <v>0</v>
      </c>
      <c r="AK111" s="119" t="b">
        <f t="shared" si="226"/>
        <v>0</v>
      </c>
      <c r="AL111" s="119" t="b">
        <f t="shared" si="227"/>
        <v>0</v>
      </c>
      <c r="AM111" s="119" t="b">
        <f t="shared" si="228"/>
        <v>1</v>
      </c>
      <c r="AN111" s="119" t="b">
        <f t="shared" si="229"/>
        <v>1</v>
      </c>
      <c r="AO111" s="119" t="b">
        <f t="shared" si="230"/>
        <v>0</v>
      </c>
      <c r="AQ111" s="2"/>
      <c r="AR111" s="2"/>
      <c r="AS111" s="2"/>
    </row>
    <row r="112" spans="1:79">
      <c r="A112" s="119" t="str">
        <f>'Reference Score Calculation'!A89</f>
        <v>JS2940</v>
      </c>
      <c r="B112" s="119" t="str">
        <f>'Reference Score Calculation'!A89</f>
        <v>JS2940</v>
      </c>
      <c r="C112" s="132" t="str">
        <f>'Reference Score Calculation'!D89</f>
        <v>創新醫療及社會健康社會科學學士(榮譽) / 理學士(榮譽)</v>
      </c>
      <c r="D112" s="21"/>
      <c r="E112" s="369" t="s">
        <v>815</v>
      </c>
      <c r="F112" s="369"/>
      <c r="G112" s="119" t="str">
        <f>入學要求!AB98</f>
        <v>v</v>
      </c>
      <c r="H112" s="119" t="str">
        <f>入學要求!AC98</f>
        <v>C</v>
      </c>
      <c r="I112" s="119" t="str">
        <f>入學要求!AD98</f>
        <v>v</v>
      </c>
      <c r="J112" s="119">
        <f t="shared" si="220"/>
        <v>2.6000000000000001E-9</v>
      </c>
      <c r="K112" s="119">
        <v>1</v>
      </c>
      <c r="L112" s="119">
        <v>1</v>
      </c>
      <c r="M112" s="119">
        <v>1</v>
      </c>
      <c r="N112" s="119">
        <v>1</v>
      </c>
      <c r="O112" s="119">
        <v>1</v>
      </c>
      <c r="P112" s="119">
        <v>1</v>
      </c>
      <c r="Q112" s="119">
        <v>1</v>
      </c>
      <c r="R112" s="119">
        <v>1</v>
      </c>
      <c r="S112" s="119">
        <v>1</v>
      </c>
      <c r="T112" s="119">
        <v>1</v>
      </c>
      <c r="V112" s="119">
        <f t="shared" si="206"/>
        <v>4.0000000000000001E-10</v>
      </c>
      <c r="W112" s="119">
        <f t="shared" si="207"/>
        <v>2.0000000000000001E-10</v>
      </c>
      <c r="X112" s="119">
        <f t="shared" si="208"/>
        <v>3E-10</v>
      </c>
      <c r="Y112" s="119">
        <f t="shared" si="209"/>
        <v>0</v>
      </c>
      <c r="Z112" s="119">
        <f t="shared" si="210"/>
        <v>5.0000000000000003E-10</v>
      </c>
      <c r="AA112" s="119">
        <f t="shared" si="211"/>
        <v>6E-10</v>
      </c>
      <c r="AB112" s="119">
        <f t="shared" si="212"/>
        <v>6.9999999999999996E-10</v>
      </c>
      <c r="AC112" s="119">
        <f t="shared" si="213"/>
        <v>8.0000000000000003E-10</v>
      </c>
      <c r="AD112" s="119">
        <f t="shared" si="214"/>
        <v>8.9999999999999999E-10</v>
      </c>
      <c r="AE112" s="119">
        <f t="shared" si="215"/>
        <v>0</v>
      </c>
      <c r="AF112" s="119" t="b">
        <f t="shared" si="221"/>
        <v>1</v>
      </c>
      <c r="AG112" s="119" t="b">
        <f t="shared" si="222"/>
        <v>1</v>
      </c>
      <c r="AH112" s="119" t="b">
        <f t="shared" si="223"/>
        <v>1</v>
      </c>
      <c r="AI112" s="119" t="b">
        <f t="shared" si="224"/>
        <v>1</v>
      </c>
      <c r="AJ112" s="119" t="b">
        <f t="shared" si="225"/>
        <v>0</v>
      </c>
      <c r="AK112" s="119" t="b">
        <f t="shared" si="226"/>
        <v>0</v>
      </c>
      <c r="AL112" s="119" t="b">
        <f t="shared" si="227"/>
        <v>0</v>
      </c>
      <c r="AM112" s="119" t="b">
        <f t="shared" si="228"/>
        <v>1</v>
      </c>
      <c r="AN112" s="119" t="b">
        <f t="shared" si="229"/>
        <v>1</v>
      </c>
      <c r="AO112" s="119" t="b">
        <f t="shared" si="230"/>
        <v>0</v>
      </c>
      <c r="AQ112" s="2"/>
      <c r="AR112" s="2"/>
      <c r="AS112" s="2"/>
      <c r="AT112" s="195"/>
      <c r="AU112" s="195"/>
      <c r="AV112" s="195"/>
      <c r="AW112" s="248" t="s">
        <v>100</v>
      </c>
      <c r="AX112" s="248" t="s">
        <v>78</v>
      </c>
      <c r="AY112" s="248" t="s">
        <v>79</v>
      </c>
      <c r="AZ112" s="248" t="s">
        <v>80</v>
      </c>
      <c r="BA112" s="248" t="s">
        <v>2466</v>
      </c>
      <c r="BB112" s="248" t="s">
        <v>326</v>
      </c>
      <c r="BC112" s="248" t="s">
        <v>327</v>
      </c>
      <c r="BD112" s="248" t="s">
        <v>328</v>
      </c>
      <c r="BE112" s="248" t="s">
        <v>329</v>
      </c>
      <c r="BF112" s="248" t="s">
        <v>330</v>
      </c>
      <c r="BG112" s="248" t="s">
        <v>331</v>
      </c>
      <c r="BH112" s="248" t="s">
        <v>332</v>
      </c>
      <c r="BI112" s="248" t="s">
        <v>333</v>
      </c>
      <c r="BJ112" s="248" t="s">
        <v>334</v>
      </c>
      <c r="BK112" s="248" t="s">
        <v>335</v>
      </c>
      <c r="BL112" s="248" t="s">
        <v>336</v>
      </c>
      <c r="BM112" s="248" t="s">
        <v>2939</v>
      </c>
      <c r="BN112" s="248" t="s">
        <v>2940</v>
      </c>
      <c r="BO112" s="248" t="s">
        <v>2941</v>
      </c>
      <c r="BP112" s="248" t="s">
        <v>340</v>
      </c>
      <c r="BQ112" s="248" t="s">
        <v>341</v>
      </c>
      <c r="BR112" s="248" t="s">
        <v>342</v>
      </c>
      <c r="BS112" s="248" t="s">
        <v>343</v>
      </c>
      <c r="BT112" s="248" t="s">
        <v>344</v>
      </c>
      <c r="BU112" s="248" t="s">
        <v>2943</v>
      </c>
      <c r="BV112" s="248" t="s">
        <v>2944</v>
      </c>
      <c r="BW112" s="248" t="s">
        <v>2945</v>
      </c>
      <c r="BX112" s="248" t="s">
        <v>2946</v>
      </c>
      <c r="BY112" s="195"/>
      <c r="BZ112" s="195"/>
      <c r="CA112" s="195"/>
    </row>
    <row r="113" spans="1:79">
      <c r="A113" s="119" t="str">
        <f>'Reference Score Calculation'!A90</f>
        <v>JS2950</v>
      </c>
      <c r="B113" s="119" t="str">
        <f>'Reference Score Calculation'!A90</f>
        <v>JS2950</v>
      </c>
      <c r="C113" s="132" t="str">
        <f>'Reference Score Calculation'!D90</f>
        <v>文理及科技學士(榮譽)自訂主修</v>
      </c>
      <c r="D113" s="21"/>
      <c r="E113" s="369" t="s">
        <v>889</v>
      </c>
      <c r="F113" s="369"/>
      <c r="G113" s="119" t="str">
        <f>入學要求!AB99</f>
        <v>v</v>
      </c>
      <c r="H113" s="119" t="str">
        <f>入學要求!AC99</f>
        <v>C</v>
      </c>
      <c r="I113" s="119" t="str">
        <f>入學要求!AD99</f>
        <v>v</v>
      </c>
      <c r="J113" s="119">
        <f t="shared" si="220"/>
        <v>3.4999999999999999E-9</v>
      </c>
      <c r="K113" s="119">
        <v>1</v>
      </c>
      <c r="L113" s="119">
        <v>1</v>
      </c>
      <c r="M113" s="119">
        <v>1</v>
      </c>
      <c r="N113" s="119">
        <v>0</v>
      </c>
      <c r="O113" s="119">
        <v>1</v>
      </c>
      <c r="P113" s="119">
        <v>1</v>
      </c>
      <c r="Q113" s="119">
        <v>1</v>
      </c>
      <c r="R113" s="119">
        <v>1</v>
      </c>
      <c r="S113" s="119">
        <v>1</v>
      </c>
      <c r="T113" s="119">
        <v>1</v>
      </c>
      <c r="V113" s="119">
        <f t="shared" si="206"/>
        <v>4.0000000000000001E-10</v>
      </c>
      <c r="W113" s="119">
        <f t="shared" si="207"/>
        <v>2.0000000000000001E-10</v>
      </c>
      <c r="X113" s="119">
        <f t="shared" si="208"/>
        <v>3E-10</v>
      </c>
      <c r="Y113" s="119">
        <f t="shared" si="209"/>
        <v>0</v>
      </c>
      <c r="Z113" s="119">
        <f t="shared" si="210"/>
        <v>5.0000000000000003E-10</v>
      </c>
      <c r="AA113" s="119">
        <f t="shared" si="211"/>
        <v>6E-10</v>
      </c>
      <c r="AB113" s="119">
        <f t="shared" si="212"/>
        <v>6.9999999999999996E-10</v>
      </c>
      <c r="AC113" s="119">
        <f t="shared" si="213"/>
        <v>8.0000000000000003E-10</v>
      </c>
      <c r="AD113" s="119">
        <f t="shared" si="214"/>
        <v>8.9999999999999999E-10</v>
      </c>
      <c r="AE113" s="119">
        <f t="shared" si="215"/>
        <v>0</v>
      </c>
      <c r="AF113" s="119" t="b">
        <f t="shared" si="221"/>
        <v>0</v>
      </c>
      <c r="AG113" s="119" t="b">
        <f t="shared" si="222"/>
        <v>0</v>
      </c>
      <c r="AH113" s="119" t="b">
        <f t="shared" si="223"/>
        <v>0</v>
      </c>
      <c r="AI113" s="119" t="b">
        <f t="shared" si="224"/>
        <v>0</v>
      </c>
      <c r="AJ113" s="119" t="b">
        <f t="shared" si="225"/>
        <v>1</v>
      </c>
      <c r="AK113" s="119" t="b">
        <f t="shared" si="226"/>
        <v>1</v>
      </c>
      <c r="AL113" s="119" t="b">
        <f t="shared" si="227"/>
        <v>1</v>
      </c>
      <c r="AM113" s="119" t="b">
        <f t="shared" si="228"/>
        <v>1</v>
      </c>
      <c r="AN113" s="119" t="b">
        <f t="shared" si="229"/>
        <v>1</v>
      </c>
      <c r="AO113" s="119" t="b">
        <f t="shared" si="230"/>
        <v>0</v>
      </c>
      <c r="AQ113" s="2"/>
      <c r="AR113" s="2"/>
      <c r="AS113" s="2"/>
      <c r="AT113" s="195"/>
      <c r="AU113" s="195"/>
      <c r="AV113" s="246"/>
      <c r="AW113" s="249" t="s">
        <v>322</v>
      </c>
      <c r="AX113" s="249" t="s">
        <v>323</v>
      </c>
      <c r="AY113" s="249" t="s">
        <v>79</v>
      </c>
      <c r="AZ113" s="249" t="s">
        <v>324</v>
      </c>
      <c r="BA113" s="249" t="s">
        <v>325</v>
      </c>
      <c r="BB113" s="250" t="s">
        <v>326</v>
      </c>
      <c r="BC113" s="250" t="s">
        <v>327</v>
      </c>
      <c r="BD113" s="250" t="s">
        <v>328</v>
      </c>
      <c r="BE113" s="250" t="s">
        <v>329</v>
      </c>
      <c r="BF113" s="250" t="s">
        <v>330</v>
      </c>
      <c r="BG113" s="250" t="s">
        <v>331</v>
      </c>
      <c r="BH113" s="250" t="s">
        <v>332</v>
      </c>
      <c r="BI113" s="250" t="s">
        <v>333</v>
      </c>
      <c r="BJ113" s="250" t="s">
        <v>334</v>
      </c>
      <c r="BK113" s="250" t="s">
        <v>335</v>
      </c>
      <c r="BL113" s="249" t="s">
        <v>336</v>
      </c>
      <c r="BM113" s="249" t="s">
        <v>337</v>
      </c>
      <c r="BN113" s="249" t="s">
        <v>338</v>
      </c>
      <c r="BO113" s="249" t="s">
        <v>339</v>
      </c>
      <c r="BP113" s="249" t="s">
        <v>340</v>
      </c>
      <c r="BQ113" s="250" t="s">
        <v>341</v>
      </c>
      <c r="BR113" s="250" t="s">
        <v>342</v>
      </c>
      <c r="BS113" s="250" t="s">
        <v>343</v>
      </c>
      <c r="BT113" s="250" t="s">
        <v>344</v>
      </c>
      <c r="BU113" s="250" t="s">
        <v>2942</v>
      </c>
      <c r="BV113" s="250" t="s">
        <v>346</v>
      </c>
      <c r="BW113" s="250" t="s">
        <v>347</v>
      </c>
      <c r="BX113" s="250" t="s">
        <v>348</v>
      </c>
      <c r="BY113" s="247"/>
      <c r="BZ113" s="195"/>
      <c r="CA113" s="195"/>
    </row>
    <row r="114" spans="1:79">
      <c r="B114" s="147"/>
      <c r="C114" s="409" t="s">
        <v>2896</v>
      </c>
      <c r="D114" s="147"/>
      <c r="E114" s="148"/>
      <c r="F114" s="148"/>
      <c r="G114" s="147"/>
      <c r="H114" s="147"/>
      <c r="I114" s="147"/>
      <c r="J114" s="147"/>
      <c r="K114" s="147"/>
      <c r="L114" s="147"/>
      <c r="M114" s="147"/>
      <c r="N114" s="147"/>
      <c r="O114" s="147"/>
      <c r="P114" s="147"/>
      <c r="Q114" s="147"/>
      <c r="R114" s="147"/>
      <c r="S114" s="147"/>
      <c r="T114" s="147"/>
      <c r="U114" s="147"/>
      <c r="Y114" s="119">
        <f t="shared" si="209"/>
        <v>0</v>
      </c>
      <c r="AQ114" s="2"/>
      <c r="AR114" s="2"/>
      <c r="AS114" s="2"/>
      <c r="AT114" s="195"/>
      <c r="AU114" s="195" t="str">
        <f>'Reference Score Calculation'!A93</f>
        <v>JS3011</v>
      </c>
      <c r="AV114" s="195"/>
      <c r="AW114" s="415">
        <f>IF(ISNUMBER(SEARCH(AW$112,'Reference Score Calculation'!$O93)),10,IF(ISNUMBER(SEARCH(AW$112,'Reference Score Calculation'!$P93)),7,IF(ISNUMBER(SEARCH(AW$112,'Reference Score Calculation'!$Q93)),5,IF(ISNUMBER(SEARCH($AW$104,'Reference Score Calculation'!$O93)),10,IF(ISNUMBER(SEARCH($AW$104,'Reference Score Calculation'!$P93)),7,5)))))</f>
        <v>7</v>
      </c>
      <c r="AX114" s="415">
        <f>IF(ISNUMBER(SEARCH(AX$112,'Reference Score Calculation'!$O93)),10,IF(ISNUMBER(SEARCH(AX$112,'Reference Score Calculation'!$P93)),7,IF(ISNUMBER(SEARCH(AX$112,'Reference Score Calculation'!$Q93)),5,IF(ISNUMBER(SEARCH($AW$104,'Reference Score Calculation'!$O93)),10,IF(ISNUMBER(SEARCH($AW$104,'Reference Score Calculation'!$P93)),7,5)))))</f>
        <v>10</v>
      </c>
      <c r="AY114" s="415">
        <f>IF(ISNUMBER(SEARCH(AY$112,'Reference Score Calculation'!$O93)),10,IF(ISNUMBER(SEARCH(AY$112,'Reference Score Calculation'!$P93)),7,IF(ISNUMBER(SEARCH(AY$112,'Reference Score Calculation'!$Q93)),5,IF(ISNUMBER(SEARCH($AW$104,'Reference Score Calculation'!$O93)),10,IF(ISNUMBER(SEARCH($AW$104,'Reference Score Calculation'!$P93)),7,5)))))</f>
        <v>10</v>
      </c>
      <c r="AZ114" s="415">
        <f>IF(ISNUMBER(SEARCH(AZ$112,'Reference Score Calculation'!$O93)),10,IF(ISNUMBER(SEARCH(AZ$112,'Reference Score Calculation'!$P93)),7,IF(ISNUMBER(SEARCH(AZ$112,'Reference Score Calculation'!$Q93)),5,IF(ISNUMBER(SEARCH($AW$104,'Reference Score Calculation'!$O93)),10,IF(ISNUMBER(SEARCH($AW$104,'Reference Score Calculation'!$P93)),7,5)))))</f>
        <v>7</v>
      </c>
      <c r="BA114" s="415">
        <f>IF(ISNUMBER(SEARCH(BA$112,'Reference Score Calculation'!$O93)),10,IF(ISNUMBER(SEARCH(BA$112,'Reference Score Calculation'!$P93)),7,IF(ISNUMBER(SEARCH(BA$112,'Reference Score Calculation'!$Q93)),5,IF(ISNUMBER(SEARCH($AW$104,'Reference Score Calculation'!$O93)),10,IF(ISNUMBER(SEARCH($AW$104,'Reference Score Calculation'!$P93)),7,5)))))</f>
        <v>7</v>
      </c>
      <c r="BB114" s="415">
        <f>IF(ISNUMBER(SEARCH(BB$112,'Reference Score Calculation'!$O93)),10,IF(ISNUMBER(SEARCH(BB$112,'Reference Score Calculation'!$P93)),7,IF(ISNUMBER(SEARCH(BB$112,'Reference Score Calculation'!$Q93)),5,IF(ISNUMBER(SEARCH($AW$104,'Reference Score Calculation'!$O93)),10,IF(ISNUMBER(SEARCH($AW$104,'Reference Score Calculation'!$P93)),7,5)))))</f>
        <v>7</v>
      </c>
      <c r="BC114" s="415">
        <f>IF(ISNUMBER(SEARCH(BC$112,'Reference Score Calculation'!$O93)),10,IF(ISNUMBER(SEARCH(BC$112,'Reference Score Calculation'!$P93)),7,IF(ISNUMBER(SEARCH(BC$112,'Reference Score Calculation'!$Q93)),5,IF(ISNUMBER(SEARCH($AW$104,'Reference Score Calculation'!$O93)),10,IF(ISNUMBER(SEARCH($AW$104,'Reference Score Calculation'!$P93)),7,5)))))</f>
        <v>10</v>
      </c>
      <c r="BD114" s="415">
        <f>IF(ISNUMBER(SEARCH(BD$112,'Reference Score Calculation'!$O93)),10,IF(ISNUMBER(SEARCH(BD$112,'Reference Score Calculation'!$P93)),7,IF(ISNUMBER(SEARCH(BD$112,'Reference Score Calculation'!$Q93)),5,IF(ISNUMBER(SEARCH($AW$104,'Reference Score Calculation'!$O93)),10,IF(ISNUMBER(SEARCH($AW$104,'Reference Score Calculation'!$P93)),7,5)))))</f>
        <v>10</v>
      </c>
      <c r="BE114" s="415">
        <f>IF(ISNUMBER(SEARCH(BE$112,'Reference Score Calculation'!$O93)),10,IF(ISNUMBER(SEARCH(BE$112,'Reference Score Calculation'!$P93)),7,IF(ISNUMBER(SEARCH(BE$112,'Reference Score Calculation'!$Q93)),5,IF(ISNUMBER(SEARCH($AW$104,'Reference Score Calculation'!$O93)),10,IF(ISNUMBER(SEARCH($AW$104,'Reference Score Calculation'!$P93)),7,5)))))</f>
        <v>5</v>
      </c>
      <c r="BF114" s="415">
        <f>IF(ISNUMBER(SEARCH(BF$112,'Reference Score Calculation'!$O93)),10,IF(ISNUMBER(SEARCH(BF$112,'Reference Score Calculation'!$P93)),7,IF(ISNUMBER(SEARCH(BF$112,'Reference Score Calculation'!$Q93)),5,IF(ISNUMBER(SEARCH($AW$104,'Reference Score Calculation'!$O93)),10,IF(ISNUMBER(SEARCH($AW$104,'Reference Score Calculation'!$P93)),7,5)))))</f>
        <v>5</v>
      </c>
      <c r="BG114" s="415">
        <f>IF(ISNUMBER(SEARCH(BG$112,'Reference Score Calculation'!$O93)),10,IF(ISNUMBER(SEARCH(BG$112,'Reference Score Calculation'!$P93)),7,IF(ISNUMBER(SEARCH(BG$112,'Reference Score Calculation'!$Q93)),5,IF(ISNUMBER(SEARCH($AW$104,'Reference Score Calculation'!$O93)),10,IF(ISNUMBER(SEARCH($AW$104,'Reference Score Calculation'!$P93)),7,5)))))</f>
        <v>5</v>
      </c>
      <c r="BH114" s="415">
        <f>IF(ISNUMBER(SEARCH(BH$112,'Reference Score Calculation'!$O93)),10,IF(ISNUMBER(SEARCH(BH$112,'Reference Score Calculation'!$P93)),7,IF(ISNUMBER(SEARCH(BH$112,'Reference Score Calculation'!$Q93)),5,IF(ISNUMBER(SEARCH($AW$104,'Reference Score Calculation'!$O93)),10,IF(ISNUMBER(SEARCH($AW$104,'Reference Score Calculation'!$P93)),7,5)))))</f>
        <v>5</v>
      </c>
      <c r="BI114" s="415">
        <f>IF(ISNUMBER(SEARCH(BI$112,'Reference Score Calculation'!$O93)),10,IF(ISNUMBER(SEARCH(BI$112,'Reference Score Calculation'!$P93)),7,IF(ISNUMBER(SEARCH(BI$112,'Reference Score Calculation'!$Q93)),5,IF(ISNUMBER(SEARCH($AW$104,'Reference Score Calculation'!$O93)),10,IF(ISNUMBER(SEARCH($AW$104,'Reference Score Calculation'!$P93)),7,5)))))</f>
        <v>5</v>
      </c>
      <c r="BJ114" s="415">
        <f>IF(ISNUMBER(SEARCH(BJ$112,'Reference Score Calculation'!$O93)),10,IF(ISNUMBER(SEARCH(BJ$112,'Reference Score Calculation'!$P93)),7,IF(ISNUMBER(SEARCH(BJ$112,'Reference Score Calculation'!$Q93)),5,IF(ISNUMBER(SEARCH($AW$104,'Reference Score Calculation'!$O93)),10,IF(ISNUMBER(SEARCH($AW$104,'Reference Score Calculation'!$P93)),7,5)))))</f>
        <v>5</v>
      </c>
      <c r="BK114" s="415">
        <f>IF(ISNUMBER(SEARCH(BK$112,'Reference Score Calculation'!$O93)),10,IF(ISNUMBER(SEARCH(BK$112,'Reference Score Calculation'!$P93)),7,IF(ISNUMBER(SEARCH(BK$112,'Reference Score Calculation'!$Q93)),5,IF(ISNUMBER(SEARCH($AW$104,'Reference Score Calculation'!$O93)),10,IF(ISNUMBER(SEARCH($AW$104,'Reference Score Calculation'!$P93)),7,5)))))</f>
        <v>5</v>
      </c>
      <c r="BL114" s="415">
        <f>IF(ISNUMBER(SEARCH(BL$112,'Reference Score Calculation'!$O93)),10,IF(ISNUMBER(SEARCH(BL$112,'Reference Score Calculation'!$P93)),7,IF(ISNUMBER(SEARCH(BL$112,'Reference Score Calculation'!$Q93)),5,IF(ISNUMBER(SEARCH($AW$104,'Reference Score Calculation'!$O93)),10,IF(ISNUMBER(SEARCH($AW$104,'Reference Score Calculation'!$P93)),7,5)))))</f>
        <v>7</v>
      </c>
      <c r="BM114" s="415">
        <f>IF(ISNUMBER(SEARCH(BM$112,'Reference Score Calculation'!$O93)),10,IF(ISNUMBER(SEARCH(BM$112,'Reference Score Calculation'!$P93)),7,IF(ISNUMBER(SEARCH(BM$112,'Reference Score Calculation'!$Q93)),5,IF(ISNUMBER(SEARCH($AW$104,'Reference Score Calculation'!$O93)),10,IF(ISNUMBER(SEARCH("組合科學(任何)",'Reference Score Calculation'!$O93)),10,IF(ISNUMBER(SEARCH("組合科學(任何)",'Reference Score Calculation'!$P93)),7,IF(ISNUMBER(SEARCH("組合科學(任何)",'Reference Score Calculation'!$Q93)),5,IF(ISNUMBER(SEARCH($AW$104,'Reference Score Calculation'!$P93)),7,5))))))))</f>
        <v>10</v>
      </c>
      <c r="BN114" s="415">
        <f>IF(ISNUMBER(SEARCH(BN$112,'Reference Score Calculation'!$O93)),10,IF(ISNUMBER(SEARCH(BN$112,'Reference Score Calculation'!$P93)),7,IF(ISNUMBER(SEARCH(BN$112,'Reference Score Calculation'!$Q93)),5,IF(ISNUMBER(SEARCH($AW$104,'Reference Score Calculation'!$O93)),10,IF(ISNUMBER(SEARCH("組合科學(任何)",'Reference Score Calculation'!$O93)),10,IF(ISNUMBER(SEARCH("組合科學(任何)",'Reference Score Calculation'!$P93)),7,IF(ISNUMBER(SEARCH("組合科學(任何)",'Reference Score Calculation'!$Q93)),5,IF(ISNUMBER(SEARCH($AW$104,'Reference Score Calculation'!$P93)),7,5))))))))</f>
        <v>10</v>
      </c>
      <c r="BO114" s="415">
        <f>IF(ISNUMBER(SEARCH(BO$112,'Reference Score Calculation'!$O93)),10,IF(ISNUMBER(SEARCH(BO$112,'Reference Score Calculation'!$P93)),7,IF(ISNUMBER(SEARCH(BO$112,'Reference Score Calculation'!$Q93)),5,IF(ISNUMBER(SEARCH($AW$104,'Reference Score Calculation'!$O93)),10,IF(ISNUMBER(SEARCH("組合科學(任何)",'Reference Score Calculation'!$O93)),10,IF(ISNUMBER(SEARCH("組合科學(任何)",'Reference Score Calculation'!$P93)),7,IF(ISNUMBER(SEARCH("組合科學(任何)",'Reference Score Calculation'!$Q93)),5,IF(ISNUMBER(SEARCH($AW$104,'Reference Score Calculation'!$P93)),7,5))))))))</f>
        <v>10</v>
      </c>
      <c r="BP114" s="415">
        <f>IF(ISNUMBER(SEARCH(BP$112,'Reference Score Calculation'!$O93)),10,IF(ISNUMBER(SEARCH(BP$112,'Reference Score Calculation'!$P93)),7,IF(ISNUMBER(SEARCH(BP$112,'Reference Score Calculation'!$Q93)),5,IF(ISNUMBER(SEARCH($AW$104,'Reference Score Calculation'!$O93)),10,IF(ISNUMBER(SEARCH($AW$104,'Reference Score Calculation'!$P93)),7,5)))))</f>
        <v>5</v>
      </c>
      <c r="BQ114" s="415">
        <f>IF(ISNUMBER(SEARCH(BQ$112,'Reference Score Calculation'!$O93)),10,IF(ISNUMBER(SEARCH(BQ$112,'Reference Score Calculation'!$P93)),7,IF(ISNUMBER(SEARCH(BQ$112,'Reference Score Calculation'!$Q93)),5,IF(ISNUMBER(SEARCH($AW$104,'Reference Score Calculation'!$O93)),10,IF(ISNUMBER(SEARCH($AW$104,'Reference Score Calculation'!$P93)),7,5)))))</f>
        <v>5</v>
      </c>
      <c r="BR114" s="415">
        <f>IF(ISNUMBER(SEARCH(BR$112,'Reference Score Calculation'!$O93)),10,IF(ISNUMBER(SEARCH(BR$112,'Reference Score Calculation'!$P93)),7,IF(ISNUMBER(SEARCH(BR$112,'Reference Score Calculation'!$Q93)),5,IF(ISNUMBER(SEARCH($AW$104,'Reference Score Calculation'!$O93)),10,IF(ISNUMBER(SEARCH($AW$104,'Reference Score Calculation'!$P93)),7,5)))))</f>
        <v>5</v>
      </c>
      <c r="BS114" s="415">
        <f>IF(ISNUMBER(SEARCH(BS$112,'Reference Score Calculation'!$O93)),10,IF(ISNUMBER(SEARCH(BS$112,'Reference Score Calculation'!$P93)),7,IF(ISNUMBER(SEARCH(BS$112,'Reference Score Calculation'!$Q93)),5,IF(ISNUMBER(SEARCH($AW$104,'Reference Score Calculation'!$O93)),10,IF(ISNUMBER(SEARCH($AW$104,'Reference Score Calculation'!$P93)),7,5)))))</f>
        <v>5</v>
      </c>
      <c r="BT114" s="415">
        <f>IF(ISNUMBER(SEARCH(BT$112,'Reference Score Calculation'!$O93)),10,IF(ISNUMBER(SEARCH(BT$112,'Reference Score Calculation'!$P93)),7,IF(ISNUMBER(SEARCH(BT$112,'Reference Score Calculation'!$Q93)),5,IF(ISNUMBER(SEARCH($AW$104,'Reference Score Calculation'!$O93)),10,IF(ISNUMBER(SEARCH($AW$104,'Reference Score Calculation'!$P93)),7,5)))))</f>
        <v>5</v>
      </c>
      <c r="BU114" s="415">
        <f>IF(ISNUMBER(SEARCH(BU$112,'Reference Score Calculation'!$O93)),10,IF(ISNUMBER(SEARCH(BU$112,'Reference Score Calculation'!$P93)),7,IF(ISNUMBER(SEARCH(BU$112,'Reference Score Calculation'!$Q93)),5,IF(ISNUMBER(SEARCH($AW$104,'Reference Score Calculation'!$O93)),10,IF(ISNUMBER(SEARCH($AW$104,'Reference Score Calculation'!$P93)),7,5)))))</f>
        <v>5</v>
      </c>
      <c r="BV114" s="415">
        <f>IF(ISNUMBER(SEARCH(BV$112,'Reference Score Calculation'!$O93)),10,IF(ISNUMBER(SEARCH(BV$112,'Reference Score Calculation'!$P93)),7,IF(ISNUMBER(SEARCH(BV$112,'Reference Score Calculation'!$Q93)),5,IF(ISNUMBER(SEARCH($AW$104,'Reference Score Calculation'!$O93)),10,IF(ISNUMBER(SEARCH($AW$104,'Reference Score Calculation'!$P93)),7,5)))))</f>
        <v>5</v>
      </c>
      <c r="BW114" s="415">
        <f>IF(ISNUMBER(SEARCH(BW$112,'Reference Score Calculation'!$O93)),10,IF(ISNUMBER(SEARCH(BW$112,'Reference Score Calculation'!$P93)),7,IF(ISNUMBER(SEARCH(BW$112,'Reference Score Calculation'!$Q93)),5,IF(ISNUMBER(SEARCH($AW$104,'Reference Score Calculation'!$O93)),10,IF(ISNUMBER(SEARCH($AW$104,'Reference Score Calculation'!$P93)),7,5)))))</f>
        <v>5</v>
      </c>
      <c r="BX114" s="415">
        <f>IF(ISNUMBER(SEARCH(BX$112,'Reference Score Calculation'!$O93)),10,IF(ISNUMBER(SEARCH(BX$112,'Reference Score Calculation'!$P93)),7,IF(ISNUMBER(SEARCH(BX$112,'Reference Score Calculation'!$Q93)),5,IF(ISNUMBER(SEARCH($AW$104,'Reference Score Calculation'!$O93)),10,IF(ISNUMBER(SEARCH($AW$104,'Reference Score Calculation'!$P93)),7,5)))))</f>
        <v>5</v>
      </c>
      <c r="BY114" s="195"/>
      <c r="BZ114" s="195"/>
      <c r="CA114" s="195"/>
    </row>
    <row r="115" spans="1:79">
      <c r="B115" s="154" t="s">
        <v>253</v>
      </c>
      <c r="C115" s="145"/>
      <c r="D115" s="145"/>
      <c r="E115" s="146"/>
      <c r="F115" s="457"/>
      <c r="G115" s="19" t="s">
        <v>297</v>
      </c>
      <c r="H115" s="19" t="s">
        <v>298</v>
      </c>
      <c r="I115" s="19" t="s">
        <v>299</v>
      </c>
      <c r="J115" s="133" t="s">
        <v>245</v>
      </c>
      <c r="K115" s="133" t="s">
        <v>274</v>
      </c>
      <c r="L115" s="133" t="s">
        <v>275</v>
      </c>
      <c r="M115" s="133" t="s">
        <v>276</v>
      </c>
      <c r="N115" s="133" t="s">
        <v>277</v>
      </c>
      <c r="O115" s="133" t="s">
        <v>278</v>
      </c>
      <c r="P115" s="133" t="s">
        <v>279</v>
      </c>
      <c r="Q115" s="133" t="s">
        <v>280</v>
      </c>
      <c r="R115" s="133" t="s">
        <v>281</v>
      </c>
      <c r="S115" s="133" t="s">
        <v>282</v>
      </c>
      <c r="T115" s="133" t="s">
        <v>319</v>
      </c>
      <c r="U115" s="144"/>
      <c r="V115" s="133" t="str">
        <f t="shared" ref="V115:AE115" si="231">K1</f>
        <v>中國語文</v>
      </c>
      <c r="W115" s="133" t="str">
        <f t="shared" si="231"/>
        <v>英國語文</v>
      </c>
      <c r="X115" s="133" t="str">
        <f t="shared" si="231"/>
        <v>數學</v>
      </c>
      <c r="Y115" s="133" t="str">
        <f t="shared" si="231"/>
        <v>通識教育</v>
      </c>
      <c r="Z115" s="133" t="str">
        <f t="shared" si="231"/>
        <v>數學延伸</v>
      </c>
      <c r="AA115" s="133" t="str">
        <f t="shared" si="231"/>
        <v>請選擇第一選修科</v>
      </c>
      <c r="AB115" s="133" t="str">
        <f t="shared" si="231"/>
        <v>請選擇第二選修科</v>
      </c>
      <c r="AC115" s="133" t="str">
        <f t="shared" si="231"/>
        <v>請選擇第三選修科</v>
      </c>
      <c r="AD115" s="133" t="str">
        <f t="shared" si="231"/>
        <v>請選擇第四選修科</v>
      </c>
      <c r="AE115" s="133" t="str">
        <f t="shared" si="231"/>
        <v>請選擇語言科目</v>
      </c>
      <c r="AF115" s="133" t="s">
        <v>284</v>
      </c>
      <c r="AG115" s="133" t="s">
        <v>285</v>
      </c>
      <c r="AH115" s="133" t="s">
        <v>286</v>
      </c>
      <c r="AI115" s="133" t="s">
        <v>287</v>
      </c>
      <c r="AJ115" s="133" t="s">
        <v>288</v>
      </c>
      <c r="AK115" s="133" t="s">
        <v>289</v>
      </c>
      <c r="AL115" s="133" t="s">
        <v>290</v>
      </c>
      <c r="AM115" s="133" t="s">
        <v>291</v>
      </c>
      <c r="AN115" s="133" t="s">
        <v>292</v>
      </c>
      <c r="AO115" s="133" t="s">
        <v>320</v>
      </c>
      <c r="AP115" s="145"/>
      <c r="AQ115" s="2"/>
      <c r="AR115" s="2"/>
      <c r="AS115" s="2"/>
      <c r="AT115" s="195"/>
      <c r="AU115" s="195" t="str">
        <f>'Reference Score Calculation'!A94</f>
        <v>JS3020</v>
      </c>
      <c r="AV115" s="195"/>
      <c r="AW115" s="415">
        <f>IF(ISNUMBER(SEARCH(AW$112,'Reference Score Calculation'!$O94)),10,IF(ISNUMBER(SEARCH(AW$112,'Reference Score Calculation'!$P94)),7,IF(ISNUMBER(SEARCH(AW$112,'Reference Score Calculation'!$Q94)),5,IF(ISNUMBER(SEARCH($AW$104,'Reference Score Calculation'!$O94)),10,IF(ISNUMBER(SEARCH($AW$104,'Reference Score Calculation'!$P94)),7,5)))))</f>
        <v>7</v>
      </c>
      <c r="AX115" s="415">
        <f>IF(ISNUMBER(SEARCH(AX$112,'Reference Score Calculation'!$O94)),10,IF(ISNUMBER(SEARCH(AX$112,'Reference Score Calculation'!$P94)),7,IF(ISNUMBER(SEARCH(AX$112,'Reference Score Calculation'!$Q94)),5,IF(ISNUMBER(SEARCH($AW$104,'Reference Score Calculation'!$O94)),10,IF(ISNUMBER(SEARCH($AW$104,'Reference Score Calculation'!$P94)),7,5)))))</f>
        <v>10</v>
      </c>
      <c r="AY115" s="415">
        <f>IF(ISNUMBER(SEARCH(AY$112,'Reference Score Calculation'!$O94)),10,IF(ISNUMBER(SEARCH(AY$112,'Reference Score Calculation'!$P94)),7,IF(ISNUMBER(SEARCH(AY$112,'Reference Score Calculation'!$Q94)),5,IF(ISNUMBER(SEARCH($AW$104,'Reference Score Calculation'!$O94)),10,IF(ISNUMBER(SEARCH($AW$104,'Reference Score Calculation'!$P94)),7,5)))))</f>
        <v>10</v>
      </c>
      <c r="AZ115" s="415">
        <f>IF(ISNUMBER(SEARCH(AZ$112,'Reference Score Calculation'!$O94)),10,IF(ISNUMBER(SEARCH(AZ$112,'Reference Score Calculation'!$P94)),7,IF(ISNUMBER(SEARCH(AZ$112,'Reference Score Calculation'!$Q94)),5,IF(ISNUMBER(SEARCH($AW$104,'Reference Score Calculation'!$O94)),10,IF(ISNUMBER(SEARCH($AW$104,'Reference Score Calculation'!$P94)),7,5)))))</f>
        <v>7</v>
      </c>
      <c r="BA115" s="415">
        <f>IF(ISNUMBER(SEARCH(BA$112,'Reference Score Calculation'!$O94)),10,IF(ISNUMBER(SEARCH(BA$112,'Reference Score Calculation'!$P94)),7,IF(ISNUMBER(SEARCH(BA$112,'Reference Score Calculation'!$Q94)),5,IF(ISNUMBER(SEARCH($AW$104,'Reference Score Calculation'!$O94)),10,IF(ISNUMBER(SEARCH($AW$104,'Reference Score Calculation'!$P94)),7,5)))))</f>
        <v>7</v>
      </c>
      <c r="BB115" s="415">
        <f>IF(ISNUMBER(SEARCH(BB$112,'Reference Score Calculation'!$O94)),10,IF(ISNUMBER(SEARCH(BB$112,'Reference Score Calculation'!$P94)),7,IF(ISNUMBER(SEARCH(BB$112,'Reference Score Calculation'!$Q94)),5,IF(ISNUMBER(SEARCH($AW$104,'Reference Score Calculation'!$O94)),10,IF(ISNUMBER(SEARCH($AW$104,'Reference Score Calculation'!$P94)),7,5)))))</f>
        <v>7</v>
      </c>
      <c r="BC115" s="415">
        <f>IF(ISNUMBER(SEARCH(BC$112,'Reference Score Calculation'!$O94)),10,IF(ISNUMBER(SEARCH(BC$112,'Reference Score Calculation'!$P94)),7,IF(ISNUMBER(SEARCH(BC$112,'Reference Score Calculation'!$Q94)),5,IF(ISNUMBER(SEARCH($AW$104,'Reference Score Calculation'!$O94)),10,IF(ISNUMBER(SEARCH($AW$104,'Reference Score Calculation'!$P94)),7,5)))))</f>
        <v>7</v>
      </c>
      <c r="BD115" s="415">
        <f>IF(ISNUMBER(SEARCH(BD$112,'Reference Score Calculation'!$O94)),10,IF(ISNUMBER(SEARCH(BD$112,'Reference Score Calculation'!$P94)),7,IF(ISNUMBER(SEARCH(BD$112,'Reference Score Calculation'!$Q94)),5,IF(ISNUMBER(SEARCH($AW$104,'Reference Score Calculation'!$O94)),10,IF(ISNUMBER(SEARCH($AW$104,'Reference Score Calculation'!$P94)),7,5)))))</f>
        <v>7</v>
      </c>
      <c r="BE115" s="415">
        <f>IF(ISNUMBER(SEARCH(BE$112,'Reference Score Calculation'!$O94)),10,IF(ISNUMBER(SEARCH(BE$112,'Reference Score Calculation'!$P94)),7,IF(ISNUMBER(SEARCH(BE$112,'Reference Score Calculation'!$Q94)),5,IF(ISNUMBER(SEARCH($AW$104,'Reference Score Calculation'!$O94)),10,IF(ISNUMBER(SEARCH($AW$104,'Reference Score Calculation'!$P94)),7,5)))))</f>
        <v>7</v>
      </c>
      <c r="BF115" s="415">
        <f>IF(ISNUMBER(SEARCH(BF$112,'Reference Score Calculation'!$O94)),10,IF(ISNUMBER(SEARCH(BF$112,'Reference Score Calculation'!$P94)),7,IF(ISNUMBER(SEARCH(BF$112,'Reference Score Calculation'!$Q94)),5,IF(ISNUMBER(SEARCH($AW$104,'Reference Score Calculation'!$O94)),10,IF(ISNUMBER(SEARCH($AW$104,'Reference Score Calculation'!$P94)),7,5)))))</f>
        <v>5</v>
      </c>
      <c r="BG115" s="415">
        <f>IF(ISNUMBER(SEARCH(BG$112,'Reference Score Calculation'!$O94)),10,IF(ISNUMBER(SEARCH(BG$112,'Reference Score Calculation'!$P94)),7,IF(ISNUMBER(SEARCH(BG$112,'Reference Score Calculation'!$Q94)),5,IF(ISNUMBER(SEARCH($AW$104,'Reference Score Calculation'!$O94)),10,IF(ISNUMBER(SEARCH($AW$104,'Reference Score Calculation'!$P94)),7,5)))))</f>
        <v>5</v>
      </c>
      <c r="BH115" s="415">
        <f>IF(ISNUMBER(SEARCH(BH$112,'Reference Score Calculation'!$O94)),10,IF(ISNUMBER(SEARCH(BH$112,'Reference Score Calculation'!$P94)),7,IF(ISNUMBER(SEARCH(BH$112,'Reference Score Calculation'!$Q94)),5,IF(ISNUMBER(SEARCH($AW$104,'Reference Score Calculation'!$O94)),10,IF(ISNUMBER(SEARCH($AW$104,'Reference Score Calculation'!$P94)),7,5)))))</f>
        <v>5</v>
      </c>
      <c r="BI115" s="415">
        <f>IF(ISNUMBER(SEARCH(BI$112,'Reference Score Calculation'!$O94)),10,IF(ISNUMBER(SEARCH(BI$112,'Reference Score Calculation'!$P94)),7,IF(ISNUMBER(SEARCH(BI$112,'Reference Score Calculation'!$Q94)),5,IF(ISNUMBER(SEARCH($AW$104,'Reference Score Calculation'!$O94)),10,IF(ISNUMBER(SEARCH($AW$104,'Reference Score Calculation'!$P94)),7,5)))))</f>
        <v>5</v>
      </c>
      <c r="BJ115" s="415">
        <f>IF(ISNUMBER(SEARCH(BJ$112,'Reference Score Calculation'!$O94)),10,IF(ISNUMBER(SEARCH(BJ$112,'Reference Score Calculation'!$P94)),7,IF(ISNUMBER(SEARCH(BJ$112,'Reference Score Calculation'!$Q94)),5,IF(ISNUMBER(SEARCH($AW$104,'Reference Score Calculation'!$O94)),10,IF(ISNUMBER(SEARCH($AW$104,'Reference Score Calculation'!$P94)),7,5)))))</f>
        <v>5</v>
      </c>
      <c r="BK115" s="415">
        <f>IF(ISNUMBER(SEARCH(BK$112,'Reference Score Calculation'!$O94)),10,IF(ISNUMBER(SEARCH(BK$112,'Reference Score Calculation'!$P94)),7,IF(ISNUMBER(SEARCH(BK$112,'Reference Score Calculation'!$Q94)),5,IF(ISNUMBER(SEARCH($AW$104,'Reference Score Calculation'!$O94)),10,IF(ISNUMBER(SEARCH($AW$104,'Reference Score Calculation'!$P94)),7,5)))))</f>
        <v>5</v>
      </c>
      <c r="BL115" s="415">
        <f>IF(ISNUMBER(SEARCH(BL$112,'Reference Score Calculation'!$O94)),10,IF(ISNUMBER(SEARCH(BL$112,'Reference Score Calculation'!$P94)),7,IF(ISNUMBER(SEARCH(BL$112,'Reference Score Calculation'!$Q94)),5,IF(ISNUMBER(SEARCH($AW$104,'Reference Score Calculation'!$O94)),10,IF(ISNUMBER(SEARCH($AW$104,'Reference Score Calculation'!$P94)),7,5)))))</f>
        <v>5</v>
      </c>
      <c r="BM115" s="415">
        <f>IF(ISNUMBER(SEARCH(BM$112,'Reference Score Calculation'!$O94)),10,IF(ISNUMBER(SEARCH(BM$112,'Reference Score Calculation'!$P94)),7,IF(ISNUMBER(SEARCH(BM$112,'Reference Score Calculation'!$Q94)),5,IF(ISNUMBER(SEARCH($AW$104,'Reference Score Calculation'!$O94)),10,IF(ISNUMBER(SEARCH("組合科學(任何)",'Reference Score Calculation'!$O94)),10,IF(ISNUMBER(SEARCH("組合科學(任何)",'Reference Score Calculation'!$P94)),7,IF(ISNUMBER(SEARCH("組合科學(任何)",'Reference Score Calculation'!$Q94)),5,IF(ISNUMBER(SEARCH($AW$104,'Reference Score Calculation'!$P94)),7,5))))))))</f>
        <v>7</v>
      </c>
      <c r="BN115" s="415">
        <f>IF(ISNUMBER(SEARCH(BN$112,'Reference Score Calculation'!$O94)),10,IF(ISNUMBER(SEARCH(BN$112,'Reference Score Calculation'!$P94)),7,IF(ISNUMBER(SEARCH(BN$112,'Reference Score Calculation'!$Q94)),5,IF(ISNUMBER(SEARCH($AW$104,'Reference Score Calculation'!$O94)),10,IF(ISNUMBER(SEARCH("組合科學(任何)",'Reference Score Calculation'!$O94)),10,IF(ISNUMBER(SEARCH("組合科學(任何)",'Reference Score Calculation'!$P94)),7,IF(ISNUMBER(SEARCH("組合科學(任何)",'Reference Score Calculation'!$Q94)),5,IF(ISNUMBER(SEARCH($AW$104,'Reference Score Calculation'!$P94)),7,5))))))))</f>
        <v>7</v>
      </c>
      <c r="BO115" s="415">
        <f>IF(ISNUMBER(SEARCH(BO$112,'Reference Score Calculation'!$O94)),10,IF(ISNUMBER(SEARCH(BO$112,'Reference Score Calculation'!$P94)),7,IF(ISNUMBER(SEARCH(BO$112,'Reference Score Calculation'!$Q94)),5,IF(ISNUMBER(SEARCH($AW$104,'Reference Score Calculation'!$O94)),10,IF(ISNUMBER(SEARCH("組合科學(任何)",'Reference Score Calculation'!$O94)),10,IF(ISNUMBER(SEARCH("組合科學(任何)",'Reference Score Calculation'!$P94)),7,IF(ISNUMBER(SEARCH("組合科學(任何)",'Reference Score Calculation'!$Q94)),5,IF(ISNUMBER(SEARCH($AW$104,'Reference Score Calculation'!$P94)),7,5))))))))</f>
        <v>7</v>
      </c>
      <c r="BP115" s="415">
        <f>IF(ISNUMBER(SEARCH(BP$112,'Reference Score Calculation'!$O94)),10,IF(ISNUMBER(SEARCH(BP$112,'Reference Score Calculation'!$P94)),7,IF(ISNUMBER(SEARCH(BP$112,'Reference Score Calculation'!$Q94)),5,IF(ISNUMBER(SEARCH($AW$104,'Reference Score Calculation'!$O94)),10,IF(ISNUMBER(SEARCH($AW$104,'Reference Score Calculation'!$P94)),7,5)))))</f>
        <v>5</v>
      </c>
      <c r="BQ115" s="415">
        <f>IF(ISNUMBER(SEARCH(BQ$112,'Reference Score Calculation'!$O94)),10,IF(ISNUMBER(SEARCH(BQ$112,'Reference Score Calculation'!$P94)),7,IF(ISNUMBER(SEARCH(BQ$112,'Reference Score Calculation'!$Q94)),5,IF(ISNUMBER(SEARCH($AW$104,'Reference Score Calculation'!$O94)),10,IF(ISNUMBER(SEARCH($AW$104,'Reference Score Calculation'!$P94)),7,5)))))</f>
        <v>5</v>
      </c>
      <c r="BR115" s="415">
        <f>IF(ISNUMBER(SEARCH(BR$112,'Reference Score Calculation'!$O94)),10,IF(ISNUMBER(SEARCH(BR$112,'Reference Score Calculation'!$P94)),7,IF(ISNUMBER(SEARCH(BR$112,'Reference Score Calculation'!$Q94)),5,IF(ISNUMBER(SEARCH($AW$104,'Reference Score Calculation'!$O94)),10,IF(ISNUMBER(SEARCH($AW$104,'Reference Score Calculation'!$P94)),7,5)))))</f>
        <v>5</v>
      </c>
      <c r="BS115" s="415">
        <f>IF(ISNUMBER(SEARCH(BS$112,'Reference Score Calculation'!$O94)),10,IF(ISNUMBER(SEARCH(BS$112,'Reference Score Calculation'!$P94)),7,IF(ISNUMBER(SEARCH(BS$112,'Reference Score Calculation'!$Q94)),5,IF(ISNUMBER(SEARCH($AW$104,'Reference Score Calculation'!$O94)),10,IF(ISNUMBER(SEARCH($AW$104,'Reference Score Calculation'!$P94)),7,5)))))</f>
        <v>5</v>
      </c>
      <c r="BT115" s="415">
        <f>IF(ISNUMBER(SEARCH(BT$112,'Reference Score Calculation'!$O94)),10,IF(ISNUMBER(SEARCH(BT$112,'Reference Score Calculation'!$P94)),7,IF(ISNUMBER(SEARCH(BT$112,'Reference Score Calculation'!$Q94)),5,IF(ISNUMBER(SEARCH($AW$104,'Reference Score Calculation'!$O94)),10,IF(ISNUMBER(SEARCH($AW$104,'Reference Score Calculation'!$P94)),7,5)))))</f>
        <v>5</v>
      </c>
      <c r="BU115" s="415">
        <f>IF(ISNUMBER(SEARCH(BU$112,'Reference Score Calculation'!$O94)),10,IF(ISNUMBER(SEARCH(BU$112,'Reference Score Calculation'!$P94)),7,IF(ISNUMBER(SEARCH(BU$112,'Reference Score Calculation'!$Q94)),5,IF(ISNUMBER(SEARCH($AW$104,'Reference Score Calculation'!$O94)),10,IF(ISNUMBER(SEARCH($AW$104,'Reference Score Calculation'!$P94)),7,5)))))</f>
        <v>7</v>
      </c>
      <c r="BV115" s="415">
        <f>IF(ISNUMBER(SEARCH(BV$112,'Reference Score Calculation'!$O94)),10,IF(ISNUMBER(SEARCH(BV$112,'Reference Score Calculation'!$P94)),7,IF(ISNUMBER(SEARCH(BV$112,'Reference Score Calculation'!$Q94)),5,IF(ISNUMBER(SEARCH($AW$104,'Reference Score Calculation'!$O94)),10,IF(ISNUMBER(SEARCH($AW$104,'Reference Score Calculation'!$P94)),7,5)))))</f>
        <v>5</v>
      </c>
      <c r="BW115" s="415">
        <f>IF(ISNUMBER(SEARCH(BW$112,'Reference Score Calculation'!$O94)),10,IF(ISNUMBER(SEARCH(BW$112,'Reference Score Calculation'!$P94)),7,IF(ISNUMBER(SEARCH(BW$112,'Reference Score Calculation'!$Q94)),5,IF(ISNUMBER(SEARCH($AW$104,'Reference Score Calculation'!$O94)),10,IF(ISNUMBER(SEARCH($AW$104,'Reference Score Calculation'!$P94)),7,5)))))</f>
        <v>5</v>
      </c>
      <c r="BX115" s="415">
        <f>IF(ISNUMBER(SEARCH(BX$112,'Reference Score Calculation'!$O94)),10,IF(ISNUMBER(SEARCH(BX$112,'Reference Score Calculation'!$P94)),7,IF(ISNUMBER(SEARCH(BX$112,'Reference Score Calculation'!$Q94)),5,IF(ISNUMBER(SEARCH($AW$104,'Reference Score Calculation'!$O94)),10,IF(ISNUMBER(SEARCH($AW$104,'Reference Score Calculation'!$P94)),7,5)))))</f>
        <v>7</v>
      </c>
      <c r="BY115" s="195"/>
      <c r="BZ115" s="195"/>
      <c r="CA115" s="195"/>
    </row>
    <row r="116" spans="1:79" s="145" customFormat="1">
      <c r="A116" s="119" t="str">
        <f>'Reference Score Calculation'!A93</f>
        <v>JS3011</v>
      </c>
      <c r="B116" s="119" t="str">
        <f>'Reference Score Calculation'!A93</f>
        <v>JS3011</v>
      </c>
      <c r="C116" s="119" t="str">
        <f>'Reference Score Calculation'!D93</f>
        <v>生物科技及化學科技(榮譽)理學士組合課程</v>
      </c>
      <c r="D116" s="119" t="str">
        <f>'Reference Score Calculation'!E93</f>
        <v>Best 5</v>
      </c>
      <c r="E116" s="134" t="str">
        <f>'Reference Score Calculation'!E93</f>
        <v>Best 5</v>
      </c>
      <c r="F116" s="134"/>
      <c r="G116" s="119" t="str">
        <f>入學要求!AB102</f>
        <v>v</v>
      </c>
      <c r="H116" s="119" t="str">
        <f>入學要求!AC102</f>
        <v>E</v>
      </c>
      <c r="I116" s="119" t="str">
        <f>入學要求!AD102</f>
        <v>v</v>
      </c>
      <c r="J116" s="119">
        <f>SUMIF(AF116:AO116,TRUE,V116:AE116)</f>
        <v>1.6050000000000001E-8</v>
      </c>
      <c r="K116" s="119">
        <f t="shared" ref="K116:M135" si="232">IFERROR(INDEX($AW114:$BX114,MATCH(K$1,$AW$113:$BX$113,0)),0)</f>
        <v>7</v>
      </c>
      <c r="L116" s="119">
        <f t="shared" si="232"/>
        <v>10</v>
      </c>
      <c r="M116" s="119">
        <f t="shared" si="232"/>
        <v>10</v>
      </c>
      <c r="N116" s="119">
        <v>0</v>
      </c>
      <c r="O116" s="119">
        <f t="shared" ref="O116:S125" si="233">IFERROR(INDEX($AW114:$BX114,MATCH(O$1,$AW$113:$BX$113,0)),0)</f>
        <v>7</v>
      </c>
      <c r="P116" s="119">
        <f t="shared" si="233"/>
        <v>0</v>
      </c>
      <c r="Q116" s="119">
        <f t="shared" si="233"/>
        <v>0</v>
      </c>
      <c r="R116" s="119">
        <f t="shared" si="233"/>
        <v>0</v>
      </c>
      <c r="S116" s="119">
        <f t="shared" si="233"/>
        <v>0</v>
      </c>
      <c r="T116" s="119">
        <v>5</v>
      </c>
      <c r="U116" s="119"/>
      <c r="V116" s="119">
        <f t="shared" ref="V116:V148" si="234">K$5*K116</f>
        <v>2.8000000000000003E-9</v>
      </c>
      <c r="W116" s="119">
        <f t="shared" ref="W116:W148" si="235">L$5*L116</f>
        <v>2.0000000000000001E-9</v>
      </c>
      <c r="X116" s="119">
        <f t="shared" ref="X116:X148" si="236">M$5*M116</f>
        <v>3E-9</v>
      </c>
      <c r="Y116" s="119">
        <f t="shared" ref="Y116:Y148" si="237">N$5*N116</f>
        <v>0</v>
      </c>
      <c r="Z116" s="119">
        <f t="shared" ref="Z116:Z148" si="238">IF(G116="v",O$5*O116,0)</f>
        <v>3.5000000000000003E-9</v>
      </c>
      <c r="AA116" s="119">
        <f t="shared" ref="AA116:AA148" si="239">P$5*P116</f>
        <v>0</v>
      </c>
      <c r="AB116" s="119">
        <f t="shared" ref="AB116:AB148" si="240">Q$5*Q116</f>
        <v>0</v>
      </c>
      <c r="AC116" s="119">
        <f t="shared" ref="AC116:AC148" si="241">R$5*R116</f>
        <v>0</v>
      </c>
      <c r="AD116" s="119">
        <f t="shared" ref="AD116:AD148" si="242">S$5*S116</f>
        <v>0</v>
      </c>
      <c r="AE116" s="119">
        <f t="shared" ref="AE116:AE148" si="243">IF(H116="E",T$5*T116,0)</f>
        <v>4.7500000000000003E-9</v>
      </c>
      <c r="AF116" s="119" t="b">
        <f t="shared" ref="AF116:AF130" si="244">IF($E116="4C2X",TRUE,IF($E116="Best 5",IF(V116&gt;LARGE($V116:$AE116,6),TRUE),IF($E116="Best 6",IF(V116&gt;LARGE($V116:$AE116,7),TRUE))))</f>
        <v>1</v>
      </c>
      <c r="AG116" s="119" t="b">
        <f t="shared" ref="AG116:AG130" si="245">IF($E116="4C2X",TRUE,IF($E116="Best 5",IF(W116&gt;LARGE($V116:$AE116,6),TRUE),IF($E116="Best 6",IF(W116&gt;LARGE($V116:$AE116,7),TRUE))))</f>
        <v>1</v>
      </c>
      <c r="AH116" s="119" t="b">
        <f t="shared" ref="AH116:AH130" si="246">IF($E116="4C2X",TRUE,IF($E116="Best 5",IF(X116&gt;LARGE($V116:$AE116,6),TRUE),IF($E116="Best 6",IF(X116&gt;LARGE($V116:$AE116,7),TRUE))))</f>
        <v>1</v>
      </c>
      <c r="AI116" s="119" t="b">
        <f t="shared" ref="AI116:AI130" si="247">IF($E116="4C2X",TRUE,IF($E116="Best 5",IF(Y116&gt;LARGE($V116:$AE116,6),TRUE),IF($E116="Best 6",IF(Y116&gt;LARGE($V116:$AE116,7),TRUE))))</f>
        <v>0</v>
      </c>
      <c r="AJ116" s="119" t="b">
        <f t="shared" ref="AJ116:AJ130" si="248">IF($E116="4C2X",IF(Z116&gt;LARGE($Z116:$AE116,3),TRUE),IF($E116="Best 5",IF(Z116&gt;LARGE($V116:$AE116,6),TRUE),IF($E116="Best 6",IF(Z116&gt;LARGE($V116:$AE116,7),TRUE))))</f>
        <v>1</v>
      </c>
      <c r="AK116" s="119" t="b">
        <f t="shared" ref="AK116:AK130" si="249">IF($E116="4C2X",IF(AA116&gt;LARGE($Z116:$AE116,3),TRUE),IF($E116="Best 5",IF(AA116&gt;LARGE($V116:$AE116,6),TRUE),IF($E116="Best 6",IF(AA116&gt;LARGE($V116:$AE116,7),TRUE))))</f>
        <v>0</v>
      </c>
      <c r="AL116" s="119" t="b">
        <f t="shared" ref="AL116:AL130" si="250">IF($E116="4C2X",IF(AB116&gt;LARGE($Z116:$AE116,3),TRUE),IF($E116="Best 5",IF(AB116&gt;LARGE($V116:$AE116,6),TRUE),IF($E116="Best 6",IF(AB116&gt;LARGE($V116:$AE116,7),TRUE))))</f>
        <v>0</v>
      </c>
      <c r="AM116" s="119" t="b">
        <f t="shared" ref="AM116:AM130" si="251">IF($E116="4C2X",IF(AC116&gt;LARGE($Z116:$AE116,3),TRUE),IF($E116="Best 5",IF(AC116&gt;LARGE($V116:$AE116,6),TRUE),IF($E116="Best 6",IF(AC116&gt;LARGE($V116:$AE116,7),TRUE))))</f>
        <v>0</v>
      </c>
      <c r="AN116" s="119" t="b">
        <f t="shared" ref="AN116:AN130" si="252">IF($E116="4C2X",IF(AD116&gt;LARGE($Z116:$AE116,3),TRUE),IF($E116="Best 5",IF(AD116&gt;LARGE($V116:$AE116,6),TRUE),IF($E116="Best 6",IF(AD116&gt;LARGE($V116:$AE116,7),TRUE))))</f>
        <v>0</v>
      </c>
      <c r="AO116" s="119" t="b">
        <f t="shared" ref="AO116:AO130" si="253">IF($E116="4C2X",IF(AE116&gt;LARGE($Z116:$AE116,3),TRUE),IF($E116="Best 5",IF(AE116&gt;LARGE($V116:$AE116,6),TRUE),IF($E116="Best 6",IF(AE116&gt;LARGE($V116:$AE116,7),TRUE))))</f>
        <v>1</v>
      </c>
      <c r="AP116" s="119"/>
      <c r="AQ116" s="2"/>
      <c r="AR116" s="2"/>
      <c r="AS116" s="2"/>
      <c r="AT116" s="195"/>
      <c r="AU116" s="195" t="str">
        <f>'Reference Score Calculation'!A95</f>
        <v>JS3030</v>
      </c>
      <c r="AV116" s="195"/>
      <c r="AW116" s="415">
        <f>IF(ISNUMBER(SEARCH(AW$112,'Reference Score Calculation'!$O95)),10,IF(ISNUMBER(SEARCH(AW$112,'Reference Score Calculation'!$P95)),7,IF(ISNUMBER(SEARCH(AW$112,'Reference Score Calculation'!$Q95)),5,IF(ISNUMBER(SEARCH($AW$104,'Reference Score Calculation'!$O95)),10,IF(ISNUMBER(SEARCH($AW$104,'Reference Score Calculation'!$P95)),7,5)))))</f>
        <v>7</v>
      </c>
      <c r="AX116" s="415">
        <f>IF(ISNUMBER(SEARCH(AX$112,'Reference Score Calculation'!$O95)),10,IF(ISNUMBER(SEARCH(AX$112,'Reference Score Calculation'!$P95)),7,IF(ISNUMBER(SEARCH(AX$112,'Reference Score Calculation'!$Q95)),5,IF(ISNUMBER(SEARCH($AW$104,'Reference Score Calculation'!$O95)),10,IF(ISNUMBER(SEARCH($AW$104,'Reference Score Calculation'!$P95)),7,5)))))</f>
        <v>10</v>
      </c>
      <c r="AY116" s="415">
        <f>IF(ISNUMBER(SEARCH(AY$112,'Reference Score Calculation'!$O95)),10,IF(ISNUMBER(SEARCH(AY$112,'Reference Score Calculation'!$P95)),7,IF(ISNUMBER(SEARCH(AY$112,'Reference Score Calculation'!$Q95)),5,IF(ISNUMBER(SEARCH($AW$104,'Reference Score Calculation'!$O95)),10,IF(ISNUMBER(SEARCH($AW$104,'Reference Score Calculation'!$P95)),7,5)))))</f>
        <v>10</v>
      </c>
      <c r="AZ116" s="415">
        <f>IF(ISNUMBER(SEARCH(AZ$112,'Reference Score Calculation'!$O95)),10,IF(ISNUMBER(SEARCH(AZ$112,'Reference Score Calculation'!$P95)),7,IF(ISNUMBER(SEARCH(AZ$112,'Reference Score Calculation'!$Q95)),5,IF(ISNUMBER(SEARCH($AW$104,'Reference Score Calculation'!$O95)),10,IF(ISNUMBER(SEARCH($AW$104,'Reference Score Calculation'!$P95)),7,5)))))</f>
        <v>7</v>
      </c>
      <c r="BA116" s="415">
        <f>IF(ISNUMBER(SEARCH(BA$112,'Reference Score Calculation'!$O95)),10,IF(ISNUMBER(SEARCH(BA$112,'Reference Score Calculation'!$P95)),7,IF(ISNUMBER(SEARCH(BA$112,'Reference Score Calculation'!$Q95)),5,IF(ISNUMBER(SEARCH($AW$104,'Reference Score Calculation'!$O95)),10,IF(ISNUMBER(SEARCH($AW$104,'Reference Score Calculation'!$P95)),7,5)))))</f>
        <v>10</v>
      </c>
      <c r="BB116" s="415">
        <f>IF(ISNUMBER(SEARCH(BB$112,'Reference Score Calculation'!$O95)),10,IF(ISNUMBER(SEARCH(BB$112,'Reference Score Calculation'!$P95)),7,IF(ISNUMBER(SEARCH(BB$112,'Reference Score Calculation'!$Q95)),5,IF(ISNUMBER(SEARCH($AW$104,'Reference Score Calculation'!$O95)),10,IF(ISNUMBER(SEARCH($AW$104,'Reference Score Calculation'!$P95)),7,5)))))</f>
        <v>10</v>
      </c>
      <c r="BC116" s="415">
        <f>IF(ISNUMBER(SEARCH(BC$112,'Reference Score Calculation'!$O95)),10,IF(ISNUMBER(SEARCH(BC$112,'Reference Score Calculation'!$P95)),7,IF(ISNUMBER(SEARCH(BC$112,'Reference Score Calculation'!$Q95)),5,IF(ISNUMBER(SEARCH($AW$104,'Reference Score Calculation'!$O95)),10,IF(ISNUMBER(SEARCH($AW$104,'Reference Score Calculation'!$P95)),7,5)))))</f>
        <v>10</v>
      </c>
      <c r="BD116" s="415">
        <f>IF(ISNUMBER(SEARCH(BD$112,'Reference Score Calculation'!$O95)),10,IF(ISNUMBER(SEARCH(BD$112,'Reference Score Calculation'!$P95)),7,IF(ISNUMBER(SEARCH(BD$112,'Reference Score Calculation'!$Q95)),5,IF(ISNUMBER(SEARCH($AW$104,'Reference Score Calculation'!$O95)),10,IF(ISNUMBER(SEARCH($AW$104,'Reference Score Calculation'!$P95)),7,5)))))</f>
        <v>10</v>
      </c>
      <c r="BE116" s="415">
        <f>IF(ISNUMBER(SEARCH(BE$112,'Reference Score Calculation'!$O95)),10,IF(ISNUMBER(SEARCH(BE$112,'Reference Score Calculation'!$P95)),7,IF(ISNUMBER(SEARCH(BE$112,'Reference Score Calculation'!$Q95)),5,IF(ISNUMBER(SEARCH($AW$104,'Reference Score Calculation'!$O95)),10,IF(ISNUMBER(SEARCH($AW$104,'Reference Score Calculation'!$P95)),7,5)))))</f>
        <v>5</v>
      </c>
      <c r="BF116" s="415">
        <f>IF(ISNUMBER(SEARCH(BF$112,'Reference Score Calculation'!$O95)),10,IF(ISNUMBER(SEARCH(BF$112,'Reference Score Calculation'!$P95)),7,IF(ISNUMBER(SEARCH(BF$112,'Reference Score Calculation'!$Q95)),5,IF(ISNUMBER(SEARCH($AW$104,'Reference Score Calculation'!$O95)),10,IF(ISNUMBER(SEARCH($AW$104,'Reference Score Calculation'!$P95)),7,5)))))</f>
        <v>5</v>
      </c>
      <c r="BG116" s="415">
        <f>IF(ISNUMBER(SEARCH(BG$112,'Reference Score Calculation'!$O95)),10,IF(ISNUMBER(SEARCH(BG$112,'Reference Score Calculation'!$P95)),7,IF(ISNUMBER(SEARCH(BG$112,'Reference Score Calculation'!$Q95)),5,IF(ISNUMBER(SEARCH($AW$104,'Reference Score Calculation'!$O95)),10,IF(ISNUMBER(SEARCH($AW$104,'Reference Score Calculation'!$P95)),7,5)))))</f>
        <v>5</v>
      </c>
      <c r="BH116" s="415">
        <f>IF(ISNUMBER(SEARCH(BH$112,'Reference Score Calculation'!$O95)),10,IF(ISNUMBER(SEARCH(BH$112,'Reference Score Calculation'!$P95)),7,IF(ISNUMBER(SEARCH(BH$112,'Reference Score Calculation'!$Q95)),5,IF(ISNUMBER(SEARCH($AW$104,'Reference Score Calculation'!$O95)),10,IF(ISNUMBER(SEARCH($AW$104,'Reference Score Calculation'!$P95)),7,5)))))</f>
        <v>5</v>
      </c>
      <c r="BI116" s="415">
        <f>IF(ISNUMBER(SEARCH(BI$112,'Reference Score Calculation'!$O95)),10,IF(ISNUMBER(SEARCH(BI$112,'Reference Score Calculation'!$P95)),7,IF(ISNUMBER(SEARCH(BI$112,'Reference Score Calculation'!$Q95)),5,IF(ISNUMBER(SEARCH($AW$104,'Reference Score Calculation'!$O95)),10,IF(ISNUMBER(SEARCH($AW$104,'Reference Score Calculation'!$P95)),7,5)))))</f>
        <v>5</v>
      </c>
      <c r="BJ116" s="415">
        <f>IF(ISNUMBER(SEARCH(BJ$112,'Reference Score Calculation'!$O95)),10,IF(ISNUMBER(SEARCH(BJ$112,'Reference Score Calculation'!$P95)),7,IF(ISNUMBER(SEARCH(BJ$112,'Reference Score Calculation'!$Q95)),5,IF(ISNUMBER(SEARCH($AW$104,'Reference Score Calculation'!$O95)),10,IF(ISNUMBER(SEARCH($AW$104,'Reference Score Calculation'!$P95)),7,5)))))</f>
        <v>5</v>
      </c>
      <c r="BK116" s="415">
        <f>IF(ISNUMBER(SEARCH(BK$112,'Reference Score Calculation'!$O95)),10,IF(ISNUMBER(SEARCH(BK$112,'Reference Score Calculation'!$P95)),7,IF(ISNUMBER(SEARCH(BK$112,'Reference Score Calculation'!$Q95)),5,IF(ISNUMBER(SEARCH($AW$104,'Reference Score Calculation'!$O95)),10,IF(ISNUMBER(SEARCH($AW$104,'Reference Score Calculation'!$P95)),7,5)))))</f>
        <v>5</v>
      </c>
      <c r="BL116" s="415">
        <f>IF(ISNUMBER(SEARCH(BL$112,'Reference Score Calculation'!$O95)),10,IF(ISNUMBER(SEARCH(BL$112,'Reference Score Calculation'!$P95)),7,IF(ISNUMBER(SEARCH(BL$112,'Reference Score Calculation'!$Q95)),5,IF(ISNUMBER(SEARCH($AW$104,'Reference Score Calculation'!$O95)),10,IF(ISNUMBER(SEARCH($AW$104,'Reference Score Calculation'!$P95)),7,5)))))</f>
        <v>7</v>
      </c>
      <c r="BM116" s="415">
        <f>IF(ISNUMBER(SEARCH(BM$112,'Reference Score Calculation'!$O95)),10,IF(ISNUMBER(SEARCH(BM$112,'Reference Score Calculation'!$P95)),7,IF(ISNUMBER(SEARCH(BM$112,'Reference Score Calculation'!$Q95)),5,IF(ISNUMBER(SEARCH($AW$104,'Reference Score Calculation'!$O95)),10,IF(ISNUMBER(SEARCH("組合科學(任何)",'Reference Score Calculation'!$O95)),10,IF(ISNUMBER(SEARCH("組合科學(任何)",'Reference Score Calculation'!$P95)),7,IF(ISNUMBER(SEARCH("組合科學(任何)",'Reference Score Calculation'!$Q95)),5,IF(ISNUMBER(SEARCH($AW$104,'Reference Score Calculation'!$P95)),7,5))))))))</f>
        <v>10</v>
      </c>
      <c r="BN116" s="415">
        <f>IF(ISNUMBER(SEARCH(BN$112,'Reference Score Calculation'!$O95)),10,IF(ISNUMBER(SEARCH(BN$112,'Reference Score Calculation'!$P95)),7,IF(ISNUMBER(SEARCH(BN$112,'Reference Score Calculation'!$Q95)),5,IF(ISNUMBER(SEARCH($AW$104,'Reference Score Calculation'!$O95)),10,IF(ISNUMBER(SEARCH("組合科學(任何)",'Reference Score Calculation'!$O95)),10,IF(ISNUMBER(SEARCH("組合科學(任何)",'Reference Score Calculation'!$P95)),7,IF(ISNUMBER(SEARCH("組合科學(任何)",'Reference Score Calculation'!$Q95)),5,IF(ISNUMBER(SEARCH($AW$104,'Reference Score Calculation'!$P95)),7,5))))))))</f>
        <v>7</v>
      </c>
      <c r="BO116" s="415">
        <f>IF(ISNUMBER(SEARCH(BO$112,'Reference Score Calculation'!$O95)),10,IF(ISNUMBER(SEARCH(BO$112,'Reference Score Calculation'!$P95)),7,IF(ISNUMBER(SEARCH(BO$112,'Reference Score Calculation'!$Q95)),5,IF(ISNUMBER(SEARCH($AW$104,'Reference Score Calculation'!$O95)),10,IF(ISNUMBER(SEARCH("組合科學(任何)",'Reference Score Calculation'!$O95)),10,IF(ISNUMBER(SEARCH("組合科學(任何)",'Reference Score Calculation'!$P95)),7,IF(ISNUMBER(SEARCH("組合科學(任何)",'Reference Score Calculation'!$Q95)),5,IF(ISNUMBER(SEARCH($AW$104,'Reference Score Calculation'!$P95)),7,5))))))))</f>
        <v>10</v>
      </c>
      <c r="BP116" s="415">
        <f>IF(ISNUMBER(SEARCH(BP$112,'Reference Score Calculation'!$O95)),10,IF(ISNUMBER(SEARCH(BP$112,'Reference Score Calculation'!$P95)),7,IF(ISNUMBER(SEARCH(BP$112,'Reference Score Calculation'!$Q95)),5,IF(ISNUMBER(SEARCH($AW$104,'Reference Score Calculation'!$O95)),10,IF(ISNUMBER(SEARCH($AW$104,'Reference Score Calculation'!$P95)),7,5)))))</f>
        <v>5</v>
      </c>
      <c r="BQ116" s="415">
        <f>IF(ISNUMBER(SEARCH(BQ$112,'Reference Score Calculation'!$O95)),10,IF(ISNUMBER(SEARCH(BQ$112,'Reference Score Calculation'!$P95)),7,IF(ISNUMBER(SEARCH(BQ$112,'Reference Score Calculation'!$Q95)),5,IF(ISNUMBER(SEARCH($AW$104,'Reference Score Calculation'!$O95)),10,IF(ISNUMBER(SEARCH($AW$104,'Reference Score Calculation'!$P95)),7,5)))))</f>
        <v>5</v>
      </c>
      <c r="BR116" s="415">
        <f>IF(ISNUMBER(SEARCH(BR$112,'Reference Score Calculation'!$O95)),10,IF(ISNUMBER(SEARCH(BR$112,'Reference Score Calculation'!$P95)),7,IF(ISNUMBER(SEARCH(BR$112,'Reference Score Calculation'!$Q95)),5,IF(ISNUMBER(SEARCH($AW$104,'Reference Score Calculation'!$O95)),10,IF(ISNUMBER(SEARCH($AW$104,'Reference Score Calculation'!$P95)),7,5)))))</f>
        <v>5</v>
      </c>
      <c r="BS116" s="415">
        <f>IF(ISNUMBER(SEARCH(BS$112,'Reference Score Calculation'!$O95)),10,IF(ISNUMBER(SEARCH(BS$112,'Reference Score Calculation'!$P95)),7,IF(ISNUMBER(SEARCH(BS$112,'Reference Score Calculation'!$Q95)),5,IF(ISNUMBER(SEARCH($AW$104,'Reference Score Calculation'!$O95)),10,IF(ISNUMBER(SEARCH($AW$104,'Reference Score Calculation'!$P95)),7,5)))))</f>
        <v>5</v>
      </c>
      <c r="BT116" s="415">
        <f>IF(ISNUMBER(SEARCH(BT$112,'Reference Score Calculation'!$O95)),10,IF(ISNUMBER(SEARCH(BT$112,'Reference Score Calculation'!$P95)),7,IF(ISNUMBER(SEARCH(BT$112,'Reference Score Calculation'!$Q95)),5,IF(ISNUMBER(SEARCH($AW$104,'Reference Score Calculation'!$O95)),10,IF(ISNUMBER(SEARCH($AW$104,'Reference Score Calculation'!$P95)),7,5)))))</f>
        <v>5</v>
      </c>
      <c r="BU116" s="415">
        <f>IF(ISNUMBER(SEARCH(BU$112,'Reference Score Calculation'!$O95)),10,IF(ISNUMBER(SEARCH(BU$112,'Reference Score Calculation'!$P95)),7,IF(ISNUMBER(SEARCH(BU$112,'Reference Score Calculation'!$Q95)),5,IF(ISNUMBER(SEARCH($AW$104,'Reference Score Calculation'!$O95)),10,IF(ISNUMBER(SEARCH($AW$104,'Reference Score Calculation'!$P95)),7,5)))))</f>
        <v>7</v>
      </c>
      <c r="BV116" s="415">
        <f>IF(ISNUMBER(SEARCH(BV$112,'Reference Score Calculation'!$O95)),10,IF(ISNUMBER(SEARCH(BV$112,'Reference Score Calculation'!$P95)),7,IF(ISNUMBER(SEARCH(BV$112,'Reference Score Calculation'!$Q95)),5,IF(ISNUMBER(SEARCH($AW$104,'Reference Score Calculation'!$O95)),10,IF(ISNUMBER(SEARCH($AW$104,'Reference Score Calculation'!$P95)),7,5)))))</f>
        <v>5</v>
      </c>
      <c r="BW116" s="415">
        <f>IF(ISNUMBER(SEARCH(BW$112,'Reference Score Calculation'!$O95)),10,IF(ISNUMBER(SEARCH(BW$112,'Reference Score Calculation'!$P95)),7,IF(ISNUMBER(SEARCH(BW$112,'Reference Score Calculation'!$Q95)),5,IF(ISNUMBER(SEARCH($AW$104,'Reference Score Calculation'!$O95)),10,IF(ISNUMBER(SEARCH($AW$104,'Reference Score Calculation'!$P95)),7,5)))))</f>
        <v>5</v>
      </c>
      <c r="BX116" s="415">
        <f>IF(ISNUMBER(SEARCH(BX$112,'Reference Score Calculation'!$O95)),10,IF(ISNUMBER(SEARCH(BX$112,'Reference Score Calculation'!$P95)),7,IF(ISNUMBER(SEARCH(BX$112,'Reference Score Calculation'!$Q95)),5,IF(ISNUMBER(SEARCH($AW$104,'Reference Score Calculation'!$O95)),10,IF(ISNUMBER(SEARCH($AW$104,'Reference Score Calculation'!$P95)),7,5)))))</f>
        <v>5</v>
      </c>
      <c r="BY116" s="195"/>
      <c r="BZ116" s="195"/>
      <c r="CA116" s="195"/>
    </row>
    <row r="117" spans="1:79">
      <c r="A117" s="119" t="str">
        <f>'Reference Score Calculation'!A94</f>
        <v>JS3020</v>
      </c>
      <c r="B117" s="119" t="str">
        <f>'Reference Score Calculation'!A94</f>
        <v>JS3020</v>
      </c>
      <c r="C117" s="119" t="str">
        <f>'Reference Score Calculation'!D94</f>
        <v>數據科學(榮譽)理學士組合課程 (數據科學及分析 / 投資科學及金融分析)</v>
      </c>
      <c r="D117" s="2" t="e">
        <f>'Reference Score Calculation'!#REF!</f>
        <v>#REF!</v>
      </c>
      <c r="E117" s="134" t="str">
        <f>'Reference Score Calculation'!E94</f>
        <v>Best 5</v>
      </c>
      <c r="F117" s="134"/>
      <c r="G117" s="119" t="str">
        <f>入學要求!AB103</f>
        <v>v</v>
      </c>
      <c r="H117" s="119" t="str">
        <f>入學要求!AC103</f>
        <v>E</v>
      </c>
      <c r="I117" s="119" t="str">
        <f>入學要求!AD103</f>
        <v>NO</v>
      </c>
      <c r="J117" s="119">
        <f t="shared" ref="J117:J147" si="254">SUMIF(AF117:AO117,TRUE,V117:AE117)</f>
        <v>1.6050000000000001E-8</v>
      </c>
      <c r="K117" s="119">
        <f t="shared" si="232"/>
        <v>7</v>
      </c>
      <c r="L117" s="119">
        <f t="shared" si="232"/>
        <v>10</v>
      </c>
      <c r="M117" s="119">
        <f t="shared" si="232"/>
        <v>10</v>
      </c>
      <c r="N117" s="119">
        <v>0</v>
      </c>
      <c r="O117" s="119">
        <f t="shared" si="233"/>
        <v>7</v>
      </c>
      <c r="P117" s="119">
        <f t="shared" si="233"/>
        <v>0</v>
      </c>
      <c r="Q117" s="119">
        <f t="shared" si="233"/>
        <v>0</v>
      </c>
      <c r="R117" s="119">
        <f t="shared" si="233"/>
        <v>0</v>
      </c>
      <c r="S117" s="119">
        <f t="shared" si="233"/>
        <v>0</v>
      </c>
      <c r="T117" s="119">
        <v>5</v>
      </c>
      <c r="V117" s="119">
        <f t="shared" si="234"/>
        <v>2.8000000000000003E-9</v>
      </c>
      <c r="W117" s="119">
        <f t="shared" si="235"/>
        <v>2.0000000000000001E-9</v>
      </c>
      <c r="X117" s="119">
        <f t="shared" si="236"/>
        <v>3E-9</v>
      </c>
      <c r="Y117" s="119">
        <f t="shared" si="237"/>
        <v>0</v>
      </c>
      <c r="Z117" s="119">
        <f t="shared" si="238"/>
        <v>3.5000000000000003E-9</v>
      </c>
      <c r="AA117" s="119">
        <f t="shared" si="239"/>
        <v>0</v>
      </c>
      <c r="AB117" s="119">
        <f t="shared" si="240"/>
        <v>0</v>
      </c>
      <c r="AC117" s="119">
        <f t="shared" si="241"/>
        <v>0</v>
      </c>
      <c r="AD117" s="119">
        <f t="shared" si="242"/>
        <v>0</v>
      </c>
      <c r="AE117" s="119">
        <f t="shared" si="243"/>
        <v>4.7500000000000003E-9</v>
      </c>
      <c r="AF117" s="119" t="b">
        <f t="shared" si="244"/>
        <v>1</v>
      </c>
      <c r="AG117" s="119" t="b">
        <f t="shared" si="245"/>
        <v>1</v>
      </c>
      <c r="AH117" s="119" t="b">
        <f t="shared" si="246"/>
        <v>1</v>
      </c>
      <c r="AI117" s="119" t="b">
        <f t="shared" si="247"/>
        <v>0</v>
      </c>
      <c r="AJ117" s="119" t="b">
        <f t="shared" si="248"/>
        <v>1</v>
      </c>
      <c r="AK117" s="119" t="b">
        <f t="shared" si="249"/>
        <v>0</v>
      </c>
      <c r="AL117" s="119" t="b">
        <f t="shared" si="250"/>
        <v>0</v>
      </c>
      <c r="AM117" s="119" t="b">
        <f t="shared" si="251"/>
        <v>0</v>
      </c>
      <c r="AN117" s="119" t="b">
        <f t="shared" si="252"/>
        <v>0</v>
      </c>
      <c r="AO117" s="119" t="b">
        <f t="shared" si="253"/>
        <v>1</v>
      </c>
      <c r="AQ117" s="2"/>
      <c r="AR117" s="2"/>
      <c r="AS117" s="2"/>
      <c r="AT117" s="195"/>
      <c r="AU117" s="195" t="str">
        <f>'Reference Score Calculation'!A96</f>
        <v>JS3050</v>
      </c>
      <c r="AV117" s="195"/>
      <c r="AW117" s="415">
        <f>IF(ISNUMBER(SEARCH(AW$112,'Reference Score Calculation'!$O96)),10,IF(ISNUMBER(SEARCH(AW$112,'Reference Score Calculation'!$P96)),7,IF(ISNUMBER(SEARCH(AW$112,'Reference Score Calculation'!$Q96)),5,IF(ISNUMBER(SEARCH($AW$104,'Reference Score Calculation'!$O96)),10,IF(ISNUMBER(SEARCH($AW$104,'Reference Score Calculation'!$P96)),7,5)))))</f>
        <v>7</v>
      </c>
      <c r="AX117" s="415">
        <f>IF(ISNUMBER(SEARCH(AX$112,'Reference Score Calculation'!$O96)),10,IF(ISNUMBER(SEARCH(AX$112,'Reference Score Calculation'!$P96)),7,IF(ISNUMBER(SEARCH(AX$112,'Reference Score Calculation'!$Q96)),5,IF(ISNUMBER(SEARCH($AW$104,'Reference Score Calculation'!$O96)),10,IF(ISNUMBER(SEARCH($AW$104,'Reference Score Calculation'!$P96)),7,5)))))</f>
        <v>7</v>
      </c>
      <c r="AY117" s="415">
        <f>IF(ISNUMBER(SEARCH(AY$112,'Reference Score Calculation'!$O96)),10,IF(ISNUMBER(SEARCH(AY$112,'Reference Score Calculation'!$P96)),7,IF(ISNUMBER(SEARCH(AY$112,'Reference Score Calculation'!$Q96)),5,IF(ISNUMBER(SEARCH($AW$104,'Reference Score Calculation'!$O96)),10,IF(ISNUMBER(SEARCH($AW$104,'Reference Score Calculation'!$P96)),7,5)))))</f>
        <v>7</v>
      </c>
      <c r="AZ117" s="415">
        <f>IF(ISNUMBER(SEARCH(AZ$112,'Reference Score Calculation'!$O96)),10,IF(ISNUMBER(SEARCH(AZ$112,'Reference Score Calculation'!$P96)),7,IF(ISNUMBER(SEARCH(AZ$112,'Reference Score Calculation'!$Q96)),5,IF(ISNUMBER(SEARCH($AW$104,'Reference Score Calculation'!$O96)),10,IF(ISNUMBER(SEARCH($AW$104,'Reference Score Calculation'!$P96)),7,5)))))</f>
        <v>7</v>
      </c>
      <c r="BA117" s="415">
        <f>IF(ISNUMBER(SEARCH(BA$112,'Reference Score Calculation'!$O96)),10,IF(ISNUMBER(SEARCH(BA$112,'Reference Score Calculation'!$P96)),7,IF(ISNUMBER(SEARCH(BA$112,'Reference Score Calculation'!$Q96)),5,IF(ISNUMBER(SEARCH($AW$104,'Reference Score Calculation'!$O96)),10,IF(ISNUMBER(SEARCH($AW$104,'Reference Score Calculation'!$P96)),7,5)))))</f>
        <v>5</v>
      </c>
      <c r="BB117" s="415">
        <f>IF(ISNUMBER(SEARCH(BB$112,'Reference Score Calculation'!$O96)),10,IF(ISNUMBER(SEARCH(BB$112,'Reference Score Calculation'!$P96)),7,IF(ISNUMBER(SEARCH(BB$112,'Reference Score Calculation'!$Q96)),5,IF(ISNUMBER(SEARCH($AW$104,'Reference Score Calculation'!$O96)),10,IF(ISNUMBER(SEARCH($AW$104,'Reference Score Calculation'!$P96)),7,5)))))</f>
        <v>5</v>
      </c>
      <c r="BC117" s="415">
        <f>IF(ISNUMBER(SEARCH(BC$112,'Reference Score Calculation'!$O96)),10,IF(ISNUMBER(SEARCH(BC$112,'Reference Score Calculation'!$P96)),7,IF(ISNUMBER(SEARCH(BC$112,'Reference Score Calculation'!$Q96)),5,IF(ISNUMBER(SEARCH($AW$104,'Reference Score Calculation'!$O96)),10,IF(ISNUMBER(SEARCH($AW$104,'Reference Score Calculation'!$P96)),7,5)))))</f>
        <v>5</v>
      </c>
      <c r="BD117" s="415">
        <f>IF(ISNUMBER(SEARCH(BD$112,'Reference Score Calculation'!$O96)),10,IF(ISNUMBER(SEARCH(BD$112,'Reference Score Calculation'!$P96)),7,IF(ISNUMBER(SEARCH(BD$112,'Reference Score Calculation'!$Q96)),5,IF(ISNUMBER(SEARCH($AW$104,'Reference Score Calculation'!$O96)),10,IF(ISNUMBER(SEARCH($AW$104,'Reference Score Calculation'!$P96)),7,5)))))</f>
        <v>5</v>
      </c>
      <c r="BE117" s="415">
        <f>IF(ISNUMBER(SEARCH(BE$112,'Reference Score Calculation'!$O96)),10,IF(ISNUMBER(SEARCH(BE$112,'Reference Score Calculation'!$P96)),7,IF(ISNUMBER(SEARCH(BE$112,'Reference Score Calculation'!$Q96)),5,IF(ISNUMBER(SEARCH($AW$104,'Reference Score Calculation'!$O96)),10,IF(ISNUMBER(SEARCH($AW$104,'Reference Score Calculation'!$P96)),7,5)))))</f>
        <v>10</v>
      </c>
      <c r="BF117" s="415">
        <f>IF(ISNUMBER(SEARCH(BF$112,'Reference Score Calculation'!$O96)),10,IF(ISNUMBER(SEARCH(BF$112,'Reference Score Calculation'!$P96)),7,IF(ISNUMBER(SEARCH(BF$112,'Reference Score Calculation'!$Q96)),5,IF(ISNUMBER(SEARCH($AW$104,'Reference Score Calculation'!$O96)),10,IF(ISNUMBER(SEARCH($AW$104,'Reference Score Calculation'!$P96)),7,5)))))</f>
        <v>5</v>
      </c>
      <c r="BG117" s="415">
        <f>IF(ISNUMBER(SEARCH(BG$112,'Reference Score Calculation'!$O96)),10,IF(ISNUMBER(SEARCH(BG$112,'Reference Score Calculation'!$P96)),7,IF(ISNUMBER(SEARCH(BG$112,'Reference Score Calculation'!$Q96)),5,IF(ISNUMBER(SEARCH($AW$104,'Reference Score Calculation'!$O96)),10,IF(ISNUMBER(SEARCH($AW$104,'Reference Score Calculation'!$P96)),7,5)))))</f>
        <v>5</v>
      </c>
      <c r="BH117" s="415">
        <f>IF(ISNUMBER(SEARCH(BH$112,'Reference Score Calculation'!$O96)),10,IF(ISNUMBER(SEARCH(BH$112,'Reference Score Calculation'!$P96)),7,IF(ISNUMBER(SEARCH(BH$112,'Reference Score Calculation'!$Q96)),5,IF(ISNUMBER(SEARCH($AW$104,'Reference Score Calculation'!$O96)),10,IF(ISNUMBER(SEARCH($AW$104,'Reference Score Calculation'!$P96)),7,5)))))</f>
        <v>5</v>
      </c>
      <c r="BI117" s="415">
        <f>IF(ISNUMBER(SEARCH(BI$112,'Reference Score Calculation'!$O96)),10,IF(ISNUMBER(SEARCH(BI$112,'Reference Score Calculation'!$P96)),7,IF(ISNUMBER(SEARCH(BI$112,'Reference Score Calculation'!$Q96)),5,IF(ISNUMBER(SEARCH($AW$104,'Reference Score Calculation'!$O96)),10,IF(ISNUMBER(SEARCH($AW$104,'Reference Score Calculation'!$P96)),7,5)))))</f>
        <v>5</v>
      </c>
      <c r="BJ117" s="415">
        <f>IF(ISNUMBER(SEARCH(BJ$112,'Reference Score Calculation'!$O96)),10,IF(ISNUMBER(SEARCH(BJ$112,'Reference Score Calculation'!$P96)),7,IF(ISNUMBER(SEARCH(BJ$112,'Reference Score Calculation'!$Q96)),5,IF(ISNUMBER(SEARCH($AW$104,'Reference Score Calculation'!$O96)),10,IF(ISNUMBER(SEARCH($AW$104,'Reference Score Calculation'!$P96)),7,5)))))</f>
        <v>5</v>
      </c>
      <c r="BK117" s="415">
        <f>IF(ISNUMBER(SEARCH(BK$112,'Reference Score Calculation'!$O96)),10,IF(ISNUMBER(SEARCH(BK$112,'Reference Score Calculation'!$P96)),7,IF(ISNUMBER(SEARCH(BK$112,'Reference Score Calculation'!$Q96)),5,IF(ISNUMBER(SEARCH($AW$104,'Reference Score Calculation'!$O96)),10,IF(ISNUMBER(SEARCH($AW$104,'Reference Score Calculation'!$P96)),7,5)))))</f>
        <v>10</v>
      </c>
      <c r="BL117" s="415">
        <f>IF(ISNUMBER(SEARCH(BL$112,'Reference Score Calculation'!$O96)),10,IF(ISNUMBER(SEARCH(BL$112,'Reference Score Calculation'!$P96)),7,IF(ISNUMBER(SEARCH(BL$112,'Reference Score Calculation'!$Q96)),5,IF(ISNUMBER(SEARCH($AW$104,'Reference Score Calculation'!$O96)),10,IF(ISNUMBER(SEARCH($AW$104,'Reference Score Calculation'!$P96)),7,5)))))</f>
        <v>5</v>
      </c>
      <c r="BM117" s="415">
        <f>IF(ISNUMBER(SEARCH(BM$112,'Reference Score Calculation'!$O96)),10,IF(ISNUMBER(SEARCH(BM$112,'Reference Score Calculation'!$P96)),7,IF(ISNUMBER(SEARCH(BM$112,'Reference Score Calculation'!$Q96)),5,IF(ISNUMBER(SEARCH($AW$104,'Reference Score Calculation'!$O96)),10,IF(ISNUMBER(SEARCH("組合科學(任何)",'Reference Score Calculation'!$O96)),10,IF(ISNUMBER(SEARCH("組合科學(任何)",'Reference Score Calculation'!$P96)),7,IF(ISNUMBER(SEARCH("組合科學(任何)",'Reference Score Calculation'!$Q96)),5,IF(ISNUMBER(SEARCH($AW$104,'Reference Score Calculation'!$P96)),7,5))))))))</f>
        <v>5</v>
      </c>
      <c r="BN117" s="415">
        <f>IF(ISNUMBER(SEARCH(BN$112,'Reference Score Calculation'!$O96)),10,IF(ISNUMBER(SEARCH(BN$112,'Reference Score Calculation'!$P96)),7,IF(ISNUMBER(SEARCH(BN$112,'Reference Score Calculation'!$Q96)),5,IF(ISNUMBER(SEARCH($AW$104,'Reference Score Calculation'!$O96)),10,IF(ISNUMBER(SEARCH("組合科學(任何)",'Reference Score Calculation'!$O96)),10,IF(ISNUMBER(SEARCH("組合科學(任何)",'Reference Score Calculation'!$P96)),7,IF(ISNUMBER(SEARCH("組合科學(任何)",'Reference Score Calculation'!$Q96)),5,IF(ISNUMBER(SEARCH($AW$104,'Reference Score Calculation'!$P96)),7,5))))))))</f>
        <v>5</v>
      </c>
      <c r="BO117" s="415">
        <f>IF(ISNUMBER(SEARCH(BO$112,'Reference Score Calculation'!$O96)),10,IF(ISNUMBER(SEARCH(BO$112,'Reference Score Calculation'!$P96)),7,IF(ISNUMBER(SEARCH(BO$112,'Reference Score Calculation'!$Q96)),5,IF(ISNUMBER(SEARCH($AW$104,'Reference Score Calculation'!$O96)),10,IF(ISNUMBER(SEARCH("組合科學(任何)",'Reference Score Calculation'!$O96)),10,IF(ISNUMBER(SEARCH("組合科學(任何)",'Reference Score Calculation'!$P96)),7,IF(ISNUMBER(SEARCH("組合科學(任何)",'Reference Score Calculation'!$Q96)),5,IF(ISNUMBER(SEARCH($AW$104,'Reference Score Calculation'!$P96)),7,5))))))))</f>
        <v>5</v>
      </c>
      <c r="BP117" s="415">
        <f>IF(ISNUMBER(SEARCH(BP$112,'Reference Score Calculation'!$O96)),10,IF(ISNUMBER(SEARCH(BP$112,'Reference Score Calculation'!$P96)),7,IF(ISNUMBER(SEARCH(BP$112,'Reference Score Calculation'!$Q96)),5,IF(ISNUMBER(SEARCH($AW$104,'Reference Score Calculation'!$O96)),10,IF(ISNUMBER(SEARCH($AW$104,'Reference Score Calculation'!$P96)),7,5)))))</f>
        <v>5</v>
      </c>
      <c r="BQ117" s="415">
        <f>IF(ISNUMBER(SEARCH(BQ$112,'Reference Score Calculation'!$O96)),10,IF(ISNUMBER(SEARCH(BQ$112,'Reference Score Calculation'!$P96)),7,IF(ISNUMBER(SEARCH(BQ$112,'Reference Score Calculation'!$Q96)),5,IF(ISNUMBER(SEARCH($AW$104,'Reference Score Calculation'!$O96)),10,IF(ISNUMBER(SEARCH($AW$104,'Reference Score Calculation'!$P96)),7,5)))))</f>
        <v>5</v>
      </c>
      <c r="BR117" s="415">
        <f>IF(ISNUMBER(SEARCH(BR$112,'Reference Score Calculation'!$O96)),10,IF(ISNUMBER(SEARCH(BR$112,'Reference Score Calculation'!$P96)),7,IF(ISNUMBER(SEARCH(BR$112,'Reference Score Calculation'!$Q96)),5,IF(ISNUMBER(SEARCH($AW$104,'Reference Score Calculation'!$O96)),10,IF(ISNUMBER(SEARCH($AW$104,'Reference Score Calculation'!$P96)),7,5)))))</f>
        <v>5</v>
      </c>
      <c r="BS117" s="415">
        <f>IF(ISNUMBER(SEARCH(BS$112,'Reference Score Calculation'!$O96)),10,IF(ISNUMBER(SEARCH(BS$112,'Reference Score Calculation'!$P96)),7,IF(ISNUMBER(SEARCH(BS$112,'Reference Score Calculation'!$Q96)),5,IF(ISNUMBER(SEARCH($AW$104,'Reference Score Calculation'!$O96)),10,IF(ISNUMBER(SEARCH($AW$104,'Reference Score Calculation'!$P96)),7,5)))))</f>
        <v>5</v>
      </c>
      <c r="BT117" s="415">
        <f>IF(ISNUMBER(SEARCH(BT$112,'Reference Score Calculation'!$O96)),10,IF(ISNUMBER(SEARCH(BT$112,'Reference Score Calculation'!$P96)),7,IF(ISNUMBER(SEARCH(BT$112,'Reference Score Calculation'!$Q96)),5,IF(ISNUMBER(SEARCH($AW$104,'Reference Score Calculation'!$O96)),10,IF(ISNUMBER(SEARCH($AW$104,'Reference Score Calculation'!$P96)),7,5)))))</f>
        <v>5</v>
      </c>
      <c r="BU117" s="415">
        <f>IF(ISNUMBER(SEARCH(BU$112,'Reference Score Calculation'!$O96)),10,IF(ISNUMBER(SEARCH(BU$112,'Reference Score Calculation'!$P96)),7,IF(ISNUMBER(SEARCH(BU$112,'Reference Score Calculation'!$Q96)),5,IF(ISNUMBER(SEARCH($AW$104,'Reference Score Calculation'!$O96)),10,IF(ISNUMBER(SEARCH($AW$104,'Reference Score Calculation'!$P96)),7,5)))))</f>
        <v>5</v>
      </c>
      <c r="BV117" s="415">
        <f>IF(ISNUMBER(SEARCH(BV$112,'Reference Score Calculation'!$O96)),10,IF(ISNUMBER(SEARCH(BV$112,'Reference Score Calculation'!$P96)),7,IF(ISNUMBER(SEARCH(BV$112,'Reference Score Calculation'!$Q96)),5,IF(ISNUMBER(SEARCH($AW$104,'Reference Score Calculation'!$O96)),10,IF(ISNUMBER(SEARCH($AW$104,'Reference Score Calculation'!$P96)),7,5)))))</f>
        <v>5</v>
      </c>
      <c r="BW117" s="415">
        <f>IF(ISNUMBER(SEARCH(BW$112,'Reference Score Calculation'!$O96)),10,IF(ISNUMBER(SEARCH(BW$112,'Reference Score Calculation'!$P96)),7,IF(ISNUMBER(SEARCH(BW$112,'Reference Score Calculation'!$Q96)),5,IF(ISNUMBER(SEARCH($AW$104,'Reference Score Calculation'!$O96)),10,IF(ISNUMBER(SEARCH($AW$104,'Reference Score Calculation'!$P96)),7,5)))))</f>
        <v>5</v>
      </c>
      <c r="BX117" s="415">
        <f>IF(ISNUMBER(SEARCH(BX$112,'Reference Score Calculation'!$O96)),10,IF(ISNUMBER(SEARCH(BX$112,'Reference Score Calculation'!$P96)),7,IF(ISNUMBER(SEARCH(BX$112,'Reference Score Calculation'!$Q96)),5,IF(ISNUMBER(SEARCH($AW$104,'Reference Score Calculation'!$O96)),10,IF(ISNUMBER(SEARCH($AW$104,'Reference Score Calculation'!$P96)),7,5)))))</f>
        <v>5</v>
      </c>
      <c r="BY117" s="195"/>
      <c r="BZ117" s="195"/>
      <c r="CA117" s="195"/>
    </row>
    <row r="118" spans="1:79">
      <c r="A118" s="119" t="str">
        <f>'Reference Score Calculation'!A95</f>
        <v>JS3030</v>
      </c>
      <c r="B118" s="119" t="str">
        <f>'Reference Score Calculation'!A95</f>
        <v>JS3030</v>
      </c>
      <c r="C118" s="119" t="str">
        <f>'Reference Score Calculation'!D95</f>
        <v>物理學(榮譽)理學士 副主修人工智能及數據分析 / 創新及創業</v>
      </c>
      <c r="D118" s="2" t="e">
        <f>'Reference Score Calculation'!#REF!</f>
        <v>#REF!</v>
      </c>
      <c r="E118" s="134" t="str">
        <f>'Reference Score Calculation'!E95</f>
        <v>Best 5</v>
      </c>
      <c r="F118" s="134"/>
      <c r="G118" s="119" t="str">
        <f>入學要求!AB104</f>
        <v>v</v>
      </c>
      <c r="H118" s="119" t="str">
        <f>入學要求!AC104</f>
        <v>E</v>
      </c>
      <c r="I118" s="119" t="str">
        <f>入學要求!AD104</f>
        <v>NO</v>
      </c>
      <c r="J118" s="119">
        <f t="shared" si="254"/>
        <v>1.7550000000000002E-8</v>
      </c>
      <c r="K118" s="119">
        <f t="shared" si="232"/>
        <v>7</v>
      </c>
      <c r="L118" s="119">
        <f t="shared" si="232"/>
        <v>10</v>
      </c>
      <c r="M118" s="119">
        <f t="shared" si="232"/>
        <v>10</v>
      </c>
      <c r="N118" s="119">
        <v>0</v>
      </c>
      <c r="O118" s="119">
        <f t="shared" si="233"/>
        <v>10</v>
      </c>
      <c r="P118" s="119">
        <f t="shared" si="233"/>
        <v>0</v>
      </c>
      <c r="Q118" s="119">
        <f t="shared" si="233"/>
        <v>0</v>
      </c>
      <c r="R118" s="119">
        <f t="shared" si="233"/>
        <v>0</v>
      </c>
      <c r="S118" s="119">
        <f t="shared" si="233"/>
        <v>0</v>
      </c>
      <c r="T118" s="119">
        <v>5</v>
      </c>
      <c r="V118" s="119">
        <f t="shared" si="234"/>
        <v>2.8000000000000003E-9</v>
      </c>
      <c r="W118" s="119">
        <f t="shared" si="235"/>
        <v>2.0000000000000001E-9</v>
      </c>
      <c r="X118" s="119">
        <f t="shared" si="236"/>
        <v>3E-9</v>
      </c>
      <c r="Y118" s="119">
        <f t="shared" si="237"/>
        <v>0</v>
      </c>
      <c r="Z118" s="119">
        <f t="shared" si="238"/>
        <v>5.0000000000000001E-9</v>
      </c>
      <c r="AA118" s="119">
        <f t="shared" si="239"/>
        <v>0</v>
      </c>
      <c r="AB118" s="119">
        <f t="shared" si="240"/>
        <v>0</v>
      </c>
      <c r="AC118" s="119">
        <f t="shared" si="241"/>
        <v>0</v>
      </c>
      <c r="AD118" s="119">
        <f t="shared" si="242"/>
        <v>0</v>
      </c>
      <c r="AE118" s="119">
        <f t="shared" si="243"/>
        <v>4.7500000000000003E-9</v>
      </c>
      <c r="AF118" s="119" t="b">
        <f t="shared" si="244"/>
        <v>1</v>
      </c>
      <c r="AG118" s="119" t="b">
        <f t="shared" si="245"/>
        <v>1</v>
      </c>
      <c r="AH118" s="119" t="b">
        <f t="shared" si="246"/>
        <v>1</v>
      </c>
      <c r="AI118" s="119" t="b">
        <f t="shared" si="247"/>
        <v>0</v>
      </c>
      <c r="AJ118" s="119" t="b">
        <f t="shared" si="248"/>
        <v>1</v>
      </c>
      <c r="AK118" s="119" t="b">
        <f t="shared" si="249"/>
        <v>0</v>
      </c>
      <c r="AL118" s="119" t="b">
        <f t="shared" si="250"/>
        <v>0</v>
      </c>
      <c r="AM118" s="119" t="b">
        <f t="shared" si="251"/>
        <v>0</v>
      </c>
      <c r="AN118" s="119" t="b">
        <f t="shared" si="252"/>
        <v>0</v>
      </c>
      <c r="AO118" s="119" t="b">
        <f t="shared" si="253"/>
        <v>1</v>
      </c>
      <c r="AQ118" s="2"/>
      <c r="AR118" s="2"/>
      <c r="AS118" s="2"/>
      <c r="AT118" s="195"/>
      <c r="AU118" s="195" t="str">
        <f>'Reference Score Calculation'!A97</f>
        <v>JS3060</v>
      </c>
      <c r="AV118" s="195"/>
      <c r="AW118" s="415">
        <f>IF(ISNUMBER(SEARCH(AW$112,'Reference Score Calculation'!$O97)),10,IF(ISNUMBER(SEARCH(AW$112,'Reference Score Calculation'!$P97)),7,IF(ISNUMBER(SEARCH(AW$112,'Reference Score Calculation'!$Q97)),5,IF(ISNUMBER(SEARCH($AW$104,'Reference Score Calculation'!$O97)),10,IF(ISNUMBER(SEARCH($AW$104,'Reference Score Calculation'!$P97)),7,5)))))</f>
        <v>7</v>
      </c>
      <c r="AX118" s="415">
        <f>IF(ISNUMBER(SEARCH(AX$112,'Reference Score Calculation'!$O97)),10,IF(ISNUMBER(SEARCH(AX$112,'Reference Score Calculation'!$P97)),7,IF(ISNUMBER(SEARCH(AX$112,'Reference Score Calculation'!$Q97)),5,IF(ISNUMBER(SEARCH($AW$104,'Reference Score Calculation'!$O97)),10,IF(ISNUMBER(SEARCH($AW$104,'Reference Score Calculation'!$P97)),7,5)))))</f>
        <v>10</v>
      </c>
      <c r="AY118" s="415">
        <f>IF(ISNUMBER(SEARCH(AY$112,'Reference Score Calculation'!$O97)),10,IF(ISNUMBER(SEARCH(AY$112,'Reference Score Calculation'!$P97)),7,IF(ISNUMBER(SEARCH(AY$112,'Reference Score Calculation'!$Q97)),5,IF(ISNUMBER(SEARCH($AW$104,'Reference Score Calculation'!$O97)),10,IF(ISNUMBER(SEARCH($AW$104,'Reference Score Calculation'!$P97)),7,5)))))</f>
        <v>10</v>
      </c>
      <c r="AZ118" s="415">
        <f>IF(ISNUMBER(SEARCH(AZ$112,'Reference Score Calculation'!$O97)),10,IF(ISNUMBER(SEARCH(AZ$112,'Reference Score Calculation'!$P97)),7,IF(ISNUMBER(SEARCH(AZ$112,'Reference Score Calculation'!$Q97)),5,IF(ISNUMBER(SEARCH($AW$104,'Reference Score Calculation'!$O97)),10,IF(ISNUMBER(SEARCH($AW$104,'Reference Score Calculation'!$P97)),7,5)))))</f>
        <v>7</v>
      </c>
      <c r="BA118" s="415">
        <f>IF(ISNUMBER(SEARCH(BA$112,'Reference Score Calculation'!$O97)),10,IF(ISNUMBER(SEARCH(BA$112,'Reference Score Calculation'!$P97)),7,IF(ISNUMBER(SEARCH(BA$112,'Reference Score Calculation'!$Q97)),5,IF(ISNUMBER(SEARCH($AW$104,'Reference Score Calculation'!$O97)),10,IF(ISNUMBER(SEARCH($AW$104,'Reference Score Calculation'!$P97)),7,5)))))</f>
        <v>7</v>
      </c>
      <c r="BB118" s="415">
        <f>IF(ISNUMBER(SEARCH(BB$112,'Reference Score Calculation'!$O97)),10,IF(ISNUMBER(SEARCH(BB$112,'Reference Score Calculation'!$P97)),7,IF(ISNUMBER(SEARCH(BB$112,'Reference Score Calculation'!$Q97)),5,IF(ISNUMBER(SEARCH($AW$104,'Reference Score Calculation'!$O97)),10,IF(ISNUMBER(SEARCH($AW$104,'Reference Score Calculation'!$P97)),7,5)))))</f>
        <v>7</v>
      </c>
      <c r="BC118" s="415">
        <f>IF(ISNUMBER(SEARCH(BC$112,'Reference Score Calculation'!$O97)),10,IF(ISNUMBER(SEARCH(BC$112,'Reference Score Calculation'!$P97)),7,IF(ISNUMBER(SEARCH(BC$112,'Reference Score Calculation'!$Q97)),5,IF(ISNUMBER(SEARCH($AW$104,'Reference Score Calculation'!$O97)),10,IF(ISNUMBER(SEARCH($AW$104,'Reference Score Calculation'!$P97)),7,5)))))</f>
        <v>7</v>
      </c>
      <c r="BD118" s="415">
        <f>IF(ISNUMBER(SEARCH(BD$112,'Reference Score Calculation'!$O97)),10,IF(ISNUMBER(SEARCH(BD$112,'Reference Score Calculation'!$P97)),7,IF(ISNUMBER(SEARCH(BD$112,'Reference Score Calculation'!$Q97)),5,IF(ISNUMBER(SEARCH($AW$104,'Reference Score Calculation'!$O97)),10,IF(ISNUMBER(SEARCH($AW$104,'Reference Score Calculation'!$P97)),7,5)))))</f>
        <v>7</v>
      </c>
      <c r="BE118" s="415">
        <f>IF(ISNUMBER(SEARCH(BE$112,'Reference Score Calculation'!$O97)),10,IF(ISNUMBER(SEARCH(BE$112,'Reference Score Calculation'!$P97)),7,IF(ISNUMBER(SEARCH(BE$112,'Reference Score Calculation'!$Q97)),5,IF(ISNUMBER(SEARCH($AW$104,'Reference Score Calculation'!$O97)),10,IF(ISNUMBER(SEARCH($AW$104,'Reference Score Calculation'!$P97)),7,5)))))</f>
        <v>7</v>
      </c>
      <c r="BF118" s="415">
        <f>IF(ISNUMBER(SEARCH(BF$112,'Reference Score Calculation'!$O97)),10,IF(ISNUMBER(SEARCH(BF$112,'Reference Score Calculation'!$P97)),7,IF(ISNUMBER(SEARCH(BF$112,'Reference Score Calculation'!$Q97)),5,IF(ISNUMBER(SEARCH($AW$104,'Reference Score Calculation'!$O97)),10,IF(ISNUMBER(SEARCH($AW$104,'Reference Score Calculation'!$P97)),7,5)))))</f>
        <v>7</v>
      </c>
      <c r="BG118" s="415">
        <f>IF(ISNUMBER(SEARCH(BG$112,'Reference Score Calculation'!$O97)),10,IF(ISNUMBER(SEARCH(BG$112,'Reference Score Calculation'!$P97)),7,IF(ISNUMBER(SEARCH(BG$112,'Reference Score Calculation'!$Q97)),5,IF(ISNUMBER(SEARCH($AW$104,'Reference Score Calculation'!$O97)),10,IF(ISNUMBER(SEARCH($AW$104,'Reference Score Calculation'!$P97)),7,5)))))</f>
        <v>5</v>
      </c>
      <c r="BH118" s="415">
        <f>IF(ISNUMBER(SEARCH(BH$112,'Reference Score Calculation'!$O97)),10,IF(ISNUMBER(SEARCH(BH$112,'Reference Score Calculation'!$P97)),7,IF(ISNUMBER(SEARCH(BH$112,'Reference Score Calculation'!$Q97)),5,IF(ISNUMBER(SEARCH($AW$104,'Reference Score Calculation'!$O97)),10,IF(ISNUMBER(SEARCH($AW$104,'Reference Score Calculation'!$P97)),7,5)))))</f>
        <v>5</v>
      </c>
      <c r="BI118" s="415">
        <f>IF(ISNUMBER(SEARCH(BI$112,'Reference Score Calculation'!$O97)),10,IF(ISNUMBER(SEARCH(BI$112,'Reference Score Calculation'!$P97)),7,IF(ISNUMBER(SEARCH(BI$112,'Reference Score Calculation'!$Q97)),5,IF(ISNUMBER(SEARCH($AW$104,'Reference Score Calculation'!$O97)),10,IF(ISNUMBER(SEARCH($AW$104,'Reference Score Calculation'!$P97)),7,5)))))</f>
        <v>7</v>
      </c>
      <c r="BJ118" s="415">
        <f>IF(ISNUMBER(SEARCH(BJ$112,'Reference Score Calculation'!$O97)),10,IF(ISNUMBER(SEARCH(BJ$112,'Reference Score Calculation'!$P97)),7,IF(ISNUMBER(SEARCH(BJ$112,'Reference Score Calculation'!$Q97)),5,IF(ISNUMBER(SEARCH($AW$104,'Reference Score Calculation'!$O97)),10,IF(ISNUMBER(SEARCH($AW$104,'Reference Score Calculation'!$P97)),7,5)))))</f>
        <v>7</v>
      </c>
      <c r="BK118" s="415">
        <f>IF(ISNUMBER(SEARCH(BK$112,'Reference Score Calculation'!$O97)),10,IF(ISNUMBER(SEARCH(BK$112,'Reference Score Calculation'!$P97)),7,IF(ISNUMBER(SEARCH(BK$112,'Reference Score Calculation'!$Q97)),5,IF(ISNUMBER(SEARCH($AW$104,'Reference Score Calculation'!$O97)),10,IF(ISNUMBER(SEARCH($AW$104,'Reference Score Calculation'!$P97)),7,5)))))</f>
        <v>5</v>
      </c>
      <c r="BL118" s="415">
        <f>IF(ISNUMBER(SEARCH(BL$112,'Reference Score Calculation'!$O97)),10,IF(ISNUMBER(SEARCH(BL$112,'Reference Score Calculation'!$P97)),7,IF(ISNUMBER(SEARCH(BL$112,'Reference Score Calculation'!$Q97)),5,IF(ISNUMBER(SEARCH($AW$104,'Reference Score Calculation'!$O97)),10,IF(ISNUMBER(SEARCH($AW$104,'Reference Score Calculation'!$P97)),7,5)))))</f>
        <v>7</v>
      </c>
      <c r="BM118" s="415">
        <f>IF(ISNUMBER(SEARCH(BM$112,'Reference Score Calculation'!$O97)),10,IF(ISNUMBER(SEARCH(BM$112,'Reference Score Calculation'!$P97)),7,IF(ISNUMBER(SEARCH(BM$112,'Reference Score Calculation'!$Q97)),5,IF(ISNUMBER(SEARCH($AW$104,'Reference Score Calculation'!$O97)),10,IF(ISNUMBER(SEARCH("組合科學(任何)",'Reference Score Calculation'!$O97)),10,IF(ISNUMBER(SEARCH("組合科學(任何)",'Reference Score Calculation'!$P97)),7,IF(ISNUMBER(SEARCH("組合科學(任何)",'Reference Score Calculation'!$Q97)),5,IF(ISNUMBER(SEARCH($AW$104,'Reference Score Calculation'!$P97)),7,5))))))))</f>
        <v>7</v>
      </c>
      <c r="BN118" s="415">
        <f>IF(ISNUMBER(SEARCH(BN$112,'Reference Score Calculation'!$O97)),10,IF(ISNUMBER(SEARCH(BN$112,'Reference Score Calculation'!$P97)),7,IF(ISNUMBER(SEARCH(BN$112,'Reference Score Calculation'!$Q97)),5,IF(ISNUMBER(SEARCH($AW$104,'Reference Score Calculation'!$O97)),10,IF(ISNUMBER(SEARCH("組合科學(任何)",'Reference Score Calculation'!$O97)),10,IF(ISNUMBER(SEARCH("組合科學(任何)",'Reference Score Calculation'!$P97)),7,IF(ISNUMBER(SEARCH("組合科學(任何)",'Reference Score Calculation'!$Q97)),5,IF(ISNUMBER(SEARCH($AW$104,'Reference Score Calculation'!$P97)),7,5))))))))</f>
        <v>7</v>
      </c>
      <c r="BO118" s="415">
        <f>IF(ISNUMBER(SEARCH(BO$112,'Reference Score Calculation'!$O97)),10,IF(ISNUMBER(SEARCH(BO$112,'Reference Score Calculation'!$P97)),7,IF(ISNUMBER(SEARCH(BO$112,'Reference Score Calculation'!$Q97)),5,IF(ISNUMBER(SEARCH($AW$104,'Reference Score Calculation'!$O97)),10,IF(ISNUMBER(SEARCH("組合科學(任何)",'Reference Score Calculation'!$O97)),10,IF(ISNUMBER(SEARCH("組合科學(任何)",'Reference Score Calculation'!$P97)),7,IF(ISNUMBER(SEARCH("組合科學(任何)",'Reference Score Calculation'!$Q97)),5,IF(ISNUMBER(SEARCH($AW$104,'Reference Score Calculation'!$P97)),7,5))))))))</f>
        <v>7</v>
      </c>
      <c r="BP118" s="415">
        <f>IF(ISNUMBER(SEARCH(BP$112,'Reference Score Calculation'!$O97)),10,IF(ISNUMBER(SEARCH(BP$112,'Reference Score Calculation'!$P97)),7,IF(ISNUMBER(SEARCH(BP$112,'Reference Score Calculation'!$Q97)),5,IF(ISNUMBER(SEARCH($AW$104,'Reference Score Calculation'!$O97)),10,IF(ISNUMBER(SEARCH($AW$104,'Reference Score Calculation'!$P97)),7,5)))))</f>
        <v>7</v>
      </c>
      <c r="BQ118" s="415">
        <f>IF(ISNUMBER(SEARCH(BQ$112,'Reference Score Calculation'!$O97)),10,IF(ISNUMBER(SEARCH(BQ$112,'Reference Score Calculation'!$P97)),7,IF(ISNUMBER(SEARCH(BQ$112,'Reference Score Calculation'!$Q97)),5,IF(ISNUMBER(SEARCH($AW$104,'Reference Score Calculation'!$O97)),10,IF(ISNUMBER(SEARCH($AW$104,'Reference Score Calculation'!$P97)),7,5)))))</f>
        <v>7</v>
      </c>
      <c r="BR118" s="415">
        <f>IF(ISNUMBER(SEARCH(BR$112,'Reference Score Calculation'!$O97)),10,IF(ISNUMBER(SEARCH(BR$112,'Reference Score Calculation'!$P97)),7,IF(ISNUMBER(SEARCH(BR$112,'Reference Score Calculation'!$Q97)),5,IF(ISNUMBER(SEARCH($AW$104,'Reference Score Calculation'!$O97)),10,IF(ISNUMBER(SEARCH($AW$104,'Reference Score Calculation'!$P97)),7,5)))))</f>
        <v>7</v>
      </c>
      <c r="BS118" s="415">
        <f>IF(ISNUMBER(SEARCH(BS$112,'Reference Score Calculation'!$O97)),10,IF(ISNUMBER(SEARCH(BS$112,'Reference Score Calculation'!$P97)),7,IF(ISNUMBER(SEARCH(BS$112,'Reference Score Calculation'!$Q97)),5,IF(ISNUMBER(SEARCH($AW$104,'Reference Score Calculation'!$O97)),10,IF(ISNUMBER(SEARCH($AW$104,'Reference Score Calculation'!$P97)),7,5)))))</f>
        <v>5</v>
      </c>
      <c r="BT118" s="415">
        <f>IF(ISNUMBER(SEARCH(BT$112,'Reference Score Calculation'!$O97)),10,IF(ISNUMBER(SEARCH(BT$112,'Reference Score Calculation'!$P97)),7,IF(ISNUMBER(SEARCH(BT$112,'Reference Score Calculation'!$Q97)),5,IF(ISNUMBER(SEARCH($AW$104,'Reference Score Calculation'!$O97)),10,IF(ISNUMBER(SEARCH($AW$104,'Reference Score Calculation'!$P97)),7,5)))))</f>
        <v>5</v>
      </c>
      <c r="BU118" s="415">
        <f>IF(ISNUMBER(SEARCH(BU$112,'Reference Score Calculation'!$O97)),10,IF(ISNUMBER(SEARCH(BU$112,'Reference Score Calculation'!$P97)),7,IF(ISNUMBER(SEARCH(BU$112,'Reference Score Calculation'!$Q97)),5,IF(ISNUMBER(SEARCH($AW$104,'Reference Score Calculation'!$O97)),10,IF(ISNUMBER(SEARCH($AW$104,'Reference Score Calculation'!$P97)),7,5)))))</f>
        <v>7</v>
      </c>
      <c r="BV118" s="415">
        <f>IF(ISNUMBER(SEARCH(BV$112,'Reference Score Calculation'!$O97)),10,IF(ISNUMBER(SEARCH(BV$112,'Reference Score Calculation'!$P97)),7,IF(ISNUMBER(SEARCH(BV$112,'Reference Score Calculation'!$Q97)),5,IF(ISNUMBER(SEARCH($AW$104,'Reference Score Calculation'!$O97)),10,IF(ISNUMBER(SEARCH($AW$104,'Reference Score Calculation'!$P97)),7,5)))))</f>
        <v>5</v>
      </c>
      <c r="BW118" s="415">
        <f>IF(ISNUMBER(SEARCH(BW$112,'Reference Score Calculation'!$O97)),10,IF(ISNUMBER(SEARCH(BW$112,'Reference Score Calculation'!$P97)),7,IF(ISNUMBER(SEARCH(BW$112,'Reference Score Calculation'!$Q97)),5,IF(ISNUMBER(SEARCH($AW$104,'Reference Score Calculation'!$O97)),10,IF(ISNUMBER(SEARCH($AW$104,'Reference Score Calculation'!$P97)),7,5)))))</f>
        <v>7</v>
      </c>
      <c r="BX118" s="415">
        <f>IF(ISNUMBER(SEARCH(BX$112,'Reference Score Calculation'!$O97)),10,IF(ISNUMBER(SEARCH(BX$112,'Reference Score Calculation'!$P97)),7,IF(ISNUMBER(SEARCH(BX$112,'Reference Score Calculation'!$Q97)),5,IF(ISNUMBER(SEARCH($AW$104,'Reference Score Calculation'!$O97)),10,IF(ISNUMBER(SEARCH($AW$104,'Reference Score Calculation'!$P97)),7,5)))))</f>
        <v>7</v>
      </c>
      <c r="BY118" s="195"/>
      <c r="BZ118" s="195"/>
      <c r="CA118" s="195"/>
    </row>
    <row r="119" spans="1:79">
      <c r="A119" s="119" t="str">
        <f>'Reference Score Calculation'!A96</f>
        <v>JS3050</v>
      </c>
      <c r="B119" s="119" t="str">
        <f>'Reference Score Calculation'!A96</f>
        <v>JS3050</v>
      </c>
      <c r="C119" s="119" t="str">
        <f>'Reference Score Calculation'!D96</f>
        <v>時裝(榮譽)文學士組合課程 (時裝設計 / 針織時裝設計 / 內衣及運動服裝 / 時裝商務 / 時裝創新及科技)</v>
      </c>
      <c r="D119" s="2" t="e">
        <f>'Reference Score Calculation'!#REF!</f>
        <v>#REF!</v>
      </c>
      <c r="E119" s="134" t="str">
        <f>'Reference Score Calculation'!E96</f>
        <v>Best 5</v>
      </c>
      <c r="F119" s="134"/>
      <c r="G119" s="119" t="str">
        <f>入學要求!AB105</f>
        <v>v</v>
      </c>
      <c r="H119" s="119" t="str">
        <f>入學要求!AC105</f>
        <v>E</v>
      </c>
      <c r="I119" s="119" t="str">
        <f>入學要求!AD105</f>
        <v>v</v>
      </c>
      <c r="J119" s="119">
        <f t="shared" si="254"/>
        <v>1.3549999999999999E-8</v>
      </c>
      <c r="K119" s="119">
        <f t="shared" si="232"/>
        <v>7</v>
      </c>
      <c r="L119" s="119">
        <f t="shared" si="232"/>
        <v>7</v>
      </c>
      <c r="M119" s="119">
        <f t="shared" si="232"/>
        <v>7</v>
      </c>
      <c r="N119" s="119">
        <v>0</v>
      </c>
      <c r="O119" s="119">
        <f t="shared" si="233"/>
        <v>5</v>
      </c>
      <c r="P119" s="119">
        <f t="shared" si="233"/>
        <v>0</v>
      </c>
      <c r="Q119" s="119">
        <f t="shared" si="233"/>
        <v>0</v>
      </c>
      <c r="R119" s="119">
        <f t="shared" si="233"/>
        <v>0</v>
      </c>
      <c r="S119" s="119">
        <f t="shared" si="233"/>
        <v>0</v>
      </c>
      <c r="T119" s="119">
        <v>5</v>
      </c>
      <c r="V119" s="119">
        <f t="shared" si="234"/>
        <v>2.8000000000000003E-9</v>
      </c>
      <c r="W119" s="119">
        <f t="shared" si="235"/>
        <v>1.4000000000000001E-9</v>
      </c>
      <c r="X119" s="119">
        <f t="shared" si="236"/>
        <v>2.0999999999999998E-9</v>
      </c>
      <c r="Y119" s="119">
        <f t="shared" si="237"/>
        <v>0</v>
      </c>
      <c r="Z119" s="119">
        <f t="shared" si="238"/>
        <v>2.5000000000000001E-9</v>
      </c>
      <c r="AA119" s="119">
        <f t="shared" si="239"/>
        <v>0</v>
      </c>
      <c r="AB119" s="119">
        <f t="shared" si="240"/>
        <v>0</v>
      </c>
      <c r="AC119" s="119">
        <f t="shared" si="241"/>
        <v>0</v>
      </c>
      <c r="AD119" s="119">
        <f t="shared" si="242"/>
        <v>0</v>
      </c>
      <c r="AE119" s="119">
        <f t="shared" si="243"/>
        <v>4.7500000000000003E-9</v>
      </c>
      <c r="AF119" s="119" t="b">
        <f t="shared" si="244"/>
        <v>1</v>
      </c>
      <c r="AG119" s="119" t="b">
        <f t="shared" si="245"/>
        <v>1</v>
      </c>
      <c r="AH119" s="119" t="b">
        <f t="shared" si="246"/>
        <v>1</v>
      </c>
      <c r="AI119" s="119" t="b">
        <f t="shared" si="247"/>
        <v>0</v>
      </c>
      <c r="AJ119" s="119" t="b">
        <f t="shared" si="248"/>
        <v>1</v>
      </c>
      <c r="AK119" s="119" t="b">
        <f t="shared" si="249"/>
        <v>0</v>
      </c>
      <c r="AL119" s="119" t="b">
        <f t="shared" si="250"/>
        <v>0</v>
      </c>
      <c r="AM119" s="119" t="b">
        <f t="shared" si="251"/>
        <v>0</v>
      </c>
      <c r="AN119" s="119" t="b">
        <f t="shared" si="252"/>
        <v>0</v>
      </c>
      <c r="AO119" s="119" t="b">
        <f t="shared" si="253"/>
        <v>1</v>
      </c>
      <c r="AQ119" s="2"/>
      <c r="AR119" s="2"/>
      <c r="AS119" s="2"/>
      <c r="AT119" s="195"/>
      <c r="AU119" s="195" t="str">
        <f>'Reference Score Calculation'!A98</f>
        <v>JS3070</v>
      </c>
      <c r="AV119" s="195"/>
      <c r="AW119" s="415">
        <f>IF(ISNUMBER(SEARCH(AW$112,'Reference Score Calculation'!$O98)),10,IF(ISNUMBER(SEARCH(AW$112,'Reference Score Calculation'!$P98)),7,IF(ISNUMBER(SEARCH(AW$112,'Reference Score Calculation'!$Q98)),5,IF(ISNUMBER(SEARCH($AW$104,'Reference Score Calculation'!$O98)),10,IF(ISNUMBER(SEARCH($AW$104,'Reference Score Calculation'!$P98)),7,5)))))</f>
        <v>7</v>
      </c>
      <c r="AX119" s="415">
        <f>IF(ISNUMBER(SEARCH(AX$112,'Reference Score Calculation'!$O98)),10,IF(ISNUMBER(SEARCH(AX$112,'Reference Score Calculation'!$P98)),7,IF(ISNUMBER(SEARCH(AX$112,'Reference Score Calculation'!$Q98)),5,IF(ISNUMBER(SEARCH($AW$104,'Reference Score Calculation'!$O98)),10,IF(ISNUMBER(SEARCH($AW$104,'Reference Score Calculation'!$P98)),7,5)))))</f>
        <v>10</v>
      </c>
      <c r="AY119" s="415">
        <f>IF(ISNUMBER(SEARCH(AY$112,'Reference Score Calculation'!$O98)),10,IF(ISNUMBER(SEARCH(AY$112,'Reference Score Calculation'!$P98)),7,IF(ISNUMBER(SEARCH(AY$112,'Reference Score Calculation'!$Q98)),5,IF(ISNUMBER(SEARCH($AW$104,'Reference Score Calculation'!$O98)),10,IF(ISNUMBER(SEARCH($AW$104,'Reference Score Calculation'!$P98)),7,5)))))</f>
        <v>10</v>
      </c>
      <c r="AZ119" s="415">
        <f>IF(ISNUMBER(SEARCH(AZ$112,'Reference Score Calculation'!$O98)),10,IF(ISNUMBER(SEARCH(AZ$112,'Reference Score Calculation'!$P98)),7,IF(ISNUMBER(SEARCH(AZ$112,'Reference Score Calculation'!$Q98)),5,IF(ISNUMBER(SEARCH($AW$104,'Reference Score Calculation'!$O98)),10,IF(ISNUMBER(SEARCH($AW$104,'Reference Score Calculation'!$P98)),7,5)))))</f>
        <v>7</v>
      </c>
      <c r="BA119" s="415">
        <f>IF(ISNUMBER(SEARCH(BA$112,'Reference Score Calculation'!$O98)),10,IF(ISNUMBER(SEARCH(BA$112,'Reference Score Calculation'!$P98)),7,IF(ISNUMBER(SEARCH(BA$112,'Reference Score Calculation'!$Q98)),5,IF(ISNUMBER(SEARCH($AW$104,'Reference Score Calculation'!$O98)),10,IF(ISNUMBER(SEARCH($AW$104,'Reference Score Calculation'!$P98)),7,5)))))</f>
        <v>7</v>
      </c>
      <c r="BB119" s="415">
        <f>IF(ISNUMBER(SEARCH(BB$112,'Reference Score Calculation'!$O98)),10,IF(ISNUMBER(SEARCH(BB$112,'Reference Score Calculation'!$P98)),7,IF(ISNUMBER(SEARCH(BB$112,'Reference Score Calculation'!$Q98)),5,IF(ISNUMBER(SEARCH($AW$104,'Reference Score Calculation'!$O98)),10,IF(ISNUMBER(SEARCH($AW$104,'Reference Score Calculation'!$P98)),7,5)))))</f>
        <v>7</v>
      </c>
      <c r="BC119" s="415">
        <f>IF(ISNUMBER(SEARCH(BC$112,'Reference Score Calculation'!$O98)),10,IF(ISNUMBER(SEARCH(BC$112,'Reference Score Calculation'!$P98)),7,IF(ISNUMBER(SEARCH(BC$112,'Reference Score Calculation'!$Q98)),5,IF(ISNUMBER(SEARCH($AW$104,'Reference Score Calculation'!$O98)),10,IF(ISNUMBER(SEARCH($AW$104,'Reference Score Calculation'!$P98)),7,5)))))</f>
        <v>7</v>
      </c>
      <c r="BD119" s="415">
        <f>IF(ISNUMBER(SEARCH(BD$112,'Reference Score Calculation'!$O98)),10,IF(ISNUMBER(SEARCH(BD$112,'Reference Score Calculation'!$P98)),7,IF(ISNUMBER(SEARCH(BD$112,'Reference Score Calculation'!$Q98)),5,IF(ISNUMBER(SEARCH($AW$104,'Reference Score Calculation'!$O98)),10,IF(ISNUMBER(SEARCH($AW$104,'Reference Score Calculation'!$P98)),7,5)))))</f>
        <v>7</v>
      </c>
      <c r="BE119" s="415">
        <f>IF(ISNUMBER(SEARCH(BE$112,'Reference Score Calculation'!$O98)),10,IF(ISNUMBER(SEARCH(BE$112,'Reference Score Calculation'!$P98)),7,IF(ISNUMBER(SEARCH(BE$112,'Reference Score Calculation'!$Q98)),5,IF(ISNUMBER(SEARCH($AW$104,'Reference Score Calculation'!$O98)),10,IF(ISNUMBER(SEARCH($AW$104,'Reference Score Calculation'!$P98)),7,5)))))</f>
        <v>7</v>
      </c>
      <c r="BF119" s="415">
        <f>IF(ISNUMBER(SEARCH(BF$112,'Reference Score Calculation'!$O98)),10,IF(ISNUMBER(SEARCH(BF$112,'Reference Score Calculation'!$P98)),7,IF(ISNUMBER(SEARCH(BF$112,'Reference Score Calculation'!$Q98)),5,IF(ISNUMBER(SEARCH($AW$104,'Reference Score Calculation'!$O98)),10,IF(ISNUMBER(SEARCH($AW$104,'Reference Score Calculation'!$P98)),7,5)))))</f>
        <v>7</v>
      </c>
      <c r="BG119" s="415">
        <f>IF(ISNUMBER(SEARCH(BG$112,'Reference Score Calculation'!$O98)),10,IF(ISNUMBER(SEARCH(BG$112,'Reference Score Calculation'!$P98)),7,IF(ISNUMBER(SEARCH(BG$112,'Reference Score Calculation'!$Q98)),5,IF(ISNUMBER(SEARCH($AW$104,'Reference Score Calculation'!$O98)),10,IF(ISNUMBER(SEARCH($AW$104,'Reference Score Calculation'!$P98)),7,5)))))</f>
        <v>5</v>
      </c>
      <c r="BH119" s="415">
        <f>IF(ISNUMBER(SEARCH(BH$112,'Reference Score Calculation'!$O98)),10,IF(ISNUMBER(SEARCH(BH$112,'Reference Score Calculation'!$P98)),7,IF(ISNUMBER(SEARCH(BH$112,'Reference Score Calculation'!$Q98)),5,IF(ISNUMBER(SEARCH($AW$104,'Reference Score Calculation'!$O98)),10,IF(ISNUMBER(SEARCH($AW$104,'Reference Score Calculation'!$P98)),7,5)))))</f>
        <v>5</v>
      </c>
      <c r="BI119" s="415">
        <f>IF(ISNUMBER(SEARCH(BI$112,'Reference Score Calculation'!$O98)),10,IF(ISNUMBER(SEARCH(BI$112,'Reference Score Calculation'!$P98)),7,IF(ISNUMBER(SEARCH(BI$112,'Reference Score Calculation'!$Q98)),5,IF(ISNUMBER(SEARCH($AW$104,'Reference Score Calculation'!$O98)),10,IF(ISNUMBER(SEARCH($AW$104,'Reference Score Calculation'!$P98)),7,5)))))</f>
        <v>7</v>
      </c>
      <c r="BJ119" s="415">
        <f>IF(ISNUMBER(SEARCH(BJ$112,'Reference Score Calculation'!$O98)),10,IF(ISNUMBER(SEARCH(BJ$112,'Reference Score Calculation'!$P98)),7,IF(ISNUMBER(SEARCH(BJ$112,'Reference Score Calculation'!$Q98)),5,IF(ISNUMBER(SEARCH($AW$104,'Reference Score Calculation'!$O98)),10,IF(ISNUMBER(SEARCH($AW$104,'Reference Score Calculation'!$P98)),7,5)))))</f>
        <v>7</v>
      </c>
      <c r="BK119" s="415">
        <f>IF(ISNUMBER(SEARCH(BK$112,'Reference Score Calculation'!$O98)),10,IF(ISNUMBER(SEARCH(BK$112,'Reference Score Calculation'!$P98)),7,IF(ISNUMBER(SEARCH(BK$112,'Reference Score Calculation'!$Q98)),5,IF(ISNUMBER(SEARCH($AW$104,'Reference Score Calculation'!$O98)),10,IF(ISNUMBER(SEARCH($AW$104,'Reference Score Calculation'!$P98)),7,5)))))</f>
        <v>5</v>
      </c>
      <c r="BL119" s="415">
        <f>IF(ISNUMBER(SEARCH(BL$112,'Reference Score Calculation'!$O98)),10,IF(ISNUMBER(SEARCH(BL$112,'Reference Score Calculation'!$P98)),7,IF(ISNUMBER(SEARCH(BL$112,'Reference Score Calculation'!$Q98)),5,IF(ISNUMBER(SEARCH($AW$104,'Reference Score Calculation'!$O98)),10,IF(ISNUMBER(SEARCH($AW$104,'Reference Score Calculation'!$P98)),7,5)))))</f>
        <v>7</v>
      </c>
      <c r="BM119" s="415">
        <f>IF(ISNUMBER(SEARCH(BM$112,'Reference Score Calculation'!$O98)),10,IF(ISNUMBER(SEARCH(BM$112,'Reference Score Calculation'!$P98)),7,IF(ISNUMBER(SEARCH(BM$112,'Reference Score Calculation'!$Q98)),5,IF(ISNUMBER(SEARCH($AW$104,'Reference Score Calculation'!$O98)),10,IF(ISNUMBER(SEARCH("組合科學(任何)",'Reference Score Calculation'!$O98)),10,IF(ISNUMBER(SEARCH("組合科學(任何)",'Reference Score Calculation'!$P98)),7,IF(ISNUMBER(SEARCH("組合科學(任何)",'Reference Score Calculation'!$Q98)),5,IF(ISNUMBER(SEARCH($AW$104,'Reference Score Calculation'!$P98)),7,5))))))))</f>
        <v>7</v>
      </c>
      <c r="BN119" s="415">
        <f>IF(ISNUMBER(SEARCH(BN$112,'Reference Score Calculation'!$O98)),10,IF(ISNUMBER(SEARCH(BN$112,'Reference Score Calculation'!$P98)),7,IF(ISNUMBER(SEARCH(BN$112,'Reference Score Calculation'!$Q98)),5,IF(ISNUMBER(SEARCH($AW$104,'Reference Score Calculation'!$O98)),10,IF(ISNUMBER(SEARCH("組合科學(任何)",'Reference Score Calculation'!$O98)),10,IF(ISNUMBER(SEARCH("組合科學(任何)",'Reference Score Calculation'!$P98)),7,IF(ISNUMBER(SEARCH("組合科學(任何)",'Reference Score Calculation'!$Q98)),5,IF(ISNUMBER(SEARCH($AW$104,'Reference Score Calculation'!$P98)),7,5))))))))</f>
        <v>7</v>
      </c>
      <c r="BO119" s="415">
        <f>IF(ISNUMBER(SEARCH(BO$112,'Reference Score Calculation'!$O98)),10,IF(ISNUMBER(SEARCH(BO$112,'Reference Score Calculation'!$P98)),7,IF(ISNUMBER(SEARCH(BO$112,'Reference Score Calculation'!$Q98)),5,IF(ISNUMBER(SEARCH($AW$104,'Reference Score Calculation'!$O98)),10,IF(ISNUMBER(SEARCH("組合科學(任何)",'Reference Score Calculation'!$O98)),10,IF(ISNUMBER(SEARCH("組合科學(任何)",'Reference Score Calculation'!$P98)),7,IF(ISNUMBER(SEARCH("組合科學(任何)",'Reference Score Calculation'!$Q98)),5,IF(ISNUMBER(SEARCH($AW$104,'Reference Score Calculation'!$P98)),7,5))))))))</f>
        <v>7</v>
      </c>
      <c r="BP119" s="415">
        <f>IF(ISNUMBER(SEARCH(BP$112,'Reference Score Calculation'!$O98)),10,IF(ISNUMBER(SEARCH(BP$112,'Reference Score Calculation'!$P98)),7,IF(ISNUMBER(SEARCH(BP$112,'Reference Score Calculation'!$Q98)),5,IF(ISNUMBER(SEARCH($AW$104,'Reference Score Calculation'!$O98)),10,IF(ISNUMBER(SEARCH($AW$104,'Reference Score Calculation'!$P98)),7,5)))))</f>
        <v>7</v>
      </c>
      <c r="BQ119" s="415">
        <f>IF(ISNUMBER(SEARCH(BQ$112,'Reference Score Calculation'!$O98)),10,IF(ISNUMBER(SEARCH(BQ$112,'Reference Score Calculation'!$P98)),7,IF(ISNUMBER(SEARCH(BQ$112,'Reference Score Calculation'!$Q98)),5,IF(ISNUMBER(SEARCH($AW$104,'Reference Score Calculation'!$O98)),10,IF(ISNUMBER(SEARCH($AW$104,'Reference Score Calculation'!$P98)),7,5)))))</f>
        <v>7</v>
      </c>
      <c r="BR119" s="415">
        <f>IF(ISNUMBER(SEARCH(BR$112,'Reference Score Calculation'!$O98)),10,IF(ISNUMBER(SEARCH(BR$112,'Reference Score Calculation'!$P98)),7,IF(ISNUMBER(SEARCH(BR$112,'Reference Score Calculation'!$Q98)),5,IF(ISNUMBER(SEARCH($AW$104,'Reference Score Calculation'!$O98)),10,IF(ISNUMBER(SEARCH($AW$104,'Reference Score Calculation'!$P98)),7,5)))))</f>
        <v>7</v>
      </c>
      <c r="BS119" s="415">
        <f>IF(ISNUMBER(SEARCH(BS$112,'Reference Score Calculation'!$O98)),10,IF(ISNUMBER(SEARCH(BS$112,'Reference Score Calculation'!$P98)),7,IF(ISNUMBER(SEARCH(BS$112,'Reference Score Calculation'!$Q98)),5,IF(ISNUMBER(SEARCH($AW$104,'Reference Score Calculation'!$O98)),10,IF(ISNUMBER(SEARCH($AW$104,'Reference Score Calculation'!$P98)),7,5)))))</f>
        <v>5</v>
      </c>
      <c r="BT119" s="415">
        <f>IF(ISNUMBER(SEARCH(BT$112,'Reference Score Calculation'!$O98)),10,IF(ISNUMBER(SEARCH(BT$112,'Reference Score Calculation'!$P98)),7,IF(ISNUMBER(SEARCH(BT$112,'Reference Score Calculation'!$Q98)),5,IF(ISNUMBER(SEARCH($AW$104,'Reference Score Calculation'!$O98)),10,IF(ISNUMBER(SEARCH($AW$104,'Reference Score Calculation'!$P98)),7,5)))))</f>
        <v>5</v>
      </c>
      <c r="BU119" s="415">
        <f>IF(ISNUMBER(SEARCH(BU$112,'Reference Score Calculation'!$O98)),10,IF(ISNUMBER(SEARCH(BU$112,'Reference Score Calculation'!$P98)),7,IF(ISNUMBER(SEARCH(BU$112,'Reference Score Calculation'!$Q98)),5,IF(ISNUMBER(SEARCH($AW$104,'Reference Score Calculation'!$O98)),10,IF(ISNUMBER(SEARCH($AW$104,'Reference Score Calculation'!$P98)),7,5)))))</f>
        <v>7</v>
      </c>
      <c r="BV119" s="415">
        <f>IF(ISNUMBER(SEARCH(BV$112,'Reference Score Calculation'!$O98)),10,IF(ISNUMBER(SEARCH(BV$112,'Reference Score Calculation'!$P98)),7,IF(ISNUMBER(SEARCH(BV$112,'Reference Score Calculation'!$Q98)),5,IF(ISNUMBER(SEARCH($AW$104,'Reference Score Calculation'!$O98)),10,IF(ISNUMBER(SEARCH($AW$104,'Reference Score Calculation'!$P98)),7,5)))))</f>
        <v>5</v>
      </c>
      <c r="BW119" s="415">
        <f>IF(ISNUMBER(SEARCH(BW$112,'Reference Score Calculation'!$O98)),10,IF(ISNUMBER(SEARCH(BW$112,'Reference Score Calculation'!$P98)),7,IF(ISNUMBER(SEARCH(BW$112,'Reference Score Calculation'!$Q98)),5,IF(ISNUMBER(SEARCH($AW$104,'Reference Score Calculation'!$O98)),10,IF(ISNUMBER(SEARCH($AW$104,'Reference Score Calculation'!$P98)),7,5)))))</f>
        <v>7</v>
      </c>
      <c r="BX119" s="415">
        <f>IF(ISNUMBER(SEARCH(BX$112,'Reference Score Calculation'!$O98)),10,IF(ISNUMBER(SEARCH(BX$112,'Reference Score Calculation'!$P98)),7,IF(ISNUMBER(SEARCH(BX$112,'Reference Score Calculation'!$Q98)),5,IF(ISNUMBER(SEARCH($AW$104,'Reference Score Calculation'!$O98)),10,IF(ISNUMBER(SEARCH($AW$104,'Reference Score Calculation'!$P98)),7,5)))))</f>
        <v>7</v>
      </c>
      <c r="BY119" s="195"/>
      <c r="BZ119" s="195"/>
      <c r="CA119" s="195"/>
    </row>
    <row r="120" spans="1:79">
      <c r="A120" s="119" t="str">
        <f>'Reference Score Calculation'!A97</f>
        <v>JS3060</v>
      </c>
      <c r="B120" s="119" t="str">
        <f>'Reference Score Calculation'!A97</f>
        <v>JS3060</v>
      </c>
      <c r="C120" s="119" t="str">
        <f>'Reference Score Calculation'!D97</f>
        <v>會計及金融(榮譽)工商管理學士組合課程 (會計學 / 會計及金融 / 數碼金融及投資學)</v>
      </c>
      <c r="D120" s="2" t="e">
        <f>'Reference Score Calculation'!#REF!</f>
        <v>#REF!</v>
      </c>
      <c r="E120" s="134" t="str">
        <f>'Reference Score Calculation'!E97</f>
        <v>Best 5</v>
      </c>
      <c r="F120" s="134"/>
      <c r="G120" s="119" t="str">
        <f>入學要求!AB106</f>
        <v>v</v>
      </c>
      <c r="H120" s="119" t="str">
        <f>入學要求!AC106</f>
        <v>E</v>
      </c>
      <c r="I120" s="119" t="str">
        <f>入學要求!AD106</f>
        <v>NO</v>
      </c>
      <c r="J120" s="119">
        <f t="shared" si="254"/>
        <v>1.6050000000000001E-8</v>
      </c>
      <c r="K120" s="119">
        <f t="shared" si="232"/>
        <v>7</v>
      </c>
      <c r="L120" s="119">
        <f t="shared" si="232"/>
        <v>10</v>
      </c>
      <c r="M120" s="119">
        <f t="shared" si="232"/>
        <v>10</v>
      </c>
      <c r="N120" s="119">
        <v>0</v>
      </c>
      <c r="O120" s="119">
        <f t="shared" si="233"/>
        <v>7</v>
      </c>
      <c r="P120" s="119">
        <f t="shared" si="233"/>
        <v>0</v>
      </c>
      <c r="Q120" s="119">
        <f t="shared" si="233"/>
        <v>0</v>
      </c>
      <c r="R120" s="119">
        <f t="shared" si="233"/>
        <v>0</v>
      </c>
      <c r="S120" s="119">
        <f t="shared" si="233"/>
        <v>0</v>
      </c>
      <c r="T120" s="119">
        <v>5</v>
      </c>
      <c r="V120" s="119">
        <f t="shared" si="234"/>
        <v>2.8000000000000003E-9</v>
      </c>
      <c r="W120" s="119">
        <f t="shared" si="235"/>
        <v>2.0000000000000001E-9</v>
      </c>
      <c r="X120" s="119">
        <f t="shared" si="236"/>
        <v>3E-9</v>
      </c>
      <c r="Y120" s="119">
        <f t="shared" si="237"/>
        <v>0</v>
      </c>
      <c r="Z120" s="119">
        <f t="shared" si="238"/>
        <v>3.5000000000000003E-9</v>
      </c>
      <c r="AA120" s="119">
        <f t="shared" si="239"/>
        <v>0</v>
      </c>
      <c r="AB120" s="119">
        <f t="shared" si="240"/>
        <v>0</v>
      </c>
      <c r="AC120" s="119">
        <f t="shared" si="241"/>
        <v>0</v>
      </c>
      <c r="AD120" s="119">
        <f t="shared" si="242"/>
        <v>0</v>
      </c>
      <c r="AE120" s="119">
        <f t="shared" si="243"/>
        <v>4.7500000000000003E-9</v>
      </c>
      <c r="AF120" s="119" t="b">
        <f t="shared" si="244"/>
        <v>1</v>
      </c>
      <c r="AG120" s="119" t="b">
        <f t="shared" si="245"/>
        <v>1</v>
      </c>
      <c r="AH120" s="119" t="b">
        <f t="shared" si="246"/>
        <v>1</v>
      </c>
      <c r="AI120" s="119" t="b">
        <f t="shared" si="247"/>
        <v>0</v>
      </c>
      <c r="AJ120" s="119" t="b">
        <f t="shared" si="248"/>
        <v>1</v>
      </c>
      <c r="AK120" s="119" t="b">
        <f t="shared" si="249"/>
        <v>0</v>
      </c>
      <c r="AL120" s="119" t="b">
        <f t="shared" si="250"/>
        <v>0</v>
      </c>
      <c r="AM120" s="119" t="b">
        <f t="shared" si="251"/>
        <v>0</v>
      </c>
      <c r="AN120" s="119" t="b">
        <f t="shared" si="252"/>
        <v>0</v>
      </c>
      <c r="AO120" s="119" t="b">
        <f t="shared" si="253"/>
        <v>1</v>
      </c>
      <c r="AQ120" s="2"/>
      <c r="AR120" s="2"/>
      <c r="AS120" s="2"/>
      <c r="AT120" s="195"/>
      <c r="AU120" s="195" t="str">
        <f>'Reference Score Calculation'!A99</f>
        <v>JS3080</v>
      </c>
      <c r="AV120" s="195"/>
      <c r="AW120" s="415">
        <f>IF(ISNUMBER(SEARCH(AW$112,'Reference Score Calculation'!$O99)),10,IF(ISNUMBER(SEARCH(AW$112,'Reference Score Calculation'!$P99)),7,IF(ISNUMBER(SEARCH(AW$112,'Reference Score Calculation'!$Q99)),5,IF(ISNUMBER(SEARCH($AW$104,'Reference Score Calculation'!$O99)),10,IF(ISNUMBER(SEARCH($AW$104,'Reference Score Calculation'!$P99)),7,5)))))</f>
        <v>7</v>
      </c>
      <c r="AX120" s="415">
        <f>IF(ISNUMBER(SEARCH(AX$112,'Reference Score Calculation'!$O99)),10,IF(ISNUMBER(SEARCH(AX$112,'Reference Score Calculation'!$P99)),7,IF(ISNUMBER(SEARCH(AX$112,'Reference Score Calculation'!$Q99)),5,IF(ISNUMBER(SEARCH($AW$104,'Reference Score Calculation'!$O99)),10,IF(ISNUMBER(SEARCH($AW$104,'Reference Score Calculation'!$P99)),7,5)))))</f>
        <v>10</v>
      </c>
      <c r="AY120" s="415">
        <f>IF(ISNUMBER(SEARCH(AY$112,'Reference Score Calculation'!$O99)),10,IF(ISNUMBER(SEARCH(AY$112,'Reference Score Calculation'!$P99)),7,IF(ISNUMBER(SEARCH(AY$112,'Reference Score Calculation'!$Q99)),5,IF(ISNUMBER(SEARCH($AW$104,'Reference Score Calculation'!$O99)),10,IF(ISNUMBER(SEARCH($AW$104,'Reference Score Calculation'!$P99)),7,5)))))</f>
        <v>10</v>
      </c>
      <c r="AZ120" s="415">
        <f>IF(ISNUMBER(SEARCH(AZ$112,'Reference Score Calculation'!$O99)),10,IF(ISNUMBER(SEARCH(AZ$112,'Reference Score Calculation'!$P99)),7,IF(ISNUMBER(SEARCH(AZ$112,'Reference Score Calculation'!$Q99)),5,IF(ISNUMBER(SEARCH($AW$104,'Reference Score Calculation'!$O99)),10,IF(ISNUMBER(SEARCH($AW$104,'Reference Score Calculation'!$P99)),7,5)))))</f>
        <v>7</v>
      </c>
      <c r="BA120" s="415">
        <f>IF(ISNUMBER(SEARCH(BA$112,'Reference Score Calculation'!$O99)),10,IF(ISNUMBER(SEARCH(BA$112,'Reference Score Calculation'!$P99)),7,IF(ISNUMBER(SEARCH(BA$112,'Reference Score Calculation'!$Q99)),5,IF(ISNUMBER(SEARCH($AW$104,'Reference Score Calculation'!$O99)),10,IF(ISNUMBER(SEARCH($AW$104,'Reference Score Calculation'!$P99)),7,5)))))</f>
        <v>7</v>
      </c>
      <c r="BB120" s="415">
        <f>IF(ISNUMBER(SEARCH(BB$112,'Reference Score Calculation'!$O99)),10,IF(ISNUMBER(SEARCH(BB$112,'Reference Score Calculation'!$P99)),7,IF(ISNUMBER(SEARCH(BB$112,'Reference Score Calculation'!$Q99)),5,IF(ISNUMBER(SEARCH($AW$104,'Reference Score Calculation'!$O99)),10,IF(ISNUMBER(SEARCH($AW$104,'Reference Score Calculation'!$P99)),7,5)))))</f>
        <v>7</v>
      </c>
      <c r="BC120" s="415">
        <f>IF(ISNUMBER(SEARCH(BC$112,'Reference Score Calculation'!$O99)),10,IF(ISNUMBER(SEARCH(BC$112,'Reference Score Calculation'!$P99)),7,IF(ISNUMBER(SEARCH(BC$112,'Reference Score Calculation'!$Q99)),5,IF(ISNUMBER(SEARCH($AW$104,'Reference Score Calculation'!$O99)),10,IF(ISNUMBER(SEARCH($AW$104,'Reference Score Calculation'!$P99)),7,5)))))</f>
        <v>7</v>
      </c>
      <c r="BD120" s="415">
        <f>IF(ISNUMBER(SEARCH(BD$112,'Reference Score Calculation'!$O99)),10,IF(ISNUMBER(SEARCH(BD$112,'Reference Score Calculation'!$P99)),7,IF(ISNUMBER(SEARCH(BD$112,'Reference Score Calculation'!$Q99)),5,IF(ISNUMBER(SEARCH($AW$104,'Reference Score Calculation'!$O99)),10,IF(ISNUMBER(SEARCH($AW$104,'Reference Score Calculation'!$P99)),7,5)))))</f>
        <v>7</v>
      </c>
      <c r="BE120" s="415">
        <f>IF(ISNUMBER(SEARCH(BE$112,'Reference Score Calculation'!$O99)),10,IF(ISNUMBER(SEARCH(BE$112,'Reference Score Calculation'!$P99)),7,IF(ISNUMBER(SEARCH(BE$112,'Reference Score Calculation'!$Q99)),5,IF(ISNUMBER(SEARCH($AW$104,'Reference Score Calculation'!$O99)),10,IF(ISNUMBER(SEARCH($AW$104,'Reference Score Calculation'!$P99)),7,5)))))</f>
        <v>7</v>
      </c>
      <c r="BF120" s="415">
        <f>IF(ISNUMBER(SEARCH(BF$112,'Reference Score Calculation'!$O99)),10,IF(ISNUMBER(SEARCH(BF$112,'Reference Score Calculation'!$P99)),7,IF(ISNUMBER(SEARCH(BF$112,'Reference Score Calculation'!$Q99)),5,IF(ISNUMBER(SEARCH($AW$104,'Reference Score Calculation'!$O99)),10,IF(ISNUMBER(SEARCH($AW$104,'Reference Score Calculation'!$P99)),7,5)))))</f>
        <v>7</v>
      </c>
      <c r="BG120" s="415">
        <f>IF(ISNUMBER(SEARCH(BG$112,'Reference Score Calculation'!$O99)),10,IF(ISNUMBER(SEARCH(BG$112,'Reference Score Calculation'!$P99)),7,IF(ISNUMBER(SEARCH(BG$112,'Reference Score Calculation'!$Q99)),5,IF(ISNUMBER(SEARCH($AW$104,'Reference Score Calculation'!$O99)),10,IF(ISNUMBER(SEARCH($AW$104,'Reference Score Calculation'!$P99)),7,5)))))</f>
        <v>5</v>
      </c>
      <c r="BH120" s="415">
        <f>IF(ISNUMBER(SEARCH(BH$112,'Reference Score Calculation'!$O99)),10,IF(ISNUMBER(SEARCH(BH$112,'Reference Score Calculation'!$P99)),7,IF(ISNUMBER(SEARCH(BH$112,'Reference Score Calculation'!$Q99)),5,IF(ISNUMBER(SEARCH($AW$104,'Reference Score Calculation'!$O99)),10,IF(ISNUMBER(SEARCH($AW$104,'Reference Score Calculation'!$P99)),7,5)))))</f>
        <v>5</v>
      </c>
      <c r="BI120" s="415">
        <f>IF(ISNUMBER(SEARCH(BI$112,'Reference Score Calculation'!$O99)),10,IF(ISNUMBER(SEARCH(BI$112,'Reference Score Calculation'!$P99)),7,IF(ISNUMBER(SEARCH(BI$112,'Reference Score Calculation'!$Q99)),5,IF(ISNUMBER(SEARCH($AW$104,'Reference Score Calculation'!$O99)),10,IF(ISNUMBER(SEARCH($AW$104,'Reference Score Calculation'!$P99)),7,5)))))</f>
        <v>7</v>
      </c>
      <c r="BJ120" s="415">
        <f>IF(ISNUMBER(SEARCH(BJ$112,'Reference Score Calculation'!$O99)),10,IF(ISNUMBER(SEARCH(BJ$112,'Reference Score Calculation'!$P99)),7,IF(ISNUMBER(SEARCH(BJ$112,'Reference Score Calculation'!$Q99)),5,IF(ISNUMBER(SEARCH($AW$104,'Reference Score Calculation'!$O99)),10,IF(ISNUMBER(SEARCH($AW$104,'Reference Score Calculation'!$P99)),7,5)))))</f>
        <v>7</v>
      </c>
      <c r="BK120" s="415">
        <f>IF(ISNUMBER(SEARCH(BK$112,'Reference Score Calculation'!$O99)),10,IF(ISNUMBER(SEARCH(BK$112,'Reference Score Calculation'!$P99)),7,IF(ISNUMBER(SEARCH(BK$112,'Reference Score Calculation'!$Q99)),5,IF(ISNUMBER(SEARCH($AW$104,'Reference Score Calculation'!$O99)),10,IF(ISNUMBER(SEARCH($AW$104,'Reference Score Calculation'!$P99)),7,5)))))</f>
        <v>5</v>
      </c>
      <c r="BL120" s="415">
        <f>IF(ISNUMBER(SEARCH(BL$112,'Reference Score Calculation'!$O99)),10,IF(ISNUMBER(SEARCH(BL$112,'Reference Score Calculation'!$P99)),7,IF(ISNUMBER(SEARCH(BL$112,'Reference Score Calculation'!$Q99)),5,IF(ISNUMBER(SEARCH($AW$104,'Reference Score Calculation'!$O99)),10,IF(ISNUMBER(SEARCH($AW$104,'Reference Score Calculation'!$P99)),7,5)))))</f>
        <v>7</v>
      </c>
      <c r="BM120" s="415">
        <f>IF(ISNUMBER(SEARCH(BM$112,'Reference Score Calculation'!$O99)),10,IF(ISNUMBER(SEARCH(BM$112,'Reference Score Calculation'!$P99)),7,IF(ISNUMBER(SEARCH(BM$112,'Reference Score Calculation'!$Q99)),5,IF(ISNUMBER(SEARCH($AW$104,'Reference Score Calculation'!$O99)),10,IF(ISNUMBER(SEARCH("組合科學(任何)",'Reference Score Calculation'!$O99)),10,IF(ISNUMBER(SEARCH("組合科學(任何)",'Reference Score Calculation'!$P99)),7,IF(ISNUMBER(SEARCH("組合科學(任何)",'Reference Score Calculation'!$Q99)),5,IF(ISNUMBER(SEARCH($AW$104,'Reference Score Calculation'!$P99)),7,5))))))))</f>
        <v>7</v>
      </c>
      <c r="BN120" s="415">
        <f>IF(ISNUMBER(SEARCH(BN$112,'Reference Score Calculation'!$O99)),10,IF(ISNUMBER(SEARCH(BN$112,'Reference Score Calculation'!$P99)),7,IF(ISNUMBER(SEARCH(BN$112,'Reference Score Calculation'!$Q99)),5,IF(ISNUMBER(SEARCH($AW$104,'Reference Score Calculation'!$O99)),10,IF(ISNUMBER(SEARCH("組合科學(任何)",'Reference Score Calculation'!$O99)),10,IF(ISNUMBER(SEARCH("組合科學(任何)",'Reference Score Calculation'!$P99)),7,IF(ISNUMBER(SEARCH("組合科學(任何)",'Reference Score Calculation'!$Q99)),5,IF(ISNUMBER(SEARCH($AW$104,'Reference Score Calculation'!$P99)),7,5))))))))</f>
        <v>7</v>
      </c>
      <c r="BO120" s="415">
        <f>IF(ISNUMBER(SEARCH(BO$112,'Reference Score Calculation'!$O99)),10,IF(ISNUMBER(SEARCH(BO$112,'Reference Score Calculation'!$P99)),7,IF(ISNUMBER(SEARCH(BO$112,'Reference Score Calculation'!$Q99)),5,IF(ISNUMBER(SEARCH($AW$104,'Reference Score Calculation'!$O99)),10,IF(ISNUMBER(SEARCH("組合科學(任何)",'Reference Score Calculation'!$O99)),10,IF(ISNUMBER(SEARCH("組合科學(任何)",'Reference Score Calculation'!$P99)),7,IF(ISNUMBER(SEARCH("組合科學(任何)",'Reference Score Calculation'!$Q99)),5,IF(ISNUMBER(SEARCH($AW$104,'Reference Score Calculation'!$P99)),7,5))))))))</f>
        <v>7</v>
      </c>
      <c r="BP120" s="415">
        <f>IF(ISNUMBER(SEARCH(BP$112,'Reference Score Calculation'!$O99)),10,IF(ISNUMBER(SEARCH(BP$112,'Reference Score Calculation'!$P99)),7,IF(ISNUMBER(SEARCH(BP$112,'Reference Score Calculation'!$Q99)),5,IF(ISNUMBER(SEARCH($AW$104,'Reference Score Calculation'!$O99)),10,IF(ISNUMBER(SEARCH($AW$104,'Reference Score Calculation'!$P99)),7,5)))))</f>
        <v>7</v>
      </c>
      <c r="BQ120" s="415">
        <f>IF(ISNUMBER(SEARCH(BQ$112,'Reference Score Calculation'!$O99)),10,IF(ISNUMBER(SEARCH(BQ$112,'Reference Score Calculation'!$P99)),7,IF(ISNUMBER(SEARCH(BQ$112,'Reference Score Calculation'!$Q99)),5,IF(ISNUMBER(SEARCH($AW$104,'Reference Score Calculation'!$O99)),10,IF(ISNUMBER(SEARCH($AW$104,'Reference Score Calculation'!$P99)),7,5)))))</f>
        <v>7</v>
      </c>
      <c r="BR120" s="415">
        <f>IF(ISNUMBER(SEARCH(BR$112,'Reference Score Calculation'!$O99)),10,IF(ISNUMBER(SEARCH(BR$112,'Reference Score Calculation'!$P99)),7,IF(ISNUMBER(SEARCH(BR$112,'Reference Score Calculation'!$Q99)),5,IF(ISNUMBER(SEARCH($AW$104,'Reference Score Calculation'!$O99)),10,IF(ISNUMBER(SEARCH($AW$104,'Reference Score Calculation'!$P99)),7,5)))))</f>
        <v>7</v>
      </c>
      <c r="BS120" s="415">
        <f>IF(ISNUMBER(SEARCH(BS$112,'Reference Score Calculation'!$O99)),10,IF(ISNUMBER(SEARCH(BS$112,'Reference Score Calculation'!$P99)),7,IF(ISNUMBER(SEARCH(BS$112,'Reference Score Calculation'!$Q99)),5,IF(ISNUMBER(SEARCH($AW$104,'Reference Score Calculation'!$O99)),10,IF(ISNUMBER(SEARCH($AW$104,'Reference Score Calculation'!$P99)),7,5)))))</f>
        <v>5</v>
      </c>
      <c r="BT120" s="415">
        <f>IF(ISNUMBER(SEARCH(BT$112,'Reference Score Calculation'!$O99)),10,IF(ISNUMBER(SEARCH(BT$112,'Reference Score Calculation'!$P99)),7,IF(ISNUMBER(SEARCH(BT$112,'Reference Score Calculation'!$Q99)),5,IF(ISNUMBER(SEARCH($AW$104,'Reference Score Calculation'!$O99)),10,IF(ISNUMBER(SEARCH($AW$104,'Reference Score Calculation'!$P99)),7,5)))))</f>
        <v>5</v>
      </c>
      <c r="BU120" s="415">
        <f>IF(ISNUMBER(SEARCH(BU$112,'Reference Score Calculation'!$O99)),10,IF(ISNUMBER(SEARCH(BU$112,'Reference Score Calculation'!$P99)),7,IF(ISNUMBER(SEARCH(BU$112,'Reference Score Calculation'!$Q99)),5,IF(ISNUMBER(SEARCH($AW$104,'Reference Score Calculation'!$O99)),10,IF(ISNUMBER(SEARCH($AW$104,'Reference Score Calculation'!$P99)),7,5)))))</f>
        <v>7</v>
      </c>
      <c r="BV120" s="415">
        <f>IF(ISNUMBER(SEARCH(BV$112,'Reference Score Calculation'!$O99)),10,IF(ISNUMBER(SEARCH(BV$112,'Reference Score Calculation'!$P99)),7,IF(ISNUMBER(SEARCH(BV$112,'Reference Score Calculation'!$Q99)),5,IF(ISNUMBER(SEARCH($AW$104,'Reference Score Calculation'!$O99)),10,IF(ISNUMBER(SEARCH($AW$104,'Reference Score Calculation'!$P99)),7,5)))))</f>
        <v>5</v>
      </c>
      <c r="BW120" s="415">
        <f>IF(ISNUMBER(SEARCH(BW$112,'Reference Score Calculation'!$O99)),10,IF(ISNUMBER(SEARCH(BW$112,'Reference Score Calculation'!$P99)),7,IF(ISNUMBER(SEARCH(BW$112,'Reference Score Calculation'!$Q99)),5,IF(ISNUMBER(SEARCH($AW$104,'Reference Score Calculation'!$O99)),10,IF(ISNUMBER(SEARCH($AW$104,'Reference Score Calculation'!$P99)),7,5)))))</f>
        <v>7</v>
      </c>
      <c r="BX120" s="415">
        <f>IF(ISNUMBER(SEARCH(BX$112,'Reference Score Calculation'!$O99)),10,IF(ISNUMBER(SEARCH(BX$112,'Reference Score Calculation'!$P99)),7,IF(ISNUMBER(SEARCH(BX$112,'Reference Score Calculation'!$Q99)),5,IF(ISNUMBER(SEARCH($AW$104,'Reference Score Calculation'!$O99)),10,IF(ISNUMBER(SEARCH($AW$104,'Reference Score Calculation'!$P99)),7,5)))))</f>
        <v>7</v>
      </c>
      <c r="BY120" s="195"/>
      <c r="BZ120" s="195"/>
      <c r="CA120" s="195"/>
    </row>
    <row r="121" spans="1:79">
      <c r="A121" s="119" t="str">
        <f>'Reference Score Calculation'!A98</f>
        <v>JS3070</v>
      </c>
      <c r="B121" s="119" t="str">
        <f>'Reference Score Calculation'!A98</f>
        <v>JS3070</v>
      </c>
      <c r="C121" s="119" t="str">
        <f>'Reference Score Calculation'!D98</f>
        <v>航空、航運及供應鏈管理(榮譽)工商管理學士組合課程 (航空管理及金融 / 國際航運及物流管理 / 供應鏈管理及分析)</v>
      </c>
      <c r="D121" s="2" t="e">
        <f>'Reference Score Calculation'!#REF!</f>
        <v>#REF!</v>
      </c>
      <c r="E121" s="134" t="str">
        <f>'Reference Score Calculation'!E98</f>
        <v>Best 5</v>
      </c>
      <c r="F121" s="134"/>
      <c r="G121" s="119" t="str">
        <f>入學要求!AB107</f>
        <v>v</v>
      </c>
      <c r="H121" s="119" t="str">
        <f>入學要求!AC107</f>
        <v>E</v>
      </c>
      <c r="I121" s="119" t="str">
        <f>入學要求!AD107</f>
        <v>NO</v>
      </c>
      <c r="J121" s="119">
        <f t="shared" si="254"/>
        <v>1.6050000000000001E-8</v>
      </c>
      <c r="K121" s="119">
        <f t="shared" si="232"/>
        <v>7</v>
      </c>
      <c r="L121" s="119">
        <f t="shared" si="232"/>
        <v>10</v>
      </c>
      <c r="M121" s="119">
        <f t="shared" si="232"/>
        <v>10</v>
      </c>
      <c r="N121" s="119">
        <v>0</v>
      </c>
      <c r="O121" s="119">
        <f t="shared" si="233"/>
        <v>7</v>
      </c>
      <c r="P121" s="119">
        <f t="shared" si="233"/>
        <v>0</v>
      </c>
      <c r="Q121" s="119">
        <f t="shared" si="233"/>
        <v>0</v>
      </c>
      <c r="R121" s="119">
        <f t="shared" si="233"/>
        <v>0</v>
      </c>
      <c r="S121" s="119">
        <f t="shared" si="233"/>
        <v>0</v>
      </c>
      <c r="T121" s="119">
        <v>5</v>
      </c>
      <c r="V121" s="119">
        <f t="shared" si="234"/>
        <v>2.8000000000000003E-9</v>
      </c>
      <c r="W121" s="119">
        <f t="shared" si="235"/>
        <v>2.0000000000000001E-9</v>
      </c>
      <c r="X121" s="119">
        <f t="shared" si="236"/>
        <v>3E-9</v>
      </c>
      <c r="Y121" s="119">
        <f t="shared" si="237"/>
        <v>0</v>
      </c>
      <c r="Z121" s="119">
        <f t="shared" si="238"/>
        <v>3.5000000000000003E-9</v>
      </c>
      <c r="AA121" s="119">
        <f t="shared" si="239"/>
        <v>0</v>
      </c>
      <c r="AB121" s="119">
        <f t="shared" si="240"/>
        <v>0</v>
      </c>
      <c r="AC121" s="119">
        <f t="shared" si="241"/>
        <v>0</v>
      </c>
      <c r="AD121" s="119">
        <f t="shared" si="242"/>
        <v>0</v>
      </c>
      <c r="AE121" s="119">
        <f t="shared" si="243"/>
        <v>4.7500000000000003E-9</v>
      </c>
      <c r="AF121" s="119" t="b">
        <f t="shared" si="244"/>
        <v>1</v>
      </c>
      <c r="AG121" s="119" t="b">
        <f t="shared" si="245"/>
        <v>1</v>
      </c>
      <c r="AH121" s="119" t="b">
        <f t="shared" si="246"/>
        <v>1</v>
      </c>
      <c r="AI121" s="119" t="b">
        <f t="shared" si="247"/>
        <v>0</v>
      </c>
      <c r="AJ121" s="119" t="b">
        <f t="shared" si="248"/>
        <v>1</v>
      </c>
      <c r="AK121" s="119" t="b">
        <f t="shared" si="249"/>
        <v>0</v>
      </c>
      <c r="AL121" s="119" t="b">
        <f t="shared" si="250"/>
        <v>0</v>
      </c>
      <c r="AM121" s="119" t="b">
        <f t="shared" si="251"/>
        <v>0</v>
      </c>
      <c r="AN121" s="119" t="b">
        <f t="shared" si="252"/>
        <v>0</v>
      </c>
      <c r="AO121" s="119" t="b">
        <f t="shared" si="253"/>
        <v>1</v>
      </c>
      <c r="AQ121" s="2"/>
      <c r="AR121" s="2"/>
      <c r="AS121" s="2"/>
      <c r="AT121" s="195"/>
      <c r="AU121" s="195" t="str">
        <f>'Reference Score Calculation'!A100</f>
        <v>JS3100</v>
      </c>
      <c r="AV121" s="195"/>
      <c r="AW121" s="415">
        <f>IF(ISNUMBER(SEARCH(AW$112,'Reference Score Calculation'!$O100)),10,IF(ISNUMBER(SEARCH(AW$112,'Reference Score Calculation'!$P100)),7,IF(ISNUMBER(SEARCH(AW$112,'Reference Score Calculation'!$Q100)),5,IF(ISNUMBER(SEARCH($AW$104,'Reference Score Calculation'!$O100)),10,IF(ISNUMBER(SEARCH($AW$104,'Reference Score Calculation'!$P100)),7,5)))))</f>
        <v>7</v>
      </c>
      <c r="AX121" s="415">
        <f>IF(ISNUMBER(SEARCH(AX$112,'Reference Score Calculation'!$O100)),10,IF(ISNUMBER(SEARCH(AX$112,'Reference Score Calculation'!$P100)),7,IF(ISNUMBER(SEARCH(AX$112,'Reference Score Calculation'!$Q100)),5,IF(ISNUMBER(SEARCH($AW$104,'Reference Score Calculation'!$O100)),10,IF(ISNUMBER(SEARCH($AW$104,'Reference Score Calculation'!$P100)),7,5)))))</f>
        <v>10</v>
      </c>
      <c r="AY121" s="415">
        <f>IF(ISNUMBER(SEARCH(AY$112,'Reference Score Calculation'!$O100)),10,IF(ISNUMBER(SEARCH(AY$112,'Reference Score Calculation'!$P100)),7,IF(ISNUMBER(SEARCH(AY$112,'Reference Score Calculation'!$Q100)),5,IF(ISNUMBER(SEARCH($AW$104,'Reference Score Calculation'!$O100)),10,IF(ISNUMBER(SEARCH($AW$104,'Reference Score Calculation'!$P100)),7,5)))))</f>
        <v>7</v>
      </c>
      <c r="AZ121" s="415">
        <f>IF(ISNUMBER(SEARCH(AZ$112,'Reference Score Calculation'!$O100)),10,IF(ISNUMBER(SEARCH(AZ$112,'Reference Score Calculation'!$P100)),7,IF(ISNUMBER(SEARCH(AZ$112,'Reference Score Calculation'!$Q100)),5,IF(ISNUMBER(SEARCH($AW$104,'Reference Score Calculation'!$O100)),10,IF(ISNUMBER(SEARCH($AW$104,'Reference Score Calculation'!$P100)),7,5)))))</f>
        <v>7</v>
      </c>
      <c r="BA121" s="415">
        <f>IF(ISNUMBER(SEARCH(BA$112,'Reference Score Calculation'!$O100)),10,IF(ISNUMBER(SEARCH(BA$112,'Reference Score Calculation'!$P100)),7,IF(ISNUMBER(SEARCH(BA$112,'Reference Score Calculation'!$Q100)),5,IF(ISNUMBER(SEARCH($AW$104,'Reference Score Calculation'!$O100)),10,IF(ISNUMBER(SEARCH($AW$104,'Reference Score Calculation'!$P100)),7,5)))))</f>
        <v>7</v>
      </c>
      <c r="BB121" s="415">
        <f>IF(ISNUMBER(SEARCH(BB$112,'Reference Score Calculation'!$O100)),10,IF(ISNUMBER(SEARCH(BB$112,'Reference Score Calculation'!$P100)),7,IF(ISNUMBER(SEARCH(BB$112,'Reference Score Calculation'!$Q100)),5,IF(ISNUMBER(SEARCH($AW$104,'Reference Score Calculation'!$O100)),10,IF(ISNUMBER(SEARCH($AW$104,'Reference Score Calculation'!$P100)),7,5)))))</f>
        <v>7</v>
      </c>
      <c r="BC121" s="415">
        <f>IF(ISNUMBER(SEARCH(BC$112,'Reference Score Calculation'!$O100)),10,IF(ISNUMBER(SEARCH(BC$112,'Reference Score Calculation'!$P100)),7,IF(ISNUMBER(SEARCH(BC$112,'Reference Score Calculation'!$Q100)),5,IF(ISNUMBER(SEARCH($AW$104,'Reference Score Calculation'!$O100)),10,IF(ISNUMBER(SEARCH($AW$104,'Reference Score Calculation'!$P100)),7,5)))))</f>
        <v>7</v>
      </c>
      <c r="BD121" s="415">
        <f>IF(ISNUMBER(SEARCH(BD$112,'Reference Score Calculation'!$O100)),10,IF(ISNUMBER(SEARCH(BD$112,'Reference Score Calculation'!$P100)),7,IF(ISNUMBER(SEARCH(BD$112,'Reference Score Calculation'!$Q100)),5,IF(ISNUMBER(SEARCH($AW$104,'Reference Score Calculation'!$O100)),10,IF(ISNUMBER(SEARCH($AW$104,'Reference Score Calculation'!$P100)),7,5)))))</f>
        <v>7</v>
      </c>
      <c r="BE121" s="415">
        <f>IF(ISNUMBER(SEARCH(BE$112,'Reference Score Calculation'!$O100)),10,IF(ISNUMBER(SEARCH(BE$112,'Reference Score Calculation'!$P100)),7,IF(ISNUMBER(SEARCH(BE$112,'Reference Score Calculation'!$Q100)),5,IF(ISNUMBER(SEARCH($AW$104,'Reference Score Calculation'!$O100)),10,IF(ISNUMBER(SEARCH($AW$104,'Reference Score Calculation'!$P100)),7,5)))))</f>
        <v>7</v>
      </c>
      <c r="BF121" s="415">
        <f>IF(ISNUMBER(SEARCH(BF$112,'Reference Score Calculation'!$O100)),10,IF(ISNUMBER(SEARCH(BF$112,'Reference Score Calculation'!$P100)),7,IF(ISNUMBER(SEARCH(BF$112,'Reference Score Calculation'!$Q100)),5,IF(ISNUMBER(SEARCH($AW$104,'Reference Score Calculation'!$O100)),10,IF(ISNUMBER(SEARCH($AW$104,'Reference Score Calculation'!$P100)),7,5)))))</f>
        <v>7</v>
      </c>
      <c r="BG121" s="415">
        <f>IF(ISNUMBER(SEARCH(BG$112,'Reference Score Calculation'!$O100)),10,IF(ISNUMBER(SEARCH(BG$112,'Reference Score Calculation'!$P100)),7,IF(ISNUMBER(SEARCH(BG$112,'Reference Score Calculation'!$Q100)),5,IF(ISNUMBER(SEARCH($AW$104,'Reference Score Calculation'!$O100)),10,IF(ISNUMBER(SEARCH($AW$104,'Reference Score Calculation'!$P100)),7,5)))))</f>
        <v>5</v>
      </c>
      <c r="BH121" s="415">
        <f>IF(ISNUMBER(SEARCH(BH$112,'Reference Score Calculation'!$O100)),10,IF(ISNUMBER(SEARCH(BH$112,'Reference Score Calculation'!$P100)),7,IF(ISNUMBER(SEARCH(BH$112,'Reference Score Calculation'!$Q100)),5,IF(ISNUMBER(SEARCH($AW$104,'Reference Score Calculation'!$O100)),10,IF(ISNUMBER(SEARCH($AW$104,'Reference Score Calculation'!$P100)),7,5)))))</f>
        <v>5</v>
      </c>
      <c r="BI121" s="415">
        <f>IF(ISNUMBER(SEARCH(BI$112,'Reference Score Calculation'!$O100)),10,IF(ISNUMBER(SEARCH(BI$112,'Reference Score Calculation'!$P100)),7,IF(ISNUMBER(SEARCH(BI$112,'Reference Score Calculation'!$Q100)),5,IF(ISNUMBER(SEARCH($AW$104,'Reference Score Calculation'!$O100)),10,IF(ISNUMBER(SEARCH($AW$104,'Reference Score Calculation'!$P100)),7,5)))))</f>
        <v>7</v>
      </c>
      <c r="BJ121" s="415">
        <f>IF(ISNUMBER(SEARCH(BJ$112,'Reference Score Calculation'!$O100)),10,IF(ISNUMBER(SEARCH(BJ$112,'Reference Score Calculation'!$P100)),7,IF(ISNUMBER(SEARCH(BJ$112,'Reference Score Calculation'!$Q100)),5,IF(ISNUMBER(SEARCH($AW$104,'Reference Score Calculation'!$O100)),10,IF(ISNUMBER(SEARCH($AW$104,'Reference Score Calculation'!$P100)),7,5)))))</f>
        <v>7</v>
      </c>
      <c r="BK121" s="415">
        <f>IF(ISNUMBER(SEARCH(BK$112,'Reference Score Calculation'!$O100)),10,IF(ISNUMBER(SEARCH(BK$112,'Reference Score Calculation'!$P100)),7,IF(ISNUMBER(SEARCH(BK$112,'Reference Score Calculation'!$Q100)),5,IF(ISNUMBER(SEARCH($AW$104,'Reference Score Calculation'!$O100)),10,IF(ISNUMBER(SEARCH($AW$104,'Reference Score Calculation'!$P100)),7,5)))))</f>
        <v>5</v>
      </c>
      <c r="BL121" s="415">
        <f>IF(ISNUMBER(SEARCH(BL$112,'Reference Score Calculation'!$O100)),10,IF(ISNUMBER(SEARCH(BL$112,'Reference Score Calculation'!$P100)),7,IF(ISNUMBER(SEARCH(BL$112,'Reference Score Calculation'!$Q100)),5,IF(ISNUMBER(SEARCH($AW$104,'Reference Score Calculation'!$O100)),10,IF(ISNUMBER(SEARCH($AW$104,'Reference Score Calculation'!$P100)),7,5)))))</f>
        <v>7</v>
      </c>
      <c r="BM121" s="415">
        <f>IF(ISNUMBER(SEARCH(BM$112,'Reference Score Calculation'!$O100)),10,IF(ISNUMBER(SEARCH(BM$112,'Reference Score Calculation'!$P100)),7,IF(ISNUMBER(SEARCH(BM$112,'Reference Score Calculation'!$Q100)),5,IF(ISNUMBER(SEARCH($AW$104,'Reference Score Calculation'!$O100)),10,IF(ISNUMBER(SEARCH("組合科學(任何)",'Reference Score Calculation'!$O100)),10,IF(ISNUMBER(SEARCH("組合科學(任何)",'Reference Score Calculation'!$P100)),7,IF(ISNUMBER(SEARCH("組合科學(任何)",'Reference Score Calculation'!$Q100)),5,IF(ISNUMBER(SEARCH($AW$104,'Reference Score Calculation'!$P100)),7,5))))))))</f>
        <v>7</v>
      </c>
      <c r="BN121" s="415">
        <f>IF(ISNUMBER(SEARCH(BN$112,'Reference Score Calculation'!$O100)),10,IF(ISNUMBER(SEARCH(BN$112,'Reference Score Calculation'!$P100)),7,IF(ISNUMBER(SEARCH(BN$112,'Reference Score Calculation'!$Q100)),5,IF(ISNUMBER(SEARCH($AW$104,'Reference Score Calculation'!$O100)),10,IF(ISNUMBER(SEARCH("組合科學(任何)",'Reference Score Calculation'!$O100)),10,IF(ISNUMBER(SEARCH("組合科學(任何)",'Reference Score Calculation'!$P100)),7,IF(ISNUMBER(SEARCH("組合科學(任何)",'Reference Score Calculation'!$Q100)),5,IF(ISNUMBER(SEARCH($AW$104,'Reference Score Calculation'!$P100)),7,5))))))))</f>
        <v>7</v>
      </c>
      <c r="BO121" s="415">
        <f>IF(ISNUMBER(SEARCH(BO$112,'Reference Score Calculation'!$O100)),10,IF(ISNUMBER(SEARCH(BO$112,'Reference Score Calculation'!$P100)),7,IF(ISNUMBER(SEARCH(BO$112,'Reference Score Calculation'!$Q100)),5,IF(ISNUMBER(SEARCH($AW$104,'Reference Score Calculation'!$O100)),10,IF(ISNUMBER(SEARCH("組合科學(任何)",'Reference Score Calculation'!$O100)),10,IF(ISNUMBER(SEARCH("組合科學(任何)",'Reference Score Calculation'!$P100)),7,IF(ISNUMBER(SEARCH("組合科學(任何)",'Reference Score Calculation'!$Q100)),5,IF(ISNUMBER(SEARCH($AW$104,'Reference Score Calculation'!$P100)),7,5))))))))</f>
        <v>7</v>
      </c>
      <c r="BP121" s="415">
        <f>IF(ISNUMBER(SEARCH(BP$112,'Reference Score Calculation'!$O100)),10,IF(ISNUMBER(SEARCH(BP$112,'Reference Score Calculation'!$P100)),7,IF(ISNUMBER(SEARCH(BP$112,'Reference Score Calculation'!$Q100)),5,IF(ISNUMBER(SEARCH($AW$104,'Reference Score Calculation'!$O100)),10,IF(ISNUMBER(SEARCH($AW$104,'Reference Score Calculation'!$P100)),7,5)))))</f>
        <v>7</v>
      </c>
      <c r="BQ121" s="415">
        <f>IF(ISNUMBER(SEARCH(BQ$112,'Reference Score Calculation'!$O100)),10,IF(ISNUMBER(SEARCH(BQ$112,'Reference Score Calculation'!$P100)),7,IF(ISNUMBER(SEARCH(BQ$112,'Reference Score Calculation'!$Q100)),5,IF(ISNUMBER(SEARCH($AW$104,'Reference Score Calculation'!$O100)),10,IF(ISNUMBER(SEARCH($AW$104,'Reference Score Calculation'!$P100)),7,5)))))</f>
        <v>7</v>
      </c>
      <c r="BR121" s="415">
        <f>IF(ISNUMBER(SEARCH(BR$112,'Reference Score Calculation'!$O100)),10,IF(ISNUMBER(SEARCH(BR$112,'Reference Score Calculation'!$P100)),7,IF(ISNUMBER(SEARCH(BR$112,'Reference Score Calculation'!$Q100)),5,IF(ISNUMBER(SEARCH($AW$104,'Reference Score Calculation'!$O100)),10,IF(ISNUMBER(SEARCH($AW$104,'Reference Score Calculation'!$P100)),7,5)))))</f>
        <v>7</v>
      </c>
      <c r="BS121" s="415">
        <f>IF(ISNUMBER(SEARCH(BS$112,'Reference Score Calculation'!$O100)),10,IF(ISNUMBER(SEARCH(BS$112,'Reference Score Calculation'!$P100)),7,IF(ISNUMBER(SEARCH(BS$112,'Reference Score Calculation'!$Q100)),5,IF(ISNUMBER(SEARCH($AW$104,'Reference Score Calculation'!$O100)),10,IF(ISNUMBER(SEARCH($AW$104,'Reference Score Calculation'!$P100)),7,5)))))</f>
        <v>5</v>
      </c>
      <c r="BT121" s="415">
        <f>IF(ISNUMBER(SEARCH(BT$112,'Reference Score Calculation'!$O100)),10,IF(ISNUMBER(SEARCH(BT$112,'Reference Score Calculation'!$P100)),7,IF(ISNUMBER(SEARCH(BT$112,'Reference Score Calculation'!$Q100)),5,IF(ISNUMBER(SEARCH($AW$104,'Reference Score Calculation'!$O100)),10,IF(ISNUMBER(SEARCH($AW$104,'Reference Score Calculation'!$P100)),7,5)))))</f>
        <v>5</v>
      </c>
      <c r="BU121" s="415">
        <f>IF(ISNUMBER(SEARCH(BU$112,'Reference Score Calculation'!$O100)),10,IF(ISNUMBER(SEARCH(BU$112,'Reference Score Calculation'!$P100)),7,IF(ISNUMBER(SEARCH(BU$112,'Reference Score Calculation'!$Q100)),5,IF(ISNUMBER(SEARCH($AW$104,'Reference Score Calculation'!$O100)),10,IF(ISNUMBER(SEARCH($AW$104,'Reference Score Calculation'!$P100)),7,5)))))</f>
        <v>7</v>
      </c>
      <c r="BV121" s="415">
        <f>IF(ISNUMBER(SEARCH(BV$112,'Reference Score Calculation'!$O100)),10,IF(ISNUMBER(SEARCH(BV$112,'Reference Score Calculation'!$P100)),7,IF(ISNUMBER(SEARCH(BV$112,'Reference Score Calculation'!$Q100)),5,IF(ISNUMBER(SEARCH($AW$104,'Reference Score Calculation'!$O100)),10,IF(ISNUMBER(SEARCH($AW$104,'Reference Score Calculation'!$P100)),7,5)))))</f>
        <v>7</v>
      </c>
      <c r="BW121" s="415">
        <f>IF(ISNUMBER(SEARCH(BW$112,'Reference Score Calculation'!$O100)),10,IF(ISNUMBER(SEARCH(BW$112,'Reference Score Calculation'!$P100)),7,IF(ISNUMBER(SEARCH(BW$112,'Reference Score Calculation'!$Q100)),5,IF(ISNUMBER(SEARCH($AW$104,'Reference Score Calculation'!$O100)),10,IF(ISNUMBER(SEARCH($AW$104,'Reference Score Calculation'!$P100)),7,5)))))</f>
        <v>7</v>
      </c>
      <c r="BX121" s="415">
        <f>IF(ISNUMBER(SEARCH(BX$112,'Reference Score Calculation'!$O100)),10,IF(ISNUMBER(SEARCH(BX$112,'Reference Score Calculation'!$P100)),7,IF(ISNUMBER(SEARCH(BX$112,'Reference Score Calculation'!$Q100)),5,IF(ISNUMBER(SEARCH($AW$104,'Reference Score Calculation'!$O100)),10,IF(ISNUMBER(SEARCH($AW$104,'Reference Score Calculation'!$P100)),7,5)))))</f>
        <v>7</v>
      </c>
      <c r="BY121" s="195"/>
      <c r="BZ121" s="195"/>
      <c r="CA121" s="195"/>
    </row>
    <row r="122" spans="1:79">
      <c r="A122" s="119" t="str">
        <f>'Reference Score Calculation'!A99</f>
        <v>JS3080</v>
      </c>
      <c r="B122" s="119" t="str">
        <f>'Reference Score Calculation'!A99</f>
        <v>JS3080</v>
      </c>
      <c r="C122" s="119" t="str">
        <f>'Reference Score Calculation'!D99</f>
        <v>管理及市場學(榮譽)工商管理學士組合課程 (管理學 / 市場學)</v>
      </c>
      <c r="D122" s="2" t="e">
        <f>'Reference Score Calculation'!#REF!</f>
        <v>#REF!</v>
      </c>
      <c r="E122" s="134" t="str">
        <f>'Reference Score Calculation'!E99</f>
        <v>Best 5</v>
      </c>
      <c r="F122" s="134"/>
      <c r="G122" s="119" t="str">
        <f>入學要求!AB108</f>
        <v>v</v>
      </c>
      <c r="H122" s="119" t="str">
        <f>入學要求!AC108</f>
        <v>E</v>
      </c>
      <c r="I122" s="119" t="str">
        <f>入學要求!AD108</f>
        <v>NO</v>
      </c>
      <c r="J122" s="119">
        <f t="shared" si="254"/>
        <v>1.6050000000000001E-8</v>
      </c>
      <c r="K122" s="119">
        <f t="shared" si="232"/>
        <v>7</v>
      </c>
      <c r="L122" s="119">
        <f t="shared" si="232"/>
        <v>10</v>
      </c>
      <c r="M122" s="119">
        <f t="shared" si="232"/>
        <v>10</v>
      </c>
      <c r="N122" s="119">
        <v>0</v>
      </c>
      <c r="O122" s="119">
        <f t="shared" si="233"/>
        <v>7</v>
      </c>
      <c r="P122" s="119">
        <f t="shared" si="233"/>
        <v>0</v>
      </c>
      <c r="Q122" s="119">
        <f t="shared" si="233"/>
        <v>0</v>
      </c>
      <c r="R122" s="119">
        <f t="shared" si="233"/>
        <v>0</v>
      </c>
      <c r="S122" s="119">
        <f t="shared" si="233"/>
        <v>0</v>
      </c>
      <c r="T122" s="119">
        <v>5</v>
      </c>
      <c r="V122" s="119">
        <f t="shared" si="234"/>
        <v>2.8000000000000003E-9</v>
      </c>
      <c r="W122" s="119">
        <f t="shared" si="235"/>
        <v>2.0000000000000001E-9</v>
      </c>
      <c r="X122" s="119">
        <f t="shared" si="236"/>
        <v>3E-9</v>
      </c>
      <c r="Y122" s="119">
        <f t="shared" si="237"/>
        <v>0</v>
      </c>
      <c r="Z122" s="119">
        <f t="shared" si="238"/>
        <v>3.5000000000000003E-9</v>
      </c>
      <c r="AA122" s="119">
        <f t="shared" si="239"/>
        <v>0</v>
      </c>
      <c r="AB122" s="119">
        <f t="shared" si="240"/>
        <v>0</v>
      </c>
      <c r="AC122" s="119">
        <f t="shared" si="241"/>
        <v>0</v>
      </c>
      <c r="AD122" s="119">
        <f t="shared" si="242"/>
        <v>0</v>
      </c>
      <c r="AE122" s="119">
        <f t="shared" si="243"/>
        <v>4.7500000000000003E-9</v>
      </c>
      <c r="AF122" s="119" t="b">
        <f t="shared" si="244"/>
        <v>1</v>
      </c>
      <c r="AG122" s="119" t="b">
        <f t="shared" si="245"/>
        <v>1</v>
      </c>
      <c r="AH122" s="119" t="b">
        <f t="shared" si="246"/>
        <v>1</v>
      </c>
      <c r="AI122" s="119" t="b">
        <f t="shared" si="247"/>
        <v>0</v>
      </c>
      <c r="AJ122" s="119" t="b">
        <f t="shared" si="248"/>
        <v>1</v>
      </c>
      <c r="AK122" s="119" t="b">
        <f t="shared" si="249"/>
        <v>0</v>
      </c>
      <c r="AL122" s="119" t="b">
        <f t="shared" si="250"/>
        <v>0</v>
      </c>
      <c r="AM122" s="119" t="b">
        <f t="shared" si="251"/>
        <v>0</v>
      </c>
      <c r="AN122" s="119" t="b">
        <f t="shared" si="252"/>
        <v>0</v>
      </c>
      <c r="AO122" s="119" t="b">
        <f t="shared" si="253"/>
        <v>1</v>
      </c>
      <c r="AQ122" s="2"/>
      <c r="AR122" s="2"/>
      <c r="AS122" s="2"/>
      <c r="AT122" s="195"/>
      <c r="AU122" s="195" t="str">
        <f>'Reference Score Calculation'!A101</f>
        <v>JS3110</v>
      </c>
      <c r="AV122" s="195"/>
      <c r="AW122" s="415">
        <f>IF(ISNUMBER(SEARCH(AW$112,'Reference Score Calculation'!$O101)),10,IF(ISNUMBER(SEARCH(AW$112,'Reference Score Calculation'!$P101)),7,IF(ISNUMBER(SEARCH(AW$112,'Reference Score Calculation'!$Q101)),5,IF(ISNUMBER(SEARCH($AW$104,'Reference Score Calculation'!$O101)),10,IF(ISNUMBER(SEARCH($AW$104,'Reference Score Calculation'!$P101)),7,5)))))</f>
        <v>7</v>
      </c>
      <c r="AX122" s="415">
        <f>IF(ISNUMBER(SEARCH(AX$112,'Reference Score Calculation'!$O101)),10,IF(ISNUMBER(SEARCH(AX$112,'Reference Score Calculation'!$P101)),7,IF(ISNUMBER(SEARCH(AX$112,'Reference Score Calculation'!$Q101)),5,IF(ISNUMBER(SEARCH($AW$104,'Reference Score Calculation'!$O101)),10,IF(ISNUMBER(SEARCH($AW$104,'Reference Score Calculation'!$P101)),7,5)))))</f>
        <v>10</v>
      </c>
      <c r="AY122" s="415">
        <f>IF(ISNUMBER(SEARCH(AY$112,'Reference Score Calculation'!$O101)),10,IF(ISNUMBER(SEARCH(AY$112,'Reference Score Calculation'!$P101)),7,IF(ISNUMBER(SEARCH(AY$112,'Reference Score Calculation'!$Q101)),5,IF(ISNUMBER(SEARCH($AW$104,'Reference Score Calculation'!$O101)),10,IF(ISNUMBER(SEARCH($AW$104,'Reference Score Calculation'!$P101)),7,5)))))</f>
        <v>10</v>
      </c>
      <c r="AZ122" s="415">
        <f>IF(ISNUMBER(SEARCH(AZ$112,'Reference Score Calculation'!$O101)),10,IF(ISNUMBER(SEARCH(AZ$112,'Reference Score Calculation'!$P101)),7,IF(ISNUMBER(SEARCH(AZ$112,'Reference Score Calculation'!$Q101)),5,IF(ISNUMBER(SEARCH($AW$104,'Reference Score Calculation'!$O101)),10,IF(ISNUMBER(SEARCH($AW$104,'Reference Score Calculation'!$P101)),7,5)))))</f>
        <v>7</v>
      </c>
      <c r="BA122" s="415">
        <f>IF(ISNUMBER(SEARCH(BA$112,'Reference Score Calculation'!$O101)),10,IF(ISNUMBER(SEARCH(BA$112,'Reference Score Calculation'!$P101)),7,IF(ISNUMBER(SEARCH(BA$112,'Reference Score Calculation'!$Q101)),5,IF(ISNUMBER(SEARCH($AW$104,'Reference Score Calculation'!$O101)),10,IF(ISNUMBER(SEARCH($AW$104,'Reference Score Calculation'!$P101)),7,5)))))</f>
        <v>7</v>
      </c>
      <c r="BB122" s="415">
        <f>IF(ISNUMBER(SEARCH(BB$112,'Reference Score Calculation'!$O101)),10,IF(ISNUMBER(SEARCH(BB$112,'Reference Score Calculation'!$P101)),7,IF(ISNUMBER(SEARCH(BB$112,'Reference Score Calculation'!$Q101)),5,IF(ISNUMBER(SEARCH($AW$104,'Reference Score Calculation'!$O101)),10,IF(ISNUMBER(SEARCH($AW$104,'Reference Score Calculation'!$P101)),7,5)))))</f>
        <v>10</v>
      </c>
      <c r="BC122" s="415">
        <f>IF(ISNUMBER(SEARCH(BC$112,'Reference Score Calculation'!$O101)),10,IF(ISNUMBER(SEARCH(BC$112,'Reference Score Calculation'!$P101)),7,IF(ISNUMBER(SEARCH(BC$112,'Reference Score Calculation'!$Q101)),5,IF(ISNUMBER(SEARCH($AW$104,'Reference Score Calculation'!$O101)),10,IF(ISNUMBER(SEARCH($AW$104,'Reference Score Calculation'!$P101)),7,5)))))</f>
        <v>10</v>
      </c>
      <c r="BD122" s="415">
        <f>IF(ISNUMBER(SEARCH(BD$112,'Reference Score Calculation'!$O101)),10,IF(ISNUMBER(SEARCH(BD$112,'Reference Score Calculation'!$P101)),7,IF(ISNUMBER(SEARCH(BD$112,'Reference Score Calculation'!$Q101)),5,IF(ISNUMBER(SEARCH($AW$104,'Reference Score Calculation'!$O101)),10,IF(ISNUMBER(SEARCH($AW$104,'Reference Score Calculation'!$P101)),7,5)))))</f>
        <v>10</v>
      </c>
      <c r="BE122" s="415">
        <f>IF(ISNUMBER(SEARCH(BE$112,'Reference Score Calculation'!$O101)),10,IF(ISNUMBER(SEARCH(BE$112,'Reference Score Calculation'!$P101)),7,IF(ISNUMBER(SEARCH(BE$112,'Reference Score Calculation'!$Q101)),5,IF(ISNUMBER(SEARCH($AW$104,'Reference Score Calculation'!$O101)),10,IF(ISNUMBER(SEARCH($AW$104,'Reference Score Calculation'!$P101)),7,5)))))</f>
        <v>7</v>
      </c>
      <c r="BF122" s="415">
        <f>IF(ISNUMBER(SEARCH(BF$112,'Reference Score Calculation'!$O101)),10,IF(ISNUMBER(SEARCH(BF$112,'Reference Score Calculation'!$P101)),7,IF(ISNUMBER(SEARCH(BF$112,'Reference Score Calculation'!$Q101)),5,IF(ISNUMBER(SEARCH($AW$104,'Reference Score Calculation'!$O101)),10,IF(ISNUMBER(SEARCH($AW$104,'Reference Score Calculation'!$P101)),7,5)))))</f>
        <v>7</v>
      </c>
      <c r="BG122" s="415">
        <f>IF(ISNUMBER(SEARCH(BG$112,'Reference Score Calculation'!$O101)),10,IF(ISNUMBER(SEARCH(BG$112,'Reference Score Calculation'!$P101)),7,IF(ISNUMBER(SEARCH(BG$112,'Reference Score Calculation'!$Q101)),5,IF(ISNUMBER(SEARCH($AW$104,'Reference Score Calculation'!$O101)),10,IF(ISNUMBER(SEARCH($AW$104,'Reference Score Calculation'!$P101)),7,5)))))</f>
        <v>5</v>
      </c>
      <c r="BH122" s="415">
        <f>IF(ISNUMBER(SEARCH(BH$112,'Reference Score Calculation'!$O101)),10,IF(ISNUMBER(SEARCH(BH$112,'Reference Score Calculation'!$P101)),7,IF(ISNUMBER(SEARCH(BH$112,'Reference Score Calculation'!$Q101)),5,IF(ISNUMBER(SEARCH($AW$104,'Reference Score Calculation'!$O101)),10,IF(ISNUMBER(SEARCH($AW$104,'Reference Score Calculation'!$P101)),7,5)))))</f>
        <v>5</v>
      </c>
      <c r="BI122" s="415">
        <f>IF(ISNUMBER(SEARCH(BI$112,'Reference Score Calculation'!$O101)),10,IF(ISNUMBER(SEARCH(BI$112,'Reference Score Calculation'!$P101)),7,IF(ISNUMBER(SEARCH(BI$112,'Reference Score Calculation'!$Q101)),5,IF(ISNUMBER(SEARCH($AW$104,'Reference Score Calculation'!$O101)),10,IF(ISNUMBER(SEARCH($AW$104,'Reference Score Calculation'!$P101)),7,5)))))</f>
        <v>5</v>
      </c>
      <c r="BJ122" s="415">
        <f>IF(ISNUMBER(SEARCH(BJ$112,'Reference Score Calculation'!$O101)),10,IF(ISNUMBER(SEARCH(BJ$112,'Reference Score Calculation'!$P101)),7,IF(ISNUMBER(SEARCH(BJ$112,'Reference Score Calculation'!$Q101)),5,IF(ISNUMBER(SEARCH($AW$104,'Reference Score Calculation'!$O101)),10,IF(ISNUMBER(SEARCH($AW$104,'Reference Score Calculation'!$P101)),7,5)))))</f>
        <v>5</v>
      </c>
      <c r="BK122" s="415">
        <f>IF(ISNUMBER(SEARCH(BK$112,'Reference Score Calculation'!$O101)),10,IF(ISNUMBER(SEARCH(BK$112,'Reference Score Calculation'!$P101)),7,IF(ISNUMBER(SEARCH(BK$112,'Reference Score Calculation'!$Q101)),5,IF(ISNUMBER(SEARCH($AW$104,'Reference Score Calculation'!$O101)),10,IF(ISNUMBER(SEARCH($AW$104,'Reference Score Calculation'!$P101)),7,5)))))</f>
        <v>5</v>
      </c>
      <c r="BL122" s="415">
        <f>IF(ISNUMBER(SEARCH(BL$112,'Reference Score Calculation'!$O101)),10,IF(ISNUMBER(SEARCH(BL$112,'Reference Score Calculation'!$P101)),7,IF(ISNUMBER(SEARCH(BL$112,'Reference Score Calculation'!$Q101)),5,IF(ISNUMBER(SEARCH($AW$104,'Reference Score Calculation'!$O101)),10,IF(ISNUMBER(SEARCH($AW$104,'Reference Score Calculation'!$P101)),7,5)))))</f>
        <v>7</v>
      </c>
      <c r="BM122" s="415">
        <f>IF(ISNUMBER(SEARCH(BM$112,'Reference Score Calculation'!$O101)),10,IF(ISNUMBER(SEARCH(BM$112,'Reference Score Calculation'!$P101)),7,IF(ISNUMBER(SEARCH(BM$112,'Reference Score Calculation'!$Q101)),5,IF(ISNUMBER(SEARCH($AW$104,'Reference Score Calculation'!$O101)),10,IF(ISNUMBER(SEARCH("組合科學(任何)",'Reference Score Calculation'!$O101)),10,IF(ISNUMBER(SEARCH("組合科學(任何)",'Reference Score Calculation'!$P101)),7,IF(ISNUMBER(SEARCH("組合科學(任何)",'Reference Score Calculation'!$Q101)),5,IF(ISNUMBER(SEARCH($AW$104,'Reference Score Calculation'!$P101)),7,5))))))))</f>
        <v>10</v>
      </c>
      <c r="BN122" s="415">
        <f>IF(ISNUMBER(SEARCH(BN$112,'Reference Score Calculation'!$O101)),10,IF(ISNUMBER(SEARCH(BN$112,'Reference Score Calculation'!$P101)),7,IF(ISNUMBER(SEARCH(BN$112,'Reference Score Calculation'!$Q101)),5,IF(ISNUMBER(SEARCH($AW$104,'Reference Score Calculation'!$O101)),10,IF(ISNUMBER(SEARCH("組合科學(任何)",'Reference Score Calculation'!$O101)),10,IF(ISNUMBER(SEARCH("組合科學(任何)",'Reference Score Calculation'!$P101)),7,IF(ISNUMBER(SEARCH("組合科學(任何)",'Reference Score Calculation'!$Q101)),5,IF(ISNUMBER(SEARCH($AW$104,'Reference Score Calculation'!$P101)),7,5))))))))</f>
        <v>7</v>
      </c>
      <c r="BO122" s="415">
        <f>IF(ISNUMBER(SEARCH(BO$112,'Reference Score Calculation'!$O101)),10,IF(ISNUMBER(SEARCH(BO$112,'Reference Score Calculation'!$P101)),7,IF(ISNUMBER(SEARCH(BO$112,'Reference Score Calculation'!$Q101)),5,IF(ISNUMBER(SEARCH($AW$104,'Reference Score Calculation'!$O101)),10,IF(ISNUMBER(SEARCH("組合科學(任何)",'Reference Score Calculation'!$O101)),10,IF(ISNUMBER(SEARCH("組合科學(任何)",'Reference Score Calculation'!$P101)),7,IF(ISNUMBER(SEARCH("組合科學(任何)",'Reference Score Calculation'!$Q101)),5,IF(ISNUMBER(SEARCH($AW$104,'Reference Score Calculation'!$P101)),7,5))))))))</f>
        <v>10</v>
      </c>
      <c r="BP122" s="415">
        <f>IF(ISNUMBER(SEARCH(BP$112,'Reference Score Calculation'!$O101)),10,IF(ISNUMBER(SEARCH(BP$112,'Reference Score Calculation'!$P101)),7,IF(ISNUMBER(SEARCH(BP$112,'Reference Score Calculation'!$Q101)),5,IF(ISNUMBER(SEARCH($AW$104,'Reference Score Calculation'!$O101)),10,IF(ISNUMBER(SEARCH($AW$104,'Reference Score Calculation'!$P101)),7,5)))))</f>
        <v>5</v>
      </c>
      <c r="BQ122" s="415">
        <f>IF(ISNUMBER(SEARCH(BQ$112,'Reference Score Calculation'!$O101)),10,IF(ISNUMBER(SEARCH(BQ$112,'Reference Score Calculation'!$P101)),7,IF(ISNUMBER(SEARCH(BQ$112,'Reference Score Calculation'!$Q101)),5,IF(ISNUMBER(SEARCH($AW$104,'Reference Score Calculation'!$O101)),10,IF(ISNUMBER(SEARCH($AW$104,'Reference Score Calculation'!$P101)),7,5)))))</f>
        <v>5</v>
      </c>
      <c r="BR122" s="415">
        <f>IF(ISNUMBER(SEARCH(BR$112,'Reference Score Calculation'!$O101)),10,IF(ISNUMBER(SEARCH(BR$112,'Reference Score Calculation'!$P101)),7,IF(ISNUMBER(SEARCH(BR$112,'Reference Score Calculation'!$Q101)),5,IF(ISNUMBER(SEARCH($AW$104,'Reference Score Calculation'!$O101)),10,IF(ISNUMBER(SEARCH($AW$104,'Reference Score Calculation'!$P101)),7,5)))))</f>
        <v>5</v>
      </c>
      <c r="BS122" s="415">
        <f>IF(ISNUMBER(SEARCH(BS$112,'Reference Score Calculation'!$O101)),10,IF(ISNUMBER(SEARCH(BS$112,'Reference Score Calculation'!$P101)),7,IF(ISNUMBER(SEARCH(BS$112,'Reference Score Calculation'!$Q101)),5,IF(ISNUMBER(SEARCH($AW$104,'Reference Score Calculation'!$O101)),10,IF(ISNUMBER(SEARCH($AW$104,'Reference Score Calculation'!$P101)),7,5)))))</f>
        <v>5</v>
      </c>
      <c r="BT122" s="415">
        <f>IF(ISNUMBER(SEARCH(BT$112,'Reference Score Calculation'!$O101)),10,IF(ISNUMBER(SEARCH(BT$112,'Reference Score Calculation'!$P101)),7,IF(ISNUMBER(SEARCH(BT$112,'Reference Score Calculation'!$Q101)),5,IF(ISNUMBER(SEARCH($AW$104,'Reference Score Calculation'!$O101)),10,IF(ISNUMBER(SEARCH($AW$104,'Reference Score Calculation'!$P101)),7,5)))))</f>
        <v>5</v>
      </c>
      <c r="BU122" s="415">
        <f>IF(ISNUMBER(SEARCH(BU$112,'Reference Score Calculation'!$O101)),10,IF(ISNUMBER(SEARCH(BU$112,'Reference Score Calculation'!$P101)),7,IF(ISNUMBER(SEARCH(BU$112,'Reference Score Calculation'!$Q101)),5,IF(ISNUMBER(SEARCH($AW$104,'Reference Score Calculation'!$O101)),10,IF(ISNUMBER(SEARCH($AW$104,'Reference Score Calculation'!$P101)),7,5)))))</f>
        <v>7</v>
      </c>
      <c r="BV122" s="415">
        <f>IF(ISNUMBER(SEARCH(BV$112,'Reference Score Calculation'!$O101)),10,IF(ISNUMBER(SEARCH(BV$112,'Reference Score Calculation'!$P101)),7,IF(ISNUMBER(SEARCH(BV$112,'Reference Score Calculation'!$Q101)),5,IF(ISNUMBER(SEARCH($AW$104,'Reference Score Calculation'!$O101)),10,IF(ISNUMBER(SEARCH($AW$104,'Reference Score Calculation'!$P101)),7,5)))))</f>
        <v>7</v>
      </c>
      <c r="BW122" s="415">
        <f>IF(ISNUMBER(SEARCH(BW$112,'Reference Score Calculation'!$O101)),10,IF(ISNUMBER(SEARCH(BW$112,'Reference Score Calculation'!$P101)),7,IF(ISNUMBER(SEARCH(BW$112,'Reference Score Calculation'!$Q101)),5,IF(ISNUMBER(SEARCH($AW$104,'Reference Score Calculation'!$O101)),10,IF(ISNUMBER(SEARCH($AW$104,'Reference Score Calculation'!$P101)),7,5)))))</f>
        <v>7</v>
      </c>
      <c r="BX122" s="415">
        <f>IF(ISNUMBER(SEARCH(BX$112,'Reference Score Calculation'!$O101)),10,IF(ISNUMBER(SEARCH(BX$112,'Reference Score Calculation'!$P101)),7,IF(ISNUMBER(SEARCH(BX$112,'Reference Score Calculation'!$Q101)),5,IF(ISNUMBER(SEARCH($AW$104,'Reference Score Calculation'!$O101)),10,IF(ISNUMBER(SEARCH($AW$104,'Reference Score Calculation'!$P101)),7,5)))))</f>
        <v>7</v>
      </c>
      <c r="BY122" s="195"/>
      <c r="BZ122" s="195"/>
      <c r="CA122" s="195"/>
    </row>
    <row r="123" spans="1:79">
      <c r="A123" s="119" t="str">
        <f>'Reference Score Calculation'!A100</f>
        <v>JS3100</v>
      </c>
      <c r="B123" s="119" t="str">
        <f>'Reference Score Calculation'!A100</f>
        <v>JS3100</v>
      </c>
      <c r="C123" s="119" t="str">
        <f>'Reference Score Calculation'!D100</f>
        <v>建築及房地產(榮譽)理學士組合課程 (建築工程及管理學 / 物業管理學 / 地產及建設測量學)</v>
      </c>
      <c r="D123" s="2" t="e">
        <f>'Reference Score Calculation'!#REF!</f>
        <v>#REF!</v>
      </c>
      <c r="E123" s="134" t="str">
        <f>'Reference Score Calculation'!E100</f>
        <v>Best 5</v>
      </c>
      <c r="F123" s="134"/>
      <c r="G123" s="119" t="str">
        <f>入學要求!AB109</f>
        <v>v</v>
      </c>
      <c r="H123" s="119" t="str">
        <f>入學要求!AC109</f>
        <v>E</v>
      </c>
      <c r="I123" s="119" t="str">
        <f>入學要求!AD109</f>
        <v>NO</v>
      </c>
      <c r="J123" s="119">
        <f t="shared" si="254"/>
        <v>1.515E-8</v>
      </c>
      <c r="K123" s="119">
        <f t="shared" si="232"/>
        <v>7</v>
      </c>
      <c r="L123" s="119">
        <f t="shared" si="232"/>
        <v>10</v>
      </c>
      <c r="M123" s="119">
        <f t="shared" si="232"/>
        <v>7</v>
      </c>
      <c r="N123" s="119">
        <v>0</v>
      </c>
      <c r="O123" s="119">
        <f t="shared" si="233"/>
        <v>7</v>
      </c>
      <c r="P123" s="119">
        <f t="shared" si="233"/>
        <v>0</v>
      </c>
      <c r="Q123" s="119">
        <f t="shared" si="233"/>
        <v>0</v>
      </c>
      <c r="R123" s="119">
        <f t="shared" si="233"/>
        <v>0</v>
      </c>
      <c r="S123" s="119">
        <f t="shared" si="233"/>
        <v>0</v>
      </c>
      <c r="T123" s="119">
        <v>5</v>
      </c>
      <c r="V123" s="119">
        <f t="shared" si="234"/>
        <v>2.8000000000000003E-9</v>
      </c>
      <c r="W123" s="119">
        <f t="shared" si="235"/>
        <v>2.0000000000000001E-9</v>
      </c>
      <c r="X123" s="119">
        <f t="shared" si="236"/>
        <v>2.0999999999999998E-9</v>
      </c>
      <c r="Y123" s="119">
        <f t="shared" si="237"/>
        <v>0</v>
      </c>
      <c r="Z123" s="119">
        <f t="shared" si="238"/>
        <v>3.5000000000000003E-9</v>
      </c>
      <c r="AA123" s="119">
        <f t="shared" si="239"/>
        <v>0</v>
      </c>
      <c r="AB123" s="119">
        <f t="shared" si="240"/>
        <v>0</v>
      </c>
      <c r="AC123" s="119">
        <f t="shared" si="241"/>
        <v>0</v>
      </c>
      <c r="AD123" s="119">
        <f t="shared" si="242"/>
        <v>0</v>
      </c>
      <c r="AE123" s="119">
        <f t="shared" si="243"/>
        <v>4.7500000000000003E-9</v>
      </c>
      <c r="AF123" s="119" t="b">
        <f t="shared" si="244"/>
        <v>1</v>
      </c>
      <c r="AG123" s="119" t="b">
        <f t="shared" si="245"/>
        <v>1</v>
      </c>
      <c r="AH123" s="119" t="b">
        <f t="shared" si="246"/>
        <v>1</v>
      </c>
      <c r="AI123" s="119" t="b">
        <f t="shared" si="247"/>
        <v>0</v>
      </c>
      <c r="AJ123" s="119" t="b">
        <f t="shared" si="248"/>
        <v>1</v>
      </c>
      <c r="AK123" s="119" t="b">
        <f t="shared" si="249"/>
        <v>0</v>
      </c>
      <c r="AL123" s="119" t="b">
        <f t="shared" si="250"/>
        <v>0</v>
      </c>
      <c r="AM123" s="119" t="b">
        <f t="shared" si="251"/>
        <v>0</v>
      </c>
      <c r="AN123" s="119" t="b">
        <f t="shared" si="252"/>
        <v>0</v>
      </c>
      <c r="AO123" s="119" t="b">
        <f t="shared" si="253"/>
        <v>1</v>
      </c>
      <c r="AQ123" s="2"/>
      <c r="AR123" s="2"/>
      <c r="AS123" s="2"/>
      <c r="AT123" s="195"/>
      <c r="AU123" s="195" t="str">
        <f>'Reference Score Calculation'!A102</f>
        <v>JS3120</v>
      </c>
      <c r="AV123" s="195"/>
      <c r="AW123" s="415">
        <f>IF(ISNUMBER(SEARCH(AW$112,'Reference Score Calculation'!$O102)),10,IF(ISNUMBER(SEARCH(AW$112,'Reference Score Calculation'!$P102)),7,IF(ISNUMBER(SEARCH(AW$112,'Reference Score Calculation'!$Q102)),5,IF(ISNUMBER(SEARCH($AW$104,'Reference Score Calculation'!$O102)),10,IF(ISNUMBER(SEARCH($AW$104,'Reference Score Calculation'!$P102)),7,5)))))</f>
        <v>10</v>
      </c>
      <c r="AX123" s="415">
        <f>IF(ISNUMBER(SEARCH(AX$112,'Reference Score Calculation'!$O102)),10,IF(ISNUMBER(SEARCH(AX$112,'Reference Score Calculation'!$P102)),7,IF(ISNUMBER(SEARCH(AX$112,'Reference Score Calculation'!$Q102)),5,IF(ISNUMBER(SEARCH($AW$104,'Reference Score Calculation'!$O102)),10,IF(ISNUMBER(SEARCH($AW$104,'Reference Score Calculation'!$P102)),7,5)))))</f>
        <v>10</v>
      </c>
      <c r="AY123" s="415">
        <f>IF(ISNUMBER(SEARCH(AY$112,'Reference Score Calculation'!$O102)),10,IF(ISNUMBER(SEARCH(AY$112,'Reference Score Calculation'!$P102)),7,IF(ISNUMBER(SEARCH(AY$112,'Reference Score Calculation'!$Q102)),5,IF(ISNUMBER(SEARCH($AW$104,'Reference Score Calculation'!$O102)),10,IF(ISNUMBER(SEARCH($AW$104,'Reference Score Calculation'!$P102)),7,5)))))</f>
        <v>10</v>
      </c>
      <c r="AZ123" s="415">
        <f>IF(ISNUMBER(SEARCH(AZ$112,'Reference Score Calculation'!$O102)),10,IF(ISNUMBER(SEARCH(AZ$112,'Reference Score Calculation'!$P102)),7,IF(ISNUMBER(SEARCH(AZ$112,'Reference Score Calculation'!$Q102)),5,IF(ISNUMBER(SEARCH($AW$104,'Reference Score Calculation'!$O102)),10,IF(ISNUMBER(SEARCH($AW$104,'Reference Score Calculation'!$P102)),7,5)))))</f>
        <v>7</v>
      </c>
      <c r="BA123" s="415">
        <f>IF(ISNUMBER(SEARCH(BA$112,'Reference Score Calculation'!$O102)),10,IF(ISNUMBER(SEARCH(BA$112,'Reference Score Calculation'!$P102)),7,IF(ISNUMBER(SEARCH(BA$112,'Reference Score Calculation'!$Q102)),5,IF(ISNUMBER(SEARCH($AW$104,'Reference Score Calculation'!$O102)),10,IF(ISNUMBER(SEARCH($AW$104,'Reference Score Calculation'!$P102)),7,5)))))</f>
        <v>10</v>
      </c>
      <c r="BB123" s="415">
        <f>IF(ISNUMBER(SEARCH(BB$112,'Reference Score Calculation'!$O102)),10,IF(ISNUMBER(SEARCH(BB$112,'Reference Score Calculation'!$P102)),7,IF(ISNUMBER(SEARCH(BB$112,'Reference Score Calculation'!$Q102)),5,IF(ISNUMBER(SEARCH($AW$104,'Reference Score Calculation'!$O102)),10,IF(ISNUMBER(SEARCH($AW$104,'Reference Score Calculation'!$P102)),7,5)))))</f>
        <v>10</v>
      </c>
      <c r="BC123" s="415">
        <f>IF(ISNUMBER(SEARCH(BC$112,'Reference Score Calculation'!$O102)),10,IF(ISNUMBER(SEARCH(BC$112,'Reference Score Calculation'!$P102)),7,IF(ISNUMBER(SEARCH(BC$112,'Reference Score Calculation'!$Q102)),5,IF(ISNUMBER(SEARCH($AW$104,'Reference Score Calculation'!$O102)),10,IF(ISNUMBER(SEARCH($AW$104,'Reference Score Calculation'!$P102)),7,5)))))</f>
        <v>10</v>
      </c>
      <c r="BD123" s="415">
        <f>IF(ISNUMBER(SEARCH(BD$112,'Reference Score Calculation'!$O102)),10,IF(ISNUMBER(SEARCH(BD$112,'Reference Score Calculation'!$P102)),7,IF(ISNUMBER(SEARCH(BD$112,'Reference Score Calculation'!$Q102)),5,IF(ISNUMBER(SEARCH($AW$104,'Reference Score Calculation'!$O102)),10,IF(ISNUMBER(SEARCH($AW$104,'Reference Score Calculation'!$P102)),7,5)))))</f>
        <v>10</v>
      </c>
      <c r="BE123" s="415">
        <f>IF(ISNUMBER(SEARCH(BE$112,'Reference Score Calculation'!$O102)),10,IF(ISNUMBER(SEARCH(BE$112,'Reference Score Calculation'!$P102)),7,IF(ISNUMBER(SEARCH(BE$112,'Reference Score Calculation'!$Q102)),5,IF(ISNUMBER(SEARCH($AW$104,'Reference Score Calculation'!$O102)),10,IF(ISNUMBER(SEARCH($AW$104,'Reference Score Calculation'!$P102)),7,5)))))</f>
        <v>10</v>
      </c>
      <c r="BF123" s="415">
        <f>IF(ISNUMBER(SEARCH(BF$112,'Reference Score Calculation'!$O102)),10,IF(ISNUMBER(SEARCH(BF$112,'Reference Score Calculation'!$P102)),7,IF(ISNUMBER(SEARCH(BF$112,'Reference Score Calculation'!$Q102)),5,IF(ISNUMBER(SEARCH($AW$104,'Reference Score Calculation'!$O102)),10,IF(ISNUMBER(SEARCH($AW$104,'Reference Score Calculation'!$P102)),7,5)))))</f>
        <v>10</v>
      </c>
      <c r="BG123" s="415">
        <f>IF(ISNUMBER(SEARCH(BG$112,'Reference Score Calculation'!$O102)),10,IF(ISNUMBER(SEARCH(BG$112,'Reference Score Calculation'!$P102)),7,IF(ISNUMBER(SEARCH(BG$112,'Reference Score Calculation'!$Q102)),5,IF(ISNUMBER(SEARCH($AW$104,'Reference Score Calculation'!$O102)),10,IF(ISNUMBER(SEARCH($AW$104,'Reference Score Calculation'!$P102)),7,5)))))</f>
        <v>5</v>
      </c>
      <c r="BH123" s="415">
        <f>IF(ISNUMBER(SEARCH(BH$112,'Reference Score Calculation'!$O102)),10,IF(ISNUMBER(SEARCH(BH$112,'Reference Score Calculation'!$P102)),7,IF(ISNUMBER(SEARCH(BH$112,'Reference Score Calculation'!$Q102)),5,IF(ISNUMBER(SEARCH($AW$104,'Reference Score Calculation'!$O102)),10,IF(ISNUMBER(SEARCH($AW$104,'Reference Score Calculation'!$P102)),7,5)))))</f>
        <v>5</v>
      </c>
      <c r="BI123" s="415">
        <f>IF(ISNUMBER(SEARCH(BI$112,'Reference Score Calculation'!$O102)),10,IF(ISNUMBER(SEARCH(BI$112,'Reference Score Calculation'!$P102)),7,IF(ISNUMBER(SEARCH(BI$112,'Reference Score Calculation'!$Q102)),5,IF(ISNUMBER(SEARCH($AW$104,'Reference Score Calculation'!$O102)),10,IF(ISNUMBER(SEARCH($AW$104,'Reference Score Calculation'!$P102)),7,5)))))</f>
        <v>5</v>
      </c>
      <c r="BJ123" s="415">
        <f>IF(ISNUMBER(SEARCH(BJ$112,'Reference Score Calculation'!$O102)),10,IF(ISNUMBER(SEARCH(BJ$112,'Reference Score Calculation'!$P102)),7,IF(ISNUMBER(SEARCH(BJ$112,'Reference Score Calculation'!$Q102)),5,IF(ISNUMBER(SEARCH($AW$104,'Reference Score Calculation'!$O102)),10,IF(ISNUMBER(SEARCH($AW$104,'Reference Score Calculation'!$P102)),7,5)))))</f>
        <v>5</v>
      </c>
      <c r="BK123" s="415">
        <f>IF(ISNUMBER(SEARCH(BK$112,'Reference Score Calculation'!$O102)),10,IF(ISNUMBER(SEARCH(BK$112,'Reference Score Calculation'!$P102)),7,IF(ISNUMBER(SEARCH(BK$112,'Reference Score Calculation'!$Q102)),5,IF(ISNUMBER(SEARCH($AW$104,'Reference Score Calculation'!$O102)),10,IF(ISNUMBER(SEARCH($AW$104,'Reference Score Calculation'!$P102)),7,5)))))</f>
        <v>5</v>
      </c>
      <c r="BL123" s="415">
        <f>IF(ISNUMBER(SEARCH(BL$112,'Reference Score Calculation'!$O102)),10,IF(ISNUMBER(SEARCH(BL$112,'Reference Score Calculation'!$P102)),7,IF(ISNUMBER(SEARCH(BL$112,'Reference Score Calculation'!$Q102)),5,IF(ISNUMBER(SEARCH($AW$104,'Reference Score Calculation'!$O102)),10,IF(ISNUMBER(SEARCH($AW$104,'Reference Score Calculation'!$P102)),7,5)))))</f>
        <v>10</v>
      </c>
      <c r="BM123" s="415">
        <f>IF(ISNUMBER(SEARCH(BM$112,'Reference Score Calculation'!$O102)),10,IF(ISNUMBER(SEARCH(BM$112,'Reference Score Calculation'!$P102)),7,IF(ISNUMBER(SEARCH(BM$112,'Reference Score Calculation'!$Q102)),5,IF(ISNUMBER(SEARCH($AW$104,'Reference Score Calculation'!$O102)),10,IF(ISNUMBER(SEARCH("組合科學(任何)",'Reference Score Calculation'!$O102)),10,IF(ISNUMBER(SEARCH("組合科學(任何)",'Reference Score Calculation'!$P102)),7,IF(ISNUMBER(SEARCH("組合科學(任何)",'Reference Score Calculation'!$Q102)),5,IF(ISNUMBER(SEARCH($AW$104,'Reference Score Calculation'!$P102)),7,5))))))))</f>
        <v>10</v>
      </c>
      <c r="BN123" s="415">
        <f>IF(ISNUMBER(SEARCH(BN$112,'Reference Score Calculation'!$O102)),10,IF(ISNUMBER(SEARCH(BN$112,'Reference Score Calculation'!$P102)),7,IF(ISNUMBER(SEARCH(BN$112,'Reference Score Calculation'!$Q102)),5,IF(ISNUMBER(SEARCH($AW$104,'Reference Score Calculation'!$O102)),10,IF(ISNUMBER(SEARCH("組合科學(任何)",'Reference Score Calculation'!$O102)),10,IF(ISNUMBER(SEARCH("組合科學(任何)",'Reference Score Calculation'!$P102)),7,IF(ISNUMBER(SEARCH("組合科學(任何)",'Reference Score Calculation'!$Q102)),5,IF(ISNUMBER(SEARCH($AW$104,'Reference Score Calculation'!$P102)),7,5))))))))</f>
        <v>10</v>
      </c>
      <c r="BO123" s="415">
        <f>IF(ISNUMBER(SEARCH(BO$112,'Reference Score Calculation'!$O102)),10,IF(ISNUMBER(SEARCH(BO$112,'Reference Score Calculation'!$P102)),7,IF(ISNUMBER(SEARCH(BO$112,'Reference Score Calculation'!$Q102)),5,IF(ISNUMBER(SEARCH($AW$104,'Reference Score Calculation'!$O102)),10,IF(ISNUMBER(SEARCH("組合科學(任何)",'Reference Score Calculation'!$O102)),10,IF(ISNUMBER(SEARCH("組合科學(任何)",'Reference Score Calculation'!$P102)),7,IF(ISNUMBER(SEARCH("組合科學(任何)",'Reference Score Calculation'!$Q102)),5,IF(ISNUMBER(SEARCH($AW$104,'Reference Score Calculation'!$P102)),7,5))))))))</f>
        <v>10</v>
      </c>
      <c r="BP123" s="415">
        <f>IF(ISNUMBER(SEARCH(BP$112,'Reference Score Calculation'!$O102)),10,IF(ISNUMBER(SEARCH(BP$112,'Reference Score Calculation'!$P102)),7,IF(ISNUMBER(SEARCH(BP$112,'Reference Score Calculation'!$Q102)),5,IF(ISNUMBER(SEARCH($AW$104,'Reference Score Calculation'!$O102)),10,IF(ISNUMBER(SEARCH($AW$104,'Reference Score Calculation'!$P102)),7,5)))))</f>
        <v>5</v>
      </c>
      <c r="BQ123" s="415">
        <f>IF(ISNUMBER(SEARCH(BQ$112,'Reference Score Calculation'!$O102)),10,IF(ISNUMBER(SEARCH(BQ$112,'Reference Score Calculation'!$P102)),7,IF(ISNUMBER(SEARCH(BQ$112,'Reference Score Calculation'!$Q102)),5,IF(ISNUMBER(SEARCH($AW$104,'Reference Score Calculation'!$O102)),10,IF(ISNUMBER(SEARCH($AW$104,'Reference Score Calculation'!$P102)),7,5)))))</f>
        <v>5</v>
      </c>
      <c r="BR123" s="415">
        <f>IF(ISNUMBER(SEARCH(BR$112,'Reference Score Calculation'!$O102)),10,IF(ISNUMBER(SEARCH(BR$112,'Reference Score Calculation'!$P102)),7,IF(ISNUMBER(SEARCH(BR$112,'Reference Score Calculation'!$Q102)),5,IF(ISNUMBER(SEARCH($AW$104,'Reference Score Calculation'!$O102)),10,IF(ISNUMBER(SEARCH($AW$104,'Reference Score Calculation'!$P102)),7,5)))))</f>
        <v>5</v>
      </c>
      <c r="BS123" s="415">
        <f>IF(ISNUMBER(SEARCH(BS$112,'Reference Score Calculation'!$O102)),10,IF(ISNUMBER(SEARCH(BS$112,'Reference Score Calculation'!$P102)),7,IF(ISNUMBER(SEARCH(BS$112,'Reference Score Calculation'!$Q102)),5,IF(ISNUMBER(SEARCH($AW$104,'Reference Score Calculation'!$O102)),10,IF(ISNUMBER(SEARCH($AW$104,'Reference Score Calculation'!$P102)),7,5)))))</f>
        <v>5</v>
      </c>
      <c r="BT123" s="415">
        <f>IF(ISNUMBER(SEARCH(BT$112,'Reference Score Calculation'!$O102)),10,IF(ISNUMBER(SEARCH(BT$112,'Reference Score Calculation'!$P102)),7,IF(ISNUMBER(SEARCH(BT$112,'Reference Score Calculation'!$Q102)),5,IF(ISNUMBER(SEARCH($AW$104,'Reference Score Calculation'!$O102)),10,IF(ISNUMBER(SEARCH($AW$104,'Reference Score Calculation'!$P102)),7,5)))))</f>
        <v>5</v>
      </c>
      <c r="BU123" s="415">
        <f>IF(ISNUMBER(SEARCH(BU$112,'Reference Score Calculation'!$O102)),10,IF(ISNUMBER(SEARCH(BU$112,'Reference Score Calculation'!$P102)),7,IF(ISNUMBER(SEARCH(BU$112,'Reference Score Calculation'!$Q102)),5,IF(ISNUMBER(SEARCH($AW$104,'Reference Score Calculation'!$O102)),10,IF(ISNUMBER(SEARCH($AW$104,'Reference Score Calculation'!$P102)),7,5)))))</f>
        <v>7</v>
      </c>
      <c r="BV123" s="415">
        <f>IF(ISNUMBER(SEARCH(BV$112,'Reference Score Calculation'!$O102)),10,IF(ISNUMBER(SEARCH(BV$112,'Reference Score Calculation'!$P102)),7,IF(ISNUMBER(SEARCH(BV$112,'Reference Score Calculation'!$Q102)),5,IF(ISNUMBER(SEARCH($AW$104,'Reference Score Calculation'!$O102)),10,IF(ISNUMBER(SEARCH($AW$104,'Reference Score Calculation'!$P102)),7,5)))))</f>
        <v>7</v>
      </c>
      <c r="BW123" s="415">
        <f>IF(ISNUMBER(SEARCH(BW$112,'Reference Score Calculation'!$O102)),10,IF(ISNUMBER(SEARCH(BW$112,'Reference Score Calculation'!$P102)),7,IF(ISNUMBER(SEARCH(BW$112,'Reference Score Calculation'!$Q102)),5,IF(ISNUMBER(SEARCH($AW$104,'Reference Score Calculation'!$O102)),10,IF(ISNUMBER(SEARCH($AW$104,'Reference Score Calculation'!$P102)),7,5)))))</f>
        <v>5</v>
      </c>
      <c r="BX123" s="415">
        <f>IF(ISNUMBER(SEARCH(BX$112,'Reference Score Calculation'!$O102)),10,IF(ISNUMBER(SEARCH(BX$112,'Reference Score Calculation'!$P102)),7,IF(ISNUMBER(SEARCH(BX$112,'Reference Score Calculation'!$Q102)),5,IF(ISNUMBER(SEARCH($AW$104,'Reference Score Calculation'!$O102)),10,IF(ISNUMBER(SEARCH($AW$104,'Reference Score Calculation'!$P102)),7,5)))))</f>
        <v>5</v>
      </c>
      <c r="BY123" s="195"/>
      <c r="BZ123" s="195"/>
      <c r="CA123" s="195"/>
    </row>
    <row r="124" spans="1:79">
      <c r="A124" s="119" t="str">
        <f>'Reference Score Calculation'!A101</f>
        <v>JS3110</v>
      </c>
      <c r="B124" s="119" t="str">
        <f>'Reference Score Calculation'!A101</f>
        <v>JS3110</v>
      </c>
      <c r="C124" s="119" t="str">
        <f>'Reference Score Calculation'!D101</f>
        <v>建築科學及工程學(榮譽)工學士組合課程 (建築科學及工程學 / 建築科學及工程學(屋宇設備工程學))</v>
      </c>
      <c r="D124" s="2" t="e">
        <f>'Reference Score Calculation'!#REF!</f>
        <v>#REF!</v>
      </c>
      <c r="E124" s="134" t="str">
        <f>'Reference Score Calculation'!E101</f>
        <v>Best 5</v>
      </c>
      <c r="F124" s="134"/>
      <c r="G124" s="119" t="str">
        <f>入學要求!AB110</f>
        <v>v</v>
      </c>
      <c r="H124" s="119" t="str">
        <f>入學要求!AC110</f>
        <v>E</v>
      </c>
      <c r="I124" s="119" t="str">
        <f>入學要求!AD110</f>
        <v>v</v>
      </c>
      <c r="J124" s="119">
        <f t="shared" si="254"/>
        <v>1.6050000000000001E-8</v>
      </c>
      <c r="K124" s="119">
        <f t="shared" si="232"/>
        <v>7</v>
      </c>
      <c r="L124" s="119">
        <f t="shared" si="232"/>
        <v>10</v>
      </c>
      <c r="M124" s="119">
        <f t="shared" si="232"/>
        <v>10</v>
      </c>
      <c r="N124" s="119">
        <v>0</v>
      </c>
      <c r="O124" s="119">
        <f t="shared" si="233"/>
        <v>7</v>
      </c>
      <c r="P124" s="119">
        <f t="shared" si="233"/>
        <v>0</v>
      </c>
      <c r="Q124" s="119">
        <f t="shared" si="233"/>
        <v>0</v>
      </c>
      <c r="R124" s="119">
        <f t="shared" si="233"/>
        <v>0</v>
      </c>
      <c r="S124" s="119">
        <f t="shared" si="233"/>
        <v>0</v>
      </c>
      <c r="T124" s="119">
        <v>5</v>
      </c>
      <c r="V124" s="119">
        <f t="shared" si="234"/>
        <v>2.8000000000000003E-9</v>
      </c>
      <c r="W124" s="119">
        <f t="shared" si="235"/>
        <v>2.0000000000000001E-9</v>
      </c>
      <c r="X124" s="119">
        <f t="shared" si="236"/>
        <v>3E-9</v>
      </c>
      <c r="Y124" s="119">
        <f t="shared" si="237"/>
        <v>0</v>
      </c>
      <c r="Z124" s="119">
        <f t="shared" si="238"/>
        <v>3.5000000000000003E-9</v>
      </c>
      <c r="AA124" s="119">
        <f t="shared" si="239"/>
        <v>0</v>
      </c>
      <c r="AB124" s="119">
        <f t="shared" si="240"/>
        <v>0</v>
      </c>
      <c r="AC124" s="119">
        <f t="shared" si="241"/>
        <v>0</v>
      </c>
      <c r="AD124" s="119">
        <f t="shared" si="242"/>
        <v>0</v>
      </c>
      <c r="AE124" s="119">
        <f t="shared" si="243"/>
        <v>4.7500000000000003E-9</v>
      </c>
      <c r="AF124" s="119" t="b">
        <f t="shared" si="244"/>
        <v>1</v>
      </c>
      <c r="AG124" s="119" t="b">
        <f t="shared" si="245"/>
        <v>1</v>
      </c>
      <c r="AH124" s="119" t="b">
        <f t="shared" si="246"/>
        <v>1</v>
      </c>
      <c r="AI124" s="119" t="b">
        <f t="shared" si="247"/>
        <v>0</v>
      </c>
      <c r="AJ124" s="119" t="b">
        <f t="shared" si="248"/>
        <v>1</v>
      </c>
      <c r="AK124" s="119" t="b">
        <f t="shared" si="249"/>
        <v>0</v>
      </c>
      <c r="AL124" s="119" t="b">
        <f t="shared" si="250"/>
        <v>0</v>
      </c>
      <c r="AM124" s="119" t="b">
        <f t="shared" si="251"/>
        <v>0</v>
      </c>
      <c r="AN124" s="119" t="b">
        <f t="shared" si="252"/>
        <v>0</v>
      </c>
      <c r="AO124" s="119" t="b">
        <f t="shared" si="253"/>
        <v>1</v>
      </c>
      <c r="AQ124" s="2"/>
      <c r="AR124" s="2"/>
      <c r="AS124" s="2"/>
      <c r="AT124" s="195"/>
      <c r="AU124" s="195" t="str">
        <f>'Reference Score Calculation'!A103</f>
        <v>JS3130</v>
      </c>
      <c r="AV124" s="195"/>
      <c r="AW124" s="415">
        <f>IF(ISNUMBER(SEARCH(AW$112,'Reference Score Calculation'!$O103)),10,IF(ISNUMBER(SEARCH(AW$112,'Reference Score Calculation'!$P103)),7,IF(ISNUMBER(SEARCH(AW$112,'Reference Score Calculation'!$Q103)),5,IF(ISNUMBER(SEARCH($AW$104,'Reference Score Calculation'!$O103)),10,IF(ISNUMBER(SEARCH($AW$104,'Reference Score Calculation'!$P103)),7,5)))))</f>
        <v>7</v>
      </c>
      <c r="AX124" s="415">
        <f>IF(ISNUMBER(SEARCH(AX$112,'Reference Score Calculation'!$O103)),10,IF(ISNUMBER(SEARCH(AX$112,'Reference Score Calculation'!$P103)),7,IF(ISNUMBER(SEARCH(AX$112,'Reference Score Calculation'!$Q103)),5,IF(ISNUMBER(SEARCH($AW$104,'Reference Score Calculation'!$O103)),10,IF(ISNUMBER(SEARCH($AW$104,'Reference Score Calculation'!$P103)),7,5)))))</f>
        <v>10</v>
      </c>
      <c r="AY124" s="415">
        <f>IF(ISNUMBER(SEARCH(AY$112,'Reference Score Calculation'!$O103)),10,IF(ISNUMBER(SEARCH(AY$112,'Reference Score Calculation'!$P103)),7,IF(ISNUMBER(SEARCH(AY$112,'Reference Score Calculation'!$Q103)),5,IF(ISNUMBER(SEARCH($AW$104,'Reference Score Calculation'!$O103)),10,IF(ISNUMBER(SEARCH($AW$104,'Reference Score Calculation'!$P103)),7,5)))))</f>
        <v>10</v>
      </c>
      <c r="AZ124" s="415">
        <f>IF(ISNUMBER(SEARCH(AZ$112,'Reference Score Calculation'!$O103)),10,IF(ISNUMBER(SEARCH(AZ$112,'Reference Score Calculation'!$P103)),7,IF(ISNUMBER(SEARCH(AZ$112,'Reference Score Calculation'!$Q103)),5,IF(ISNUMBER(SEARCH($AW$104,'Reference Score Calculation'!$O103)),10,IF(ISNUMBER(SEARCH($AW$104,'Reference Score Calculation'!$P103)),7,5)))))</f>
        <v>7</v>
      </c>
      <c r="BA124" s="415">
        <f>IF(ISNUMBER(SEARCH(BA$112,'Reference Score Calculation'!$O103)),10,IF(ISNUMBER(SEARCH(BA$112,'Reference Score Calculation'!$P103)),7,IF(ISNUMBER(SEARCH(BA$112,'Reference Score Calculation'!$Q103)),5,IF(ISNUMBER(SEARCH($AW$104,'Reference Score Calculation'!$O103)),10,IF(ISNUMBER(SEARCH($AW$104,'Reference Score Calculation'!$P103)),7,5)))))</f>
        <v>10</v>
      </c>
      <c r="BB124" s="415">
        <f>IF(ISNUMBER(SEARCH(BB$112,'Reference Score Calculation'!$O103)),10,IF(ISNUMBER(SEARCH(BB$112,'Reference Score Calculation'!$P103)),7,IF(ISNUMBER(SEARCH(BB$112,'Reference Score Calculation'!$Q103)),5,IF(ISNUMBER(SEARCH($AW$104,'Reference Score Calculation'!$O103)),10,IF(ISNUMBER(SEARCH($AW$104,'Reference Score Calculation'!$P103)),7,5)))))</f>
        <v>10</v>
      </c>
      <c r="BC124" s="415">
        <f>IF(ISNUMBER(SEARCH(BC$112,'Reference Score Calculation'!$O103)),10,IF(ISNUMBER(SEARCH(BC$112,'Reference Score Calculation'!$P103)),7,IF(ISNUMBER(SEARCH(BC$112,'Reference Score Calculation'!$Q103)),5,IF(ISNUMBER(SEARCH($AW$104,'Reference Score Calculation'!$O103)),10,IF(ISNUMBER(SEARCH($AW$104,'Reference Score Calculation'!$P103)),7,5)))))</f>
        <v>10</v>
      </c>
      <c r="BD124" s="415">
        <f>IF(ISNUMBER(SEARCH(BD$112,'Reference Score Calculation'!$O103)),10,IF(ISNUMBER(SEARCH(BD$112,'Reference Score Calculation'!$P103)),7,IF(ISNUMBER(SEARCH(BD$112,'Reference Score Calculation'!$Q103)),5,IF(ISNUMBER(SEARCH($AW$104,'Reference Score Calculation'!$O103)),10,IF(ISNUMBER(SEARCH($AW$104,'Reference Score Calculation'!$P103)),7,5)))))</f>
        <v>10</v>
      </c>
      <c r="BE124" s="415">
        <f>IF(ISNUMBER(SEARCH(BE$112,'Reference Score Calculation'!$O103)),10,IF(ISNUMBER(SEARCH(BE$112,'Reference Score Calculation'!$P103)),7,IF(ISNUMBER(SEARCH(BE$112,'Reference Score Calculation'!$Q103)),5,IF(ISNUMBER(SEARCH($AW$104,'Reference Score Calculation'!$O103)),10,IF(ISNUMBER(SEARCH($AW$104,'Reference Score Calculation'!$P103)),7,5)))))</f>
        <v>7</v>
      </c>
      <c r="BF124" s="415">
        <f>IF(ISNUMBER(SEARCH(BF$112,'Reference Score Calculation'!$O103)),10,IF(ISNUMBER(SEARCH(BF$112,'Reference Score Calculation'!$P103)),7,IF(ISNUMBER(SEARCH(BF$112,'Reference Score Calculation'!$Q103)),5,IF(ISNUMBER(SEARCH($AW$104,'Reference Score Calculation'!$O103)),10,IF(ISNUMBER(SEARCH($AW$104,'Reference Score Calculation'!$P103)),7,5)))))</f>
        <v>10</v>
      </c>
      <c r="BG124" s="415">
        <f>IF(ISNUMBER(SEARCH(BG$112,'Reference Score Calculation'!$O103)),10,IF(ISNUMBER(SEARCH(BG$112,'Reference Score Calculation'!$P103)),7,IF(ISNUMBER(SEARCH(BG$112,'Reference Score Calculation'!$Q103)),5,IF(ISNUMBER(SEARCH($AW$104,'Reference Score Calculation'!$O103)),10,IF(ISNUMBER(SEARCH($AW$104,'Reference Score Calculation'!$P103)),7,5)))))</f>
        <v>7</v>
      </c>
      <c r="BH124" s="415">
        <f>IF(ISNUMBER(SEARCH(BH$112,'Reference Score Calculation'!$O103)),10,IF(ISNUMBER(SEARCH(BH$112,'Reference Score Calculation'!$P103)),7,IF(ISNUMBER(SEARCH(BH$112,'Reference Score Calculation'!$Q103)),5,IF(ISNUMBER(SEARCH($AW$104,'Reference Score Calculation'!$O103)),10,IF(ISNUMBER(SEARCH($AW$104,'Reference Score Calculation'!$P103)),7,5)))))</f>
        <v>7</v>
      </c>
      <c r="BI124" s="415">
        <f>IF(ISNUMBER(SEARCH(BI$112,'Reference Score Calculation'!$O103)),10,IF(ISNUMBER(SEARCH(BI$112,'Reference Score Calculation'!$P103)),7,IF(ISNUMBER(SEARCH(BI$112,'Reference Score Calculation'!$Q103)),5,IF(ISNUMBER(SEARCH($AW$104,'Reference Score Calculation'!$O103)),10,IF(ISNUMBER(SEARCH($AW$104,'Reference Score Calculation'!$P103)),7,5)))))</f>
        <v>7</v>
      </c>
      <c r="BJ124" s="415">
        <f>IF(ISNUMBER(SEARCH(BJ$112,'Reference Score Calculation'!$O103)),10,IF(ISNUMBER(SEARCH(BJ$112,'Reference Score Calculation'!$P103)),7,IF(ISNUMBER(SEARCH(BJ$112,'Reference Score Calculation'!$Q103)),5,IF(ISNUMBER(SEARCH($AW$104,'Reference Score Calculation'!$O103)),10,IF(ISNUMBER(SEARCH($AW$104,'Reference Score Calculation'!$P103)),7,5)))))</f>
        <v>7</v>
      </c>
      <c r="BK124" s="415">
        <f>IF(ISNUMBER(SEARCH(BK$112,'Reference Score Calculation'!$O103)),10,IF(ISNUMBER(SEARCH(BK$112,'Reference Score Calculation'!$P103)),7,IF(ISNUMBER(SEARCH(BK$112,'Reference Score Calculation'!$Q103)),5,IF(ISNUMBER(SEARCH($AW$104,'Reference Score Calculation'!$O103)),10,IF(ISNUMBER(SEARCH($AW$104,'Reference Score Calculation'!$P103)),7,5)))))</f>
        <v>7</v>
      </c>
      <c r="BL124" s="415">
        <f>IF(ISNUMBER(SEARCH(BL$112,'Reference Score Calculation'!$O103)),10,IF(ISNUMBER(SEARCH(BL$112,'Reference Score Calculation'!$P103)),7,IF(ISNUMBER(SEARCH(BL$112,'Reference Score Calculation'!$Q103)),5,IF(ISNUMBER(SEARCH($AW$104,'Reference Score Calculation'!$O103)),10,IF(ISNUMBER(SEARCH($AW$104,'Reference Score Calculation'!$P103)),7,5)))))</f>
        <v>10</v>
      </c>
      <c r="BM124" s="415">
        <f>IF(ISNUMBER(SEARCH(BM$112,'Reference Score Calculation'!$O103)),10,IF(ISNUMBER(SEARCH(BM$112,'Reference Score Calculation'!$P103)),7,IF(ISNUMBER(SEARCH(BM$112,'Reference Score Calculation'!$Q103)),5,IF(ISNUMBER(SEARCH($AW$104,'Reference Score Calculation'!$O103)),10,IF(ISNUMBER(SEARCH("組合科學(任何)",'Reference Score Calculation'!$O103)),10,IF(ISNUMBER(SEARCH("組合科學(任何)",'Reference Score Calculation'!$P103)),7,IF(ISNUMBER(SEARCH("組合科學(任何)",'Reference Score Calculation'!$Q103)),5,IF(ISNUMBER(SEARCH($AW$104,'Reference Score Calculation'!$P103)),7,5))))))))</f>
        <v>10</v>
      </c>
      <c r="BN124" s="415">
        <f>IF(ISNUMBER(SEARCH(BN$112,'Reference Score Calculation'!$O103)),10,IF(ISNUMBER(SEARCH(BN$112,'Reference Score Calculation'!$P103)),7,IF(ISNUMBER(SEARCH(BN$112,'Reference Score Calculation'!$Q103)),5,IF(ISNUMBER(SEARCH($AW$104,'Reference Score Calculation'!$O103)),10,IF(ISNUMBER(SEARCH("組合科學(任何)",'Reference Score Calculation'!$O103)),10,IF(ISNUMBER(SEARCH("組合科學(任何)",'Reference Score Calculation'!$P103)),7,IF(ISNUMBER(SEARCH("組合科學(任何)",'Reference Score Calculation'!$Q103)),5,IF(ISNUMBER(SEARCH($AW$104,'Reference Score Calculation'!$P103)),7,5))))))))</f>
        <v>7</v>
      </c>
      <c r="BO124" s="415">
        <f>IF(ISNUMBER(SEARCH(BO$112,'Reference Score Calculation'!$O103)),10,IF(ISNUMBER(SEARCH(BO$112,'Reference Score Calculation'!$P103)),7,IF(ISNUMBER(SEARCH(BO$112,'Reference Score Calculation'!$Q103)),5,IF(ISNUMBER(SEARCH($AW$104,'Reference Score Calculation'!$O103)),10,IF(ISNUMBER(SEARCH("組合科學(任何)",'Reference Score Calculation'!$O103)),10,IF(ISNUMBER(SEARCH("組合科學(任何)",'Reference Score Calculation'!$P103)),7,IF(ISNUMBER(SEARCH("組合科學(任何)",'Reference Score Calculation'!$Q103)),5,IF(ISNUMBER(SEARCH($AW$104,'Reference Score Calculation'!$P103)),7,5))))))))</f>
        <v>10</v>
      </c>
      <c r="BP124" s="415">
        <f>IF(ISNUMBER(SEARCH(BP$112,'Reference Score Calculation'!$O103)),10,IF(ISNUMBER(SEARCH(BP$112,'Reference Score Calculation'!$P103)),7,IF(ISNUMBER(SEARCH(BP$112,'Reference Score Calculation'!$Q103)),5,IF(ISNUMBER(SEARCH($AW$104,'Reference Score Calculation'!$O103)),10,IF(ISNUMBER(SEARCH($AW$104,'Reference Score Calculation'!$P103)),7,5)))))</f>
        <v>7</v>
      </c>
      <c r="BQ124" s="415">
        <f>IF(ISNUMBER(SEARCH(BQ$112,'Reference Score Calculation'!$O103)),10,IF(ISNUMBER(SEARCH(BQ$112,'Reference Score Calculation'!$P103)),7,IF(ISNUMBER(SEARCH(BQ$112,'Reference Score Calculation'!$Q103)),5,IF(ISNUMBER(SEARCH($AW$104,'Reference Score Calculation'!$O103)),10,IF(ISNUMBER(SEARCH($AW$104,'Reference Score Calculation'!$P103)),7,5)))))</f>
        <v>7</v>
      </c>
      <c r="BR124" s="415">
        <f>IF(ISNUMBER(SEARCH(BR$112,'Reference Score Calculation'!$O103)),10,IF(ISNUMBER(SEARCH(BR$112,'Reference Score Calculation'!$P103)),7,IF(ISNUMBER(SEARCH(BR$112,'Reference Score Calculation'!$Q103)),5,IF(ISNUMBER(SEARCH($AW$104,'Reference Score Calculation'!$O103)),10,IF(ISNUMBER(SEARCH($AW$104,'Reference Score Calculation'!$P103)),7,5)))))</f>
        <v>7</v>
      </c>
      <c r="BS124" s="415">
        <f>IF(ISNUMBER(SEARCH(BS$112,'Reference Score Calculation'!$O103)),10,IF(ISNUMBER(SEARCH(BS$112,'Reference Score Calculation'!$P103)),7,IF(ISNUMBER(SEARCH(BS$112,'Reference Score Calculation'!$Q103)),5,IF(ISNUMBER(SEARCH($AW$104,'Reference Score Calculation'!$O103)),10,IF(ISNUMBER(SEARCH($AW$104,'Reference Score Calculation'!$P103)),7,5)))))</f>
        <v>7</v>
      </c>
      <c r="BT124" s="415">
        <f>IF(ISNUMBER(SEARCH(BT$112,'Reference Score Calculation'!$O103)),10,IF(ISNUMBER(SEARCH(BT$112,'Reference Score Calculation'!$P103)),7,IF(ISNUMBER(SEARCH(BT$112,'Reference Score Calculation'!$Q103)),5,IF(ISNUMBER(SEARCH($AW$104,'Reference Score Calculation'!$O103)),10,IF(ISNUMBER(SEARCH($AW$104,'Reference Score Calculation'!$P103)),7,5)))))</f>
        <v>7</v>
      </c>
      <c r="BU124" s="415">
        <f>IF(ISNUMBER(SEARCH(BU$112,'Reference Score Calculation'!$O103)),10,IF(ISNUMBER(SEARCH(BU$112,'Reference Score Calculation'!$P103)),7,IF(ISNUMBER(SEARCH(BU$112,'Reference Score Calculation'!$Q103)),5,IF(ISNUMBER(SEARCH($AW$104,'Reference Score Calculation'!$O103)),10,IF(ISNUMBER(SEARCH($AW$104,'Reference Score Calculation'!$P103)),7,5)))))</f>
        <v>10</v>
      </c>
      <c r="BV124" s="415">
        <f>IF(ISNUMBER(SEARCH(BV$112,'Reference Score Calculation'!$O103)),10,IF(ISNUMBER(SEARCH(BV$112,'Reference Score Calculation'!$P103)),7,IF(ISNUMBER(SEARCH(BV$112,'Reference Score Calculation'!$Q103)),5,IF(ISNUMBER(SEARCH($AW$104,'Reference Score Calculation'!$O103)),10,IF(ISNUMBER(SEARCH($AW$104,'Reference Score Calculation'!$P103)),7,5)))))</f>
        <v>7</v>
      </c>
      <c r="BW124" s="415">
        <f>IF(ISNUMBER(SEARCH(BW$112,'Reference Score Calculation'!$O103)),10,IF(ISNUMBER(SEARCH(BW$112,'Reference Score Calculation'!$P103)),7,IF(ISNUMBER(SEARCH(BW$112,'Reference Score Calculation'!$Q103)),5,IF(ISNUMBER(SEARCH($AW$104,'Reference Score Calculation'!$O103)),10,IF(ISNUMBER(SEARCH($AW$104,'Reference Score Calculation'!$P103)),7,5)))))</f>
        <v>7</v>
      </c>
      <c r="BX124" s="415">
        <f>IF(ISNUMBER(SEARCH(BX$112,'Reference Score Calculation'!$O103)),10,IF(ISNUMBER(SEARCH(BX$112,'Reference Score Calculation'!$P103)),7,IF(ISNUMBER(SEARCH(BX$112,'Reference Score Calculation'!$Q103)),5,IF(ISNUMBER(SEARCH($AW$104,'Reference Score Calculation'!$O103)),10,IF(ISNUMBER(SEARCH($AW$104,'Reference Score Calculation'!$P103)),7,5)))))</f>
        <v>7</v>
      </c>
      <c r="BY124" s="195"/>
      <c r="BZ124" s="195"/>
      <c r="CA124" s="195"/>
    </row>
    <row r="125" spans="1:79">
      <c r="A125" s="119" t="str">
        <f>'Reference Score Calculation'!A102</f>
        <v>JS3120</v>
      </c>
      <c r="B125" s="119" t="str">
        <f>'Reference Score Calculation'!A102</f>
        <v>JS3120</v>
      </c>
      <c r="C125" s="119" t="str">
        <f>'Reference Score Calculation'!D102</f>
        <v>土木工程及可持續發展學(榮譽)工學士組合課程</v>
      </c>
      <c r="D125" s="2" t="e">
        <f>'Reference Score Calculation'!#REF!</f>
        <v>#REF!</v>
      </c>
      <c r="E125" s="134" t="str">
        <f>'Reference Score Calculation'!E102</f>
        <v>Best 5</v>
      </c>
      <c r="F125" s="134"/>
      <c r="G125" s="119" t="str">
        <f>入學要求!AB111</f>
        <v>v</v>
      </c>
      <c r="H125" s="119" t="str">
        <f>入學要求!AC111</f>
        <v>E</v>
      </c>
      <c r="I125" s="119" t="str">
        <f>入學要求!AD111</f>
        <v>v</v>
      </c>
      <c r="J125" s="119">
        <f t="shared" si="254"/>
        <v>1.8750000000000002E-8</v>
      </c>
      <c r="K125" s="119">
        <f t="shared" si="232"/>
        <v>10</v>
      </c>
      <c r="L125" s="119">
        <f t="shared" si="232"/>
        <v>10</v>
      </c>
      <c r="M125" s="119">
        <f t="shared" si="232"/>
        <v>10</v>
      </c>
      <c r="N125" s="119">
        <v>0</v>
      </c>
      <c r="O125" s="119">
        <f t="shared" si="233"/>
        <v>10</v>
      </c>
      <c r="P125" s="119">
        <f t="shared" si="233"/>
        <v>0</v>
      </c>
      <c r="Q125" s="119">
        <f t="shared" si="233"/>
        <v>0</v>
      </c>
      <c r="R125" s="119">
        <f t="shared" si="233"/>
        <v>0</v>
      </c>
      <c r="S125" s="119">
        <f t="shared" si="233"/>
        <v>0</v>
      </c>
      <c r="T125" s="119">
        <v>5</v>
      </c>
      <c r="V125" s="119">
        <f t="shared" si="234"/>
        <v>4.0000000000000002E-9</v>
      </c>
      <c r="W125" s="119">
        <f t="shared" si="235"/>
        <v>2.0000000000000001E-9</v>
      </c>
      <c r="X125" s="119">
        <f t="shared" si="236"/>
        <v>3E-9</v>
      </c>
      <c r="Y125" s="119">
        <f t="shared" si="237"/>
        <v>0</v>
      </c>
      <c r="Z125" s="119">
        <f t="shared" si="238"/>
        <v>5.0000000000000001E-9</v>
      </c>
      <c r="AA125" s="119">
        <f t="shared" si="239"/>
        <v>0</v>
      </c>
      <c r="AB125" s="119">
        <f t="shared" si="240"/>
        <v>0</v>
      </c>
      <c r="AC125" s="119">
        <f t="shared" si="241"/>
        <v>0</v>
      </c>
      <c r="AD125" s="119">
        <f t="shared" si="242"/>
        <v>0</v>
      </c>
      <c r="AE125" s="119">
        <f t="shared" si="243"/>
        <v>4.7500000000000003E-9</v>
      </c>
      <c r="AF125" s="119" t="b">
        <f t="shared" si="244"/>
        <v>1</v>
      </c>
      <c r="AG125" s="119" t="b">
        <f t="shared" si="245"/>
        <v>1</v>
      </c>
      <c r="AH125" s="119" t="b">
        <f t="shared" si="246"/>
        <v>1</v>
      </c>
      <c r="AI125" s="119" t="b">
        <f t="shared" si="247"/>
        <v>0</v>
      </c>
      <c r="AJ125" s="119" t="b">
        <f t="shared" si="248"/>
        <v>1</v>
      </c>
      <c r="AK125" s="119" t="b">
        <f t="shared" si="249"/>
        <v>0</v>
      </c>
      <c r="AL125" s="119" t="b">
        <f t="shared" si="250"/>
        <v>0</v>
      </c>
      <c r="AM125" s="119" t="b">
        <f t="shared" si="251"/>
        <v>0</v>
      </c>
      <c r="AN125" s="119" t="b">
        <f t="shared" si="252"/>
        <v>0</v>
      </c>
      <c r="AO125" s="119" t="b">
        <f t="shared" si="253"/>
        <v>1</v>
      </c>
      <c r="AQ125" s="2"/>
      <c r="AR125" s="2"/>
      <c r="AS125" s="2"/>
      <c r="AT125" s="195"/>
      <c r="AU125" s="195" t="str">
        <f>'Reference Score Calculation'!A104</f>
        <v>JS3140</v>
      </c>
      <c r="AV125" s="195"/>
      <c r="AW125" s="415">
        <f>IF(ISNUMBER(SEARCH(AW$112,'Reference Score Calculation'!$O104)),10,IF(ISNUMBER(SEARCH(AW$112,'Reference Score Calculation'!$P104)),7,IF(ISNUMBER(SEARCH(AW$112,'Reference Score Calculation'!$Q104)),5,IF(ISNUMBER(SEARCH($AW$104,'Reference Score Calculation'!$O104)),10,IF(ISNUMBER(SEARCH($AW$104,'Reference Score Calculation'!$P104)),7,5)))))</f>
        <v>7</v>
      </c>
      <c r="AX125" s="415">
        <f>IF(ISNUMBER(SEARCH(AX$112,'Reference Score Calculation'!$O104)),10,IF(ISNUMBER(SEARCH(AX$112,'Reference Score Calculation'!$P104)),7,IF(ISNUMBER(SEARCH(AX$112,'Reference Score Calculation'!$Q104)),5,IF(ISNUMBER(SEARCH($AW$104,'Reference Score Calculation'!$O104)),10,IF(ISNUMBER(SEARCH($AW$104,'Reference Score Calculation'!$P104)),7,5)))))</f>
        <v>10</v>
      </c>
      <c r="AY125" s="415">
        <f>IF(ISNUMBER(SEARCH(AY$112,'Reference Score Calculation'!$O104)),10,IF(ISNUMBER(SEARCH(AY$112,'Reference Score Calculation'!$P104)),7,IF(ISNUMBER(SEARCH(AY$112,'Reference Score Calculation'!$Q104)),5,IF(ISNUMBER(SEARCH($AW$104,'Reference Score Calculation'!$O104)),10,IF(ISNUMBER(SEARCH($AW$104,'Reference Score Calculation'!$P104)),7,5)))))</f>
        <v>10</v>
      </c>
      <c r="AZ125" s="415">
        <f>IF(ISNUMBER(SEARCH(AZ$112,'Reference Score Calculation'!$O104)),10,IF(ISNUMBER(SEARCH(AZ$112,'Reference Score Calculation'!$P104)),7,IF(ISNUMBER(SEARCH(AZ$112,'Reference Score Calculation'!$Q104)),5,IF(ISNUMBER(SEARCH($AW$104,'Reference Score Calculation'!$O104)),10,IF(ISNUMBER(SEARCH($AW$104,'Reference Score Calculation'!$P104)),7,5)))))</f>
        <v>7</v>
      </c>
      <c r="BA125" s="415">
        <f>IF(ISNUMBER(SEARCH(BA$112,'Reference Score Calculation'!$O104)),10,IF(ISNUMBER(SEARCH(BA$112,'Reference Score Calculation'!$P104)),7,IF(ISNUMBER(SEARCH(BA$112,'Reference Score Calculation'!$Q104)),5,IF(ISNUMBER(SEARCH($AW$104,'Reference Score Calculation'!$O104)),10,IF(ISNUMBER(SEARCH($AW$104,'Reference Score Calculation'!$P104)),7,5)))))</f>
        <v>10</v>
      </c>
      <c r="BB125" s="415">
        <f>IF(ISNUMBER(SEARCH(BB$112,'Reference Score Calculation'!$O104)),10,IF(ISNUMBER(SEARCH(BB$112,'Reference Score Calculation'!$P104)),7,IF(ISNUMBER(SEARCH(BB$112,'Reference Score Calculation'!$Q104)),5,IF(ISNUMBER(SEARCH($AW$104,'Reference Score Calculation'!$O104)),10,IF(ISNUMBER(SEARCH($AW$104,'Reference Score Calculation'!$P104)),7,5)))))</f>
        <v>10</v>
      </c>
      <c r="BC125" s="415">
        <f>IF(ISNUMBER(SEARCH(BC$112,'Reference Score Calculation'!$O104)),10,IF(ISNUMBER(SEARCH(BC$112,'Reference Score Calculation'!$P104)),7,IF(ISNUMBER(SEARCH(BC$112,'Reference Score Calculation'!$Q104)),5,IF(ISNUMBER(SEARCH($AW$104,'Reference Score Calculation'!$O104)),10,IF(ISNUMBER(SEARCH($AW$104,'Reference Score Calculation'!$P104)),7,5)))))</f>
        <v>10</v>
      </c>
      <c r="BD125" s="415">
        <f>IF(ISNUMBER(SEARCH(BD$112,'Reference Score Calculation'!$O104)),10,IF(ISNUMBER(SEARCH(BD$112,'Reference Score Calculation'!$P104)),7,IF(ISNUMBER(SEARCH(BD$112,'Reference Score Calculation'!$Q104)),5,IF(ISNUMBER(SEARCH($AW$104,'Reference Score Calculation'!$O104)),10,IF(ISNUMBER(SEARCH($AW$104,'Reference Score Calculation'!$P104)),7,5)))))</f>
        <v>7</v>
      </c>
      <c r="BE125" s="415">
        <f>IF(ISNUMBER(SEARCH(BE$112,'Reference Score Calculation'!$O104)),10,IF(ISNUMBER(SEARCH(BE$112,'Reference Score Calculation'!$P104)),7,IF(ISNUMBER(SEARCH(BE$112,'Reference Score Calculation'!$Q104)),5,IF(ISNUMBER(SEARCH($AW$104,'Reference Score Calculation'!$O104)),10,IF(ISNUMBER(SEARCH($AW$104,'Reference Score Calculation'!$P104)),7,5)))))</f>
        <v>5</v>
      </c>
      <c r="BF125" s="415">
        <f>IF(ISNUMBER(SEARCH(BF$112,'Reference Score Calculation'!$O104)),10,IF(ISNUMBER(SEARCH(BF$112,'Reference Score Calculation'!$P104)),7,IF(ISNUMBER(SEARCH(BF$112,'Reference Score Calculation'!$Q104)),5,IF(ISNUMBER(SEARCH($AW$104,'Reference Score Calculation'!$O104)),10,IF(ISNUMBER(SEARCH($AW$104,'Reference Score Calculation'!$P104)),7,5)))))</f>
        <v>5</v>
      </c>
      <c r="BG125" s="415">
        <f>IF(ISNUMBER(SEARCH(BG$112,'Reference Score Calculation'!$O104)),10,IF(ISNUMBER(SEARCH(BG$112,'Reference Score Calculation'!$P104)),7,IF(ISNUMBER(SEARCH(BG$112,'Reference Score Calculation'!$Q104)),5,IF(ISNUMBER(SEARCH($AW$104,'Reference Score Calculation'!$O104)),10,IF(ISNUMBER(SEARCH($AW$104,'Reference Score Calculation'!$P104)),7,5)))))</f>
        <v>5</v>
      </c>
      <c r="BH125" s="415">
        <f>IF(ISNUMBER(SEARCH(BH$112,'Reference Score Calculation'!$O104)),10,IF(ISNUMBER(SEARCH(BH$112,'Reference Score Calculation'!$P104)),7,IF(ISNUMBER(SEARCH(BH$112,'Reference Score Calculation'!$Q104)),5,IF(ISNUMBER(SEARCH($AW$104,'Reference Score Calculation'!$O104)),10,IF(ISNUMBER(SEARCH($AW$104,'Reference Score Calculation'!$P104)),7,5)))))</f>
        <v>5</v>
      </c>
      <c r="BI125" s="415">
        <f>IF(ISNUMBER(SEARCH(BI$112,'Reference Score Calculation'!$O104)),10,IF(ISNUMBER(SEARCH(BI$112,'Reference Score Calculation'!$P104)),7,IF(ISNUMBER(SEARCH(BI$112,'Reference Score Calculation'!$Q104)),5,IF(ISNUMBER(SEARCH($AW$104,'Reference Score Calculation'!$O104)),10,IF(ISNUMBER(SEARCH($AW$104,'Reference Score Calculation'!$P104)),7,5)))))</f>
        <v>5</v>
      </c>
      <c r="BJ125" s="415">
        <f>IF(ISNUMBER(SEARCH(BJ$112,'Reference Score Calculation'!$O104)),10,IF(ISNUMBER(SEARCH(BJ$112,'Reference Score Calculation'!$P104)),7,IF(ISNUMBER(SEARCH(BJ$112,'Reference Score Calculation'!$Q104)),5,IF(ISNUMBER(SEARCH($AW$104,'Reference Score Calculation'!$O104)),10,IF(ISNUMBER(SEARCH($AW$104,'Reference Score Calculation'!$P104)),7,5)))))</f>
        <v>5</v>
      </c>
      <c r="BK125" s="415">
        <f>IF(ISNUMBER(SEARCH(BK$112,'Reference Score Calculation'!$O104)),10,IF(ISNUMBER(SEARCH(BK$112,'Reference Score Calculation'!$P104)),7,IF(ISNUMBER(SEARCH(BK$112,'Reference Score Calculation'!$Q104)),5,IF(ISNUMBER(SEARCH($AW$104,'Reference Score Calculation'!$O104)),10,IF(ISNUMBER(SEARCH($AW$104,'Reference Score Calculation'!$P104)),7,5)))))</f>
        <v>5</v>
      </c>
      <c r="BL125" s="415">
        <f>IF(ISNUMBER(SEARCH(BL$112,'Reference Score Calculation'!$O104)),10,IF(ISNUMBER(SEARCH(BL$112,'Reference Score Calculation'!$P104)),7,IF(ISNUMBER(SEARCH(BL$112,'Reference Score Calculation'!$Q104)),5,IF(ISNUMBER(SEARCH($AW$104,'Reference Score Calculation'!$O104)),10,IF(ISNUMBER(SEARCH($AW$104,'Reference Score Calculation'!$P104)),7,5)))))</f>
        <v>7</v>
      </c>
      <c r="BM125" s="415">
        <f>IF(ISNUMBER(SEARCH(BM$112,'Reference Score Calculation'!$O104)),10,IF(ISNUMBER(SEARCH(BM$112,'Reference Score Calculation'!$P104)),7,IF(ISNUMBER(SEARCH(BM$112,'Reference Score Calculation'!$Q104)),5,IF(ISNUMBER(SEARCH($AW$104,'Reference Score Calculation'!$O104)),10,IF(ISNUMBER(SEARCH("組合科學(任何)",'Reference Score Calculation'!$O104)),10,IF(ISNUMBER(SEARCH("組合科學(任何)",'Reference Score Calculation'!$P104)),7,IF(ISNUMBER(SEARCH("組合科學(任何)",'Reference Score Calculation'!$Q104)),5,IF(ISNUMBER(SEARCH($AW$104,'Reference Score Calculation'!$P104)),7,5))))))))</f>
        <v>10</v>
      </c>
      <c r="BN125" s="415">
        <f>IF(ISNUMBER(SEARCH(BN$112,'Reference Score Calculation'!$O104)),10,IF(ISNUMBER(SEARCH(BN$112,'Reference Score Calculation'!$P104)),7,IF(ISNUMBER(SEARCH(BN$112,'Reference Score Calculation'!$Q104)),5,IF(ISNUMBER(SEARCH($AW$104,'Reference Score Calculation'!$O104)),10,IF(ISNUMBER(SEARCH("組合科學(任何)",'Reference Score Calculation'!$O104)),10,IF(ISNUMBER(SEARCH("組合科學(任何)",'Reference Score Calculation'!$P104)),7,IF(ISNUMBER(SEARCH("組合科學(任何)",'Reference Score Calculation'!$Q104)),5,IF(ISNUMBER(SEARCH($AW$104,'Reference Score Calculation'!$P104)),7,5))))))))</f>
        <v>7</v>
      </c>
      <c r="BO125" s="415">
        <f>IF(ISNUMBER(SEARCH(BO$112,'Reference Score Calculation'!$O104)),10,IF(ISNUMBER(SEARCH(BO$112,'Reference Score Calculation'!$P104)),7,IF(ISNUMBER(SEARCH(BO$112,'Reference Score Calculation'!$Q104)),5,IF(ISNUMBER(SEARCH($AW$104,'Reference Score Calculation'!$O104)),10,IF(ISNUMBER(SEARCH("組合科學(任何)",'Reference Score Calculation'!$O104)),10,IF(ISNUMBER(SEARCH("組合科學(任何)",'Reference Score Calculation'!$P104)),7,IF(ISNUMBER(SEARCH("組合科學(任何)",'Reference Score Calculation'!$Q104)),5,IF(ISNUMBER(SEARCH($AW$104,'Reference Score Calculation'!$P104)),7,5))))))))</f>
        <v>7</v>
      </c>
      <c r="BP125" s="415">
        <f>IF(ISNUMBER(SEARCH(BP$112,'Reference Score Calculation'!$O104)),10,IF(ISNUMBER(SEARCH(BP$112,'Reference Score Calculation'!$P104)),7,IF(ISNUMBER(SEARCH(BP$112,'Reference Score Calculation'!$Q104)),5,IF(ISNUMBER(SEARCH($AW$104,'Reference Score Calculation'!$O104)),10,IF(ISNUMBER(SEARCH($AW$104,'Reference Score Calculation'!$P104)),7,5)))))</f>
        <v>5</v>
      </c>
      <c r="BQ125" s="415">
        <f>IF(ISNUMBER(SEARCH(BQ$112,'Reference Score Calculation'!$O104)),10,IF(ISNUMBER(SEARCH(BQ$112,'Reference Score Calculation'!$P104)),7,IF(ISNUMBER(SEARCH(BQ$112,'Reference Score Calculation'!$Q104)),5,IF(ISNUMBER(SEARCH($AW$104,'Reference Score Calculation'!$O104)),10,IF(ISNUMBER(SEARCH($AW$104,'Reference Score Calculation'!$P104)),7,5)))))</f>
        <v>5</v>
      </c>
      <c r="BR125" s="415">
        <f>IF(ISNUMBER(SEARCH(BR$112,'Reference Score Calculation'!$O104)),10,IF(ISNUMBER(SEARCH(BR$112,'Reference Score Calculation'!$P104)),7,IF(ISNUMBER(SEARCH(BR$112,'Reference Score Calculation'!$Q104)),5,IF(ISNUMBER(SEARCH($AW$104,'Reference Score Calculation'!$O104)),10,IF(ISNUMBER(SEARCH($AW$104,'Reference Score Calculation'!$P104)),7,5)))))</f>
        <v>5</v>
      </c>
      <c r="BS125" s="415">
        <f>IF(ISNUMBER(SEARCH(BS$112,'Reference Score Calculation'!$O104)),10,IF(ISNUMBER(SEARCH(BS$112,'Reference Score Calculation'!$P104)),7,IF(ISNUMBER(SEARCH(BS$112,'Reference Score Calculation'!$Q104)),5,IF(ISNUMBER(SEARCH($AW$104,'Reference Score Calculation'!$O104)),10,IF(ISNUMBER(SEARCH($AW$104,'Reference Score Calculation'!$P104)),7,5)))))</f>
        <v>5</v>
      </c>
      <c r="BT125" s="415">
        <f>IF(ISNUMBER(SEARCH(BT$112,'Reference Score Calculation'!$O104)),10,IF(ISNUMBER(SEARCH(BT$112,'Reference Score Calculation'!$P104)),7,IF(ISNUMBER(SEARCH(BT$112,'Reference Score Calculation'!$Q104)),5,IF(ISNUMBER(SEARCH($AW$104,'Reference Score Calculation'!$O104)),10,IF(ISNUMBER(SEARCH($AW$104,'Reference Score Calculation'!$P104)),7,5)))))</f>
        <v>5</v>
      </c>
      <c r="BU125" s="415">
        <f>IF(ISNUMBER(SEARCH(BU$112,'Reference Score Calculation'!$O104)),10,IF(ISNUMBER(SEARCH(BU$112,'Reference Score Calculation'!$P104)),7,IF(ISNUMBER(SEARCH(BU$112,'Reference Score Calculation'!$Q104)),5,IF(ISNUMBER(SEARCH($AW$104,'Reference Score Calculation'!$O104)),10,IF(ISNUMBER(SEARCH($AW$104,'Reference Score Calculation'!$P104)),7,5)))))</f>
        <v>10</v>
      </c>
      <c r="BV125" s="415">
        <f>IF(ISNUMBER(SEARCH(BV$112,'Reference Score Calculation'!$O104)),10,IF(ISNUMBER(SEARCH(BV$112,'Reference Score Calculation'!$P104)),7,IF(ISNUMBER(SEARCH(BV$112,'Reference Score Calculation'!$Q104)),5,IF(ISNUMBER(SEARCH($AW$104,'Reference Score Calculation'!$O104)),10,IF(ISNUMBER(SEARCH($AW$104,'Reference Score Calculation'!$P104)),7,5)))))</f>
        <v>5</v>
      </c>
      <c r="BW125" s="415">
        <f>IF(ISNUMBER(SEARCH(BW$112,'Reference Score Calculation'!$O104)),10,IF(ISNUMBER(SEARCH(BW$112,'Reference Score Calculation'!$P104)),7,IF(ISNUMBER(SEARCH(BW$112,'Reference Score Calculation'!$Q104)),5,IF(ISNUMBER(SEARCH($AW$104,'Reference Score Calculation'!$O104)),10,IF(ISNUMBER(SEARCH($AW$104,'Reference Score Calculation'!$P104)),7,5)))))</f>
        <v>5</v>
      </c>
      <c r="BX125" s="415">
        <f>IF(ISNUMBER(SEARCH(BX$112,'Reference Score Calculation'!$O104)),10,IF(ISNUMBER(SEARCH(BX$112,'Reference Score Calculation'!$P104)),7,IF(ISNUMBER(SEARCH(BX$112,'Reference Score Calculation'!$Q104)),5,IF(ISNUMBER(SEARCH($AW$104,'Reference Score Calculation'!$O104)),10,IF(ISNUMBER(SEARCH($AW$104,'Reference Score Calculation'!$P104)),7,5)))))</f>
        <v>5</v>
      </c>
      <c r="BY125" s="195"/>
      <c r="BZ125" s="195"/>
      <c r="CA125" s="195"/>
    </row>
    <row r="126" spans="1:79">
      <c r="A126" s="119" t="str">
        <f>'Reference Score Calculation'!A103</f>
        <v>JS3130</v>
      </c>
      <c r="B126" s="119" t="str">
        <f>'Reference Score Calculation'!A103</f>
        <v>JS3130</v>
      </c>
      <c r="C126" s="119" t="str">
        <f>'Reference Score Calculation'!D103</f>
        <v>空間數據科學及智慧城市(榮譽)理學士組合課程 (土地測量及地理資訊學)</v>
      </c>
      <c r="D126" s="2" t="e">
        <f>'Reference Score Calculation'!#REF!</f>
        <v>#REF!</v>
      </c>
      <c r="E126" s="134" t="str">
        <f>'Reference Score Calculation'!E103</f>
        <v>Best 5</v>
      </c>
      <c r="F126" s="134"/>
      <c r="G126" s="119" t="str">
        <f>入學要求!AB112</f>
        <v>v</v>
      </c>
      <c r="H126" s="119" t="str">
        <f>入學要求!AC112</f>
        <v>E</v>
      </c>
      <c r="I126" s="119" t="str">
        <f>入學要求!AD112</f>
        <v>NO</v>
      </c>
      <c r="J126" s="119">
        <f t="shared" si="254"/>
        <v>1.7550000000000002E-8</v>
      </c>
      <c r="K126" s="119">
        <f t="shared" si="232"/>
        <v>7</v>
      </c>
      <c r="L126" s="119">
        <f t="shared" si="232"/>
        <v>10</v>
      </c>
      <c r="M126" s="119">
        <f t="shared" si="232"/>
        <v>10</v>
      </c>
      <c r="N126" s="119">
        <v>0</v>
      </c>
      <c r="O126" s="119">
        <f t="shared" ref="O126:S135" si="255">IFERROR(INDEX($AW124:$BX124,MATCH(O$1,$AW$113:$BX$113,0)),0)</f>
        <v>10</v>
      </c>
      <c r="P126" s="119">
        <f t="shared" si="255"/>
        <v>0</v>
      </c>
      <c r="Q126" s="119">
        <f t="shared" si="255"/>
        <v>0</v>
      </c>
      <c r="R126" s="119">
        <f t="shared" si="255"/>
        <v>0</v>
      </c>
      <c r="S126" s="119">
        <f t="shared" si="255"/>
        <v>0</v>
      </c>
      <c r="T126" s="119">
        <v>5</v>
      </c>
      <c r="V126" s="119">
        <f t="shared" si="234"/>
        <v>2.8000000000000003E-9</v>
      </c>
      <c r="W126" s="119">
        <f t="shared" si="235"/>
        <v>2.0000000000000001E-9</v>
      </c>
      <c r="X126" s="119">
        <f t="shared" si="236"/>
        <v>3E-9</v>
      </c>
      <c r="Y126" s="119">
        <f t="shared" si="237"/>
        <v>0</v>
      </c>
      <c r="Z126" s="119">
        <f t="shared" si="238"/>
        <v>5.0000000000000001E-9</v>
      </c>
      <c r="AA126" s="119">
        <f t="shared" si="239"/>
        <v>0</v>
      </c>
      <c r="AB126" s="119">
        <f t="shared" si="240"/>
        <v>0</v>
      </c>
      <c r="AC126" s="119">
        <f t="shared" si="241"/>
        <v>0</v>
      </c>
      <c r="AD126" s="119">
        <f t="shared" si="242"/>
        <v>0</v>
      </c>
      <c r="AE126" s="119">
        <f t="shared" si="243"/>
        <v>4.7500000000000003E-9</v>
      </c>
      <c r="AF126" s="119" t="b">
        <f t="shared" si="244"/>
        <v>1</v>
      </c>
      <c r="AG126" s="119" t="b">
        <f t="shared" si="245"/>
        <v>1</v>
      </c>
      <c r="AH126" s="119" t="b">
        <f t="shared" si="246"/>
        <v>1</v>
      </c>
      <c r="AI126" s="119" t="b">
        <f t="shared" si="247"/>
        <v>0</v>
      </c>
      <c r="AJ126" s="119" t="b">
        <f t="shared" si="248"/>
        <v>1</v>
      </c>
      <c r="AK126" s="119" t="b">
        <f t="shared" si="249"/>
        <v>0</v>
      </c>
      <c r="AL126" s="119" t="b">
        <f t="shared" si="250"/>
        <v>0</v>
      </c>
      <c r="AM126" s="119" t="b">
        <f t="shared" si="251"/>
        <v>0</v>
      </c>
      <c r="AN126" s="119" t="b">
        <f t="shared" si="252"/>
        <v>0</v>
      </c>
      <c r="AO126" s="119" t="b">
        <f t="shared" si="253"/>
        <v>1</v>
      </c>
      <c r="AQ126" s="2"/>
      <c r="AR126" s="2"/>
      <c r="AS126" s="2"/>
      <c r="AT126" s="195"/>
      <c r="AU126" s="195" t="str">
        <f>'Reference Score Calculation'!A105</f>
        <v>JS3150</v>
      </c>
      <c r="AV126" s="195"/>
      <c r="AW126" s="415">
        <f>IF(ISNUMBER(SEARCH(AW$112,'Reference Score Calculation'!$O105)),10,IF(ISNUMBER(SEARCH(AW$112,'Reference Score Calculation'!$P105)),7,IF(ISNUMBER(SEARCH(AW$112,'Reference Score Calculation'!$Q105)),5,IF(ISNUMBER(SEARCH($AW$104,'Reference Score Calculation'!$O105)),10,IF(ISNUMBER(SEARCH($AW$104,'Reference Score Calculation'!$P105)),7,5)))))</f>
        <v>7</v>
      </c>
      <c r="AX126" s="415">
        <f>IF(ISNUMBER(SEARCH(AX$112,'Reference Score Calculation'!$O105)),10,IF(ISNUMBER(SEARCH(AX$112,'Reference Score Calculation'!$P105)),7,IF(ISNUMBER(SEARCH(AX$112,'Reference Score Calculation'!$Q105)),5,IF(ISNUMBER(SEARCH($AW$104,'Reference Score Calculation'!$O105)),10,IF(ISNUMBER(SEARCH($AW$104,'Reference Score Calculation'!$P105)),7,5)))))</f>
        <v>7</v>
      </c>
      <c r="AY126" s="415">
        <f>IF(ISNUMBER(SEARCH(AY$112,'Reference Score Calculation'!$O105)),10,IF(ISNUMBER(SEARCH(AY$112,'Reference Score Calculation'!$P105)),7,IF(ISNUMBER(SEARCH(AY$112,'Reference Score Calculation'!$Q105)),5,IF(ISNUMBER(SEARCH($AW$104,'Reference Score Calculation'!$O105)),10,IF(ISNUMBER(SEARCH($AW$104,'Reference Score Calculation'!$P105)),7,5)))))</f>
        <v>10</v>
      </c>
      <c r="AZ126" s="415">
        <f>IF(ISNUMBER(SEARCH(AZ$112,'Reference Score Calculation'!$O105)),10,IF(ISNUMBER(SEARCH(AZ$112,'Reference Score Calculation'!$P105)),7,IF(ISNUMBER(SEARCH(AZ$112,'Reference Score Calculation'!$Q105)),5,IF(ISNUMBER(SEARCH($AW$104,'Reference Score Calculation'!$O105)),10,IF(ISNUMBER(SEARCH($AW$104,'Reference Score Calculation'!$P105)),7,5)))))</f>
        <v>7</v>
      </c>
      <c r="BA126" s="415">
        <f>IF(ISNUMBER(SEARCH(BA$112,'Reference Score Calculation'!$O105)),10,IF(ISNUMBER(SEARCH(BA$112,'Reference Score Calculation'!$P105)),7,IF(ISNUMBER(SEARCH(BA$112,'Reference Score Calculation'!$Q105)),5,IF(ISNUMBER(SEARCH($AW$104,'Reference Score Calculation'!$O105)),10,IF(ISNUMBER(SEARCH($AW$104,'Reference Score Calculation'!$P105)),7,5)))))</f>
        <v>10</v>
      </c>
      <c r="BB126" s="415">
        <f>IF(ISNUMBER(SEARCH(BB$112,'Reference Score Calculation'!$O105)),10,IF(ISNUMBER(SEARCH(BB$112,'Reference Score Calculation'!$P105)),7,IF(ISNUMBER(SEARCH(BB$112,'Reference Score Calculation'!$Q105)),5,IF(ISNUMBER(SEARCH($AW$104,'Reference Score Calculation'!$O105)),10,IF(ISNUMBER(SEARCH($AW$104,'Reference Score Calculation'!$P105)),7,5)))))</f>
        <v>10</v>
      </c>
      <c r="BC126" s="415">
        <f>IF(ISNUMBER(SEARCH(BC$112,'Reference Score Calculation'!$O105)),10,IF(ISNUMBER(SEARCH(BC$112,'Reference Score Calculation'!$P105)),7,IF(ISNUMBER(SEARCH(BC$112,'Reference Score Calculation'!$Q105)),5,IF(ISNUMBER(SEARCH($AW$104,'Reference Score Calculation'!$O105)),10,IF(ISNUMBER(SEARCH($AW$104,'Reference Score Calculation'!$P105)),7,5)))))</f>
        <v>10</v>
      </c>
      <c r="BD126" s="415">
        <f>IF(ISNUMBER(SEARCH(BD$112,'Reference Score Calculation'!$O105)),10,IF(ISNUMBER(SEARCH(BD$112,'Reference Score Calculation'!$P105)),7,IF(ISNUMBER(SEARCH(BD$112,'Reference Score Calculation'!$Q105)),5,IF(ISNUMBER(SEARCH($AW$104,'Reference Score Calculation'!$O105)),10,IF(ISNUMBER(SEARCH($AW$104,'Reference Score Calculation'!$P105)),7,5)))))</f>
        <v>10</v>
      </c>
      <c r="BE126" s="415">
        <f>IF(ISNUMBER(SEARCH(BE$112,'Reference Score Calculation'!$O105)),10,IF(ISNUMBER(SEARCH(BE$112,'Reference Score Calculation'!$P105)),7,IF(ISNUMBER(SEARCH(BE$112,'Reference Score Calculation'!$Q105)),5,IF(ISNUMBER(SEARCH($AW$104,'Reference Score Calculation'!$O105)),10,IF(ISNUMBER(SEARCH($AW$104,'Reference Score Calculation'!$P105)),7,5)))))</f>
        <v>5</v>
      </c>
      <c r="BF126" s="415">
        <f>IF(ISNUMBER(SEARCH(BF$112,'Reference Score Calculation'!$O105)),10,IF(ISNUMBER(SEARCH(BF$112,'Reference Score Calculation'!$P105)),7,IF(ISNUMBER(SEARCH(BF$112,'Reference Score Calculation'!$Q105)),5,IF(ISNUMBER(SEARCH($AW$104,'Reference Score Calculation'!$O105)),10,IF(ISNUMBER(SEARCH($AW$104,'Reference Score Calculation'!$P105)),7,5)))))</f>
        <v>5</v>
      </c>
      <c r="BG126" s="415">
        <f>IF(ISNUMBER(SEARCH(BG$112,'Reference Score Calculation'!$O105)),10,IF(ISNUMBER(SEARCH(BG$112,'Reference Score Calculation'!$P105)),7,IF(ISNUMBER(SEARCH(BG$112,'Reference Score Calculation'!$Q105)),5,IF(ISNUMBER(SEARCH($AW$104,'Reference Score Calculation'!$O105)),10,IF(ISNUMBER(SEARCH($AW$104,'Reference Score Calculation'!$P105)),7,5)))))</f>
        <v>5</v>
      </c>
      <c r="BH126" s="415">
        <f>IF(ISNUMBER(SEARCH(BH$112,'Reference Score Calculation'!$O105)),10,IF(ISNUMBER(SEARCH(BH$112,'Reference Score Calculation'!$P105)),7,IF(ISNUMBER(SEARCH(BH$112,'Reference Score Calculation'!$Q105)),5,IF(ISNUMBER(SEARCH($AW$104,'Reference Score Calculation'!$O105)),10,IF(ISNUMBER(SEARCH($AW$104,'Reference Score Calculation'!$P105)),7,5)))))</f>
        <v>5</v>
      </c>
      <c r="BI126" s="415">
        <f>IF(ISNUMBER(SEARCH(BI$112,'Reference Score Calculation'!$O105)),10,IF(ISNUMBER(SEARCH(BI$112,'Reference Score Calculation'!$P105)),7,IF(ISNUMBER(SEARCH(BI$112,'Reference Score Calculation'!$Q105)),5,IF(ISNUMBER(SEARCH($AW$104,'Reference Score Calculation'!$O105)),10,IF(ISNUMBER(SEARCH($AW$104,'Reference Score Calculation'!$P105)),7,5)))))</f>
        <v>5</v>
      </c>
      <c r="BJ126" s="415">
        <f>IF(ISNUMBER(SEARCH(BJ$112,'Reference Score Calculation'!$O105)),10,IF(ISNUMBER(SEARCH(BJ$112,'Reference Score Calculation'!$P105)),7,IF(ISNUMBER(SEARCH(BJ$112,'Reference Score Calculation'!$Q105)),5,IF(ISNUMBER(SEARCH($AW$104,'Reference Score Calculation'!$O105)),10,IF(ISNUMBER(SEARCH($AW$104,'Reference Score Calculation'!$P105)),7,5)))))</f>
        <v>5</v>
      </c>
      <c r="BK126" s="415">
        <f>IF(ISNUMBER(SEARCH(BK$112,'Reference Score Calculation'!$O105)),10,IF(ISNUMBER(SEARCH(BK$112,'Reference Score Calculation'!$P105)),7,IF(ISNUMBER(SEARCH(BK$112,'Reference Score Calculation'!$Q105)),5,IF(ISNUMBER(SEARCH($AW$104,'Reference Score Calculation'!$O105)),10,IF(ISNUMBER(SEARCH($AW$104,'Reference Score Calculation'!$P105)),7,5)))))</f>
        <v>5</v>
      </c>
      <c r="BL126" s="415">
        <f>IF(ISNUMBER(SEARCH(BL$112,'Reference Score Calculation'!$O105)),10,IF(ISNUMBER(SEARCH(BL$112,'Reference Score Calculation'!$P105)),7,IF(ISNUMBER(SEARCH(BL$112,'Reference Score Calculation'!$Q105)),5,IF(ISNUMBER(SEARCH($AW$104,'Reference Score Calculation'!$O105)),10,IF(ISNUMBER(SEARCH($AW$104,'Reference Score Calculation'!$P105)),7,5)))))</f>
        <v>5</v>
      </c>
      <c r="BM126" s="415">
        <f>IF(ISNUMBER(SEARCH(BM$112,'Reference Score Calculation'!$O105)),10,IF(ISNUMBER(SEARCH(BM$112,'Reference Score Calculation'!$P105)),7,IF(ISNUMBER(SEARCH(BM$112,'Reference Score Calculation'!$Q105)),5,IF(ISNUMBER(SEARCH($AW$104,'Reference Score Calculation'!$O105)),10,IF(ISNUMBER(SEARCH("組合科學(任何)",'Reference Score Calculation'!$O105)),10,IF(ISNUMBER(SEARCH("組合科學(任何)",'Reference Score Calculation'!$P105)),7,IF(ISNUMBER(SEARCH("組合科學(任何)",'Reference Score Calculation'!$Q105)),5,IF(ISNUMBER(SEARCH($AW$104,'Reference Score Calculation'!$P105)),7,5))))))))</f>
        <v>10</v>
      </c>
      <c r="BN126" s="415">
        <f>IF(ISNUMBER(SEARCH(BN$112,'Reference Score Calculation'!$O105)),10,IF(ISNUMBER(SEARCH(BN$112,'Reference Score Calculation'!$P105)),7,IF(ISNUMBER(SEARCH(BN$112,'Reference Score Calculation'!$Q105)),5,IF(ISNUMBER(SEARCH($AW$104,'Reference Score Calculation'!$O105)),10,IF(ISNUMBER(SEARCH("組合科學(任何)",'Reference Score Calculation'!$O105)),10,IF(ISNUMBER(SEARCH("組合科學(任何)",'Reference Score Calculation'!$P105)),7,IF(ISNUMBER(SEARCH("組合科學(任何)",'Reference Score Calculation'!$Q105)),5,IF(ISNUMBER(SEARCH($AW$104,'Reference Score Calculation'!$P105)),7,5))))))))</f>
        <v>10</v>
      </c>
      <c r="BO126" s="415">
        <f>IF(ISNUMBER(SEARCH(BO$112,'Reference Score Calculation'!$O105)),10,IF(ISNUMBER(SEARCH(BO$112,'Reference Score Calculation'!$P105)),7,IF(ISNUMBER(SEARCH(BO$112,'Reference Score Calculation'!$Q105)),5,IF(ISNUMBER(SEARCH($AW$104,'Reference Score Calculation'!$O105)),10,IF(ISNUMBER(SEARCH("組合科學(任何)",'Reference Score Calculation'!$O105)),10,IF(ISNUMBER(SEARCH("組合科學(任何)",'Reference Score Calculation'!$P105)),7,IF(ISNUMBER(SEARCH("組合科學(任何)",'Reference Score Calculation'!$Q105)),5,IF(ISNUMBER(SEARCH($AW$104,'Reference Score Calculation'!$P105)),7,5))))))))</f>
        <v>10</v>
      </c>
      <c r="BP126" s="415">
        <f>IF(ISNUMBER(SEARCH(BP$112,'Reference Score Calculation'!$O105)),10,IF(ISNUMBER(SEARCH(BP$112,'Reference Score Calculation'!$P105)),7,IF(ISNUMBER(SEARCH(BP$112,'Reference Score Calculation'!$Q105)),5,IF(ISNUMBER(SEARCH($AW$104,'Reference Score Calculation'!$O105)),10,IF(ISNUMBER(SEARCH($AW$104,'Reference Score Calculation'!$P105)),7,5)))))</f>
        <v>5</v>
      </c>
      <c r="BQ126" s="415">
        <f>IF(ISNUMBER(SEARCH(BQ$112,'Reference Score Calculation'!$O105)),10,IF(ISNUMBER(SEARCH(BQ$112,'Reference Score Calculation'!$P105)),7,IF(ISNUMBER(SEARCH(BQ$112,'Reference Score Calculation'!$Q105)),5,IF(ISNUMBER(SEARCH($AW$104,'Reference Score Calculation'!$O105)),10,IF(ISNUMBER(SEARCH($AW$104,'Reference Score Calculation'!$P105)),7,5)))))</f>
        <v>5</v>
      </c>
      <c r="BR126" s="415">
        <f>IF(ISNUMBER(SEARCH(BR$112,'Reference Score Calculation'!$O105)),10,IF(ISNUMBER(SEARCH(BR$112,'Reference Score Calculation'!$P105)),7,IF(ISNUMBER(SEARCH(BR$112,'Reference Score Calculation'!$Q105)),5,IF(ISNUMBER(SEARCH($AW$104,'Reference Score Calculation'!$O105)),10,IF(ISNUMBER(SEARCH($AW$104,'Reference Score Calculation'!$P105)),7,5)))))</f>
        <v>5</v>
      </c>
      <c r="BS126" s="415">
        <f>IF(ISNUMBER(SEARCH(BS$112,'Reference Score Calculation'!$O105)),10,IF(ISNUMBER(SEARCH(BS$112,'Reference Score Calculation'!$P105)),7,IF(ISNUMBER(SEARCH(BS$112,'Reference Score Calculation'!$Q105)),5,IF(ISNUMBER(SEARCH($AW$104,'Reference Score Calculation'!$O105)),10,IF(ISNUMBER(SEARCH($AW$104,'Reference Score Calculation'!$P105)),7,5)))))</f>
        <v>5</v>
      </c>
      <c r="BT126" s="415">
        <f>IF(ISNUMBER(SEARCH(BT$112,'Reference Score Calculation'!$O105)),10,IF(ISNUMBER(SEARCH(BT$112,'Reference Score Calculation'!$P105)),7,IF(ISNUMBER(SEARCH(BT$112,'Reference Score Calculation'!$Q105)),5,IF(ISNUMBER(SEARCH($AW$104,'Reference Score Calculation'!$O105)),10,IF(ISNUMBER(SEARCH($AW$104,'Reference Score Calculation'!$P105)),7,5)))))</f>
        <v>5</v>
      </c>
      <c r="BU126" s="415">
        <f>IF(ISNUMBER(SEARCH(BU$112,'Reference Score Calculation'!$O105)),10,IF(ISNUMBER(SEARCH(BU$112,'Reference Score Calculation'!$P105)),7,IF(ISNUMBER(SEARCH(BU$112,'Reference Score Calculation'!$Q105)),5,IF(ISNUMBER(SEARCH($AW$104,'Reference Score Calculation'!$O105)),10,IF(ISNUMBER(SEARCH($AW$104,'Reference Score Calculation'!$P105)),7,5)))))</f>
        <v>5</v>
      </c>
      <c r="BV126" s="415">
        <f>IF(ISNUMBER(SEARCH(BV$112,'Reference Score Calculation'!$O105)),10,IF(ISNUMBER(SEARCH(BV$112,'Reference Score Calculation'!$P105)),7,IF(ISNUMBER(SEARCH(BV$112,'Reference Score Calculation'!$Q105)),5,IF(ISNUMBER(SEARCH($AW$104,'Reference Score Calculation'!$O105)),10,IF(ISNUMBER(SEARCH($AW$104,'Reference Score Calculation'!$P105)),7,5)))))</f>
        <v>5</v>
      </c>
      <c r="BW126" s="415">
        <f>IF(ISNUMBER(SEARCH(BW$112,'Reference Score Calculation'!$O105)),10,IF(ISNUMBER(SEARCH(BW$112,'Reference Score Calculation'!$P105)),7,IF(ISNUMBER(SEARCH(BW$112,'Reference Score Calculation'!$Q105)),5,IF(ISNUMBER(SEARCH($AW$104,'Reference Score Calculation'!$O105)),10,IF(ISNUMBER(SEARCH($AW$104,'Reference Score Calculation'!$P105)),7,5)))))</f>
        <v>5</v>
      </c>
      <c r="BX126" s="415">
        <f>IF(ISNUMBER(SEARCH(BX$112,'Reference Score Calculation'!$O105)),10,IF(ISNUMBER(SEARCH(BX$112,'Reference Score Calculation'!$P105)),7,IF(ISNUMBER(SEARCH(BX$112,'Reference Score Calculation'!$Q105)),5,IF(ISNUMBER(SEARCH($AW$104,'Reference Score Calculation'!$O105)),10,IF(ISNUMBER(SEARCH($AW$104,'Reference Score Calculation'!$P105)),7,5)))))</f>
        <v>5</v>
      </c>
      <c r="BY126" s="195"/>
      <c r="BZ126" s="195"/>
      <c r="CA126" s="195"/>
    </row>
    <row r="127" spans="1:79">
      <c r="A127" s="119" t="str">
        <f>'Reference Score Calculation'!A104</f>
        <v>JS3140</v>
      </c>
      <c r="B127" s="119" t="str">
        <f>'Reference Score Calculation'!A104</f>
        <v>JS3140</v>
      </c>
      <c r="C127" s="119" t="str">
        <f>'Reference Score Calculation'!D104</f>
        <v>航空工程學(榮譽)工學士組合課程 (航空工程學 / 民航工程學)</v>
      </c>
      <c r="D127" s="2" t="e">
        <f>'Reference Score Calculation'!#REF!</f>
        <v>#REF!</v>
      </c>
      <c r="E127" s="134" t="str">
        <f>'Reference Score Calculation'!E104</f>
        <v>Best 5</v>
      </c>
      <c r="F127" s="134"/>
      <c r="G127" s="119" t="str">
        <f>入學要求!AB113</f>
        <v>v</v>
      </c>
      <c r="H127" s="119" t="str">
        <f>入學要求!AC113</f>
        <v>E</v>
      </c>
      <c r="I127" s="119" t="str">
        <f>入學要求!AD113</f>
        <v>NO</v>
      </c>
      <c r="J127" s="119">
        <f t="shared" si="254"/>
        <v>1.7550000000000002E-8</v>
      </c>
      <c r="K127" s="119">
        <f t="shared" si="232"/>
        <v>7</v>
      </c>
      <c r="L127" s="119">
        <f t="shared" si="232"/>
        <v>10</v>
      </c>
      <c r="M127" s="119">
        <f t="shared" si="232"/>
        <v>10</v>
      </c>
      <c r="N127" s="119">
        <v>0</v>
      </c>
      <c r="O127" s="119">
        <f t="shared" si="255"/>
        <v>10</v>
      </c>
      <c r="P127" s="119">
        <f t="shared" si="255"/>
        <v>0</v>
      </c>
      <c r="Q127" s="119">
        <f t="shared" si="255"/>
        <v>0</v>
      </c>
      <c r="R127" s="119">
        <f t="shared" si="255"/>
        <v>0</v>
      </c>
      <c r="S127" s="119">
        <f t="shared" si="255"/>
        <v>0</v>
      </c>
      <c r="T127" s="119">
        <v>5</v>
      </c>
      <c r="V127" s="119">
        <f t="shared" si="234"/>
        <v>2.8000000000000003E-9</v>
      </c>
      <c r="W127" s="119">
        <f t="shared" si="235"/>
        <v>2.0000000000000001E-9</v>
      </c>
      <c r="X127" s="119">
        <f t="shared" si="236"/>
        <v>3E-9</v>
      </c>
      <c r="Y127" s="119">
        <f t="shared" si="237"/>
        <v>0</v>
      </c>
      <c r="Z127" s="119">
        <f t="shared" si="238"/>
        <v>5.0000000000000001E-9</v>
      </c>
      <c r="AA127" s="119">
        <f t="shared" si="239"/>
        <v>0</v>
      </c>
      <c r="AB127" s="119">
        <f t="shared" si="240"/>
        <v>0</v>
      </c>
      <c r="AC127" s="119">
        <f t="shared" si="241"/>
        <v>0</v>
      </c>
      <c r="AD127" s="119">
        <f t="shared" si="242"/>
        <v>0</v>
      </c>
      <c r="AE127" s="119">
        <f t="shared" si="243"/>
        <v>4.7500000000000003E-9</v>
      </c>
      <c r="AF127" s="119" t="b">
        <f t="shared" si="244"/>
        <v>1</v>
      </c>
      <c r="AG127" s="119" t="b">
        <f t="shared" si="245"/>
        <v>1</v>
      </c>
      <c r="AH127" s="119" t="b">
        <f t="shared" si="246"/>
        <v>1</v>
      </c>
      <c r="AI127" s="119" t="b">
        <f t="shared" si="247"/>
        <v>0</v>
      </c>
      <c r="AJ127" s="119" t="b">
        <f t="shared" si="248"/>
        <v>1</v>
      </c>
      <c r="AK127" s="119" t="b">
        <f t="shared" si="249"/>
        <v>0</v>
      </c>
      <c r="AL127" s="119" t="b">
        <f t="shared" si="250"/>
        <v>0</v>
      </c>
      <c r="AM127" s="119" t="b">
        <f t="shared" si="251"/>
        <v>0</v>
      </c>
      <c r="AN127" s="119" t="b">
        <f t="shared" si="252"/>
        <v>0</v>
      </c>
      <c r="AO127" s="119" t="b">
        <f t="shared" si="253"/>
        <v>1</v>
      </c>
      <c r="AQ127" s="2"/>
      <c r="AR127" s="2"/>
      <c r="AS127" s="2"/>
      <c r="AT127" s="195"/>
      <c r="AU127" s="195" t="str">
        <f>'Reference Score Calculation'!A106</f>
        <v>JS3170</v>
      </c>
      <c r="AV127" s="195"/>
      <c r="AW127" s="415">
        <f>IF(ISNUMBER(SEARCH(AW$112,'Reference Score Calculation'!$O106)),10,IF(ISNUMBER(SEARCH(AW$112,'Reference Score Calculation'!$P106)),7,IF(ISNUMBER(SEARCH(AW$112,'Reference Score Calculation'!$Q106)),5,IF(ISNUMBER(SEARCH($AW$104,'Reference Score Calculation'!$O106)),10,IF(ISNUMBER(SEARCH($AW$104,'Reference Score Calculation'!$P106)),7,5)))))</f>
        <v>7</v>
      </c>
      <c r="AX127" s="415">
        <f>IF(ISNUMBER(SEARCH(AX$112,'Reference Score Calculation'!$O106)),10,IF(ISNUMBER(SEARCH(AX$112,'Reference Score Calculation'!$P106)),7,IF(ISNUMBER(SEARCH(AX$112,'Reference Score Calculation'!$Q106)),5,IF(ISNUMBER(SEARCH($AW$104,'Reference Score Calculation'!$O106)),10,IF(ISNUMBER(SEARCH($AW$104,'Reference Score Calculation'!$P106)),7,5)))))</f>
        <v>10</v>
      </c>
      <c r="AY127" s="415">
        <f>IF(ISNUMBER(SEARCH(AY$112,'Reference Score Calculation'!$O106)),10,IF(ISNUMBER(SEARCH(AY$112,'Reference Score Calculation'!$P106)),7,IF(ISNUMBER(SEARCH(AY$112,'Reference Score Calculation'!$Q106)),5,IF(ISNUMBER(SEARCH($AW$104,'Reference Score Calculation'!$O106)),10,IF(ISNUMBER(SEARCH($AW$104,'Reference Score Calculation'!$P106)),7,5)))))</f>
        <v>10</v>
      </c>
      <c r="AZ127" s="415">
        <f>IF(ISNUMBER(SEARCH(AZ$112,'Reference Score Calculation'!$O106)),10,IF(ISNUMBER(SEARCH(AZ$112,'Reference Score Calculation'!$P106)),7,IF(ISNUMBER(SEARCH(AZ$112,'Reference Score Calculation'!$Q106)),5,IF(ISNUMBER(SEARCH($AW$104,'Reference Score Calculation'!$O106)),10,IF(ISNUMBER(SEARCH($AW$104,'Reference Score Calculation'!$P106)),7,5)))))</f>
        <v>7</v>
      </c>
      <c r="BA127" s="415">
        <f>IF(ISNUMBER(SEARCH(BA$112,'Reference Score Calculation'!$O106)),10,IF(ISNUMBER(SEARCH(BA$112,'Reference Score Calculation'!$P106)),7,IF(ISNUMBER(SEARCH(BA$112,'Reference Score Calculation'!$Q106)),5,IF(ISNUMBER(SEARCH($AW$104,'Reference Score Calculation'!$O106)),10,IF(ISNUMBER(SEARCH($AW$104,'Reference Score Calculation'!$P106)),7,5)))))</f>
        <v>10</v>
      </c>
      <c r="BB127" s="415">
        <f>IF(ISNUMBER(SEARCH(BB$112,'Reference Score Calculation'!$O106)),10,IF(ISNUMBER(SEARCH(BB$112,'Reference Score Calculation'!$P106)),7,IF(ISNUMBER(SEARCH(BB$112,'Reference Score Calculation'!$Q106)),5,IF(ISNUMBER(SEARCH($AW$104,'Reference Score Calculation'!$O106)),10,IF(ISNUMBER(SEARCH($AW$104,'Reference Score Calculation'!$P106)),7,5)))))</f>
        <v>10</v>
      </c>
      <c r="BC127" s="415">
        <f>IF(ISNUMBER(SEARCH(BC$112,'Reference Score Calculation'!$O106)),10,IF(ISNUMBER(SEARCH(BC$112,'Reference Score Calculation'!$P106)),7,IF(ISNUMBER(SEARCH(BC$112,'Reference Score Calculation'!$Q106)),5,IF(ISNUMBER(SEARCH($AW$104,'Reference Score Calculation'!$O106)),10,IF(ISNUMBER(SEARCH($AW$104,'Reference Score Calculation'!$P106)),7,5)))))</f>
        <v>10</v>
      </c>
      <c r="BD127" s="415">
        <f>IF(ISNUMBER(SEARCH(BD$112,'Reference Score Calculation'!$O106)),10,IF(ISNUMBER(SEARCH(BD$112,'Reference Score Calculation'!$P106)),7,IF(ISNUMBER(SEARCH(BD$112,'Reference Score Calculation'!$Q106)),5,IF(ISNUMBER(SEARCH($AW$104,'Reference Score Calculation'!$O106)),10,IF(ISNUMBER(SEARCH($AW$104,'Reference Score Calculation'!$P106)),7,5)))))</f>
        <v>10</v>
      </c>
      <c r="BE127" s="415">
        <f>IF(ISNUMBER(SEARCH(BE$112,'Reference Score Calculation'!$O106)),10,IF(ISNUMBER(SEARCH(BE$112,'Reference Score Calculation'!$P106)),7,IF(ISNUMBER(SEARCH(BE$112,'Reference Score Calculation'!$Q106)),5,IF(ISNUMBER(SEARCH($AW$104,'Reference Score Calculation'!$O106)),10,IF(ISNUMBER(SEARCH($AW$104,'Reference Score Calculation'!$P106)),7,5)))))</f>
        <v>7</v>
      </c>
      <c r="BF127" s="415">
        <f>IF(ISNUMBER(SEARCH(BF$112,'Reference Score Calculation'!$O106)),10,IF(ISNUMBER(SEARCH(BF$112,'Reference Score Calculation'!$P106)),7,IF(ISNUMBER(SEARCH(BF$112,'Reference Score Calculation'!$Q106)),5,IF(ISNUMBER(SEARCH($AW$104,'Reference Score Calculation'!$O106)),10,IF(ISNUMBER(SEARCH($AW$104,'Reference Score Calculation'!$P106)),7,5)))))</f>
        <v>5</v>
      </c>
      <c r="BG127" s="415">
        <f>IF(ISNUMBER(SEARCH(BG$112,'Reference Score Calculation'!$O106)),10,IF(ISNUMBER(SEARCH(BG$112,'Reference Score Calculation'!$P106)),7,IF(ISNUMBER(SEARCH(BG$112,'Reference Score Calculation'!$Q106)),5,IF(ISNUMBER(SEARCH($AW$104,'Reference Score Calculation'!$O106)),10,IF(ISNUMBER(SEARCH($AW$104,'Reference Score Calculation'!$P106)),7,5)))))</f>
        <v>5</v>
      </c>
      <c r="BH127" s="415">
        <f>IF(ISNUMBER(SEARCH(BH$112,'Reference Score Calculation'!$O106)),10,IF(ISNUMBER(SEARCH(BH$112,'Reference Score Calculation'!$P106)),7,IF(ISNUMBER(SEARCH(BH$112,'Reference Score Calculation'!$Q106)),5,IF(ISNUMBER(SEARCH($AW$104,'Reference Score Calculation'!$O106)),10,IF(ISNUMBER(SEARCH($AW$104,'Reference Score Calculation'!$P106)),7,5)))))</f>
        <v>5</v>
      </c>
      <c r="BI127" s="415">
        <f>IF(ISNUMBER(SEARCH(BI$112,'Reference Score Calculation'!$O106)),10,IF(ISNUMBER(SEARCH(BI$112,'Reference Score Calculation'!$P106)),7,IF(ISNUMBER(SEARCH(BI$112,'Reference Score Calculation'!$Q106)),5,IF(ISNUMBER(SEARCH($AW$104,'Reference Score Calculation'!$O106)),10,IF(ISNUMBER(SEARCH($AW$104,'Reference Score Calculation'!$P106)),7,5)))))</f>
        <v>5</v>
      </c>
      <c r="BJ127" s="415">
        <f>IF(ISNUMBER(SEARCH(BJ$112,'Reference Score Calculation'!$O106)),10,IF(ISNUMBER(SEARCH(BJ$112,'Reference Score Calculation'!$P106)),7,IF(ISNUMBER(SEARCH(BJ$112,'Reference Score Calculation'!$Q106)),5,IF(ISNUMBER(SEARCH($AW$104,'Reference Score Calculation'!$O106)),10,IF(ISNUMBER(SEARCH($AW$104,'Reference Score Calculation'!$P106)),7,5)))))</f>
        <v>5</v>
      </c>
      <c r="BK127" s="415">
        <f>IF(ISNUMBER(SEARCH(BK$112,'Reference Score Calculation'!$O106)),10,IF(ISNUMBER(SEARCH(BK$112,'Reference Score Calculation'!$P106)),7,IF(ISNUMBER(SEARCH(BK$112,'Reference Score Calculation'!$Q106)),5,IF(ISNUMBER(SEARCH($AW$104,'Reference Score Calculation'!$O106)),10,IF(ISNUMBER(SEARCH($AW$104,'Reference Score Calculation'!$P106)),7,5)))))</f>
        <v>5</v>
      </c>
      <c r="BL127" s="415">
        <f>IF(ISNUMBER(SEARCH(BL$112,'Reference Score Calculation'!$O106)),10,IF(ISNUMBER(SEARCH(BL$112,'Reference Score Calculation'!$P106)),7,IF(ISNUMBER(SEARCH(BL$112,'Reference Score Calculation'!$Q106)),5,IF(ISNUMBER(SEARCH($AW$104,'Reference Score Calculation'!$O106)),10,IF(ISNUMBER(SEARCH($AW$104,'Reference Score Calculation'!$P106)),7,5)))))</f>
        <v>5</v>
      </c>
      <c r="BM127" s="415">
        <f>IF(ISNUMBER(SEARCH(BM$112,'Reference Score Calculation'!$O106)),10,IF(ISNUMBER(SEARCH(BM$112,'Reference Score Calculation'!$P106)),7,IF(ISNUMBER(SEARCH(BM$112,'Reference Score Calculation'!$Q106)),5,IF(ISNUMBER(SEARCH($AW$104,'Reference Score Calculation'!$O106)),10,IF(ISNUMBER(SEARCH("組合科學(任何)",'Reference Score Calculation'!$O106)),10,IF(ISNUMBER(SEARCH("組合科學(任何)",'Reference Score Calculation'!$P106)),7,IF(ISNUMBER(SEARCH("組合科學(任何)",'Reference Score Calculation'!$Q106)),5,IF(ISNUMBER(SEARCH($AW$104,'Reference Score Calculation'!$P106)),7,5))))))))</f>
        <v>10</v>
      </c>
      <c r="BN127" s="415">
        <f>IF(ISNUMBER(SEARCH(BN$112,'Reference Score Calculation'!$O106)),10,IF(ISNUMBER(SEARCH(BN$112,'Reference Score Calculation'!$P106)),7,IF(ISNUMBER(SEARCH(BN$112,'Reference Score Calculation'!$Q106)),5,IF(ISNUMBER(SEARCH($AW$104,'Reference Score Calculation'!$O106)),10,IF(ISNUMBER(SEARCH("組合科學(任何)",'Reference Score Calculation'!$O106)),10,IF(ISNUMBER(SEARCH("組合科學(任何)",'Reference Score Calculation'!$P106)),7,IF(ISNUMBER(SEARCH("組合科學(任何)",'Reference Score Calculation'!$Q106)),5,IF(ISNUMBER(SEARCH($AW$104,'Reference Score Calculation'!$P106)),7,5))))))))</f>
        <v>10</v>
      </c>
      <c r="BO127" s="415">
        <f>IF(ISNUMBER(SEARCH(BO$112,'Reference Score Calculation'!$O106)),10,IF(ISNUMBER(SEARCH(BO$112,'Reference Score Calculation'!$P106)),7,IF(ISNUMBER(SEARCH(BO$112,'Reference Score Calculation'!$Q106)),5,IF(ISNUMBER(SEARCH($AW$104,'Reference Score Calculation'!$O106)),10,IF(ISNUMBER(SEARCH("組合科學(任何)",'Reference Score Calculation'!$O106)),10,IF(ISNUMBER(SEARCH("組合科學(任何)",'Reference Score Calculation'!$P106)),7,IF(ISNUMBER(SEARCH("組合科學(任何)",'Reference Score Calculation'!$Q106)),5,IF(ISNUMBER(SEARCH($AW$104,'Reference Score Calculation'!$P106)),7,5))))))))</f>
        <v>10</v>
      </c>
      <c r="BP127" s="415">
        <f>IF(ISNUMBER(SEARCH(BP$112,'Reference Score Calculation'!$O106)),10,IF(ISNUMBER(SEARCH(BP$112,'Reference Score Calculation'!$P106)),7,IF(ISNUMBER(SEARCH(BP$112,'Reference Score Calculation'!$Q106)),5,IF(ISNUMBER(SEARCH($AW$104,'Reference Score Calculation'!$O106)),10,IF(ISNUMBER(SEARCH($AW$104,'Reference Score Calculation'!$P106)),7,5)))))</f>
        <v>7</v>
      </c>
      <c r="BQ127" s="415">
        <f>IF(ISNUMBER(SEARCH(BQ$112,'Reference Score Calculation'!$O106)),10,IF(ISNUMBER(SEARCH(BQ$112,'Reference Score Calculation'!$P106)),7,IF(ISNUMBER(SEARCH(BQ$112,'Reference Score Calculation'!$Q106)),5,IF(ISNUMBER(SEARCH($AW$104,'Reference Score Calculation'!$O106)),10,IF(ISNUMBER(SEARCH($AW$104,'Reference Score Calculation'!$P106)),7,5)))))</f>
        <v>7</v>
      </c>
      <c r="BR127" s="415">
        <f>IF(ISNUMBER(SEARCH(BR$112,'Reference Score Calculation'!$O106)),10,IF(ISNUMBER(SEARCH(BR$112,'Reference Score Calculation'!$P106)),7,IF(ISNUMBER(SEARCH(BR$112,'Reference Score Calculation'!$Q106)),5,IF(ISNUMBER(SEARCH($AW$104,'Reference Score Calculation'!$O106)),10,IF(ISNUMBER(SEARCH($AW$104,'Reference Score Calculation'!$P106)),7,5)))))</f>
        <v>5</v>
      </c>
      <c r="BS127" s="415">
        <f>IF(ISNUMBER(SEARCH(BS$112,'Reference Score Calculation'!$O106)),10,IF(ISNUMBER(SEARCH(BS$112,'Reference Score Calculation'!$P106)),7,IF(ISNUMBER(SEARCH(BS$112,'Reference Score Calculation'!$Q106)),5,IF(ISNUMBER(SEARCH($AW$104,'Reference Score Calculation'!$O106)),10,IF(ISNUMBER(SEARCH($AW$104,'Reference Score Calculation'!$P106)),7,5)))))</f>
        <v>5</v>
      </c>
      <c r="BT127" s="415">
        <f>IF(ISNUMBER(SEARCH(BT$112,'Reference Score Calculation'!$O106)),10,IF(ISNUMBER(SEARCH(BT$112,'Reference Score Calculation'!$P106)),7,IF(ISNUMBER(SEARCH(BT$112,'Reference Score Calculation'!$Q106)),5,IF(ISNUMBER(SEARCH($AW$104,'Reference Score Calculation'!$O106)),10,IF(ISNUMBER(SEARCH($AW$104,'Reference Score Calculation'!$P106)),7,5)))))</f>
        <v>5</v>
      </c>
      <c r="BU127" s="415">
        <f>IF(ISNUMBER(SEARCH(BU$112,'Reference Score Calculation'!$O106)),10,IF(ISNUMBER(SEARCH(BU$112,'Reference Score Calculation'!$P106)),7,IF(ISNUMBER(SEARCH(BU$112,'Reference Score Calculation'!$Q106)),5,IF(ISNUMBER(SEARCH($AW$104,'Reference Score Calculation'!$O106)),10,IF(ISNUMBER(SEARCH($AW$104,'Reference Score Calculation'!$P106)),7,5)))))</f>
        <v>10</v>
      </c>
      <c r="BV127" s="415">
        <f>IF(ISNUMBER(SEARCH(BV$112,'Reference Score Calculation'!$O106)),10,IF(ISNUMBER(SEARCH(BV$112,'Reference Score Calculation'!$P106)),7,IF(ISNUMBER(SEARCH(BV$112,'Reference Score Calculation'!$Q106)),5,IF(ISNUMBER(SEARCH($AW$104,'Reference Score Calculation'!$O106)),10,IF(ISNUMBER(SEARCH($AW$104,'Reference Score Calculation'!$P106)),7,5)))))</f>
        <v>7</v>
      </c>
      <c r="BW127" s="415">
        <f>IF(ISNUMBER(SEARCH(BW$112,'Reference Score Calculation'!$O106)),10,IF(ISNUMBER(SEARCH(BW$112,'Reference Score Calculation'!$P106)),7,IF(ISNUMBER(SEARCH(BW$112,'Reference Score Calculation'!$Q106)),5,IF(ISNUMBER(SEARCH($AW$104,'Reference Score Calculation'!$O106)),10,IF(ISNUMBER(SEARCH($AW$104,'Reference Score Calculation'!$P106)),7,5)))))</f>
        <v>5</v>
      </c>
      <c r="BX127" s="415">
        <f>IF(ISNUMBER(SEARCH(BX$112,'Reference Score Calculation'!$O106)),10,IF(ISNUMBER(SEARCH(BX$112,'Reference Score Calculation'!$P106)),7,IF(ISNUMBER(SEARCH(BX$112,'Reference Score Calculation'!$Q106)),5,IF(ISNUMBER(SEARCH($AW$104,'Reference Score Calculation'!$O106)),10,IF(ISNUMBER(SEARCH($AW$104,'Reference Score Calculation'!$P106)),7,5)))))</f>
        <v>7</v>
      </c>
      <c r="BY127" s="195"/>
      <c r="BZ127" s="195"/>
      <c r="CA127" s="195"/>
    </row>
    <row r="128" spans="1:79">
      <c r="A128" s="119" t="str">
        <f>'Reference Score Calculation'!A105</f>
        <v>JS3150</v>
      </c>
      <c r="B128" s="119" t="str">
        <f>'Reference Score Calculation'!A105</f>
        <v>JS3150</v>
      </c>
      <c r="C128" s="119" t="str">
        <f>'Reference Score Calculation'!D105</f>
        <v>生物醫學工程(榮譽)理學士組合課程</v>
      </c>
      <c r="D128" s="2" t="e">
        <f>'Reference Score Calculation'!#REF!</f>
        <v>#REF!</v>
      </c>
      <c r="E128" s="134" t="str">
        <f>'Reference Score Calculation'!E105</f>
        <v>Best 5</v>
      </c>
      <c r="F128" s="134"/>
      <c r="G128" s="119" t="str">
        <f>入學要求!AB114</f>
        <v>v</v>
      </c>
      <c r="H128" s="119" t="str">
        <f>入學要求!AC114</f>
        <v>E</v>
      </c>
      <c r="I128" s="119" t="str">
        <f>入學要求!AD114</f>
        <v>NO</v>
      </c>
      <c r="J128" s="119">
        <f t="shared" si="254"/>
        <v>1.695E-8</v>
      </c>
      <c r="K128" s="119">
        <f t="shared" si="232"/>
        <v>7</v>
      </c>
      <c r="L128" s="119">
        <f t="shared" si="232"/>
        <v>7</v>
      </c>
      <c r="M128" s="119">
        <f t="shared" si="232"/>
        <v>10</v>
      </c>
      <c r="N128" s="119">
        <v>0</v>
      </c>
      <c r="O128" s="119">
        <f t="shared" si="255"/>
        <v>10</v>
      </c>
      <c r="P128" s="119">
        <f t="shared" si="255"/>
        <v>0</v>
      </c>
      <c r="Q128" s="119">
        <f t="shared" si="255"/>
        <v>0</v>
      </c>
      <c r="R128" s="119">
        <f t="shared" si="255"/>
        <v>0</v>
      </c>
      <c r="S128" s="119">
        <f t="shared" si="255"/>
        <v>0</v>
      </c>
      <c r="T128" s="119">
        <v>5</v>
      </c>
      <c r="V128" s="119">
        <f t="shared" si="234"/>
        <v>2.8000000000000003E-9</v>
      </c>
      <c r="W128" s="119">
        <f t="shared" si="235"/>
        <v>1.4000000000000001E-9</v>
      </c>
      <c r="X128" s="119">
        <f t="shared" si="236"/>
        <v>3E-9</v>
      </c>
      <c r="Y128" s="119">
        <f t="shared" si="237"/>
        <v>0</v>
      </c>
      <c r="Z128" s="119">
        <f t="shared" si="238"/>
        <v>5.0000000000000001E-9</v>
      </c>
      <c r="AA128" s="119">
        <f t="shared" si="239"/>
        <v>0</v>
      </c>
      <c r="AB128" s="119">
        <f t="shared" si="240"/>
        <v>0</v>
      </c>
      <c r="AC128" s="119">
        <f t="shared" si="241"/>
        <v>0</v>
      </c>
      <c r="AD128" s="119">
        <f t="shared" si="242"/>
        <v>0</v>
      </c>
      <c r="AE128" s="119">
        <f t="shared" si="243"/>
        <v>4.7500000000000003E-9</v>
      </c>
      <c r="AF128" s="119" t="b">
        <f t="shared" si="244"/>
        <v>1</v>
      </c>
      <c r="AG128" s="119" t="b">
        <f t="shared" si="245"/>
        <v>1</v>
      </c>
      <c r="AH128" s="119" t="b">
        <f t="shared" si="246"/>
        <v>1</v>
      </c>
      <c r="AI128" s="119" t="b">
        <f t="shared" si="247"/>
        <v>0</v>
      </c>
      <c r="AJ128" s="119" t="b">
        <f t="shared" si="248"/>
        <v>1</v>
      </c>
      <c r="AK128" s="119" t="b">
        <f t="shared" si="249"/>
        <v>0</v>
      </c>
      <c r="AL128" s="119" t="b">
        <f t="shared" si="250"/>
        <v>0</v>
      </c>
      <c r="AM128" s="119" t="b">
        <f t="shared" si="251"/>
        <v>0</v>
      </c>
      <c r="AN128" s="119" t="b">
        <f t="shared" si="252"/>
        <v>0</v>
      </c>
      <c r="AO128" s="119" t="b">
        <f t="shared" si="253"/>
        <v>1</v>
      </c>
      <c r="AQ128" s="2"/>
      <c r="AR128" s="2"/>
      <c r="AS128" s="2"/>
      <c r="AT128" s="195"/>
      <c r="AU128" s="195" t="str">
        <f>'Reference Score Calculation'!A107</f>
        <v>JS3180</v>
      </c>
      <c r="AV128" s="195"/>
      <c r="AW128" s="415">
        <f>IF(ISNUMBER(SEARCH(AW$112,'Reference Score Calculation'!$O107)),10,IF(ISNUMBER(SEARCH(AW$112,'Reference Score Calculation'!$P107)),7,IF(ISNUMBER(SEARCH(AW$112,'Reference Score Calculation'!$Q107)),5,IF(ISNUMBER(SEARCH($AW$104,'Reference Score Calculation'!$O107)),10,IF(ISNUMBER(SEARCH($AW$104,'Reference Score Calculation'!$P107)),7,5)))))</f>
        <v>7</v>
      </c>
      <c r="AX128" s="415">
        <f>IF(ISNUMBER(SEARCH(AX$112,'Reference Score Calculation'!$O107)),10,IF(ISNUMBER(SEARCH(AX$112,'Reference Score Calculation'!$P107)),7,IF(ISNUMBER(SEARCH(AX$112,'Reference Score Calculation'!$Q107)),5,IF(ISNUMBER(SEARCH($AW$104,'Reference Score Calculation'!$O107)),10,IF(ISNUMBER(SEARCH($AW$104,'Reference Score Calculation'!$P107)),7,5)))))</f>
        <v>10</v>
      </c>
      <c r="AY128" s="415">
        <f>IF(ISNUMBER(SEARCH(AY$112,'Reference Score Calculation'!$O107)),10,IF(ISNUMBER(SEARCH(AY$112,'Reference Score Calculation'!$P107)),7,IF(ISNUMBER(SEARCH(AY$112,'Reference Score Calculation'!$Q107)),5,IF(ISNUMBER(SEARCH($AW$104,'Reference Score Calculation'!$O107)),10,IF(ISNUMBER(SEARCH($AW$104,'Reference Score Calculation'!$P107)),7,5)))))</f>
        <v>10</v>
      </c>
      <c r="AZ128" s="415">
        <f>IF(ISNUMBER(SEARCH(AZ$112,'Reference Score Calculation'!$O107)),10,IF(ISNUMBER(SEARCH(AZ$112,'Reference Score Calculation'!$P107)),7,IF(ISNUMBER(SEARCH(AZ$112,'Reference Score Calculation'!$Q107)),5,IF(ISNUMBER(SEARCH($AW$104,'Reference Score Calculation'!$O107)),10,IF(ISNUMBER(SEARCH($AW$104,'Reference Score Calculation'!$P107)),7,5)))))</f>
        <v>7</v>
      </c>
      <c r="BA128" s="415">
        <f>IF(ISNUMBER(SEARCH(BA$112,'Reference Score Calculation'!$O107)),10,IF(ISNUMBER(SEARCH(BA$112,'Reference Score Calculation'!$P107)),7,IF(ISNUMBER(SEARCH(BA$112,'Reference Score Calculation'!$Q107)),5,IF(ISNUMBER(SEARCH($AW$104,'Reference Score Calculation'!$O107)),10,IF(ISNUMBER(SEARCH($AW$104,'Reference Score Calculation'!$P107)),7,5)))))</f>
        <v>10</v>
      </c>
      <c r="BB128" s="415">
        <f>IF(ISNUMBER(SEARCH(BB$112,'Reference Score Calculation'!$O107)),10,IF(ISNUMBER(SEARCH(BB$112,'Reference Score Calculation'!$P107)),7,IF(ISNUMBER(SEARCH(BB$112,'Reference Score Calculation'!$Q107)),5,IF(ISNUMBER(SEARCH($AW$104,'Reference Score Calculation'!$O107)),10,IF(ISNUMBER(SEARCH($AW$104,'Reference Score Calculation'!$P107)),7,5)))))</f>
        <v>10</v>
      </c>
      <c r="BC128" s="415">
        <f>IF(ISNUMBER(SEARCH(BC$112,'Reference Score Calculation'!$O107)),10,IF(ISNUMBER(SEARCH(BC$112,'Reference Score Calculation'!$P107)),7,IF(ISNUMBER(SEARCH(BC$112,'Reference Score Calculation'!$Q107)),5,IF(ISNUMBER(SEARCH($AW$104,'Reference Score Calculation'!$O107)),10,IF(ISNUMBER(SEARCH($AW$104,'Reference Score Calculation'!$P107)),7,5)))))</f>
        <v>10</v>
      </c>
      <c r="BD128" s="415">
        <f>IF(ISNUMBER(SEARCH(BD$112,'Reference Score Calculation'!$O107)),10,IF(ISNUMBER(SEARCH(BD$112,'Reference Score Calculation'!$P107)),7,IF(ISNUMBER(SEARCH(BD$112,'Reference Score Calculation'!$Q107)),5,IF(ISNUMBER(SEARCH($AW$104,'Reference Score Calculation'!$O107)),10,IF(ISNUMBER(SEARCH($AW$104,'Reference Score Calculation'!$P107)),7,5)))))</f>
        <v>10</v>
      </c>
      <c r="BE128" s="415">
        <f>IF(ISNUMBER(SEARCH(BE$112,'Reference Score Calculation'!$O107)),10,IF(ISNUMBER(SEARCH(BE$112,'Reference Score Calculation'!$P107)),7,IF(ISNUMBER(SEARCH(BE$112,'Reference Score Calculation'!$Q107)),5,IF(ISNUMBER(SEARCH($AW$104,'Reference Score Calculation'!$O107)),10,IF(ISNUMBER(SEARCH($AW$104,'Reference Score Calculation'!$P107)),7,5)))))</f>
        <v>5</v>
      </c>
      <c r="BF128" s="415">
        <f>IF(ISNUMBER(SEARCH(BF$112,'Reference Score Calculation'!$O107)),10,IF(ISNUMBER(SEARCH(BF$112,'Reference Score Calculation'!$P107)),7,IF(ISNUMBER(SEARCH(BF$112,'Reference Score Calculation'!$Q107)),5,IF(ISNUMBER(SEARCH($AW$104,'Reference Score Calculation'!$O107)),10,IF(ISNUMBER(SEARCH($AW$104,'Reference Score Calculation'!$P107)),7,5)))))</f>
        <v>5</v>
      </c>
      <c r="BG128" s="415">
        <f>IF(ISNUMBER(SEARCH(BG$112,'Reference Score Calculation'!$O107)),10,IF(ISNUMBER(SEARCH(BG$112,'Reference Score Calculation'!$P107)),7,IF(ISNUMBER(SEARCH(BG$112,'Reference Score Calculation'!$Q107)),5,IF(ISNUMBER(SEARCH($AW$104,'Reference Score Calculation'!$O107)),10,IF(ISNUMBER(SEARCH($AW$104,'Reference Score Calculation'!$P107)),7,5)))))</f>
        <v>5</v>
      </c>
      <c r="BH128" s="415">
        <f>IF(ISNUMBER(SEARCH(BH$112,'Reference Score Calculation'!$O107)),10,IF(ISNUMBER(SEARCH(BH$112,'Reference Score Calculation'!$P107)),7,IF(ISNUMBER(SEARCH(BH$112,'Reference Score Calculation'!$Q107)),5,IF(ISNUMBER(SEARCH($AW$104,'Reference Score Calculation'!$O107)),10,IF(ISNUMBER(SEARCH($AW$104,'Reference Score Calculation'!$P107)),7,5)))))</f>
        <v>5</v>
      </c>
      <c r="BI128" s="415">
        <f>IF(ISNUMBER(SEARCH(BI$112,'Reference Score Calculation'!$O107)),10,IF(ISNUMBER(SEARCH(BI$112,'Reference Score Calculation'!$P107)),7,IF(ISNUMBER(SEARCH(BI$112,'Reference Score Calculation'!$Q107)),5,IF(ISNUMBER(SEARCH($AW$104,'Reference Score Calculation'!$O107)),10,IF(ISNUMBER(SEARCH($AW$104,'Reference Score Calculation'!$P107)),7,5)))))</f>
        <v>5</v>
      </c>
      <c r="BJ128" s="415">
        <f>IF(ISNUMBER(SEARCH(BJ$112,'Reference Score Calculation'!$O107)),10,IF(ISNUMBER(SEARCH(BJ$112,'Reference Score Calculation'!$P107)),7,IF(ISNUMBER(SEARCH(BJ$112,'Reference Score Calculation'!$Q107)),5,IF(ISNUMBER(SEARCH($AW$104,'Reference Score Calculation'!$O107)),10,IF(ISNUMBER(SEARCH($AW$104,'Reference Score Calculation'!$P107)),7,5)))))</f>
        <v>5</v>
      </c>
      <c r="BK128" s="415">
        <f>IF(ISNUMBER(SEARCH(BK$112,'Reference Score Calculation'!$O107)),10,IF(ISNUMBER(SEARCH(BK$112,'Reference Score Calculation'!$P107)),7,IF(ISNUMBER(SEARCH(BK$112,'Reference Score Calculation'!$Q107)),5,IF(ISNUMBER(SEARCH($AW$104,'Reference Score Calculation'!$O107)),10,IF(ISNUMBER(SEARCH($AW$104,'Reference Score Calculation'!$P107)),7,5)))))</f>
        <v>5</v>
      </c>
      <c r="BL128" s="415">
        <f>IF(ISNUMBER(SEARCH(BL$112,'Reference Score Calculation'!$O107)),10,IF(ISNUMBER(SEARCH(BL$112,'Reference Score Calculation'!$P107)),7,IF(ISNUMBER(SEARCH(BL$112,'Reference Score Calculation'!$Q107)),5,IF(ISNUMBER(SEARCH($AW$104,'Reference Score Calculation'!$O107)),10,IF(ISNUMBER(SEARCH($AW$104,'Reference Score Calculation'!$P107)),7,5)))))</f>
        <v>7</v>
      </c>
      <c r="BM128" s="415">
        <f>IF(ISNUMBER(SEARCH(BM$112,'Reference Score Calculation'!$O107)),10,IF(ISNUMBER(SEARCH(BM$112,'Reference Score Calculation'!$P107)),7,IF(ISNUMBER(SEARCH(BM$112,'Reference Score Calculation'!$Q107)),5,IF(ISNUMBER(SEARCH($AW$104,'Reference Score Calculation'!$O107)),10,IF(ISNUMBER(SEARCH("組合科學(任何)",'Reference Score Calculation'!$O107)),10,IF(ISNUMBER(SEARCH("組合科學(任何)",'Reference Score Calculation'!$P107)),7,IF(ISNUMBER(SEARCH("組合科學(任何)",'Reference Score Calculation'!$Q107)),5,IF(ISNUMBER(SEARCH($AW$104,'Reference Score Calculation'!$P107)),7,5))))))))</f>
        <v>10</v>
      </c>
      <c r="BN128" s="415">
        <f>IF(ISNUMBER(SEARCH(BN$112,'Reference Score Calculation'!$O107)),10,IF(ISNUMBER(SEARCH(BN$112,'Reference Score Calculation'!$P107)),7,IF(ISNUMBER(SEARCH(BN$112,'Reference Score Calculation'!$Q107)),5,IF(ISNUMBER(SEARCH($AW$104,'Reference Score Calculation'!$O107)),10,IF(ISNUMBER(SEARCH("組合科學(任何)",'Reference Score Calculation'!$O107)),10,IF(ISNUMBER(SEARCH("組合科學(任何)",'Reference Score Calculation'!$P107)),7,IF(ISNUMBER(SEARCH("組合科學(任何)",'Reference Score Calculation'!$Q107)),5,IF(ISNUMBER(SEARCH($AW$104,'Reference Score Calculation'!$P107)),7,5))))))))</f>
        <v>10</v>
      </c>
      <c r="BO128" s="415">
        <f>IF(ISNUMBER(SEARCH(BO$112,'Reference Score Calculation'!$O107)),10,IF(ISNUMBER(SEARCH(BO$112,'Reference Score Calculation'!$P107)),7,IF(ISNUMBER(SEARCH(BO$112,'Reference Score Calculation'!$Q107)),5,IF(ISNUMBER(SEARCH($AW$104,'Reference Score Calculation'!$O107)),10,IF(ISNUMBER(SEARCH("組合科學(任何)",'Reference Score Calculation'!$O107)),10,IF(ISNUMBER(SEARCH("組合科學(任何)",'Reference Score Calculation'!$P107)),7,IF(ISNUMBER(SEARCH("組合科學(任何)",'Reference Score Calculation'!$Q107)),5,IF(ISNUMBER(SEARCH($AW$104,'Reference Score Calculation'!$P107)),7,5))))))))</f>
        <v>10</v>
      </c>
      <c r="BP128" s="415">
        <f>IF(ISNUMBER(SEARCH(BP$112,'Reference Score Calculation'!$O107)),10,IF(ISNUMBER(SEARCH(BP$112,'Reference Score Calculation'!$P107)),7,IF(ISNUMBER(SEARCH(BP$112,'Reference Score Calculation'!$Q107)),5,IF(ISNUMBER(SEARCH($AW$104,'Reference Score Calculation'!$O107)),10,IF(ISNUMBER(SEARCH($AW$104,'Reference Score Calculation'!$P107)),7,5)))))</f>
        <v>5</v>
      </c>
      <c r="BQ128" s="415">
        <f>IF(ISNUMBER(SEARCH(BQ$112,'Reference Score Calculation'!$O107)),10,IF(ISNUMBER(SEARCH(BQ$112,'Reference Score Calculation'!$P107)),7,IF(ISNUMBER(SEARCH(BQ$112,'Reference Score Calculation'!$Q107)),5,IF(ISNUMBER(SEARCH($AW$104,'Reference Score Calculation'!$O107)),10,IF(ISNUMBER(SEARCH($AW$104,'Reference Score Calculation'!$P107)),7,5)))))</f>
        <v>5</v>
      </c>
      <c r="BR128" s="415">
        <f>IF(ISNUMBER(SEARCH(BR$112,'Reference Score Calculation'!$O107)),10,IF(ISNUMBER(SEARCH(BR$112,'Reference Score Calculation'!$P107)),7,IF(ISNUMBER(SEARCH(BR$112,'Reference Score Calculation'!$Q107)),5,IF(ISNUMBER(SEARCH($AW$104,'Reference Score Calculation'!$O107)),10,IF(ISNUMBER(SEARCH($AW$104,'Reference Score Calculation'!$P107)),7,5)))))</f>
        <v>5</v>
      </c>
      <c r="BS128" s="415">
        <f>IF(ISNUMBER(SEARCH(BS$112,'Reference Score Calculation'!$O107)),10,IF(ISNUMBER(SEARCH(BS$112,'Reference Score Calculation'!$P107)),7,IF(ISNUMBER(SEARCH(BS$112,'Reference Score Calculation'!$Q107)),5,IF(ISNUMBER(SEARCH($AW$104,'Reference Score Calculation'!$O107)),10,IF(ISNUMBER(SEARCH($AW$104,'Reference Score Calculation'!$P107)),7,5)))))</f>
        <v>5</v>
      </c>
      <c r="BT128" s="415">
        <f>IF(ISNUMBER(SEARCH(BT$112,'Reference Score Calculation'!$O107)),10,IF(ISNUMBER(SEARCH(BT$112,'Reference Score Calculation'!$P107)),7,IF(ISNUMBER(SEARCH(BT$112,'Reference Score Calculation'!$Q107)),5,IF(ISNUMBER(SEARCH($AW$104,'Reference Score Calculation'!$O107)),10,IF(ISNUMBER(SEARCH($AW$104,'Reference Score Calculation'!$P107)),7,5)))))</f>
        <v>5</v>
      </c>
      <c r="BU128" s="415">
        <f>IF(ISNUMBER(SEARCH(BU$112,'Reference Score Calculation'!$O107)),10,IF(ISNUMBER(SEARCH(BU$112,'Reference Score Calculation'!$P107)),7,IF(ISNUMBER(SEARCH(BU$112,'Reference Score Calculation'!$Q107)),5,IF(ISNUMBER(SEARCH($AW$104,'Reference Score Calculation'!$O107)),10,IF(ISNUMBER(SEARCH($AW$104,'Reference Score Calculation'!$P107)),7,5)))))</f>
        <v>10</v>
      </c>
      <c r="BV128" s="415">
        <f>IF(ISNUMBER(SEARCH(BV$112,'Reference Score Calculation'!$O107)),10,IF(ISNUMBER(SEARCH(BV$112,'Reference Score Calculation'!$P107)),7,IF(ISNUMBER(SEARCH(BV$112,'Reference Score Calculation'!$Q107)),5,IF(ISNUMBER(SEARCH($AW$104,'Reference Score Calculation'!$O107)),10,IF(ISNUMBER(SEARCH($AW$104,'Reference Score Calculation'!$P107)),7,5)))))</f>
        <v>7</v>
      </c>
      <c r="BW128" s="415">
        <f>IF(ISNUMBER(SEARCH(BW$112,'Reference Score Calculation'!$O107)),10,IF(ISNUMBER(SEARCH(BW$112,'Reference Score Calculation'!$P107)),7,IF(ISNUMBER(SEARCH(BW$112,'Reference Score Calculation'!$Q107)),5,IF(ISNUMBER(SEARCH($AW$104,'Reference Score Calculation'!$O107)),10,IF(ISNUMBER(SEARCH($AW$104,'Reference Score Calculation'!$P107)),7,5)))))</f>
        <v>5</v>
      </c>
      <c r="BX128" s="415">
        <f>IF(ISNUMBER(SEARCH(BX$112,'Reference Score Calculation'!$O107)),10,IF(ISNUMBER(SEARCH(BX$112,'Reference Score Calculation'!$P107)),7,IF(ISNUMBER(SEARCH(BX$112,'Reference Score Calculation'!$Q107)),5,IF(ISNUMBER(SEARCH($AW$104,'Reference Score Calculation'!$O107)),10,IF(ISNUMBER(SEARCH($AW$104,'Reference Score Calculation'!$P107)),7,5)))))</f>
        <v>5</v>
      </c>
      <c r="BY128" s="195"/>
      <c r="BZ128" s="195"/>
      <c r="CA128" s="195"/>
    </row>
    <row r="129" spans="1:79">
      <c r="A129" s="119" t="str">
        <f>'Reference Score Calculation'!A106</f>
        <v>JS3170</v>
      </c>
      <c r="B129" s="119" t="str">
        <f>'Reference Score Calculation'!A106</f>
        <v>JS3170</v>
      </c>
      <c r="C129" s="119" t="str">
        <f>'Reference Score Calculation'!D106</f>
        <v>電機工程學(榮譽)工學士組合課程 (電機工程學 / 運輸系統工程學)</v>
      </c>
      <c r="D129" s="2" t="e">
        <f>'Reference Score Calculation'!#REF!</f>
        <v>#REF!</v>
      </c>
      <c r="E129" s="134" t="str">
        <f>'Reference Score Calculation'!E106</f>
        <v>Best 5</v>
      </c>
      <c r="F129" s="134"/>
      <c r="G129" s="119" t="str">
        <f>入學要求!AB115</f>
        <v>v</v>
      </c>
      <c r="H129" s="119" t="str">
        <f>入學要求!AC115</f>
        <v>E</v>
      </c>
      <c r="I129" s="119" t="str">
        <f>入學要求!AD115</f>
        <v>NO</v>
      </c>
      <c r="J129" s="119">
        <f t="shared" si="254"/>
        <v>1.7550000000000002E-8</v>
      </c>
      <c r="K129" s="119">
        <f t="shared" si="232"/>
        <v>7</v>
      </c>
      <c r="L129" s="119">
        <f t="shared" si="232"/>
        <v>10</v>
      </c>
      <c r="M129" s="119">
        <f t="shared" si="232"/>
        <v>10</v>
      </c>
      <c r="N129" s="119">
        <v>0</v>
      </c>
      <c r="O129" s="119">
        <f t="shared" si="255"/>
        <v>10</v>
      </c>
      <c r="P129" s="119">
        <f t="shared" si="255"/>
        <v>0</v>
      </c>
      <c r="Q129" s="119">
        <f t="shared" si="255"/>
        <v>0</v>
      </c>
      <c r="R129" s="119">
        <f t="shared" si="255"/>
        <v>0</v>
      </c>
      <c r="S129" s="119">
        <f t="shared" si="255"/>
        <v>0</v>
      </c>
      <c r="T129" s="119">
        <v>5</v>
      </c>
      <c r="V129" s="119">
        <f t="shared" si="234"/>
        <v>2.8000000000000003E-9</v>
      </c>
      <c r="W129" s="119">
        <f t="shared" si="235"/>
        <v>2.0000000000000001E-9</v>
      </c>
      <c r="X129" s="119">
        <f t="shared" si="236"/>
        <v>3E-9</v>
      </c>
      <c r="Y129" s="119">
        <f t="shared" si="237"/>
        <v>0</v>
      </c>
      <c r="Z129" s="119">
        <f t="shared" si="238"/>
        <v>5.0000000000000001E-9</v>
      </c>
      <c r="AA129" s="119">
        <f t="shared" si="239"/>
        <v>0</v>
      </c>
      <c r="AB129" s="119">
        <f t="shared" si="240"/>
        <v>0</v>
      </c>
      <c r="AC129" s="119">
        <f t="shared" si="241"/>
        <v>0</v>
      </c>
      <c r="AD129" s="119">
        <f t="shared" si="242"/>
        <v>0</v>
      </c>
      <c r="AE129" s="119">
        <f t="shared" si="243"/>
        <v>4.7500000000000003E-9</v>
      </c>
      <c r="AF129" s="119" t="b">
        <f t="shared" si="244"/>
        <v>1</v>
      </c>
      <c r="AG129" s="119" t="b">
        <f t="shared" si="245"/>
        <v>1</v>
      </c>
      <c r="AH129" s="119" t="b">
        <f t="shared" si="246"/>
        <v>1</v>
      </c>
      <c r="AI129" s="119" t="b">
        <f t="shared" si="247"/>
        <v>0</v>
      </c>
      <c r="AJ129" s="119" t="b">
        <f t="shared" si="248"/>
        <v>1</v>
      </c>
      <c r="AK129" s="119" t="b">
        <f t="shared" si="249"/>
        <v>0</v>
      </c>
      <c r="AL129" s="119" t="b">
        <f t="shared" si="250"/>
        <v>0</v>
      </c>
      <c r="AM129" s="119" t="b">
        <f t="shared" si="251"/>
        <v>0</v>
      </c>
      <c r="AN129" s="119" t="b">
        <f t="shared" si="252"/>
        <v>0</v>
      </c>
      <c r="AO129" s="119" t="b">
        <f t="shared" si="253"/>
        <v>1</v>
      </c>
      <c r="AQ129" s="2"/>
      <c r="AR129" s="2"/>
      <c r="AS129" s="2"/>
      <c r="AT129" s="195"/>
      <c r="AU129" s="195" t="str">
        <f>'Reference Score Calculation'!A108</f>
        <v>JS3240</v>
      </c>
      <c r="AV129" s="195"/>
      <c r="AW129" s="415">
        <f>IF(ISNUMBER(SEARCH(AW$112,'Reference Score Calculation'!$O108)),10,IF(ISNUMBER(SEARCH(AW$112,'Reference Score Calculation'!$P108)),7,IF(ISNUMBER(SEARCH(AW$112,'Reference Score Calculation'!$Q108)),5,IF(ISNUMBER(SEARCH($AW$104,'Reference Score Calculation'!$O108)),10,IF(ISNUMBER(SEARCH($AW$104,'Reference Score Calculation'!$P108)),7,5)))))</f>
        <v>10</v>
      </c>
      <c r="AX129" s="415">
        <f>IF(ISNUMBER(SEARCH(AX$112,'Reference Score Calculation'!$O108)),10,IF(ISNUMBER(SEARCH(AX$112,'Reference Score Calculation'!$P108)),7,IF(ISNUMBER(SEARCH(AX$112,'Reference Score Calculation'!$Q108)),5,IF(ISNUMBER(SEARCH($AW$104,'Reference Score Calculation'!$O108)),10,IF(ISNUMBER(SEARCH($AW$104,'Reference Score Calculation'!$P108)),7,5)))))</f>
        <v>10</v>
      </c>
      <c r="AY129" s="415">
        <f>IF(ISNUMBER(SEARCH(AY$112,'Reference Score Calculation'!$O108)),10,IF(ISNUMBER(SEARCH(AY$112,'Reference Score Calculation'!$P108)),7,IF(ISNUMBER(SEARCH(AY$112,'Reference Score Calculation'!$Q108)),5,IF(ISNUMBER(SEARCH($AW$104,'Reference Score Calculation'!$O108)),10,IF(ISNUMBER(SEARCH($AW$104,'Reference Score Calculation'!$P108)),7,5)))))</f>
        <v>7</v>
      </c>
      <c r="AZ129" s="415">
        <f>IF(ISNUMBER(SEARCH(AZ$112,'Reference Score Calculation'!$O108)),10,IF(ISNUMBER(SEARCH(AZ$112,'Reference Score Calculation'!$P108)),7,IF(ISNUMBER(SEARCH(AZ$112,'Reference Score Calculation'!$Q108)),5,IF(ISNUMBER(SEARCH($AW$104,'Reference Score Calculation'!$O108)),10,IF(ISNUMBER(SEARCH($AW$104,'Reference Score Calculation'!$P108)),7,5)))))</f>
        <v>7</v>
      </c>
      <c r="BA129" s="415">
        <f>IF(ISNUMBER(SEARCH(BA$112,'Reference Score Calculation'!$O108)),10,IF(ISNUMBER(SEARCH(BA$112,'Reference Score Calculation'!$P108)),7,IF(ISNUMBER(SEARCH(BA$112,'Reference Score Calculation'!$Q108)),5,IF(ISNUMBER(SEARCH($AW$104,'Reference Score Calculation'!$O108)),10,IF(ISNUMBER(SEARCH($AW$104,'Reference Score Calculation'!$P108)),7,5)))))</f>
        <v>5</v>
      </c>
      <c r="BB129" s="415">
        <f>IF(ISNUMBER(SEARCH(BB$112,'Reference Score Calculation'!$O108)),10,IF(ISNUMBER(SEARCH(BB$112,'Reference Score Calculation'!$P108)),7,IF(ISNUMBER(SEARCH(BB$112,'Reference Score Calculation'!$Q108)),5,IF(ISNUMBER(SEARCH($AW$104,'Reference Score Calculation'!$O108)),10,IF(ISNUMBER(SEARCH($AW$104,'Reference Score Calculation'!$P108)),7,5)))))</f>
        <v>5</v>
      </c>
      <c r="BC129" s="415">
        <f>IF(ISNUMBER(SEARCH(BC$112,'Reference Score Calculation'!$O108)),10,IF(ISNUMBER(SEARCH(BC$112,'Reference Score Calculation'!$P108)),7,IF(ISNUMBER(SEARCH(BC$112,'Reference Score Calculation'!$Q108)),5,IF(ISNUMBER(SEARCH($AW$104,'Reference Score Calculation'!$O108)),10,IF(ISNUMBER(SEARCH($AW$104,'Reference Score Calculation'!$P108)),7,5)))))</f>
        <v>5</v>
      </c>
      <c r="BD129" s="415">
        <f>IF(ISNUMBER(SEARCH(BD$112,'Reference Score Calculation'!$O108)),10,IF(ISNUMBER(SEARCH(BD$112,'Reference Score Calculation'!$P108)),7,IF(ISNUMBER(SEARCH(BD$112,'Reference Score Calculation'!$Q108)),5,IF(ISNUMBER(SEARCH($AW$104,'Reference Score Calculation'!$O108)),10,IF(ISNUMBER(SEARCH($AW$104,'Reference Score Calculation'!$P108)),7,5)))))</f>
        <v>5</v>
      </c>
      <c r="BE129" s="415">
        <f>IF(ISNUMBER(SEARCH(BE$112,'Reference Score Calculation'!$O108)),10,IF(ISNUMBER(SEARCH(BE$112,'Reference Score Calculation'!$P108)),7,IF(ISNUMBER(SEARCH(BE$112,'Reference Score Calculation'!$Q108)),5,IF(ISNUMBER(SEARCH($AW$104,'Reference Score Calculation'!$O108)),10,IF(ISNUMBER(SEARCH($AW$104,'Reference Score Calculation'!$P108)),7,5)))))</f>
        <v>5</v>
      </c>
      <c r="BF129" s="415">
        <f>IF(ISNUMBER(SEARCH(BF$112,'Reference Score Calculation'!$O108)),10,IF(ISNUMBER(SEARCH(BF$112,'Reference Score Calculation'!$P108)),7,IF(ISNUMBER(SEARCH(BF$112,'Reference Score Calculation'!$Q108)),5,IF(ISNUMBER(SEARCH($AW$104,'Reference Score Calculation'!$O108)),10,IF(ISNUMBER(SEARCH($AW$104,'Reference Score Calculation'!$P108)),7,5)))))</f>
        <v>7</v>
      </c>
      <c r="BG129" s="415">
        <f>IF(ISNUMBER(SEARCH(BG$112,'Reference Score Calculation'!$O108)),10,IF(ISNUMBER(SEARCH(BG$112,'Reference Score Calculation'!$P108)),7,IF(ISNUMBER(SEARCH(BG$112,'Reference Score Calculation'!$Q108)),5,IF(ISNUMBER(SEARCH($AW$104,'Reference Score Calculation'!$O108)),10,IF(ISNUMBER(SEARCH($AW$104,'Reference Score Calculation'!$P108)),7,5)))))</f>
        <v>7</v>
      </c>
      <c r="BH129" s="415">
        <f>IF(ISNUMBER(SEARCH(BH$112,'Reference Score Calculation'!$O108)),10,IF(ISNUMBER(SEARCH(BH$112,'Reference Score Calculation'!$P108)),7,IF(ISNUMBER(SEARCH(BH$112,'Reference Score Calculation'!$Q108)),5,IF(ISNUMBER(SEARCH($AW$104,'Reference Score Calculation'!$O108)),10,IF(ISNUMBER(SEARCH($AW$104,'Reference Score Calculation'!$P108)),7,5)))))</f>
        <v>5</v>
      </c>
      <c r="BI129" s="415">
        <f>IF(ISNUMBER(SEARCH(BI$112,'Reference Score Calculation'!$O108)),10,IF(ISNUMBER(SEARCH(BI$112,'Reference Score Calculation'!$P108)),7,IF(ISNUMBER(SEARCH(BI$112,'Reference Score Calculation'!$Q108)),5,IF(ISNUMBER(SEARCH($AW$104,'Reference Score Calculation'!$O108)),10,IF(ISNUMBER(SEARCH($AW$104,'Reference Score Calculation'!$P108)),7,5)))))</f>
        <v>7</v>
      </c>
      <c r="BJ129" s="415">
        <f>IF(ISNUMBER(SEARCH(BJ$112,'Reference Score Calculation'!$O108)),10,IF(ISNUMBER(SEARCH(BJ$112,'Reference Score Calculation'!$P108)),7,IF(ISNUMBER(SEARCH(BJ$112,'Reference Score Calculation'!$Q108)),5,IF(ISNUMBER(SEARCH($AW$104,'Reference Score Calculation'!$O108)),10,IF(ISNUMBER(SEARCH($AW$104,'Reference Score Calculation'!$P108)),7,5)))))</f>
        <v>7</v>
      </c>
      <c r="BK129" s="415">
        <f>IF(ISNUMBER(SEARCH(BK$112,'Reference Score Calculation'!$O108)),10,IF(ISNUMBER(SEARCH(BK$112,'Reference Score Calculation'!$P108)),7,IF(ISNUMBER(SEARCH(BK$112,'Reference Score Calculation'!$Q108)),5,IF(ISNUMBER(SEARCH($AW$104,'Reference Score Calculation'!$O108)),10,IF(ISNUMBER(SEARCH($AW$104,'Reference Score Calculation'!$P108)),7,5)))))</f>
        <v>7</v>
      </c>
      <c r="BL129" s="415">
        <f>IF(ISNUMBER(SEARCH(BL$112,'Reference Score Calculation'!$O108)),10,IF(ISNUMBER(SEARCH(BL$112,'Reference Score Calculation'!$P108)),7,IF(ISNUMBER(SEARCH(BL$112,'Reference Score Calculation'!$Q108)),5,IF(ISNUMBER(SEARCH($AW$104,'Reference Score Calculation'!$O108)),10,IF(ISNUMBER(SEARCH($AW$104,'Reference Score Calculation'!$P108)),7,5)))))</f>
        <v>5</v>
      </c>
      <c r="BM129" s="415">
        <f>IF(ISNUMBER(SEARCH(BM$112,'Reference Score Calculation'!$O108)),10,IF(ISNUMBER(SEARCH(BM$112,'Reference Score Calculation'!$P108)),7,IF(ISNUMBER(SEARCH(BM$112,'Reference Score Calculation'!$Q108)),5,IF(ISNUMBER(SEARCH($AW$104,'Reference Score Calculation'!$O108)),10,IF(ISNUMBER(SEARCH("組合科學(任何)",'Reference Score Calculation'!$O108)),10,IF(ISNUMBER(SEARCH("組合科學(任何)",'Reference Score Calculation'!$P108)),7,IF(ISNUMBER(SEARCH("組合科學(任何)",'Reference Score Calculation'!$Q108)),5,IF(ISNUMBER(SEARCH($AW$104,'Reference Score Calculation'!$P108)),7,5))))))))</f>
        <v>5</v>
      </c>
      <c r="BN129" s="415">
        <f>IF(ISNUMBER(SEARCH(BN$112,'Reference Score Calculation'!$O108)),10,IF(ISNUMBER(SEARCH(BN$112,'Reference Score Calculation'!$P108)),7,IF(ISNUMBER(SEARCH(BN$112,'Reference Score Calculation'!$Q108)),5,IF(ISNUMBER(SEARCH($AW$104,'Reference Score Calculation'!$O108)),10,IF(ISNUMBER(SEARCH("組合科學(任何)",'Reference Score Calculation'!$O108)),10,IF(ISNUMBER(SEARCH("組合科學(任何)",'Reference Score Calculation'!$P108)),7,IF(ISNUMBER(SEARCH("組合科學(任何)",'Reference Score Calculation'!$Q108)),5,IF(ISNUMBER(SEARCH($AW$104,'Reference Score Calculation'!$P108)),7,5))))))))</f>
        <v>5</v>
      </c>
      <c r="BO129" s="415">
        <f>IF(ISNUMBER(SEARCH(BO$112,'Reference Score Calculation'!$O108)),10,IF(ISNUMBER(SEARCH(BO$112,'Reference Score Calculation'!$P108)),7,IF(ISNUMBER(SEARCH(BO$112,'Reference Score Calculation'!$Q108)),5,IF(ISNUMBER(SEARCH($AW$104,'Reference Score Calculation'!$O108)),10,IF(ISNUMBER(SEARCH("組合科學(任何)",'Reference Score Calculation'!$O108)),10,IF(ISNUMBER(SEARCH("組合科學(任何)",'Reference Score Calculation'!$P108)),7,IF(ISNUMBER(SEARCH("組合科學(任何)",'Reference Score Calculation'!$Q108)),5,IF(ISNUMBER(SEARCH($AW$104,'Reference Score Calculation'!$P108)),7,5))))))))</f>
        <v>5</v>
      </c>
      <c r="BP129" s="415">
        <f>IF(ISNUMBER(SEARCH(BP$112,'Reference Score Calculation'!$O108)),10,IF(ISNUMBER(SEARCH(BP$112,'Reference Score Calculation'!$P108)),7,IF(ISNUMBER(SEARCH(BP$112,'Reference Score Calculation'!$Q108)),5,IF(ISNUMBER(SEARCH($AW$104,'Reference Score Calculation'!$O108)),10,IF(ISNUMBER(SEARCH($AW$104,'Reference Score Calculation'!$P108)),7,5)))))</f>
        <v>7</v>
      </c>
      <c r="BQ129" s="415">
        <f>IF(ISNUMBER(SEARCH(BQ$112,'Reference Score Calculation'!$O108)),10,IF(ISNUMBER(SEARCH(BQ$112,'Reference Score Calculation'!$P108)),7,IF(ISNUMBER(SEARCH(BQ$112,'Reference Score Calculation'!$Q108)),5,IF(ISNUMBER(SEARCH($AW$104,'Reference Score Calculation'!$O108)),10,IF(ISNUMBER(SEARCH($AW$104,'Reference Score Calculation'!$P108)),7,5)))))</f>
        <v>7</v>
      </c>
      <c r="BR129" s="415">
        <f>IF(ISNUMBER(SEARCH(BR$112,'Reference Score Calculation'!$O108)),10,IF(ISNUMBER(SEARCH(BR$112,'Reference Score Calculation'!$P108)),7,IF(ISNUMBER(SEARCH(BR$112,'Reference Score Calculation'!$Q108)),5,IF(ISNUMBER(SEARCH($AW$104,'Reference Score Calculation'!$O108)),10,IF(ISNUMBER(SEARCH($AW$104,'Reference Score Calculation'!$P108)),7,5)))))</f>
        <v>7</v>
      </c>
      <c r="BS129" s="415">
        <f>IF(ISNUMBER(SEARCH(BS$112,'Reference Score Calculation'!$O108)),10,IF(ISNUMBER(SEARCH(BS$112,'Reference Score Calculation'!$P108)),7,IF(ISNUMBER(SEARCH(BS$112,'Reference Score Calculation'!$Q108)),5,IF(ISNUMBER(SEARCH($AW$104,'Reference Score Calculation'!$O108)),10,IF(ISNUMBER(SEARCH($AW$104,'Reference Score Calculation'!$P108)),7,5)))))</f>
        <v>7</v>
      </c>
      <c r="BT129" s="415">
        <f>IF(ISNUMBER(SEARCH(BT$112,'Reference Score Calculation'!$O108)),10,IF(ISNUMBER(SEARCH(BT$112,'Reference Score Calculation'!$P108)),7,IF(ISNUMBER(SEARCH(BT$112,'Reference Score Calculation'!$Q108)),5,IF(ISNUMBER(SEARCH($AW$104,'Reference Score Calculation'!$O108)),10,IF(ISNUMBER(SEARCH($AW$104,'Reference Score Calculation'!$P108)),7,5)))))</f>
        <v>5</v>
      </c>
      <c r="BU129" s="415">
        <f>IF(ISNUMBER(SEARCH(BU$112,'Reference Score Calculation'!$O108)),10,IF(ISNUMBER(SEARCH(BU$112,'Reference Score Calculation'!$P108)),7,IF(ISNUMBER(SEARCH(BU$112,'Reference Score Calculation'!$Q108)),5,IF(ISNUMBER(SEARCH($AW$104,'Reference Score Calculation'!$O108)),10,IF(ISNUMBER(SEARCH($AW$104,'Reference Score Calculation'!$P108)),7,5)))))</f>
        <v>7</v>
      </c>
      <c r="BV129" s="415">
        <f>IF(ISNUMBER(SEARCH(BV$112,'Reference Score Calculation'!$O108)),10,IF(ISNUMBER(SEARCH(BV$112,'Reference Score Calculation'!$P108)),7,IF(ISNUMBER(SEARCH(BV$112,'Reference Score Calculation'!$Q108)),5,IF(ISNUMBER(SEARCH($AW$104,'Reference Score Calculation'!$O108)),10,IF(ISNUMBER(SEARCH($AW$104,'Reference Score Calculation'!$P108)),7,5)))))</f>
        <v>7</v>
      </c>
      <c r="BW129" s="415">
        <f>IF(ISNUMBER(SEARCH(BW$112,'Reference Score Calculation'!$O108)),10,IF(ISNUMBER(SEARCH(BW$112,'Reference Score Calculation'!$P108)),7,IF(ISNUMBER(SEARCH(BW$112,'Reference Score Calculation'!$Q108)),5,IF(ISNUMBER(SEARCH($AW$104,'Reference Score Calculation'!$O108)),10,IF(ISNUMBER(SEARCH($AW$104,'Reference Score Calculation'!$P108)),7,5)))))</f>
        <v>7</v>
      </c>
      <c r="BX129" s="415">
        <f>IF(ISNUMBER(SEARCH(BX$112,'Reference Score Calculation'!$O108)),10,IF(ISNUMBER(SEARCH(BX$112,'Reference Score Calculation'!$P108)),7,IF(ISNUMBER(SEARCH(BX$112,'Reference Score Calculation'!$Q108)),5,IF(ISNUMBER(SEARCH($AW$104,'Reference Score Calculation'!$O108)),10,IF(ISNUMBER(SEARCH($AW$104,'Reference Score Calculation'!$P108)),7,5)))))</f>
        <v>7</v>
      </c>
      <c r="BY129" s="195"/>
      <c r="BZ129" s="195"/>
      <c r="CA129" s="195"/>
    </row>
    <row r="130" spans="1:79">
      <c r="A130" s="119" t="str">
        <f>'Reference Score Calculation'!A107</f>
        <v>JS3180</v>
      </c>
      <c r="B130" s="119" t="str">
        <f>'Reference Score Calculation'!A107</f>
        <v>JS3180</v>
      </c>
      <c r="C130" s="119" t="str">
        <f>'Reference Score Calculation'!D107</f>
        <v>資訊及人工智能工程學(榮譽)工學士 / 理學士組合課程 (物聯網 / 人工智能 / 資訊安全)</v>
      </c>
      <c r="D130" s="2" t="e">
        <f>'Reference Score Calculation'!#REF!</f>
        <v>#REF!</v>
      </c>
      <c r="E130" s="134" t="str">
        <f>'Reference Score Calculation'!E107</f>
        <v>Best 5</v>
      </c>
      <c r="F130" s="134"/>
      <c r="G130" s="119" t="str">
        <f>入學要求!AB116</f>
        <v>v</v>
      </c>
      <c r="H130" s="119" t="str">
        <f>入學要求!AC116</f>
        <v>E</v>
      </c>
      <c r="I130" s="119" t="str">
        <f>入學要求!AD116</f>
        <v>v</v>
      </c>
      <c r="J130" s="119">
        <f t="shared" si="254"/>
        <v>1.7550000000000002E-8</v>
      </c>
      <c r="K130" s="119">
        <f t="shared" si="232"/>
        <v>7</v>
      </c>
      <c r="L130" s="119">
        <f t="shared" si="232"/>
        <v>10</v>
      </c>
      <c r="M130" s="119">
        <f t="shared" si="232"/>
        <v>10</v>
      </c>
      <c r="N130" s="119">
        <v>0</v>
      </c>
      <c r="O130" s="119">
        <f t="shared" si="255"/>
        <v>10</v>
      </c>
      <c r="P130" s="119">
        <f t="shared" si="255"/>
        <v>0</v>
      </c>
      <c r="Q130" s="119">
        <f t="shared" si="255"/>
        <v>0</v>
      </c>
      <c r="R130" s="119">
        <f t="shared" si="255"/>
        <v>0</v>
      </c>
      <c r="S130" s="119">
        <f t="shared" si="255"/>
        <v>0</v>
      </c>
      <c r="T130" s="119">
        <v>5</v>
      </c>
      <c r="V130" s="119">
        <f t="shared" si="234"/>
        <v>2.8000000000000003E-9</v>
      </c>
      <c r="W130" s="119">
        <f t="shared" si="235"/>
        <v>2.0000000000000001E-9</v>
      </c>
      <c r="X130" s="119">
        <f t="shared" si="236"/>
        <v>3E-9</v>
      </c>
      <c r="Y130" s="119">
        <f t="shared" si="237"/>
        <v>0</v>
      </c>
      <c r="Z130" s="119">
        <f t="shared" si="238"/>
        <v>5.0000000000000001E-9</v>
      </c>
      <c r="AA130" s="119">
        <f t="shared" si="239"/>
        <v>0</v>
      </c>
      <c r="AB130" s="119">
        <f t="shared" si="240"/>
        <v>0</v>
      </c>
      <c r="AC130" s="119">
        <f t="shared" si="241"/>
        <v>0</v>
      </c>
      <c r="AD130" s="119">
        <f t="shared" si="242"/>
        <v>0</v>
      </c>
      <c r="AE130" s="119">
        <f t="shared" si="243"/>
        <v>4.7500000000000003E-9</v>
      </c>
      <c r="AF130" s="119" t="b">
        <f t="shared" si="244"/>
        <v>1</v>
      </c>
      <c r="AG130" s="119" t="b">
        <f t="shared" si="245"/>
        <v>1</v>
      </c>
      <c r="AH130" s="119" t="b">
        <f t="shared" si="246"/>
        <v>1</v>
      </c>
      <c r="AI130" s="119" t="b">
        <f t="shared" si="247"/>
        <v>0</v>
      </c>
      <c r="AJ130" s="119" t="b">
        <f t="shared" si="248"/>
        <v>1</v>
      </c>
      <c r="AK130" s="119" t="b">
        <f t="shared" si="249"/>
        <v>0</v>
      </c>
      <c r="AL130" s="119" t="b">
        <f t="shared" si="250"/>
        <v>0</v>
      </c>
      <c r="AM130" s="119" t="b">
        <f t="shared" si="251"/>
        <v>0</v>
      </c>
      <c r="AN130" s="119" t="b">
        <f t="shared" si="252"/>
        <v>0</v>
      </c>
      <c r="AO130" s="119" t="b">
        <f t="shared" si="253"/>
        <v>1</v>
      </c>
      <c r="AQ130" s="2"/>
      <c r="AR130" s="2"/>
      <c r="AS130" s="2"/>
      <c r="AT130" s="195"/>
      <c r="AU130" s="195" t="str">
        <f>'Reference Score Calculation'!A109</f>
        <v>JS3250</v>
      </c>
      <c r="AV130" s="195"/>
      <c r="AW130" s="415">
        <f>IF(ISNUMBER(SEARCH(AW$112,'Reference Score Calculation'!$O109)),10,IF(ISNUMBER(SEARCH(AW$112,'Reference Score Calculation'!$P109)),7,IF(ISNUMBER(SEARCH(AW$112,'Reference Score Calculation'!$Q109)),5,IF(ISNUMBER(SEARCH($AW$104,'Reference Score Calculation'!$O109)),10,IF(ISNUMBER(SEARCH($AW$104,'Reference Score Calculation'!$P109)),7,5)))))</f>
        <v>7</v>
      </c>
      <c r="AX130" s="415">
        <f>IF(ISNUMBER(SEARCH(AX$112,'Reference Score Calculation'!$O109)),10,IF(ISNUMBER(SEARCH(AX$112,'Reference Score Calculation'!$P109)),7,IF(ISNUMBER(SEARCH(AX$112,'Reference Score Calculation'!$Q109)),5,IF(ISNUMBER(SEARCH($AW$104,'Reference Score Calculation'!$O109)),10,IF(ISNUMBER(SEARCH($AW$104,'Reference Score Calculation'!$P109)),7,5)))))</f>
        <v>7</v>
      </c>
      <c r="AY130" s="415">
        <f>IF(ISNUMBER(SEARCH(AY$112,'Reference Score Calculation'!$O109)),10,IF(ISNUMBER(SEARCH(AY$112,'Reference Score Calculation'!$P109)),7,IF(ISNUMBER(SEARCH(AY$112,'Reference Score Calculation'!$Q109)),5,IF(ISNUMBER(SEARCH($AW$104,'Reference Score Calculation'!$O109)),10,IF(ISNUMBER(SEARCH($AW$104,'Reference Score Calculation'!$P109)),7,5)))))</f>
        <v>7</v>
      </c>
      <c r="AZ130" s="415">
        <f>IF(ISNUMBER(SEARCH(AZ$112,'Reference Score Calculation'!$O109)),10,IF(ISNUMBER(SEARCH(AZ$112,'Reference Score Calculation'!$P109)),7,IF(ISNUMBER(SEARCH(AZ$112,'Reference Score Calculation'!$Q109)),5,IF(ISNUMBER(SEARCH($AW$104,'Reference Score Calculation'!$O109)),10,IF(ISNUMBER(SEARCH($AW$104,'Reference Score Calculation'!$P109)),7,5)))))</f>
        <v>7</v>
      </c>
      <c r="BA130" s="415">
        <f>IF(ISNUMBER(SEARCH(BA$112,'Reference Score Calculation'!$O109)),10,IF(ISNUMBER(SEARCH(BA$112,'Reference Score Calculation'!$P109)),7,IF(ISNUMBER(SEARCH(BA$112,'Reference Score Calculation'!$Q109)),5,IF(ISNUMBER(SEARCH($AW$104,'Reference Score Calculation'!$O109)),10,IF(ISNUMBER(SEARCH($AW$104,'Reference Score Calculation'!$P109)),7,5)))))</f>
        <v>7</v>
      </c>
      <c r="BB130" s="415">
        <f>IF(ISNUMBER(SEARCH(BB$112,'Reference Score Calculation'!$O109)),10,IF(ISNUMBER(SEARCH(BB$112,'Reference Score Calculation'!$P109)),7,IF(ISNUMBER(SEARCH(BB$112,'Reference Score Calculation'!$Q109)),5,IF(ISNUMBER(SEARCH($AW$104,'Reference Score Calculation'!$O109)),10,IF(ISNUMBER(SEARCH($AW$104,'Reference Score Calculation'!$P109)),7,5)))))</f>
        <v>7</v>
      </c>
      <c r="BC130" s="415">
        <f>IF(ISNUMBER(SEARCH(BC$112,'Reference Score Calculation'!$O109)),10,IF(ISNUMBER(SEARCH(BC$112,'Reference Score Calculation'!$P109)),7,IF(ISNUMBER(SEARCH(BC$112,'Reference Score Calculation'!$Q109)),5,IF(ISNUMBER(SEARCH($AW$104,'Reference Score Calculation'!$O109)),10,IF(ISNUMBER(SEARCH($AW$104,'Reference Score Calculation'!$P109)),7,5)))))</f>
        <v>7</v>
      </c>
      <c r="BD130" s="415">
        <f>IF(ISNUMBER(SEARCH(BD$112,'Reference Score Calculation'!$O109)),10,IF(ISNUMBER(SEARCH(BD$112,'Reference Score Calculation'!$P109)),7,IF(ISNUMBER(SEARCH(BD$112,'Reference Score Calculation'!$Q109)),5,IF(ISNUMBER(SEARCH($AW$104,'Reference Score Calculation'!$O109)),10,IF(ISNUMBER(SEARCH($AW$104,'Reference Score Calculation'!$P109)),7,5)))))</f>
        <v>7</v>
      </c>
      <c r="BE130" s="415">
        <f>IF(ISNUMBER(SEARCH(BE$112,'Reference Score Calculation'!$O109)),10,IF(ISNUMBER(SEARCH(BE$112,'Reference Score Calculation'!$P109)),7,IF(ISNUMBER(SEARCH(BE$112,'Reference Score Calculation'!$Q109)),5,IF(ISNUMBER(SEARCH($AW$104,'Reference Score Calculation'!$O109)),10,IF(ISNUMBER(SEARCH($AW$104,'Reference Score Calculation'!$P109)),7,5)))))</f>
        <v>7</v>
      </c>
      <c r="BF130" s="415">
        <f>IF(ISNUMBER(SEARCH(BF$112,'Reference Score Calculation'!$O109)),10,IF(ISNUMBER(SEARCH(BF$112,'Reference Score Calculation'!$P109)),7,IF(ISNUMBER(SEARCH(BF$112,'Reference Score Calculation'!$Q109)),5,IF(ISNUMBER(SEARCH($AW$104,'Reference Score Calculation'!$O109)),10,IF(ISNUMBER(SEARCH($AW$104,'Reference Score Calculation'!$P109)),7,5)))))</f>
        <v>7</v>
      </c>
      <c r="BG130" s="415">
        <f>IF(ISNUMBER(SEARCH(BG$112,'Reference Score Calculation'!$O109)),10,IF(ISNUMBER(SEARCH(BG$112,'Reference Score Calculation'!$P109)),7,IF(ISNUMBER(SEARCH(BG$112,'Reference Score Calculation'!$Q109)),5,IF(ISNUMBER(SEARCH($AW$104,'Reference Score Calculation'!$O109)),10,IF(ISNUMBER(SEARCH($AW$104,'Reference Score Calculation'!$P109)),7,5)))))</f>
        <v>7</v>
      </c>
      <c r="BH130" s="415">
        <f>IF(ISNUMBER(SEARCH(BH$112,'Reference Score Calculation'!$O109)),10,IF(ISNUMBER(SEARCH(BH$112,'Reference Score Calculation'!$P109)),7,IF(ISNUMBER(SEARCH(BH$112,'Reference Score Calculation'!$Q109)),5,IF(ISNUMBER(SEARCH($AW$104,'Reference Score Calculation'!$O109)),10,IF(ISNUMBER(SEARCH($AW$104,'Reference Score Calculation'!$P109)),7,5)))))</f>
        <v>7</v>
      </c>
      <c r="BI130" s="415">
        <f>IF(ISNUMBER(SEARCH(BI$112,'Reference Score Calculation'!$O109)),10,IF(ISNUMBER(SEARCH(BI$112,'Reference Score Calculation'!$P109)),7,IF(ISNUMBER(SEARCH(BI$112,'Reference Score Calculation'!$Q109)),5,IF(ISNUMBER(SEARCH($AW$104,'Reference Score Calculation'!$O109)),10,IF(ISNUMBER(SEARCH($AW$104,'Reference Score Calculation'!$P109)),7,5)))))</f>
        <v>7</v>
      </c>
      <c r="BJ130" s="415">
        <f>IF(ISNUMBER(SEARCH(BJ$112,'Reference Score Calculation'!$O109)),10,IF(ISNUMBER(SEARCH(BJ$112,'Reference Score Calculation'!$P109)),7,IF(ISNUMBER(SEARCH(BJ$112,'Reference Score Calculation'!$Q109)),5,IF(ISNUMBER(SEARCH($AW$104,'Reference Score Calculation'!$O109)),10,IF(ISNUMBER(SEARCH($AW$104,'Reference Score Calculation'!$P109)),7,5)))))</f>
        <v>7</v>
      </c>
      <c r="BK130" s="415">
        <f>IF(ISNUMBER(SEARCH(BK$112,'Reference Score Calculation'!$O109)),10,IF(ISNUMBER(SEARCH(BK$112,'Reference Score Calculation'!$P109)),7,IF(ISNUMBER(SEARCH(BK$112,'Reference Score Calculation'!$Q109)),5,IF(ISNUMBER(SEARCH($AW$104,'Reference Score Calculation'!$O109)),10,IF(ISNUMBER(SEARCH($AW$104,'Reference Score Calculation'!$P109)),7,5)))))</f>
        <v>7</v>
      </c>
      <c r="BL130" s="415">
        <f>IF(ISNUMBER(SEARCH(BL$112,'Reference Score Calculation'!$O109)),10,IF(ISNUMBER(SEARCH(BL$112,'Reference Score Calculation'!$P109)),7,IF(ISNUMBER(SEARCH(BL$112,'Reference Score Calculation'!$Q109)),5,IF(ISNUMBER(SEARCH($AW$104,'Reference Score Calculation'!$O109)),10,IF(ISNUMBER(SEARCH($AW$104,'Reference Score Calculation'!$P109)),7,5)))))</f>
        <v>7</v>
      </c>
      <c r="BM130" s="415">
        <f>IF(ISNUMBER(SEARCH(BM$112,'Reference Score Calculation'!$O109)),10,IF(ISNUMBER(SEARCH(BM$112,'Reference Score Calculation'!$P109)),7,IF(ISNUMBER(SEARCH(BM$112,'Reference Score Calculation'!$Q109)),5,IF(ISNUMBER(SEARCH($AW$104,'Reference Score Calculation'!$O109)),10,IF(ISNUMBER(SEARCH("組合科學(任何)",'Reference Score Calculation'!$O109)),10,IF(ISNUMBER(SEARCH("組合科學(任何)",'Reference Score Calculation'!$P109)),7,IF(ISNUMBER(SEARCH("組合科學(任何)",'Reference Score Calculation'!$Q109)),5,IF(ISNUMBER(SEARCH($AW$104,'Reference Score Calculation'!$P109)),7,5))))))))</f>
        <v>7</v>
      </c>
      <c r="BN130" s="415">
        <f>IF(ISNUMBER(SEARCH(BN$112,'Reference Score Calculation'!$O109)),10,IF(ISNUMBER(SEARCH(BN$112,'Reference Score Calculation'!$P109)),7,IF(ISNUMBER(SEARCH(BN$112,'Reference Score Calculation'!$Q109)),5,IF(ISNUMBER(SEARCH($AW$104,'Reference Score Calculation'!$O109)),10,IF(ISNUMBER(SEARCH("組合科學(任何)",'Reference Score Calculation'!$O109)),10,IF(ISNUMBER(SEARCH("組合科學(任何)",'Reference Score Calculation'!$P109)),7,IF(ISNUMBER(SEARCH("組合科學(任何)",'Reference Score Calculation'!$Q109)),5,IF(ISNUMBER(SEARCH($AW$104,'Reference Score Calculation'!$P109)),7,5))))))))</f>
        <v>7</v>
      </c>
      <c r="BO130" s="415">
        <f>IF(ISNUMBER(SEARCH(BO$112,'Reference Score Calculation'!$O109)),10,IF(ISNUMBER(SEARCH(BO$112,'Reference Score Calculation'!$P109)),7,IF(ISNUMBER(SEARCH(BO$112,'Reference Score Calculation'!$Q109)),5,IF(ISNUMBER(SEARCH($AW$104,'Reference Score Calculation'!$O109)),10,IF(ISNUMBER(SEARCH("組合科學(任何)",'Reference Score Calculation'!$O109)),10,IF(ISNUMBER(SEARCH("組合科學(任何)",'Reference Score Calculation'!$P109)),7,IF(ISNUMBER(SEARCH("組合科學(任何)",'Reference Score Calculation'!$Q109)),5,IF(ISNUMBER(SEARCH($AW$104,'Reference Score Calculation'!$P109)),7,5))))))))</f>
        <v>7</v>
      </c>
      <c r="BP130" s="415">
        <f>IF(ISNUMBER(SEARCH(BP$112,'Reference Score Calculation'!$O109)),10,IF(ISNUMBER(SEARCH(BP$112,'Reference Score Calculation'!$P109)),7,IF(ISNUMBER(SEARCH(BP$112,'Reference Score Calculation'!$Q109)),5,IF(ISNUMBER(SEARCH($AW$104,'Reference Score Calculation'!$O109)),10,IF(ISNUMBER(SEARCH($AW$104,'Reference Score Calculation'!$P109)),7,5)))))</f>
        <v>7</v>
      </c>
      <c r="BQ130" s="415">
        <f>IF(ISNUMBER(SEARCH(BQ$112,'Reference Score Calculation'!$O109)),10,IF(ISNUMBER(SEARCH(BQ$112,'Reference Score Calculation'!$P109)),7,IF(ISNUMBER(SEARCH(BQ$112,'Reference Score Calculation'!$Q109)),5,IF(ISNUMBER(SEARCH($AW$104,'Reference Score Calculation'!$O109)),10,IF(ISNUMBER(SEARCH($AW$104,'Reference Score Calculation'!$P109)),7,5)))))</f>
        <v>7</v>
      </c>
      <c r="BR130" s="415">
        <f>IF(ISNUMBER(SEARCH(BR$112,'Reference Score Calculation'!$O109)),10,IF(ISNUMBER(SEARCH(BR$112,'Reference Score Calculation'!$P109)),7,IF(ISNUMBER(SEARCH(BR$112,'Reference Score Calculation'!$Q109)),5,IF(ISNUMBER(SEARCH($AW$104,'Reference Score Calculation'!$O109)),10,IF(ISNUMBER(SEARCH($AW$104,'Reference Score Calculation'!$P109)),7,5)))))</f>
        <v>7</v>
      </c>
      <c r="BS130" s="415">
        <f>IF(ISNUMBER(SEARCH(BS$112,'Reference Score Calculation'!$O109)),10,IF(ISNUMBER(SEARCH(BS$112,'Reference Score Calculation'!$P109)),7,IF(ISNUMBER(SEARCH(BS$112,'Reference Score Calculation'!$Q109)),5,IF(ISNUMBER(SEARCH($AW$104,'Reference Score Calculation'!$O109)),10,IF(ISNUMBER(SEARCH($AW$104,'Reference Score Calculation'!$P109)),7,5)))))</f>
        <v>7</v>
      </c>
      <c r="BT130" s="415">
        <f>IF(ISNUMBER(SEARCH(BT$112,'Reference Score Calculation'!$O109)),10,IF(ISNUMBER(SEARCH(BT$112,'Reference Score Calculation'!$P109)),7,IF(ISNUMBER(SEARCH(BT$112,'Reference Score Calculation'!$Q109)),5,IF(ISNUMBER(SEARCH($AW$104,'Reference Score Calculation'!$O109)),10,IF(ISNUMBER(SEARCH($AW$104,'Reference Score Calculation'!$P109)),7,5)))))</f>
        <v>7</v>
      </c>
      <c r="BU130" s="415">
        <f>IF(ISNUMBER(SEARCH(BU$112,'Reference Score Calculation'!$O109)),10,IF(ISNUMBER(SEARCH(BU$112,'Reference Score Calculation'!$P109)),7,IF(ISNUMBER(SEARCH(BU$112,'Reference Score Calculation'!$Q109)),5,IF(ISNUMBER(SEARCH($AW$104,'Reference Score Calculation'!$O109)),10,IF(ISNUMBER(SEARCH($AW$104,'Reference Score Calculation'!$P109)),7,5)))))</f>
        <v>7</v>
      </c>
      <c r="BV130" s="415">
        <f>IF(ISNUMBER(SEARCH(BV$112,'Reference Score Calculation'!$O109)),10,IF(ISNUMBER(SEARCH(BV$112,'Reference Score Calculation'!$P109)),7,IF(ISNUMBER(SEARCH(BV$112,'Reference Score Calculation'!$Q109)),5,IF(ISNUMBER(SEARCH($AW$104,'Reference Score Calculation'!$O109)),10,IF(ISNUMBER(SEARCH($AW$104,'Reference Score Calculation'!$P109)),7,5)))))</f>
        <v>7</v>
      </c>
      <c r="BW130" s="415">
        <f>IF(ISNUMBER(SEARCH(BW$112,'Reference Score Calculation'!$O109)),10,IF(ISNUMBER(SEARCH(BW$112,'Reference Score Calculation'!$P109)),7,IF(ISNUMBER(SEARCH(BW$112,'Reference Score Calculation'!$Q109)),5,IF(ISNUMBER(SEARCH($AW$104,'Reference Score Calculation'!$O109)),10,IF(ISNUMBER(SEARCH($AW$104,'Reference Score Calculation'!$P109)),7,5)))))</f>
        <v>7</v>
      </c>
      <c r="BX130" s="415">
        <f>IF(ISNUMBER(SEARCH(BX$112,'Reference Score Calculation'!$O109)),10,IF(ISNUMBER(SEARCH(BX$112,'Reference Score Calculation'!$P109)),7,IF(ISNUMBER(SEARCH(BX$112,'Reference Score Calculation'!$Q109)),5,IF(ISNUMBER(SEARCH($AW$104,'Reference Score Calculation'!$O109)),10,IF(ISNUMBER(SEARCH($AW$104,'Reference Score Calculation'!$P109)),7,5)))))</f>
        <v>7</v>
      </c>
      <c r="BY130" s="195"/>
      <c r="BZ130" s="195"/>
      <c r="CA130" s="195"/>
    </row>
    <row r="131" spans="1:79">
      <c r="A131" s="119" t="str">
        <f>'Reference Score Calculation'!A108</f>
        <v>JS3240</v>
      </c>
      <c r="B131" s="119" t="str">
        <f>'Reference Score Calculation'!A108</f>
        <v>JS3240</v>
      </c>
      <c r="C131" s="119" t="str">
        <f>'Reference Score Calculation'!D108</f>
        <v>英文及應用語言學(榮譽)文學士組合課程</v>
      </c>
      <c r="D131" s="2" t="e">
        <f>'Reference Score Calculation'!#REF!</f>
        <v>#REF!</v>
      </c>
      <c r="E131" s="134" t="str">
        <f>'Reference Score Calculation'!E108</f>
        <v>中英Best3</v>
      </c>
      <c r="F131" s="134"/>
      <c r="G131" s="119" t="str">
        <f>入學要求!AB117</f>
        <v>v</v>
      </c>
      <c r="H131" s="119" t="str">
        <f>入學要求!AC117</f>
        <v>E</v>
      </c>
      <c r="I131" s="119" t="str">
        <f>入學要求!AD117</f>
        <v>v</v>
      </c>
      <c r="J131" s="119">
        <f t="shared" si="254"/>
        <v>1.5349999999999998E-8</v>
      </c>
      <c r="K131" s="119">
        <f t="shared" si="232"/>
        <v>10</v>
      </c>
      <c r="L131" s="119">
        <f t="shared" si="232"/>
        <v>10</v>
      </c>
      <c r="M131" s="119">
        <f t="shared" si="232"/>
        <v>7</v>
      </c>
      <c r="N131" s="119">
        <v>0</v>
      </c>
      <c r="O131" s="119">
        <f t="shared" si="255"/>
        <v>5</v>
      </c>
      <c r="P131" s="119">
        <f t="shared" si="255"/>
        <v>0</v>
      </c>
      <c r="Q131" s="119">
        <f t="shared" si="255"/>
        <v>0</v>
      </c>
      <c r="R131" s="119">
        <f t="shared" si="255"/>
        <v>0</v>
      </c>
      <c r="S131" s="119">
        <f t="shared" si="255"/>
        <v>0</v>
      </c>
      <c r="T131" s="119">
        <v>5</v>
      </c>
      <c r="V131" s="119">
        <f t="shared" si="234"/>
        <v>4.0000000000000002E-9</v>
      </c>
      <c r="W131" s="119">
        <f t="shared" si="235"/>
        <v>2.0000000000000001E-9</v>
      </c>
      <c r="X131" s="119">
        <f t="shared" si="236"/>
        <v>2.0999999999999998E-9</v>
      </c>
      <c r="Y131" s="119">
        <f t="shared" si="237"/>
        <v>0</v>
      </c>
      <c r="Z131" s="119">
        <f t="shared" si="238"/>
        <v>2.5000000000000001E-9</v>
      </c>
      <c r="AA131" s="119">
        <f t="shared" si="239"/>
        <v>0</v>
      </c>
      <c r="AB131" s="119">
        <f t="shared" si="240"/>
        <v>0</v>
      </c>
      <c r="AC131" s="119">
        <f t="shared" si="241"/>
        <v>0</v>
      </c>
      <c r="AD131" s="119">
        <f t="shared" si="242"/>
        <v>0</v>
      </c>
      <c r="AE131" s="119">
        <f t="shared" si="243"/>
        <v>4.7500000000000003E-9</v>
      </c>
      <c r="AF131" s="417" t="b">
        <v>1</v>
      </c>
      <c r="AG131" s="417" t="b">
        <v>1</v>
      </c>
      <c r="AH131" s="119" t="b">
        <f t="shared" ref="AH131:AO131" si="256">IF(X131&gt;LARGE($X131:$AE131,4),TRUE)</f>
        <v>1</v>
      </c>
      <c r="AI131" s="119" t="b">
        <f t="shared" si="256"/>
        <v>0</v>
      </c>
      <c r="AJ131" s="119" t="b">
        <f t="shared" si="256"/>
        <v>1</v>
      </c>
      <c r="AK131" s="119" t="b">
        <f t="shared" si="256"/>
        <v>0</v>
      </c>
      <c r="AL131" s="119" t="b">
        <f t="shared" si="256"/>
        <v>0</v>
      </c>
      <c r="AM131" s="119" t="b">
        <f t="shared" si="256"/>
        <v>0</v>
      </c>
      <c r="AN131" s="119" t="b">
        <f t="shared" si="256"/>
        <v>0</v>
      </c>
      <c r="AO131" s="119" t="b">
        <f t="shared" si="256"/>
        <v>1</v>
      </c>
      <c r="AQ131" s="2"/>
      <c r="AR131" s="2"/>
      <c r="AS131" s="2"/>
      <c r="AT131" s="195"/>
      <c r="AU131" s="195" t="str">
        <f>'Reference Score Calculation'!A110</f>
        <v>JS3290</v>
      </c>
      <c r="AV131" s="195"/>
      <c r="AW131" s="415">
        <f>IF(ISNUMBER(SEARCH(AW$112,'Reference Score Calculation'!$O110)),10,IF(ISNUMBER(SEARCH(AW$112,'Reference Score Calculation'!$P110)),7,IF(ISNUMBER(SEARCH(AW$112,'Reference Score Calculation'!$Q110)),5,IF(ISNUMBER(SEARCH($AW$104,'Reference Score Calculation'!$O110)),10,IF(ISNUMBER(SEARCH($AW$104,'Reference Score Calculation'!$P110)),7,5)))))</f>
        <v>7</v>
      </c>
      <c r="AX131" s="415">
        <f>IF(ISNUMBER(SEARCH(AX$112,'Reference Score Calculation'!$O110)),10,IF(ISNUMBER(SEARCH(AX$112,'Reference Score Calculation'!$P110)),7,IF(ISNUMBER(SEARCH(AX$112,'Reference Score Calculation'!$Q110)),5,IF(ISNUMBER(SEARCH($AW$104,'Reference Score Calculation'!$O110)),10,IF(ISNUMBER(SEARCH($AW$104,'Reference Score Calculation'!$P110)),7,5)))))</f>
        <v>10</v>
      </c>
      <c r="AY131" s="415">
        <f>IF(ISNUMBER(SEARCH(AY$112,'Reference Score Calculation'!$O110)),10,IF(ISNUMBER(SEARCH(AY$112,'Reference Score Calculation'!$P110)),7,IF(ISNUMBER(SEARCH(AY$112,'Reference Score Calculation'!$Q110)),5,IF(ISNUMBER(SEARCH($AW$104,'Reference Score Calculation'!$O110)),10,IF(ISNUMBER(SEARCH($AW$104,'Reference Score Calculation'!$P110)),7,5)))))</f>
        <v>10</v>
      </c>
      <c r="AZ131" s="415">
        <f>IF(ISNUMBER(SEARCH(AZ$112,'Reference Score Calculation'!$O110)),10,IF(ISNUMBER(SEARCH(AZ$112,'Reference Score Calculation'!$P110)),7,IF(ISNUMBER(SEARCH(AZ$112,'Reference Score Calculation'!$Q110)),5,IF(ISNUMBER(SEARCH($AW$104,'Reference Score Calculation'!$O110)),10,IF(ISNUMBER(SEARCH($AW$104,'Reference Score Calculation'!$P110)),7,5)))))</f>
        <v>7</v>
      </c>
      <c r="BA131" s="415">
        <f>IF(ISNUMBER(SEARCH(BA$112,'Reference Score Calculation'!$O110)),10,IF(ISNUMBER(SEARCH(BA$112,'Reference Score Calculation'!$P110)),7,IF(ISNUMBER(SEARCH(BA$112,'Reference Score Calculation'!$Q110)),5,IF(ISNUMBER(SEARCH($AW$104,'Reference Score Calculation'!$O110)),10,IF(ISNUMBER(SEARCH($AW$104,'Reference Score Calculation'!$P110)),7,5)))))</f>
        <v>10</v>
      </c>
      <c r="BB131" s="415">
        <f>IF(ISNUMBER(SEARCH(BB$112,'Reference Score Calculation'!$O110)),10,IF(ISNUMBER(SEARCH(BB$112,'Reference Score Calculation'!$P110)),7,IF(ISNUMBER(SEARCH(BB$112,'Reference Score Calculation'!$Q110)),5,IF(ISNUMBER(SEARCH($AW$104,'Reference Score Calculation'!$O110)),10,IF(ISNUMBER(SEARCH($AW$104,'Reference Score Calculation'!$P110)),7,5)))))</f>
        <v>10</v>
      </c>
      <c r="BC131" s="415">
        <f>IF(ISNUMBER(SEARCH(BC$112,'Reference Score Calculation'!$O110)),10,IF(ISNUMBER(SEARCH(BC$112,'Reference Score Calculation'!$P110)),7,IF(ISNUMBER(SEARCH(BC$112,'Reference Score Calculation'!$Q110)),5,IF(ISNUMBER(SEARCH($AW$104,'Reference Score Calculation'!$O110)),10,IF(ISNUMBER(SEARCH($AW$104,'Reference Score Calculation'!$P110)),7,5)))))</f>
        <v>10</v>
      </c>
      <c r="BD131" s="415">
        <f>IF(ISNUMBER(SEARCH(BD$112,'Reference Score Calculation'!$O110)),10,IF(ISNUMBER(SEARCH(BD$112,'Reference Score Calculation'!$P110)),7,IF(ISNUMBER(SEARCH(BD$112,'Reference Score Calculation'!$Q110)),5,IF(ISNUMBER(SEARCH($AW$104,'Reference Score Calculation'!$O110)),10,IF(ISNUMBER(SEARCH($AW$104,'Reference Score Calculation'!$P110)),7,5)))))</f>
        <v>10</v>
      </c>
      <c r="BE131" s="415">
        <f>IF(ISNUMBER(SEARCH(BE$112,'Reference Score Calculation'!$O110)),10,IF(ISNUMBER(SEARCH(BE$112,'Reference Score Calculation'!$P110)),7,IF(ISNUMBER(SEARCH(BE$112,'Reference Score Calculation'!$Q110)),5,IF(ISNUMBER(SEARCH($AW$104,'Reference Score Calculation'!$O110)),10,IF(ISNUMBER(SEARCH($AW$104,'Reference Score Calculation'!$P110)),7,5)))))</f>
        <v>5</v>
      </c>
      <c r="BF131" s="415">
        <f>IF(ISNUMBER(SEARCH(BF$112,'Reference Score Calculation'!$O110)),10,IF(ISNUMBER(SEARCH(BF$112,'Reference Score Calculation'!$P110)),7,IF(ISNUMBER(SEARCH(BF$112,'Reference Score Calculation'!$Q110)),5,IF(ISNUMBER(SEARCH($AW$104,'Reference Score Calculation'!$O110)),10,IF(ISNUMBER(SEARCH($AW$104,'Reference Score Calculation'!$P110)),7,5)))))</f>
        <v>5</v>
      </c>
      <c r="BG131" s="415">
        <f>IF(ISNUMBER(SEARCH(BG$112,'Reference Score Calculation'!$O110)),10,IF(ISNUMBER(SEARCH(BG$112,'Reference Score Calculation'!$P110)),7,IF(ISNUMBER(SEARCH(BG$112,'Reference Score Calculation'!$Q110)),5,IF(ISNUMBER(SEARCH($AW$104,'Reference Score Calculation'!$O110)),10,IF(ISNUMBER(SEARCH($AW$104,'Reference Score Calculation'!$P110)),7,5)))))</f>
        <v>5</v>
      </c>
      <c r="BH131" s="415">
        <f>IF(ISNUMBER(SEARCH(BH$112,'Reference Score Calculation'!$O110)),10,IF(ISNUMBER(SEARCH(BH$112,'Reference Score Calculation'!$P110)),7,IF(ISNUMBER(SEARCH(BH$112,'Reference Score Calculation'!$Q110)),5,IF(ISNUMBER(SEARCH($AW$104,'Reference Score Calculation'!$O110)),10,IF(ISNUMBER(SEARCH($AW$104,'Reference Score Calculation'!$P110)),7,5)))))</f>
        <v>5</v>
      </c>
      <c r="BI131" s="415">
        <f>IF(ISNUMBER(SEARCH(BI$112,'Reference Score Calculation'!$O110)),10,IF(ISNUMBER(SEARCH(BI$112,'Reference Score Calculation'!$P110)),7,IF(ISNUMBER(SEARCH(BI$112,'Reference Score Calculation'!$Q110)),5,IF(ISNUMBER(SEARCH($AW$104,'Reference Score Calculation'!$O110)),10,IF(ISNUMBER(SEARCH($AW$104,'Reference Score Calculation'!$P110)),7,5)))))</f>
        <v>5</v>
      </c>
      <c r="BJ131" s="415">
        <f>IF(ISNUMBER(SEARCH(BJ$112,'Reference Score Calculation'!$O110)),10,IF(ISNUMBER(SEARCH(BJ$112,'Reference Score Calculation'!$P110)),7,IF(ISNUMBER(SEARCH(BJ$112,'Reference Score Calculation'!$Q110)),5,IF(ISNUMBER(SEARCH($AW$104,'Reference Score Calculation'!$O110)),10,IF(ISNUMBER(SEARCH($AW$104,'Reference Score Calculation'!$P110)),7,5)))))</f>
        <v>5</v>
      </c>
      <c r="BK131" s="415">
        <f>IF(ISNUMBER(SEARCH(BK$112,'Reference Score Calculation'!$O110)),10,IF(ISNUMBER(SEARCH(BK$112,'Reference Score Calculation'!$P110)),7,IF(ISNUMBER(SEARCH(BK$112,'Reference Score Calculation'!$Q110)),5,IF(ISNUMBER(SEARCH($AW$104,'Reference Score Calculation'!$O110)),10,IF(ISNUMBER(SEARCH($AW$104,'Reference Score Calculation'!$P110)),7,5)))))</f>
        <v>5</v>
      </c>
      <c r="BL131" s="415">
        <f>IF(ISNUMBER(SEARCH(BL$112,'Reference Score Calculation'!$O110)),10,IF(ISNUMBER(SEARCH(BL$112,'Reference Score Calculation'!$P110)),7,IF(ISNUMBER(SEARCH(BL$112,'Reference Score Calculation'!$Q110)),5,IF(ISNUMBER(SEARCH($AW$104,'Reference Score Calculation'!$O110)),10,IF(ISNUMBER(SEARCH($AW$104,'Reference Score Calculation'!$P110)),7,5)))))</f>
        <v>5</v>
      </c>
      <c r="BM131" s="415">
        <f>IF(ISNUMBER(SEARCH(BM$112,'Reference Score Calculation'!$O110)),10,IF(ISNUMBER(SEARCH(BM$112,'Reference Score Calculation'!$P110)),7,IF(ISNUMBER(SEARCH(BM$112,'Reference Score Calculation'!$Q110)),5,IF(ISNUMBER(SEARCH($AW$104,'Reference Score Calculation'!$O110)),10,IF(ISNUMBER(SEARCH("組合科學(任何)",'Reference Score Calculation'!$O110)),10,IF(ISNUMBER(SEARCH("組合科學(任何)",'Reference Score Calculation'!$P110)),7,IF(ISNUMBER(SEARCH("組合科學(任何)",'Reference Score Calculation'!$Q110)),5,IF(ISNUMBER(SEARCH($AW$104,'Reference Score Calculation'!$P110)),7,5))))))))</f>
        <v>10</v>
      </c>
      <c r="BN131" s="415">
        <f>IF(ISNUMBER(SEARCH(BN$112,'Reference Score Calculation'!$O110)),10,IF(ISNUMBER(SEARCH(BN$112,'Reference Score Calculation'!$P110)),7,IF(ISNUMBER(SEARCH(BN$112,'Reference Score Calculation'!$Q110)),5,IF(ISNUMBER(SEARCH($AW$104,'Reference Score Calculation'!$O110)),10,IF(ISNUMBER(SEARCH("組合科學(任何)",'Reference Score Calculation'!$O110)),10,IF(ISNUMBER(SEARCH("組合科學(任何)",'Reference Score Calculation'!$P110)),7,IF(ISNUMBER(SEARCH("組合科學(任何)",'Reference Score Calculation'!$Q110)),5,IF(ISNUMBER(SEARCH($AW$104,'Reference Score Calculation'!$P110)),7,5))))))))</f>
        <v>10</v>
      </c>
      <c r="BO131" s="415">
        <f>IF(ISNUMBER(SEARCH(BO$112,'Reference Score Calculation'!$O110)),10,IF(ISNUMBER(SEARCH(BO$112,'Reference Score Calculation'!$P110)),7,IF(ISNUMBER(SEARCH(BO$112,'Reference Score Calculation'!$Q110)),5,IF(ISNUMBER(SEARCH($AW$104,'Reference Score Calculation'!$O110)),10,IF(ISNUMBER(SEARCH("組合科學(任何)",'Reference Score Calculation'!$O110)),10,IF(ISNUMBER(SEARCH("組合科學(任何)",'Reference Score Calculation'!$P110)),7,IF(ISNUMBER(SEARCH("組合科學(任何)",'Reference Score Calculation'!$Q110)),5,IF(ISNUMBER(SEARCH($AW$104,'Reference Score Calculation'!$P110)),7,5))))))))</f>
        <v>10</v>
      </c>
      <c r="BP131" s="415">
        <f>IF(ISNUMBER(SEARCH(BP$112,'Reference Score Calculation'!$O110)),10,IF(ISNUMBER(SEARCH(BP$112,'Reference Score Calculation'!$P110)),7,IF(ISNUMBER(SEARCH(BP$112,'Reference Score Calculation'!$Q110)),5,IF(ISNUMBER(SEARCH($AW$104,'Reference Score Calculation'!$O110)),10,IF(ISNUMBER(SEARCH($AW$104,'Reference Score Calculation'!$P110)),7,5)))))</f>
        <v>5</v>
      </c>
      <c r="BQ131" s="415">
        <f>IF(ISNUMBER(SEARCH(BQ$112,'Reference Score Calculation'!$O110)),10,IF(ISNUMBER(SEARCH(BQ$112,'Reference Score Calculation'!$P110)),7,IF(ISNUMBER(SEARCH(BQ$112,'Reference Score Calculation'!$Q110)),5,IF(ISNUMBER(SEARCH($AW$104,'Reference Score Calculation'!$O110)),10,IF(ISNUMBER(SEARCH($AW$104,'Reference Score Calculation'!$P110)),7,5)))))</f>
        <v>5</v>
      </c>
      <c r="BR131" s="415">
        <f>IF(ISNUMBER(SEARCH(BR$112,'Reference Score Calculation'!$O110)),10,IF(ISNUMBER(SEARCH(BR$112,'Reference Score Calculation'!$P110)),7,IF(ISNUMBER(SEARCH(BR$112,'Reference Score Calculation'!$Q110)),5,IF(ISNUMBER(SEARCH($AW$104,'Reference Score Calculation'!$O110)),10,IF(ISNUMBER(SEARCH($AW$104,'Reference Score Calculation'!$P110)),7,5)))))</f>
        <v>5</v>
      </c>
      <c r="BS131" s="415">
        <f>IF(ISNUMBER(SEARCH(BS$112,'Reference Score Calculation'!$O110)),10,IF(ISNUMBER(SEARCH(BS$112,'Reference Score Calculation'!$P110)),7,IF(ISNUMBER(SEARCH(BS$112,'Reference Score Calculation'!$Q110)),5,IF(ISNUMBER(SEARCH($AW$104,'Reference Score Calculation'!$O110)),10,IF(ISNUMBER(SEARCH($AW$104,'Reference Score Calculation'!$P110)),7,5)))))</f>
        <v>5</v>
      </c>
      <c r="BT131" s="415">
        <f>IF(ISNUMBER(SEARCH(BT$112,'Reference Score Calculation'!$O110)),10,IF(ISNUMBER(SEARCH(BT$112,'Reference Score Calculation'!$P110)),7,IF(ISNUMBER(SEARCH(BT$112,'Reference Score Calculation'!$Q110)),5,IF(ISNUMBER(SEARCH($AW$104,'Reference Score Calculation'!$O110)),10,IF(ISNUMBER(SEARCH($AW$104,'Reference Score Calculation'!$P110)),7,5)))))</f>
        <v>5</v>
      </c>
      <c r="BU131" s="415">
        <f>IF(ISNUMBER(SEARCH(BU$112,'Reference Score Calculation'!$O110)),10,IF(ISNUMBER(SEARCH(BU$112,'Reference Score Calculation'!$P110)),7,IF(ISNUMBER(SEARCH(BU$112,'Reference Score Calculation'!$Q110)),5,IF(ISNUMBER(SEARCH($AW$104,'Reference Score Calculation'!$O110)),10,IF(ISNUMBER(SEARCH($AW$104,'Reference Score Calculation'!$P110)),7,5)))))</f>
        <v>5</v>
      </c>
      <c r="BV131" s="415">
        <f>IF(ISNUMBER(SEARCH(BV$112,'Reference Score Calculation'!$O110)),10,IF(ISNUMBER(SEARCH(BV$112,'Reference Score Calculation'!$P110)),7,IF(ISNUMBER(SEARCH(BV$112,'Reference Score Calculation'!$Q110)),5,IF(ISNUMBER(SEARCH($AW$104,'Reference Score Calculation'!$O110)),10,IF(ISNUMBER(SEARCH($AW$104,'Reference Score Calculation'!$P110)),7,5)))))</f>
        <v>5</v>
      </c>
      <c r="BW131" s="415">
        <f>IF(ISNUMBER(SEARCH(BW$112,'Reference Score Calculation'!$O110)),10,IF(ISNUMBER(SEARCH(BW$112,'Reference Score Calculation'!$P110)),7,IF(ISNUMBER(SEARCH(BW$112,'Reference Score Calculation'!$Q110)),5,IF(ISNUMBER(SEARCH($AW$104,'Reference Score Calculation'!$O110)),10,IF(ISNUMBER(SEARCH($AW$104,'Reference Score Calculation'!$P110)),7,5)))))</f>
        <v>5</v>
      </c>
      <c r="BX131" s="415">
        <f>IF(ISNUMBER(SEARCH(BX$112,'Reference Score Calculation'!$O110)),10,IF(ISNUMBER(SEARCH(BX$112,'Reference Score Calculation'!$P110)),7,IF(ISNUMBER(SEARCH(BX$112,'Reference Score Calculation'!$Q110)),5,IF(ISNUMBER(SEARCH($AW$104,'Reference Score Calculation'!$O110)),10,IF(ISNUMBER(SEARCH($AW$104,'Reference Score Calculation'!$P110)),7,5)))))</f>
        <v>5</v>
      </c>
      <c r="BY131" s="195"/>
      <c r="BZ131" s="195"/>
      <c r="CA131" s="195"/>
    </row>
    <row r="132" spans="1:79">
      <c r="A132" s="119" t="str">
        <f>'Reference Score Calculation'!A109</f>
        <v>JS3250</v>
      </c>
      <c r="B132" s="119" t="str">
        <f>'Reference Score Calculation'!A109</f>
        <v>JS3250</v>
      </c>
      <c r="C132" s="119" t="str">
        <f>'Reference Score Calculation'!D109</f>
        <v>應用社會科學(榮譽)文學士組合課程 (社會工作 / 社會政策及社會創業)</v>
      </c>
      <c r="D132" s="2" t="e">
        <f>'Reference Score Calculation'!#REF!</f>
        <v>#REF!</v>
      </c>
      <c r="E132" s="134" t="str">
        <f>'Reference Score Calculation'!E109</f>
        <v>4C2X</v>
      </c>
      <c r="F132" s="134"/>
      <c r="G132" s="119" t="str">
        <f>入學要求!AB118</f>
        <v>v</v>
      </c>
      <c r="H132" s="119" t="str">
        <f>入學要求!AC118</f>
        <v>E</v>
      </c>
      <c r="I132" s="119" t="str">
        <f>入學要求!AD118</f>
        <v>NO</v>
      </c>
      <c r="J132" s="119">
        <f t="shared" si="254"/>
        <v>1.4550000000000001E-8</v>
      </c>
      <c r="K132" s="119">
        <f t="shared" si="232"/>
        <v>7</v>
      </c>
      <c r="L132" s="119">
        <f t="shared" si="232"/>
        <v>7</v>
      </c>
      <c r="M132" s="119">
        <f t="shared" si="232"/>
        <v>7</v>
      </c>
      <c r="N132" s="119">
        <f>IFERROR(INDEX($AW130:$BX130,MATCH(N$1,$AW$113:$BX$113,0)),0)</f>
        <v>7</v>
      </c>
      <c r="O132" s="119">
        <f t="shared" si="255"/>
        <v>7</v>
      </c>
      <c r="P132" s="119">
        <f t="shared" si="255"/>
        <v>0</v>
      </c>
      <c r="Q132" s="119">
        <f t="shared" si="255"/>
        <v>0</v>
      </c>
      <c r="R132" s="119">
        <f t="shared" si="255"/>
        <v>0</v>
      </c>
      <c r="S132" s="119">
        <f t="shared" si="255"/>
        <v>0</v>
      </c>
      <c r="T132" s="119">
        <v>5</v>
      </c>
      <c r="V132" s="119">
        <f t="shared" si="234"/>
        <v>2.8000000000000003E-9</v>
      </c>
      <c r="W132" s="119">
        <f t="shared" si="235"/>
        <v>1.4000000000000001E-9</v>
      </c>
      <c r="X132" s="119">
        <f t="shared" si="236"/>
        <v>2.0999999999999998E-9</v>
      </c>
      <c r="Y132" s="119">
        <f t="shared" si="237"/>
        <v>0</v>
      </c>
      <c r="Z132" s="119">
        <f t="shared" si="238"/>
        <v>3.5000000000000003E-9</v>
      </c>
      <c r="AA132" s="119">
        <f t="shared" si="239"/>
        <v>0</v>
      </c>
      <c r="AB132" s="119">
        <f t="shared" si="240"/>
        <v>0</v>
      </c>
      <c r="AC132" s="119">
        <f t="shared" si="241"/>
        <v>0</v>
      </c>
      <c r="AD132" s="119">
        <f t="shared" si="242"/>
        <v>0</v>
      </c>
      <c r="AE132" s="119">
        <f t="shared" si="243"/>
        <v>4.7500000000000003E-9</v>
      </c>
      <c r="AF132" s="119" t="b">
        <f t="shared" ref="AF132:AI134" si="257">IF($E132="4C2X",TRUE,IF($E132="Best 5",IF(V132&gt;LARGE($V132:$AE132,6),TRUE),IF($E132="Best 6",IF(V132&gt;LARGE($V132:$AE132,7),TRUE))))</f>
        <v>1</v>
      </c>
      <c r="AG132" s="119" t="b">
        <f t="shared" si="257"/>
        <v>1</v>
      </c>
      <c r="AH132" s="119" t="b">
        <f t="shared" si="257"/>
        <v>1</v>
      </c>
      <c r="AI132" s="119" t="b">
        <f t="shared" si="257"/>
        <v>1</v>
      </c>
      <c r="AJ132" s="119" t="b">
        <f t="shared" ref="AJ132:AO134" si="258">IF($E132="4C2X",IF(Z132&gt;LARGE($Z132:$AE132,3),TRUE),IF($E132="Best 5",IF(Z132&gt;LARGE($V132:$AE132,6),TRUE),IF($E132="Best 6",IF(Z132&gt;LARGE($V132:$AE132,7),TRUE))))</f>
        <v>1</v>
      </c>
      <c r="AK132" s="119" t="b">
        <f t="shared" si="258"/>
        <v>0</v>
      </c>
      <c r="AL132" s="119" t="b">
        <f t="shared" si="258"/>
        <v>0</v>
      </c>
      <c r="AM132" s="119" t="b">
        <f t="shared" si="258"/>
        <v>0</v>
      </c>
      <c r="AN132" s="119" t="b">
        <f t="shared" si="258"/>
        <v>0</v>
      </c>
      <c r="AO132" s="119" t="b">
        <f t="shared" si="258"/>
        <v>1</v>
      </c>
      <c r="AQ132" s="2"/>
      <c r="AR132" s="2"/>
      <c r="AS132" s="2"/>
      <c r="AT132" s="195"/>
      <c r="AU132" s="195" t="str">
        <f>'Reference Score Calculation'!A111</f>
        <v>JS3310</v>
      </c>
      <c r="AV132" s="195"/>
      <c r="AW132" s="415">
        <f>IF(ISNUMBER(SEARCH(AW$112,'Reference Score Calculation'!$O111)),10,IF(ISNUMBER(SEARCH(AW$112,'Reference Score Calculation'!$P111)),7,IF(ISNUMBER(SEARCH(AW$112,'Reference Score Calculation'!$Q111)),5,IF(ISNUMBER(SEARCH($AW$104,'Reference Score Calculation'!$O111)),10,IF(ISNUMBER(SEARCH($AW$104,'Reference Score Calculation'!$P111)),7,5)))))</f>
        <v>7</v>
      </c>
      <c r="AX132" s="415">
        <f>IF(ISNUMBER(SEARCH(AX$112,'Reference Score Calculation'!$O111)),10,IF(ISNUMBER(SEARCH(AX$112,'Reference Score Calculation'!$P111)),7,IF(ISNUMBER(SEARCH(AX$112,'Reference Score Calculation'!$Q111)),5,IF(ISNUMBER(SEARCH($AW$104,'Reference Score Calculation'!$O111)),10,IF(ISNUMBER(SEARCH($AW$104,'Reference Score Calculation'!$P111)),7,5)))))</f>
        <v>10</v>
      </c>
      <c r="AY132" s="415">
        <f>IF(ISNUMBER(SEARCH(AY$112,'Reference Score Calculation'!$O111)),10,IF(ISNUMBER(SEARCH(AY$112,'Reference Score Calculation'!$P111)),7,IF(ISNUMBER(SEARCH(AY$112,'Reference Score Calculation'!$Q111)),5,IF(ISNUMBER(SEARCH($AW$104,'Reference Score Calculation'!$O111)),10,IF(ISNUMBER(SEARCH($AW$104,'Reference Score Calculation'!$P111)),7,5)))))</f>
        <v>7</v>
      </c>
      <c r="AZ132" s="415">
        <f>IF(ISNUMBER(SEARCH(AZ$112,'Reference Score Calculation'!$O111)),10,IF(ISNUMBER(SEARCH(AZ$112,'Reference Score Calculation'!$P111)),7,IF(ISNUMBER(SEARCH(AZ$112,'Reference Score Calculation'!$Q111)),5,IF(ISNUMBER(SEARCH($AW$104,'Reference Score Calculation'!$O111)),10,IF(ISNUMBER(SEARCH($AW$104,'Reference Score Calculation'!$P111)),7,5)))))</f>
        <v>7</v>
      </c>
      <c r="BA132" s="415">
        <f>IF(ISNUMBER(SEARCH(BA$112,'Reference Score Calculation'!$O111)),10,IF(ISNUMBER(SEARCH(BA$112,'Reference Score Calculation'!$P111)),7,IF(ISNUMBER(SEARCH(BA$112,'Reference Score Calculation'!$Q111)),5,IF(ISNUMBER(SEARCH($AW$104,'Reference Score Calculation'!$O111)),10,IF(ISNUMBER(SEARCH($AW$104,'Reference Score Calculation'!$P111)),7,5)))))</f>
        <v>7</v>
      </c>
      <c r="BB132" s="415">
        <f>IF(ISNUMBER(SEARCH(BB$112,'Reference Score Calculation'!$O111)),10,IF(ISNUMBER(SEARCH(BB$112,'Reference Score Calculation'!$P111)),7,IF(ISNUMBER(SEARCH(BB$112,'Reference Score Calculation'!$Q111)),5,IF(ISNUMBER(SEARCH($AW$104,'Reference Score Calculation'!$O111)),10,IF(ISNUMBER(SEARCH($AW$104,'Reference Score Calculation'!$P111)),7,5)))))</f>
        <v>7</v>
      </c>
      <c r="BC132" s="415">
        <f>IF(ISNUMBER(SEARCH(BC$112,'Reference Score Calculation'!$O111)),10,IF(ISNUMBER(SEARCH(BC$112,'Reference Score Calculation'!$P111)),7,IF(ISNUMBER(SEARCH(BC$112,'Reference Score Calculation'!$Q111)),5,IF(ISNUMBER(SEARCH($AW$104,'Reference Score Calculation'!$O111)),10,IF(ISNUMBER(SEARCH($AW$104,'Reference Score Calculation'!$P111)),7,5)))))</f>
        <v>7</v>
      </c>
      <c r="BD132" s="415">
        <f>IF(ISNUMBER(SEARCH(BD$112,'Reference Score Calculation'!$O111)),10,IF(ISNUMBER(SEARCH(BD$112,'Reference Score Calculation'!$P111)),7,IF(ISNUMBER(SEARCH(BD$112,'Reference Score Calculation'!$Q111)),5,IF(ISNUMBER(SEARCH($AW$104,'Reference Score Calculation'!$O111)),10,IF(ISNUMBER(SEARCH($AW$104,'Reference Score Calculation'!$P111)),7,5)))))</f>
        <v>7</v>
      </c>
      <c r="BE132" s="415">
        <f>IF(ISNUMBER(SEARCH(BE$112,'Reference Score Calculation'!$O111)),10,IF(ISNUMBER(SEARCH(BE$112,'Reference Score Calculation'!$P111)),7,IF(ISNUMBER(SEARCH(BE$112,'Reference Score Calculation'!$Q111)),5,IF(ISNUMBER(SEARCH($AW$104,'Reference Score Calculation'!$O111)),10,IF(ISNUMBER(SEARCH($AW$104,'Reference Score Calculation'!$P111)),7,5)))))</f>
        <v>7</v>
      </c>
      <c r="BF132" s="415">
        <f>IF(ISNUMBER(SEARCH(BF$112,'Reference Score Calculation'!$O111)),10,IF(ISNUMBER(SEARCH(BF$112,'Reference Score Calculation'!$P111)),7,IF(ISNUMBER(SEARCH(BF$112,'Reference Score Calculation'!$Q111)),5,IF(ISNUMBER(SEARCH($AW$104,'Reference Score Calculation'!$O111)),10,IF(ISNUMBER(SEARCH($AW$104,'Reference Score Calculation'!$P111)),7,5)))))</f>
        <v>7</v>
      </c>
      <c r="BG132" s="415">
        <f>IF(ISNUMBER(SEARCH(BG$112,'Reference Score Calculation'!$O111)),10,IF(ISNUMBER(SEARCH(BG$112,'Reference Score Calculation'!$P111)),7,IF(ISNUMBER(SEARCH(BG$112,'Reference Score Calculation'!$Q111)),5,IF(ISNUMBER(SEARCH($AW$104,'Reference Score Calculation'!$O111)),10,IF(ISNUMBER(SEARCH($AW$104,'Reference Score Calculation'!$P111)),7,5)))))</f>
        <v>7</v>
      </c>
      <c r="BH132" s="415">
        <f>IF(ISNUMBER(SEARCH(BH$112,'Reference Score Calculation'!$O111)),10,IF(ISNUMBER(SEARCH(BH$112,'Reference Score Calculation'!$P111)),7,IF(ISNUMBER(SEARCH(BH$112,'Reference Score Calculation'!$Q111)),5,IF(ISNUMBER(SEARCH($AW$104,'Reference Score Calculation'!$O111)),10,IF(ISNUMBER(SEARCH($AW$104,'Reference Score Calculation'!$P111)),7,5)))))</f>
        <v>7</v>
      </c>
      <c r="BI132" s="415">
        <f>IF(ISNUMBER(SEARCH(BI$112,'Reference Score Calculation'!$O111)),10,IF(ISNUMBER(SEARCH(BI$112,'Reference Score Calculation'!$P111)),7,IF(ISNUMBER(SEARCH(BI$112,'Reference Score Calculation'!$Q111)),5,IF(ISNUMBER(SEARCH($AW$104,'Reference Score Calculation'!$O111)),10,IF(ISNUMBER(SEARCH($AW$104,'Reference Score Calculation'!$P111)),7,5)))))</f>
        <v>7</v>
      </c>
      <c r="BJ132" s="415">
        <f>IF(ISNUMBER(SEARCH(BJ$112,'Reference Score Calculation'!$O111)),10,IF(ISNUMBER(SEARCH(BJ$112,'Reference Score Calculation'!$P111)),7,IF(ISNUMBER(SEARCH(BJ$112,'Reference Score Calculation'!$Q111)),5,IF(ISNUMBER(SEARCH($AW$104,'Reference Score Calculation'!$O111)),10,IF(ISNUMBER(SEARCH($AW$104,'Reference Score Calculation'!$P111)),7,5)))))</f>
        <v>7</v>
      </c>
      <c r="BK132" s="415">
        <f>IF(ISNUMBER(SEARCH(BK$112,'Reference Score Calculation'!$O111)),10,IF(ISNUMBER(SEARCH(BK$112,'Reference Score Calculation'!$P111)),7,IF(ISNUMBER(SEARCH(BK$112,'Reference Score Calculation'!$Q111)),5,IF(ISNUMBER(SEARCH($AW$104,'Reference Score Calculation'!$O111)),10,IF(ISNUMBER(SEARCH($AW$104,'Reference Score Calculation'!$P111)),7,5)))))</f>
        <v>7</v>
      </c>
      <c r="BL132" s="415">
        <f>IF(ISNUMBER(SEARCH(BL$112,'Reference Score Calculation'!$O111)),10,IF(ISNUMBER(SEARCH(BL$112,'Reference Score Calculation'!$P111)),7,IF(ISNUMBER(SEARCH(BL$112,'Reference Score Calculation'!$Q111)),5,IF(ISNUMBER(SEARCH($AW$104,'Reference Score Calculation'!$O111)),10,IF(ISNUMBER(SEARCH($AW$104,'Reference Score Calculation'!$P111)),7,5)))))</f>
        <v>7</v>
      </c>
      <c r="BM132" s="415">
        <f>IF(ISNUMBER(SEARCH(BM$112,'Reference Score Calculation'!$O111)),10,IF(ISNUMBER(SEARCH(BM$112,'Reference Score Calculation'!$P111)),7,IF(ISNUMBER(SEARCH(BM$112,'Reference Score Calculation'!$Q111)),5,IF(ISNUMBER(SEARCH($AW$104,'Reference Score Calculation'!$O111)),10,IF(ISNUMBER(SEARCH("組合科學(任何)",'Reference Score Calculation'!$O111)),10,IF(ISNUMBER(SEARCH("組合科學(任何)",'Reference Score Calculation'!$P111)),7,IF(ISNUMBER(SEARCH("組合科學(任何)",'Reference Score Calculation'!$Q111)),5,IF(ISNUMBER(SEARCH($AW$104,'Reference Score Calculation'!$P111)),7,5))))))))</f>
        <v>7</v>
      </c>
      <c r="BN132" s="415">
        <f>IF(ISNUMBER(SEARCH(BN$112,'Reference Score Calculation'!$O111)),10,IF(ISNUMBER(SEARCH(BN$112,'Reference Score Calculation'!$P111)),7,IF(ISNUMBER(SEARCH(BN$112,'Reference Score Calculation'!$Q111)),5,IF(ISNUMBER(SEARCH($AW$104,'Reference Score Calculation'!$O111)),10,IF(ISNUMBER(SEARCH("組合科學(任何)",'Reference Score Calculation'!$O111)),10,IF(ISNUMBER(SEARCH("組合科學(任何)",'Reference Score Calculation'!$P111)),7,IF(ISNUMBER(SEARCH("組合科學(任何)",'Reference Score Calculation'!$Q111)),5,IF(ISNUMBER(SEARCH($AW$104,'Reference Score Calculation'!$P111)),7,5))))))))</f>
        <v>7</v>
      </c>
      <c r="BO132" s="415">
        <f>IF(ISNUMBER(SEARCH(BO$112,'Reference Score Calculation'!$O111)),10,IF(ISNUMBER(SEARCH(BO$112,'Reference Score Calculation'!$P111)),7,IF(ISNUMBER(SEARCH(BO$112,'Reference Score Calculation'!$Q111)),5,IF(ISNUMBER(SEARCH($AW$104,'Reference Score Calculation'!$O111)),10,IF(ISNUMBER(SEARCH("組合科學(任何)",'Reference Score Calculation'!$O111)),10,IF(ISNUMBER(SEARCH("組合科學(任何)",'Reference Score Calculation'!$P111)),7,IF(ISNUMBER(SEARCH("組合科學(任何)",'Reference Score Calculation'!$Q111)),5,IF(ISNUMBER(SEARCH($AW$104,'Reference Score Calculation'!$P111)),7,5))))))))</f>
        <v>7</v>
      </c>
      <c r="BP132" s="415">
        <f>IF(ISNUMBER(SEARCH(BP$112,'Reference Score Calculation'!$O111)),10,IF(ISNUMBER(SEARCH(BP$112,'Reference Score Calculation'!$P111)),7,IF(ISNUMBER(SEARCH(BP$112,'Reference Score Calculation'!$Q111)),5,IF(ISNUMBER(SEARCH($AW$104,'Reference Score Calculation'!$O111)),10,IF(ISNUMBER(SEARCH($AW$104,'Reference Score Calculation'!$P111)),7,5)))))</f>
        <v>7</v>
      </c>
      <c r="BQ132" s="415">
        <f>IF(ISNUMBER(SEARCH(BQ$112,'Reference Score Calculation'!$O111)),10,IF(ISNUMBER(SEARCH(BQ$112,'Reference Score Calculation'!$P111)),7,IF(ISNUMBER(SEARCH(BQ$112,'Reference Score Calculation'!$Q111)),5,IF(ISNUMBER(SEARCH($AW$104,'Reference Score Calculation'!$O111)),10,IF(ISNUMBER(SEARCH($AW$104,'Reference Score Calculation'!$P111)),7,5)))))</f>
        <v>7</v>
      </c>
      <c r="BR132" s="415">
        <f>IF(ISNUMBER(SEARCH(BR$112,'Reference Score Calculation'!$O111)),10,IF(ISNUMBER(SEARCH(BR$112,'Reference Score Calculation'!$P111)),7,IF(ISNUMBER(SEARCH(BR$112,'Reference Score Calculation'!$Q111)),5,IF(ISNUMBER(SEARCH($AW$104,'Reference Score Calculation'!$O111)),10,IF(ISNUMBER(SEARCH($AW$104,'Reference Score Calculation'!$P111)),7,5)))))</f>
        <v>7</v>
      </c>
      <c r="BS132" s="415">
        <f>IF(ISNUMBER(SEARCH(BS$112,'Reference Score Calculation'!$O111)),10,IF(ISNUMBER(SEARCH(BS$112,'Reference Score Calculation'!$P111)),7,IF(ISNUMBER(SEARCH(BS$112,'Reference Score Calculation'!$Q111)),5,IF(ISNUMBER(SEARCH($AW$104,'Reference Score Calculation'!$O111)),10,IF(ISNUMBER(SEARCH($AW$104,'Reference Score Calculation'!$P111)),7,5)))))</f>
        <v>7</v>
      </c>
      <c r="BT132" s="415">
        <f>IF(ISNUMBER(SEARCH(BT$112,'Reference Score Calculation'!$O111)),10,IF(ISNUMBER(SEARCH(BT$112,'Reference Score Calculation'!$P111)),7,IF(ISNUMBER(SEARCH(BT$112,'Reference Score Calculation'!$Q111)),5,IF(ISNUMBER(SEARCH($AW$104,'Reference Score Calculation'!$O111)),10,IF(ISNUMBER(SEARCH($AW$104,'Reference Score Calculation'!$P111)),7,5)))))</f>
        <v>7</v>
      </c>
      <c r="BU132" s="415">
        <f>IF(ISNUMBER(SEARCH(BU$112,'Reference Score Calculation'!$O111)),10,IF(ISNUMBER(SEARCH(BU$112,'Reference Score Calculation'!$P111)),7,IF(ISNUMBER(SEARCH(BU$112,'Reference Score Calculation'!$Q111)),5,IF(ISNUMBER(SEARCH($AW$104,'Reference Score Calculation'!$O111)),10,IF(ISNUMBER(SEARCH($AW$104,'Reference Score Calculation'!$P111)),7,5)))))</f>
        <v>7</v>
      </c>
      <c r="BV132" s="415">
        <f>IF(ISNUMBER(SEARCH(BV$112,'Reference Score Calculation'!$O111)),10,IF(ISNUMBER(SEARCH(BV$112,'Reference Score Calculation'!$P111)),7,IF(ISNUMBER(SEARCH(BV$112,'Reference Score Calculation'!$Q111)),5,IF(ISNUMBER(SEARCH($AW$104,'Reference Score Calculation'!$O111)),10,IF(ISNUMBER(SEARCH($AW$104,'Reference Score Calculation'!$P111)),7,5)))))</f>
        <v>7</v>
      </c>
      <c r="BW132" s="415">
        <f>IF(ISNUMBER(SEARCH(BW$112,'Reference Score Calculation'!$O111)),10,IF(ISNUMBER(SEARCH(BW$112,'Reference Score Calculation'!$P111)),7,IF(ISNUMBER(SEARCH(BW$112,'Reference Score Calculation'!$Q111)),5,IF(ISNUMBER(SEARCH($AW$104,'Reference Score Calculation'!$O111)),10,IF(ISNUMBER(SEARCH($AW$104,'Reference Score Calculation'!$P111)),7,5)))))</f>
        <v>7</v>
      </c>
      <c r="BX132" s="415">
        <f>IF(ISNUMBER(SEARCH(BX$112,'Reference Score Calculation'!$O111)),10,IF(ISNUMBER(SEARCH(BX$112,'Reference Score Calculation'!$P111)),7,IF(ISNUMBER(SEARCH(BX$112,'Reference Score Calculation'!$Q111)),5,IF(ISNUMBER(SEARCH($AW$104,'Reference Score Calculation'!$O111)),10,IF(ISNUMBER(SEARCH($AW$104,'Reference Score Calculation'!$P111)),7,5)))))</f>
        <v>7</v>
      </c>
      <c r="BY132" s="195"/>
      <c r="BZ132" s="195"/>
      <c r="CA132" s="195"/>
    </row>
    <row r="133" spans="1:79">
      <c r="A133" s="119" t="str">
        <f>'Reference Score Calculation'!A110</f>
        <v>JS3290</v>
      </c>
      <c r="B133" s="119" t="str">
        <f>'Reference Score Calculation'!A110</f>
        <v>JS3290</v>
      </c>
      <c r="C133" s="119" t="str">
        <f>'Reference Score Calculation'!D110</f>
        <v>眼科視光學(榮譽)理學士組合課程</v>
      </c>
      <c r="D133" s="2" t="e">
        <f>'Reference Score Calculation'!#REF!</f>
        <v>#REF!</v>
      </c>
      <c r="E133" s="134" t="str">
        <f>'Reference Score Calculation'!E110</f>
        <v>Best 6</v>
      </c>
      <c r="F133" s="134"/>
      <c r="G133" s="119" t="str">
        <f>入學要求!AB119</f>
        <v>v</v>
      </c>
      <c r="H133" s="119" t="str">
        <f>入學要求!AC119</f>
        <v>E</v>
      </c>
      <c r="I133" s="119" t="str">
        <f>入學要求!AD119</f>
        <v>v</v>
      </c>
      <c r="J133" s="119">
        <f t="shared" si="254"/>
        <v>1.7550000000000002E-8</v>
      </c>
      <c r="K133" s="119">
        <f t="shared" si="232"/>
        <v>7</v>
      </c>
      <c r="L133" s="119">
        <f t="shared" si="232"/>
        <v>10</v>
      </c>
      <c r="M133" s="119">
        <f t="shared" si="232"/>
        <v>10</v>
      </c>
      <c r="N133" s="119">
        <f>IFERROR(INDEX($AW131:$BX131,MATCH(N$1,$AW$113:$BX$113,0)),0)</f>
        <v>7</v>
      </c>
      <c r="O133" s="119">
        <f t="shared" si="255"/>
        <v>10</v>
      </c>
      <c r="P133" s="119">
        <f t="shared" si="255"/>
        <v>0</v>
      </c>
      <c r="Q133" s="119">
        <f t="shared" si="255"/>
        <v>0</v>
      </c>
      <c r="R133" s="119">
        <f t="shared" si="255"/>
        <v>0</v>
      </c>
      <c r="S133" s="119">
        <f t="shared" si="255"/>
        <v>0</v>
      </c>
      <c r="T133" s="119">
        <v>5</v>
      </c>
      <c r="V133" s="119">
        <f t="shared" si="234"/>
        <v>2.8000000000000003E-9</v>
      </c>
      <c r="W133" s="119">
        <f t="shared" si="235"/>
        <v>2.0000000000000001E-9</v>
      </c>
      <c r="X133" s="119">
        <f t="shared" si="236"/>
        <v>3E-9</v>
      </c>
      <c r="Y133" s="119">
        <f t="shared" si="237"/>
        <v>0</v>
      </c>
      <c r="Z133" s="119">
        <f t="shared" si="238"/>
        <v>5.0000000000000001E-9</v>
      </c>
      <c r="AA133" s="119">
        <f t="shared" si="239"/>
        <v>0</v>
      </c>
      <c r="AB133" s="119">
        <f t="shared" si="240"/>
        <v>0</v>
      </c>
      <c r="AC133" s="119">
        <f t="shared" si="241"/>
        <v>0</v>
      </c>
      <c r="AD133" s="119">
        <f t="shared" si="242"/>
        <v>0</v>
      </c>
      <c r="AE133" s="119">
        <f t="shared" si="243"/>
        <v>4.7500000000000003E-9</v>
      </c>
      <c r="AF133" s="119" t="b">
        <f t="shared" si="257"/>
        <v>1</v>
      </c>
      <c r="AG133" s="119" t="b">
        <f t="shared" si="257"/>
        <v>1</v>
      </c>
      <c r="AH133" s="119" t="b">
        <f t="shared" si="257"/>
        <v>1</v>
      </c>
      <c r="AI133" s="119" t="b">
        <f t="shared" si="257"/>
        <v>0</v>
      </c>
      <c r="AJ133" s="119" t="b">
        <f t="shared" si="258"/>
        <v>1</v>
      </c>
      <c r="AK133" s="119" t="b">
        <f t="shared" si="258"/>
        <v>0</v>
      </c>
      <c r="AL133" s="119" t="b">
        <f t="shared" si="258"/>
        <v>0</v>
      </c>
      <c r="AM133" s="119" t="b">
        <f t="shared" si="258"/>
        <v>0</v>
      </c>
      <c r="AN133" s="119" t="b">
        <f t="shared" si="258"/>
        <v>0</v>
      </c>
      <c r="AO133" s="119" t="b">
        <f t="shared" si="258"/>
        <v>1</v>
      </c>
      <c r="AQ133" s="2"/>
      <c r="AR133" s="2"/>
      <c r="AS133" s="2"/>
      <c r="AT133" s="195"/>
      <c r="AU133" s="195" t="str">
        <f>'Reference Score Calculation'!A112</f>
        <v>JS3320</v>
      </c>
      <c r="AV133" s="195"/>
      <c r="AW133" s="415">
        <f>IF(ISNUMBER(SEARCH(AW$112,'Reference Score Calculation'!$O112)),10,IF(ISNUMBER(SEARCH(AW$112,'Reference Score Calculation'!$P112)),7,IF(ISNUMBER(SEARCH(AW$112,'Reference Score Calculation'!$Q112)),5,IF(ISNUMBER(SEARCH($AW$104,'Reference Score Calculation'!$O112)),10,IF(ISNUMBER(SEARCH($AW$104,'Reference Score Calculation'!$P112)),7,5)))))</f>
        <v>10</v>
      </c>
      <c r="AX133" s="415">
        <f>IF(ISNUMBER(SEARCH(AX$112,'Reference Score Calculation'!$O112)),10,IF(ISNUMBER(SEARCH(AX$112,'Reference Score Calculation'!$P112)),7,IF(ISNUMBER(SEARCH(AX$112,'Reference Score Calculation'!$Q112)),5,IF(ISNUMBER(SEARCH($AW$104,'Reference Score Calculation'!$O112)),10,IF(ISNUMBER(SEARCH($AW$104,'Reference Score Calculation'!$P112)),7,5)))))</f>
        <v>10</v>
      </c>
      <c r="AY133" s="415">
        <f>IF(ISNUMBER(SEARCH(AY$112,'Reference Score Calculation'!$O112)),10,IF(ISNUMBER(SEARCH(AY$112,'Reference Score Calculation'!$P112)),7,IF(ISNUMBER(SEARCH(AY$112,'Reference Score Calculation'!$Q112)),5,IF(ISNUMBER(SEARCH($AW$104,'Reference Score Calculation'!$O112)),10,IF(ISNUMBER(SEARCH($AW$104,'Reference Score Calculation'!$P112)),7,5)))))</f>
        <v>7</v>
      </c>
      <c r="AZ133" s="415">
        <f>IF(ISNUMBER(SEARCH(AZ$112,'Reference Score Calculation'!$O112)),10,IF(ISNUMBER(SEARCH(AZ$112,'Reference Score Calculation'!$P112)),7,IF(ISNUMBER(SEARCH(AZ$112,'Reference Score Calculation'!$Q112)),5,IF(ISNUMBER(SEARCH($AW$104,'Reference Score Calculation'!$O112)),10,IF(ISNUMBER(SEARCH($AW$104,'Reference Score Calculation'!$P112)),7,5)))))</f>
        <v>7</v>
      </c>
      <c r="BA133" s="415">
        <f>IF(ISNUMBER(SEARCH(BA$112,'Reference Score Calculation'!$O112)),10,IF(ISNUMBER(SEARCH(BA$112,'Reference Score Calculation'!$P112)),7,IF(ISNUMBER(SEARCH(BA$112,'Reference Score Calculation'!$Q112)),5,IF(ISNUMBER(SEARCH($AW$104,'Reference Score Calculation'!$O112)),10,IF(ISNUMBER(SEARCH($AW$104,'Reference Score Calculation'!$P112)),7,5)))))</f>
        <v>5</v>
      </c>
      <c r="BB133" s="415">
        <f>IF(ISNUMBER(SEARCH(BB$112,'Reference Score Calculation'!$O112)),10,IF(ISNUMBER(SEARCH(BB$112,'Reference Score Calculation'!$P112)),7,IF(ISNUMBER(SEARCH(BB$112,'Reference Score Calculation'!$Q112)),5,IF(ISNUMBER(SEARCH($AW$104,'Reference Score Calculation'!$O112)),10,IF(ISNUMBER(SEARCH($AW$104,'Reference Score Calculation'!$P112)),7,5)))))</f>
        <v>5</v>
      </c>
      <c r="BC133" s="415">
        <f>IF(ISNUMBER(SEARCH(BC$112,'Reference Score Calculation'!$O112)),10,IF(ISNUMBER(SEARCH(BC$112,'Reference Score Calculation'!$P112)),7,IF(ISNUMBER(SEARCH(BC$112,'Reference Score Calculation'!$Q112)),5,IF(ISNUMBER(SEARCH($AW$104,'Reference Score Calculation'!$O112)),10,IF(ISNUMBER(SEARCH($AW$104,'Reference Score Calculation'!$P112)),7,5)))))</f>
        <v>5</v>
      </c>
      <c r="BD133" s="415">
        <f>IF(ISNUMBER(SEARCH(BD$112,'Reference Score Calculation'!$O112)),10,IF(ISNUMBER(SEARCH(BD$112,'Reference Score Calculation'!$P112)),7,IF(ISNUMBER(SEARCH(BD$112,'Reference Score Calculation'!$Q112)),5,IF(ISNUMBER(SEARCH($AW$104,'Reference Score Calculation'!$O112)),10,IF(ISNUMBER(SEARCH($AW$104,'Reference Score Calculation'!$P112)),7,5)))))</f>
        <v>5</v>
      </c>
      <c r="BE133" s="415">
        <f>IF(ISNUMBER(SEARCH(BE$112,'Reference Score Calculation'!$O112)),10,IF(ISNUMBER(SEARCH(BE$112,'Reference Score Calculation'!$P112)),7,IF(ISNUMBER(SEARCH(BE$112,'Reference Score Calculation'!$Q112)),5,IF(ISNUMBER(SEARCH($AW$104,'Reference Score Calculation'!$O112)),10,IF(ISNUMBER(SEARCH($AW$104,'Reference Score Calculation'!$P112)),7,5)))))</f>
        <v>5</v>
      </c>
      <c r="BF133" s="415">
        <f>IF(ISNUMBER(SEARCH(BF$112,'Reference Score Calculation'!$O112)),10,IF(ISNUMBER(SEARCH(BF$112,'Reference Score Calculation'!$P112)),7,IF(ISNUMBER(SEARCH(BF$112,'Reference Score Calculation'!$Q112)),5,IF(ISNUMBER(SEARCH($AW$104,'Reference Score Calculation'!$O112)),10,IF(ISNUMBER(SEARCH($AW$104,'Reference Score Calculation'!$P112)),7,5)))))</f>
        <v>5</v>
      </c>
      <c r="BG133" s="415">
        <f>IF(ISNUMBER(SEARCH(BG$112,'Reference Score Calculation'!$O112)),10,IF(ISNUMBER(SEARCH(BG$112,'Reference Score Calculation'!$P112)),7,IF(ISNUMBER(SEARCH(BG$112,'Reference Score Calculation'!$Q112)),5,IF(ISNUMBER(SEARCH($AW$104,'Reference Score Calculation'!$O112)),10,IF(ISNUMBER(SEARCH($AW$104,'Reference Score Calculation'!$P112)),7,5)))))</f>
        <v>5</v>
      </c>
      <c r="BH133" s="415">
        <f>IF(ISNUMBER(SEARCH(BH$112,'Reference Score Calculation'!$O112)),10,IF(ISNUMBER(SEARCH(BH$112,'Reference Score Calculation'!$P112)),7,IF(ISNUMBER(SEARCH(BH$112,'Reference Score Calculation'!$Q112)),5,IF(ISNUMBER(SEARCH($AW$104,'Reference Score Calculation'!$O112)),10,IF(ISNUMBER(SEARCH($AW$104,'Reference Score Calculation'!$P112)),7,5)))))</f>
        <v>5</v>
      </c>
      <c r="BI133" s="415">
        <f>IF(ISNUMBER(SEARCH(BI$112,'Reference Score Calculation'!$O112)),10,IF(ISNUMBER(SEARCH(BI$112,'Reference Score Calculation'!$P112)),7,IF(ISNUMBER(SEARCH(BI$112,'Reference Score Calculation'!$Q112)),5,IF(ISNUMBER(SEARCH($AW$104,'Reference Score Calculation'!$O112)),10,IF(ISNUMBER(SEARCH($AW$104,'Reference Score Calculation'!$P112)),7,5)))))</f>
        <v>10</v>
      </c>
      <c r="BJ133" s="415">
        <f>IF(ISNUMBER(SEARCH(BJ$112,'Reference Score Calculation'!$O112)),10,IF(ISNUMBER(SEARCH(BJ$112,'Reference Score Calculation'!$P112)),7,IF(ISNUMBER(SEARCH(BJ$112,'Reference Score Calculation'!$Q112)),5,IF(ISNUMBER(SEARCH($AW$104,'Reference Score Calculation'!$O112)),10,IF(ISNUMBER(SEARCH($AW$104,'Reference Score Calculation'!$P112)),7,5)))))</f>
        <v>10</v>
      </c>
      <c r="BK133" s="415">
        <f>IF(ISNUMBER(SEARCH(BK$112,'Reference Score Calculation'!$O112)),10,IF(ISNUMBER(SEARCH(BK$112,'Reference Score Calculation'!$P112)),7,IF(ISNUMBER(SEARCH(BK$112,'Reference Score Calculation'!$Q112)),5,IF(ISNUMBER(SEARCH($AW$104,'Reference Score Calculation'!$O112)),10,IF(ISNUMBER(SEARCH($AW$104,'Reference Score Calculation'!$P112)),7,5)))))</f>
        <v>5</v>
      </c>
      <c r="BL133" s="415">
        <f>IF(ISNUMBER(SEARCH(BL$112,'Reference Score Calculation'!$O112)),10,IF(ISNUMBER(SEARCH(BL$112,'Reference Score Calculation'!$P112)),7,IF(ISNUMBER(SEARCH(BL$112,'Reference Score Calculation'!$Q112)),5,IF(ISNUMBER(SEARCH($AW$104,'Reference Score Calculation'!$O112)),10,IF(ISNUMBER(SEARCH($AW$104,'Reference Score Calculation'!$P112)),7,5)))))</f>
        <v>5</v>
      </c>
      <c r="BM133" s="415">
        <f>IF(ISNUMBER(SEARCH(BM$112,'Reference Score Calculation'!$O112)),10,IF(ISNUMBER(SEARCH(BM$112,'Reference Score Calculation'!$P112)),7,IF(ISNUMBER(SEARCH(BM$112,'Reference Score Calculation'!$Q112)),5,IF(ISNUMBER(SEARCH($AW$104,'Reference Score Calculation'!$O112)),10,IF(ISNUMBER(SEARCH("組合科學(任何)",'Reference Score Calculation'!$O112)),10,IF(ISNUMBER(SEARCH("組合科學(任何)",'Reference Score Calculation'!$P112)),7,IF(ISNUMBER(SEARCH("組合科學(任何)",'Reference Score Calculation'!$Q112)),5,IF(ISNUMBER(SEARCH($AW$104,'Reference Score Calculation'!$P112)),7,5))))))))</f>
        <v>5</v>
      </c>
      <c r="BN133" s="415">
        <f>IF(ISNUMBER(SEARCH(BN$112,'Reference Score Calculation'!$O112)),10,IF(ISNUMBER(SEARCH(BN$112,'Reference Score Calculation'!$P112)),7,IF(ISNUMBER(SEARCH(BN$112,'Reference Score Calculation'!$Q112)),5,IF(ISNUMBER(SEARCH($AW$104,'Reference Score Calculation'!$O112)),10,IF(ISNUMBER(SEARCH("組合科學(任何)",'Reference Score Calculation'!$O112)),10,IF(ISNUMBER(SEARCH("組合科學(任何)",'Reference Score Calculation'!$P112)),7,IF(ISNUMBER(SEARCH("組合科學(任何)",'Reference Score Calculation'!$Q112)),5,IF(ISNUMBER(SEARCH($AW$104,'Reference Score Calculation'!$P112)),7,5))))))))</f>
        <v>5</v>
      </c>
      <c r="BO133" s="415">
        <f>IF(ISNUMBER(SEARCH(BO$112,'Reference Score Calculation'!$O112)),10,IF(ISNUMBER(SEARCH(BO$112,'Reference Score Calculation'!$P112)),7,IF(ISNUMBER(SEARCH(BO$112,'Reference Score Calculation'!$Q112)),5,IF(ISNUMBER(SEARCH($AW$104,'Reference Score Calculation'!$O112)),10,IF(ISNUMBER(SEARCH("組合科學(任何)",'Reference Score Calculation'!$O112)),10,IF(ISNUMBER(SEARCH("組合科學(任何)",'Reference Score Calculation'!$P112)),7,IF(ISNUMBER(SEARCH("組合科學(任何)",'Reference Score Calculation'!$Q112)),5,IF(ISNUMBER(SEARCH($AW$104,'Reference Score Calculation'!$P112)),7,5))))))))</f>
        <v>5</v>
      </c>
      <c r="BP133" s="415">
        <f>IF(ISNUMBER(SEARCH(BP$112,'Reference Score Calculation'!$O112)),10,IF(ISNUMBER(SEARCH(BP$112,'Reference Score Calculation'!$P112)),7,IF(ISNUMBER(SEARCH(BP$112,'Reference Score Calculation'!$Q112)),5,IF(ISNUMBER(SEARCH($AW$104,'Reference Score Calculation'!$O112)),10,IF(ISNUMBER(SEARCH($AW$104,'Reference Score Calculation'!$P112)),7,5)))))</f>
        <v>10</v>
      </c>
      <c r="BQ133" s="415">
        <f>IF(ISNUMBER(SEARCH(BQ$112,'Reference Score Calculation'!$O112)),10,IF(ISNUMBER(SEARCH(BQ$112,'Reference Score Calculation'!$P112)),7,IF(ISNUMBER(SEARCH(BQ$112,'Reference Score Calculation'!$Q112)),5,IF(ISNUMBER(SEARCH($AW$104,'Reference Score Calculation'!$O112)),10,IF(ISNUMBER(SEARCH($AW$104,'Reference Score Calculation'!$P112)),7,5)))))</f>
        <v>5</v>
      </c>
      <c r="BR133" s="415">
        <f>IF(ISNUMBER(SEARCH(BR$112,'Reference Score Calculation'!$O112)),10,IF(ISNUMBER(SEARCH(BR$112,'Reference Score Calculation'!$P112)),7,IF(ISNUMBER(SEARCH(BR$112,'Reference Score Calculation'!$Q112)),5,IF(ISNUMBER(SEARCH($AW$104,'Reference Score Calculation'!$O112)),10,IF(ISNUMBER(SEARCH($AW$104,'Reference Score Calculation'!$P112)),7,5)))))</f>
        <v>5</v>
      </c>
      <c r="BS133" s="415">
        <f>IF(ISNUMBER(SEARCH(BS$112,'Reference Score Calculation'!$O112)),10,IF(ISNUMBER(SEARCH(BS$112,'Reference Score Calculation'!$P112)),7,IF(ISNUMBER(SEARCH(BS$112,'Reference Score Calculation'!$Q112)),5,IF(ISNUMBER(SEARCH($AW$104,'Reference Score Calculation'!$O112)),10,IF(ISNUMBER(SEARCH($AW$104,'Reference Score Calculation'!$P112)),7,5)))))</f>
        <v>5</v>
      </c>
      <c r="BT133" s="415">
        <f>IF(ISNUMBER(SEARCH(BT$112,'Reference Score Calculation'!$O112)),10,IF(ISNUMBER(SEARCH(BT$112,'Reference Score Calculation'!$P112)),7,IF(ISNUMBER(SEARCH(BT$112,'Reference Score Calculation'!$Q112)),5,IF(ISNUMBER(SEARCH($AW$104,'Reference Score Calculation'!$O112)),10,IF(ISNUMBER(SEARCH($AW$104,'Reference Score Calculation'!$P112)),7,5)))))</f>
        <v>5</v>
      </c>
      <c r="BU133" s="415">
        <f>IF(ISNUMBER(SEARCH(BU$112,'Reference Score Calculation'!$O112)),10,IF(ISNUMBER(SEARCH(BU$112,'Reference Score Calculation'!$P112)),7,IF(ISNUMBER(SEARCH(BU$112,'Reference Score Calculation'!$Q112)),5,IF(ISNUMBER(SEARCH($AW$104,'Reference Score Calculation'!$O112)),10,IF(ISNUMBER(SEARCH($AW$104,'Reference Score Calculation'!$P112)),7,5)))))</f>
        <v>5</v>
      </c>
      <c r="BV133" s="415">
        <f>IF(ISNUMBER(SEARCH(BV$112,'Reference Score Calculation'!$O112)),10,IF(ISNUMBER(SEARCH(BV$112,'Reference Score Calculation'!$P112)),7,IF(ISNUMBER(SEARCH(BV$112,'Reference Score Calculation'!$Q112)),5,IF(ISNUMBER(SEARCH($AW$104,'Reference Score Calculation'!$O112)),10,IF(ISNUMBER(SEARCH($AW$104,'Reference Score Calculation'!$P112)),7,5)))))</f>
        <v>5</v>
      </c>
      <c r="BW133" s="415">
        <f>IF(ISNUMBER(SEARCH(BW$112,'Reference Score Calculation'!$O112)),10,IF(ISNUMBER(SEARCH(BW$112,'Reference Score Calculation'!$P112)),7,IF(ISNUMBER(SEARCH(BW$112,'Reference Score Calculation'!$Q112)),5,IF(ISNUMBER(SEARCH($AW$104,'Reference Score Calculation'!$O112)),10,IF(ISNUMBER(SEARCH($AW$104,'Reference Score Calculation'!$P112)),7,5)))))</f>
        <v>5</v>
      </c>
      <c r="BX133" s="415">
        <f>IF(ISNUMBER(SEARCH(BX$112,'Reference Score Calculation'!$O112)),10,IF(ISNUMBER(SEARCH(BX$112,'Reference Score Calculation'!$P112)),7,IF(ISNUMBER(SEARCH(BX$112,'Reference Score Calculation'!$Q112)),5,IF(ISNUMBER(SEARCH($AW$104,'Reference Score Calculation'!$O112)),10,IF(ISNUMBER(SEARCH($AW$104,'Reference Score Calculation'!$P112)),7,5)))))</f>
        <v>5</v>
      </c>
      <c r="BY133" s="195"/>
      <c r="BZ133" s="195"/>
      <c r="CA133" s="195"/>
    </row>
    <row r="134" spans="1:79">
      <c r="A134" s="119" t="str">
        <f>'Reference Score Calculation'!A111</f>
        <v>JS3310</v>
      </c>
      <c r="B134" s="119" t="str">
        <f>'Reference Score Calculation'!A111</f>
        <v>JS3310</v>
      </c>
      <c r="C134" s="119" t="str">
        <f>'Reference Score Calculation'!D111</f>
        <v>酒店及旅遊管理(榮譽)理學士組合課程 (酒店管理 / 智慧旅遊及酒店產業 / 會展及體驗管理)</v>
      </c>
      <c r="D134" s="2" t="e">
        <f>'Reference Score Calculation'!#REF!</f>
        <v>#REF!</v>
      </c>
      <c r="E134" s="134" t="str">
        <f>'Reference Score Calculation'!E111</f>
        <v>Best 5</v>
      </c>
      <c r="F134" s="134"/>
      <c r="G134" s="119" t="str">
        <f>入學要求!AB120</f>
        <v>v</v>
      </c>
      <c r="H134" s="119" t="str">
        <f>入學要求!AC120</f>
        <v>E</v>
      </c>
      <c r="I134" s="119" t="str">
        <f>入學要求!AD120</f>
        <v>v</v>
      </c>
      <c r="J134" s="119">
        <f t="shared" si="254"/>
        <v>1.515E-8</v>
      </c>
      <c r="K134" s="119">
        <f t="shared" si="232"/>
        <v>7</v>
      </c>
      <c r="L134" s="119">
        <f t="shared" si="232"/>
        <v>10</v>
      </c>
      <c r="M134" s="119">
        <f t="shared" si="232"/>
        <v>7</v>
      </c>
      <c r="N134" s="119">
        <v>0</v>
      </c>
      <c r="O134" s="119">
        <f t="shared" si="255"/>
        <v>7</v>
      </c>
      <c r="P134" s="119">
        <f t="shared" si="255"/>
        <v>0</v>
      </c>
      <c r="Q134" s="119">
        <f t="shared" si="255"/>
        <v>0</v>
      </c>
      <c r="R134" s="119">
        <f t="shared" si="255"/>
        <v>0</v>
      </c>
      <c r="S134" s="119">
        <f t="shared" si="255"/>
        <v>0</v>
      </c>
      <c r="T134" s="119">
        <v>5</v>
      </c>
      <c r="V134" s="119">
        <f t="shared" si="234"/>
        <v>2.8000000000000003E-9</v>
      </c>
      <c r="W134" s="119">
        <f t="shared" si="235"/>
        <v>2.0000000000000001E-9</v>
      </c>
      <c r="X134" s="119">
        <f t="shared" si="236"/>
        <v>2.0999999999999998E-9</v>
      </c>
      <c r="Y134" s="119">
        <f t="shared" si="237"/>
        <v>0</v>
      </c>
      <c r="Z134" s="119">
        <f t="shared" si="238"/>
        <v>3.5000000000000003E-9</v>
      </c>
      <c r="AA134" s="119">
        <f t="shared" si="239"/>
        <v>0</v>
      </c>
      <c r="AB134" s="119">
        <f t="shared" si="240"/>
        <v>0</v>
      </c>
      <c r="AC134" s="119">
        <f t="shared" si="241"/>
        <v>0</v>
      </c>
      <c r="AD134" s="119">
        <f t="shared" si="242"/>
        <v>0</v>
      </c>
      <c r="AE134" s="119">
        <f t="shared" si="243"/>
        <v>4.7500000000000003E-9</v>
      </c>
      <c r="AF134" s="119" t="b">
        <f t="shared" si="257"/>
        <v>1</v>
      </c>
      <c r="AG134" s="119" t="b">
        <f t="shared" si="257"/>
        <v>1</v>
      </c>
      <c r="AH134" s="119" t="b">
        <f t="shared" si="257"/>
        <v>1</v>
      </c>
      <c r="AI134" s="119" t="b">
        <f t="shared" si="257"/>
        <v>0</v>
      </c>
      <c r="AJ134" s="119" t="b">
        <f t="shared" si="258"/>
        <v>1</v>
      </c>
      <c r="AK134" s="119" t="b">
        <f t="shared" si="258"/>
        <v>0</v>
      </c>
      <c r="AL134" s="119" t="b">
        <f t="shared" si="258"/>
        <v>0</v>
      </c>
      <c r="AM134" s="119" t="b">
        <f t="shared" si="258"/>
        <v>0</v>
      </c>
      <c r="AN134" s="119" t="b">
        <f t="shared" si="258"/>
        <v>0</v>
      </c>
      <c r="AO134" s="119" t="b">
        <f t="shared" si="258"/>
        <v>1</v>
      </c>
      <c r="AQ134" s="2"/>
      <c r="AR134" s="2"/>
      <c r="AS134" s="2"/>
      <c r="AT134" s="195"/>
      <c r="AU134" s="195" t="str">
        <f>'Reference Score Calculation'!A113</f>
        <v>JS3330</v>
      </c>
      <c r="AV134" s="195"/>
      <c r="AW134" s="415">
        <f>IF(ISNUMBER(SEARCH(AW$112,'Reference Score Calculation'!$O113)),10,IF(ISNUMBER(SEARCH(AW$112,'Reference Score Calculation'!$P113)),7,IF(ISNUMBER(SEARCH(AW$112,'Reference Score Calculation'!$Q113)),5,IF(ISNUMBER(SEARCH($AW$104,'Reference Score Calculation'!$O113)),10,IF(ISNUMBER(SEARCH($AW$104,'Reference Score Calculation'!$P113)),7,5)))))</f>
        <v>10</v>
      </c>
      <c r="AX134" s="415">
        <f>IF(ISNUMBER(SEARCH(AX$112,'Reference Score Calculation'!$O113)),10,IF(ISNUMBER(SEARCH(AX$112,'Reference Score Calculation'!$P113)),7,IF(ISNUMBER(SEARCH(AX$112,'Reference Score Calculation'!$Q113)),5,IF(ISNUMBER(SEARCH($AW$104,'Reference Score Calculation'!$O113)),10,IF(ISNUMBER(SEARCH($AW$104,'Reference Score Calculation'!$P113)),7,5)))))</f>
        <v>10</v>
      </c>
      <c r="AY134" s="415">
        <f>IF(ISNUMBER(SEARCH(AY$112,'Reference Score Calculation'!$O113)),10,IF(ISNUMBER(SEARCH(AY$112,'Reference Score Calculation'!$P113)),7,IF(ISNUMBER(SEARCH(AY$112,'Reference Score Calculation'!$Q113)),5,IF(ISNUMBER(SEARCH($AW$104,'Reference Score Calculation'!$O113)),10,IF(ISNUMBER(SEARCH($AW$104,'Reference Score Calculation'!$P113)),7,5)))))</f>
        <v>10</v>
      </c>
      <c r="AZ134" s="415">
        <f>IF(ISNUMBER(SEARCH(AZ$112,'Reference Score Calculation'!$O113)),10,IF(ISNUMBER(SEARCH(AZ$112,'Reference Score Calculation'!$P113)),7,IF(ISNUMBER(SEARCH(AZ$112,'Reference Score Calculation'!$Q113)),5,IF(ISNUMBER(SEARCH($AW$104,'Reference Score Calculation'!$O113)),10,IF(ISNUMBER(SEARCH($AW$104,'Reference Score Calculation'!$P113)),7,5)))))</f>
        <v>7</v>
      </c>
      <c r="BA134" s="415">
        <f>IF(ISNUMBER(SEARCH(BA$112,'Reference Score Calculation'!$O113)),10,IF(ISNUMBER(SEARCH(BA$112,'Reference Score Calculation'!$P113)),7,IF(ISNUMBER(SEARCH(BA$112,'Reference Score Calculation'!$Q113)),5,IF(ISNUMBER(SEARCH($AW$104,'Reference Score Calculation'!$O113)),10,IF(ISNUMBER(SEARCH($AW$104,'Reference Score Calculation'!$P113)),7,5)))))</f>
        <v>7</v>
      </c>
      <c r="BB134" s="415">
        <f>IF(ISNUMBER(SEARCH(BB$112,'Reference Score Calculation'!$O113)),10,IF(ISNUMBER(SEARCH(BB$112,'Reference Score Calculation'!$P113)),7,IF(ISNUMBER(SEARCH(BB$112,'Reference Score Calculation'!$Q113)),5,IF(ISNUMBER(SEARCH($AW$104,'Reference Score Calculation'!$O113)),10,IF(ISNUMBER(SEARCH($AW$104,'Reference Score Calculation'!$P113)),7,5)))))</f>
        <v>7</v>
      </c>
      <c r="BC134" s="415">
        <f>IF(ISNUMBER(SEARCH(BC$112,'Reference Score Calculation'!$O113)),10,IF(ISNUMBER(SEARCH(BC$112,'Reference Score Calculation'!$P113)),7,IF(ISNUMBER(SEARCH(BC$112,'Reference Score Calculation'!$Q113)),5,IF(ISNUMBER(SEARCH($AW$104,'Reference Score Calculation'!$O113)),10,IF(ISNUMBER(SEARCH($AW$104,'Reference Score Calculation'!$P113)),7,5)))))</f>
        <v>7</v>
      </c>
      <c r="BD134" s="415">
        <f>IF(ISNUMBER(SEARCH(BD$112,'Reference Score Calculation'!$O113)),10,IF(ISNUMBER(SEARCH(BD$112,'Reference Score Calculation'!$P113)),7,IF(ISNUMBER(SEARCH(BD$112,'Reference Score Calculation'!$Q113)),5,IF(ISNUMBER(SEARCH($AW$104,'Reference Score Calculation'!$O113)),10,IF(ISNUMBER(SEARCH($AW$104,'Reference Score Calculation'!$P113)),7,5)))))</f>
        <v>7</v>
      </c>
      <c r="BE134" s="415">
        <f>IF(ISNUMBER(SEARCH(BE$112,'Reference Score Calculation'!$O113)),10,IF(ISNUMBER(SEARCH(BE$112,'Reference Score Calculation'!$P113)),7,IF(ISNUMBER(SEARCH(BE$112,'Reference Score Calculation'!$Q113)),5,IF(ISNUMBER(SEARCH($AW$104,'Reference Score Calculation'!$O113)),10,IF(ISNUMBER(SEARCH($AW$104,'Reference Score Calculation'!$P113)),7,5)))))</f>
        <v>7</v>
      </c>
      <c r="BF134" s="415">
        <f>IF(ISNUMBER(SEARCH(BF$112,'Reference Score Calculation'!$O113)),10,IF(ISNUMBER(SEARCH(BF$112,'Reference Score Calculation'!$P113)),7,IF(ISNUMBER(SEARCH(BF$112,'Reference Score Calculation'!$Q113)),5,IF(ISNUMBER(SEARCH($AW$104,'Reference Score Calculation'!$O113)),10,IF(ISNUMBER(SEARCH($AW$104,'Reference Score Calculation'!$P113)),7,5)))))</f>
        <v>7</v>
      </c>
      <c r="BG134" s="415">
        <f>IF(ISNUMBER(SEARCH(BG$112,'Reference Score Calculation'!$O113)),10,IF(ISNUMBER(SEARCH(BG$112,'Reference Score Calculation'!$P113)),7,IF(ISNUMBER(SEARCH(BG$112,'Reference Score Calculation'!$Q113)),5,IF(ISNUMBER(SEARCH($AW$104,'Reference Score Calculation'!$O113)),10,IF(ISNUMBER(SEARCH($AW$104,'Reference Score Calculation'!$P113)),7,5)))))</f>
        <v>5</v>
      </c>
      <c r="BH134" s="415">
        <f>IF(ISNUMBER(SEARCH(BH$112,'Reference Score Calculation'!$O113)),10,IF(ISNUMBER(SEARCH(BH$112,'Reference Score Calculation'!$P113)),7,IF(ISNUMBER(SEARCH(BH$112,'Reference Score Calculation'!$Q113)),5,IF(ISNUMBER(SEARCH($AW$104,'Reference Score Calculation'!$O113)),10,IF(ISNUMBER(SEARCH($AW$104,'Reference Score Calculation'!$P113)),7,5)))))</f>
        <v>5</v>
      </c>
      <c r="BI134" s="415">
        <f>IF(ISNUMBER(SEARCH(BI$112,'Reference Score Calculation'!$O113)),10,IF(ISNUMBER(SEARCH(BI$112,'Reference Score Calculation'!$P113)),7,IF(ISNUMBER(SEARCH(BI$112,'Reference Score Calculation'!$Q113)),5,IF(ISNUMBER(SEARCH($AW$104,'Reference Score Calculation'!$O113)),10,IF(ISNUMBER(SEARCH($AW$104,'Reference Score Calculation'!$P113)),7,5)))))</f>
        <v>7</v>
      </c>
      <c r="BJ134" s="415">
        <f>IF(ISNUMBER(SEARCH(BJ$112,'Reference Score Calculation'!$O113)),10,IF(ISNUMBER(SEARCH(BJ$112,'Reference Score Calculation'!$P113)),7,IF(ISNUMBER(SEARCH(BJ$112,'Reference Score Calculation'!$Q113)),5,IF(ISNUMBER(SEARCH($AW$104,'Reference Score Calculation'!$O113)),10,IF(ISNUMBER(SEARCH($AW$104,'Reference Score Calculation'!$P113)),7,5)))))</f>
        <v>7</v>
      </c>
      <c r="BK134" s="415">
        <f>IF(ISNUMBER(SEARCH(BK$112,'Reference Score Calculation'!$O113)),10,IF(ISNUMBER(SEARCH(BK$112,'Reference Score Calculation'!$P113)),7,IF(ISNUMBER(SEARCH(BK$112,'Reference Score Calculation'!$Q113)),5,IF(ISNUMBER(SEARCH($AW$104,'Reference Score Calculation'!$O113)),10,IF(ISNUMBER(SEARCH($AW$104,'Reference Score Calculation'!$P113)),7,5)))))</f>
        <v>5</v>
      </c>
      <c r="BL134" s="415">
        <f>IF(ISNUMBER(SEARCH(BL$112,'Reference Score Calculation'!$O113)),10,IF(ISNUMBER(SEARCH(BL$112,'Reference Score Calculation'!$P113)),7,IF(ISNUMBER(SEARCH(BL$112,'Reference Score Calculation'!$Q113)),5,IF(ISNUMBER(SEARCH($AW$104,'Reference Score Calculation'!$O113)),10,IF(ISNUMBER(SEARCH($AW$104,'Reference Score Calculation'!$P113)),7,5)))))</f>
        <v>7</v>
      </c>
      <c r="BM134" s="415">
        <f>IF(ISNUMBER(SEARCH(BM$112,'Reference Score Calculation'!$O113)),10,IF(ISNUMBER(SEARCH(BM$112,'Reference Score Calculation'!$P113)),7,IF(ISNUMBER(SEARCH(BM$112,'Reference Score Calculation'!$Q113)),5,IF(ISNUMBER(SEARCH($AW$104,'Reference Score Calculation'!$O113)),10,IF(ISNUMBER(SEARCH("組合科學(任何)",'Reference Score Calculation'!$O113)),10,IF(ISNUMBER(SEARCH("組合科學(任何)",'Reference Score Calculation'!$P113)),7,IF(ISNUMBER(SEARCH("組合科學(任何)",'Reference Score Calculation'!$Q113)),5,IF(ISNUMBER(SEARCH($AW$104,'Reference Score Calculation'!$P113)),7,5))))))))</f>
        <v>7</v>
      </c>
      <c r="BN134" s="415">
        <f>IF(ISNUMBER(SEARCH(BN$112,'Reference Score Calculation'!$O113)),10,IF(ISNUMBER(SEARCH(BN$112,'Reference Score Calculation'!$P113)),7,IF(ISNUMBER(SEARCH(BN$112,'Reference Score Calculation'!$Q113)),5,IF(ISNUMBER(SEARCH($AW$104,'Reference Score Calculation'!$O113)),10,IF(ISNUMBER(SEARCH("組合科學(任何)",'Reference Score Calculation'!$O113)),10,IF(ISNUMBER(SEARCH("組合科學(任何)",'Reference Score Calculation'!$P113)),7,IF(ISNUMBER(SEARCH("組合科學(任何)",'Reference Score Calculation'!$Q113)),5,IF(ISNUMBER(SEARCH($AW$104,'Reference Score Calculation'!$P113)),7,5))))))))</f>
        <v>7</v>
      </c>
      <c r="BO134" s="415">
        <f>IF(ISNUMBER(SEARCH(BO$112,'Reference Score Calculation'!$O113)),10,IF(ISNUMBER(SEARCH(BO$112,'Reference Score Calculation'!$P113)),7,IF(ISNUMBER(SEARCH(BO$112,'Reference Score Calculation'!$Q113)),5,IF(ISNUMBER(SEARCH($AW$104,'Reference Score Calculation'!$O113)),10,IF(ISNUMBER(SEARCH("組合科學(任何)",'Reference Score Calculation'!$O113)),10,IF(ISNUMBER(SEARCH("組合科學(任何)",'Reference Score Calculation'!$P113)),7,IF(ISNUMBER(SEARCH("組合科學(任何)",'Reference Score Calculation'!$Q113)),5,IF(ISNUMBER(SEARCH($AW$104,'Reference Score Calculation'!$P113)),7,5))))))))</f>
        <v>7</v>
      </c>
      <c r="BP134" s="415">
        <f>IF(ISNUMBER(SEARCH(BP$112,'Reference Score Calculation'!$O113)),10,IF(ISNUMBER(SEARCH(BP$112,'Reference Score Calculation'!$P113)),7,IF(ISNUMBER(SEARCH(BP$112,'Reference Score Calculation'!$Q113)),5,IF(ISNUMBER(SEARCH($AW$104,'Reference Score Calculation'!$O113)),10,IF(ISNUMBER(SEARCH($AW$104,'Reference Score Calculation'!$P113)),7,5)))))</f>
        <v>7</v>
      </c>
      <c r="BQ134" s="415">
        <f>IF(ISNUMBER(SEARCH(BQ$112,'Reference Score Calculation'!$O113)),10,IF(ISNUMBER(SEARCH(BQ$112,'Reference Score Calculation'!$P113)),7,IF(ISNUMBER(SEARCH(BQ$112,'Reference Score Calculation'!$Q113)),5,IF(ISNUMBER(SEARCH($AW$104,'Reference Score Calculation'!$O113)),10,IF(ISNUMBER(SEARCH($AW$104,'Reference Score Calculation'!$P113)),7,5)))))</f>
        <v>7</v>
      </c>
      <c r="BR134" s="415">
        <f>IF(ISNUMBER(SEARCH(BR$112,'Reference Score Calculation'!$O113)),10,IF(ISNUMBER(SEARCH(BR$112,'Reference Score Calculation'!$P113)),7,IF(ISNUMBER(SEARCH(BR$112,'Reference Score Calculation'!$Q113)),5,IF(ISNUMBER(SEARCH($AW$104,'Reference Score Calculation'!$O113)),10,IF(ISNUMBER(SEARCH($AW$104,'Reference Score Calculation'!$P113)),7,5)))))</f>
        <v>7</v>
      </c>
      <c r="BS134" s="415">
        <f>IF(ISNUMBER(SEARCH(BS$112,'Reference Score Calculation'!$O113)),10,IF(ISNUMBER(SEARCH(BS$112,'Reference Score Calculation'!$P113)),7,IF(ISNUMBER(SEARCH(BS$112,'Reference Score Calculation'!$Q113)),5,IF(ISNUMBER(SEARCH($AW$104,'Reference Score Calculation'!$O113)),10,IF(ISNUMBER(SEARCH($AW$104,'Reference Score Calculation'!$P113)),7,5)))))</f>
        <v>7</v>
      </c>
      <c r="BT134" s="415">
        <f>IF(ISNUMBER(SEARCH(BT$112,'Reference Score Calculation'!$O113)),10,IF(ISNUMBER(SEARCH(BT$112,'Reference Score Calculation'!$P113)),7,IF(ISNUMBER(SEARCH(BT$112,'Reference Score Calculation'!$Q113)),5,IF(ISNUMBER(SEARCH($AW$104,'Reference Score Calculation'!$O113)),10,IF(ISNUMBER(SEARCH($AW$104,'Reference Score Calculation'!$P113)),7,5)))))</f>
        <v>5</v>
      </c>
      <c r="BU134" s="415">
        <f>IF(ISNUMBER(SEARCH(BU$112,'Reference Score Calculation'!$O113)),10,IF(ISNUMBER(SEARCH(BU$112,'Reference Score Calculation'!$P113)),7,IF(ISNUMBER(SEARCH(BU$112,'Reference Score Calculation'!$Q113)),5,IF(ISNUMBER(SEARCH($AW$104,'Reference Score Calculation'!$O113)),10,IF(ISNUMBER(SEARCH($AW$104,'Reference Score Calculation'!$P113)),7,5)))))</f>
        <v>7</v>
      </c>
      <c r="BV134" s="415">
        <f>IF(ISNUMBER(SEARCH(BV$112,'Reference Score Calculation'!$O113)),10,IF(ISNUMBER(SEARCH(BV$112,'Reference Score Calculation'!$P113)),7,IF(ISNUMBER(SEARCH(BV$112,'Reference Score Calculation'!$Q113)),5,IF(ISNUMBER(SEARCH($AW$104,'Reference Score Calculation'!$O113)),10,IF(ISNUMBER(SEARCH($AW$104,'Reference Score Calculation'!$P113)),7,5)))))</f>
        <v>5</v>
      </c>
      <c r="BW134" s="415">
        <f>IF(ISNUMBER(SEARCH(BW$112,'Reference Score Calculation'!$O113)),10,IF(ISNUMBER(SEARCH(BW$112,'Reference Score Calculation'!$P113)),7,IF(ISNUMBER(SEARCH(BW$112,'Reference Score Calculation'!$Q113)),5,IF(ISNUMBER(SEARCH($AW$104,'Reference Score Calculation'!$O113)),10,IF(ISNUMBER(SEARCH($AW$104,'Reference Score Calculation'!$P113)),7,5)))))</f>
        <v>7</v>
      </c>
      <c r="BX134" s="415">
        <f>IF(ISNUMBER(SEARCH(BX$112,'Reference Score Calculation'!$O113)),10,IF(ISNUMBER(SEARCH(BX$112,'Reference Score Calculation'!$P113)),7,IF(ISNUMBER(SEARCH(BX$112,'Reference Score Calculation'!$Q113)),5,IF(ISNUMBER(SEARCH($AW$104,'Reference Score Calculation'!$O113)),10,IF(ISNUMBER(SEARCH($AW$104,'Reference Score Calculation'!$P113)),7,5)))))</f>
        <v>7</v>
      </c>
      <c r="BY134" s="195"/>
      <c r="BZ134" s="195"/>
      <c r="CA134" s="195"/>
    </row>
    <row r="135" spans="1:79">
      <c r="A135" s="119" t="str">
        <f>'Reference Score Calculation'!A112</f>
        <v>JS3320</v>
      </c>
      <c r="B135" s="119" t="str">
        <f>'Reference Score Calculation'!A112</f>
        <v>JS3320</v>
      </c>
      <c r="C135" s="119" t="str">
        <f>'Reference Score Calculation'!D112</f>
        <v>中國歷史及文化(榮譽)文學士組合課程</v>
      </c>
      <c r="D135" s="2" t="e">
        <f>'Reference Score Calculation'!#REF!</f>
        <v>#REF!</v>
      </c>
      <c r="E135" s="134" t="str">
        <f>'Reference Score Calculation'!E112</f>
        <v>中英Best3</v>
      </c>
      <c r="F135" s="134"/>
      <c r="G135" s="119" t="str">
        <f>入學要求!AB121</f>
        <v>v</v>
      </c>
      <c r="H135" s="119" t="str">
        <f>入學要求!AC121</f>
        <v>E</v>
      </c>
      <c r="I135" s="119" t="str">
        <f>入學要求!AD121</f>
        <v>NO</v>
      </c>
      <c r="J135" s="119">
        <f t="shared" si="254"/>
        <v>1.5349999999999998E-8</v>
      </c>
      <c r="K135" s="119">
        <f t="shared" si="232"/>
        <v>10</v>
      </c>
      <c r="L135" s="119">
        <f t="shared" si="232"/>
        <v>10</v>
      </c>
      <c r="M135" s="119">
        <f t="shared" si="232"/>
        <v>7</v>
      </c>
      <c r="N135" s="119">
        <v>0</v>
      </c>
      <c r="O135" s="119">
        <f t="shared" si="255"/>
        <v>5</v>
      </c>
      <c r="P135" s="119">
        <f t="shared" si="255"/>
        <v>0</v>
      </c>
      <c r="Q135" s="119">
        <f t="shared" si="255"/>
        <v>0</v>
      </c>
      <c r="R135" s="119">
        <f t="shared" si="255"/>
        <v>0</v>
      </c>
      <c r="S135" s="119">
        <f t="shared" si="255"/>
        <v>0</v>
      </c>
      <c r="T135" s="119">
        <v>5</v>
      </c>
      <c r="V135" s="119">
        <f t="shared" si="234"/>
        <v>4.0000000000000002E-9</v>
      </c>
      <c r="W135" s="119">
        <f t="shared" si="235"/>
        <v>2.0000000000000001E-9</v>
      </c>
      <c r="X135" s="119">
        <f t="shared" si="236"/>
        <v>2.0999999999999998E-9</v>
      </c>
      <c r="Y135" s="119">
        <f t="shared" si="237"/>
        <v>0</v>
      </c>
      <c r="Z135" s="119">
        <f t="shared" si="238"/>
        <v>2.5000000000000001E-9</v>
      </c>
      <c r="AA135" s="119">
        <f t="shared" si="239"/>
        <v>0</v>
      </c>
      <c r="AB135" s="119">
        <f t="shared" si="240"/>
        <v>0</v>
      </c>
      <c r="AC135" s="119">
        <f t="shared" si="241"/>
        <v>0</v>
      </c>
      <c r="AD135" s="119">
        <f t="shared" si="242"/>
        <v>0</v>
      </c>
      <c r="AE135" s="119">
        <f t="shared" si="243"/>
        <v>4.7500000000000003E-9</v>
      </c>
      <c r="AF135" s="417" t="b">
        <v>1</v>
      </c>
      <c r="AG135" s="417" t="b">
        <v>1</v>
      </c>
      <c r="AH135" s="119" t="b">
        <f t="shared" ref="AH135:AO135" si="259">IF(X135&gt;LARGE($X135:$AE135,4),TRUE)</f>
        <v>1</v>
      </c>
      <c r="AI135" s="119" t="b">
        <f t="shared" si="259"/>
        <v>0</v>
      </c>
      <c r="AJ135" s="119" t="b">
        <f t="shared" si="259"/>
        <v>1</v>
      </c>
      <c r="AK135" s="119" t="b">
        <f t="shared" si="259"/>
        <v>0</v>
      </c>
      <c r="AL135" s="119" t="b">
        <f t="shared" si="259"/>
        <v>0</v>
      </c>
      <c r="AM135" s="119" t="b">
        <f t="shared" si="259"/>
        <v>0</v>
      </c>
      <c r="AN135" s="119" t="b">
        <f t="shared" si="259"/>
        <v>0</v>
      </c>
      <c r="AO135" s="119" t="b">
        <f t="shared" si="259"/>
        <v>1</v>
      </c>
      <c r="AQ135" s="2"/>
      <c r="AR135" s="2"/>
      <c r="AS135" s="2"/>
      <c r="AT135" s="195"/>
      <c r="AU135" s="195" t="str">
        <f>'Reference Score Calculation'!A114</f>
        <v>JS3337</v>
      </c>
      <c r="AV135" s="195"/>
      <c r="AW135" s="415">
        <f>IF(ISNUMBER(SEARCH(AW$112,'Reference Score Calculation'!$O114)),10,IF(ISNUMBER(SEARCH(AW$112,'Reference Score Calculation'!$P114)),7,IF(ISNUMBER(SEARCH(AW$112,'Reference Score Calculation'!$Q114)),5,IF(ISNUMBER(SEARCH($AW$104,'Reference Score Calculation'!$O114)),10,IF(ISNUMBER(SEARCH($AW$104,'Reference Score Calculation'!$P114)),7,5)))))</f>
        <v>10</v>
      </c>
      <c r="AX135" s="415">
        <f>IF(ISNUMBER(SEARCH(AX$112,'Reference Score Calculation'!$O114)),10,IF(ISNUMBER(SEARCH(AX$112,'Reference Score Calculation'!$P114)),7,IF(ISNUMBER(SEARCH(AX$112,'Reference Score Calculation'!$Q114)),5,IF(ISNUMBER(SEARCH($AW$104,'Reference Score Calculation'!$O114)),10,IF(ISNUMBER(SEARCH($AW$104,'Reference Score Calculation'!$P114)),7,5)))))</f>
        <v>10</v>
      </c>
      <c r="AY135" s="415">
        <f>IF(ISNUMBER(SEARCH(AY$112,'Reference Score Calculation'!$O114)),10,IF(ISNUMBER(SEARCH(AY$112,'Reference Score Calculation'!$P114)),7,IF(ISNUMBER(SEARCH(AY$112,'Reference Score Calculation'!$Q114)),5,IF(ISNUMBER(SEARCH($AW$104,'Reference Score Calculation'!$O114)),10,IF(ISNUMBER(SEARCH($AW$104,'Reference Score Calculation'!$P114)),7,5)))))</f>
        <v>10</v>
      </c>
      <c r="AZ135" s="415">
        <f>IF(ISNUMBER(SEARCH(AZ$112,'Reference Score Calculation'!$O114)),10,IF(ISNUMBER(SEARCH(AZ$112,'Reference Score Calculation'!$P114)),7,IF(ISNUMBER(SEARCH(AZ$112,'Reference Score Calculation'!$Q114)),5,IF(ISNUMBER(SEARCH($AW$104,'Reference Score Calculation'!$O114)),10,IF(ISNUMBER(SEARCH($AW$104,'Reference Score Calculation'!$P114)),7,5)))))</f>
        <v>10</v>
      </c>
      <c r="BA135" s="415">
        <f>IF(ISNUMBER(SEARCH(BA$112,'Reference Score Calculation'!$O114)),10,IF(ISNUMBER(SEARCH(BA$112,'Reference Score Calculation'!$P114)),7,IF(ISNUMBER(SEARCH(BA$112,'Reference Score Calculation'!$Q114)),5,IF(ISNUMBER(SEARCH($AW$104,'Reference Score Calculation'!$O114)),10,IF(ISNUMBER(SEARCH($AW$104,'Reference Score Calculation'!$P114)),7,5)))))</f>
        <v>7</v>
      </c>
      <c r="BB135" s="415">
        <f>IF(ISNUMBER(SEARCH(BB$112,'Reference Score Calculation'!$O114)),10,IF(ISNUMBER(SEARCH(BB$112,'Reference Score Calculation'!$P114)),7,IF(ISNUMBER(SEARCH(BB$112,'Reference Score Calculation'!$Q114)),5,IF(ISNUMBER(SEARCH($AW$104,'Reference Score Calculation'!$O114)),10,IF(ISNUMBER(SEARCH($AW$104,'Reference Score Calculation'!$P114)),7,5)))))</f>
        <v>10</v>
      </c>
      <c r="BC135" s="415">
        <f>IF(ISNUMBER(SEARCH(BC$112,'Reference Score Calculation'!$O114)),10,IF(ISNUMBER(SEARCH(BC$112,'Reference Score Calculation'!$P114)),7,IF(ISNUMBER(SEARCH(BC$112,'Reference Score Calculation'!$Q114)),5,IF(ISNUMBER(SEARCH($AW$104,'Reference Score Calculation'!$O114)),10,IF(ISNUMBER(SEARCH($AW$104,'Reference Score Calculation'!$P114)),7,5)))))</f>
        <v>10</v>
      </c>
      <c r="BD135" s="415">
        <f>IF(ISNUMBER(SEARCH(BD$112,'Reference Score Calculation'!$O114)),10,IF(ISNUMBER(SEARCH(BD$112,'Reference Score Calculation'!$P114)),7,IF(ISNUMBER(SEARCH(BD$112,'Reference Score Calculation'!$Q114)),5,IF(ISNUMBER(SEARCH($AW$104,'Reference Score Calculation'!$O114)),10,IF(ISNUMBER(SEARCH($AW$104,'Reference Score Calculation'!$P114)),7,5)))))</f>
        <v>10</v>
      </c>
      <c r="BE135" s="415">
        <f>IF(ISNUMBER(SEARCH(BE$112,'Reference Score Calculation'!$O114)),10,IF(ISNUMBER(SEARCH(BE$112,'Reference Score Calculation'!$P114)),7,IF(ISNUMBER(SEARCH(BE$112,'Reference Score Calculation'!$Q114)),5,IF(ISNUMBER(SEARCH($AW$104,'Reference Score Calculation'!$O114)),10,IF(ISNUMBER(SEARCH($AW$104,'Reference Score Calculation'!$P114)),7,5)))))</f>
        <v>7</v>
      </c>
      <c r="BF135" s="415">
        <f>IF(ISNUMBER(SEARCH(BF$112,'Reference Score Calculation'!$O114)),10,IF(ISNUMBER(SEARCH(BF$112,'Reference Score Calculation'!$P114)),7,IF(ISNUMBER(SEARCH(BF$112,'Reference Score Calculation'!$Q114)),5,IF(ISNUMBER(SEARCH($AW$104,'Reference Score Calculation'!$O114)),10,IF(ISNUMBER(SEARCH($AW$104,'Reference Score Calculation'!$P114)),7,5)))))</f>
        <v>7</v>
      </c>
      <c r="BG135" s="415">
        <f>IF(ISNUMBER(SEARCH(BG$112,'Reference Score Calculation'!$O114)),10,IF(ISNUMBER(SEARCH(BG$112,'Reference Score Calculation'!$P114)),7,IF(ISNUMBER(SEARCH(BG$112,'Reference Score Calculation'!$Q114)),5,IF(ISNUMBER(SEARCH($AW$104,'Reference Score Calculation'!$O114)),10,IF(ISNUMBER(SEARCH($AW$104,'Reference Score Calculation'!$P114)),7,5)))))</f>
        <v>7</v>
      </c>
      <c r="BH135" s="415">
        <f>IF(ISNUMBER(SEARCH(BH$112,'Reference Score Calculation'!$O114)),10,IF(ISNUMBER(SEARCH(BH$112,'Reference Score Calculation'!$P114)),7,IF(ISNUMBER(SEARCH(BH$112,'Reference Score Calculation'!$Q114)),5,IF(ISNUMBER(SEARCH($AW$104,'Reference Score Calculation'!$O114)),10,IF(ISNUMBER(SEARCH($AW$104,'Reference Score Calculation'!$P114)),7,5)))))</f>
        <v>7</v>
      </c>
      <c r="BI135" s="415">
        <f>IF(ISNUMBER(SEARCH(BI$112,'Reference Score Calculation'!$O114)),10,IF(ISNUMBER(SEARCH(BI$112,'Reference Score Calculation'!$P114)),7,IF(ISNUMBER(SEARCH(BI$112,'Reference Score Calculation'!$Q114)),5,IF(ISNUMBER(SEARCH($AW$104,'Reference Score Calculation'!$O114)),10,IF(ISNUMBER(SEARCH($AW$104,'Reference Score Calculation'!$P114)),7,5)))))</f>
        <v>7</v>
      </c>
      <c r="BJ135" s="415">
        <f>IF(ISNUMBER(SEARCH(BJ$112,'Reference Score Calculation'!$O114)),10,IF(ISNUMBER(SEARCH(BJ$112,'Reference Score Calculation'!$P114)),7,IF(ISNUMBER(SEARCH(BJ$112,'Reference Score Calculation'!$Q114)),5,IF(ISNUMBER(SEARCH($AW$104,'Reference Score Calculation'!$O114)),10,IF(ISNUMBER(SEARCH($AW$104,'Reference Score Calculation'!$P114)),7,5)))))</f>
        <v>7</v>
      </c>
      <c r="BK135" s="415">
        <f>IF(ISNUMBER(SEARCH(BK$112,'Reference Score Calculation'!$O114)),10,IF(ISNUMBER(SEARCH(BK$112,'Reference Score Calculation'!$P114)),7,IF(ISNUMBER(SEARCH(BK$112,'Reference Score Calculation'!$Q114)),5,IF(ISNUMBER(SEARCH($AW$104,'Reference Score Calculation'!$O114)),10,IF(ISNUMBER(SEARCH($AW$104,'Reference Score Calculation'!$P114)),7,5)))))</f>
        <v>7</v>
      </c>
      <c r="BL135" s="415">
        <f>IF(ISNUMBER(SEARCH(BL$112,'Reference Score Calculation'!$O114)),10,IF(ISNUMBER(SEARCH(BL$112,'Reference Score Calculation'!$P114)),7,IF(ISNUMBER(SEARCH(BL$112,'Reference Score Calculation'!$Q114)),5,IF(ISNUMBER(SEARCH($AW$104,'Reference Score Calculation'!$O114)),10,IF(ISNUMBER(SEARCH($AW$104,'Reference Score Calculation'!$P114)),7,5)))))</f>
        <v>7</v>
      </c>
      <c r="BM135" s="415">
        <f>IF(ISNUMBER(SEARCH(BM$112,'Reference Score Calculation'!$O114)),10,IF(ISNUMBER(SEARCH(BM$112,'Reference Score Calculation'!$P114)),7,IF(ISNUMBER(SEARCH(BM$112,'Reference Score Calculation'!$Q114)),5,IF(ISNUMBER(SEARCH($AW$104,'Reference Score Calculation'!$O114)),10,IF(ISNUMBER(SEARCH("組合科學(任何)",'Reference Score Calculation'!$O114)),10,IF(ISNUMBER(SEARCH("組合科學(任何)",'Reference Score Calculation'!$P114)),7,IF(ISNUMBER(SEARCH("組合科學(任何)",'Reference Score Calculation'!$Q114)),5,IF(ISNUMBER(SEARCH($AW$104,'Reference Score Calculation'!$P114)),7,5))))))))</f>
        <v>7</v>
      </c>
      <c r="BN135" s="415">
        <f>IF(ISNUMBER(SEARCH(BN$112,'Reference Score Calculation'!$O114)),10,IF(ISNUMBER(SEARCH(BN$112,'Reference Score Calculation'!$P114)),7,IF(ISNUMBER(SEARCH(BN$112,'Reference Score Calculation'!$Q114)),5,IF(ISNUMBER(SEARCH($AW$104,'Reference Score Calculation'!$O114)),10,IF(ISNUMBER(SEARCH("組合科學(任何)",'Reference Score Calculation'!$O114)),10,IF(ISNUMBER(SEARCH("組合科學(任何)",'Reference Score Calculation'!$P114)),7,IF(ISNUMBER(SEARCH("組合科學(任何)",'Reference Score Calculation'!$Q114)),5,IF(ISNUMBER(SEARCH($AW$104,'Reference Score Calculation'!$P114)),7,5))))))))</f>
        <v>10</v>
      </c>
      <c r="BO135" s="415">
        <f>IF(ISNUMBER(SEARCH(BO$112,'Reference Score Calculation'!$O114)),10,IF(ISNUMBER(SEARCH(BO$112,'Reference Score Calculation'!$P114)),7,IF(ISNUMBER(SEARCH(BO$112,'Reference Score Calculation'!$Q114)),5,IF(ISNUMBER(SEARCH($AW$104,'Reference Score Calculation'!$O114)),10,IF(ISNUMBER(SEARCH("組合科學(任何)",'Reference Score Calculation'!$O114)),10,IF(ISNUMBER(SEARCH("組合科學(任何)",'Reference Score Calculation'!$P114)),7,IF(ISNUMBER(SEARCH("組合科學(任何)",'Reference Score Calculation'!$Q114)),5,IF(ISNUMBER(SEARCH($AW$104,'Reference Score Calculation'!$P114)),7,5))))))))</f>
        <v>10</v>
      </c>
      <c r="BP135" s="415">
        <f>IF(ISNUMBER(SEARCH(BP$112,'Reference Score Calculation'!$O114)),10,IF(ISNUMBER(SEARCH(BP$112,'Reference Score Calculation'!$P114)),7,IF(ISNUMBER(SEARCH(BP$112,'Reference Score Calculation'!$Q114)),5,IF(ISNUMBER(SEARCH($AW$104,'Reference Score Calculation'!$O114)),10,IF(ISNUMBER(SEARCH($AW$104,'Reference Score Calculation'!$P114)),7,5)))))</f>
        <v>7</v>
      </c>
      <c r="BQ135" s="415">
        <f>IF(ISNUMBER(SEARCH(BQ$112,'Reference Score Calculation'!$O114)),10,IF(ISNUMBER(SEARCH(BQ$112,'Reference Score Calculation'!$P114)),7,IF(ISNUMBER(SEARCH(BQ$112,'Reference Score Calculation'!$Q114)),5,IF(ISNUMBER(SEARCH($AW$104,'Reference Score Calculation'!$O114)),10,IF(ISNUMBER(SEARCH($AW$104,'Reference Score Calculation'!$P114)),7,5)))))</f>
        <v>7</v>
      </c>
      <c r="BR135" s="415">
        <f>IF(ISNUMBER(SEARCH(BR$112,'Reference Score Calculation'!$O114)),10,IF(ISNUMBER(SEARCH(BR$112,'Reference Score Calculation'!$P114)),7,IF(ISNUMBER(SEARCH(BR$112,'Reference Score Calculation'!$Q114)),5,IF(ISNUMBER(SEARCH($AW$104,'Reference Score Calculation'!$O114)),10,IF(ISNUMBER(SEARCH($AW$104,'Reference Score Calculation'!$P114)),7,5)))))</f>
        <v>7</v>
      </c>
      <c r="BS135" s="415">
        <f>IF(ISNUMBER(SEARCH(BS$112,'Reference Score Calculation'!$O114)),10,IF(ISNUMBER(SEARCH(BS$112,'Reference Score Calculation'!$P114)),7,IF(ISNUMBER(SEARCH(BS$112,'Reference Score Calculation'!$Q114)),5,IF(ISNUMBER(SEARCH($AW$104,'Reference Score Calculation'!$O114)),10,IF(ISNUMBER(SEARCH($AW$104,'Reference Score Calculation'!$P114)),7,5)))))</f>
        <v>7</v>
      </c>
      <c r="BT135" s="415">
        <f>IF(ISNUMBER(SEARCH(BT$112,'Reference Score Calculation'!$O114)),10,IF(ISNUMBER(SEARCH(BT$112,'Reference Score Calculation'!$P114)),7,IF(ISNUMBER(SEARCH(BT$112,'Reference Score Calculation'!$Q114)),5,IF(ISNUMBER(SEARCH($AW$104,'Reference Score Calculation'!$O114)),10,IF(ISNUMBER(SEARCH($AW$104,'Reference Score Calculation'!$P114)),7,5)))))</f>
        <v>7</v>
      </c>
      <c r="BU135" s="415">
        <f>IF(ISNUMBER(SEARCH(BU$112,'Reference Score Calculation'!$O114)),10,IF(ISNUMBER(SEARCH(BU$112,'Reference Score Calculation'!$P114)),7,IF(ISNUMBER(SEARCH(BU$112,'Reference Score Calculation'!$Q114)),5,IF(ISNUMBER(SEARCH($AW$104,'Reference Score Calculation'!$O114)),10,IF(ISNUMBER(SEARCH($AW$104,'Reference Score Calculation'!$P114)),7,5)))))</f>
        <v>7</v>
      </c>
      <c r="BV135" s="415">
        <f>IF(ISNUMBER(SEARCH(BV$112,'Reference Score Calculation'!$O114)),10,IF(ISNUMBER(SEARCH(BV$112,'Reference Score Calculation'!$P114)),7,IF(ISNUMBER(SEARCH(BV$112,'Reference Score Calculation'!$Q114)),5,IF(ISNUMBER(SEARCH($AW$104,'Reference Score Calculation'!$O114)),10,IF(ISNUMBER(SEARCH($AW$104,'Reference Score Calculation'!$P114)),7,5)))))</f>
        <v>7</v>
      </c>
      <c r="BW135" s="415">
        <f>IF(ISNUMBER(SEARCH(BW$112,'Reference Score Calculation'!$O114)),10,IF(ISNUMBER(SEARCH(BW$112,'Reference Score Calculation'!$P114)),7,IF(ISNUMBER(SEARCH(BW$112,'Reference Score Calculation'!$Q114)),5,IF(ISNUMBER(SEARCH($AW$104,'Reference Score Calculation'!$O114)),10,IF(ISNUMBER(SEARCH($AW$104,'Reference Score Calculation'!$P114)),7,5)))))</f>
        <v>7</v>
      </c>
      <c r="BX135" s="415">
        <f>IF(ISNUMBER(SEARCH(BX$112,'Reference Score Calculation'!$O114)),10,IF(ISNUMBER(SEARCH(BX$112,'Reference Score Calculation'!$P114)),7,IF(ISNUMBER(SEARCH(BX$112,'Reference Score Calculation'!$Q114)),5,IF(ISNUMBER(SEARCH($AW$104,'Reference Score Calculation'!$O114)),10,IF(ISNUMBER(SEARCH($AW$104,'Reference Score Calculation'!$P114)),7,5)))))</f>
        <v>7</v>
      </c>
      <c r="BY135" s="195"/>
      <c r="BZ135" s="195"/>
      <c r="CA135" s="195"/>
    </row>
    <row r="136" spans="1:79">
      <c r="A136" s="119" t="str">
        <f>'Reference Score Calculation'!A113</f>
        <v>JS3330</v>
      </c>
      <c r="B136" s="119" t="str">
        <f>'Reference Score Calculation'!A113</f>
        <v>JS3330</v>
      </c>
      <c r="C136" s="119" t="str">
        <f>'Reference Score Calculation'!D113</f>
        <v>語言科學、翻譯學及言語治療(榮譽)文學士/理學士組合課程 (語言學及翻譯學 / 語言科學與語言數據分析 / 言語治療)</v>
      </c>
      <c r="D136" s="2" t="e">
        <f>'Reference Score Calculation'!#REF!</f>
        <v>#REF!</v>
      </c>
      <c r="E136" s="134" t="str">
        <f>'Reference Score Calculation'!E113</f>
        <v>Best 5</v>
      </c>
      <c r="F136" s="134"/>
      <c r="G136" s="119" t="str">
        <f>入學要求!AB122</f>
        <v>v</v>
      </c>
      <c r="H136" s="119" t="str">
        <f>入學要求!AC122</f>
        <v>E</v>
      </c>
      <c r="I136" s="119" t="str">
        <f>入學要求!AD122</f>
        <v>NO</v>
      </c>
      <c r="J136" s="119">
        <f t="shared" si="254"/>
        <v>1.7250000000000002E-8</v>
      </c>
      <c r="K136" s="119">
        <f t="shared" ref="K136:M155" si="260">IFERROR(INDEX($AW134:$BX134,MATCH(K$1,$AW$113:$BX$113,0)),0)</f>
        <v>10</v>
      </c>
      <c r="L136" s="119">
        <f t="shared" si="260"/>
        <v>10</v>
      </c>
      <c r="M136" s="119">
        <f t="shared" si="260"/>
        <v>10</v>
      </c>
      <c r="N136" s="119">
        <v>0</v>
      </c>
      <c r="O136" s="119">
        <f t="shared" ref="O136:S145" si="261">IFERROR(INDEX($AW134:$BX134,MATCH(O$1,$AW$113:$BX$113,0)),0)</f>
        <v>7</v>
      </c>
      <c r="P136" s="119">
        <f t="shared" si="261"/>
        <v>0</v>
      </c>
      <c r="Q136" s="119">
        <f t="shared" si="261"/>
        <v>0</v>
      </c>
      <c r="R136" s="119">
        <f t="shared" si="261"/>
        <v>0</v>
      </c>
      <c r="S136" s="119">
        <f t="shared" si="261"/>
        <v>0</v>
      </c>
      <c r="T136" s="119">
        <v>5</v>
      </c>
      <c r="V136" s="119">
        <f t="shared" si="234"/>
        <v>4.0000000000000002E-9</v>
      </c>
      <c r="W136" s="119">
        <f t="shared" si="235"/>
        <v>2.0000000000000001E-9</v>
      </c>
      <c r="X136" s="119">
        <f t="shared" si="236"/>
        <v>3E-9</v>
      </c>
      <c r="Y136" s="119">
        <f t="shared" si="237"/>
        <v>0</v>
      </c>
      <c r="Z136" s="119">
        <f t="shared" si="238"/>
        <v>3.5000000000000003E-9</v>
      </c>
      <c r="AA136" s="119">
        <f t="shared" si="239"/>
        <v>0</v>
      </c>
      <c r="AB136" s="119">
        <f t="shared" si="240"/>
        <v>0</v>
      </c>
      <c r="AC136" s="119">
        <f t="shared" si="241"/>
        <v>0</v>
      </c>
      <c r="AD136" s="119">
        <f t="shared" si="242"/>
        <v>0</v>
      </c>
      <c r="AE136" s="119">
        <f t="shared" si="243"/>
        <v>4.7500000000000003E-9</v>
      </c>
      <c r="AF136" s="119" t="b">
        <f t="shared" ref="AF136:AF148" si="262">IF($E136="4C2X",TRUE,IF($E136="Best 5",IF(V136&gt;LARGE($V136:$AE136,6),TRUE),IF($E136="Best 6",IF(V136&gt;LARGE($V136:$AE136,7),TRUE))))</f>
        <v>1</v>
      </c>
      <c r="AG136" s="119" t="b">
        <f t="shared" ref="AG136:AG148" si="263">IF($E136="4C2X",TRUE,IF($E136="Best 5",IF(W136&gt;LARGE($V136:$AE136,6),TRUE),IF($E136="Best 6",IF(W136&gt;LARGE($V136:$AE136,7),TRUE))))</f>
        <v>1</v>
      </c>
      <c r="AH136" s="119" t="b">
        <f t="shared" ref="AH136:AH148" si="264">IF($E136="4C2X",TRUE,IF($E136="Best 5",IF(X136&gt;LARGE($V136:$AE136,6),TRUE),IF($E136="Best 6",IF(X136&gt;LARGE($V136:$AE136,7),TRUE))))</f>
        <v>1</v>
      </c>
      <c r="AI136" s="119" t="b">
        <f t="shared" ref="AI136:AI148" si="265">IF($E136="4C2X",TRUE,IF($E136="Best 5",IF(Y136&gt;LARGE($V136:$AE136,6),TRUE),IF($E136="Best 6",IF(Y136&gt;LARGE($V136:$AE136,7),TRUE))))</f>
        <v>0</v>
      </c>
      <c r="AJ136" s="119" t="b">
        <f t="shared" ref="AJ136:AJ148" si="266">IF($E136="4C2X",IF(Z136&gt;LARGE($Z136:$AE136,3),TRUE),IF($E136="Best 5",IF(Z136&gt;LARGE($V136:$AE136,6),TRUE),IF($E136="Best 6",IF(Z136&gt;LARGE($V136:$AE136,7),TRUE))))</f>
        <v>1</v>
      </c>
      <c r="AK136" s="119" t="b">
        <f t="shared" ref="AK136:AK148" si="267">IF($E136="4C2X",IF(AA136&gt;LARGE($Z136:$AE136,3),TRUE),IF($E136="Best 5",IF(AA136&gt;LARGE($V136:$AE136,6),TRUE),IF($E136="Best 6",IF(AA136&gt;LARGE($V136:$AE136,7),TRUE))))</f>
        <v>0</v>
      </c>
      <c r="AL136" s="119" t="b">
        <f t="shared" ref="AL136:AL148" si="268">IF($E136="4C2X",IF(AB136&gt;LARGE($Z136:$AE136,3),TRUE),IF($E136="Best 5",IF(AB136&gt;LARGE($V136:$AE136,6),TRUE),IF($E136="Best 6",IF(AB136&gt;LARGE($V136:$AE136,7),TRUE))))</f>
        <v>0</v>
      </c>
      <c r="AM136" s="119" t="b">
        <f t="shared" ref="AM136:AM148" si="269">IF($E136="4C2X",IF(AC136&gt;LARGE($Z136:$AE136,3),TRUE),IF($E136="Best 5",IF(AC136&gt;LARGE($V136:$AE136,6),TRUE),IF($E136="Best 6",IF(AC136&gt;LARGE($V136:$AE136,7),TRUE))))</f>
        <v>0</v>
      </c>
      <c r="AN136" s="119" t="b">
        <f t="shared" ref="AN136:AN148" si="270">IF($E136="4C2X",IF(AD136&gt;LARGE($Z136:$AE136,3),TRUE),IF($E136="Best 5",IF(AD136&gt;LARGE($V136:$AE136,6),TRUE),IF($E136="Best 6",IF(AD136&gt;LARGE($V136:$AE136,7),TRUE))))</f>
        <v>0</v>
      </c>
      <c r="AO136" s="119" t="b">
        <f t="shared" ref="AO136:AO148" si="271">IF($E136="4C2X",IF(AE136&gt;LARGE($Z136:$AE136,3),TRUE),IF($E136="Best 5",IF(AE136&gt;LARGE($V136:$AE136,6),TRUE),IF($E136="Best 6",IF(AE136&gt;LARGE($V136:$AE136,7),TRUE))))</f>
        <v>1</v>
      </c>
      <c r="AQ136" s="2"/>
      <c r="AR136" s="2"/>
      <c r="AS136" s="2"/>
      <c r="AT136" s="195"/>
      <c r="AU136" s="195" t="str">
        <f>'Reference Score Calculation'!A115</f>
        <v>JS3478</v>
      </c>
      <c r="AV136" s="195"/>
      <c r="AW136" s="415">
        <f>IF(ISNUMBER(SEARCH(AW$112,'Reference Score Calculation'!$O115)),10,IF(ISNUMBER(SEARCH(AW$112,'Reference Score Calculation'!$P115)),7,IF(ISNUMBER(SEARCH(AW$112,'Reference Score Calculation'!$Q115)),5,IF(ISNUMBER(SEARCH($AW$104,'Reference Score Calculation'!$O115)),10,IF(ISNUMBER(SEARCH($AW$104,'Reference Score Calculation'!$P115)),7,5)))))</f>
        <v>10</v>
      </c>
      <c r="AX136" s="415">
        <f>IF(ISNUMBER(SEARCH(AX$112,'Reference Score Calculation'!$O115)),10,IF(ISNUMBER(SEARCH(AX$112,'Reference Score Calculation'!$P115)),7,IF(ISNUMBER(SEARCH(AX$112,'Reference Score Calculation'!$Q115)),5,IF(ISNUMBER(SEARCH($AW$104,'Reference Score Calculation'!$O115)),10,IF(ISNUMBER(SEARCH($AW$104,'Reference Score Calculation'!$P115)),7,5)))))</f>
        <v>10</v>
      </c>
      <c r="AY136" s="415">
        <f>IF(ISNUMBER(SEARCH(AY$112,'Reference Score Calculation'!$O115)),10,IF(ISNUMBER(SEARCH(AY$112,'Reference Score Calculation'!$P115)),7,IF(ISNUMBER(SEARCH(AY$112,'Reference Score Calculation'!$Q115)),5,IF(ISNUMBER(SEARCH($AW$104,'Reference Score Calculation'!$O115)),10,IF(ISNUMBER(SEARCH($AW$104,'Reference Score Calculation'!$P115)),7,5)))))</f>
        <v>10</v>
      </c>
      <c r="AZ136" s="415">
        <f>IF(ISNUMBER(SEARCH(AZ$112,'Reference Score Calculation'!$O115)),10,IF(ISNUMBER(SEARCH(AZ$112,'Reference Score Calculation'!$P115)),7,IF(ISNUMBER(SEARCH(AZ$112,'Reference Score Calculation'!$Q115)),5,IF(ISNUMBER(SEARCH($AW$104,'Reference Score Calculation'!$O115)),10,IF(ISNUMBER(SEARCH($AW$104,'Reference Score Calculation'!$P115)),7,5)))))</f>
        <v>7</v>
      </c>
      <c r="BA136" s="415">
        <f>IF(ISNUMBER(SEARCH(BA$112,'Reference Score Calculation'!$O115)),10,IF(ISNUMBER(SEARCH(BA$112,'Reference Score Calculation'!$P115)),7,IF(ISNUMBER(SEARCH(BA$112,'Reference Score Calculation'!$Q115)),5,IF(ISNUMBER(SEARCH($AW$104,'Reference Score Calculation'!$O115)),10,IF(ISNUMBER(SEARCH($AW$104,'Reference Score Calculation'!$P115)),7,5)))))</f>
        <v>10</v>
      </c>
      <c r="BB136" s="415">
        <f>IF(ISNUMBER(SEARCH(BB$112,'Reference Score Calculation'!$O115)),10,IF(ISNUMBER(SEARCH(BB$112,'Reference Score Calculation'!$P115)),7,IF(ISNUMBER(SEARCH(BB$112,'Reference Score Calculation'!$Q115)),5,IF(ISNUMBER(SEARCH($AW$104,'Reference Score Calculation'!$O115)),10,IF(ISNUMBER(SEARCH($AW$104,'Reference Score Calculation'!$P115)),7,5)))))</f>
        <v>7</v>
      </c>
      <c r="BC136" s="415">
        <f>IF(ISNUMBER(SEARCH(BC$112,'Reference Score Calculation'!$O115)),10,IF(ISNUMBER(SEARCH(BC$112,'Reference Score Calculation'!$P115)),7,IF(ISNUMBER(SEARCH(BC$112,'Reference Score Calculation'!$Q115)),5,IF(ISNUMBER(SEARCH($AW$104,'Reference Score Calculation'!$O115)),10,IF(ISNUMBER(SEARCH($AW$104,'Reference Score Calculation'!$P115)),7,5)))))</f>
        <v>10</v>
      </c>
      <c r="BD136" s="415">
        <f>IF(ISNUMBER(SEARCH(BD$112,'Reference Score Calculation'!$O115)),10,IF(ISNUMBER(SEARCH(BD$112,'Reference Score Calculation'!$P115)),7,IF(ISNUMBER(SEARCH(BD$112,'Reference Score Calculation'!$Q115)),5,IF(ISNUMBER(SEARCH($AW$104,'Reference Score Calculation'!$O115)),10,IF(ISNUMBER(SEARCH($AW$104,'Reference Score Calculation'!$P115)),7,5)))))</f>
        <v>10</v>
      </c>
      <c r="BE136" s="415">
        <f>IF(ISNUMBER(SEARCH(BE$112,'Reference Score Calculation'!$O115)),10,IF(ISNUMBER(SEARCH(BE$112,'Reference Score Calculation'!$P115)),7,IF(ISNUMBER(SEARCH(BE$112,'Reference Score Calculation'!$Q115)),5,IF(ISNUMBER(SEARCH($AW$104,'Reference Score Calculation'!$O115)),10,IF(ISNUMBER(SEARCH($AW$104,'Reference Score Calculation'!$P115)),7,5)))))</f>
        <v>5</v>
      </c>
      <c r="BF136" s="415">
        <f>IF(ISNUMBER(SEARCH(BF$112,'Reference Score Calculation'!$O115)),10,IF(ISNUMBER(SEARCH(BF$112,'Reference Score Calculation'!$P115)),7,IF(ISNUMBER(SEARCH(BF$112,'Reference Score Calculation'!$Q115)),5,IF(ISNUMBER(SEARCH($AW$104,'Reference Score Calculation'!$O115)),10,IF(ISNUMBER(SEARCH($AW$104,'Reference Score Calculation'!$P115)),7,5)))))</f>
        <v>5</v>
      </c>
      <c r="BG136" s="415">
        <f>IF(ISNUMBER(SEARCH(BG$112,'Reference Score Calculation'!$O115)),10,IF(ISNUMBER(SEARCH(BG$112,'Reference Score Calculation'!$P115)),7,IF(ISNUMBER(SEARCH(BG$112,'Reference Score Calculation'!$Q115)),5,IF(ISNUMBER(SEARCH($AW$104,'Reference Score Calculation'!$O115)),10,IF(ISNUMBER(SEARCH($AW$104,'Reference Score Calculation'!$P115)),7,5)))))</f>
        <v>5</v>
      </c>
      <c r="BH136" s="415">
        <f>IF(ISNUMBER(SEARCH(BH$112,'Reference Score Calculation'!$O115)),10,IF(ISNUMBER(SEARCH(BH$112,'Reference Score Calculation'!$P115)),7,IF(ISNUMBER(SEARCH(BH$112,'Reference Score Calculation'!$Q115)),5,IF(ISNUMBER(SEARCH($AW$104,'Reference Score Calculation'!$O115)),10,IF(ISNUMBER(SEARCH($AW$104,'Reference Score Calculation'!$P115)),7,5)))))</f>
        <v>5</v>
      </c>
      <c r="BI136" s="415">
        <f>IF(ISNUMBER(SEARCH(BI$112,'Reference Score Calculation'!$O115)),10,IF(ISNUMBER(SEARCH(BI$112,'Reference Score Calculation'!$P115)),7,IF(ISNUMBER(SEARCH(BI$112,'Reference Score Calculation'!$Q115)),5,IF(ISNUMBER(SEARCH($AW$104,'Reference Score Calculation'!$O115)),10,IF(ISNUMBER(SEARCH($AW$104,'Reference Score Calculation'!$P115)),7,5)))))</f>
        <v>5</v>
      </c>
      <c r="BJ136" s="415">
        <f>IF(ISNUMBER(SEARCH(BJ$112,'Reference Score Calculation'!$O115)),10,IF(ISNUMBER(SEARCH(BJ$112,'Reference Score Calculation'!$P115)),7,IF(ISNUMBER(SEARCH(BJ$112,'Reference Score Calculation'!$Q115)),5,IF(ISNUMBER(SEARCH($AW$104,'Reference Score Calculation'!$O115)),10,IF(ISNUMBER(SEARCH($AW$104,'Reference Score Calculation'!$P115)),7,5)))))</f>
        <v>5</v>
      </c>
      <c r="BK136" s="415">
        <f>IF(ISNUMBER(SEARCH(BK$112,'Reference Score Calculation'!$O115)),10,IF(ISNUMBER(SEARCH(BK$112,'Reference Score Calculation'!$P115)),7,IF(ISNUMBER(SEARCH(BK$112,'Reference Score Calculation'!$Q115)),5,IF(ISNUMBER(SEARCH($AW$104,'Reference Score Calculation'!$O115)),10,IF(ISNUMBER(SEARCH($AW$104,'Reference Score Calculation'!$P115)),7,5)))))</f>
        <v>5</v>
      </c>
      <c r="BL136" s="415">
        <f>IF(ISNUMBER(SEARCH(BL$112,'Reference Score Calculation'!$O115)),10,IF(ISNUMBER(SEARCH(BL$112,'Reference Score Calculation'!$P115)),7,IF(ISNUMBER(SEARCH(BL$112,'Reference Score Calculation'!$Q115)),5,IF(ISNUMBER(SEARCH($AW$104,'Reference Score Calculation'!$O115)),10,IF(ISNUMBER(SEARCH($AW$104,'Reference Score Calculation'!$P115)),7,5)))))</f>
        <v>5</v>
      </c>
      <c r="BM136" s="415">
        <f>IF(ISNUMBER(SEARCH(BM$112,'Reference Score Calculation'!$O115)),10,IF(ISNUMBER(SEARCH(BM$112,'Reference Score Calculation'!$P115)),7,IF(ISNUMBER(SEARCH(BM$112,'Reference Score Calculation'!$Q115)),5,IF(ISNUMBER(SEARCH($AW$104,'Reference Score Calculation'!$O115)),10,IF(ISNUMBER(SEARCH("組合科學(任何)",'Reference Score Calculation'!$O115)),10,IF(ISNUMBER(SEARCH("組合科學(任何)",'Reference Score Calculation'!$P115)),7,IF(ISNUMBER(SEARCH("組合科學(任何)",'Reference Score Calculation'!$Q115)),5,IF(ISNUMBER(SEARCH($AW$104,'Reference Score Calculation'!$P115)),7,5))))))))</f>
        <v>7</v>
      </c>
      <c r="BN136" s="415">
        <f>IF(ISNUMBER(SEARCH(BN$112,'Reference Score Calculation'!$O115)),10,IF(ISNUMBER(SEARCH(BN$112,'Reference Score Calculation'!$P115)),7,IF(ISNUMBER(SEARCH(BN$112,'Reference Score Calculation'!$Q115)),5,IF(ISNUMBER(SEARCH($AW$104,'Reference Score Calculation'!$O115)),10,IF(ISNUMBER(SEARCH("組合科學(任何)",'Reference Score Calculation'!$O115)),10,IF(ISNUMBER(SEARCH("組合科學(任何)",'Reference Score Calculation'!$P115)),7,IF(ISNUMBER(SEARCH("組合科學(任何)",'Reference Score Calculation'!$Q115)),5,IF(ISNUMBER(SEARCH($AW$104,'Reference Score Calculation'!$P115)),7,5))))))))</f>
        <v>10</v>
      </c>
      <c r="BO136" s="415">
        <f>IF(ISNUMBER(SEARCH(BO$112,'Reference Score Calculation'!$O115)),10,IF(ISNUMBER(SEARCH(BO$112,'Reference Score Calculation'!$P115)),7,IF(ISNUMBER(SEARCH(BO$112,'Reference Score Calculation'!$Q115)),5,IF(ISNUMBER(SEARCH($AW$104,'Reference Score Calculation'!$O115)),10,IF(ISNUMBER(SEARCH("組合科學(任何)",'Reference Score Calculation'!$O115)),10,IF(ISNUMBER(SEARCH("組合科學(任何)",'Reference Score Calculation'!$P115)),7,IF(ISNUMBER(SEARCH("組合科學(任何)",'Reference Score Calculation'!$Q115)),5,IF(ISNUMBER(SEARCH($AW$104,'Reference Score Calculation'!$P115)),7,5))))))))</f>
        <v>7</v>
      </c>
      <c r="BP136" s="415">
        <f>IF(ISNUMBER(SEARCH(BP$112,'Reference Score Calculation'!$O115)),10,IF(ISNUMBER(SEARCH(BP$112,'Reference Score Calculation'!$P115)),7,IF(ISNUMBER(SEARCH(BP$112,'Reference Score Calculation'!$Q115)),5,IF(ISNUMBER(SEARCH($AW$104,'Reference Score Calculation'!$O115)),10,IF(ISNUMBER(SEARCH($AW$104,'Reference Score Calculation'!$P115)),7,5)))))</f>
        <v>5</v>
      </c>
      <c r="BQ136" s="415">
        <f>IF(ISNUMBER(SEARCH(BQ$112,'Reference Score Calculation'!$O115)),10,IF(ISNUMBER(SEARCH(BQ$112,'Reference Score Calculation'!$P115)),7,IF(ISNUMBER(SEARCH(BQ$112,'Reference Score Calculation'!$Q115)),5,IF(ISNUMBER(SEARCH($AW$104,'Reference Score Calculation'!$O115)),10,IF(ISNUMBER(SEARCH($AW$104,'Reference Score Calculation'!$P115)),7,5)))))</f>
        <v>5</v>
      </c>
      <c r="BR136" s="415">
        <f>IF(ISNUMBER(SEARCH(BR$112,'Reference Score Calculation'!$O115)),10,IF(ISNUMBER(SEARCH(BR$112,'Reference Score Calculation'!$P115)),7,IF(ISNUMBER(SEARCH(BR$112,'Reference Score Calculation'!$Q115)),5,IF(ISNUMBER(SEARCH($AW$104,'Reference Score Calculation'!$O115)),10,IF(ISNUMBER(SEARCH($AW$104,'Reference Score Calculation'!$P115)),7,5)))))</f>
        <v>5</v>
      </c>
      <c r="BS136" s="415">
        <f>IF(ISNUMBER(SEARCH(BS$112,'Reference Score Calculation'!$O115)),10,IF(ISNUMBER(SEARCH(BS$112,'Reference Score Calculation'!$P115)),7,IF(ISNUMBER(SEARCH(BS$112,'Reference Score Calculation'!$Q115)),5,IF(ISNUMBER(SEARCH($AW$104,'Reference Score Calculation'!$O115)),10,IF(ISNUMBER(SEARCH($AW$104,'Reference Score Calculation'!$P115)),7,5)))))</f>
        <v>5</v>
      </c>
      <c r="BT136" s="415">
        <f>IF(ISNUMBER(SEARCH(BT$112,'Reference Score Calculation'!$O115)),10,IF(ISNUMBER(SEARCH(BT$112,'Reference Score Calculation'!$P115)),7,IF(ISNUMBER(SEARCH(BT$112,'Reference Score Calculation'!$Q115)),5,IF(ISNUMBER(SEARCH($AW$104,'Reference Score Calculation'!$O115)),10,IF(ISNUMBER(SEARCH($AW$104,'Reference Score Calculation'!$P115)),7,5)))))</f>
        <v>5</v>
      </c>
      <c r="BU136" s="415">
        <f>IF(ISNUMBER(SEARCH(BU$112,'Reference Score Calculation'!$O115)),10,IF(ISNUMBER(SEARCH(BU$112,'Reference Score Calculation'!$P115)),7,IF(ISNUMBER(SEARCH(BU$112,'Reference Score Calculation'!$Q115)),5,IF(ISNUMBER(SEARCH($AW$104,'Reference Score Calculation'!$O115)),10,IF(ISNUMBER(SEARCH($AW$104,'Reference Score Calculation'!$P115)),7,5)))))</f>
        <v>5</v>
      </c>
      <c r="BV136" s="415">
        <f>IF(ISNUMBER(SEARCH(BV$112,'Reference Score Calculation'!$O115)),10,IF(ISNUMBER(SEARCH(BV$112,'Reference Score Calculation'!$P115)),7,IF(ISNUMBER(SEARCH(BV$112,'Reference Score Calculation'!$Q115)),5,IF(ISNUMBER(SEARCH($AW$104,'Reference Score Calculation'!$O115)),10,IF(ISNUMBER(SEARCH($AW$104,'Reference Score Calculation'!$P115)),7,5)))))</f>
        <v>5</v>
      </c>
      <c r="BW136" s="415">
        <f>IF(ISNUMBER(SEARCH(BW$112,'Reference Score Calculation'!$O115)),10,IF(ISNUMBER(SEARCH(BW$112,'Reference Score Calculation'!$P115)),7,IF(ISNUMBER(SEARCH(BW$112,'Reference Score Calculation'!$Q115)),5,IF(ISNUMBER(SEARCH($AW$104,'Reference Score Calculation'!$O115)),10,IF(ISNUMBER(SEARCH($AW$104,'Reference Score Calculation'!$P115)),7,5)))))</f>
        <v>5</v>
      </c>
      <c r="BX136" s="415">
        <f>IF(ISNUMBER(SEARCH(BX$112,'Reference Score Calculation'!$O115)),10,IF(ISNUMBER(SEARCH(BX$112,'Reference Score Calculation'!$P115)),7,IF(ISNUMBER(SEARCH(BX$112,'Reference Score Calculation'!$Q115)),5,IF(ISNUMBER(SEARCH($AW$104,'Reference Score Calculation'!$O115)),10,IF(ISNUMBER(SEARCH($AW$104,'Reference Score Calculation'!$P115)),7,5)))))</f>
        <v>5</v>
      </c>
      <c r="BY136" s="195"/>
      <c r="BZ136" s="195"/>
      <c r="CA136" s="195"/>
    </row>
    <row r="137" spans="1:79">
      <c r="A137" s="119" t="str">
        <f>'Reference Score Calculation'!A114</f>
        <v>JS3337</v>
      </c>
      <c r="B137" s="119" t="str">
        <f>'Reference Score Calculation'!A114</f>
        <v>JS3337</v>
      </c>
      <c r="C137" s="119" t="str">
        <f>'Reference Score Calculation'!D114</f>
        <v>護理學(榮譽)理學士組合課程 - 精神健康護理學(榮譽)理學士</v>
      </c>
      <c r="D137" s="2" t="e">
        <f>'Reference Score Calculation'!#REF!</f>
        <v>#REF!</v>
      </c>
      <c r="E137" s="134" t="str">
        <f>'Reference Score Calculation'!E114</f>
        <v>4C2X</v>
      </c>
      <c r="F137" s="134"/>
      <c r="G137" s="119" t="str">
        <f>入學要求!AB123</f>
        <v>v</v>
      </c>
      <c r="H137" s="119" t="str">
        <f>入學要求!AC123</f>
        <v>NO</v>
      </c>
      <c r="I137" s="119" t="str">
        <f>入學要求!AD123</f>
        <v>NO</v>
      </c>
      <c r="J137" s="119">
        <f t="shared" si="254"/>
        <v>1.2500000000000001E-8</v>
      </c>
      <c r="K137" s="119">
        <f t="shared" si="260"/>
        <v>10</v>
      </c>
      <c r="L137" s="119">
        <f t="shared" si="260"/>
        <v>10</v>
      </c>
      <c r="M137" s="119">
        <f t="shared" si="260"/>
        <v>10</v>
      </c>
      <c r="N137" s="119">
        <f>IFERROR(INDEX($AW135:$BX135,MATCH(N$1,$AW$113:$BX$113,0)),0)</f>
        <v>10</v>
      </c>
      <c r="O137" s="119">
        <f t="shared" si="261"/>
        <v>7</v>
      </c>
      <c r="P137" s="119">
        <f t="shared" si="261"/>
        <v>0</v>
      </c>
      <c r="Q137" s="119">
        <f t="shared" si="261"/>
        <v>0</v>
      </c>
      <c r="R137" s="119">
        <f t="shared" si="261"/>
        <v>0</v>
      </c>
      <c r="S137" s="119">
        <f t="shared" si="261"/>
        <v>0</v>
      </c>
      <c r="T137" s="119">
        <v>5</v>
      </c>
      <c r="V137" s="119">
        <f t="shared" si="234"/>
        <v>4.0000000000000002E-9</v>
      </c>
      <c r="W137" s="119">
        <f t="shared" si="235"/>
        <v>2.0000000000000001E-9</v>
      </c>
      <c r="X137" s="119">
        <f t="shared" si="236"/>
        <v>3E-9</v>
      </c>
      <c r="Y137" s="119">
        <f t="shared" si="237"/>
        <v>0</v>
      </c>
      <c r="Z137" s="119">
        <f t="shared" si="238"/>
        <v>3.5000000000000003E-9</v>
      </c>
      <c r="AA137" s="119">
        <f t="shared" si="239"/>
        <v>0</v>
      </c>
      <c r="AB137" s="119">
        <f t="shared" si="240"/>
        <v>0</v>
      </c>
      <c r="AC137" s="119">
        <f t="shared" si="241"/>
        <v>0</v>
      </c>
      <c r="AD137" s="119">
        <f t="shared" si="242"/>
        <v>0</v>
      </c>
      <c r="AE137" s="119">
        <f t="shared" si="243"/>
        <v>0</v>
      </c>
      <c r="AF137" s="119" t="b">
        <f t="shared" si="262"/>
        <v>1</v>
      </c>
      <c r="AG137" s="119" t="b">
        <f t="shared" si="263"/>
        <v>1</v>
      </c>
      <c r="AH137" s="119" t="b">
        <f t="shared" si="264"/>
        <v>1</v>
      </c>
      <c r="AI137" s="119" t="b">
        <f t="shared" si="265"/>
        <v>1</v>
      </c>
      <c r="AJ137" s="119" t="b">
        <f t="shared" si="266"/>
        <v>1</v>
      </c>
      <c r="AK137" s="119" t="b">
        <f t="shared" si="267"/>
        <v>0</v>
      </c>
      <c r="AL137" s="119" t="b">
        <f t="shared" si="268"/>
        <v>0</v>
      </c>
      <c r="AM137" s="119" t="b">
        <f t="shared" si="269"/>
        <v>0</v>
      </c>
      <c r="AN137" s="119" t="b">
        <f t="shared" si="270"/>
        <v>0</v>
      </c>
      <c r="AO137" s="119" t="b">
        <f t="shared" si="271"/>
        <v>0</v>
      </c>
      <c r="AQ137" s="2"/>
      <c r="AR137" s="2"/>
      <c r="AS137" s="2"/>
      <c r="AT137" s="195"/>
      <c r="AU137" s="195" t="str">
        <f>'Reference Score Calculation'!A116</f>
        <v>JS3557</v>
      </c>
      <c r="AV137" s="195"/>
      <c r="AW137" s="415">
        <f>IF(ISNUMBER(SEARCH(AW$112,'Reference Score Calculation'!$O116)),10,IF(ISNUMBER(SEARCH(AW$112,'Reference Score Calculation'!$P116)),7,IF(ISNUMBER(SEARCH(AW$112,'Reference Score Calculation'!$Q116)),5,IF(ISNUMBER(SEARCH($AW$104,'Reference Score Calculation'!$O116)),10,IF(ISNUMBER(SEARCH($AW$104,'Reference Score Calculation'!$P116)),7,5)))))</f>
        <v>7</v>
      </c>
      <c r="AX137" s="415">
        <f>IF(ISNUMBER(SEARCH(AX$112,'Reference Score Calculation'!$O116)),10,IF(ISNUMBER(SEARCH(AX$112,'Reference Score Calculation'!$P116)),7,IF(ISNUMBER(SEARCH(AX$112,'Reference Score Calculation'!$Q116)),5,IF(ISNUMBER(SEARCH($AW$104,'Reference Score Calculation'!$O116)),10,IF(ISNUMBER(SEARCH($AW$104,'Reference Score Calculation'!$P116)),7,5)))))</f>
        <v>10</v>
      </c>
      <c r="AY137" s="415">
        <f>IF(ISNUMBER(SEARCH(AY$112,'Reference Score Calculation'!$O116)),10,IF(ISNUMBER(SEARCH(AY$112,'Reference Score Calculation'!$P116)),7,IF(ISNUMBER(SEARCH(AY$112,'Reference Score Calculation'!$Q116)),5,IF(ISNUMBER(SEARCH($AW$104,'Reference Score Calculation'!$O116)),10,IF(ISNUMBER(SEARCH($AW$104,'Reference Score Calculation'!$P116)),7,5)))))</f>
        <v>10</v>
      </c>
      <c r="AZ137" s="415">
        <f>IF(ISNUMBER(SEARCH(AZ$112,'Reference Score Calculation'!$O116)),10,IF(ISNUMBER(SEARCH(AZ$112,'Reference Score Calculation'!$P116)),7,IF(ISNUMBER(SEARCH(AZ$112,'Reference Score Calculation'!$Q116)),5,IF(ISNUMBER(SEARCH($AW$104,'Reference Score Calculation'!$O116)),10,IF(ISNUMBER(SEARCH($AW$104,'Reference Score Calculation'!$P116)),7,5)))))</f>
        <v>7</v>
      </c>
      <c r="BA137" s="415">
        <f>IF(ISNUMBER(SEARCH(BA$112,'Reference Score Calculation'!$O116)),10,IF(ISNUMBER(SEARCH(BA$112,'Reference Score Calculation'!$P116)),7,IF(ISNUMBER(SEARCH(BA$112,'Reference Score Calculation'!$Q116)),5,IF(ISNUMBER(SEARCH($AW$104,'Reference Score Calculation'!$O116)),10,IF(ISNUMBER(SEARCH($AW$104,'Reference Score Calculation'!$P116)),7,5)))))</f>
        <v>5</v>
      </c>
      <c r="BB137" s="415">
        <f>IF(ISNUMBER(SEARCH(BB$112,'Reference Score Calculation'!$O116)),10,IF(ISNUMBER(SEARCH(BB$112,'Reference Score Calculation'!$P116)),7,IF(ISNUMBER(SEARCH(BB$112,'Reference Score Calculation'!$Q116)),5,IF(ISNUMBER(SEARCH($AW$104,'Reference Score Calculation'!$O116)),10,IF(ISNUMBER(SEARCH($AW$104,'Reference Score Calculation'!$P116)),7,5)))))</f>
        <v>5</v>
      </c>
      <c r="BC137" s="415">
        <f>IF(ISNUMBER(SEARCH(BC$112,'Reference Score Calculation'!$O116)),10,IF(ISNUMBER(SEARCH(BC$112,'Reference Score Calculation'!$P116)),7,IF(ISNUMBER(SEARCH(BC$112,'Reference Score Calculation'!$Q116)),5,IF(ISNUMBER(SEARCH($AW$104,'Reference Score Calculation'!$O116)),10,IF(ISNUMBER(SEARCH($AW$104,'Reference Score Calculation'!$P116)),7,5)))))</f>
        <v>5</v>
      </c>
      <c r="BD137" s="415">
        <f>IF(ISNUMBER(SEARCH(BD$112,'Reference Score Calculation'!$O116)),10,IF(ISNUMBER(SEARCH(BD$112,'Reference Score Calculation'!$P116)),7,IF(ISNUMBER(SEARCH(BD$112,'Reference Score Calculation'!$Q116)),5,IF(ISNUMBER(SEARCH($AW$104,'Reference Score Calculation'!$O116)),10,IF(ISNUMBER(SEARCH($AW$104,'Reference Score Calculation'!$P116)),7,5)))))</f>
        <v>5</v>
      </c>
      <c r="BE137" s="415">
        <f>IF(ISNUMBER(SEARCH(BE$112,'Reference Score Calculation'!$O116)),10,IF(ISNUMBER(SEARCH(BE$112,'Reference Score Calculation'!$P116)),7,IF(ISNUMBER(SEARCH(BE$112,'Reference Score Calculation'!$Q116)),5,IF(ISNUMBER(SEARCH($AW$104,'Reference Score Calculation'!$O116)),10,IF(ISNUMBER(SEARCH($AW$104,'Reference Score Calculation'!$P116)),7,5)))))</f>
        <v>5</v>
      </c>
      <c r="BF137" s="415">
        <f>IF(ISNUMBER(SEARCH(BF$112,'Reference Score Calculation'!$O116)),10,IF(ISNUMBER(SEARCH(BF$112,'Reference Score Calculation'!$P116)),7,IF(ISNUMBER(SEARCH(BF$112,'Reference Score Calculation'!$Q116)),5,IF(ISNUMBER(SEARCH($AW$104,'Reference Score Calculation'!$O116)),10,IF(ISNUMBER(SEARCH($AW$104,'Reference Score Calculation'!$P116)),7,5)))))</f>
        <v>5</v>
      </c>
      <c r="BG137" s="415">
        <f>IF(ISNUMBER(SEARCH(BG$112,'Reference Score Calculation'!$O116)),10,IF(ISNUMBER(SEARCH(BG$112,'Reference Score Calculation'!$P116)),7,IF(ISNUMBER(SEARCH(BG$112,'Reference Score Calculation'!$Q116)),5,IF(ISNUMBER(SEARCH($AW$104,'Reference Score Calculation'!$O116)),10,IF(ISNUMBER(SEARCH($AW$104,'Reference Score Calculation'!$P116)),7,5)))))</f>
        <v>5</v>
      </c>
      <c r="BH137" s="415">
        <f>IF(ISNUMBER(SEARCH(BH$112,'Reference Score Calculation'!$O116)),10,IF(ISNUMBER(SEARCH(BH$112,'Reference Score Calculation'!$P116)),7,IF(ISNUMBER(SEARCH(BH$112,'Reference Score Calculation'!$Q116)),5,IF(ISNUMBER(SEARCH($AW$104,'Reference Score Calculation'!$O116)),10,IF(ISNUMBER(SEARCH($AW$104,'Reference Score Calculation'!$P116)),7,5)))))</f>
        <v>5</v>
      </c>
      <c r="BI137" s="415">
        <f>IF(ISNUMBER(SEARCH(BI$112,'Reference Score Calculation'!$O116)),10,IF(ISNUMBER(SEARCH(BI$112,'Reference Score Calculation'!$P116)),7,IF(ISNUMBER(SEARCH(BI$112,'Reference Score Calculation'!$Q116)),5,IF(ISNUMBER(SEARCH($AW$104,'Reference Score Calculation'!$O116)),10,IF(ISNUMBER(SEARCH($AW$104,'Reference Score Calculation'!$P116)),7,5)))))</f>
        <v>5</v>
      </c>
      <c r="BJ137" s="415">
        <f>IF(ISNUMBER(SEARCH(BJ$112,'Reference Score Calculation'!$O116)),10,IF(ISNUMBER(SEARCH(BJ$112,'Reference Score Calculation'!$P116)),7,IF(ISNUMBER(SEARCH(BJ$112,'Reference Score Calculation'!$Q116)),5,IF(ISNUMBER(SEARCH($AW$104,'Reference Score Calculation'!$O116)),10,IF(ISNUMBER(SEARCH($AW$104,'Reference Score Calculation'!$P116)),7,5)))))</f>
        <v>5</v>
      </c>
      <c r="BK137" s="415">
        <f>IF(ISNUMBER(SEARCH(BK$112,'Reference Score Calculation'!$O116)),10,IF(ISNUMBER(SEARCH(BK$112,'Reference Score Calculation'!$P116)),7,IF(ISNUMBER(SEARCH(BK$112,'Reference Score Calculation'!$Q116)),5,IF(ISNUMBER(SEARCH($AW$104,'Reference Score Calculation'!$O116)),10,IF(ISNUMBER(SEARCH($AW$104,'Reference Score Calculation'!$P116)),7,5)))))</f>
        <v>5</v>
      </c>
      <c r="BL137" s="415">
        <f>IF(ISNUMBER(SEARCH(BL$112,'Reference Score Calculation'!$O116)),10,IF(ISNUMBER(SEARCH(BL$112,'Reference Score Calculation'!$P116)),7,IF(ISNUMBER(SEARCH(BL$112,'Reference Score Calculation'!$Q116)),5,IF(ISNUMBER(SEARCH($AW$104,'Reference Score Calculation'!$O116)),10,IF(ISNUMBER(SEARCH($AW$104,'Reference Score Calculation'!$P116)),7,5)))))</f>
        <v>5</v>
      </c>
      <c r="BM137" s="415">
        <f>IF(ISNUMBER(SEARCH(BM$112,'Reference Score Calculation'!$O116)),10,IF(ISNUMBER(SEARCH(BM$112,'Reference Score Calculation'!$P116)),7,IF(ISNUMBER(SEARCH(BM$112,'Reference Score Calculation'!$Q116)),5,IF(ISNUMBER(SEARCH($AW$104,'Reference Score Calculation'!$O116)),10,IF(ISNUMBER(SEARCH("組合科學(任何)",'Reference Score Calculation'!$O116)),10,IF(ISNUMBER(SEARCH("組合科學(任何)",'Reference Score Calculation'!$P116)),7,IF(ISNUMBER(SEARCH("組合科學(任何)",'Reference Score Calculation'!$Q116)),5,IF(ISNUMBER(SEARCH($AW$104,'Reference Score Calculation'!$P116)),7,5))))))))</f>
        <v>5</v>
      </c>
      <c r="BN137" s="415">
        <f>IF(ISNUMBER(SEARCH(BN$112,'Reference Score Calculation'!$O116)),10,IF(ISNUMBER(SEARCH(BN$112,'Reference Score Calculation'!$P116)),7,IF(ISNUMBER(SEARCH(BN$112,'Reference Score Calculation'!$Q116)),5,IF(ISNUMBER(SEARCH($AW$104,'Reference Score Calculation'!$O116)),10,IF(ISNUMBER(SEARCH("組合科學(任何)",'Reference Score Calculation'!$O116)),10,IF(ISNUMBER(SEARCH("組合科學(任何)",'Reference Score Calculation'!$P116)),7,IF(ISNUMBER(SEARCH("組合科學(任何)",'Reference Score Calculation'!$Q116)),5,IF(ISNUMBER(SEARCH($AW$104,'Reference Score Calculation'!$P116)),7,5))))))))</f>
        <v>5</v>
      </c>
      <c r="BO137" s="415">
        <f>IF(ISNUMBER(SEARCH(BO$112,'Reference Score Calculation'!$O116)),10,IF(ISNUMBER(SEARCH(BO$112,'Reference Score Calculation'!$P116)),7,IF(ISNUMBER(SEARCH(BO$112,'Reference Score Calculation'!$Q116)),5,IF(ISNUMBER(SEARCH($AW$104,'Reference Score Calculation'!$O116)),10,IF(ISNUMBER(SEARCH("組合科學(任何)",'Reference Score Calculation'!$O116)),10,IF(ISNUMBER(SEARCH("組合科學(任何)",'Reference Score Calculation'!$P116)),7,IF(ISNUMBER(SEARCH("組合科學(任何)",'Reference Score Calculation'!$Q116)),5,IF(ISNUMBER(SEARCH($AW$104,'Reference Score Calculation'!$P116)),7,5))))))))</f>
        <v>5</v>
      </c>
      <c r="BP137" s="415">
        <f>IF(ISNUMBER(SEARCH(BP$112,'Reference Score Calculation'!$O116)),10,IF(ISNUMBER(SEARCH(BP$112,'Reference Score Calculation'!$P116)),7,IF(ISNUMBER(SEARCH(BP$112,'Reference Score Calculation'!$Q116)),5,IF(ISNUMBER(SEARCH($AW$104,'Reference Score Calculation'!$O116)),10,IF(ISNUMBER(SEARCH($AW$104,'Reference Score Calculation'!$P116)),7,5)))))</f>
        <v>5</v>
      </c>
      <c r="BQ137" s="415">
        <f>IF(ISNUMBER(SEARCH(BQ$112,'Reference Score Calculation'!$O116)),10,IF(ISNUMBER(SEARCH(BQ$112,'Reference Score Calculation'!$P116)),7,IF(ISNUMBER(SEARCH(BQ$112,'Reference Score Calculation'!$Q116)),5,IF(ISNUMBER(SEARCH($AW$104,'Reference Score Calculation'!$O116)),10,IF(ISNUMBER(SEARCH($AW$104,'Reference Score Calculation'!$P116)),7,5)))))</f>
        <v>5</v>
      </c>
      <c r="BR137" s="415">
        <f>IF(ISNUMBER(SEARCH(BR$112,'Reference Score Calculation'!$O116)),10,IF(ISNUMBER(SEARCH(BR$112,'Reference Score Calculation'!$P116)),7,IF(ISNUMBER(SEARCH(BR$112,'Reference Score Calculation'!$Q116)),5,IF(ISNUMBER(SEARCH($AW$104,'Reference Score Calculation'!$O116)),10,IF(ISNUMBER(SEARCH($AW$104,'Reference Score Calculation'!$P116)),7,5)))))</f>
        <v>5</v>
      </c>
      <c r="BS137" s="415">
        <f>IF(ISNUMBER(SEARCH(BS$112,'Reference Score Calculation'!$O116)),10,IF(ISNUMBER(SEARCH(BS$112,'Reference Score Calculation'!$P116)),7,IF(ISNUMBER(SEARCH(BS$112,'Reference Score Calculation'!$Q116)),5,IF(ISNUMBER(SEARCH($AW$104,'Reference Score Calculation'!$O116)),10,IF(ISNUMBER(SEARCH($AW$104,'Reference Score Calculation'!$P116)),7,5)))))</f>
        <v>5</v>
      </c>
      <c r="BT137" s="415">
        <f>IF(ISNUMBER(SEARCH(BT$112,'Reference Score Calculation'!$O116)),10,IF(ISNUMBER(SEARCH(BT$112,'Reference Score Calculation'!$P116)),7,IF(ISNUMBER(SEARCH(BT$112,'Reference Score Calculation'!$Q116)),5,IF(ISNUMBER(SEARCH($AW$104,'Reference Score Calculation'!$O116)),10,IF(ISNUMBER(SEARCH($AW$104,'Reference Score Calculation'!$P116)),7,5)))))</f>
        <v>5</v>
      </c>
      <c r="BU137" s="415">
        <f>IF(ISNUMBER(SEARCH(BU$112,'Reference Score Calculation'!$O116)),10,IF(ISNUMBER(SEARCH(BU$112,'Reference Score Calculation'!$P116)),7,IF(ISNUMBER(SEARCH(BU$112,'Reference Score Calculation'!$Q116)),5,IF(ISNUMBER(SEARCH($AW$104,'Reference Score Calculation'!$O116)),10,IF(ISNUMBER(SEARCH($AW$104,'Reference Score Calculation'!$P116)),7,5)))))</f>
        <v>5</v>
      </c>
      <c r="BV137" s="415">
        <f>IF(ISNUMBER(SEARCH(BV$112,'Reference Score Calculation'!$O116)),10,IF(ISNUMBER(SEARCH(BV$112,'Reference Score Calculation'!$P116)),7,IF(ISNUMBER(SEARCH(BV$112,'Reference Score Calculation'!$Q116)),5,IF(ISNUMBER(SEARCH($AW$104,'Reference Score Calculation'!$O116)),10,IF(ISNUMBER(SEARCH($AW$104,'Reference Score Calculation'!$P116)),7,5)))))</f>
        <v>5</v>
      </c>
      <c r="BW137" s="415">
        <f>IF(ISNUMBER(SEARCH(BW$112,'Reference Score Calculation'!$O116)),10,IF(ISNUMBER(SEARCH(BW$112,'Reference Score Calculation'!$P116)),7,IF(ISNUMBER(SEARCH(BW$112,'Reference Score Calculation'!$Q116)),5,IF(ISNUMBER(SEARCH($AW$104,'Reference Score Calculation'!$O116)),10,IF(ISNUMBER(SEARCH($AW$104,'Reference Score Calculation'!$P116)),7,5)))))</f>
        <v>5</v>
      </c>
      <c r="BX137" s="415">
        <f>IF(ISNUMBER(SEARCH(BX$112,'Reference Score Calculation'!$O116)),10,IF(ISNUMBER(SEARCH(BX$112,'Reference Score Calculation'!$P116)),7,IF(ISNUMBER(SEARCH(BX$112,'Reference Score Calculation'!$Q116)),5,IF(ISNUMBER(SEARCH($AW$104,'Reference Score Calculation'!$O116)),10,IF(ISNUMBER(SEARCH($AW$104,'Reference Score Calculation'!$P116)),7,5)))))</f>
        <v>5</v>
      </c>
      <c r="BY137" s="195"/>
      <c r="BZ137" s="195"/>
      <c r="CA137" s="195"/>
    </row>
    <row r="138" spans="1:79">
      <c r="A138" s="119" t="str">
        <f>'Reference Score Calculation'!A115</f>
        <v>JS3478</v>
      </c>
      <c r="B138" s="119" t="str">
        <f>'Reference Score Calculation'!A115</f>
        <v>JS3478</v>
      </c>
      <c r="C138" s="119" t="str">
        <f>'Reference Score Calculation'!D115</f>
        <v>醫療化驗科學及放射學(榮譽)理學士組合課程 - 醫療化驗科學(榮譽)理學士</v>
      </c>
      <c r="D138" s="2" t="e">
        <f>'Reference Score Calculation'!#REF!</f>
        <v>#REF!</v>
      </c>
      <c r="E138" s="134" t="str">
        <f>'Reference Score Calculation'!E115</f>
        <v>Best 6</v>
      </c>
      <c r="F138" s="134"/>
      <c r="G138" s="119" t="str">
        <f>入學要求!AB124</f>
        <v>v</v>
      </c>
      <c r="H138" s="119" t="str">
        <f>入學要求!AC124</f>
        <v>E</v>
      </c>
      <c r="I138" s="119" t="str">
        <f>入學要求!AD124</f>
        <v>NO</v>
      </c>
      <c r="J138" s="119">
        <f t="shared" si="254"/>
        <v>1.8750000000000002E-8</v>
      </c>
      <c r="K138" s="119">
        <f t="shared" si="260"/>
        <v>10</v>
      </c>
      <c r="L138" s="119">
        <f t="shared" si="260"/>
        <v>10</v>
      </c>
      <c r="M138" s="119">
        <f t="shared" si="260"/>
        <v>10</v>
      </c>
      <c r="N138" s="119">
        <f>IFERROR(INDEX($AW136:$BX136,MATCH(N$1,$AW$113:$BX$113,0)),0)</f>
        <v>7</v>
      </c>
      <c r="O138" s="119">
        <f t="shared" si="261"/>
        <v>10</v>
      </c>
      <c r="P138" s="119">
        <f t="shared" si="261"/>
        <v>0</v>
      </c>
      <c r="Q138" s="119">
        <f t="shared" si="261"/>
        <v>0</v>
      </c>
      <c r="R138" s="119">
        <f t="shared" si="261"/>
        <v>0</v>
      </c>
      <c r="S138" s="119">
        <f t="shared" si="261"/>
        <v>0</v>
      </c>
      <c r="T138" s="119">
        <v>5</v>
      </c>
      <c r="V138" s="119">
        <f t="shared" si="234"/>
        <v>4.0000000000000002E-9</v>
      </c>
      <c r="W138" s="119">
        <f t="shared" si="235"/>
        <v>2.0000000000000001E-9</v>
      </c>
      <c r="X138" s="119">
        <f t="shared" si="236"/>
        <v>3E-9</v>
      </c>
      <c r="Y138" s="119">
        <f t="shared" si="237"/>
        <v>0</v>
      </c>
      <c r="Z138" s="119">
        <f t="shared" si="238"/>
        <v>5.0000000000000001E-9</v>
      </c>
      <c r="AA138" s="119">
        <f t="shared" si="239"/>
        <v>0</v>
      </c>
      <c r="AB138" s="119">
        <f t="shared" si="240"/>
        <v>0</v>
      </c>
      <c r="AC138" s="119">
        <f t="shared" si="241"/>
        <v>0</v>
      </c>
      <c r="AD138" s="119">
        <f t="shared" si="242"/>
        <v>0</v>
      </c>
      <c r="AE138" s="119">
        <f t="shared" si="243"/>
        <v>4.7500000000000003E-9</v>
      </c>
      <c r="AF138" s="119" t="b">
        <f t="shared" si="262"/>
        <v>1</v>
      </c>
      <c r="AG138" s="119" t="b">
        <f t="shared" si="263"/>
        <v>1</v>
      </c>
      <c r="AH138" s="119" t="b">
        <f t="shared" si="264"/>
        <v>1</v>
      </c>
      <c r="AI138" s="119" t="b">
        <f t="shared" si="265"/>
        <v>0</v>
      </c>
      <c r="AJ138" s="119" t="b">
        <f t="shared" si="266"/>
        <v>1</v>
      </c>
      <c r="AK138" s="119" t="b">
        <f t="shared" si="267"/>
        <v>0</v>
      </c>
      <c r="AL138" s="119" t="b">
        <f t="shared" si="268"/>
        <v>0</v>
      </c>
      <c r="AM138" s="119" t="b">
        <f t="shared" si="269"/>
        <v>0</v>
      </c>
      <c r="AN138" s="119" t="b">
        <f t="shared" si="270"/>
        <v>0</v>
      </c>
      <c r="AO138" s="119" t="b">
        <f t="shared" si="271"/>
        <v>1</v>
      </c>
      <c r="AQ138" s="2"/>
      <c r="AR138" s="2"/>
      <c r="AS138" s="2"/>
      <c r="AT138" s="195"/>
      <c r="AU138" s="195" t="str">
        <f>'Reference Score Calculation'!A117</f>
        <v>JS3569</v>
      </c>
      <c r="AV138" s="195"/>
      <c r="AW138" s="415">
        <f>IF(ISNUMBER(SEARCH(AW$112,'Reference Score Calculation'!$O117)),10,IF(ISNUMBER(SEARCH(AW$112,'Reference Score Calculation'!$P117)),7,IF(ISNUMBER(SEARCH(AW$112,'Reference Score Calculation'!$Q117)),5,IF(ISNUMBER(SEARCH($AW$104,'Reference Score Calculation'!$O117)),10,IF(ISNUMBER(SEARCH($AW$104,'Reference Score Calculation'!$P117)),7,5)))))</f>
        <v>10</v>
      </c>
      <c r="AX138" s="415">
        <f>IF(ISNUMBER(SEARCH(AX$112,'Reference Score Calculation'!$O117)),10,IF(ISNUMBER(SEARCH(AX$112,'Reference Score Calculation'!$P117)),7,IF(ISNUMBER(SEARCH(AX$112,'Reference Score Calculation'!$Q117)),5,IF(ISNUMBER(SEARCH($AW$104,'Reference Score Calculation'!$O117)),10,IF(ISNUMBER(SEARCH($AW$104,'Reference Score Calculation'!$P117)),7,5)))))</f>
        <v>10</v>
      </c>
      <c r="AY138" s="415">
        <f>IF(ISNUMBER(SEARCH(AY$112,'Reference Score Calculation'!$O117)),10,IF(ISNUMBER(SEARCH(AY$112,'Reference Score Calculation'!$P117)),7,IF(ISNUMBER(SEARCH(AY$112,'Reference Score Calculation'!$Q117)),5,IF(ISNUMBER(SEARCH($AW$104,'Reference Score Calculation'!$O117)),10,IF(ISNUMBER(SEARCH($AW$104,'Reference Score Calculation'!$P117)),7,5)))))</f>
        <v>10</v>
      </c>
      <c r="AZ138" s="415">
        <f>IF(ISNUMBER(SEARCH(AZ$112,'Reference Score Calculation'!$O117)),10,IF(ISNUMBER(SEARCH(AZ$112,'Reference Score Calculation'!$P117)),7,IF(ISNUMBER(SEARCH(AZ$112,'Reference Score Calculation'!$Q117)),5,IF(ISNUMBER(SEARCH($AW$104,'Reference Score Calculation'!$O117)),10,IF(ISNUMBER(SEARCH($AW$104,'Reference Score Calculation'!$P117)),7,5)))))</f>
        <v>10</v>
      </c>
      <c r="BA138" s="415">
        <f>IF(ISNUMBER(SEARCH(BA$112,'Reference Score Calculation'!$O117)),10,IF(ISNUMBER(SEARCH(BA$112,'Reference Score Calculation'!$P117)),7,IF(ISNUMBER(SEARCH(BA$112,'Reference Score Calculation'!$Q117)),5,IF(ISNUMBER(SEARCH($AW$104,'Reference Score Calculation'!$O117)),10,IF(ISNUMBER(SEARCH($AW$104,'Reference Score Calculation'!$P117)),7,5)))))</f>
        <v>5</v>
      </c>
      <c r="BB138" s="415">
        <f>IF(ISNUMBER(SEARCH(BB$112,'Reference Score Calculation'!$O117)),10,IF(ISNUMBER(SEARCH(BB$112,'Reference Score Calculation'!$P117)),7,IF(ISNUMBER(SEARCH(BB$112,'Reference Score Calculation'!$Q117)),5,IF(ISNUMBER(SEARCH($AW$104,'Reference Score Calculation'!$O117)),10,IF(ISNUMBER(SEARCH($AW$104,'Reference Score Calculation'!$P117)),7,5)))))</f>
        <v>5</v>
      </c>
      <c r="BC138" s="415">
        <f>IF(ISNUMBER(SEARCH(BC$112,'Reference Score Calculation'!$O117)),10,IF(ISNUMBER(SEARCH(BC$112,'Reference Score Calculation'!$P117)),7,IF(ISNUMBER(SEARCH(BC$112,'Reference Score Calculation'!$Q117)),5,IF(ISNUMBER(SEARCH($AW$104,'Reference Score Calculation'!$O117)),10,IF(ISNUMBER(SEARCH($AW$104,'Reference Score Calculation'!$P117)),7,5)))))</f>
        <v>5</v>
      </c>
      <c r="BD138" s="415">
        <f>IF(ISNUMBER(SEARCH(BD$112,'Reference Score Calculation'!$O117)),10,IF(ISNUMBER(SEARCH(BD$112,'Reference Score Calculation'!$P117)),7,IF(ISNUMBER(SEARCH(BD$112,'Reference Score Calculation'!$Q117)),5,IF(ISNUMBER(SEARCH($AW$104,'Reference Score Calculation'!$O117)),10,IF(ISNUMBER(SEARCH($AW$104,'Reference Score Calculation'!$P117)),7,5)))))</f>
        <v>5</v>
      </c>
      <c r="BE138" s="415">
        <f>IF(ISNUMBER(SEARCH(BE$112,'Reference Score Calculation'!$O117)),10,IF(ISNUMBER(SEARCH(BE$112,'Reference Score Calculation'!$P117)),7,IF(ISNUMBER(SEARCH(BE$112,'Reference Score Calculation'!$Q117)),5,IF(ISNUMBER(SEARCH($AW$104,'Reference Score Calculation'!$O117)),10,IF(ISNUMBER(SEARCH($AW$104,'Reference Score Calculation'!$P117)),7,5)))))</f>
        <v>7</v>
      </c>
      <c r="BF138" s="415">
        <f>IF(ISNUMBER(SEARCH(BF$112,'Reference Score Calculation'!$O117)),10,IF(ISNUMBER(SEARCH(BF$112,'Reference Score Calculation'!$P117)),7,IF(ISNUMBER(SEARCH(BF$112,'Reference Score Calculation'!$Q117)),5,IF(ISNUMBER(SEARCH($AW$104,'Reference Score Calculation'!$O117)),10,IF(ISNUMBER(SEARCH($AW$104,'Reference Score Calculation'!$P117)),7,5)))))</f>
        <v>5</v>
      </c>
      <c r="BG138" s="415">
        <f>IF(ISNUMBER(SEARCH(BG$112,'Reference Score Calculation'!$O117)),10,IF(ISNUMBER(SEARCH(BG$112,'Reference Score Calculation'!$P117)),7,IF(ISNUMBER(SEARCH(BG$112,'Reference Score Calculation'!$Q117)),5,IF(ISNUMBER(SEARCH($AW$104,'Reference Score Calculation'!$O117)),10,IF(ISNUMBER(SEARCH($AW$104,'Reference Score Calculation'!$P117)),7,5)))))</f>
        <v>7</v>
      </c>
      <c r="BH138" s="415">
        <f>IF(ISNUMBER(SEARCH(BH$112,'Reference Score Calculation'!$O117)),10,IF(ISNUMBER(SEARCH(BH$112,'Reference Score Calculation'!$P117)),7,IF(ISNUMBER(SEARCH(BH$112,'Reference Score Calculation'!$Q117)),5,IF(ISNUMBER(SEARCH($AW$104,'Reference Score Calculation'!$O117)),10,IF(ISNUMBER(SEARCH($AW$104,'Reference Score Calculation'!$P117)),7,5)))))</f>
        <v>5</v>
      </c>
      <c r="BI138" s="415">
        <f>IF(ISNUMBER(SEARCH(BI$112,'Reference Score Calculation'!$O117)),10,IF(ISNUMBER(SEARCH(BI$112,'Reference Score Calculation'!$P117)),7,IF(ISNUMBER(SEARCH(BI$112,'Reference Score Calculation'!$Q117)),5,IF(ISNUMBER(SEARCH($AW$104,'Reference Score Calculation'!$O117)),10,IF(ISNUMBER(SEARCH($AW$104,'Reference Score Calculation'!$P117)),7,5)))))</f>
        <v>7</v>
      </c>
      <c r="BJ138" s="415">
        <f>IF(ISNUMBER(SEARCH(BJ$112,'Reference Score Calculation'!$O117)),10,IF(ISNUMBER(SEARCH(BJ$112,'Reference Score Calculation'!$P117)),7,IF(ISNUMBER(SEARCH(BJ$112,'Reference Score Calculation'!$Q117)),5,IF(ISNUMBER(SEARCH($AW$104,'Reference Score Calculation'!$O117)),10,IF(ISNUMBER(SEARCH($AW$104,'Reference Score Calculation'!$P117)),7,5)))))</f>
        <v>5</v>
      </c>
      <c r="BK138" s="415">
        <f>IF(ISNUMBER(SEARCH(BK$112,'Reference Score Calculation'!$O117)),10,IF(ISNUMBER(SEARCH(BK$112,'Reference Score Calculation'!$P117)),7,IF(ISNUMBER(SEARCH(BK$112,'Reference Score Calculation'!$Q117)),5,IF(ISNUMBER(SEARCH($AW$104,'Reference Score Calculation'!$O117)),10,IF(ISNUMBER(SEARCH($AW$104,'Reference Score Calculation'!$P117)),7,5)))))</f>
        <v>10</v>
      </c>
      <c r="BL138" s="415">
        <f>IF(ISNUMBER(SEARCH(BL$112,'Reference Score Calculation'!$O117)),10,IF(ISNUMBER(SEARCH(BL$112,'Reference Score Calculation'!$P117)),7,IF(ISNUMBER(SEARCH(BL$112,'Reference Score Calculation'!$Q117)),5,IF(ISNUMBER(SEARCH($AW$104,'Reference Score Calculation'!$O117)),10,IF(ISNUMBER(SEARCH($AW$104,'Reference Score Calculation'!$P117)),7,5)))))</f>
        <v>5</v>
      </c>
      <c r="BM138" s="415">
        <f>IF(ISNUMBER(SEARCH(BM$112,'Reference Score Calculation'!$O117)),10,IF(ISNUMBER(SEARCH(BM$112,'Reference Score Calculation'!$P117)),7,IF(ISNUMBER(SEARCH(BM$112,'Reference Score Calculation'!$Q117)),5,IF(ISNUMBER(SEARCH($AW$104,'Reference Score Calculation'!$O117)),10,IF(ISNUMBER(SEARCH("組合科學(任何)",'Reference Score Calculation'!$O117)),10,IF(ISNUMBER(SEARCH("組合科學(任何)",'Reference Score Calculation'!$P117)),7,IF(ISNUMBER(SEARCH("組合科學(任何)",'Reference Score Calculation'!$Q117)),5,IF(ISNUMBER(SEARCH($AW$104,'Reference Score Calculation'!$P117)),7,5))))))))</f>
        <v>5</v>
      </c>
      <c r="BN138" s="415">
        <f>IF(ISNUMBER(SEARCH(BN$112,'Reference Score Calculation'!$O117)),10,IF(ISNUMBER(SEARCH(BN$112,'Reference Score Calculation'!$P117)),7,IF(ISNUMBER(SEARCH(BN$112,'Reference Score Calculation'!$Q117)),5,IF(ISNUMBER(SEARCH($AW$104,'Reference Score Calculation'!$O117)),10,IF(ISNUMBER(SEARCH("組合科學(任何)",'Reference Score Calculation'!$O117)),10,IF(ISNUMBER(SEARCH("組合科學(任何)",'Reference Score Calculation'!$P117)),7,IF(ISNUMBER(SEARCH("組合科學(任何)",'Reference Score Calculation'!$Q117)),5,IF(ISNUMBER(SEARCH($AW$104,'Reference Score Calculation'!$P117)),7,5))))))))</f>
        <v>5</v>
      </c>
      <c r="BO138" s="415">
        <f>IF(ISNUMBER(SEARCH(BO$112,'Reference Score Calculation'!$O117)),10,IF(ISNUMBER(SEARCH(BO$112,'Reference Score Calculation'!$P117)),7,IF(ISNUMBER(SEARCH(BO$112,'Reference Score Calculation'!$Q117)),5,IF(ISNUMBER(SEARCH($AW$104,'Reference Score Calculation'!$O117)),10,IF(ISNUMBER(SEARCH("組合科學(任何)",'Reference Score Calculation'!$O117)),10,IF(ISNUMBER(SEARCH("組合科學(任何)",'Reference Score Calculation'!$P117)),7,IF(ISNUMBER(SEARCH("組合科學(任何)",'Reference Score Calculation'!$Q117)),5,IF(ISNUMBER(SEARCH($AW$104,'Reference Score Calculation'!$P117)),7,5))))))))</f>
        <v>5</v>
      </c>
      <c r="BP138" s="415">
        <f>IF(ISNUMBER(SEARCH(BP$112,'Reference Score Calculation'!$O117)),10,IF(ISNUMBER(SEARCH(BP$112,'Reference Score Calculation'!$P117)),7,IF(ISNUMBER(SEARCH(BP$112,'Reference Score Calculation'!$Q117)),5,IF(ISNUMBER(SEARCH($AW$104,'Reference Score Calculation'!$O117)),10,IF(ISNUMBER(SEARCH($AW$104,'Reference Score Calculation'!$P117)),7,5)))))</f>
        <v>5</v>
      </c>
      <c r="BQ138" s="415">
        <f>IF(ISNUMBER(SEARCH(BQ$112,'Reference Score Calculation'!$O117)),10,IF(ISNUMBER(SEARCH(BQ$112,'Reference Score Calculation'!$P117)),7,IF(ISNUMBER(SEARCH(BQ$112,'Reference Score Calculation'!$Q117)),5,IF(ISNUMBER(SEARCH($AW$104,'Reference Score Calculation'!$O117)),10,IF(ISNUMBER(SEARCH($AW$104,'Reference Score Calculation'!$P117)),7,5)))))</f>
        <v>5</v>
      </c>
      <c r="BR138" s="415">
        <f>IF(ISNUMBER(SEARCH(BR$112,'Reference Score Calculation'!$O117)),10,IF(ISNUMBER(SEARCH(BR$112,'Reference Score Calculation'!$P117)),7,IF(ISNUMBER(SEARCH(BR$112,'Reference Score Calculation'!$Q117)),5,IF(ISNUMBER(SEARCH($AW$104,'Reference Score Calculation'!$O117)),10,IF(ISNUMBER(SEARCH($AW$104,'Reference Score Calculation'!$P117)),7,5)))))</f>
        <v>7</v>
      </c>
      <c r="BS138" s="415">
        <f>IF(ISNUMBER(SEARCH(BS$112,'Reference Score Calculation'!$O117)),10,IF(ISNUMBER(SEARCH(BS$112,'Reference Score Calculation'!$P117)),7,IF(ISNUMBER(SEARCH(BS$112,'Reference Score Calculation'!$Q117)),5,IF(ISNUMBER(SEARCH($AW$104,'Reference Score Calculation'!$O117)),10,IF(ISNUMBER(SEARCH($AW$104,'Reference Score Calculation'!$P117)),7,5)))))</f>
        <v>5</v>
      </c>
      <c r="BT138" s="415">
        <f>IF(ISNUMBER(SEARCH(BT$112,'Reference Score Calculation'!$O117)),10,IF(ISNUMBER(SEARCH(BT$112,'Reference Score Calculation'!$P117)),7,IF(ISNUMBER(SEARCH(BT$112,'Reference Score Calculation'!$Q117)),5,IF(ISNUMBER(SEARCH($AW$104,'Reference Score Calculation'!$O117)),10,IF(ISNUMBER(SEARCH($AW$104,'Reference Score Calculation'!$P117)),7,5)))))</f>
        <v>7</v>
      </c>
      <c r="BU138" s="415">
        <f>IF(ISNUMBER(SEARCH(BU$112,'Reference Score Calculation'!$O117)),10,IF(ISNUMBER(SEARCH(BU$112,'Reference Score Calculation'!$P117)),7,IF(ISNUMBER(SEARCH(BU$112,'Reference Score Calculation'!$Q117)),5,IF(ISNUMBER(SEARCH($AW$104,'Reference Score Calculation'!$O117)),10,IF(ISNUMBER(SEARCH($AW$104,'Reference Score Calculation'!$P117)),7,5)))))</f>
        <v>10</v>
      </c>
      <c r="BV138" s="415">
        <f>IF(ISNUMBER(SEARCH(BV$112,'Reference Score Calculation'!$O117)),10,IF(ISNUMBER(SEARCH(BV$112,'Reference Score Calculation'!$P117)),7,IF(ISNUMBER(SEARCH(BV$112,'Reference Score Calculation'!$Q117)),5,IF(ISNUMBER(SEARCH($AW$104,'Reference Score Calculation'!$O117)),10,IF(ISNUMBER(SEARCH($AW$104,'Reference Score Calculation'!$P117)),7,5)))))</f>
        <v>10</v>
      </c>
      <c r="BW138" s="415">
        <f>IF(ISNUMBER(SEARCH(BW$112,'Reference Score Calculation'!$O117)),10,IF(ISNUMBER(SEARCH(BW$112,'Reference Score Calculation'!$P117)),7,IF(ISNUMBER(SEARCH(BW$112,'Reference Score Calculation'!$Q117)),5,IF(ISNUMBER(SEARCH($AW$104,'Reference Score Calculation'!$O117)),10,IF(ISNUMBER(SEARCH($AW$104,'Reference Score Calculation'!$P117)),7,5)))))</f>
        <v>5</v>
      </c>
      <c r="BX138" s="415">
        <f>IF(ISNUMBER(SEARCH(BX$112,'Reference Score Calculation'!$O117)),10,IF(ISNUMBER(SEARCH(BX$112,'Reference Score Calculation'!$P117)),7,IF(ISNUMBER(SEARCH(BX$112,'Reference Score Calculation'!$Q117)),5,IF(ISNUMBER(SEARCH($AW$104,'Reference Score Calculation'!$O117)),10,IF(ISNUMBER(SEARCH($AW$104,'Reference Score Calculation'!$P117)),7,5)))))</f>
        <v>7</v>
      </c>
      <c r="BY138" s="195"/>
      <c r="BZ138" s="195"/>
      <c r="CA138" s="195"/>
    </row>
    <row r="139" spans="1:79">
      <c r="A139" s="119" t="str">
        <f>'Reference Score Calculation'!A116</f>
        <v>JS3557</v>
      </c>
      <c r="B139" s="119" t="str">
        <f>'Reference Score Calculation'!A116</f>
        <v>JS3557</v>
      </c>
      <c r="C139" s="119" t="str">
        <f>'Reference Score Calculation'!D116</f>
        <v>產品及工業工程(榮譽)工學士組合課程 (產品工程兼市場學 / 工業及系統工程學)</v>
      </c>
      <c r="D139" s="2" t="e">
        <f>'Reference Score Calculation'!#REF!</f>
        <v>#REF!</v>
      </c>
      <c r="E139" s="134" t="str">
        <f>'Reference Score Calculation'!E116</f>
        <v>Best 5</v>
      </c>
      <c r="F139" s="134"/>
      <c r="G139" s="119" t="str">
        <f>入學要求!AB125</f>
        <v>v</v>
      </c>
      <c r="H139" s="119" t="str">
        <f>入學要求!AC125</f>
        <v>E</v>
      </c>
      <c r="I139" s="119" t="str">
        <f>入學要求!AD125</f>
        <v>v</v>
      </c>
      <c r="J139" s="119">
        <f t="shared" si="254"/>
        <v>1.5049999999999999E-8</v>
      </c>
      <c r="K139" s="119">
        <f t="shared" si="260"/>
        <v>7</v>
      </c>
      <c r="L139" s="119">
        <f t="shared" si="260"/>
        <v>10</v>
      </c>
      <c r="M139" s="119">
        <f t="shared" si="260"/>
        <v>10</v>
      </c>
      <c r="N139" s="119">
        <v>0</v>
      </c>
      <c r="O139" s="119">
        <f t="shared" si="261"/>
        <v>5</v>
      </c>
      <c r="P139" s="119">
        <f t="shared" si="261"/>
        <v>0</v>
      </c>
      <c r="Q139" s="119">
        <f t="shared" si="261"/>
        <v>0</v>
      </c>
      <c r="R139" s="119">
        <f t="shared" si="261"/>
        <v>0</v>
      </c>
      <c r="S139" s="119">
        <f t="shared" si="261"/>
        <v>0</v>
      </c>
      <c r="T139" s="119">
        <v>5</v>
      </c>
      <c r="V139" s="119">
        <f t="shared" si="234"/>
        <v>2.8000000000000003E-9</v>
      </c>
      <c r="W139" s="119">
        <f t="shared" si="235"/>
        <v>2.0000000000000001E-9</v>
      </c>
      <c r="X139" s="119">
        <f t="shared" si="236"/>
        <v>3E-9</v>
      </c>
      <c r="Y139" s="119">
        <f t="shared" si="237"/>
        <v>0</v>
      </c>
      <c r="Z139" s="119">
        <f t="shared" si="238"/>
        <v>2.5000000000000001E-9</v>
      </c>
      <c r="AA139" s="119">
        <f t="shared" si="239"/>
        <v>0</v>
      </c>
      <c r="AB139" s="119">
        <f t="shared" si="240"/>
        <v>0</v>
      </c>
      <c r="AC139" s="119">
        <f t="shared" si="241"/>
        <v>0</v>
      </c>
      <c r="AD139" s="119">
        <f t="shared" si="242"/>
        <v>0</v>
      </c>
      <c r="AE139" s="119">
        <f t="shared" si="243"/>
        <v>4.7500000000000003E-9</v>
      </c>
      <c r="AF139" s="119" t="b">
        <f t="shared" si="262"/>
        <v>1</v>
      </c>
      <c r="AG139" s="119" t="b">
        <f t="shared" si="263"/>
        <v>1</v>
      </c>
      <c r="AH139" s="119" t="b">
        <f t="shared" si="264"/>
        <v>1</v>
      </c>
      <c r="AI139" s="119" t="b">
        <f t="shared" si="265"/>
        <v>0</v>
      </c>
      <c r="AJ139" s="119" t="b">
        <f t="shared" si="266"/>
        <v>1</v>
      </c>
      <c r="AK139" s="119" t="b">
        <f t="shared" si="267"/>
        <v>0</v>
      </c>
      <c r="AL139" s="119" t="b">
        <f t="shared" si="268"/>
        <v>0</v>
      </c>
      <c r="AM139" s="119" t="b">
        <f t="shared" si="269"/>
        <v>0</v>
      </c>
      <c r="AN139" s="119" t="b">
        <f t="shared" si="270"/>
        <v>0</v>
      </c>
      <c r="AO139" s="119" t="b">
        <f t="shared" si="271"/>
        <v>1</v>
      </c>
      <c r="AQ139" s="2"/>
      <c r="AR139" s="2"/>
      <c r="AS139" s="2"/>
      <c r="AT139" s="195"/>
      <c r="AU139" s="195" t="str">
        <f>'Reference Score Calculation'!A118</f>
        <v>JS3571</v>
      </c>
      <c r="AV139" s="195"/>
      <c r="AW139" s="415">
        <f>IF(ISNUMBER(SEARCH(AW$112,'Reference Score Calculation'!$O118)),10,IF(ISNUMBER(SEARCH(AW$112,'Reference Score Calculation'!$P118)),7,IF(ISNUMBER(SEARCH(AW$112,'Reference Score Calculation'!$Q118)),5,IF(ISNUMBER(SEARCH($AW$104,'Reference Score Calculation'!$O118)),10,IF(ISNUMBER(SEARCH($AW$104,'Reference Score Calculation'!$P118)),7,5)))))</f>
        <v>7</v>
      </c>
      <c r="AX139" s="415">
        <f>IF(ISNUMBER(SEARCH(AX$112,'Reference Score Calculation'!$O118)),10,IF(ISNUMBER(SEARCH(AX$112,'Reference Score Calculation'!$P118)),7,IF(ISNUMBER(SEARCH(AX$112,'Reference Score Calculation'!$Q118)),5,IF(ISNUMBER(SEARCH($AW$104,'Reference Score Calculation'!$O118)),10,IF(ISNUMBER(SEARCH($AW$104,'Reference Score Calculation'!$P118)),7,5)))))</f>
        <v>10</v>
      </c>
      <c r="AY139" s="415">
        <f>IF(ISNUMBER(SEARCH(AY$112,'Reference Score Calculation'!$O118)),10,IF(ISNUMBER(SEARCH(AY$112,'Reference Score Calculation'!$P118)),7,IF(ISNUMBER(SEARCH(AY$112,'Reference Score Calculation'!$Q118)),5,IF(ISNUMBER(SEARCH($AW$104,'Reference Score Calculation'!$O118)),10,IF(ISNUMBER(SEARCH($AW$104,'Reference Score Calculation'!$P118)),7,5)))))</f>
        <v>10</v>
      </c>
      <c r="AZ139" s="415">
        <f>IF(ISNUMBER(SEARCH(AZ$112,'Reference Score Calculation'!$O118)),10,IF(ISNUMBER(SEARCH(AZ$112,'Reference Score Calculation'!$P118)),7,IF(ISNUMBER(SEARCH(AZ$112,'Reference Score Calculation'!$Q118)),5,IF(ISNUMBER(SEARCH($AW$104,'Reference Score Calculation'!$O118)),10,IF(ISNUMBER(SEARCH($AW$104,'Reference Score Calculation'!$P118)),7,5)))))</f>
        <v>7</v>
      </c>
      <c r="BA139" s="415">
        <f>IF(ISNUMBER(SEARCH(BA$112,'Reference Score Calculation'!$O118)),10,IF(ISNUMBER(SEARCH(BA$112,'Reference Score Calculation'!$P118)),7,IF(ISNUMBER(SEARCH(BA$112,'Reference Score Calculation'!$Q118)),5,IF(ISNUMBER(SEARCH($AW$104,'Reference Score Calculation'!$O118)),10,IF(ISNUMBER(SEARCH($AW$104,'Reference Score Calculation'!$P118)),7,5)))))</f>
        <v>5</v>
      </c>
      <c r="BB139" s="415">
        <f>IF(ISNUMBER(SEARCH(BB$112,'Reference Score Calculation'!$O118)),10,IF(ISNUMBER(SEARCH(BB$112,'Reference Score Calculation'!$P118)),7,IF(ISNUMBER(SEARCH(BB$112,'Reference Score Calculation'!$Q118)),5,IF(ISNUMBER(SEARCH($AW$104,'Reference Score Calculation'!$O118)),10,IF(ISNUMBER(SEARCH($AW$104,'Reference Score Calculation'!$P118)),7,5)))))</f>
        <v>5</v>
      </c>
      <c r="BC139" s="415">
        <f>IF(ISNUMBER(SEARCH(BC$112,'Reference Score Calculation'!$O118)),10,IF(ISNUMBER(SEARCH(BC$112,'Reference Score Calculation'!$P118)),7,IF(ISNUMBER(SEARCH(BC$112,'Reference Score Calculation'!$Q118)),5,IF(ISNUMBER(SEARCH($AW$104,'Reference Score Calculation'!$O118)),10,IF(ISNUMBER(SEARCH($AW$104,'Reference Score Calculation'!$P118)),7,5)))))</f>
        <v>5</v>
      </c>
      <c r="BD139" s="415">
        <f>IF(ISNUMBER(SEARCH(BD$112,'Reference Score Calculation'!$O118)),10,IF(ISNUMBER(SEARCH(BD$112,'Reference Score Calculation'!$P118)),7,IF(ISNUMBER(SEARCH(BD$112,'Reference Score Calculation'!$Q118)),5,IF(ISNUMBER(SEARCH($AW$104,'Reference Score Calculation'!$O118)),10,IF(ISNUMBER(SEARCH($AW$104,'Reference Score Calculation'!$P118)),7,5)))))</f>
        <v>5</v>
      </c>
      <c r="BE139" s="415">
        <f>IF(ISNUMBER(SEARCH(BE$112,'Reference Score Calculation'!$O118)),10,IF(ISNUMBER(SEARCH(BE$112,'Reference Score Calculation'!$P118)),7,IF(ISNUMBER(SEARCH(BE$112,'Reference Score Calculation'!$Q118)),5,IF(ISNUMBER(SEARCH($AW$104,'Reference Score Calculation'!$O118)),10,IF(ISNUMBER(SEARCH($AW$104,'Reference Score Calculation'!$P118)),7,5)))))</f>
        <v>5</v>
      </c>
      <c r="BF139" s="415">
        <f>IF(ISNUMBER(SEARCH(BF$112,'Reference Score Calculation'!$O118)),10,IF(ISNUMBER(SEARCH(BF$112,'Reference Score Calculation'!$P118)),7,IF(ISNUMBER(SEARCH(BF$112,'Reference Score Calculation'!$Q118)),5,IF(ISNUMBER(SEARCH($AW$104,'Reference Score Calculation'!$O118)),10,IF(ISNUMBER(SEARCH($AW$104,'Reference Score Calculation'!$P118)),7,5)))))</f>
        <v>5</v>
      </c>
      <c r="BG139" s="415">
        <f>IF(ISNUMBER(SEARCH(BG$112,'Reference Score Calculation'!$O118)),10,IF(ISNUMBER(SEARCH(BG$112,'Reference Score Calculation'!$P118)),7,IF(ISNUMBER(SEARCH(BG$112,'Reference Score Calculation'!$Q118)),5,IF(ISNUMBER(SEARCH($AW$104,'Reference Score Calculation'!$O118)),10,IF(ISNUMBER(SEARCH($AW$104,'Reference Score Calculation'!$P118)),7,5)))))</f>
        <v>5</v>
      </c>
      <c r="BH139" s="415">
        <f>IF(ISNUMBER(SEARCH(BH$112,'Reference Score Calculation'!$O118)),10,IF(ISNUMBER(SEARCH(BH$112,'Reference Score Calculation'!$P118)),7,IF(ISNUMBER(SEARCH(BH$112,'Reference Score Calculation'!$Q118)),5,IF(ISNUMBER(SEARCH($AW$104,'Reference Score Calculation'!$O118)),10,IF(ISNUMBER(SEARCH($AW$104,'Reference Score Calculation'!$P118)),7,5)))))</f>
        <v>5</v>
      </c>
      <c r="BI139" s="415">
        <f>IF(ISNUMBER(SEARCH(BI$112,'Reference Score Calculation'!$O118)),10,IF(ISNUMBER(SEARCH(BI$112,'Reference Score Calculation'!$P118)),7,IF(ISNUMBER(SEARCH(BI$112,'Reference Score Calculation'!$Q118)),5,IF(ISNUMBER(SEARCH($AW$104,'Reference Score Calculation'!$O118)),10,IF(ISNUMBER(SEARCH($AW$104,'Reference Score Calculation'!$P118)),7,5)))))</f>
        <v>5</v>
      </c>
      <c r="BJ139" s="415">
        <f>IF(ISNUMBER(SEARCH(BJ$112,'Reference Score Calculation'!$O118)),10,IF(ISNUMBER(SEARCH(BJ$112,'Reference Score Calculation'!$P118)),7,IF(ISNUMBER(SEARCH(BJ$112,'Reference Score Calculation'!$Q118)),5,IF(ISNUMBER(SEARCH($AW$104,'Reference Score Calculation'!$O118)),10,IF(ISNUMBER(SEARCH($AW$104,'Reference Score Calculation'!$P118)),7,5)))))</f>
        <v>5</v>
      </c>
      <c r="BK139" s="415">
        <f>IF(ISNUMBER(SEARCH(BK$112,'Reference Score Calculation'!$O118)),10,IF(ISNUMBER(SEARCH(BK$112,'Reference Score Calculation'!$P118)),7,IF(ISNUMBER(SEARCH(BK$112,'Reference Score Calculation'!$Q118)),5,IF(ISNUMBER(SEARCH($AW$104,'Reference Score Calculation'!$O118)),10,IF(ISNUMBER(SEARCH($AW$104,'Reference Score Calculation'!$P118)),7,5)))))</f>
        <v>5</v>
      </c>
      <c r="BL139" s="415">
        <f>IF(ISNUMBER(SEARCH(BL$112,'Reference Score Calculation'!$O118)),10,IF(ISNUMBER(SEARCH(BL$112,'Reference Score Calculation'!$P118)),7,IF(ISNUMBER(SEARCH(BL$112,'Reference Score Calculation'!$Q118)),5,IF(ISNUMBER(SEARCH($AW$104,'Reference Score Calculation'!$O118)),10,IF(ISNUMBER(SEARCH($AW$104,'Reference Score Calculation'!$P118)),7,5)))))</f>
        <v>5</v>
      </c>
      <c r="BM139" s="415">
        <f>IF(ISNUMBER(SEARCH(BM$112,'Reference Score Calculation'!$O118)),10,IF(ISNUMBER(SEARCH(BM$112,'Reference Score Calculation'!$P118)),7,IF(ISNUMBER(SEARCH(BM$112,'Reference Score Calculation'!$Q118)),5,IF(ISNUMBER(SEARCH($AW$104,'Reference Score Calculation'!$O118)),10,IF(ISNUMBER(SEARCH("組合科學(任何)",'Reference Score Calculation'!$O118)),10,IF(ISNUMBER(SEARCH("組合科學(任何)",'Reference Score Calculation'!$P118)),7,IF(ISNUMBER(SEARCH("組合科學(任何)",'Reference Score Calculation'!$Q118)),5,IF(ISNUMBER(SEARCH($AW$104,'Reference Score Calculation'!$P118)),7,5))))))))</f>
        <v>5</v>
      </c>
      <c r="BN139" s="415">
        <f>IF(ISNUMBER(SEARCH(BN$112,'Reference Score Calculation'!$O118)),10,IF(ISNUMBER(SEARCH(BN$112,'Reference Score Calculation'!$P118)),7,IF(ISNUMBER(SEARCH(BN$112,'Reference Score Calculation'!$Q118)),5,IF(ISNUMBER(SEARCH($AW$104,'Reference Score Calculation'!$O118)),10,IF(ISNUMBER(SEARCH("組合科學(任何)",'Reference Score Calculation'!$O118)),10,IF(ISNUMBER(SEARCH("組合科學(任何)",'Reference Score Calculation'!$P118)),7,IF(ISNUMBER(SEARCH("組合科學(任何)",'Reference Score Calculation'!$Q118)),5,IF(ISNUMBER(SEARCH($AW$104,'Reference Score Calculation'!$P118)),7,5))))))))</f>
        <v>5</v>
      </c>
      <c r="BO139" s="415">
        <f>IF(ISNUMBER(SEARCH(BO$112,'Reference Score Calculation'!$O118)),10,IF(ISNUMBER(SEARCH(BO$112,'Reference Score Calculation'!$P118)),7,IF(ISNUMBER(SEARCH(BO$112,'Reference Score Calculation'!$Q118)),5,IF(ISNUMBER(SEARCH($AW$104,'Reference Score Calculation'!$O118)),10,IF(ISNUMBER(SEARCH("組合科學(任何)",'Reference Score Calculation'!$O118)),10,IF(ISNUMBER(SEARCH("組合科學(任何)",'Reference Score Calculation'!$P118)),7,IF(ISNUMBER(SEARCH("組合科學(任何)",'Reference Score Calculation'!$Q118)),5,IF(ISNUMBER(SEARCH($AW$104,'Reference Score Calculation'!$P118)),7,5))))))))</f>
        <v>5</v>
      </c>
      <c r="BP139" s="415">
        <f>IF(ISNUMBER(SEARCH(BP$112,'Reference Score Calculation'!$O118)),10,IF(ISNUMBER(SEARCH(BP$112,'Reference Score Calculation'!$P118)),7,IF(ISNUMBER(SEARCH(BP$112,'Reference Score Calculation'!$Q118)),5,IF(ISNUMBER(SEARCH($AW$104,'Reference Score Calculation'!$O118)),10,IF(ISNUMBER(SEARCH($AW$104,'Reference Score Calculation'!$P118)),7,5)))))</f>
        <v>5</v>
      </c>
      <c r="BQ139" s="415">
        <f>IF(ISNUMBER(SEARCH(BQ$112,'Reference Score Calculation'!$O118)),10,IF(ISNUMBER(SEARCH(BQ$112,'Reference Score Calculation'!$P118)),7,IF(ISNUMBER(SEARCH(BQ$112,'Reference Score Calculation'!$Q118)),5,IF(ISNUMBER(SEARCH($AW$104,'Reference Score Calculation'!$O118)),10,IF(ISNUMBER(SEARCH($AW$104,'Reference Score Calculation'!$P118)),7,5)))))</f>
        <v>5</v>
      </c>
      <c r="BR139" s="415">
        <f>IF(ISNUMBER(SEARCH(BR$112,'Reference Score Calculation'!$O118)),10,IF(ISNUMBER(SEARCH(BR$112,'Reference Score Calculation'!$P118)),7,IF(ISNUMBER(SEARCH(BR$112,'Reference Score Calculation'!$Q118)),5,IF(ISNUMBER(SEARCH($AW$104,'Reference Score Calculation'!$O118)),10,IF(ISNUMBER(SEARCH($AW$104,'Reference Score Calculation'!$P118)),7,5)))))</f>
        <v>5</v>
      </c>
      <c r="BS139" s="415">
        <f>IF(ISNUMBER(SEARCH(BS$112,'Reference Score Calculation'!$O118)),10,IF(ISNUMBER(SEARCH(BS$112,'Reference Score Calculation'!$P118)),7,IF(ISNUMBER(SEARCH(BS$112,'Reference Score Calculation'!$Q118)),5,IF(ISNUMBER(SEARCH($AW$104,'Reference Score Calculation'!$O118)),10,IF(ISNUMBER(SEARCH($AW$104,'Reference Score Calculation'!$P118)),7,5)))))</f>
        <v>5</v>
      </c>
      <c r="BT139" s="415">
        <f>IF(ISNUMBER(SEARCH(BT$112,'Reference Score Calculation'!$O118)),10,IF(ISNUMBER(SEARCH(BT$112,'Reference Score Calculation'!$P118)),7,IF(ISNUMBER(SEARCH(BT$112,'Reference Score Calculation'!$Q118)),5,IF(ISNUMBER(SEARCH($AW$104,'Reference Score Calculation'!$O118)),10,IF(ISNUMBER(SEARCH($AW$104,'Reference Score Calculation'!$P118)),7,5)))))</f>
        <v>5</v>
      </c>
      <c r="BU139" s="415">
        <f>IF(ISNUMBER(SEARCH(BU$112,'Reference Score Calculation'!$O118)),10,IF(ISNUMBER(SEARCH(BU$112,'Reference Score Calculation'!$P118)),7,IF(ISNUMBER(SEARCH(BU$112,'Reference Score Calculation'!$Q118)),5,IF(ISNUMBER(SEARCH($AW$104,'Reference Score Calculation'!$O118)),10,IF(ISNUMBER(SEARCH($AW$104,'Reference Score Calculation'!$P118)),7,5)))))</f>
        <v>5</v>
      </c>
      <c r="BV139" s="415">
        <f>IF(ISNUMBER(SEARCH(BV$112,'Reference Score Calculation'!$O118)),10,IF(ISNUMBER(SEARCH(BV$112,'Reference Score Calculation'!$P118)),7,IF(ISNUMBER(SEARCH(BV$112,'Reference Score Calculation'!$Q118)),5,IF(ISNUMBER(SEARCH($AW$104,'Reference Score Calculation'!$O118)),10,IF(ISNUMBER(SEARCH($AW$104,'Reference Score Calculation'!$P118)),7,5)))))</f>
        <v>5</v>
      </c>
      <c r="BW139" s="415">
        <f>IF(ISNUMBER(SEARCH(BW$112,'Reference Score Calculation'!$O118)),10,IF(ISNUMBER(SEARCH(BW$112,'Reference Score Calculation'!$P118)),7,IF(ISNUMBER(SEARCH(BW$112,'Reference Score Calculation'!$Q118)),5,IF(ISNUMBER(SEARCH($AW$104,'Reference Score Calculation'!$O118)),10,IF(ISNUMBER(SEARCH($AW$104,'Reference Score Calculation'!$P118)),7,5)))))</f>
        <v>5</v>
      </c>
      <c r="BX139" s="415">
        <f>IF(ISNUMBER(SEARCH(BX$112,'Reference Score Calculation'!$O118)),10,IF(ISNUMBER(SEARCH(BX$112,'Reference Score Calculation'!$P118)),7,IF(ISNUMBER(SEARCH(BX$112,'Reference Score Calculation'!$Q118)),5,IF(ISNUMBER(SEARCH($AW$104,'Reference Score Calculation'!$O118)),10,IF(ISNUMBER(SEARCH($AW$104,'Reference Score Calculation'!$P118)),7,5)))))</f>
        <v>5</v>
      </c>
      <c r="BY139" s="195"/>
      <c r="BZ139" s="195"/>
      <c r="CA139" s="195"/>
    </row>
    <row r="140" spans="1:79">
      <c r="A140" s="119" t="str">
        <f>'Reference Score Calculation'!A117</f>
        <v>JS3569</v>
      </c>
      <c r="B140" s="119" t="str">
        <f>'Reference Score Calculation'!A117</f>
        <v>JS3569</v>
      </c>
      <c r="C140" s="119" t="str">
        <f>'Reference Score Calculation'!D117</f>
        <v>設計學(榮譽)文學士組合課程 (廣告設計/環境設計/信息設計/交互設計/室内設計/媒體設計/產品設計/服務創新設計/社會創新設計)</v>
      </c>
      <c r="D140" s="2" t="e">
        <f>'Reference Score Calculation'!#REF!</f>
        <v>#REF!</v>
      </c>
      <c r="E140" s="134" t="str">
        <f>'Reference Score Calculation'!E117</f>
        <v>Best 5</v>
      </c>
      <c r="F140" s="134"/>
      <c r="G140" s="119" t="str">
        <f>入學要求!AB126</f>
        <v>v</v>
      </c>
      <c r="H140" s="119" t="str">
        <f>入學要求!AC126</f>
        <v>E</v>
      </c>
      <c r="I140" s="119" t="str">
        <f>入學要求!AD126</f>
        <v>v</v>
      </c>
      <c r="J140" s="119">
        <f t="shared" si="254"/>
        <v>1.625E-8</v>
      </c>
      <c r="K140" s="119">
        <f t="shared" si="260"/>
        <v>10</v>
      </c>
      <c r="L140" s="119">
        <f t="shared" si="260"/>
        <v>10</v>
      </c>
      <c r="M140" s="119">
        <f t="shared" si="260"/>
        <v>10</v>
      </c>
      <c r="N140" s="463">
        <f>IFERROR(INDEX($AW138:$BX138,MATCH(N$1,$AW$113:$BX$113,0)),0)</f>
        <v>10</v>
      </c>
      <c r="O140" s="119">
        <f t="shared" si="261"/>
        <v>5</v>
      </c>
      <c r="P140" s="119">
        <f t="shared" si="261"/>
        <v>0</v>
      </c>
      <c r="Q140" s="119">
        <f t="shared" si="261"/>
        <v>0</v>
      </c>
      <c r="R140" s="119">
        <f t="shared" si="261"/>
        <v>0</v>
      </c>
      <c r="S140" s="119">
        <f t="shared" si="261"/>
        <v>0</v>
      </c>
      <c r="T140" s="119">
        <v>5</v>
      </c>
      <c r="V140" s="119">
        <f t="shared" si="234"/>
        <v>4.0000000000000002E-9</v>
      </c>
      <c r="W140" s="119">
        <f t="shared" si="235"/>
        <v>2.0000000000000001E-9</v>
      </c>
      <c r="X140" s="119">
        <f t="shared" si="236"/>
        <v>3E-9</v>
      </c>
      <c r="Y140" s="119">
        <f t="shared" si="237"/>
        <v>0</v>
      </c>
      <c r="Z140" s="119">
        <f t="shared" si="238"/>
        <v>2.5000000000000001E-9</v>
      </c>
      <c r="AA140" s="119">
        <f t="shared" si="239"/>
        <v>0</v>
      </c>
      <c r="AB140" s="119">
        <f t="shared" si="240"/>
        <v>0</v>
      </c>
      <c r="AC140" s="119">
        <f t="shared" si="241"/>
        <v>0</v>
      </c>
      <c r="AD140" s="119">
        <f t="shared" si="242"/>
        <v>0</v>
      </c>
      <c r="AE140" s="119">
        <f t="shared" si="243"/>
        <v>4.7500000000000003E-9</v>
      </c>
      <c r="AF140" s="119" t="b">
        <f t="shared" si="262"/>
        <v>1</v>
      </c>
      <c r="AG140" s="119" t="b">
        <f t="shared" si="263"/>
        <v>1</v>
      </c>
      <c r="AH140" s="119" t="b">
        <f t="shared" si="264"/>
        <v>1</v>
      </c>
      <c r="AI140" s="119" t="b">
        <f t="shared" si="265"/>
        <v>0</v>
      </c>
      <c r="AJ140" s="119" t="b">
        <f t="shared" si="266"/>
        <v>1</v>
      </c>
      <c r="AK140" s="119" t="b">
        <f t="shared" si="267"/>
        <v>0</v>
      </c>
      <c r="AL140" s="119" t="b">
        <f t="shared" si="268"/>
        <v>0</v>
      </c>
      <c r="AM140" s="119" t="b">
        <f t="shared" si="269"/>
        <v>0</v>
      </c>
      <c r="AN140" s="119" t="b">
        <f t="shared" si="270"/>
        <v>0</v>
      </c>
      <c r="AO140" s="119" t="b">
        <f t="shared" si="271"/>
        <v>1</v>
      </c>
      <c r="AQ140" s="2"/>
      <c r="AR140" s="2"/>
      <c r="AS140" s="2"/>
      <c r="AT140" s="195"/>
      <c r="AU140" s="195" t="str">
        <f>'Reference Score Calculation'!A119</f>
        <v>JS3612</v>
      </c>
      <c r="AV140" s="195"/>
      <c r="AW140" s="415">
        <f>IF(ISNUMBER(SEARCH(AW$112,'Reference Score Calculation'!$O119)),10,IF(ISNUMBER(SEARCH(AW$112,'Reference Score Calculation'!$P119)),7,IF(ISNUMBER(SEARCH(AW$112,'Reference Score Calculation'!$Q119)),5,IF(ISNUMBER(SEARCH($AW$104,'Reference Score Calculation'!$O119)),10,IF(ISNUMBER(SEARCH($AW$104,'Reference Score Calculation'!$P119)),7,5)))))</f>
        <v>10</v>
      </c>
      <c r="AX140" s="415">
        <f>IF(ISNUMBER(SEARCH(AX$112,'Reference Score Calculation'!$O119)),10,IF(ISNUMBER(SEARCH(AX$112,'Reference Score Calculation'!$P119)),7,IF(ISNUMBER(SEARCH(AX$112,'Reference Score Calculation'!$Q119)),5,IF(ISNUMBER(SEARCH($AW$104,'Reference Score Calculation'!$O119)),10,IF(ISNUMBER(SEARCH($AW$104,'Reference Score Calculation'!$P119)),7,5)))))</f>
        <v>10</v>
      </c>
      <c r="AY140" s="415">
        <f>IF(ISNUMBER(SEARCH(AY$112,'Reference Score Calculation'!$O119)),10,IF(ISNUMBER(SEARCH(AY$112,'Reference Score Calculation'!$P119)),7,IF(ISNUMBER(SEARCH(AY$112,'Reference Score Calculation'!$Q119)),5,IF(ISNUMBER(SEARCH($AW$104,'Reference Score Calculation'!$O119)),10,IF(ISNUMBER(SEARCH($AW$104,'Reference Score Calculation'!$P119)),7,5)))))</f>
        <v>10</v>
      </c>
      <c r="AZ140" s="415">
        <f>IF(ISNUMBER(SEARCH(AZ$112,'Reference Score Calculation'!$O119)),10,IF(ISNUMBER(SEARCH(AZ$112,'Reference Score Calculation'!$P119)),7,IF(ISNUMBER(SEARCH(AZ$112,'Reference Score Calculation'!$Q119)),5,IF(ISNUMBER(SEARCH($AW$104,'Reference Score Calculation'!$O119)),10,IF(ISNUMBER(SEARCH($AW$104,'Reference Score Calculation'!$P119)),7,5)))))</f>
        <v>7</v>
      </c>
      <c r="BA140" s="415">
        <f>IF(ISNUMBER(SEARCH(BA$112,'Reference Score Calculation'!$O119)),10,IF(ISNUMBER(SEARCH(BA$112,'Reference Score Calculation'!$P119)),7,IF(ISNUMBER(SEARCH(BA$112,'Reference Score Calculation'!$Q119)),5,IF(ISNUMBER(SEARCH($AW$104,'Reference Score Calculation'!$O119)),10,IF(ISNUMBER(SEARCH($AW$104,'Reference Score Calculation'!$P119)),7,5)))))</f>
        <v>7</v>
      </c>
      <c r="BB140" s="415">
        <f>IF(ISNUMBER(SEARCH(BB$112,'Reference Score Calculation'!$O119)),10,IF(ISNUMBER(SEARCH(BB$112,'Reference Score Calculation'!$P119)),7,IF(ISNUMBER(SEARCH(BB$112,'Reference Score Calculation'!$Q119)),5,IF(ISNUMBER(SEARCH($AW$104,'Reference Score Calculation'!$O119)),10,IF(ISNUMBER(SEARCH($AW$104,'Reference Score Calculation'!$P119)),7,5)))))</f>
        <v>10</v>
      </c>
      <c r="BC140" s="415">
        <f>IF(ISNUMBER(SEARCH(BC$112,'Reference Score Calculation'!$O119)),10,IF(ISNUMBER(SEARCH(BC$112,'Reference Score Calculation'!$P119)),7,IF(ISNUMBER(SEARCH(BC$112,'Reference Score Calculation'!$Q119)),5,IF(ISNUMBER(SEARCH($AW$104,'Reference Score Calculation'!$O119)),10,IF(ISNUMBER(SEARCH($AW$104,'Reference Score Calculation'!$P119)),7,5)))))</f>
        <v>10</v>
      </c>
      <c r="BD140" s="415">
        <f>IF(ISNUMBER(SEARCH(BD$112,'Reference Score Calculation'!$O119)),10,IF(ISNUMBER(SEARCH(BD$112,'Reference Score Calculation'!$P119)),7,IF(ISNUMBER(SEARCH(BD$112,'Reference Score Calculation'!$Q119)),5,IF(ISNUMBER(SEARCH($AW$104,'Reference Score Calculation'!$O119)),10,IF(ISNUMBER(SEARCH($AW$104,'Reference Score Calculation'!$P119)),7,5)))))</f>
        <v>10</v>
      </c>
      <c r="BE140" s="415">
        <f>IF(ISNUMBER(SEARCH(BE$112,'Reference Score Calculation'!$O119)),10,IF(ISNUMBER(SEARCH(BE$112,'Reference Score Calculation'!$P119)),7,IF(ISNUMBER(SEARCH(BE$112,'Reference Score Calculation'!$Q119)),5,IF(ISNUMBER(SEARCH($AW$104,'Reference Score Calculation'!$O119)),10,IF(ISNUMBER(SEARCH($AW$104,'Reference Score Calculation'!$P119)),7,5)))))</f>
        <v>5</v>
      </c>
      <c r="BF140" s="415">
        <f>IF(ISNUMBER(SEARCH(BF$112,'Reference Score Calculation'!$O119)),10,IF(ISNUMBER(SEARCH(BF$112,'Reference Score Calculation'!$P119)),7,IF(ISNUMBER(SEARCH(BF$112,'Reference Score Calculation'!$Q119)),5,IF(ISNUMBER(SEARCH($AW$104,'Reference Score Calculation'!$O119)),10,IF(ISNUMBER(SEARCH($AW$104,'Reference Score Calculation'!$P119)),7,5)))))</f>
        <v>5</v>
      </c>
      <c r="BG140" s="415">
        <f>IF(ISNUMBER(SEARCH(BG$112,'Reference Score Calculation'!$O119)),10,IF(ISNUMBER(SEARCH(BG$112,'Reference Score Calculation'!$P119)),7,IF(ISNUMBER(SEARCH(BG$112,'Reference Score Calculation'!$Q119)),5,IF(ISNUMBER(SEARCH($AW$104,'Reference Score Calculation'!$O119)),10,IF(ISNUMBER(SEARCH($AW$104,'Reference Score Calculation'!$P119)),7,5)))))</f>
        <v>5</v>
      </c>
      <c r="BH140" s="415">
        <f>IF(ISNUMBER(SEARCH(BH$112,'Reference Score Calculation'!$O119)),10,IF(ISNUMBER(SEARCH(BH$112,'Reference Score Calculation'!$P119)),7,IF(ISNUMBER(SEARCH(BH$112,'Reference Score Calculation'!$Q119)),5,IF(ISNUMBER(SEARCH($AW$104,'Reference Score Calculation'!$O119)),10,IF(ISNUMBER(SEARCH($AW$104,'Reference Score Calculation'!$P119)),7,5)))))</f>
        <v>5</v>
      </c>
      <c r="BI140" s="415">
        <f>IF(ISNUMBER(SEARCH(BI$112,'Reference Score Calculation'!$O119)),10,IF(ISNUMBER(SEARCH(BI$112,'Reference Score Calculation'!$P119)),7,IF(ISNUMBER(SEARCH(BI$112,'Reference Score Calculation'!$Q119)),5,IF(ISNUMBER(SEARCH($AW$104,'Reference Score Calculation'!$O119)),10,IF(ISNUMBER(SEARCH($AW$104,'Reference Score Calculation'!$P119)),7,5)))))</f>
        <v>5</v>
      </c>
      <c r="BJ140" s="415">
        <f>IF(ISNUMBER(SEARCH(BJ$112,'Reference Score Calculation'!$O119)),10,IF(ISNUMBER(SEARCH(BJ$112,'Reference Score Calculation'!$P119)),7,IF(ISNUMBER(SEARCH(BJ$112,'Reference Score Calculation'!$Q119)),5,IF(ISNUMBER(SEARCH($AW$104,'Reference Score Calculation'!$O119)),10,IF(ISNUMBER(SEARCH($AW$104,'Reference Score Calculation'!$P119)),7,5)))))</f>
        <v>5</v>
      </c>
      <c r="BK140" s="415">
        <f>IF(ISNUMBER(SEARCH(BK$112,'Reference Score Calculation'!$O119)),10,IF(ISNUMBER(SEARCH(BK$112,'Reference Score Calculation'!$P119)),7,IF(ISNUMBER(SEARCH(BK$112,'Reference Score Calculation'!$Q119)),5,IF(ISNUMBER(SEARCH($AW$104,'Reference Score Calculation'!$O119)),10,IF(ISNUMBER(SEARCH($AW$104,'Reference Score Calculation'!$P119)),7,5)))))</f>
        <v>5</v>
      </c>
      <c r="BL140" s="415">
        <f>IF(ISNUMBER(SEARCH(BL$112,'Reference Score Calculation'!$O119)),10,IF(ISNUMBER(SEARCH(BL$112,'Reference Score Calculation'!$P119)),7,IF(ISNUMBER(SEARCH(BL$112,'Reference Score Calculation'!$Q119)),5,IF(ISNUMBER(SEARCH($AW$104,'Reference Score Calculation'!$O119)),10,IF(ISNUMBER(SEARCH($AW$104,'Reference Score Calculation'!$P119)),7,5)))))</f>
        <v>5</v>
      </c>
      <c r="BM140" s="415">
        <f>IF(ISNUMBER(SEARCH(BM$112,'Reference Score Calculation'!$O119)),10,IF(ISNUMBER(SEARCH(BM$112,'Reference Score Calculation'!$P119)),7,IF(ISNUMBER(SEARCH(BM$112,'Reference Score Calculation'!$Q119)),5,IF(ISNUMBER(SEARCH($AW$104,'Reference Score Calculation'!$O119)),10,IF(ISNUMBER(SEARCH("組合科學(任何)",'Reference Score Calculation'!$O119)),10,IF(ISNUMBER(SEARCH("組合科學(任何)",'Reference Score Calculation'!$P119)),7,IF(ISNUMBER(SEARCH("組合科學(任何)",'Reference Score Calculation'!$Q119)),5,IF(ISNUMBER(SEARCH($AW$104,'Reference Score Calculation'!$P119)),7,5))))))))</f>
        <v>10</v>
      </c>
      <c r="BN140" s="415">
        <f>IF(ISNUMBER(SEARCH(BN$112,'Reference Score Calculation'!$O119)),10,IF(ISNUMBER(SEARCH(BN$112,'Reference Score Calculation'!$P119)),7,IF(ISNUMBER(SEARCH(BN$112,'Reference Score Calculation'!$Q119)),5,IF(ISNUMBER(SEARCH($AW$104,'Reference Score Calculation'!$O119)),10,IF(ISNUMBER(SEARCH("組合科學(任何)",'Reference Score Calculation'!$O119)),10,IF(ISNUMBER(SEARCH("組合科學(任何)",'Reference Score Calculation'!$P119)),7,IF(ISNUMBER(SEARCH("組合科學(任何)",'Reference Score Calculation'!$Q119)),5,IF(ISNUMBER(SEARCH($AW$104,'Reference Score Calculation'!$P119)),7,5))))))))</f>
        <v>10</v>
      </c>
      <c r="BO140" s="415">
        <f>IF(ISNUMBER(SEARCH(BO$112,'Reference Score Calculation'!$O119)),10,IF(ISNUMBER(SEARCH(BO$112,'Reference Score Calculation'!$P119)),7,IF(ISNUMBER(SEARCH(BO$112,'Reference Score Calculation'!$Q119)),5,IF(ISNUMBER(SEARCH($AW$104,'Reference Score Calculation'!$O119)),10,IF(ISNUMBER(SEARCH("組合科學(任何)",'Reference Score Calculation'!$O119)),10,IF(ISNUMBER(SEARCH("組合科學(任何)",'Reference Score Calculation'!$P119)),7,IF(ISNUMBER(SEARCH("組合科學(任何)",'Reference Score Calculation'!$Q119)),5,IF(ISNUMBER(SEARCH($AW$104,'Reference Score Calculation'!$P119)),7,5))))))))</f>
        <v>10</v>
      </c>
      <c r="BP140" s="415">
        <f>IF(ISNUMBER(SEARCH(BP$112,'Reference Score Calculation'!$O119)),10,IF(ISNUMBER(SEARCH(BP$112,'Reference Score Calculation'!$P119)),7,IF(ISNUMBER(SEARCH(BP$112,'Reference Score Calculation'!$Q119)),5,IF(ISNUMBER(SEARCH($AW$104,'Reference Score Calculation'!$O119)),10,IF(ISNUMBER(SEARCH($AW$104,'Reference Score Calculation'!$P119)),7,5)))))</f>
        <v>5</v>
      </c>
      <c r="BQ140" s="415">
        <f>IF(ISNUMBER(SEARCH(BQ$112,'Reference Score Calculation'!$O119)),10,IF(ISNUMBER(SEARCH(BQ$112,'Reference Score Calculation'!$P119)),7,IF(ISNUMBER(SEARCH(BQ$112,'Reference Score Calculation'!$Q119)),5,IF(ISNUMBER(SEARCH($AW$104,'Reference Score Calculation'!$O119)),10,IF(ISNUMBER(SEARCH($AW$104,'Reference Score Calculation'!$P119)),7,5)))))</f>
        <v>5</v>
      </c>
      <c r="BR140" s="415">
        <f>IF(ISNUMBER(SEARCH(BR$112,'Reference Score Calculation'!$O119)),10,IF(ISNUMBER(SEARCH(BR$112,'Reference Score Calculation'!$P119)),7,IF(ISNUMBER(SEARCH(BR$112,'Reference Score Calculation'!$Q119)),5,IF(ISNUMBER(SEARCH($AW$104,'Reference Score Calculation'!$O119)),10,IF(ISNUMBER(SEARCH($AW$104,'Reference Score Calculation'!$P119)),7,5)))))</f>
        <v>5</v>
      </c>
      <c r="BS140" s="415">
        <f>IF(ISNUMBER(SEARCH(BS$112,'Reference Score Calculation'!$O119)),10,IF(ISNUMBER(SEARCH(BS$112,'Reference Score Calculation'!$P119)),7,IF(ISNUMBER(SEARCH(BS$112,'Reference Score Calculation'!$Q119)),5,IF(ISNUMBER(SEARCH($AW$104,'Reference Score Calculation'!$O119)),10,IF(ISNUMBER(SEARCH($AW$104,'Reference Score Calculation'!$P119)),7,5)))))</f>
        <v>5</v>
      </c>
      <c r="BT140" s="415">
        <f>IF(ISNUMBER(SEARCH(BT$112,'Reference Score Calculation'!$O119)),10,IF(ISNUMBER(SEARCH(BT$112,'Reference Score Calculation'!$P119)),7,IF(ISNUMBER(SEARCH(BT$112,'Reference Score Calculation'!$Q119)),5,IF(ISNUMBER(SEARCH($AW$104,'Reference Score Calculation'!$O119)),10,IF(ISNUMBER(SEARCH($AW$104,'Reference Score Calculation'!$P119)),7,5)))))</f>
        <v>5</v>
      </c>
      <c r="BU140" s="415">
        <f>IF(ISNUMBER(SEARCH(BU$112,'Reference Score Calculation'!$O119)),10,IF(ISNUMBER(SEARCH(BU$112,'Reference Score Calculation'!$P119)),7,IF(ISNUMBER(SEARCH(BU$112,'Reference Score Calculation'!$Q119)),5,IF(ISNUMBER(SEARCH($AW$104,'Reference Score Calculation'!$O119)),10,IF(ISNUMBER(SEARCH($AW$104,'Reference Score Calculation'!$P119)),7,5)))))</f>
        <v>5</v>
      </c>
      <c r="BV140" s="415">
        <f>IF(ISNUMBER(SEARCH(BV$112,'Reference Score Calculation'!$O119)),10,IF(ISNUMBER(SEARCH(BV$112,'Reference Score Calculation'!$P119)),7,IF(ISNUMBER(SEARCH(BV$112,'Reference Score Calculation'!$Q119)),5,IF(ISNUMBER(SEARCH($AW$104,'Reference Score Calculation'!$O119)),10,IF(ISNUMBER(SEARCH($AW$104,'Reference Score Calculation'!$P119)),7,5)))))</f>
        <v>5</v>
      </c>
      <c r="BW140" s="415">
        <f>IF(ISNUMBER(SEARCH(BW$112,'Reference Score Calculation'!$O119)),10,IF(ISNUMBER(SEARCH(BW$112,'Reference Score Calculation'!$P119)),7,IF(ISNUMBER(SEARCH(BW$112,'Reference Score Calculation'!$Q119)),5,IF(ISNUMBER(SEARCH($AW$104,'Reference Score Calculation'!$O119)),10,IF(ISNUMBER(SEARCH($AW$104,'Reference Score Calculation'!$P119)),7,5)))))</f>
        <v>5</v>
      </c>
      <c r="BX140" s="415">
        <f>IF(ISNUMBER(SEARCH(BX$112,'Reference Score Calculation'!$O119)),10,IF(ISNUMBER(SEARCH(BX$112,'Reference Score Calculation'!$P119)),7,IF(ISNUMBER(SEARCH(BX$112,'Reference Score Calculation'!$Q119)),5,IF(ISNUMBER(SEARCH($AW$104,'Reference Score Calculation'!$O119)),10,IF(ISNUMBER(SEARCH($AW$104,'Reference Score Calculation'!$P119)),7,5)))))</f>
        <v>5</v>
      </c>
      <c r="BY140" s="195"/>
      <c r="BZ140" s="195"/>
      <c r="CA140" s="195"/>
    </row>
    <row r="141" spans="1:79">
      <c r="A141" s="119" t="str">
        <f>'Reference Score Calculation'!A118</f>
        <v>JS3571</v>
      </c>
      <c r="B141" s="119" t="str">
        <f>'Reference Score Calculation'!A118</f>
        <v>JS3571</v>
      </c>
      <c r="C141" s="119" t="str">
        <f>'Reference Score Calculation'!D118</f>
        <v>物流及企業工程(榮譽)理學士組合課程 (物流工程兼管理學 / 企業工程兼管理學)</v>
      </c>
      <c r="D141" s="2" t="e">
        <f>'Reference Score Calculation'!#REF!</f>
        <v>#REF!</v>
      </c>
      <c r="E141" s="134" t="str">
        <f>'Reference Score Calculation'!E118</f>
        <v>Best 5</v>
      </c>
      <c r="F141" s="134"/>
      <c r="G141" s="119" t="str">
        <f>入學要求!AB127</f>
        <v>v</v>
      </c>
      <c r="H141" s="119" t="str">
        <f>入學要求!AC127</f>
        <v>E</v>
      </c>
      <c r="I141" s="119" t="str">
        <f>入學要求!AD127</f>
        <v>v</v>
      </c>
      <c r="J141" s="119">
        <f t="shared" si="254"/>
        <v>1.5049999999999999E-8</v>
      </c>
      <c r="K141" s="119">
        <f t="shared" si="260"/>
        <v>7</v>
      </c>
      <c r="L141" s="119">
        <f t="shared" si="260"/>
        <v>10</v>
      </c>
      <c r="M141" s="119">
        <f t="shared" si="260"/>
        <v>10</v>
      </c>
      <c r="N141" s="119">
        <v>0</v>
      </c>
      <c r="O141" s="119">
        <f t="shared" si="261"/>
        <v>5</v>
      </c>
      <c r="P141" s="119">
        <f t="shared" si="261"/>
        <v>0</v>
      </c>
      <c r="Q141" s="119">
        <f t="shared" si="261"/>
        <v>0</v>
      </c>
      <c r="R141" s="119">
        <f t="shared" si="261"/>
        <v>0</v>
      </c>
      <c r="S141" s="119">
        <f t="shared" si="261"/>
        <v>0</v>
      </c>
      <c r="T141" s="119">
        <v>5</v>
      </c>
      <c r="V141" s="119">
        <f t="shared" si="234"/>
        <v>2.8000000000000003E-9</v>
      </c>
      <c r="W141" s="119">
        <f t="shared" si="235"/>
        <v>2.0000000000000001E-9</v>
      </c>
      <c r="X141" s="119">
        <f t="shared" si="236"/>
        <v>3E-9</v>
      </c>
      <c r="Y141" s="119">
        <f t="shared" si="237"/>
        <v>0</v>
      </c>
      <c r="Z141" s="119">
        <f t="shared" si="238"/>
        <v>2.5000000000000001E-9</v>
      </c>
      <c r="AA141" s="119">
        <f t="shared" si="239"/>
        <v>0</v>
      </c>
      <c r="AB141" s="119">
        <f t="shared" si="240"/>
        <v>0</v>
      </c>
      <c r="AC141" s="119">
        <f t="shared" si="241"/>
        <v>0</v>
      </c>
      <c r="AD141" s="119">
        <f t="shared" si="242"/>
        <v>0</v>
      </c>
      <c r="AE141" s="119">
        <f t="shared" si="243"/>
        <v>4.7500000000000003E-9</v>
      </c>
      <c r="AF141" s="119" t="b">
        <f t="shared" si="262"/>
        <v>1</v>
      </c>
      <c r="AG141" s="119" t="b">
        <f t="shared" si="263"/>
        <v>1</v>
      </c>
      <c r="AH141" s="119" t="b">
        <f t="shared" si="264"/>
        <v>1</v>
      </c>
      <c r="AI141" s="119" t="b">
        <f t="shared" si="265"/>
        <v>0</v>
      </c>
      <c r="AJ141" s="119" t="b">
        <f t="shared" si="266"/>
        <v>1</v>
      </c>
      <c r="AK141" s="119" t="b">
        <f t="shared" si="267"/>
        <v>0</v>
      </c>
      <c r="AL141" s="119" t="b">
        <f t="shared" si="268"/>
        <v>0</v>
      </c>
      <c r="AM141" s="119" t="b">
        <f t="shared" si="269"/>
        <v>0</v>
      </c>
      <c r="AN141" s="119" t="b">
        <f t="shared" si="270"/>
        <v>0</v>
      </c>
      <c r="AO141" s="119" t="b">
        <f t="shared" si="271"/>
        <v>1</v>
      </c>
      <c r="AQ141" s="2"/>
      <c r="AR141" s="2"/>
      <c r="AS141" s="2"/>
      <c r="AT141" s="195"/>
      <c r="AU141" s="195" t="str">
        <f>'Reference Score Calculation'!A120</f>
        <v>JS3624</v>
      </c>
      <c r="AV141" s="195"/>
      <c r="AW141" s="415">
        <f>IF(ISNUMBER(SEARCH(AW$112,'Reference Score Calculation'!$O120)),10,IF(ISNUMBER(SEARCH(AW$112,'Reference Score Calculation'!$P120)),7,IF(ISNUMBER(SEARCH(AW$112,'Reference Score Calculation'!$Q120)),5,IF(ISNUMBER(SEARCH($AW$104,'Reference Score Calculation'!$O120)),10,IF(ISNUMBER(SEARCH($AW$104,'Reference Score Calculation'!$P120)),7,5)))))</f>
        <v>10</v>
      </c>
      <c r="AX141" s="415">
        <f>IF(ISNUMBER(SEARCH(AX$112,'Reference Score Calculation'!$O120)),10,IF(ISNUMBER(SEARCH(AX$112,'Reference Score Calculation'!$P120)),7,IF(ISNUMBER(SEARCH(AX$112,'Reference Score Calculation'!$Q120)),5,IF(ISNUMBER(SEARCH($AW$104,'Reference Score Calculation'!$O120)),10,IF(ISNUMBER(SEARCH($AW$104,'Reference Score Calculation'!$P120)),7,5)))))</f>
        <v>10</v>
      </c>
      <c r="AY141" s="415">
        <f>IF(ISNUMBER(SEARCH(AY$112,'Reference Score Calculation'!$O120)),10,IF(ISNUMBER(SEARCH(AY$112,'Reference Score Calculation'!$P120)),7,IF(ISNUMBER(SEARCH(AY$112,'Reference Score Calculation'!$Q120)),5,IF(ISNUMBER(SEARCH($AW$104,'Reference Score Calculation'!$O120)),10,IF(ISNUMBER(SEARCH($AW$104,'Reference Score Calculation'!$P120)),7,5)))))</f>
        <v>7</v>
      </c>
      <c r="AZ141" s="415">
        <f>IF(ISNUMBER(SEARCH(AZ$112,'Reference Score Calculation'!$O120)),10,IF(ISNUMBER(SEARCH(AZ$112,'Reference Score Calculation'!$P120)),7,IF(ISNUMBER(SEARCH(AZ$112,'Reference Score Calculation'!$Q120)),5,IF(ISNUMBER(SEARCH($AW$104,'Reference Score Calculation'!$O120)),10,IF(ISNUMBER(SEARCH($AW$104,'Reference Score Calculation'!$P120)),7,5)))))</f>
        <v>7</v>
      </c>
      <c r="BA141" s="415">
        <f>IF(ISNUMBER(SEARCH(BA$112,'Reference Score Calculation'!$O120)),10,IF(ISNUMBER(SEARCH(BA$112,'Reference Score Calculation'!$P120)),7,IF(ISNUMBER(SEARCH(BA$112,'Reference Score Calculation'!$Q120)),5,IF(ISNUMBER(SEARCH($AW$104,'Reference Score Calculation'!$O120)),10,IF(ISNUMBER(SEARCH($AW$104,'Reference Score Calculation'!$P120)),7,5)))))</f>
        <v>7</v>
      </c>
      <c r="BB141" s="415">
        <f>IF(ISNUMBER(SEARCH(BB$112,'Reference Score Calculation'!$O120)),10,IF(ISNUMBER(SEARCH(BB$112,'Reference Score Calculation'!$P120)),7,IF(ISNUMBER(SEARCH(BB$112,'Reference Score Calculation'!$Q120)),5,IF(ISNUMBER(SEARCH($AW$104,'Reference Score Calculation'!$O120)),10,IF(ISNUMBER(SEARCH($AW$104,'Reference Score Calculation'!$P120)),7,5)))))</f>
        <v>10</v>
      </c>
      <c r="BC141" s="415">
        <f>IF(ISNUMBER(SEARCH(BC$112,'Reference Score Calculation'!$O120)),10,IF(ISNUMBER(SEARCH(BC$112,'Reference Score Calculation'!$P120)),7,IF(ISNUMBER(SEARCH(BC$112,'Reference Score Calculation'!$Q120)),5,IF(ISNUMBER(SEARCH($AW$104,'Reference Score Calculation'!$O120)),10,IF(ISNUMBER(SEARCH($AW$104,'Reference Score Calculation'!$P120)),7,5)))))</f>
        <v>7</v>
      </c>
      <c r="BD141" s="415">
        <f>IF(ISNUMBER(SEARCH(BD$112,'Reference Score Calculation'!$O120)),10,IF(ISNUMBER(SEARCH(BD$112,'Reference Score Calculation'!$P120)),7,IF(ISNUMBER(SEARCH(BD$112,'Reference Score Calculation'!$Q120)),5,IF(ISNUMBER(SEARCH($AW$104,'Reference Score Calculation'!$O120)),10,IF(ISNUMBER(SEARCH($AW$104,'Reference Score Calculation'!$P120)),7,5)))))</f>
        <v>10</v>
      </c>
      <c r="BE141" s="415">
        <f>IF(ISNUMBER(SEARCH(BE$112,'Reference Score Calculation'!$O120)),10,IF(ISNUMBER(SEARCH(BE$112,'Reference Score Calculation'!$P120)),7,IF(ISNUMBER(SEARCH(BE$112,'Reference Score Calculation'!$Q120)),5,IF(ISNUMBER(SEARCH($AW$104,'Reference Score Calculation'!$O120)),10,IF(ISNUMBER(SEARCH($AW$104,'Reference Score Calculation'!$P120)),7,5)))))</f>
        <v>7</v>
      </c>
      <c r="BF141" s="415">
        <f>IF(ISNUMBER(SEARCH(BF$112,'Reference Score Calculation'!$O120)),10,IF(ISNUMBER(SEARCH(BF$112,'Reference Score Calculation'!$P120)),7,IF(ISNUMBER(SEARCH(BF$112,'Reference Score Calculation'!$Q120)),5,IF(ISNUMBER(SEARCH($AW$104,'Reference Score Calculation'!$O120)),10,IF(ISNUMBER(SEARCH($AW$104,'Reference Score Calculation'!$P120)),7,5)))))</f>
        <v>7</v>
      </c>
      <c r="BG141" s="415">
        <f>IF(ISNUMBER(SEARCH(BG$112,'Reference Score Calculation'!$O120)),10,IF(ISNUMBER(SEARCH(BG$112,'Reference Score Calculation'!$P120)),7,IF(ISNUMBER(SEARCH(BG$112,'Reference Score Calculation'!$Q120)),5,IF(ISNUMBER(SEARCH($AW$104,'Reference Score Calculation'!$O120)),10,IF(ISNUMBER(SEARCH($AW$104,'Reference Score Calculation'!$P120)),7,5)))))</f>
        <v>5</v>
      </c>
      <c r="BH141" s="415">
        <f>IF(ISNUMBER(SEARCH(BH$112,'Reference Score Calculation'!$O120)),10,IF(ISNUMBER(SEARCH(BH$112,'Reference Score Calculation'!$P120)),7,IF(ISNUMBER(SEARCH(BH$112,'Reference Score Calculation'!$Q120)),5,IF(ISNUMBER(SEARCH($AW$104,'Reference Score Calculation'!$O120)),10,IF(ISNUMBER(SEARCH($AW$104,'Reference Score Calculation'!$P120)),7,5)))))</f>
        <v>5</v>
      </c>
      <c r="BI141" s="415">
        <f>IF(ISNUMBER(SEARCH(BI$112,'Reference Score Calculation'!$O120)),10,IF(ISNUMBER(SEARCH(BI$112,'Reference Score Calculation'!$P120)),7,IF(ISNUMBER(SEARCH(BI$112,'Reference Score Calculation'!$Q120)),5,IF(ISNUMBER(SEARCH($AW$104,'Reference Score Calculation'!$O120)),10,IF(ISNUMBER(SEARCH($AW$104,'Reference Score Calculation'!$P120)),7,5)))))</f>
        <v>7</v>
      </c>
      <c r="BJ141" s="415">
        <f>IF(ISNUMBER(SEARCH(BJ$112,'Reference Score Calculation'!$O120)),10,IF(ISNUMBER(SEARCH(BJ$112,'Reference Score Calculation'!$P120)),7,IF(ISNUMBER(SEARCH(BJ$112,'Reference Score Calculation'!$Q120)),5,IF(ISNUMBER(SEARCH($AW$104,'Reference Score Calculation'!$O120)),10,IF(ISNUMBER(SEARCH($AW$104,'Reference Score Calculation'!$P120)),7,5)))))</f>
        <v>7</v>
      </c>
      <c r="BK141" s="415">
        <f>IF(ISNUMBER(SEARCH(BK$112,'Reference Score Calculation'!$O120)),10,IF(ISNUMBER(SEARCH(BK$112,'Reference Score Calculation'!$P120)),7,IF(ISNUMBER(SEARCH(BK$112,'Reference Score Calculation'!$Q120)),5,IF(ISNUMBER(SEARCH($AW$104,'Reference Score Calculation'!$O120)),10,IF(ISNUMBER(SEARCH($AW$104,'Reference Score Calculation'!$P120)),7,5)))))</f>
        <v>5</v>
      </c>
      <c r="BL141" s="415">
        <f>IF(ISNUMBER(SEARCH(BL$112,'Reference Score Calculation'!$O120)),10,IF(ISNUMBER(SEARCH(BL$112,'Reference Score Calculation'!$P120)),7,IF(ISNUMBER(SEARCH(BL$112,'Reference Score Calculation'!$Q120)),5,IF(ISNUMBER(SEARCH($AW$104,'Reference Score Calculation'!$O120)),10,IF(ISNUMBER(SEARCH($AW$104,'Reference Score Calculation'!$P120)),7,5)))))</f>
        <v>7</v>
      </c>
      <c r="BM141" s="415">
        <f>IF(ISNUMBER(SEARCH(BM$112,'Reference Score Calculation'!$O120)),10,IF(ISNUMBER(SEARCH(BM$112,'Reference Score Calculation'!$P120)),7,IF(ISNUMBER(SEARCH(BM$112,'Reference Score Calculation'!$Q120)),5,IF(ISNUMBER(SEARCH($AW$104,'Reference Score Calculation'!$O120)),10,IF(ISNUMBER(SEARCH("組合科學(任何)",'Reference Score Calculation'!$O120)),10,IF(ISNUMBER(SEARCH("組合科學(任何)",'Reference Score Calculation'!$P120)),7,IF(ISNUMBER(SEARCH("組合科學(任何)",'Reference Score Calculation'!$Q120)),5,IF(ISNUMBER(SEARCH($AW$104,'Reference Score Calculation'!$P120)),7,5))))))))</f>
        <v>10</v>
      </c>
      <c r="BN141" s="415">
        <f>IF(ISNUMBER(SEARCH(BN$112,'Reference Score Calculation'!$O120)),10,IF(ISNUMBER(SEARCH(BN$112,'Reference Score Calculation'!$P120)),7,IF(ISNUMBER(SEARCH(BN$112,'Reference Score Calculation'!$Q120)),5,IF(ISNUMBER(SEARCH($AW$104,'Reference Score Calculation'!$O120)),10,IF(ISNUMBER(SEARCH("組合科學(任何)",'Reference Score Calculation'!$O120)),10,IF(ISNUMBER(SEARCH("組合科學(任何)",'Reference Score Calculation'!$P120)),7,IF(ISNUMBER(SEARCH("組合科學(任何)",'Reference Score Calculation'!$Q120)),5,IF(ISNUMBER(SEARCH($AW$104,'Reference Score Calculation'!$P120)),7,5))))))))</f>
        <v>10</v>
      </c>
      <c r="BO141" s="415">
        <f>IF(ISNUMBER(SEARCH(BO$112,'Reference Score Calculation'!$O120)),10,IF(ISNUMBER(SEARCH(BO$112,'Reference Score Calculation'!$P120)),7,IF(ISNUMBER(SEARCH(BO$112,'Reference Score Calculation'!$Q120)),5,IF(ISNUMBER(SEARCH($AW$104,'Reference Score Calculation'!$O120)),10,IF(ISNUMBER(SEARCH("組合科學(任何)",'Reference Score Calculation'!$O120)),10,IF(ISNUMBER(SEARCH("組合科學(任何)",'Reference Score Calculation'!$P120)),7,IF(ISNUMBER(SEARCH("組合科學(任何)",'Reference Score Calculation'!$Q120)),5,IF(ISNUMBER(SEARCH($AW$104,'Reference Score Calculation'!$P120)),7,5))))))))</f>
        <v>10</v>
      </c>
      <c r="BP141" s="415">
        <f>IF(ISNUMBER(SEARCH(BP$112,'Reference Score Calculation'!$O120)),10,IF(ISNUMBER(SEARCH(BP$112,'Reference Score Calculation'!$P120)),7,IF(ISNUMBER(SEARCH(BP$112,'Reference Score Calculation'!$Q120)),5,IF(ISNUMBER(SEARCH($AW$104,'Reference Score Calculation'!$O120)),10,IF(ISNUMBER(SEARCH($AW$104,'Reference Score Calculation'!$P120)),7,5)))))</f>
        <v>7</v>
      </c>
      <c r="BQ141" s="415">
        <f>IF(ISNUMBER(SEARCH(BQ$112,'Reference Score Calculation'!$O120)),10,IF(ISNUMBER(SEARCH(BQ$112,'Reference Score Calculation'!$P120)),7,IF(ISNUMBER(SEARCH(BQ$112,'Reference Score Calculation'!$Q120)),5,IF(ISNUMBER(SEARCH($AW$104,'Reference Score Calculation'!$O120)),10,IF(ISNUMBER(SEARCH($AW$104,'Reference Score Calculation'!$P120)),7,5)))))</f>
        <v>7</v>
      </c>
      <c r="BR141" s="415">
        <f>IF(ISNUMBER(SEARCH(BR$112,'Reference Score Calculation'!$O120)),10,IF(ISNUMBER(SEARCH(BR$112,'Reference Score Calculation'!$P120)),7,IF(ISNUMBER(SEARCH(BR$112,'Reference Score Calculation'!$Q120)),5,IF(ISNUMBER(SEARCH($AW$104,'Reference Score Calculation'!$O120)),10,IF(ISNUMBER(SEARCH($AW$104,'Reference Score Calculation'!$P120)),7,5)))))</f>
        <v>7</v>
      </c>
      <c r="BS141" s="415">
        <f>IF(ISNUMBER(SEARCH(BS$112,'Reference Score Calculation'!$O120)),10,IF(ISNUMBER(SEARCH(BS$112,'Reference Score Calculation'!$P120)),7,IF(ISNUMBER(SEARCH(BS$112,'Reference Score Calculation'!$Q120)),5,IF(ISNUMBER(SEARCH($AW$104,'Reference Score Calculation'!$O120)),10,IF(ISNUMBER(SEARCH($AW$104,'Reference Score Calculation'!$P120)),7,5)))))</f>
        <v>7</v>
      </c>
      <c r="BT141" s="415">
        <f>IF(ISNUMBER(SEARCH(BT$112,'Reference Score Calculation'!$O120)),10,IF(ISNUMBER(SEARCH(BT$112,'Reference Score Calculation'!$P120)),7,IF(ISNUMBER(SEARCH(BT$112,'Reference Score Calculation'!$Q120)),5,IF(ISNUMBER(SEARCH($AW$104,'Reference Score Calculation'!$O120)),10,IF(ISNUMBER(SEARCH($AW$104,'Reference Score Calculation'!$P120)),7,5)))))</f>
        <v>5</v>
      </c>
      <c r="BU141" s="415">
        <f>IF(ISNUMBER(SEARCH(BU$112,'Reference Score Calculation'!$O120)),10,IF(ISNUMBER(SEARCH(BU$112,'Reference Score Calculation'!$P120)),7,IF(ISNUMBER(SEARCH(BU$112,'Reference Score Calculation'!$Q120)),5,IF(ISNUMBER(SEARCH($AW$104,'Reference Score Calculation'!$O120)),10,IF(ISNUMBER(SEARCH($AW$104,'Reference Score Calculation'!$P120)),7,5)))))</f>
        <v>7</v>
      </c>
      <c r="BV141" s="415">
        <f>IF(ISNUMBER(SEARCH(BV$112,'Reference Score Calculation'!$O120)),10,IF(ISNUMBER(SEARCH(BV$112,'Reference Score Calculation'!$P120)),7,IF(ISNUMBER(SEARCH(BV$112,'Reference Score Calculation'!$Q120)),5,IF(ISNUMBER(SEARCH($AW$104,'Reference Score Calculation'!$O120)),10,IF(ISNUMBER(SEARCH($AW$104,'Reference Score Calculation'!$P120)),7,5)))))</f>
        <v>5</v>
      </c>
      <c r="BW141" s="415">
        <f>IF(ISNUMBER(SEARCH(BW$112,'Reference Score Calculation'!$O120)),10,IF(ISNUMBER(SEARCH(BW$112,'Reference Score Calculation'!$P120)),7,IF(ISNUMBER(SEARCH(BW$112,'Reference Score Calculation'!$Q120)),5,IF(ISNUMBER(SEARCH($AW$104,'Reference Score Calculation'!$O120)),10,IF(ISNUMBER(SEARCH($AW$104,'Reference Score Calculation'!$P120)),7,5)))))</f>
        <v>7</v>
      </c>
      <c r="BX141" s="415">
        <f>IF(ISNUMBER(SEARCH(BX$112,'Reference Score Calculation'!$O120)),10,IF(ISNUMBER(SEARCH(BX$112,'Reference Score Calculation'!$P120)),7,IF(ISNUMBER(SEARCH(BX$112,'Reference Score Calculation'!$Q120)),5,IF(ISNUMBER(SEARCH($AW$104,'Reference Score Calculation'!$O120)),10,IF(ISNUMBER(SEARCH($AW$104,'Reference Score Calculation'!$P120)),7,5)))))</f>
        <v>7</v>
      </c>
      <c r="BY141" s="195"/>
      <c r="BZ141" s="195"/>
      <c r="CA141" s="195"/>
    </row>
    <row r="142" spans="1:79">
      <c r="A142" s="119" t="str">
        <f>'Reference Score Calculation'!A119</f>
        <v>JS3612</v>
      </c>
      <c r="B142" s="119" t="str">
        <f>'Reference Score Calculation'!A119</f>
        <v>JS3612</v>
      </c>
      <c r="C142" s="119" t="str">
        <f>'Reference Score Calculation'!D119</f>
        <v>醫療化驗科學及放射學(榮譽)理學士組合課程 - 放射學(榮譽)理學士</v>
      </c>
      <c r="D142" s="2" t="e">
        <f>'Reference Score Calculation'!#REF!</f>
        <v>#REF!</v>
      </c>
      <c r="E142" s="134" t="str">
        <f>'Reference Score Calculation'!E119</f>
        <v>Best 6</v>
      </c>
      <c r="F142" s="134"/>
      <c r="G142" s="119" t="str">
        <f>入學要求!AB128</f>
        <v>v</v>
      </c>
      <c r="H142" s="119" t="str">
        <f>入學要求!AC128</f>
        <v>E</v>
      </c>
      <c r="I142" s="119" t="str">
        <f>入學要求!AD128</f>
        <v>NO</v>
      </c>
      <c r="J142" s="119">
        <f t="shared" si="254"/>
        <v>1.7250000000000002E-8</v>
      </c>
      <c r="K142" s="119">
        <f t="shared" si="260"/>
        <v>10</v>
      </c>
      <c r="L142" s="119">
        <f t="shared" si="260"/>
        <v>10</v>
      </c>
      <c r="M142" s="119">
        <f t="shared" si="260"/>
        <v>10</v>
      </c>
      <c r="N142" s="119">
        <f>IFERROR(INDEX($AW140:$BX140,MATCH(N$1,$AW$113:$BX$113,0)),0)</f>
        <v>7</v>
      </c>
      <c r="O142" s="119">
        <f t="shared" si="261"/>
        <v>7</v>
      </c>
      <c r="P142" s="119">
        <f t="shared" si="261"/>
        <v>0</v>
      </c>
      <c r="Q142" s="119">
        <f t="shared" si="261"/>
        <v>0</v>
      </c>
      <c r="R142" s="119">
        <f t="shared" si="261"/>
        <v>0</v>
      </c>
      <c r="S142" s="119">
        <f t="shared" si="261"/>
        <v>0</v>
      </c>
      <c r="T142" s="119">
        <v>5</v>
      </c>
      <c r="V142" s="119">
        <f t="shared" si="234"/>
        <v>4.0000000000000002E-9</v>
      </c>
      <c r="W142" s="119">
        <f t="shared" si="235"/>
        <v>2.0000000000000001E-9</v>
      </c>
      <c r="X142" s="119">
        <f t="shared" si="236"/>
        <v>3E-9</v>
      </c>
      <c r="Y142" s="119">
        <f t="shared" si="237"/>
        <v>0</v>
      </c>
      <c r="Z142" s="119">
        <f t="shared" si="238"/>
        <v>3.5000000000000003E-9</v>
      </c>
      <c r="AA142" s="119">
        <f t="shared" si="239"/>
        <v>0</v>
      </c>
      <c r="AB142" s="119">
        <f t="shared" si="240"/>
        <v>0</v>
      </c>
      <c r="AC142" s="119">
        <f t="shared" si="241"/>
        <v>0</v>
      </c>
      <c r="AD142" s="119">
        <f t="shared" si="242"/>
        <v>0</v>
      </c>
      <c r="AE142" s="119">
        <f t="shared" si="243"/>
        <v>4.7500000000000003E-9</v>
      </c>
      <c r="AF142" s="119" t="b">
        <f t="shared" si="262"/>
        <v>1</v>
      </c>
      <c r="AG142" s="119" t="b">
        <f t="shared" si="263"/>
        <v>1</v>
      </c>
      <c r="AH142" s="119" t="b">
        <f t="shared" si="264"/>
        <v>1</v>
      </c>
      <c r="AI142" s="119" t="b">
        <f t="shared" si="265"/>
        <v>0</v>
      </c>
      <c r="AJ142" s="119" t="b">
        <f t="shared" si="266"/>
        <v>1</v>
      </c>
      <c r="AK142" s="119" t="b">
        <f t="shared" si="267"/>
        <v>0</v>
      </c>
      <c r="AL142" s="119" t="b">
        <f t="shared" si="268"/>
        <v>0</v>
      </c>
      <c r="AM142" s="119" t="b">
        <f t="shared" si="269"/>
        <v>0</v>
      </c>
      <c r="AN142" s="119" t="b">
        <f t="shared" si="270"/>
        <v>0</v>
      </c>
      <c r="AO142" s="119" t="b">
        <f t="shared" si="271"/>
        <v>1</v>
      </c>
      <c r="AQ142" s="2"/>
      <c r="AR142" s="2"/>
      <c r="AS142" s="2"/>
      <c r="AT142" s="195"/>
      <c r="AU142" s="195" t="str">
        <f>'Reference Score Calculation'!A121</f>
        <v>JS3636</v>
      </c>
      <c r="AV142" s="195"/>
      <c r="AW142" s="415">
        <f>IF(ISNUMBER(SEARCH(AW$112,'Reference Score Calculation'!$O121)),10,IF(ISNUMBER(SEARCH(AW$112,'Reference Score Calculation'!$P121)),7,IF(ISNUMBER(SEARCH(AW$112,'Reference Score Calculation'!$Q121)),5,IF(ISNUMBER(SEARCH($AW$104,'Reference Score Calculation'!$O121)),10,IF(ISNUMBER(SEARCH($AW$104,'Reference Score Calculation'!$P121)),7,5)))))</f>
        <v>10</v>
      </c>
      <c r="AX142" s="415">
        <f>IF(ISNUMBER(SEARCH(AX$112,'Reference Score Calculation'!$O121)),10,IF(ISNUMBER(SEARCH(AX$112,'Reference Score Calculation'!$P121)),7,IF(ISNUMBER(SEARCH(AX$112,'Reference Score Calculation'!$Q121)),5,IF(ISNUMBER(SEARCH($AW$104,'Reference Score Calculation'!$O121)),10,IF(ISNUMBER(SEARCH($AW$104,'Reference Score Calculation'!$P121)),7,5)))))</f>
        <v>10</v>
      </c>
      <c r="AY142" s="415">
        <f>IF(ISNUMBER(SEARCH(AY$112,'Reference Score Calculation'!$O121)),10,IF(ISNUMBER(SEARCH(AY$112,'Reference Score Calculation'!$P121)),7,IF(ISNUMBER(SEARCH(AY$112,'Reference Score Calculation'!$Q121)),5,IF(ISNUMBER(SEARCH($AW$104,'Reference Score Calculation'!$O121)),10,IF(ISNUMBER(SEARCH($AW$104,'Reference Score Calculation'!$P121)),7,5)))))</f>
        <v>7</v>
      </c>
      <c r="AZ142" s="415">
        <f>IF(ISNUMBER(SEARCH(AZ$112,'Reference Score Calculation'!$O121)),10,IF(ISNUMBER(SEARCH(AZ$112,'Reference Score Calculation'!$P121)),7,IF(ISNUMBER(SEARCH(AZ$112,'Reference Score Calculation'!$Q121)),5,IF(ISNUMBER(SEARCH($AW$104,'Reference Score Calculation'!$O121)),10,IF(ISNUMBER(SEARCH($AW$104,'Reference Score Calculation'!$P121)),7,5)))))</f>
        <v>7</v>
      </c>
      <c r="BA142" s="415">
        <f>IF(ISNUMBER(SEARCH(BA$112,'Reference Score Calculation'!$O121)),10,IF(ISNUMBER(SEARCH(BA$112,'Reference Score Calculation'!$P121)),7,IF(ISNUMBER(SEARCH(BA$112,'Reference Score Calculation'!$Q121)),5,IF(ISNUMBER(SEARCH($AW$104,'Reference Score Calculation'!$O121)),10,IF(ISNUMBER(SEARCH($AW$104,'Reference Score Calculation'!$P121)),7,5)))))</f>
        <v>5</v>
      </c>
      <c r="BB142" s="415">
        <f>IF(ISNUMBER(SEARCH(BB$112,'Reference Score Calculation'!$O121)),10,IF(ISNUMBER(SEARCH(BB$112,'Reference Score Calculation'!$P121)),7,IF(ISNUMBER(SEARCH(BB$112,'Reference Score Calculation'!$Q121)),5,IF(ISNUMBER(SEARCH($AW$104,'Reference Score Calculation'!$O121)),10,IF(ISNUMBER(SEARCH($AW$104,'Reference Score Calculation'!$P121)),7,5)))))</f>
        <v>10</v>
      </c>
      <c r="BC142" s="415">
        <f>IF(ISNUMBER(SEARCH(BC$112,'Reference Score Calculation'!$O121)),10,IF(ISNUMBER(SEARCH(BC$112,'Reference Score Calculation'!$P121)),7,IF(ISNUMBER(SEARCH(BC$112,'Reference Score Calculation'!$Q121)),5,IF(ISNUMBER(SEARCH($AW$104,'Reference Score Calculation'!$O121)),10,IF(ISNUMBER(SEARCH($AW$104,'Reference Score Calculation'!$P121)),7,5)))))</f>
        <v>7</v>
      </c>
      <c r="BD142" s="415">
        <f>IF(ISNUMBER(SEARCH(BD$112,'Reference Score Calculation'!$O121)),10,IF(ISNUMBER(SEARCH(BD$112,'Reference Score Calculation'!$P121)),7,IF(ISNUMBER(SEARCH(BD$112,'Reference Score Calculation'!$Q121)),5,IF(ISNUMBER(SEARCH($AW$104,'Reference Score Calculation'!$O121)),10,IF(ISNUMBER(SEARCH($AW$104,'Reference Score Calculation'!$P121)),7,5)))))</f>
        <v>10</v>
      </c>
      <c r="BE142" s="415">
        <f>IF(ISNUMBER(SEARCH(BE$112,'Reference Score Calculation'!$O121)),10,IF(ISNUMBER(SEARCH(BE$112,'Reference Score Calculation'!$P121)),7,IF(ISNUMBER(SEARCH(BE$112,'Reference Score Calculation'!$Q121)),5,IF(ISNUMBER(SEARCH($AW$104,'Reference Score Calculation'!$O121)),10,IF(ISNUMBER(SEARCH($AW$104,'Reference Score Calculation'!$P121)),7,5)))))</f>
        <v>5</v>
      </c>
      <c r="BF142" s="415">
        <f>IF(ISNUMBER(SEARCH(BF$112,'Reference Score Calculation'!$O121)),10,IF(ISNUMBER(SEARCH(BF$112,'Reference Score Calculation'!$P121)),7,IF(ISNUMBER(SEARCH(BF$112,'Reference Score Calculation'!$Q121)),5,IF(ISNUMBER(SEARCH($AW$104,'Reference Score Calculation'!$O121)),10,IF(ISNUMBER(SEARCH($AW$104,'Reference Score Calculation'!$P121)),7,5)))))</f>
        <v>5</v>
      </c>
      <c r="BG142" s="415">
        <f>IF(ISNUMBER(SEARCH(BG$112,'Reference Score Calculation'!$O121)),10,IF(ISNUMBER(SEARCH(BG$112,'Reference Score Calculation'!$P121)),7,IF(ISNUMBER(SEARCH(BG$112,'Reference Score Calculation'!$Q121)),5,IF(ISNUMBER(SEARCH($AW$104,'Reference Score Calculation'!$O121)),10,IF(ISNUMBER(SEARCH($AW$104,'Reference Score Calculation'!$P121)),7,5)))))</f>
        <v>5</v>
      </c>
      <c r="BH142" s="415">
        <f>IF(ISNUMBER(SEARCH(BH$112,'Reference Score Calculation'!$O121)),10,IF(ISNUMBER(SEARCH(BH$112,'Reference Score Calculation'!$P121)),7,IF(ISNUMBER(SEARCH(BH$112,'Reference Score Calculation'!$Q121)),5,IF(ISNUMBER(SEARCH($AW$104,'Reference Score Calculation'!$O121)),10,IF(ISNUMBER(SEARCH($AW$104,'Reference Score Calculation'!$P121)),7,5)))))</f>
        <v>7</v>
      </c>
      <c r="BI142" s="415">
        <f>IF(ISNUMBER(SEARCH(BI$112,'Reference Score Calculation'!$O121)),10,IF(ISNUMBER(SEARCH(BI$112,'Reference Score Calculation'!$P121)),7,IF(ISNUMBER(SEARCH(BI$112,'Reference Score Calculation'!$Q121)),5,IF(ISNUMBER(SEARCH($AW$104,'Reference Score Calculation'!$O121)),10,IF(ISNUMBER(SEARCH($AW$104,'Reference Score Calculation'!$P121)),7,5)))))</f>
        <v>5</v>
      </c>
      <c r="BJ142" s="415">
        <f>IF(ISNUMBER(SEARCH(BJ$112,'Reference Score Calculation'!$O121)),10,IF(ISNUMBER(SEARCH(BJ$112,'Reference Score Calculation'!$P121)),7,IF(ISNUMBER(SEARCH(BJ$112,'Reference Score Calculation'!$Q121)),5,IF(ISNUMBER(SEARCH($AW$104,'Reference Score Calculation'!$O121)),10,IF(ISNUMBER(SEARCH($AW$104,'Reference Score Calculation'!$P121)),7,5)))))</f>
        <v>5</v>
      </c>
      <c r="BK142" s="415">
        <f>IF(ISNUMBER(SEARCH(BK$112,'Reference Score Calculation'!$O121)),10,IF(ISNUMBER(SEARCH(BK$112,'Reference Score Calculation'!$P121)),7,IF(ISNUMBER(SEARCH(BK$112,'Reference Score Calculation'!$Q121)),5,IF(ISNUMBER(SEARCH($AW$104,'Reference Score Calculation'!$O121)),10,IF(ISNUMBER(SEARCH($AW$104,'Reference Score Calculation'!$P121)),7,5)))))</f>
        <v>5</v>
      </c>
      <c r="BL142" s="415">
        <f>IF(ISNUMBER(SEARCH(BL$112,'Reference Score Calculation'!$O121)),10,IF(ISNUMBER(SEARCH(BL$112,'Reference Score Calculation'!$P121)),7,IF(ISNUMBER(SEARCH(BL$112,'Reference Score Calculation'!$Q121)),5,IF(ISNUMBER(SEARCH($AW$104,'Reference Score Calculation'!$O121)),10,IF(ISNUMBER(SEARCH($AW$104,'Reference Score Calculation'!$P121)),7,5)))))</f>
        <v>7</v>
      </c>
      <c r="BM142" s="415">
        <f>IF(ISNUMBER(SEARCH(BM$112,'Reference Score Calculation'!$O121)),10,IF(ISNUMBER(SEARCH(BM$112,'Reference Score Calculation'!$P121)),7,IF(ISNUMBER(SEARCH(BM$112,'Reference Score Calculation'!$Q121)),5,IF(ISNUMBER(SEARCH($AW$104,'Reference Score Calculation'!$O121)),10,IF(ISNUMBER(SEARCH("組合科學(任何)",'Reference Score Calculation'!$O121)),10,IF(ISNUMBER(SEARCH("組合科學(任何)",'Reference Score Calculation'!$P121)),7,IF(ISNUMBER(SEARCH("組合科學(任何)",'Reference Score Calculation'!$Q121)),5,IF(ISNUMBER(SEARCH($AW$104,'Reference Score Calculation'!$P121)),7,5))))))))</f>
        <v>7</v>
      </c>
      <c r="BN142" s="415">
        <f>IF(ISNUMBER(SEARCH(BN$112,'Reference Score Calculation'!$O121)),10,IF(ISNUMBER(SEARCH(BN$112,'Reference Score Calculation'!$P121)),7,IF(ISNUMBER(SEARCH(BN$112,'Reference Score Calculation'!$Q121)),5,IF(ISNUMBER(SEARCH($AW$104,'Reference Score Calculation'!$O121)),10,IF(ISNUMBER(SEARCH("組合科學(任何)",'Reference Score Calculation'!$O121)),10,IF(ISNUMBER(SEARCH("組合科學(任何)",'Reference Score Calculation'!$P121)),7,IF(ISNUMBER(SEARCH("組合科學(任何)",'Reference Score Calculation'!$Q121)),5,IF(ISNUMBER(SEARCH($AW$104,'Reference Score Calculation'!$P121)),7,5))))))))</f>
        <v>7</v>
      </c>
      <c r="BO142" s="415">
        <f>IF(ISNUMBER(SEARCH(BO$112,'Reference Score Calculation'!$O121)),10,IF(ISNUMBER(SEARCH(BO$112,'Reference Score Calculation'!$P121)),7,IF(ISNUMBER(SEARCH(BO$112,'Reference Score Calculation'!$Q121)),5,IF(ISNUMBER(SEARCH($AW$104,'Reference Score Calculation'!$O121)),10,IF(ISNUMBER(SEARCH("組合科學(任何)",'Reference Score Calculation'!$O121)),10,IF(ISNUMBER(SEARCH("組合科學(任何)",'Reference Score Calculation'!$P121)),7,IF(ISNUMBER(SEARCH("組合科學(任何)",'Reference Score Calculation'!$Q121)),5,IF(ISNUMBER(SEARCH($AW$104,'Reference Score Calculation'!$P121)),7,5))))))))</f>
        <v>5</v>
      </c>
      <c r="BP142" s="415">
        <f>IF(ISNUMBER(SEARCH(BP$112,'Reference Score Calculation'!$O121)),10,IF(ISNUMBER(SEARCH(BP$112,'Reference Score Calculation'!$P121)),7,IF(ISNUMBER(SEARCH(BP$112,'Reference Score Calculation'!$Q121)),5,IF(ISNUMBER(SEARCH($AW$104,'Reference Score Calculation'!$O121)),10,IF(ISNUMBER(SEARCH($AW$104,'Reference Score Calculation'!$P121)),7,5)))))</f>
        <v>5</v>
      </c>
      <c r="BQ142" s="415">
        <f>IF(ISNUMBER(SEARCH(BQ$112,'Reference Score Calculation'!$O121)),10,IF(ISNUMBER(SEARCH(BQ$112,'Reference Score Calculation'!$P121)),7,IF(ISNUMBER(SEARCH(BQ$112,'Reference Score Calculation'!$Q121)),5,IF(ISNUMBER(SEARCH($AW$104,'Reference Score Calculation'!$O121)),10,IF(ISNUMBER(SEARCH($AW$104,'Reference Score Calculation'!$P121)),7,5)))))</f>
        <v>5</v>
      </c>
      <c r="BR142" s="415">
        <f>IF(ISNUMBER(SEARCH(BR$112,'Reference Score Calculation'!$O121)),10,IF(ISNUMBER(SEARCH(BR$112,'Reference Score Calculation'!$P121)),7,IF(ISNUMBER(SEARCH(BR$112,'Reference Score Calculation'!$Q121)),5,IF(ISNUMBER(SEARCH($AW$104,'Reference Score Calculation'!$O121)),10,IF(ISNUMBER(SEARCH($AW$104,'Reference Score Calculation'!$P121)),7,5)))))</f>
        <v>5</v>
      </c>
      <c r="BS142" s="415">
        <f>IF(ISNUMBER(SEARCH(BS$112,'Reference Score Calculation'!$O121)),10,IF(ISNUMBER(SEARCH(BS$112,'Reference Score Calculation'!$P121)),7,IF(ISNUMBER(SEARCH(BS$112,'Reference Score Calculation'!$Q121)),5,IF(ISNUMBER(SEARCH($AW$104,'Reference Score Calculation'!$O121)),10,IF(ISNUMBER(SEARCH($AW$104,'Reference Score Calculation'!$P121)),7,5)))))</f>
        <v>5</v>
      </c>
      <c r="BT142" s="415">
        <f>IF(ISNUMBER(SEARCH(BT$112,'Reference Score Calculation'!$O121)),10,IF(ISNUMBER(SEARCH(BT$112,'Reference Score Calculation'!$P121)),7,IF(ISNUMBER(SEARCH(BT$112,'Reference Score Calculation'!$Q121)),5,IF(ISNUMBER(SEARCH($AW$104,'Reference Score Calculation'!$O121)),10,IF(ISNUMBER(SEARCH($AW$104,'Reference Score Calculation'!$P121)),7,5)))))</f>
        <v>5</v>
      </c>
      <c r="BU142" s="415">
        <f>IF(ISNUMBER(SEARCH(BU$112,'Reference Score Calculation'!$O121)),10,IF(ISNUMBER(SEARCH(BU$112,'Reference Score Calculation'!$P121)),7,IF(ISNUMBER(SEARCH(BU$112,'Reference Score Calculation'!$Q121)),5,IF(ISNUMBER(SEARCH($AW$104,'Reference Score Calculation'!$O121)),10,IF(ISNUMBER(SEARCH($AW$104,'Reference Score Calculation'!$P121)),7,5)))))</f>
        <v>5</v>
      </c>
      <c r="BV142" s="415">
        <f>IF(ISNUMBER(SEARCH(BV$112,'Reference Score Calculation'!$O121)),10,IF(ISNUMBER(SEARCH(BV$112,'Reference Score Calculation'!$P121)),7,IF(ISNUMBER(SEARCH(BV$112,'Reference Score Calculation'!$Q121)),5,IF(ISNUMBER(SEARCH($AW$104,'Reference Score Calculation'!$O121)),10,IF(ISNUMBER(SEARCH($AW$104,'Reference Score Calculation'!$P121)),7,5)))))</f>
        <v>5</v>
      </c>
      <c r="BW142" s="415">
        <f>IF(ISNUMBER(SEARCH(BW$112,'Reference Score Calculation'!$O121)),10,IF(ISNUMBER(SEARCH(BW$112,'Reference Score Calculation'!$P121)),7,IF(ISNUMBER(SEARCH(BW$112,'Reference Score Calculation'!$Q121)),5,IF(ISNUMBER(SEARCH($AW$104,'Reference Score Calculation'!$O121)),10,IF(ISNUMBER(SEARCH($AW$104,'Reference Score Calculation'!$P121)),7,5)))))</f>
        <v>7</v>
      </c>
      <c r="BX142" s="415">
        <f>IF(ISNUMBER(SEARCH(BX$112,'Reference Score Calculation'!$O121)),10,IF(ISNUMBER(SEARCH(BX$112,'Reference Score Calculation'!$P121)),7,IF(ISNUMBER(SEARCH(BX$112,'Reference Score Calculation'!$Q121)),5,IF(ISNUMBER(SEARCH($AW$104,'Reference Score Calculation'!$O121)),10,IF(ISNUMBER(SEARCH($AW$104,'Reference Score Calculation'!$P121)),7,5)))))</f>
        <v>5</v>
      </c>
      <c r="BY142" s="195"/>
      <c r="BZ142" s="195"/>
      <c r="CA142" s="195"/>
    </row>
    <row r="143" spans="1:79">
      <c r="A143" s="119" t="str">
        <f>'Reference Score Calculation'!A120</f>
        <v>JS3624</v>
      </c>
      <c r="B143" s="119" t="str">
        <f>'Reference Score Calculation'!A120</f>
        <v>JS3624</v>
      </c>
      <c r="C143" s="119" t="str">
        <f>'Reference Score Calculation'!D120</f>
        <v>康復治療科學(榮譽)理學士組合課程 - 職業治療學(榮譽)理學士</v>
      </c>
      <c r="D143" s="2" t="e">
        <f>'Reference Score Calculation'!#REF!</f>
        <v>#REF!</v>
      </c>
      <c r="E143" s="134" t="str">
        <f>'Reference Score Calculation'!E120</f>
        <v>Best 6</v>
      </c>
      <c r="F143" s="134"/>
      <c r="G143" s="119" t="str">
        <f>入學要求!AB129</f>
        <v>v</v>
      </c>
      <c r="H143" s="119" t="str">
        <f>入學要求!AC129</f>
        <v>E</v>
      </c>
      <c r="I143" s="119" t="str">
        <f>入學要求!AD129</f>
        <v>NO</v>
      </c>
      <c r="J143" s="119">
        <f t="shared" si="254"/>
        <v>1.6350000000000001E-8</v>
      </c>
      <c r="K143" s="119">
        <f t="shared" si="260"/>
        <v>10</v>
      </c>
      <c r="L143" s="119">
        <f t="shared" si="260"/>
        <v>10</v>
      </c>
      <c r="M143" s="119">
        <f t="shared" si="260"/>
        <v>7</v>
      </c>
      <c r="N143" s="119">
        <f>IFERROR(INDEX($AW141:$BX141,MATCH(N$1,$AW$113:$BX$113,0)),0)</f>
        <v>7</v>
      </c>
      <c r="O143" s="119">
        <f t="shared" si="261"/>
        <v>7</v>
      </c>
      <c r="P143" s="119">
        <f t="shared" si="261"/>
        <v>0</v>
      </c>
      <c r="Q143" s="119">
        <f t="shared" si="261"/>
        <v>0</v>
      </c>
      <c r="R143" s="119">
        <f t="shared" si="261"/>
        <v>0</v>
      </c>
      <c r="S143" s="119">
        <f t="shared" si="261"/>
        <v>0</v>
      </c>
      <c r="T143" s="119">
        <v>5</v>
      </c>
      <c r="V143" s="119">
        <f t="shared" si="234"/>
        <v>4.0000000000000002E-9</v>
      </c>
      <c r="W143" s="119">
        <f t="shared" si="235"/>
        <v>2.0000000000000001E-9</v>
      </c>
      <c r="X143" s="119">
        <f t="shared" si="236"/>
        <v>2.0999999999999998E-9</v>
      </c>
      <c r="Y143" s="119">
        <f t="shared" si="237"/>
        <v>0</v>
      </c>
      <c r="Z143" s="119">
        <f t="shared" si="238"/>
        <v>3.5000000000000003E-9</v>
      </c>
      <c r="AA143" s="119">
        <f t="shared" si="239"/>
        <v>0</v>
      </c>
      <c r="AB143" s="119">
        <f t="shared" si="240"/>
        <v>0</v>
      </c>
      <c r="AC143" s="119">
        <f t="shared" si="241"/>
        <v>0</v>
      </c>
      <c r="AD143" s="119">
        <f t="shared" si="242"/>
        <v>0</v>
      </c>
      <c r="AE143" s="119">
        <f t="shared" si="243"/>
        <v>4.7500000000000003E-9</v>
      </c>
      <c r="AF143" s="119" t="b">
        <f t="shared" si="262"/>
        <v>1</v>
      </c>
      <c r="AG143" s="119" t="b">
        <f t="shared" si="263"/>
        <v>1</v>
      </c>
      <c r="AH143" s="119" t="b">
        <f t="shared" si="264"/>
        <v>1</v>
      </c>
      <c r="AI143" s="119" t="b">
        <f t="shared" si="265"/>
        <v>0</v>
      </c>
      <c r="AJ143" s="119" t="b">
        <f t="shared" si="266"/>
        <v>1</v>
      </c>
      <c r="AK143" s="119" t="b">
        <f t="shared" si="267"/>
        <v>0</v>
      </c>
      <c r="AL143" s="119" t="b">
        <f t="shared" si="268"/>
        <v>0</v>
      </c>
      <c r="AM143" s="119" t="b">
        <f t="shared" si="269"/>
        <v>0</v>
      </c>
      <c r="AN143" s="119" t="b">
        <f t="shared" si="270"/>
        <v>0</v>
      </c>
      <c r="AO143" s="119" t="b">
        <f t="shared" si="271"/>
        <v>1</v>
      </c>
      <c r="AQ143" s="2"/>
      <c r="AR143" s="2"/>
      <c r="AS143" s="2"/>
      <c r="AT143" s="195"/>
      <c r="AU143" s="195" t="str">
        <f>'Reference Score Calculation'!A122</f>
        <v>JS3648</v>
      </c>
      <c r="AV143" s="195"/>
      <c r="AW143" s="415">
        <f>IF(ISNUMBER(SEARCH(AW$112,'Reference Score Calculation'!$O122)),10,IF(ISNUMBER(SEARCH(AW$112,'Reference Score Calculation'!$P122)),7,IF(ISNUMBER(SEARCH(AW$112,'Reference Score Calculation'!$Q122)),5,IF(ISNUMBER(SEARCH($AW$104,'Reference Score Calculation'!$O122)),10,IF(ISNUMBER(SEARCH($AW$104,'Reference Score Calculation'!$P122)),7,5)))))</f>
        <v>10</v>
      </c>
      <c r="AX143" s="415">
        <f>IF(ISNUMBER(SEARCH(AX$112,'Reference Score Calculation'!$O122)),10,IF(ISNUMBER(SEARCH(AX$112,'Reference Score Calculation'!$P122)),7,IF(ISNUMBER(SEARCH(AX$112,'Reference Score Calculation'!$Q122)),5,IF(ISNUMBER(SEARCH($AW$104,'Reference Score Calculation'!$O122)),10,IF(ISNUMBER(SEARCH($AW$104,'Reference Score Calculation'!$P122)),7,5)))))</f>
        <v>10</v>
      </c>
      <c r="AY143" s="415">
        <f>IF(ISNUMBER(SEARCH(AY$112,'Reference Score Calculation'!$O122)),10,IF(ISNUMBER(SEARCH(AY$112,'Reference Score Calculation'!$P122)),7,IF(ISNUMBER(SEARCH(AY$112,'Reference Score Calculation'!$Q122)),5,IF(ISNUMBER(SEARCH($AW$104,'Reference Score Calculation'!$O122)),10,IF(ISNUMBER(SEARCH($AW$104,'Reference Score Calculation'!$P122)),7,5)))))</f>
        <v>10</v>
      </c>
      <c r="AZ143" s="415">
        <f>IF(ISNUMBER(SEARCH(AZ$112,'Reference Score Calculation'!$O122)),10,IF(ISNUMBER(SEARCH(AZ$112,'Reference Score Calculation'!$P122)),7,IF(ISNUMBER(SEARCH(AZ$112,'Reference Score Calculation'!$Q122)),5,IF(ISNUMBER(SEARCH($AW$104,'Reference Score Calculation'!$O122)),10,IF(ISNUMBER(SEARCH($AW$104,'Reference Score Calculation'!$P122)),7,5)))))</f>
        <v>10</v>
      </c>
      <c r="BA143" s="415">
        <f>IF(ISNUMBER(SEARCH(BA$112,'Reference Score Calculation'!$O122)),10,IF(ISNUMBER(SEARCH(BA$112,'Reference Score Calculation'!$P122)),7,IF(ISNUMBER(SEARCH(BA$112,'Reference Score Calculation'!$Q122)),5,IF(ISNUMBER(SEARCH($AW$104,'Reference Score Calculation'!$O122)),10,IF(ISNUMBER(SEARCH($AW$104,'Reference Score Calculation'!$P122)),7,5)))))</f>
        <v>7</v>
      </c>
      <c r="BB143" s="415">
        <f>IF(ISNUMBER(SEARCH(BB$112,'Reference Score Calculation'!$O122)),10,IF(ISNUMBER(SEARCH(BB$112,'Reference Score Calculation'!$P122)),7,IF(ISNUMBER(SEARCH(BB$112,'Reference Score Calculation'!$Q122)),5,IF(ISNUMBER(SEARCH($AW$104,'Reference Score Calculation'!$O122)),10,IF(ISNUMBER(SEARCH($AW$104,'Reference Score Calculation'!$P122)),7,5)))))</f>
        <v>10</v>
      </c>
      <c r="BC143" s="415">
        <f>IF(ISNUMBER(SEARCH(BC$112,'Reference Score Calculation'!$O122)),10,IF(ISNUMBER(SEARCH(BC$112,'Reference Score Calculation'!$P122)),7,IF(ISNUMBER(SEARCH(BC$112,'Reference Score Calculation'!$Q122)),5,IF(ISNUMBER(SEARCH($AW$104,'Reference Score Calculation'!$O122)),10,IF(ISNUMBER(SEARCH($AW$104,'Reference Score Calculation'!$P122)),7,5)))))</f>
        <v>10</v>
      </c>
      <c r="BD143" s="415">
        <f>IF(ISNUMBER(SEARCH(BD$112,'Reference Score Calculation'!$O122)),10,IF(ISNUMBER(SEARCH(BD$112,'Reference Score Calculation'!$P122)),7,IF(ISNUMBER(SEARCH(BD$112,'Reference Score Calculation'!$Q122)),5,IF(ISNUMBER(SEARCH($AW$104,'Reference Score Calculation'!$O122)),10,IF(ISNUMBER(SEARCH($AW$104,'Reference Score Calculation'!$P122)),7,5)))))</f>
        <v>10</v>
      </c>
      <c r="BE143" s="415">
        <f>IF(ISNUMBER(SEARCH(BE$112,'Reference Score Calculation'!$O122)),10,IF(ISNUMBER(SEARCH(BE$112,'Reference Score Calculation'!$P122)),7,IF(ISNUMBER(SEARCH(BE$112,'Reference Score Calculation'!$Q122)),5,IF(ISNUMBER(SEARCH($AW$104,'Reference Score Calculation'!$O122)),10,IF(ISNUMBER(SEARCH($AW$104,'Reference Score Calculation'!$P122)),7,5)))))</f>
        <v>7</v>
      </c>
      <c r="BF143" s="415">
        <f>IF(ISNUMBER(SEARCH(BF$112,'Reference Score Calculation'!$O122)),10,IF(ISNUMBER(SEARCH(BF$112,'Reference Score Calculation'!$P122)),7,IF(ISNUMBER(SEARCH(BF$112,'Reference Score Calculation'!$Q122)),5,IF(ISNUMBER(SEARCH($AW$104,'Reference Score Calculation'!$O122)),10,IF(ISNUMBER(SEARCH($AW$104,'Reference Score Calculation'!$P122)),7,5)))))</f>
        <v>7</v>
      </c>
      <c r="BG143" s="415">
        <f>IF(ISNUMBER(SEARCH(BG$112,'Reference Score Calculation'!$O122)),10,IF(ISNUMBER(SEARCH(BG$112,'Reference Score Calculation'!$P122)),7,IF(ISNUMBER(SEARCH(BG$112,'Reference Score Calculation'!$Q122)),5,IF(ISNUMBER(SEARCH($AW$104,'Reference Score Calculation'!$O122)),10,IF(ISNUMBER(SEARCH($AW$104,'Reference Score Calculation'!$P122)),7,5)))))</f>
        <v>7</v>
      </c>
      <c r="BH143" s="415">
        <f>IF(ISNUMBER(SEARCH(BH$112,'Reference Score Calculation'!$O122)),10,IF(ISNUMBER(SEARCH(BH$112,'Reference Score Calculation'!$P122)),7,IF(ISNUMBER(SEARCH(BH$112,'Reference Score Calculation'!$Q122)),5,IF(ISNUMBER(SEARCH($AW$104,'Reference Score Calculation'!$O122)),10,IF(ISNUMBER(SEARCH($AW$104,'Reference Score Calculation'!$P122)),7,5)))))</f>
        <v>7</v>
      </c>
      <c r="BI143" s="415">
        <f>IF(ISNUMBER(SEARCH(BI$112,'Reference Score Calculation'!$O122)),10,IF(ISNUMBER(SEARCH(BI$112,'Reference Score Calculation'!$P122)),7,IF(ISNUMBER(SEARCH(BI$112,'Reference Score Calculation'!$Q122)),5,IF(ISNUMBER(SEARCH($AW$104,'Reference Score Calculation'!$O122)),10,IF(ISNUMBER(SEARCH($AW$104,'Reference Score Calculation'!$P122)),7,5)))))</f>
        <v>7</v>
      </c>
      <c r="BJ143" s="415">
        <f>IF(ISNUMBER(SEARCH(BJ$112,'Reference Score Calculation'!$O122)),10,IF(ISNUMBER(SEARCH(BJ$112,'Reference Score Calculation'!$P122)),7,IF(ISNUMBER(SEARCH(BJ$112,'Reference Score Calculation'!$Q122)),5,IF(ISNUMBER(SEARCH($AW$104,'Reference Score Calculation'!$O122)),10,IF(ISNUMBER(SEARCH($AW$104,'Reference Score Calculation'!$P122)),7,5)))))</f>
        <v>7</v>
      </c>
      <c r="BK143" s="415">
        <f>IF(ISNUMBER(SEARCH(BK$112,'Reference Score Calculation'!$O122)),10,IF(ISNUMBER(SEARCH(BK$112,'Reference Score Calculation'!$P122)),7,IF(ISNUMBER(SEARCH(BK$112,'Reference Score Calculation'!$Q122)),5,IF(ISNUMBER(SEARCH($AW$104,'Reference Score Calculation'!$O122)),10,IF(ISNUMBER(SEARCH($AW$104,'Reference Score Calculation'!$P122)),7,5)))))</f>
        <v>7</v>
      </c>
      <c r="BL143" s="415">
        <f>IF(ISNUMBER(SEARCH(BL$112,'Reference Score Calculation'!$O122)),10,IF(ISNUMBER(SEARCH(BL$112,'Reference Score Calculation'!$P122)),7,IF(ISNUMBER(SEARCH(BL$112,'Reference Score Calculation'!$Q122)),5,IF(ISNUMBER(SEARCH($AW$104,'Reference Score Calculation'!$O122)),10,IF(ISNUMBER(SEARCH($AW$104,'Reference Score Calculation'!$P122)),7,5)))))</f>
        <v>7</v>
      </c>
      <c r="BM143" s="415">
        <f>IF(ISNUMBER(SEARCH(BM$112,'Reference Score Calculation'!$O122)),10,IF(ISNUMBER(SEARCH(BM$112,'Reference Score Calculation'!$P122)),7,IF(ISNUMBER(SEARCH(BM$112,'Reference Score Calculation'!$Q122)),5,IF(ISNUMBER(SEARCH($AW$104,'Reference Score Calculation'!$O122)),10,IF(ISNUMBER(SEARCH("組合科學(任何)",'Reference Score Calculation'!$O122)),10,IF(ISNUMBER(SEARCH("組合科學(任何)",'Reference Score Calculation'!$P122)),7,IF(ISNUMBER(SEARCH("組合科學(任何)",'Reference Score Calculation'!$Q122)),5,IF(ISNUMBER(SEARCH($AW$104,'Reference Score Calculation'!$P122)),7,5))))))))</f>
        <v>7</v>
      </c>
      <c r="BN143" s="415">
        <f>IF(ISNUMBER(SEARCH(BN$112,'Reference Score Calculation'!$O122)),10,IF(ISNUMBER(SEARCH(BN$112,'Reference Score Calculation'!$P122)),7,IF(ISNUMBER(SEARCH(BN$112,'Reference Score Calculation'!$Q122)),5,IF(ISNUMBER(SEARCH($AW$104,'Reference Score Calculation'!$O122)),10,IF(ISNUMBER(SEARCH("組合科學(任何)",'Reference Score Calculation'!$O122)),10,IF(ISNUMBER(SEARCH("組合科學(任何)",'Reference Score Calculation'!$P122)),7,IF(ISNUMBER(SEARCH("組合科學(任何)",'Reference Score Calculation'!$Q122)),5,IF(ISNUMBER(SEARCH($AW$104,'Reference Score Calculation'!$P122)),7,5))))))))</f>
        <v>10</v>
      </c>
      <c r="BO143" s="415">
        <f>IF(ISNUMBER(SEARCH(BO$112,'Reference Score Calculation'!$O122)),10,IF(ISNUMBER(SEARCH(BO$112,'Reference Score Calculation'!$P122)),7,IF(ISNUMBER(SEARCH(BO$112,'Reference Score Calculation'!$Q122)),5,IF(ISNUMBER(SEARCH($AW$104,'Reference Score Calculation'!$O122)),10,IF(ISNUMBER(SEARCH("組合科學(任何)",'Reference Score Calculation'!$O122)),10,IF(ISNUMBER(SEARCH("組合科學(任何)",'Reference Score Calculation'!$P122)),7,IF(ISNUMBER(SEARCH("組合科學(任何)",'Reference Score Calculation'!$Q122)),5,IF(ISNUMBER(SEARCH($AW$104,'Reference Score Calculation'!$P122)),7,5))))))))</f>
        <v>10</v>
      </c>
      <c r="BP143" s="415">
        <f>IF(ISNUMBER(SEARCH(BP$112,'Reference Score Calculation'!$O122)),10,IF(ISNUMBER(SEARCH(BP$112,'Reference Score Calculation'!$P122)),7,IF(ISNUMBER(SEARCH(BP$112,'Reference Score Calculation'!$Q122)),5,IF(ISNUMBER(SEARCH($AW$104,'Reference Score Calculation'!$O122)),10,IF(ISNUMBER(SEARCH($AW$104,'Reference Score Calculation'!$P122)),7,5)))))</f>
        <v>7</v>
      </c>
      <c r="BQ143" s="415">
        <f>IF(ISNUMBER(SEARCH(BQ$112,'Reference Score Calculation'!$O122)),10,IF(ISNUMBER(SEARCH(BQ$112,'Reference Score Calculation'!$P122)),7,IF(ISNUMBER(SEARCH(BQ$112,'Reference Score Calculation'!$Q122)),5,IF(ISNUMBER(SEARCH($AW$104,'Reference Score Calculation'!$O122)),10,IF(ISNUMBER(SEARCH($AW$104,'Reference Score Calculation'!$P122)),7,5)))))</f>
        <v>7</v>
      </c>
      <c r="BR143" s="415">
        <f>IF(ISNUMBER(SEARCH(BR$112,'Reference Score Calculation'!$O122)),10,IF(ISNUMBER(SEARCH(BR$112,'Reference Score Calculation'!$P122)),7,IF(ISNUMBER(SEARCH(BR$112,'Reference Score Calculation'!$Q122)),5,IF(ISNUMBER(SEARCH($AW$104,'Reference Score Calculation'!$O122)),10,IF(ISNUMBER(SEARCH($AW$104,'Reference Score Calculation'!$P122)),7,5)))))</f>
        <v>7</v>
      </c>
      <c r="BS143" s="415">
        <f>IF(ISNUMBER(SEARCH(BS$112,'Reference Score Calculation'!$O122)),10,IF(ISNUMBER(SEARCH(BS$112,'Reference Score Calculation'!$P122)),7,IF(ISNUMBER(SEARCH(BS$112,'Reference Score Calculation'!$Q122)),5,IF(ISNUMBER(SEARCH($AW$104,'Reference Score Calculation'!$O122)),10,IF(ISNUMBER(SEARCH($AW$104,'Reference Score Calculation'!$P122)),7,5)))))</f>
        <v>7</v>
      </c>
      <c r="BT143" s="415">
        <f>IF(ISNUMBER(SEARCH(BT$112,'Reference Score Calculation'!$O122)),10,IF(ISNUMBER(SEARCH(BT$112,'Reference Score Calculation'!$P122)),7,IF(ISNUMBER(SEARCH(BT$112,'Reference Score Calculation'!$Q122)),5,IF(ISNUMBER(SEARCH($AW$104,'Reference Score Calculation'!$O122)),10,IF(ISNUMBER(SEARCH($AW$104,'Reference Score Calculation'!$P122)),7,5)))))</f>
        <v>7</v>
      </c>
      <c r="BU143" s="415">
        <f>IF(ISNUMBER(SEARCH(BU$112,'Reference Score Calculation'!$O122)),10,IF(ISNUMBER(SEARCH(BU$112,'Reference Score Calculation'!$P122)),7,IF(ISNUMBER(SEARCH(BU$112,'Reference Score Calculation'!$Q122)),5,IF(ISNUMBER(SEARCH($AW$104,'Reference Score Calculation'!$O122)),10,IF(ISNUMBER(SEARCH($AW$104,'Reference Score Calculation'!$P122)),7,5)))))</f>
        <v>7</v>
      </c>
      <c r="BV143" s="415">
        <f>IF(ISNUMBER(SEARCH(BV$112,'Reference Score Calculation'!$O122)),10,IF(ISNUMBER(SEARCH(BV$112,'Reference Score Calculation'!$P122)),7,IF(ISNUMBER(SEARCH(BV$112,'Reference Score Calculation'!$Q122)),5,IF(ISNUMBER(SEARCH($AW$104,'Reference Score Calculation'!$O122)),10,IF(ISNUMBER(SEARCH($AW$104,'Reference Score Calculation'!$P122)),7,5)))))</f>
        <v>7</v>
      </c>
      <c r="BW143" s="415">
        <f>IF(ISNUMBER(SEARCH(BW$112,'Reference Score Calculation'!$O122)),10,IF(ISNUMBER(SEARCH(BW$112,'Reference Score Calculation'!$P122)),7,IF(ISNUMBER(SEARCH(BW$112,'Reference Score Calculation'!$Q122)),5,IF(ISNUMBER(SEARCH($AW$104,'Reference Score Calculation'!$O122)),10,IF(ISNUMBER(SEARCH($AW$104,'Reference Score Calculation'!$P122)),7,5)))))</f>
        <v>7</v>
      </c>
      <c r="BX143" s="415">
        <f>IF(ISNUMBER(SEARCH(BX$112,'Reference Score Calculation'!$O122)),10,IF(ISNUMBER(SEARCH(BX$112,'Reference Score Calculation'!$P122)),7,IF(ISNUMBER(SEARCH(BX$112,'Reference Score Calculation'!$Q122)),5,IF(ISNUMBER(SEARCH($AW$104,'Reference Score Calculation'!$O122)),10,IF(ISNUMBER(SEARCH($AW$104,'Reference Score Calculation'!$P122)),7,5)))))</f>
        <v>7</v>
      </c>
      <c r="BY143" s="195"/>
      <c r="BZ143" s="195"/>
      <c r="CA143" s="195"/>
    </row>
    <row r="144" spans="1:79">
      <c r="A144" s="119" t="str">
        <f>'Reference Score Calculation'!A121</f>
        <v>JS3636</v>
      </c>
      <c r="B144" s="119" t="str">
        <f>'Reference Score Calculation'!A121</f>
        <v>JS3636</v>
      </c>
      <c r="C144" s="119" t="str">
        <f>'Reference Score Calculation'!D121</f>
        <v>康復治療科學(榮譽)理學士組合課程 - 物理治療學(榮譽)理學士</v>
      </c>
      <c r="D144" s="2" t="e">
        <f>'Reference Score Calculation'!#REF!</f>
        <v>#REF!</v>
      </c>
      <c r="E144" s="134" t="str">
        <f>'Reference Score Calculation'!E121</f>
        <v>Best 6</v>
      </c>
      <c r="F144" s="134"/>
      <c r="G144" s="119" t="str">
        <f>入學要求!AB130</f>
        <v>v</v>
      </c>
      <c r="H144" s="119" t="str">
        <f>入學要求!AC130</f>
        <v>E</v>
      </c>
      <c r="I144" s="119" t="str">
        <f>入學要求!AD130</f>
        <v>NO</v>
      </c>
      <c r="J144" s="119">
        <f t="shared" si="254"/>
        <v>1.5349999999999998E-8</v>
      </c>
      <c r="K144" s="119">
        <f t="shared" si="260"/>
        <v>10</v>
      </c>
      <c r="L144" s="119">
        <f t="shared" si="260"/>
        <v>10</v>
      </c>
      <c r="M144" s="119">
        <f t="shared" si="260"/>
        <v>7</v>
      </c>
      <c r="N144" s="119">
        <f>IFERROR(INDEX($AW142:$BX142,MATCH(N$1,$AW$113:$BX$113,0)),0)</f>
        <v>7</v>
      </c>
      <c r="O144" s="119">
        <f t="shared" si="261"/>
        <v>5</v>
      </c>
      <c r="P144" s="119">
        <f t="shared" si="261"/>
        <v>0</v>
      </c>
      <c r="Q144" s="119">
        <f t="shared" si="261"/>
        <v>0</v>
      </c>
      <c r="R144" s="119">
        <f t="shared" si="261"/>
        <v>0</v>
      </c>
      <c r="S144" s="119">
        <f t="shared" si="261"/>
        <v>0</v>
      </c>
      <c r="T144" s="119">
        <v>5</v>
      </c>
      <c r="V144" s="119">
        <f t="shared" si="234"/>
        <v>4.0000000000000002E-9</v>
      </c>
      <c r="W144" s="119">
        <f t="shared" si="235"/>
        <v>2.0000000000000001E-9</v>
      </c>
      <c r="X144" s="119">
        <f t="shared" si="236"/>
        <v>2.0999999999999998E-9</v>
      </c>
      <c r="Y144" s="119">
        <f t="shared" si="237"/>
        <v>0</v>
      </c>
      <c r="Z144" s="119">
        <f t="shared" si="238"/>
        <v>2.5000000000000001E-9</v>
      </c>
      <c r="AA144" s="119">
        <f t="shared" si="239"/>
        <v>0</v>
      </c>
      <c r="AB144" s="119">
        <f t="shared" si="240"/>
        <v>0</v>
      </c>
      <c r="AC144" s="119">
        <f t="shared" si="241"/>
        <v>0</v>
      </c>
      <c r="AD144" s="119">
        <f t="shared" si="242"/>
        <v>0</v>
      </c>
      <c r="AE144" s="119">
        <f t="shared" si="243"/>
        <v>4.7500000000000003E-9</v>
      </c>
      <c r="AF144" s="119" t="b">
        <f t="shared" si="262"/>
        <v>1</v>
      </c>
      <c r="AG144" s="119" t="b">
        <f t="shared" si="263"/>
        <v>1</v>
      </c>
      <c r="AH144" s="119" t="b">
        <f t="shared" si="264"/>
        <v>1</v>
      </c>
      <c r="AI144" s="119" t="b">
        <f t="shared" si="265"/>
        <v>0</v>
      </c>
      <c r="AJ144" s="119" t="b">
        <f t="shared" si="266"/>
        <v>1</v>
      </c>
      <c r="AK144" s="119" t="b">
        <f t="shared" si="267"/>
        <v>0</v>
      </c>
      <c r="AL144" s="119" t="b">
        <f t="shared" si="268"/>
        <v>0</v>
      </c>
      <c r="AM144" s="119" t="b">
        <f t="shared" si="269"/>
        <v>0</v>
      </c>
      <c r="AN144" s="119" t="b">
        <f t="shared" si="270"/>
        <v>0</v>
      </c>
      <c r="AO144" s="119" t="b">
        <f t="shared" si="271"/>
        <v>1</v>
      </c>
      <c r="AQ144" s="2"/>
      <c r="AR144" s="2"/>
      <c r="AS144" s="2"/>
      <c r="AT144" s="195"/>
      <c r="AU144" s="195" t="str">
        <f>'Reference Score Calculation'!A123</f>
        <v>JS3741</v>
      </c>
      <c r="AV144" s="195"/>
      <c r="AW144" s="415">
        <f>IF(ISNUMBER(SEARCH(AW$112,'Reference Score Calculation'!$O123)),10,IF(ISNUMBER(SEARCH(AW$112,'Reference Score Calculation'!$P123)),7,IF(ISNUMBER(SEARCH(AW$112,'Reference Score Calculation'!$Q123)),5,IF(ISNUMBER(SEARCH($AW$104,'Reference Score Calculation'!$O123)),10,IF(ISNUMBER(SEARCH($AW$104,'Reference Score Calculation'!$P123)),7,5)))))</f>
        <v>7</v>
      </c>
      <c r="AX144" s="415">
        <f>IF(ISNUMBER(SEARCH(AX$112,'Reference Score Calculation'!$O123)),10,IF(ISNUMBER(SEARCH(AX$112,'Reference Score Calculation'!$P123)),7,IF(ISNUMBER(SEARCH(AX$112,'Reference Score Calculation'!$Q123)),5,IF(ISNUMBER(SEARCH($AW$104,'Reference Score Calculation'!$O123)),10,IF(ISNUMBER(SEARCH($AW$104,'Reference Score Calculation'!$P123)),7,5)))))</f>
        <v>10</v>
      </c>
      <c r="AY144" s="415">
        <f>IF(ISNUMBER(SEARCH(AY$112,'Reference Score Calculation'!$O123)),10,IF(ISNUMBER(SEARCH(AY$112,'Reference Score Calculation'!$P123)),7,IF(ISNUMBER(SEARCH(AY$112,'Reference Score Calculation'!$Q123)),5,IF(ISNUMBER(SEARCH($AW$104,'Reference Score Calculation'!$O123)),10,IF(ISNUMBER(SEARCH($AW$104,'Reference Score Calculation'!$P123)),7,5)))))</f>
        <v>10</v>
      </c>
      <c r="AZ144" s="415">
        <f>IF(ISNUMBER(SEARCH(AZ$112,'Reference Score Calculation'!$O123)),10,IF(ISNUMBER(SEARCH(AZ$112,'Reference Score Calculation'!$P123)),7,IF(ISNUMBER(SEARCH(AZ$112,'Reference Score Calculation'!$Q123)),5,IF(ISNUMBER(SEARCH($AW$104,'Reference Score Calculation'!$O123)),10,IF(ISNUMBER(SEARCH($AW$104,'Reference Score Calculation'!$P123)),7,5)))))</f>
        <v>7</v>
      </c>
      <c r="BA144" s="415">
        <f>IF(ISNUMBER(SEARCH(BA$112,'Reference Score Calculation'!$O123)),10,IF(ISNUMBER(SEARCH(BA$112,'Reference Score Calculation'!$P123)),7,IF(ISNUMBER(SEARCH(BA$112,'Reference Score Calculation'!$Q123)),5,IF(ISNUMBER(SEARCH($AW$104,'Reference Score Calculation'!$O123)),10,IF(ISNUMBER(SEARCH($AW$104,'Reference Score Calculation'!$P123)),7,5)))))</f>
        <v>10</v>
      </c>
      <c r="BB144" s="415">
        <f>IF(ISNUMBER(SEARCH(BB$112,'Reference Score Calculation'!$O123)),10,IF(ISNUMBER(SEARCH(BB$112,'Reference Score Calculation'!$P123)),7,IF(ISNUMBER(SEARCH(BB$112,'Reference Score Calculation'!$Q123)),5,IF(ISNUMBER(SEARCH($AW$104,'Reference Score Calculation'!$O123)),10,IF(ISNUMBER(SEARCH($AW$104,'Reference Score Calculation'!$P123)),7,5)))))</f>
        <v>10</v>
      </c>
      <c r="BC144" s="415">
        <f>IF(ISNUMBER(SEARCH(BC$112,'Reference Score Calculation'!$O123)),10,IF(ISNUMBER(SEARCH(BC$112,'Reference Score Calculation'!$P123)),7,IF(ISNUMBER(SEARCH(BC$112,'Reference Score Calculation'!$Q123)),5,IF(ISNUMBER(SEARCH($AW$104,'Reference Score Calculation'!$O123)),10,IF(ISNUMBER(SEARCH($AW$104,'Reference Score Calculation'!$P123)),7,5)))))</f>
        <v>10</v>
      </c>
      <c r="BD144" s="415">
        <f>IF(ISNUMBER(SEARCH(BD$112,'Reference Score Calculation'!$O123)),10,IF(ISNUMBER(SEARCH(BD$112,'Reference Score Calculation'!$P123)),7,IF(ISNUMBER(SEARCH(BD$112,'Reference Score Calculation'!$Q123)),5,IF(ISNUMBER(SEARCH($AW$104,'Reference Score Calculation'!$O123)),10,IF(ISNUMBER(SEARCH($AW$104,'Reference Score Calculation'!$P123)),7,5)))))</f>
        <v>10</v>
      </c>
      <c r="BE144" s="415">
        <f>IF(ISNUMBER(SEARCH(BE$112,'Reference Score Calculation'!$O123)),10,IF(ISNUMBER(SEARCH(BE$112,'Reference Score Calculation'!$P123)),7,IF(ISNUMBER(SEARCH(BE$112,'Reference Score Calculation'!$Q123)),5,IF(ISNUMBER(SEARCH($AW$104,'Reference Score Calculation'!$O123)),10,IF(ISNUMBER(SEARCH($AW$104,'Reference Score Calculation'!$P123)),7,5)))))</f>
        <v>5</v>
      </c>
      <c r="BF144" s="415">
        <f>IF(ISNUMBER(SEARCH(BF$112,'Reference Score Calculation'!$O123)),10,IF(ISNUMBER(SEARCH(BF$112,'Reference Score Calculation'!$P123)),7,IF(ISNUMBER(SEARCH(BF$112,'Reference Score Calculation'!$Q123)),5,IF(ISNUMBER(SEARCH($AW$104,'Reference Score Calculation'!$O123)),10,IF(ISNUMBER(SEARCH($AW$104,'Reference Score Calculation'!$P123)),7,5)))))</f>
        <v>5</v>
      </c>
      <c r="BG144" s="415">
        <f>IF(ISNUMBER(SEARCH(BG$112,'Reference Score Calculation'!$O123)),10,IF(ISNUMBER(SEARCH(BG$112,'Reference Score Calculation'!$P123)),7,IF(ISNUMBER(SEARCH(BG$112,'Reference Score Calculation'!$Q123)),5,IF(ISNUMBER(SEARCH($AW$104,'Reference Score Calculation'!$O123)),10,IF(ISNUMBER(SEARCH($AW$104,'Reference Score Calculation'!$P123)),7,5)))))</f>
        <v>5</v>
      </c>
      <c r="BH144" s="415">
        <f>IF(ISNUMBER(SEARCH(BH$112,'Reference Score Calculation'!$O123)),10,IF(ISNUMBER(SEARCH(BH$112,'Reference Score Calculation'!$P123)),7,IF(ISNUMBER(SEARCH(BH$112,'Reference Score Calculation'!$Q123)),5,IF(ISNUMBER(SEARCH($AW$104,'Reference Score Calculation'!$O123)),10,IF(ISNUMBER(SEARCH($AW$104,'Reference Score Calculation'!$P123)),7,5)))))</f>
        <v>5</v>
      </c>
      <c r="BI144" s="415">
        <f>IF(ISNUMBER(SEARCH(BI$112,'Reference Score Calculation'!$O123)),10,IF(ISNUMBER(SEARCH(BI$112,'Reference Score Calculation'!$P123)),7,IF(ISNUMBER(SEARCH(BI$112,'Reference Score Calculation'!$Q123)),5,IF(ISNUMBER(SEARCH($AW$104,'Reference Score Calculation'!$O123)),10,IF(ISNUMBER(SEARCH($AW$104,'Reference Score Calculation'!$P123)),7,5)))))</f>
        <v>5</v>
      </c>
      <c r="BJ144" s="415">
        <f>IF(ISNUMBER(SEARCH(BJ$112,'Reference Score Calculation'!$O123)),10,IF(ISNUMBER(SEARCH(BJ$112,'Reference Score Calculation'!$P123)),7,IF(ISNUMBER(SEARCH(BJ$112,'Reference Score Calculation'!$Q123)),5,IF(ISNUMBER(SEARCH($AW$104,'Reference Score Calculation'!$O123)),10,IF(ISNUMBER(SEARCH($AW$104,'Reference Score Calculation'!$P123)),7,5)))))</f>
        <v>5</v>
      </c>
      <c r="BK144" s="415">
        <f>IF(ISNUMBER(SEARCH(BK$112,'Reference Score Calculation'!$O123)),10,IF(ISNUMBER(SEARCH(BK$112,'Reference Score Calculation'!$P123)),7,IF(ISNUMBER(SEARCH(BK$112,'Reference Score Calculation'!$Q123)),5,IF(ISNUMBER(SEARCH($AW$104,'Reference Score Calculation'!$O123)),10,IF(ISNUMBER(SEARCH($AW$104,'Reference Score Calculation'!$P123)),7,5)))))</f>
        <v>5</v>
      </c>
      <c r="BL144" s="415">
        <f>IF(ISNUMBER(SEARCH(BL$112,'Reference Score Calculation'!$O123)),10,IF(ISNUMBER(SEARCH(BL$112,'Reference Score Calculation'!$P123)),7,IF(ISNUMBER(SEARCH(BL$112,'Reference Score Calculation'!$Q123)),5,IF(ISNUMBER(SEARCH($AW$104,'Reference Score Calculation'!$O123)),10,IF(ISNUMBER(SEARCH($AW$104,'Reference Score Calculation'!$P123)),7,5)))))</f>
        <v>5</v>
      </c>
      <c r="BM144" s="415">
        <f>IF(ISNUMBER(SEARCH(BM$112,'Reference Score Calculation'!$O123)),10,IF(ISNUMBER(SEARCH(BM$112,'Reference Score Calculation'!$P123)),7,IF(ISNUMBER(SEARCH(BM$112,'Reference Score Calculation'!$Q123)),5,IF(ISNUMBER(SEARCH($AW$104,'Reference Score Calculation'!$O123)),10,IF(ISNUMBER(SEARCH("組合科學(任何)",'Reference Score Calculation'!$O123)),10,IF(ISNUMBER(SEARCH("組合科學(任何)",'Reference Score Calculation'!$P123)),7,IF(ISNUMBER(SEARCH("組合科學(任何)",'Reference Score Calculation'!$Q123)),5,IF(ISNUMBER(SEARCH($AW$104,'Reference Score Calculation'!$P123)),7,5))))))))</f>
        <v>10</v>
      </c>
      <c r="BN144" s="415">
        <f>IF(ISNUMBER(SEARCH(BN$112,'Reference Score Calculation'!$O123)),10,IF(ISNUMBER(SEARCH(BN$112,'Reference Score Calculation'!$P123)),7,IF(ISNUMBER(SEARCH(BN$112,'Reference Score Calculation'!$Q123)),5,IF(ISNUMBER(SEARCH($AW$104,'Reference Score Calculation'!$O123)),10,IF(ISNUMBER(SEARCH("組合科學(任何)",'Reference Score Calculation'!$O123)),10,IF(ISNUMBER(SEARCH("組合科學(任何)",'Reference Score Calculation'!$P123)),7,IF(ISNUMBER(SEARCH("組合科學(任何)",'Reference Score Calculation'!$Q123)),5,IF(ISNUMBER(SEARCH($AW$104,'Reference Score Calculation'!$P123)),7,5))))))))</f>
        <v>10</v>
      </c>
      <c r="BO144" s="415">
        <f>IF(ISNUMBER(SEARCH(BO$112,'Reference Score Calculation'!$O123)),10,IF(ISNUMBER(SEARCH(BO$112,'Reference Score Calculation'!$P123)),7,IF(ISNUMBER(SEARCH(BO$112,'Reference Score Calculation'!$Q123)),5,IF(ISNUMBER(SEARCH($AW$104,'Reference Score Calculation'!$O123)),10,IF(ISNUMBER(SEARCH("組合科學(任何)",'Reference Score Calculation'!$O123)),10,IF(ISNUMBER(SEARCH("組合科學(任何)",'Reference Score Calculation'!$P123)),7,IF(ISNUMBER(SEARCH("組合科學(任何)",'Reference Score Calculation'!$Q123)),5,IF(ISNUMBER(SEARCH($AW$104,'Reference Score Calculation'!$P123)),7,5))))))))</f>
        <v>10</v>
      </c>
      <c r="BP144" s="415">
        <f>IF(ISNUMBER(SEARCH(BP$112,'Reference Score Calculation'!$O123)),10,IF(ISNUMBER(SEARCH(BP$112,'Reference Score Calculation'!$P123)),7,IF(ISNUMBER(SEARCH(BP$112,'Reference Score Calculation'!$Q123)),5,IF(ISNUMBER(SEARCH($AW$104,'Reference Score Calculation'!$O123)),10,IF(ISNUMBER(SEARCH($AW$104,'Reference Score Calculation'!$P123)),7,5)))))</f>
        <v>5</v>
      </c>
      <c r="BQ144" s="415">
        <f>IF(ISNUMBER(SEARCH(BQ$112,'Reference Score Calculation'!$O123)),10,IF(ISNUMBER(SEARCH(BQ$112,'Reference Score Calculation'!$P123)),7,IF(ISNUMBER(SEARCH(BQ$112,'Reference Score Calculation'!$Q123)),5,IF(ISNUMBER(SEARCH($AW$104,'Reference Score Calculation'!$O123)),10,IF(ISNUMBER(SEARCH($AW$104,'Reference Score Calculation'!$P123)),7,5)))))</f>
        <v>5</v>
      </c>
      <c r="BR144" s="415">
        <f>IF(ISNUMBER(SEARCH(BR$112,'Reference Score Calculation'!$O123)),10,IF(ISNUMBER(SEARCH(BR$112,'Reference Score Calculation'!$P123)),7,IF(ISNUMBER(SEARCH(BR$112,'Reference Score Calculation'!$Q123)),5,IF(ISNUMBER(SEARCH($AW$104,'Reference Score Calculation'!$O123)),10,IF(ISNUMBER(SEARCH($AW$104,'Reference Score Calculation'!$P123)),7,5)))))</f>
        <v>5</v>
      </c>
      <c r="BS144" s="415">
        <f>IF(ISNUMBER(SEARCH(BS$112,'Reference Score Calculation'!$O123)),10,IF(ISNUMBER(SEARCH(BS$112,'Reference Score Calculation'!$P123)),7,IF(ISNUMBER(SEARCH(BS$112,'Reference Score Calculation'!$Q123)),5,IF(ISNUMBER(SEARCH($AW$104,'Reference Score Calculation'!$O123)),10,IF(ISNUMBER(SEARCH($AW$104,'Reference Score Calculation'!$P123)),7,5)))))</f>
        <v>5</v>
      </c>
      <c r="BT144" s="415">
        <f>IF(ISNUMBER(SEARCH(BT$112,'Reference Score Calculation'!$O123)),10,IF(ISNUMBER(SEARCH(BT$112,'Reference Score Calculation'!$P123)),7,IF(ISNUMBER(SEARCH(BT$112,'Reference Score Calculation'!$Q123)),5,IF(ISNUMBER(SEARCH($AW$104,'Reference Score Calculation'!$O123)),10,IF(ISNUMBER(SEARCH($AW$104,'Reference Score Calculation'!$P123)),7,5)))))</f>
        <v>5</v>
      </c>
      <c r="BU144" s="415">
        <f>IF(ISNUMBER(SEARCH(BU$112,'Reference Score Calculation'!$O123)),10,IF(ISNUMBER(SEARCH(BU$112,'Reference Score Calculation'!$P123)),7,IF(ISNUMBER(SEARCH(BU$112,'Reference Score Calculation'!$Q123)),5,IF(ISNUMBER(SEARCH($AW$104,'Reference Score Calculation'!$O123)),10,IF(ISNUMBER(SEARCH($AW$104,'Reference Score Calculation'!$P123)),7,5)))))</f>
        <v>10</v>
      </c>
      <c r="BV144" s="415">
        <f>IF(ISNUMBER(SEARCH(BV$112,'Reference Score Calculation'!$O123)),10,IF(ISNUMBER(SEARCH(BV$112,'Reference Score Calculation'!$P123)),7,IF(ISNUMBER(SEARCH(BV$112,'Reference Score Calculation'!$Q123)),5,IF(ISNUMBER(SEARCH($AW$104,'Reference Score Calculation'!$O123)),10,IF(ISNUMBER(SEARCH($AW$104,'Reference Score Calculation'!$P123)),7,5)))))</f>
        <v>7</v>
      </c>
      <c r="BW144" s="415">
        <f>IF(ISNUMBER(SEARCH(BW$112,'Reference Score Calculation'!$O123)),10,IF(ISNUMBER(SEARCH(BW$112,'Reference Score Calculation'!$P123)),7,IF(ISNUMBER(SEARCH(BW$112,'Reference Score Calculation'!$Q123)),5,IF(ISNUMBER(SEARCH($AW$104,'Reference Score Calculation'!$O123)),10,IF(ISNUMBER(SEARCH($AW$104,'Reference Score Calculation'!$P123)),7,5)))))</f>
        <v>5</v>
      </c>
      <c r="BX144" s="415">
        <f>IF(ISNUMBER(SEARCH(BX$112,'Reference Score Calculation'!$O123)),10,IF(ISNUMBER(SEARCH(BX$112,'Reference Score Calculation'!$P123)),7,IF(ISNUMBER(SEARCH(BX$112,'Reference Score Calculation'!$Q123)),5,IF(ISNUMBER(SEARCH($AW$104,'Reference Score Calculation'!$O123)),10,IF(ISNUMBER(SEARCH($AW$104,'Reference Score Calculation'!$P123)),7,5)))))</f>
        <v>5</v>
      </c>
      <c r="BY144" s="195"/>
      <c r="BZ144" s="195"/>
      <c r="CA144" s="195"/>
    </row>
    <row r="145" spans="1:79">
      <c r="A145" s="119" t="str">
        <f>'Reference Score Calculation'!A122</f>
        <v>JS3648</v>
      </c>
      <c r="B145" s="119" t="str">
        <f>'Reference Score Calculation'!A122</f>
        <v>JS3648</v>
      </c>
      <c r="C145" s="119" t="str">
        <f>'Reference Score Calculation'!D122</f>
        <v>護理學(榮譽)理學士組合課程 - 護理學(榮譽)理學士</v>
      </c>
      <c r="E145" s="134" t="str">
        <f>'Reference Score Calculation'!E122</f>
        <v>4C2X</v>
      </c>
      <c r="F145" s="134"/>
      <c r="G145" s="119" t="str">
        <f>入學要求!AB131</f>
        <v>v</v>
      </c>
      <c r="H145" s="119" t="str">
        <f>入學要求!AC131</f>
        <v>NO</v>
      </c>
      <c r="I145" s="119" t="str">
        <f>入學要求!AD131</f>
        <v>NO</v>
      </c>
      <c r="J145" s="119">
        <f t="shared" si="254"/>
        <v>1.2500000000000001E-8</v>
      </c>
      <c r="K145" s="119">
        <f t="shared" si="260"/>
        <v>10</v>
      </c>
      <c r="L145" s="119">
        <f t="shared" si="260"/>
        <v>10</v>
      </c>
      <c r="M145" s="119">
        <f t="shared" si="260"/>
        <v>10</v>
      </c>
      <c r="N145" s="119">
        <f>IFERROR(INDEX($AW143:$BX143,MATCH(N$1,$AW$113:$BX$113,0)),0)</f>
        <v>10</v>
      </c>
      <c r="O145" s="119">
        <f t="shared" si="261"/>
        <v>7</v>
      </c>
      <c r="P145" s="119">
        <f t="shared" si="261"/>
        <v>0</v>
      </c>
      <c r="Q145" s="119">
        <f t="shared" si="261"/>
        <v>0</v>
      </c>
      <c r="R145" s="119">
        <f t="shared" si="261"/>
        <v>0</v>
      </c>
      <c r="S145" s="119">
        <f t="shared" si="261"/>
        <v>0</v>
      </c>
      <c r="T145" s="119">
        <v>5</v>
      </c>
      <c r="V145" s="119">
        <f t="shared" si="234"/>
        <v>4.0000000000000002E-9</v>
      </c>
      <c r="W145" s="119">
        <f t="shared" si="235"/>
        <v>2.0000000000000001E-9</v>
      </c>
      <c r="X145" s="119">
        <f t="shared" si="236"/>
        <v>3E-9</v>
      </c>
      <c r="Y145" s="119">
        <f t="shared" si="237"/>
        <v>0</v>
      </c>
      <c r="Z145" s="119">
        <f t="shared" si="238"/>
        <v>3.5000000000000003E-9</v>
      </c>
      <c r="AA145" s="119">
        <f t="shared" si="239"/>
        <v>0</v>
      </c>
      <c r="AB145" s="119">
        <f t="shared" si="240"/>
        <v>0</v>
      </c>
      <c r="AC145" s="119">
        <f t="shared" si="241"/>
        <v>0</v>
      </c>
      <c r="AD145" s="119">
        <f t="shared" si="242"/>
        <v>0</v>
      </c>
      <c r="AE145" s="119">
        <f t="shared" si="243"/>
        <v>0</v>
      </c>
      <c r="AF145" s="119" t="b">
        <f t="shared" si="262"/>
        <v>1</v>
      </c>
      <c r="AG145" s="119" t="b">
        <f t="shared" si="263"/>
        <v>1</v>
      </c>
      <c r="AH145" s="119" t="b">
        <f t="shared" si="264"/>
        <v>1</v>
      </c>
      <c r="AI145" s="119" t="b">
        <f t="shared" si="265"/>
        <v>1</v>
      </c>
      <c r="AJ145" s="119" t="b">
        <f t="shared" si="266"/>
        <v>1</v>
      </c>
      <c r="AK145" s="119" t="b">
        <f t="shared" si="267"/>
        <v>0</v>
      </c>
      <c r="AL145" s="119" t="b">
        <f t="shared" si="268"/>
        <v>0</v>
      </c>
      <c r="AM145" s="119" t="b">
        <f t="shared" si="269"/>
        <v>0</v>
      </c>
      <c r="AN145" s="119" t="b">
        <f t="shared" si="270"/>
        <v>0</v>
      </c>
      <c r="AO145" s="119" t="b">
        <f t="shared" si="271"/>
        <v>0</v>
      </c>
      <c r="AQ145" s="2"/>
      <c r="AR145" s="2"/>
      <c r="AS145" s="2"/>
      <c r="AT145" s="195"/>
      <c r="AU145" s="195" t="str">
        <f>'Reference Score Calculation'!A124</f>
        <v>JS3868</v>
      </c>
      <c r="AV145" s="195"/>
      <c r="AW145" s="415">
        <f>IF(ISNUMBER(SEARCH(AW$112,'Reference Score Calculation'!$O124)),10,IF(ISNUMBER(SEARCH(AW$112,'Reference Score Calculation'!$P124)),7,IF(ISNUMBER(SEARCH(AW$112,'Reference Score Calculation'!$Q124)),5,IF(ISNUMBER(SEARCH($AW$104,'Reference Score Calculation'!$O124)),10,IF(ISNUMBER(SEARCH($AW$104,'Reference Score Calculation'!$P124)),7,5)))))</f>
        <v>7</v>
      </c>
      <c r="AX145" s="415">
        <f>IF(ISNUMBER(SEARCH(AX$112,'Reference Score Calculation'!$O124)),10,IF(ISNUMBER(SEARCH(AX$112,'Reference Score Calculation'!$P124)),7,IF(ISNUMBER(SEARCH(AX$112,'Reference Score Calculation'!$Q124)),5,IF(ISNUMBER(SEARCH($AW$104,'Reference Score Calculation'!$O124)),10,IF(ISNUMBER(SEARCH($AW$104,'Reference Score Calculation'!$P124)),7,5)))))</f>
        <v>10</v>
      </c>
      <c r="AY145" s="415">
        <f>IF(ISNUMBER(SEARCH(AY$112,'Reference Score Calculation'!$O124)),10,IF(ISNUMBER(SEARCH(AY$112,'Reference Score Calculation'!$P124)),7,IF(ISNUMBER(SEARCH(AY$112,'Reference Score Calculation'!$Q124)),5,IF(ISNUMBER(SEARCH($AW$104,'Reference Score Calculation'!$O124)),10,IF(ISNUMBER(SEARCH($AW$104,'Reference Score Calculation'!$P124)),7,5)))))</f>
        <v>10</v>
      </c>
      <c r="AZ145" s="415">
        <f>IF(ISNUMBER(SEARCH(AZ$112,'Reference Score Calculation'!$O124)),10,IF(ISNUMBER(SEARCH(AZ$112,'Reference Score Calculation'!$P124)),7,IF(ISNUMBER(SEARCH(AZ$112,'Reference Score Calculation'!$Q124)),5,IF(ISNUMBER(SEARCH($AW$104,'Reference Score Calculation'!$O124)),10,IF(ISNUMBER(SEARCH($AW$104,'Reference Score Calculation'!$P124)),7,5)))))</f>
        <v>7</v>
      </c>
      <c r="BA145" s="415">
        <f>IF(ISNUMBER(SEARCH(BA$112,'Reference Score Calculation'!$O124)),10,IF(ISNUMBER(SEARCH(BA$112,'Reference Score Calculation'!$P124)),7,IF(ISNUMBER(SEARCH(BA$112,'Reference Score Calculation'!$Q124)),5,IF(ISNUMBER(SEARCH($AW$104,'Reference Score Calculation'!$O124)),10,IF(ISNUMBER(SEARCH($AW$104,'Reference Score Calculation'!$P124)),7,5)))))</f>
        <v>10</v>
      </c>
      <c r="BB145" s="415">
        <f>IF(ISNUMBER(SEARCH(BB$112,'Reference Score Calculation'!$O124)),10,IF(ISNUMBER(SEARCH(BB$112,'Reference Score Calculation'!$P124)),7,IF(ISNUMBER(SEARCH(BB$112,'Reference Score Calculation'!$Q124)),5,IF(ISNUMBER(SEARCH($AW$104,'Reference Score Calculation'!$O124)),10,IF(ISNUMBER(SEARCH($AW$104,'Reference Score Calculation'!$P124)),7,5)))))</f>
        <v>10</v>
      </c>
      <c r="BC145" s="415">
        <f>IF(ISNUMBER(SEARCH(BC$112,'Reference Score Calculation'!$O124)),10,IF(ISNUMBER(SEARCH(BC$112,'Reference Score Calculation'!$P124)),7,IF(ISNUMBER(SEARCH(BC$112,'Reference Score Calculation'!$Q124)),5,IF(ISNUMBER(SEARCH($AW$104,'Reference Score Calculation'!$O124)),10,IF(ISNUMBER(SEARCH($AW$104,'Reference Score Calculation'!$P124)),7,5)))))</f>
        <v>10</v>
      </c>
      <c r="BD145" s="415">
        <f>IF(ISNUMBER(SEARCH(BD$112,'Reference Score Calculation'!$O124)),10,IF(ISNUMBER(SEARCH(BD$112,'Reference Score Calculation'!$P124)),7,IF(ISNUMBER(SEARCH(BD$112,'Reference Score Calculation'!$Q124)),5,IF(ISNUMBER(SEARCH($AW$104,'Reference Score Calculation'!$O124)),10,IF(ISNUMBER(SEARCH($AW$104,'Reference Score Calculation'!$P124)),7,5)))))</f>
        <v>10</v>
      </c>
      <c r="BE145" s="415">
        <f>IF(ISNUMBER(SEARCH(BE$112,'Reference Score Calculation'!$O124)),10,IF(ISNUMBER(SEARCH(BE$112,'Reference Score Calculation'!$P124)),7,IF(ISNUMBER(SEARCH(BE$112,'Reference Score Calculation'!$Q124)),5,IF(ISNUMBER(SEARCH($AW$104,'Reference Score Calculation'!$O124)),10,IF(ISNUMBER(SEARCH($AW$104,'Reference Score Calculation'!$P124)),7,5)))))</f>
        <v>10</v>
      </c>
      <c r="BF145" s="415">
        <f>IF(ISNUMBER(SEARCH(BF$112,'Reference Score Calculation'!$O124)),10,IF(ISNUMBER(SEARCH(BF$112,'Reference Score Calculation'!$P124)),7,IF(ISNUMBER(SEARCH(BF$112,'Reference Score Calculation'!$Q124)),5,IF(ISNUMBER(SEARCH($AW$104,'Reference Score Calculation'!$O124)),10,IF(ISNUMBER(SEARCH($AW$104,'Reference Score Calculation'!$P124)),7,5)))))</f>
        <v>7</v>
      </c>
      <c r="BG145" s="415">
        <f>IF(ISNUMBER(SEARCH(BG$112,'Reference Score Calculation'!$O124)),10,IF(ISNUMBER(SEARCH(BG$112,'Reference Score Calculation'!$P124)),7,IF(ISNUMBER(SEARCH(BG$112,'Reference Score Calculation'!$Q124)),5,IF(ISNUMBER(SEARCH($AW$104,'Reference Score Calculation'!$O124)),10,IF(ISNUMBER(SEARCH($AW$104,'Reference Score Calculation'!$P124)),7,5)))))</f>
        <v>7</v>
      </c>
      <c r="BH145" s="415">
        <f>IF(ISNUMBER(SEARCH(BH$112,'Reference Score Calculation'!$O124)),10,IF(ISNUMBER(SEARCH(BH$112,'Reference Score Calculation'!$P124)),7,IF(ISNUMBER(SEARCH(BH$112,'Reference Score Calculation'!$Q124)),5,IF(ISNUMBER(SEARCH($AW$104,'Reference Score Calculation'!$O124)),10,IF(ISNUMBER(SEARCH($AW$104,'Reference Score Calculation'!$P124)),7,5)))))</f>
        <v>7</v>
      </c>
      <c r="BI145" s="415">
        <f>IF(ISNUMBER(SEARCH(BI$112,'Reference Score Calculation'!$O124)),10,IF(ISNUMBER(SEARCH(BI$112,'Reference Score Calculation'!$P124)),7,IF(ISNUMBER(SEARCH(BI$112,'Reference Score Calculation'!$Q124)),5,IF(ISNUMBER(SEARCH($AW$104,'Reference Score Calculation'!$O124)),10,IF(ISNUMBER(SEARCH($AW$104,'Reference Score Calculation'!$P124)),7,5)))))</f>
        <v>7</v>
      </c>
      <c r="BJ145" s="415">
        <f>IF(ISNUMBER(SEARCH(BJ$112,'Reference Score Calculation'!$O124)),10,IF(ISNUMBER(SEARCH(BJ$112,'Reference Score Calculation'!$P124)),7,IF(ISNUMBER(SEARCH(BJ$112,'Reference Score Calculation'!$Q124)),5,IF(ISNUMBER(SEARCH($AW$104,'Reference Score Calculation'!$O124)),10,IF(ISNUMBER(SEARCH($AW$104,'Reference Score Calculation'!$P124)),7,5)))))</f>
        <v>7</v>
      </c>
      <c r="BK145" s="415">
        <f>IF(ISNUMBER(SEARCH(BK$112,'Reference Score Calculation'!$O124)),10,IF(ISNUMBER(SEARCH(BK$112,'Reference Score Calculation'!$P124)),7,IF(ISNUMBER(SEARCH(BK$112,'Reference Score Calculation'!$Q124)),5,IF(ISNUMBER(SEARCH($AW$104,'Reference Score Calculation'!$O124)),10,IF(ISNUMBER(SEARCH($AW$104,'Reference Score Calculation'!$P124)),7,5)))))</f>
        <v>7</v>
      </c>
      <c r="BL145" s="415">
        <f>IF(ISNUMBER(SEARCH(BL$112,'Reference Score Calculation'!$O124)),10,IF(ISNUMBER(SEARCH(BL$112,'Reference Score Calculation'!$P124)),7,IF(ISNUMBER(SEARCH(BL$112,'Reference Score Calculation'!$Q124)),5,IF(ISNUMBER(SEARCH($AW$104,'Reference Score Calculation'!$O124)),10,IF(ISNUMBER(SEARCH($AW$104,'Reference Score Calculation'!$P124)),7,5)))))</f>
        <v>7</v>
      </c>
      <c r="BM145" s="415">
        <f>IF(ISNUMBER(SEARCH(BM$112,'Reference Score Calculation'!$O124)),10,IF(ISNUMBER(SEARCH(BM$112,'Reference Score Calculation'!$P124)),7,IF(ISNUMBER(SEARCH(BM$112,'Reference Score Calculation'!$Q124)),5,IF(ISNUMBER(SEARCH($AW$104,'Reference Score Calculation'!$O124)),10,IF(ISNUMBER(SEARCH("組合科學(任何)",'Reference Score Calculation'!$O124)),10,IF(ISNUMBER(SEARCH("組合科學(任何)",'Reference Score Calculation'!$P124)),7,IF(ISNUMBER(SEARCH("組合科學(任何)",'Reference Score Calculation'!$Q124)),5,IF(ISNUMBER(SEARCH($AW$104,'Reference Score Calculation'!$P124)),7,5))))))))</f>
        <v>10</v>
      </c>
      <c r="BN145" s="415">
        <f>IF(ISNUMBER(SEARCH(BN$112,'Reference Score Calculation'!$O124)),10,IF(ISNUMBER(SEARCH(BN$112,'Reference Score Calculation'!$P124)),7,IF(ISNUMBER(SEARCH(BN$112,'Reference Score Calculation'!$Q124)),5,IF(ISNUMBER(SEARCH($AW$104,'Reference Score Calculation'!$O124)),10,IF(ISNUMBER(SEARCH("組合科學(任何)",'Reference Score Calculation'!$O124)),10,IF(ISNUMBER(SEARCH("組合科學(任何)",'Reference Score Calculation'!$P124)),7,IF(ISNUMBER(SEARCH("組合科學(任何)",'Reference Score Calculation'!$Q124)),5,IF(ISNUMBER(SEARCH($AW$104,'Reference Score Calculation'!$P124)),7,5))))))))</f>
        <v>10</v>
      </c>
      <c r="BO145" s="415">
        <f>IF(ISNUMBER(SEARCH(BO$112,'Reference Score Calculation'!$O124)),10,IF(ISNUMBER(SEARCH(BO$112,'Reference Score Calculation'!$P124)),7,IF(ISNUMBER(SEARCH(BO$112,'Reference Score Calculation'!$Q124)),5,IF(ISNUMBER(SEARCH($AW$104,'Reference Score Calculation'!$O124)),10,IF(ISNUMBER(SEARCH("組合科學(任何)",'Reference Score Calculation'!$O124)),10,IF(ISNUMBER(SEARCH("組合科學(任何)",'Reference Score Calculation'!$P124)),7,IF(ISNUMBER(SEARCH("組合科學(任何)",'Reference Score Calculation'!$Q124)),5,IF(ISNUMBER(SEARCH($AW$104,'Reference Score Calculation'!$P124)),7,5))))))))</f>
        <v>10</v>
      </c>
      <c r="BP145" s="415">
        <f>IF(ISNUMBER(SEARCH(BP$112,'Reference Score Calculation'!$O124)),10,IF(ISNUMBER(SEARCH(BP$112,'Reference Score Calculation'!$P124)),7,IF(ISNUMBER(SEARCH(BP$112,'Reference Score Calculation'!$Q124)),5,IF(ISNUMBER(SEARCH($AW$104,'Reference Score Calculation'!$O124)),10,IF(ISNUMBER(SEARCH($AW$104,'Reference Score Calculation'!$P124)),7,5)))))</f>
        <v>7</v>
      </c>
      <c r="BQ145" s="415">
        <f>IF(ISNUMBER(SEARCH(BQ$112,'Reference Score Calculation'!$O124)),10,IF(ISNUMBER(SEARCH(BQ$112,'Reference Score Calculation'!$P124)),7,IF(ISNUMBER(SEARCH(BQ$112,'Reference Score Calculation'!$Q124)),5,IF(ISNUMBER(SEARCH($AW$104,'Reference Score Calculation'!$O124)),10,IF(ISNUMBER(SEARCH($AW$104,'Reference Score Calculation'!$P124)),7,5)))))</f>
        <v>7</v>
      </c>
      <c r="BR145" s="415">
        <f>IF(ISNUMBER(SEARCH(BR$112,'Reference Score Calculation'!$O124)),10,IF(ISNUMBER(SEARCH(BR$112,'Reference Score Calculation'!$P124)),7,IF(ISNUMBER(SEARCH(BR$112,'Reference Score Calculation'!$Q124)),5,IF(ISNUMBER(SEARCH($AW$104,'Reference Score Calculation'!$O124)),10,IF(ISNUMBER(SEARCH($AW$104,'Reference Score Calculation'!$P124)),7,5)))))</f>
        <v>7</v>
      </c>
      <c r="BS145" s="415">
        <f>IF(ISNUMBER(SEARCH(BS$112,'Reference Score Calculation'!$O124)),10,IF(ISNUMBER(SEARCH(BS$112,'Reference Score Calculation'!$P124)),7,IF(ISNUMBER(SEARCH(BS$112,'Reference Score Calculation'!$Q124)),5,IF(ISNUMBER(SEARCH($AW$104,'Reference Score Calculation'!$O124)),10,IF(ISNUMBER(SEARCH($AW$104,'Reference Score Calculation'!$P124)),7,5)))))</f>
        <v>7</v>
      </c>
      <c r="BT145" s="415">
        <f>IF(ISNUMBER(SEARCH(BT$112,'Reference Score Calculation'!$O124)),10,IF(ISNUMBER(SEARCH(BT$112,'Reference Score Calculation'!$P124)),7,IF(ISNUMBER(SEARCH(BT$112,'Reference Score Calculation'!$Q124)),5,IF(ISNUMBER(SEARCH($AW$104,'Reference Score Calculation'!$O124)),10,IF(ISNUMBER(SEARCH($AW$104,'Reference Score Calculation'!$P124)),7,5)))))</f>
        <v>7</v>
      </c>
      <c r="BU145" s="415">
        <f>IF(ISNUMBER(SEARCH(BU$112,'Reference Score Calculation'!$O124)),10,IF(ISNUMBER(SEARCH(BU$112,'Reference Score Calculation'!$P124)),7,IF(ISNUMBER(SEARCH(BU$112,'Reference Score Calculation'!$Q124)),5,IF(ISNUMBER(SEARCH($AW$104,'Reference Score Calculation'!$O124)),10,IF(ISNUMBER(SEARCH($AW$104,'Reference Score Calculation'!$P124)),7,5)))))</f>
        <v>10</v>
      </c>
      <c r="BV145" s="415">
        <f>IF(ISNUMBER(SEARCH(BV$112,'Reference Score Calculation'!$O124)),10,IF(ISNUMBER(SEARCH(BV$112,'Reference Score Calculation'!$P124)),7,IF(ISNUMBER(SEARCH(BV$112,'Reference Score Calculation'!$Q124)),5,IF(ISNUMBER(SEARCH($AW$104,'Reference Score Calculation'!$O124)),10,IF(ISNUMBER(SEARCH($AW$104,'Reference Score Calculation'!$P124)),7,5)))))</f>
        <v>7</v>
      </c>
      <c r="BW145" s="415">
        <f>IF(ISNUMBER(SEARCH(BW$112,'Reference Score Calculation'!$O124)),10,IF(ISNUMBER(SEARCH(BW$112,'Reference Score Calculation'!$P124)),7,IF(ISNUMBER(SEARCH(BW$112,'Reference Score Calculation'!$Q124)),5,IF(ISNUMBER(SEARCH($AW$104,'Reference Score Calculation'!$O124)),10,IF(ISNUMBER(SEARCH($AW$104,'Reference Score Calculation'!$P124)),7,5)))))</f>
        <v>7</v>
      </c>
      <c r="BX145" s="415">
        <f>IF(ISNUMBER(SEARCH(BX$112,'Reference Score Calculation'!$O124)),10,IF(ISNUMBER(SEARCH(BX$112,'Reference Score Calculation'!$P124)),7,IF(ISNUMBER(SEARCH(BX$112,'Reference Score Calculation'!$Q124)),5,IF(ISNUMBER(SEARCH($AW$104,'Reference Score Calculation'!$O124)),10,IF(ISNUMBER(SEARCH($AW$104,'Reference Score Calculation'!$P124)),7,5)))))</f>
        <v>10</v>
      </c>
      <c r="BY145" s="195"/>
      <c r="BZ145" s="195"/>
      <c r="CA145" s="195"/>
    </row>
    <row r="146" spans="1:79">
      <c r="A146" s="119" t="str">
        <f>'Reference Score Calculation'!A123</f>
        <v>JS3741</v>
      </c>
      <c r="B146" s="119" t="str">
        <f>'Reference Score Calculation'!A123</f>
        <v>JS3741</v>
      </c>
      <c r="C146" s="119" t="str">
        <f>'Reference Score Calculation'!D123</f>
        <v>機械工程學(榮譽)工學士組合課程 (機械工程學 / 產品分析及工程設計學)</v>
      </c>
      <c r="E146" s="134" t="str">
        <f>'Reference Score Calculation'!E123</f>
        <v>Best 5</v>
      </c>
      <c r="F146" s="134"/>
      <c r="G146" s="119" t="str">
        <f>入學要求!AB132</f>
        <v>v</v>
      </c>
      <c r="H146" s="119" t="str">
        <f>入學要求!AC132</f>
        <v>E</v>
      </c>
      <c r="I146" s="119" t="str">
        <f>入學要求!AD132</f>
        <v>NO</v>
      </c>
      <c r="J146" s="119">
        <f t="shared" si="254"/>
        <v>1.7550000000000002E-8</v>
      </c>
      <c r="K146" s="119">
        <f t="shared" si="260"/>
        <v>7</v>
      </c>
      <c r="L146" s="119">
        <f t="shared" si="260"/>
        <v>10</v>
      </c>
      <c r="M146" s="119">
        <f t="shared" si="260"/>
        <v>10</v>
      </c>
      <c r="N146" s="119">
        <v>0</v>
      </c>
      <c r="O146" s="119">
        <f t="shared" ref="O146:S155" si="272">IFERROR(INDEX($AW144:$BX144,MATCH(O$1,$AW$113:$BX$113,0)),0)</f>
        <v>10</v>
      </c>
      <c r="P146" s="119">
        <f t="shared" si="272"/>
        <v>0</v>
      </c>
      <c r="Q146" s="119">
        <f t="shared" si="272"/>
        <v>0</v>
      </c>
      <c r="R146" s="119">
        <f t="shared" si="272"/>
        <v>0</v>
      </c>
      <c r="S146" s="119">
        <f t="shared" si="272"/>
        <v>0</v>
      </c>
      <c r="T146" s="119">
        <v>5</v>
      </c>
      <c r="V146" s="119">
        <f t="shared" si="234"/>
        <v>2.8000000000000003E-9</v>
      </c>
      <c r="W146" s="119">
        <f t="shared" si="235"/>
        <v>2.0000000000000001E-9</v>
      </c>
      <c r="X146" s="119">
        <f t="shared" si="236"/>
        <v>3E-9</v>
      </c>
      <c r="Y146" s="119">
        <f t="shared" si="237"/>
        <v>0</v>
      </c>
      <c r="Z146" s="119">
        <f t="shared" si="238"/>
        <v>5.0000000000000001E-9</v>
      </c>
      <c r="AA146" s="119">
        <f t="shared" si="239"/>
        <v>0</v>
      </c>
      <c r="AB146" s="119">
        <f t="shared" si="240"/>
        <v>0</v>
      </c>
      <c r="AC146" s="119">
        <f t="shared" si="241"/>
        <v>0</v>
      </c>
      <c r="AD146" s="119">
        <f t="shared" si="242"/>
        <v>0</v>
      </c>
      <c r="AE146" s="119">
        <f t="shared" si="243"/>
        <v>4.7500000000000003E-9</v>
      </c>
      <c r="AF146" s="119" t="b">
        <f t="shared" si="262"/>
        <v>1</v>
      </c>
      <c r="AG146" s="119" t="b">
        <f t="shared" si="263"/>
        <v>1</v>
      </c>
      <c r="AH146" s="119" t="b">
        <f t="shared" si="264"/>
        <v>1</v>
      </c>
      <c r="AI146" s="119" t="b">
        <f t="shared" si="265"/>
        <v>0</v>
      </c>
      <c r="AJ146" s="119" t="b">
        <f t="shared" si="266"/>
        <v>1</v>
      </c>
      <c r="AK146" s="119" t="b">
        <f t="shared" si="267"/>
        <v>0</v>
      </c>
      <c r="AL146" s="119" t="b">
        <f t="shared" si="268"/>
        <v>0</v>
      </c>
      <c r="AM146" s="119" t="b">
        <f t="shared" si="269"/>
        <v>0</v>
      </c>
      <c r="AN146" s="119" t="b">
        <f t="shared" si="270"/>
        <v>0</v>
      </c>
      <c r="AO146" s="119" t="b">
        <f t="shared" si="271"/>
        <v>1</v>
      </c>
      <c r="AQ146" s="2"/>
      <c r="AR146" s="2"/>
      <c r="AS146" s="2"/>
      <c r="AT146" s="195"/>
      <c r="AU146" s="195" t="str">
        <f>'Reference Score Calculation'!A125</f>
        <v>JS3910</v>
      </c>
      <c r="AV146" s="195"/>
      <c r="AW146" s="415">
        <f>IF(ISNUMBER(SEARCH(AW$112,'Reference Score Calculation'!$O125)),10,IF(ISNUMBER(SEARCH(AW$112,'Reference Score Calculation'!$P125)),7,IF(ISNUMBER(SEARCH(AW$112,'Reference Score Calculation'!$Q125)),5,IF(ISNUMBER(SEARCH($AW$104,'Reference Score Calculation'!$O125)),10,IF(ISNUMBER(SEARCH($AW$104,'Reference Score Calculation'!$P125)),7,5)))))</f>
        <v>7</v>
      </c>
      <c r="AX146" s="415">
        <f>IF(ISNUMBER(SEARCH(AX$112,'Reference Score Calculation'!$O125)),10,IF(ISNUMBER(SEARCH(AX$112,'Reference Score Calculation'!$P125)),7,IF(ISNUMBER(SEARCH(AX$112,'Reference Score Calculation'!$Q125)),5,IF(ISNUMBER(SEARCH($AW$104,'Reference Score Calculation'!$O125)),10,IF(ISNUMBER(SEARCH($AW$104,'Reference Score Calculation'!$P125)),7,5)))))</f>
        <v>10</v>
      </c>
      <c r="AY146" s="415">
        <f>IF(ISNUMBER(SEARCH(AY$112,'Reference Score Calculation'!$O125)),10,IF(ISNUMBER(SEARCH(AY$112,'Reference Score Calculation'!$P125)),7,IF(ISNUMBER(SEARCH(AY$112,'Reference Score Calculation'!$Q125)),5,IF(ISNUMBER(SEARCH($AW$104,'Reference Score Calculation'!$O125)),10,IF(ISNUMBER(SEARCH($AW$104,'Reference Score Calculation'!$P125)),7,5)))))</f>
        <v>10</v>
      </c>
      <c r="AZ146" s="415">
        <f>IF(ISNUMBER(SEARCH(AZ$112,'Reference Score Calculation'!$O125)),10,IF(ISNUMBER(SEARCH(AZ$112,'Reference Score Calculation'!$P125)),7,IF(ISNUMBER(SEARCH(AZ$112,'Reference Score Calculation'!$Q125)),5,IF(ISNUMBER(SEARCH($AW$104,'Reference Score Calculation'!$O125)),10,IF(ISNUMBER(SEARCH($AW$104,'Reference Score Calculation'!$P125)),7,5)))))</f>
        <v>7</v>
      </c>
      <c r="BA146" s="415">
        <f>IF(ISNUMBER(SEARCH(BA$112,'Reference Score Calculation'!$O125)),10,IF(ISNUMBER(SEARCH(BA$112,'Reference Score Calculation'!$P125)),7,IF(ISNUMBER(SEARCH(BA$112,'Reference Score Calculation'!$Q125)),5,IF(ISNUMBER(SEARCH($AW$104,'Reference Score Calculation'!$O125)),10,IF(ISNUMBER(SEARCH($AW$104,'Reference Score Calculation'!$P125)),7,5)))))</f>
        <v>7</v>
      </c>
      <c r="BB146" s="415">
        <f>IF(ISNUMBER(SEARCH(BB$112,'Reference Score Calculation'!$O125)),10,IF(ISNUMBER(SEARCH(BB$112,'Reference Score Calculation'!$P125)),7,IF(ISNUMBER(SEARCH(BB$112,'Reference Score Calculation'!$Q125)),5,IF(ISNUMBER(SEARCH($AW$104,'Reference Score Calculation'!$O125)),10,IF(ISNUMBER(SEARCH($AW$104,'Reference Score Calculation'!$P125)),7,5)))))</f>
        <v>7</v>
      </c>
      <c r="BC146" s="415">
        <f>IF(ISNUMBER(SEARCH(BC$112,'Reference Score Calculation'!$O125)),10,IF(ISNUMBER(SEARCH(BC$112,'Reference Score Calculation'!$P125)),7,IF(ISNUMBER(SEARCH(BC$112,'Reference Score Calculation'!$Q125)),5,IF(ISNUMBER(SEARCH($AW$104,'Reference Score Calculation'!$O125)),10,IF(ISNUMBER(SEARCH($AW$104,'Reference Score Calculation'!$P125)),7,5)))))</f>
        <v>10</v>
      </c>
      <c r="BD146" s="415">
        <f>IF(ISNUMBER(SEARCH(BD$112,'Reference Score Calculation'!$O125)),10,IF(ISNUMBER(SEARCH(BD$112,'Reference Score Calculation'!$P125)),7,IF(ISNUMBER(SEARCH(BD$112,'Reference Score Calculation'!$Q125)),5,IF(ISNUMBER(SEARCH($AW$104,'Reference Score Calculation'!$O125)),10,IF(ISNUMBER(SEARCH($AW$104,'Reference Score Calculation'!$P125)),7,5)))))</f>
        <v>10</v>
      </c>
      <c r="BE146" s="415">
        <f>IF(ISNUMBER(SEARCH(BE$112,'Reference Score Calculation'!$O125)),10,IF(ISNUMBER(SEARCH(BE$112,'Reference Score Calculation'!$P125)),7,IF(ISNUMBER(SEARCH(BE$112,'Reference Score Calculation'!$Q125)),5,IF(ISNUMBER(SEARCH($AW$104,'Reference Score Calculation'!$O125)),10,IF(ISNUMBER(SEARCH($AW$104,'Reference Score Calculation'!$P125)),7,5)))))</f>
        <v>5</v>
      </c>
      <c r="BF146" s="415">
        <f>IF(ISNUMBER(SEARCH(BF$112,'Reference Score Calculation'!$O125)),10,IF(ISNUMBER(SEARCH(BF$112,'Reference Score Calculation'!$P125)),7,IF(ISNUMBER(SEARCH(BF$112,'Reference Score Calculation'!$Q125)),5,IF(ISNUMBER(SEARCH($AW$104,'Reference Score Calculation'!$O125)),10,IF(ISNUMBER(SEARCH($AW$104,'Reference Score Calculation'!$P125)),7,5)))))</f>
        <v>5</v>
      </c>
      <c r="BG146" s="415">
        <f>IF(ISNUMBER(SEARCH(BG$112,'Reference Score Calculation'!$O125)),10,IF(ISNUMBER(SEARCH(BG$112,'Reference Score Calculation'!$P125)),7,IF(ISNUMBER(SEARCH(BG$112,'Reference Score Calculation'!$Q125)),5,IF(ISNUMBER(SEARCH($AW$104,'Reference Score Calculation'!$O125)),10,IF(ISNUMBER(SEARCH($AW$104,'Reference Score Calculation'!$P125)),7,5)))))</f>
        <v>5</v>
      </c>
      <c r="BH146" s="415">
        <f>IF(ISNUMBER(SEARCH(BH$112,'Reference Score Calculation'!$O125)),10,IF(ISNUMBER(SEARCH(BH$112,'Reference Score Calculation'!$P125)),7,IF(ISNUMBER(SEARCH(BH$112,'Reference Score Calculation'!$Q125)),5,IF(ISNUMBER(SEARCH($AW$104,'Reference Score Calculation'!$O125)),10,IF(ISNUMBER(SEARCH($AW$104,'Reference Score Calculation'!$P125)),7,5)))))</f>
        <v>5</v>
      </c>
      <c r="BI146" s="415">
        <f>IF(ISNUMBER(SEARCH(BI$112,'Reference Score Calculation'!$O125)),10,IF(ISNUMBER(SEARCH(BI$112,'Reference Score Calculation'!$P125)),7,IF(ISNUMBER(SEARCH(BI$112,'Reference Score Calculation'!$Q125)),5,IF(ISNUMBER(SEARCH($AW$104,'Reference Score Calculation'!$O125)),10,IF(ISNUMBER(SEARCH($AW$104,'Reference Score Calculation'!$P125)),7,5)))))</f>
        <v>5</v>
      </c>
      <c r="BJ146" s="415">
        <f>IF(ISNUMBER(SEARCH(BJ$112,'Reference Score Calculation'!$O125)),10,IF(ISNUMBER(SEARCH(BJ$112,'Reference Score Calculation'!$P125)),7,IF(ISNUMBER(SEARCH(BJ$112,'Reference Score Calculation'!$Q125)),5,IF(ISNUMBER(SEARCH($AW$104,'Reference Score Calculation'!$O125)),10,IF(ISNUMBER(SEARCH($AW$104,'Reference Score Calculation'!$P125)),7,5)))))</f>
        <v>5</v>
      </c>
      <c r="BK146" s="415">
        <f>IF(ISNUMBER(SEARCH(BK$112,'Reference Score Calculation'!$O125)),10,IF(ISNUMBER(SEARCH(BK$112,'Reference Score Calculation'!$P125)),7,IF(ISNUMBER(SEARCH(BK$112,'Reference Score Calculation'!$Q125)),5,IF(ISNUMBER(SEARCH($AW$104,'Reference Score Calculation'!$O125)),10,IF(ISNUMBER(SEARCH($AW$104,'Reference Score Calculation'!$P125)),7,5)))))</f>
        <v>5</v>
      </c>
      <c r="BL146" s="415">
        <f>IF(ISNUMBER(SEARCH(BL$112,'Reference Score Calculation'!$O125)),10,IF(ISNUMBER(SEARCH(BL$112,'Reference Score Calculation'!$P125)),7,IF(ISNUMBER(SEARCH(BL$112,'Reference Score Calculation'!$Q125)),5,IF(ISNUMBER(SEARCH($AW$104,'Reference Score Calculation'!$O125)),10,IF(ISNUMBER(SEARCH($AW$104,'Reference Score Calculation'!$P125)),7,5)))))</f>
        <v>7</v>
      </c>
      <c r="BM146" s="415">
        <f>IF(ISNUMBER(SEARCH(BM$112,'Reference Score Calculation'!$O125)),10,IF(ISNUMBER(SEARCH(BM$112,'Reference Score Calculation'!$P125)),7,IF(ISNUMBER(SEARCH(BM$112,'Reference Score Calculation'!$Q125)),5,IF(ISNUMBER(SEARCH($AW$104,'Reference Score Calculation'!$O125)),10,IF(ISNUMBER(SEARCH("組合科學(任何)",'Reference Score Calculation'!$O125)),10,IF(ISNUMBER(SEARCH("組合科學(任何)",'Reference Score Calculation'!$P125)),7,IF(ISNUMBER(SEARCH("組合科學(任何)",'Reference Score Calculation'!$Q125)),5,IF(ISNUMBER(SEARCH($AW$104,'Reference Score Calculation'!$P125)),7,5))))))))</f>
        <v>10</v>
      </c>
      <c r="BN146" s="415">
        <f>IF(ISNUMBER(SEARCH(BN$112,'Reference Score Calculation'!$O125)),10,IF(ISNUMBER(SEARCH(BN$112,'Reference Score Calculation'!$P125)),7,IF(ISNUMBER(SEARCH(BN$112,'Reference Score Calculation'!$Q125)),5,IF(ISNUMBER(SEARCH($AW$104,'Reference Score Calculation'!$O125)),10,IF(ISNUMBER(SEARCH("組合科學(任何)",'Reference Score Calculation'!$O125)),10,IF(ISNUMBER(SEARCH("組合科學(任何)",'Reference Score Calculation'!$P125)),7,IF(ISNUMBER(SEARCH("組合科學(任何)",'Reference Score Calculation'!$Q125)),5,IF(ISNUMBER(SEARCH($AW$104,'Reference Score Calculation'!$P125)),7,5))))))))</f>
        <v>10</v>
      </c>
      <c r="BO146" s="415">
        <f>IF(ISNUMBER(SEARCH(BO$112,'Reference Score Calculation'!$O125)),10,IF(ISNUMBER(SEARCH(BO$112,'Reference Score Calculation'!$P125)),7,IF(ISNUMBER(SEARCH(BO$112,'Reference Score Calculation'!$Q125)),5,IF(ISNUMBER(SEARCH($AW$104,'Reference Score Calculation'!$O125)),10,IF(ISNUMBER(SEARCH("組合科學(任何)",'Reference Score Calculation'!$O125)),10,IF(ISNUMBER(SEARCH("組合科學(任何)",'Reference Score Calculation'!$P125)),7,IF(ISNUMBER(SEARCH("組合科學(任何)",'Reference Score Calculation'!$Q125)),5,IF(ISNUMBER(SEARCH($AW$104,'Reference Score Calculation'!$P125)),7,5))))))))</f>
        <v>10</v>
      </c>
      <c r="BP146" s="415">
        <f>IF(ISNUMBER(SEARCH(BP$112,'Reference Score Calculation'!$O125)),10,IF(ISNUMBER(SEARCH(BP$112,'Reference Score Calculation'!$P125)),7,IF(ISNUMBER(SEARCH(BP$112,'Reference Score Calculation'!$Q125)),5,IF(ISNUMBER(SEARCH($AW$104,'Reference Score Calculation'!$O125)),10,IF(ISNUMBER(SEARCH($AW$104,'Reference Score Calculation'!$P125)),7,5)))))</f>
        <v>5</v>
      </c>
      <c r="BQ146" s="415">
        <f>IF(ISNUMBER(SEARCH(BQ$112,'Reference Score Calculation'!$O125)),10,IF(ISNUMBER(SEARCH(BQ$112,'Reference Score Calculation'!$P125)),7,IF(ISNUMBER(SEARCH(BQ$112,'Reference Score Calculation'!$Q125)),5,IF(ISNUMBER(SEARCH($AW$104,'Reference Score Calculation'!$O125)),10,IF(ISNUMBER(SEARCH($AW$104,'Reference Score Calculation'!$P125)),7,5)))))</f>
        <v>5</v>
      </c>
      <c r="BR146" s="415">
        <f>IF(ISNUMBER(SEARCH(BR$112,'Reference Score Calculation'!$O125)),10,IF(ISNUMBER(SEARCH(BR$112,'Reference Score Calculation'!$P125)),7,IF(ISNUMBER(SEARCH(BR$112,'Reference Score Calculation'!$Q125)),5,IF(ISNUMBER(SEARCH($AW$104,'Reference Score Calculation'!$O125)),10,IF(ISNUMBER(SEARCH($AW$104,'Reference Score Calculation'!$P125)),7,5)))))</f>
        <v>5</v>
      </c>
      <c r="BS146" s="415">
        <f>IF(ISNUMBER(SEARCH(BS$112,'Reference Score Calculation'!$O125)),10,IF(ISNUMBER(SEARCH(BS$112,'Reference Score Calculation'!$P125)),7,IF(ISNUMBER(SEARCH(BS$112,'Reference Score Calculation'!$Q125)),5,IF(ISNUMBER(SEARCH($AW$104,'Reference Score Calculation'!$O125)),10,IF(ISNUMBER(SEARCH($AW$104,'Reference Score Calculation'!$P125)),7,5)))))</f>
        <v>5</v>
      </c>
      <c r="BT146" s="415">
        <f>IF(ISNUMBER(SEARCH(BT$112,'Reference Score Calculation'!$O125)),10,IF(ISNUMBER(SEARCH(BT$112,'Reference Score Calculation'!$P125)),7,IF(ISNUMBER(SEARCH(BT$112,'Reference Score Calculation'!$Q125)),5,IF(ISNUMBER(SEARCH($AW$104,'Reference Score Calculation'!$O125)),10,IF(ISNUMBER(SEARCH($AW$104,'Reference Score Calculation'!$P125)),7,5)))))</f>
        <v>5</v>
      </c>
      <c r="BU146" s="415">
        <f>IF(ISNUMBER(SEARCH(BU$112,'Reference Score Calculation'!$O125)),10,IF(ISNUMBER(SEARCH(BU$112,'Reference Score Calculation'!$P125)),7,IF(ISNUMBER(SEARCH(BU$112,'Reference Score Calculation'!$Q125)),5,IF(ISNUMBER(SEARCH($AW$104,'Reference Score Calculation'!$O125)),10,IF(ISNUMBER(SEARCH($AW$104,'Reference Score Calculation'!$P125)),7,5)))))</f>
        <v>5</v>
      </c>
      <c r="BV146" s="415">
        <f>IF(ISNUMBER(SEARCH(BV$112,'Reference Score Calculation'!$O125)),10,IF(ISNUMBER(SEARCH(BV$112,'Reference Score Calculation'!$P125)),7,IF(ISNUMBER(SEARCH(BV$112,'Reference Score Calculation'!$Q125)),5,IF(ISNUMBER(SEARCH($AW$104,'Reference Score Calculation'!$O125)),10,IF(ISNUMBER(SEARCH($AW$104,'Reference Score Calculation'!$P125)),7,5)))))</f>
        <v>5</v>
      </c>
      <c r="BW146" s="415">
        <f>IF(ISNUMBER(SEARCH(BW$112,'Reference Score Calculation'!$O125)),10,IF(ISNUMBER(SEARCH(BW$112,'Reference Score Calculation'!$P125)),7,IF(ISNUMBER(SEARCH(BW$112,'Reference Score Calculation'!$Q125)),5,IF(ISNUMBER(SEARCH($AW$104,'Reference Score Calculation'!$O125)),10,IF(ISNUMBER(SEARCH($AW$104,'Reference Score Calculation'!$P125)),7,5)))))</f>
        <v>5</v>
      </c>
      <c r="BX146" s="415">
        <f>IF(ISNUMBER(SEARCH(BX$112,'Reference Score Calculation'!$O125)),10,IF(ISNUMBER(SEARCH(BX$112,'Reference Score Calculation'!$P125)),7,IF(ISNUMBER(SEARCH(BX$112,'Reference Score Calculation'!$Q125)),5,IF(ISNUMBER(SEARCH($AW$104,'Reference Score Calculation'!$O125)),10,IF(ISNUMBER(SEARCH($AW$104,'Reference Score Calculation'!$P125)),7,5)))))</f>
        <v>5</v>
      </c>
      <c r="BY146" s="195"/>
      <c r="BZ146" s="195"/>
      <c r="CA146" s="195"/>
    </row>
    <row r="147" spans="1:79">
      <c r="A147" s="119" t="str">
        <f>'Reference Score Calculation'!A124</f>
        <v>JS3868</v>
      </c>
      <c r="B147" s="119" t="str">
        <f>'Reference Score Calculation'!A124</f>
        <v>JS3868</v>
      </c>
      <c r="C147" s="119" t="str">
        <f>'Reference Score Calculation'!D124</f>
        <v>電子計算及人工智能(榮譽)理學士組合課程 (計算機科學 / 金融科技及人工智能 / 企業信息管理)</v>
      </c>
      <c r="E147" s="134" t="str">
        <f>'Reference Score Calculation'!E124</f>
        <v>Best 5</v>
      </c>
      <c r="F147" s="134"/>
      <c r="G147" s="119" t="str">
        <f>入學要求!AB133</f>
        <v>v</v>
      </c>
      <c r="H147" s="119" t="str">
        <f>入學要求!AC133</f>
        <v>E</v>
      </c>
      <c r="I147" s="119" t="str">
        <f>入學要求!AD133</f>
        <v>NO</v>
      </c>
      <c r="J147" s="119">
        <f t="shared" si="254"/>
        <v>1.7550000000000002E-8</v>
      </c>
      <c r="K147" s="119">
        <f t="shared" si="260"/>
        <v>7</v>
      </c>
      <c r="L147" s="119">
        <f t="shared" si="260"/>
        <v>10</v>
      </c>
      <c r="M147" s="119">
        <f t="shared" si="260"/>
        <v>10</v>
      </c>
      <c r="N147" s="119">
        <v>0</v>
      </c>
      <c r="O147" s="119">
        <f t="shared" si="272"/>
        <v>10</v>
      </c>
      <c r="P147" s="119">
        <f t="shared" si="272"/>
        <v>0</v>
      </c>
      <c r="Q147" s="119">
        <f t="shared" si="272"/>
        <v>0</v>
      </c>
      <c r="R147" s="119">
        <f t="shared" si="272"/>
        <v>0</v>
      </c>
      <c r="S147" s="119">
        <f t="shared" si="272"/>
        <v>0</v>
      </c>
      <c r="T147" s="119">
        <v>5</v>
      </c>
      <c r="V147" s="119">
        <f t="shared" si="234"/>
        <v>2.8000000000000003E-9</v>
      </c>
      <c r="W147" s="119">
        <f t="shared" si="235"/>
        <v>2.0000000000000001E-9</v>
      </c>
      <c r="X147" s="119">
        <f t="shared" si="236"/>
        <v>3E-9</v>
      </c>
      <c r="Y147" s="119">
        <f t="shared" si="237"/>
        <v>0</v>
      </c>
      <c r="Z147" s="119">
        <f t="shared" si="238"/>
        <v>5.0000000000000001E-9</v>
      </c>
      <c r="AA147" s="119">
        <f t="shared" si="239"/>
        <v>0</v>
      </c>
      <c r="AB147" s="119">
        <f t="shared" si="240"/>
        <v>0</v>
      </c>
      <c r="AC147" s="119">
        <f t="shared" si="241"/>
        <v>0</v>
      </c>
      <c r="AD147" s="119">
        <f t="shared" si="242"/>
        <v>0</v>
      </c>
      <c r="AE147" s="119">
        <f t="shared" si="243"/>
        <v>4.7500000000000003E-9</v>
      </c>
      <c r="AF147" s="119" t="b">
        <f t="shared" si="262"/>
        <v>1</v>
      </c>
      <c r="AG147" s="119" t="b">
        <f t="shared" si="263"/>
        <v>1</v>
      </c>
      <c r="AH147" s="119" t="b">
        <f t="shared" si="264"/>
        <v>1</v>
      </c>
      <c r="AI147" s="119" t="b">
        <f t="shared" si="265"/>
        <v>0</v>
      </c>
      <c r="AJ147" s="119" t="b">
        <f t="shared" si="266"/>
        <v>1</v>
      </c>
      <c r="AK147" s="119" t="b">
        <f t="shared" si="267"/>
        <v>0</v>
      </c>
      <c r="AL147" s="119" t="b">
        <f t="shared" si="268"/>
        <v>0</v>
      </c>
      <c r="AM147" s="119" t="b">
        <f t="shared" si="269"/>
        <v>0</v>
      </c>
      <c r="AN147" s="119" t="b">
        <f t="shared" si="270"/>
        <v>0</v>
      </c>
      <c r="AO147" s="119" t="b">
        <f t="shared" si="271"/>
        <v>1</v>
      </c>
      <c r="AQ147" s="2"/>
      <c r="AR147" s="2"/>
      <c r="AS147" s="2"/>
      <c r="AT147" s="195"/>
      <c r="AU147" s="195"/>
      <c r="AV147" s="195"/>
      <c r="AW147" s="195"/>
      <c r="AX147" s="195"/>
      <c r="AY147" s="195"/>
      <c r="AZ147" s="195"/>
      <c r="BA147" s="195"/>
      <c r="BB147" s="195"/>
      <c r="BC147" s="195"/>
      <c r="BD147" s="195"/>
      <c r="BE147" s="195"/>
      <c r="BF147" s="195"/>
      <c r="BG147" s="195"/>
      <c r="BH147" s="195"/>
      <c r="BI147" s="195"/>
      <c r="BJ147" s="195"/>
      <c r="BK147" s="195"/>
      <c r="BL147" s="195"/>
      <c r="BM147" s="195"/>
      <c r="BN147" s="195"/>
      <c r="BO147" s="195"/>
      <c r="BP147" s="195"/>
      <c r="BQ147" s="195"/>
      <c r="BR147" s="195"/>
      <c r="BS147" s="195"/>
      <c r="BT147" s="195"/>
      <c r="BU147" s="195"/>
      <c r="BV147" s="195"/>
      <c r="BW147" s="195"/>
      <c r="BX147" s="195"/>
      <c r="BY147" s="195"/>
      <c r="BZ147" s="195"/>
      <c r="CA147" s="195"/>
    </row>
    <row r="148" spans="1:79">
      <c r="A148" s="119" t="str">
        <f>'Reference Score Calculation'!A125</f>
        <v>JS3910</v>
      </c>
      <c r="B148" s="119" t="str">
        <f>'Reference Score Calculation'!A125</f>
        <v>JS3910</v>
      </c>
      <c r="C148" s="119" t="str">
        <f>'Reference Score Calculation'!D125</f>
        <v>食品科技與食物安全(榮譽)理學士組合課程</v>
      </c>
      <c r="E148" s="134" t="str">
        <f>'Reference Score Calculation'!E125</f>
        <v>Best 5</v>
      </c>
      <c r="F148" s="134"/>
      <c r="G148" s="119" t="str">
        <f>入學要求!AB134</f>
        <v>v</v>
      </c>
      <c r="H148" s="119" t="str">
        <f>入學要求!AC134</f>
        <v>E</v>
      </c>
      <c r="I148" s="119" t="str">
        <f>入學要求!AD134</f>
        <v xml:space="preserve">v </v>
      </c>
      <c r="J148" s="119">
        <f t="shared" ref="J148" si="273">SUMIF(AF148:AO148,TRUE,V148:AE148)</f>
        <v>1.7E-8</v>
      </c>
      <c r="K148" s="119">
        <f t="shared" si="260"/>
        <v>7</v>
      </c>
      <c r="L148" s="119">
        <f t="shared" si="260"/>
        <v>10</v>
      </c>
      <c r="M148" s="119">
        <f t="shared" si="260"/>
        <v>10</v>
      </c>
      <c r="N148" s="119">
        <v>0</v>
      </c>
      <c r="O148" s="119">
        <f t="shared" si="272"/>
        <v>7</v>
      </c>
      <c r="P148" s="119">
        <f t="shared" si="272"/>
        <v>0</v>
      </c>
      <c r="Q148" s="119">
        <f t="shared" si="272"/>
        <v>0</v>
      </c>
      <c r="R148" s="119">
        <f t="shared" si="272"/>
        <v>0</v>
      </c>
      <c r="S148" s="119">
        <f t="shared" si="272"/>
        <v>0</v>
      </c>
      <c r="T148" s="119">
        <v>6</v>
      </c>
      <c r="V148" s="119">
        <f t="shared" si="234"/>
        <v>2.8000000000000003E-9</v>
      </c>
      <c r="W148" s="119">
        <f t="shared" si="235"/>
        <v>2.0000000000000001E-9</v>
      </c>
      <c r="X148" s="119">
        <f t="shared" si="236"/>
        <v>3E-9</v>
      </c>
      <c r="Y148" s="119">
        <f t="shared" si="237"/>
        <v>0</v>
      </c>
      <c r="Z148" s="119">
        <f t="shared" si="238"/>
        <v>3.5000000000000003E-9</v>
      </c>
      <c r="AA148" s="119">
        <f t="shared" si="239"/>
        <v>0</v>
      </c>
      <c r="AB148" s="119">
        <f t="shared" si="240"/>
        <v>0</v>
      </c>
      <c r="AC148" s="119">
        <f t="shared" si="241"/>
        <v>0</v>
      </c>
      <c r="AD148" s="119">
        <f t="shared" si="242"/>
        <v>0</v>
      </c>
      <c r="AE148" s="119">
        <f t="shared" si="243"/>
        <v>5.6999999999999998E-9</v>
      </c>
      <c r="AF148" s="119" t="b">
        <f t="shared" si="262"/>
        <v>1</v>
      </c>
      <c r="AG148" s="119" t="b">
        <f t="shared" si="263"/>
        <v>1</v>
      </c>
      <c r="AH148" s="119" t="b">
        <f t="shared" si="264"/>
        <v>1</v>
      </c>
      <c r="AI148" s="119" t="b">
        <f t="shared" si="265"/>
        <v>0</v>
      </c>
      <c r="AJ148" s="119" t="b">
        <f t="shared" si="266"/>
        <v>1</v>
      </c>
      <c r="AK148" s="119" t="b">
        <f t="shared" si="267"/>
        <v>0</v>
      </c>
      <c r="AL148" s="119" t="b">
        <f t="shared" si="268"/>
        <v>0</v>
      </c>
      <c r="AM148" s="119" t="b">
        <f t="shared" si="269"/>
        <v>0</v>
      </c>
      <c r="AN148" s="119" t="b">
        <f t="shared" si="270"/>
        <v>0</v>
      </c>
      <c r="AO148" s="119" t="b">
        <f t="shared" si="271"/>
        <v>1</v>
      </c>
      <c r="AQ148" s="2"/>
      <c r="AR148" s="2"/>
      <c r="AS148" s="2"/>
      <c r="AT148" s="195"/>
      <c r="AU148" s="195"/>
      <c r="AV148" s="195"/>
      <c r="AW148" s="195"/>
      <c r="AX148" s="195"/>
      <c r="AY148" s="195"/>
      <c r="AZ148" s="195"/>
      <c r="BA148" s="195"/>
      <c r="BB148" s="195"/>
      <c r="BC148" s="195"/>
      <c r="BD148" s="195"/>
      <c r="BE148" s="195"/>
      <c r="BF148" s="195"/>
      <c r="BG148" s="195"/>
      <c r="BH148" s="195"/>
      <c r="BI148" s="195"/>
      <c r="BJ148" s="195"/>
      <c r="BK148" s="195"/>
      <c r="BL148" s="195"/>
      <c r="BM148" s="195"/>
      <c r="BN148" s="195"/>
      <c r="BO148" s="195"/>
      <c r="BP148" s="195"/>
      <c r="BQ148" s="195"/>
      <c r="BR148" s="195"/>
      <c r="BS148" s="195"/>
      <c r="BT148" s="195"/>
      <c r="BU148" s="195"/>
      <c r="BV148" s="195"/>
      <c r="BW148" s="195"/>
      <c r="BX148" s="195"/>
      <c r="BY148" s="195"/>
      <c r="BZ148" s="195"/>
      <c r="CA148" s="195"/>
    </row>
    <row r="149" spans="1:79">
      <c r="C149" s="409" t="s">
        <v>2981</v>
      </c>
      <c r="AT149" s="195"/>
      <c r="AU149" s="195"/>
      <c r="AV149" s="195"/>
      <c r="AW149" s="195"/>
      <c r="AX149" s="195"/>
      <c r="AY149" s="195"/>
      <c r="AZ149" s="195"/>
      <c r="BA149" s="195"/>
      <c r="BB149" s="195"/>
      <c r="BC149" s="195"/>
      <c r="BD149" s="195"/>
      <c r="BE149" s="195"/>
      <c r="BF149" s="195"/>
      <c r="BG149" s="195"/>
      <c r="BH149" s="195"/>
      <c r="BI149" s="195"/>
      <c r="BJ149" s="195"/>
      <c r="BK149" s="195"/>
      <c r="BL149" s="195"/>
      <c r="BM149" s="195"/>
      <c r="BN149" s="195"/>
      <c r="BO149" s="195"/>
      <c r="BP149" s="195"/>
      <c r="BQ149" s="195"/>
      <c r="BR149" s="195"/>
      <c r="BS149" s="195"/>
      <c r="BT149" s="195"/>
      <c r="BU149" s="195"/>
      <c r="BV149" s="195"/>
      <c r="BW149" s="195"/>
      <c r="BX149" s="195"/>
      <c r="BY149" s="195"/>
      <c r="BZ149" s="195"/>
      <c r="CA149" s="195"/>
    </row>
    <row r="150" spans="1:79">
      <c r="A150" s="142"/>
      <c r="B150" s="251" t="s">
        <v>255</v>
      </c>
      <c r="C150" s="145"/>
      <c r="D150" s="193"/>
      <c r="E150" s="252"/>
      <c r="F150" s="458"/>
      <c r="G150" s="94" t="s">
        <v>297</v>
      </c>
      <c r="H150" s="94" t="s">
        <v>298</v>
      </c>
      <c r="I150" s="94" t="s">
        <v>299</v>
      </c>
      <c r="J150" s="154" t="s">
        <v>245</v>
      </c>
      <c r="K150" s="154" t="s">
        <v>274</v>
      </c>
      <c r="L150" s="154" t="s">
        <v>275</v>
      </c>
      <c r="M150" s="154" t="s">
        <v>276</v>
      </c>
      <c r="N150" s="154" t="s">
        <v>277</v>
      </c>
      <c r="O150" s="154" t="s">
        <v>278</v>
      </c>
      <c r="P150" s="154" t="s">
        <v>279</v>
      </c>
      <c r="Q150" s="154" t="s">
        <v>280</v>
      </c>
      <c r="R150" s="154" t="s">
        <v>281</v>
      </c>
      <c r="S150" s="154" t="s">
        <v>282</v>
      </c>
      <c r="T150" s="154" t="s">
        <v>319</v>
      </c>
      <c r="U150" s="154"/>
      <c r="V150" s="154" t="str">
        <f t="shared" ref="V150:AE150" si="274">K1</f>
        <v>中國語文</v>
      </c>
      <c r="W150" s="154" t="str">
        <f t="shared" si="274"/>
        <v>英國語文</v>
      </c>
      <c r="X150" s="154" t="str">
        <f t="shared" si="274"/>
        <v>數學</v>
      </c>
      <c r="Y150" s="154" t="str">
        <f t="shared" si="274"/>
        <v>通識教育</v>
      </c>
      <c r="Z150" s="154" t="str">
        <f t="shared" si="274"/>
        <v>數學延伸</v>
      </c>
      <c r="AA150" s="154" t="str">
        <f t="shared" si="274"/>
        <v>請選擇第一選修科</v>
      </c>
      <c r="AB150" s="154" t="str">
        <f t="shared" si="274"/>
        <v>請選擇第二選修科</v>
      </c>
      <c r="AC150" s="154" t="str">
        <f t="shared" si="274"/>
        <v>請選擇第三選修科</v>
      </c>
      <c r="AD150" s="154" t="str">
        <f t="shared" si="274"/>
        <v>請選擇第四選修科</v>
      </c>
      <c r="AE150" s="154" t="str">
        <f t="shared" si="274"/>
        <v>請選擇語言科目</v>
      </c>
      <c r="AF150" s="154" t="s">
        <v>284</v>
      </c>
      <c r="AG150" s="154" t="s">
        <v>285</v>
      </c>
      <c r="AH150" s="154" t="s">
        <v>286</v>
      </c>
      <c r="AI150" s="154" t="s">
        <v>287</v>
      </c>
      <c r="AJ150" s="154" t="s">
        <v>288</v>
      </c>
      <c r="AK150" s="154" t="s">
        <v>289</v>
      </c>
      <c r="AL150" s="154" t="s">
        <v>290</v>
      </c>
      <c r="AM150" s="154" t="s">
        <v>291</v>
      </c>
      <c r="AN150" s="154" t="s">
        <v>292</v>
      </c>
      <c r="AO150" s="154" t="s">
        <v>320</v>
      </c>
      <c r="AP150" s="142"/>
      <c r="AQ150" s="142"/>
      <c r="AR150" s="142"/>
      <c r="AS150" s="142"/>
    </row>
    <row r="151" spans="1:79" s="145" customFormat="1">
      <c r="A151" s="142" t="str">
        <f>'Reference Score Calculation'!A128</f>
        <v>JS4006</v>
      </c>
      <c r="B151" s="193" t="str">
        <f>'Reference Score Calculation'!A128</f>
        <v>JS4006</v>
      </c>
      <c r="C151" s="193" t="str">
        <f>'Reference Score Calculation'!D128</f>
        <v>人類學</v>
      </c>
      <c r="D151" s="193"/>
      <c r="E151" s="193" t="str">
        <f>'Reference Score Calculation'!E128</f>
        <v>Best 5</v>
      </c>
      <c r="F151" s="95"/>
      <c r="G151" s="95" t="str">
        <f>入學要求!AB137</f>
        <v>v</v>
      </c>
      <c r="H151" s="95" t="str">
        <f>入學要求!AC137</f>
        <v>E</v>
      </c>
      <c r="I151" s="95" t="str">
        <f>入學要求!AD137</f>
        <v>NO</v>
      </c>
      <c r="J151" s="193">
        <f>SUMIF(AF151:AO151,TRUE,V151:AE151)</f>
        <v>3.9500000000000006E-9</v>
      </c>
      <c r="K151" s="193">
        <v>1</v>
      </c>
      <c r="L151" s="193">
        <v>1</v>
      </c>
      <c r="M151" s="193">
        <v>1</v>
      </c>
      <c r="N151" s="193">
        <v>0</v>
      </c>
      <c r="O151" s="193">
        <v>1</v>
      </c>
      <c r="P151" s="193">
        <v>1</v>
      </c>
      <c r="Q151" s="193">
        <v>1</v>
      </c>
      <c r="R151" s="193">
        <v>1</v>
      </c>
      <c r="S151" s="193">
        <v>1</v>
      </c>
      <c r="T151" s="193">
        <v>1</v>
      </c>
      <c r="U151" s="95"/>
      <c r="V151" s="142">
        <f t="shared" ref="V151:V190" si="275">K$6*K151</f>
        <v>4.0000000000000001E-10</v>
      </c>
      <c r="W151" s="142">
        <f t="shared" ref="W151:W190" si="276">L$6*L151</f>
        <v>2.0000000000000001E-10</v>
      </c>
      <c r="X151" s="142">
        <f t="shared" ref="X151:X190" si="277">M$6*M151</f>
        <v>3E-10</v>
      </c>
      <c r="Y151" s="142">
        <f t="shared" ref="Y151:Y190" si="278">N$6*N151</f>
        <v>0</v>
      </c>
      <c r="Z151" s="142">
        <f t="shared" ref="Z151:Z190" si="279">IF(G151="v",O$6*O151,0)</f>
        <v>5.0000000000000003E-10</v>
      </c>
      <c r="AA151" s="142">
        <f t="shared" ref="AA151:AA190" si="280">P$6*P151</f>
        <v>6E-10</v>
      </c>
      <c r="AB151" s="142">
        <f t="shared" ref="AB151:AB190" si="281">Q$6*Q151</f>
        <v>6.9999999999999996E-10</v>
      </c>
      <c r="AC151" s="142">
        <f t="shared" ref="AC151:AC190" si="282">R$6*R151</f>
        <v>8.0000000000000003E-10</v>
      </c>
      <c r="AD151" s="142">
        <f t="shared" ref="AD151:AD190" si="283">S$6*S151</f>
        <v>8.9999999999999999E-10</v>
      </c>
      <c r="AE151" s="142">
        <f t="shared" ref="AE151:AE182" si="284">IF(H151="E",T$6*T151,0)</f>
        <v>9.5000000000000003E-10</v>
      </c>
      <c r="AF151" s="142" t="b">
        <f t="shared" ref="AF151:AF160" si="285">IF($E151="4C2X",TRUE,IF($E151="Best 5",IF(V151&gt;LARGE($V151:$AE151,6),TRUE)))</f>
        <v>0</v>
      </c>
      <c r="AG151" s="142" t="b">
        <f t="shared" ref="AG151:AG160" si="286">IF($E151="4C2X",TRUE,IF($E151="Best 5",IF(W151&gt;LARGE($V151:$AE151,6),TRUE)))</f>
        <v>0</v>
      </c>
      <c r="AH151" s="142" t="b">
        <f t="shared" ref="AH151:AH160" si="287">IF($E151="4C2X",TRUE,IF($E151="Best 5",IF(X151&gt;LARGE($V151:$AE151,6),TRUE)))</f>
        <v>0</v>
      </c>
      <c r="AI151" s="142" t="b">
        <f t="shared" ref="AI151:AI160" si="288">IF($E151="4C2X",TRUE,IF($E151="Best 5",IF(Y151&gt;LARGE($V151:$AE151,6),TRUE)))</f>
        <v>0</v>
      </c>
      <c r="AJ151" s="142" t="b">
        <f t="shared" ref="AJ151:AJ160" si="289">IF($E151="4C2X",IF(Z151&gt;LARGE($Z151:$AE151,3),TRUE),IF($E151="Best 5",IF(Z151&gt;LARGE($V151:$AE151,6),TRUE)))</f>
        <v>0</v>
      </c>
      <c r="AK151" s="142" t="b">
        <f t="shared" ref="AK151:AK160" si="290">IF($E151="4C2X",IF(AA151&gt;LARGE($Z151:$AE151,3),TRUE),IF($E151="Best 5",IF(AA151&gt;LARGE($V151:$AE151,6),TRUE)))</f>
        <v>1</v>
      </c>
      <c r="AL151" s="142" t="b">
        <f t="shared" ref="AL151:AL160" si="291">IF($E151="4C2X",IF(AB151&gt;LARGE($Z151:$AE151,3),TRUE),IF($E151="Best 5",IF(AB151&gt;LARGE($V151:$AE151,6),TRUE)))</f>
        <v>1</v>
      </c>
      <c r="AM151" s="142" t="b">
        <f t="shared" ref="AM151:AM160" si="292">IF($E151="4C2X",IF(AC151&gt;LARGE($Z151:$AE151,3),TRUE),IF($E151="Best 5",IF(AC151&gt;LARGE($V151:$AE151,6),TRUE)))</f>
        <v>1</v>
      </c>
      <c r="AN151" s="142" t="b">
        <f t="shared" ref="AN151:AN160" si="293">IF($E151="4C2X",IF(AD151&gt;LARGE($Z151:$AE151,3),TRUE),IF($E151="Best 5",IF(AD151&gt;LARGE($V151:$AE151,6),TRUE)))</f>
        <v>1</v>
      </c>
      <c r="AO151" s="142" t="b">
        <f t="shared" ref="AO151:AO160" si="294">IF($E151="4C2X",IF(AE151&gt;LARGE($Z151:$AE151,3),TRUE),IF($E151="Best 5",IF(AE151&gt;LARGE($V151:$AE151,6),TRUE)))</f>
        <v>1</v>
      </c>
      <c r="AP151" s="142" t="str">
        <f>'Reference Score Calculation'!AU128</f>
        <v>無</v>
      </c>
      <c r="AQ151" s="95" t="str">
        <f>'Reference Score Calculation'!M128</f>
        <v>/</v>
      </c>
      <c r="AR151" s="95"/>
      <c r="AS151" s="95"/>
    </row>
    <row r="152" spans="1:79">
      <c r="A152" s="142" t="str">
        <f>'Reference Score Calculation'!A129</f>
        <v>JS4018</v>
      </c>
      <c r="B152" s="193" t="str">
        <f>'Reference Score Calculation'!A129</f>
        <v>JS4018</v>
      </c>
      <c r="C152" s="193" t="str">
        <f>'Reference Score Calculation'!D129</f>
        <v>中國語言及文學</v>
      </c>
      <c r="D152" s="193"/>
      <c r="E152" s="193" t="str">
        <f>'Reference Score Calculation'!E129</f>
        <v>Best 5</v>
      </c>
      <c r="F152" s="95"/>
      <c r="G152" s="95" t="str">
        <f>入學要求!AB138</f>
        <v>v</v>
      </c>
      <c r="H152" s="95" t="str">
        <f>入學要求!AC138</f>
        <v>E</v>
      </c>
      <c r="I152" s="95" t="str">
        <f>入學要求!AD138</f>
        <v>NO</v>
      </c>
      <c r="J152" s="193">
        <f t="shared" ref="J152:J217" si="295">SUMIF(AF152:AO152,TRUE,V152:AE152)</f>
        <v>3.9500000000000006E-9</v>
      </c>
      <c r="K152" s="193">
        <v>1.2</v>
      </c>
      <c r="L152" s="193">
        <v>1</v>
      </c>
      <c r="M152" s="193">
        <v>1</v>
      </c>
      <c r="N152" s="193">
        <v>0</v>
      </c>
      <c r="O152" s="193">
        <v>1</v>
      </c>
      <c r="P152" s="193">
        <v>1</v>
      </c>
      <c r="Q152" s="193">
        <v>1</v>
      </c>
      <c r="R152" s="193">
        <v>1</v>
      </c>
      <c r="S152" s="193">
        <v>1</v>
      </c>
      <c r="T152" s="193">
        <v>1</v>
      </c>
      <c r="U152" s="95"/>
      <c r="V152" s="142">
        <f t="shared" si="275"/>
        <v>4.8E-10</v>
      </c>
      <c r="W152" s="142">
        <f t="shared" si="276"/>
        <v>2.0000000000000001E-10</v>
      </c>
      <c r="X152" s="142">
        <f t="shared" si="277"/>
        <v>3E-10</v>
      </c>
      <c r="Y152" s="142">
        <f t="shared" si="278"/>
        <v>0</v>
      </c>
      <c r="Z152" s="142">
        <f t="shared" si="279"/>
        <v>5.0000000000000003E-10</v>
      </c>
      <c r="AA152" s="142">
        <f t="shared" si="280"/>
        <v>6E-10</v>
      </c>
      <c r="AB152" s="142">
        <f t="shared" si="281"/>
        <v>6.9999999999999996E-10</v>
      </c>
      <c r="AC152" s="142">
        <f t="shared" si="282"/>
        <v>8.0000000000000003E-10</v>
      </c>
      <c r="AD152" s="142">
        <f t="shared" si="283"/>
        <v>8.9999999999999999E-10</v>
      </c>
      <c r="AE152" s="142">
        <f t="shared" si="284"/>
        <v>9.5000000000000003E-10</v>
      </c>
      <c r="AF152" s="142" t="b">
        <f t="shared" si="285"/>
        <v>0</v>
      </c>
      <c r="AG152" s="142" t="b">
        <f t="shared" si="286"/>
        <v>0</v>
      </c>
      <c r="AH152" s="142" t="b">
        <f t="shared" si="287"/>
        <v>0</v>
      </c>
      <c r="AI152" s="142" t="b">
        <f t="shared" si="288"/>
        <v>0</v>
      </c>
      <c r="AJ152" s="142" t="b">
        <f t="shared" si="289"/>
        <v>0</v>
      </c>
      <c r="AK152" s="142" t="b">
        <f t="shared" si="290"/>
        <v>1</v>
      </c>
      <c r="AL152" s="142" t="b">
        <f t="shared" si="291"/>
        <v>1</v>
      </c>
      <c r="AM152" s="142" t="b">
        <f t="shared" si="292"/>
        <v>1</v>
      </c>
      <c r="AN152" s="142" t="b">
        <f t="shared" si="293"/>
        <v>1</v>
      </c>
      <c r="AO152" s="142" t="b">
        <f t="shared" si="294"/>
        <v>1</v>
      </c>
      <c r="AP152" s="142" t="str">
        <f>'Reference Score Calculation'!AU129</f>
        <v>無</v>
      </c>
      <c r="AQ152" s="95" t="str">
        <f>'Reference Score Calculation'!M129</f>
        <v>/</v>
      </c>
      <c r="AR152" s="95"/>
      <c r="AS152" s="95"/>
      <c r="AT152" s="117" t="s">
        <v>255</v>
      </c>
      <c r="AU152" s="103" t="s">
        <v>300</v>
      </c>
      <c r="AV152" s="104"/>
      <c r="AW152" s="117"/>
      <c r="AX152" s="117"/>
      <c r="AY152" s="117"/>
      <c r="AZ152" s="117"/>
      <c r="BA152" s="117"/>
      <c r="BB152" s="117"/>
      <c r="BC152" s="117"/>
      <c r="BD152" s="117"/>
      <c r="BE152" s="117"/>
      <c r="BG152" s="2"/>
      <c r="BH152" s="2"/>
      <c r="BI152" s="2"/>
      <c r="BJ152" s="2"/>
      <c r="BK152" s="2"/>
    </row>
    <row r="153" spans="1:79">
      <c r="A153" s="142" t="str">
        <f>'Reference Score Calculation'!A130</f>
        <v>JS4020</v>
      </c>
      <c r="B153" s="193" t="str">
        <f>'Reference Score Calculation'!A130</f>
        <v>JS4020</v>
      </c>
      <c r="C153" s="193" t="str">
        <f>'Reference Score Calculation'!D130</f>
        <v>文化研究</v>
      </c>
      <c r="D153" s="193"/>
      <c r="E153" s="193" t="str">
        <f>'Reference Score Calculation'!E130</f>
        <v>Best 5</v>
      </c>
      <c r="F153" s="95"/>
      <c r="G153" s="95" t="str">
        <f>入學要求!AB139</f>
        <v>v</v>
      </c>
      <c r="H153" s="95" t="str">
        <f>入學要求!AC139</f>
        <v>E</v>
      </c>
      <c r="I153" s="95" t="str">
        <f>入學要求!AD139</f>
        <v>NO</v>
      </c>
      <c r="J153" s="193">
        <f t="shared" si="295"/>
        <v>3.9500000000000006E-9</v>
      </c>
      <c r="K153" s="193">
        <v>1</v>
      </c>
      <c r="L153" s="193">
        <v>1</v>
      </c>
      <c r="M153" s="193">
        <v>1</v>
      </c>
      <c r="N153" s="193">
        <v>0</v>
      </c>
      <c r="O153" s="193">
        <v>1</v>
      </c>
      <c r="P153" s="193">
        <v>1</v>
      </c>
      <c r="Q153" s="193">
        <v>1</v>
      </c>
      <c r="R153" s="193">
        <v>1</v>
      </c>
      <c r="S153" s="193">
        <v>1</v>
      </c>
      <c r="T153" s="193">
        <v>1</v>
      </c>
      <c r="U153" s="95"/>
      <c r="V153" s="142">
        <f t="shared" si="275"/>
        <v>4.0000000000000001E-10</v>
      </c>
      <c r="W153" s="142">
        <f t="shared" si="276"/>
        <v>2.0000000000000001E-10</v>
      </c>
      <c r="X153" s="142">
        <f t="shared" si="277"/>
        <v>3E-10</v>
      </c>
      <c r="Y153" s="142">
        <f t="shared" si="278"/>
        <v>0</v>
      </c>
      <c r="Z153" s="142">
        <f t="shared" si="279"/>
        <v>5.0000000000000003E-10</v>
      </c>
      <c r="AA153" s="142">
        <f t="shared" si="280"/>
        <v>6E-10</v>
      </c>
      <c r="AB153" s="142">
        <f t="shared" si="281"/>
        <v>6.9999999999999996E-10</v>
      </c>
      <c r="AC153" s="142">
        <f t="shared" si="282"/>
        <v>8.0000000000000003E-10</v>
      </c>
      <c r="AD153" s="142">
        <f t="shared" si="283"/>
        <v>8.9999999999999999E-10</v>
      </c>
      <c r="AE153" s="142">
        <f t="shared" si="284"/>
        <v>9.5000000000000003E-10</v>
      </c>
      <c r="AF153" s="142" t="b">
        <f t="shared" si="285"/>
        <v>0</v>
      </c>
      <c r="AG153" s="142" t="b">
        <f t="shared" si="286"/>
        <v>0</v>
      </c>
      <c r="AH153" s="142" t="b">
        <f t="shared" si="287"/>
        <v>0</v>
      </c>
      <c r="AI153" s="142" t="b">
        <f t="shared" si="288"/>
        <v>0</v>
      </c>
      <c r="AJ153" s="142" t="b">
        <f t="shared" si="289"/>
        <v>0</v>
      </c>
      <c r="AK153" s="142" t="b">
        <f t="shared" si="290"/>
        <v>1</v>
      </c>
      <c r="AL153" s="142" t="b">
        <f t="shared" si="291"/>
        <v>1</v>
      </c>
      <c r="AM153" s="142" t="b">
        <f t="shared" si="292"/>
        <v>1</v>
      </c>
      <c r="AN153" s="142" t="b">
        <f t="shared" si="293"/>
        <v>1</v>
      </c>
      <c r="AO153" s="142" t="b">
        <f t="shared" si="294"/>
        <v>1</v>
      </c>
      <c r="AP153" s="142" t="str">
        <f>'Reference Score Calculation'!AU130</f>
        <v>無</v>
      </c>
      <c r="AQ153" s="95" t="str">
        <f>'Reference Score Calculation'!M130</f>
        <v>/</v>
      </c>
      <c r="AR153" s="95"/>
      <c r="AS153" s="95"/>
      <c r="AT153" s="196"/>
      <c r="AU153" s="194"/>
      <c r="AV153" s="199"/>
      <c r="AW153" s="196"/>
      <c r="AX153" s="196"/>
      <c r="AY153" s="196"/>
      <c r="AZ153" s="196"/>
      <c r="BA153" s="196"/>
      <c r="BB153" s="196"/>
      <c r="BC153" s="196"/>
      <c r="BD153" s="196"/>
      <c r="BE153" s="196"/>
      <c r="BF153" s="142"/>
      <c r="BG153" s="2"/>
      <c r="BH153" s="2"/>
      <c r="BI153" s="2"/>
      <c r="BJ153" s="2"/>
      <c r="BK153" s="2"/>
    </row>
    <row r="154" spans="1:79">
      <c r="A154" s="142" t="str">
        <f>'Reference Score Calculation'!A131</f>
        <v>JS4022</v>
      </c>
      <c r="B154" s="193" t="str">
        <f>'Reference Score Calculation'!A131</f>
        <v>JS4022</v>
      </c>
      <c r="C154" s="193" t="str">
        <f>'Reference Score Calculation'!D131</f>
        <v>文化管理</v>
      </c>
      <c r="D154" s="193"/>
      <c r="E154" s="193" t="str">
        <f>'Reference Score Calculation'!E131</f>
        <v>Best 5</v>
      </c>
      <c r="F154" s="95"/>
      <c r="G154" s="95" t="str">
        <f>入學要求!AB140</f>
        <v>v</v>
      </c>
      <c r="H154" s="95" t="str">
        <f>入學要求!AC140</f>
        <v>E</v>
      </c>
      <c r="I154" s="95" t="str">
        <f>入學要求!AD140</f>
        <v>NO</v>
      </c>
      <c r="J154" s="193">
        <f t="shared" si="295"/>
        <v>3.9500000000000006E-9</v>
      </c>
      <c r="K154" s="193">
        <v>1</v>
      </c>
      <c r="L154" s="193">
        <v>1</v>
      </c>
      <c r="M154" s="193">
        <v>1</v>
      </c>
      <c r="N154" s="193">
        <v>0</v>
      </c>
      <c r="O154" s="193">
        <v>1</v>
      </c>
      <c r="P154" s="193">
        <v>1</v>
      </c>
      <c r="Q154" s="193">
        <v>1</v>
      </c>
      <c r="R154" s="193">
        <v>1</v>
      </c>
      <c r="S154" s="193">
        <v>1</v>
      </c>
      <c r="T154" s="193">
        <v>1</v>
      </c>
      <c r="U154" s="95"/>
      <c r="V154" s="142">
        <f t="shared" si="275"/>
        <v>4.0000000000000001E-10</v>
      </c>
      <c r="W154" s="142">
        <f t="shared" si="276"/>
        <v>2.0000000000000001E-10</v>
      </c>
      <c r="X154" s="142">
        <f t="shared" si="277"/>
        <v>3E-10</v>
      </c>
      <c r="Y154" s="142">
        <f t="shared" si="278"/>
        <v>0</v>
      </c>
      <c r="Z154" s="142">
        <f t="shared" si="279"/>
        <v>5.0000000000000003E-10</v>
      </c>
      <c r="AA154" s="142">
        <f t="shared" si="280"/>
        <v>6E-10</v>
      </c>
      <c r="AB154" s="142">
        <f t="shared" si="281"/>
        <v>6.9999999999999996E-10</v>
      </c>
      <c r="AC154" s="142">
        <f t="shared" si="282"/>
        <v>8.0000000000000003E-10</v>
      </c>
      <c r="AD154" s="142">
        <f t="shared" si="283"/>
        <v>8.9999999999999999E-10</v>
      </c>
      <c r="AE154" s="142">
        <f t="shared" si="284"/>
        <v>9.5000000000000003E-10</v>
      </c>
      <c r="AF154" s="142" t="b">
        <f t="shared" si="285"/>
        <v>0</v>
      </c>
      <c r="AG154" s="142" t="b">
        <f t="shared" si="286"/>
        <v>0</v>
      </c>
      <c r="AH154" s="142" t="b">
        <f t="shared" si="287"/>
        <v>0</v>
      </c>
      <c r="AI154" s="142" t="b">
        <f t="shared" si="288"/>
        <v>0</v>
      </c>
      <c r="AJ154" s="142" t="b">
        <f t="shared" si="289"/>
        <v>0</v>
      </c>
      <c r="AK154" s="142" t="b">
        <f t="shared" si="290"/>
        <v>1</v>
      </c>
      <c r="AL154" s="142" t="b">
        <f t="shared" si="291"/>
        <v>1</v>
      </c>
      <c r="AM154" s="142" t="b">
        <f t="shared" si="292"/>
        <v>1</v>
      </c>
      <c r="AN154" s="142" t="b">
        <f t="shared" si="293"/>
        <v>1</v>
      </c>
      <c r="AO154" s="142" t="b">
        <f t="shared" si="294"/>
        <v>1</v>
      </c>
      <c r="AP154" s="142" t="str">
        <f>'Reference Score Calculation'!AU131</f>
        <v>無</v>
      </c>
      <c r="AQ154" s="95" t="str">
        <f>'Reference Score Calculation'!M131</f>
        <v>/</v>
      </c>
      <c r="AR154" s="95"/>
      <c r="AS154" s="95"/>
      <c r="AT154" s="198" t="s">
        <v>349</v>
      </c>
      <c r="AU154" s="195" t="s">
        <v>312</v>
      </c>
      <c r="AV154" s="195"/>
      <c r="AW154" s="195"/>
      <c r="AX154" s="195"/>
      <c r="AY154" s="195"/>
      <c r="AZ154" s="195"/>
      <c r="BA154" s="195"/>
      <c r="BB154" s="195"/>
      <c r="BC154" s="195"/>
      <c r="BD154" s="195"/>
      <c r="BE154" s="195"/>
      <c r="BF154" s="142"/>
      <c r="BG154" s="2"/>
      <c r="BH154" s="2"/>
      <c r="BI154" s="2"/>
      <c r="BJ154" s="2"/>
      <c r="BK154" s="2"/>
    </row>
    <row r="155" spans="1:79">
      <c r="A155" s="142" t="str">
        <f>'Reference Score Calculation'!A132</f>
        <v>JS4032</v>
      </c>
      <c r="B155" s="193" t="str">
        <f>'Reference Score Calculation'!A132</f>
        <v>JS4032</v>
      </c>
      <c r="C155" s="193" t="str">
        <f>'Reference Score Calculation'!D132</f>
        <v>英文</v>
      </c>
      <c r="D155" s="193"/>
      <c r="E155" s="193" t="str">
        <f>'Reference Score Calculation'!E132</f>
        <v>Best 5</v>
      </c>
      <c r="F155" s="95"/>
      <c r="G155" s="95" t="str">
        <f>入學要求!AB141</f>
        <v>v</v>
      </c>
      <c r="H155" s="95" t="str">
        <f>入學要求!AC141</f>
        <v>E</v>
      </c>
      <c r="I155" s="95" t="str">
        <f>入學要求!AD141</f>
        <v>NO</v>
      </c>
      <c r="J155" s="193">
        <f t="shared" si="295"/>
        <v>3.9500000000000006E-9</v>
      </c>
      <c r="K155" s="193">
        <v>1</v>
      </c>
      <c r="L155" s="193">
        <v>1.5</v>
      </c>
      <c r="M155" s="193">
        <v>1</v>
      </c>
      <c r="N155" s="193">
        <v>0</v>
      </c>
      <c r="O155" s="193">
        <v>1</v>
      </c>
      <c r="P155" s="193">
        <v>1</v>
      </c>
      <c r="Q155" s="193">
        <v>1</v>
      </c>
      <c r="R155" s="193">
        <v>1</v>
      </c>
      <c r="S155" s="193">
        <v>1</v>
      </c>
      <c r="T155" s="193">
        <v>1</v>
      </c>
      <c r="U155" s="95"/>
      <c r="V155" s="142">
        <f t="shared" si="275"/>
        <v>4.0000000000000001E-10</v>
      </c>
      <c r="W155" s="142">
        <f t="shared" si="276"/>
        <v>3E-10</v>
      </c>
      <c r="X155" s="142">
        <f t="shared" si="277"/>
        <v>3E-10</v>
      </c>
      <c r="Y155" s="142">
        <f t="shared" si="278"/>
        <v>0</v>
      </c>
      <c r="Z155" s="142">
        <f t="shared" si="279"/>
        <v>5.0000000000000003E-10</v>
      </c>
      <c r="AA155" s="142">
        <f t="shared" si="280"/>
        <v>6E-10</v>
      </c>
      <c r="AB155" s="142">
        <f t="shared" si="281"/>
        <v>6.9999999999999996E-10</v>
      </c>
      <c r="AC155" s="142">
        <f t="shared" si="282"/>
        <v>8.0000000000000003E-10</v>
      </c>
      <c r="AD155" s="142">
        <f t="shared" si="283"/>
        <v>8.9999999999999999E-10</v>
      </c>
      <c r="AE155" s="142">
        <f t="shared" si="284"/>
        <v>9.5000000000000003E-10</v>
      </c>
      <c r="AF155" s="142" t="b">
        <f t="shared" si="285"/>
        <v>0</v>
      </c>
      <c r="AG155" s="142" t="b">
        <f t="shared" si="286"/>
        <v>0</v>
      </c>
      <c r="AH155" s="142" t="b">
        <f t="shared" si="287"/>
        <v>0</v>
      </c>
      <c r="AI155" s="142" t="b">
        <f t="shared" si="288"/>
        <v>0</v>
      </c>
      <c r="AJ155" s="142" t="b">
        <f t="shared" si="289"/>
        <v>0</v>
      </c>
      <c r="AK155" s="142" t="b">
        <f t="shared" si="290"/>
        <v>1</v>
      </c>
      <c r="AL155" s="142" t="b">
        <f t="shared" si="291"/>
        <v>1</v>
      </c>
      <c r="AM155" s="142" t="b">
        <f t="shared" si="292"/>
        <v>1</v>
      </c>
      <c r="AN155" s="142" t="b">
        <f t="shared" si="293"/>
        <v>1</v>
      </c>
      <c r="AO155" s="142" t="b">
        <f t="shared" si="294"/>
        <v>1</v>
      </c>
      <c r="AP155" s="142" t="str">
        <f>'Reference Score Calculation'!AU132</f>
        <v>無</v>
      </c>
      <c r="AQ155" s="95" t="str">
        <f>'Reference Score Calculation'!M132</f>
        <v>優先考慮修讀 英語文學 者</v>
      </c>
      <c r="AR155" s="95"/>
      <c r="AS155" s="95"/>
      <c r="AT155" s="198" t="s">
        <v>350</v>
      </c>
      <c r="AU155" s="142" t="str">
        <f>IF(M6&gt;O6,M1,O1)</f>
        <v>數學延伸</v>
      </c>
      <c r="AV155" s="142">
        <f>IF(M6&gt;O6,M6,O6)</f>
        <v>5.0000000000000003E-10</v>
      </c>
      <c r="AW155" s="195"/>
      <c r="AX155" s="195"/>
      <c r="AY155" s="195"/>
      <c r="AZ155" s="195"/>
      <c r="BA155" s="195"/>
      <c r="BB155" s="195"/>
      <c r="BC155" s="195"/>
      <c r="BD155" s="195"/>
      <c r="BE155" s="195"/>
      <c r="BF155" s="142"/>
      <c r="BG155" s="2"/>
      <c r="BH155" s="2"/>
      <c r="BI155" s="2"/>
      <c r="BJ155" s="2"/>
      <c r="BK155" s="2"/>
    </row>
    <row r="156" spans="1:79">
      <c r="A156" s="142" t="str">
        <f>'Reference Score Calculation'!A133</f>
        <v>JS4044</v>
      </c>
      <c r="B156" s="193" t="str">
        <f>'Reference Score Calculation'!A133</f>
        <v>JS4044</v>
      </c>
      <c r="C156" s="193" t="str">
        <f>'Reference Score Calculation'!D133</f>
        <v>藝術</v>
      </c>
      <c r="D156" s="193"/>
      <c r="E156" s="193" t="str">
        <f>'Reference Score Calculation'!E133</f>
        <v>Best 5</v>
      </c>
      <c r="F156" s="95"/>
      <c r="G156" s="95" t="str">
        <f>入學要求!AB142</f>
        <v>v</v>
      </c>
      <c r="H156" s="95" t="str">
        <f>入學要求!AC142</f>
        <v>E</v>
      </c>
      <c r="I156" s="95" t="str">
        <f>入學要求!AD142</f>
        <v>NO</v>
      </c>
      <c r="J156" s="193">
        <f t="shared" si="295"/>
        <v>3.9500000000000006E-9</v>
      </c>
      <c r="K156" s="193">
        <v>1</v>
      </c>
      <c r="L156" s="193">
        <v>1</v>
      </c>
      <c r="M156" s="193">
        <v>1</v>
      </c>
      <c r="N156" s="193">
        <v>0</v>
      </c>
      <c r="O156" s="193">
        <v>1</v>
      </c>
      <c r="P156" s="193">
        <v>1</v>
      </c>
      <c r="Q156" s="193">
        <v>1</v>
      </c>
      <c r="R156" s="193">
        <v>1</v>
      </c>
      <c r="S156" s="193">
        <v>1</v>
      </c>
      <c r="T156" s="193">
        <v>1</v>
      </c>
      <c r="U156" s="95"/>
      <c r="V156" s="142">
        <f t="shared" si="275"/>
        <v>4.0000000000000001E-10</v>
      </c>
      <c r="W156" s="142">
        <f t="shared" si="276"/>
        <v>2.0000000000000001E-10</v>
      </c>
      <c r="X156" s="142">
        <f t="shared" si="277"/>
        <v>3E-10</v>
      </c>
      <c r="Y156" s="142">
        <f t="shared" si="278"/>
        <v>0</v>
      </c>
      <c r="Z156" s="142">
        <f t="shared" si="279"/>
        <v>5.0000000000000003E-10</v>
      </c>
      <c r="AA156" s="142">
        <f t="shared" si="280"/>
        <v>6E-10</v>
      </c>
      <c r="AB156" s="142">
        <f t="shared" si="281"/>
        <v>6.9999999999999996E-10</v>
      </c>
      <c r="AC156" s="142">
        <f t="shared" si="282"/>
        <v>8.0000000000000003E-10</v>
      </c>
      <c r="AD156" s="142">
        <f t="shared" si="283"/>
        <v>8.9999999999999999E-10</v>
      </c>
      <c r="AE156" s="142">
        <f t="shared" si="284"/>
        <v>9.5000000000000003E-10</v>
      </c>
      <c r="AF156" s="142" t="b">
        <f t="shared" si="285"/>
        <v>0</v>
      </c>
      <c r="AG156" s="142" t="b">
        <f t="shared" si="286"/>
        <v>0</v>
      </c>
      <c r="AH156" s="142" t="b">
        <f t="shared" si="287"/>
        <v>0</v>
      </c>
      <c r="AI156" s="142" t="b">
        <f t="shared" si="288"/>
        <v>0</v>
      </c>
      <c r="AJ156" s="142" t="b">
        <f t="shared" si="289"/>
        <v>0</v>
      </c>
      <c r="AK156" s="142" t="b">
        <f t="shared" si="290"/>
        <v>1</v>
      </c>
      <c r="AL156" s="142" t="b">
        <f t="shared" si="291"/>
        <v>1</v>
      </c>
      <c r="AM156" s="142" t="b">
        <f t="shared" si="292"/>
        <v>1</v>
      </c>
      <c r="AN156" s="142" t="b">
        <f t="shared" si="293"/>
        <v>1</v>
      </c>
      <c r="AO156" s="142" t="b">
        <f t="shared" si="294"/>
        <v>1</v>
      </c>
      <c r="AP156" s="142" t="str">
        <f>'Reference Score Calculation'!AU133</f>
        <v>無</v>
      </c>
      <c r="AQ156" s="95" t="str">
        <f>'Reference Score Calculation'!M133</f>
        <v>優先考慮修讀 視覺藝術 者</v>
      </c>
      <c r="AR156" s="95"/>
      <c r="AS156" s="95"/>
      <c r="AT156" s="198"/>
      <c r="AU156" s="200"/>
      <c r="AV156" s="195"/>
      <c r="AW156" s="195"/>
      <c r="AX156" s="195"/>
      <c r="AY156" s="195"/>
      <c r="AZ156" s="195"/>
      <c r="BA156" s="196"/>
      <c r="BB156" s="195"/>
      <c r="BC156" s="195"/>
      <c r="BD156" s="195"/>
      <c r="BE156" s="195"/>
      <c r="BF156" s="142"/>
      <c r="BG156" s="2"/>
      <c r="BH156" s="2"/>
      <c r="BI156" s="2"/>
      <c r="BJ156" s="2"/>
      <c r="BK156" s="2"/>
    </row>
    <row r="157" spans="1:79">
      <c r="A157" s="142" t="str">
        <f>'Reference Score Calculation'!A134</f>
        <v>JS4056</v>
      </c>
      <c r="B157" s="193" t="str">
        <f>'Reference Score Calculation'!A134</f>
        <v>JS4056</v>
      </c>
      <c r="C157" s="193" t="str">
        <f>'Reference Score Calculation'!D134</f>
        <v>歷史</v>
      </c>
      <c r="D157" s="193"/>
      <c r="E157" s="193" t="str">
        <f>'Reference Score Calculation'!E134</f>
        <v>Best 5</v>
      </c>
      <c r="F157" s="95"/>
      <c r="G157" s="95" t="str">
        <f>入學要求!AB143</f>
        <v>v</v>
      </c>
      <c r="H157" s="95" t="str">
        <f>入學要求!AC143</f>
        <v>E</v>
      </c>
      <c r="I157" s="95" t="str">
        <f>入學要求!AD143</f>
        <v>NO</v>
      </c>
      <c r="J157" s="193">
        <f t="shared" si="295"/>
        <v>3.9500000000000006E-9</v>
      </c>
      <c r="K157" s="193">
        <v>1</v>
      </c>
      <c r="L157" s="193">
        <v>1</v>
      </c>
      <c r="M157" s="193">
        <v>1</v>
      </c>
      <c r="N157" s="193">
        <v>0</v>
      </c>
      <c r="O157" s="193">
        <v>1</v>
      </c>
      <c r="P157" s="193">
        <v>1</v>
      </c>
      <c r="Q157" s="193">
        <v>1</v>
      </c>
      <c r="R157" s="193">
        <v>1</v>
      </c>
      <c r="S157" s="193">
        <v>1</v>
      </c>
      <c r="T157" s="193">
        <v>1</v>
      </c>
      <c r="U157" s="95"/>
      <c r="V157" s="142">
        <f t="shared" si="275"/>
        <v>4.0000000000000001E-10</v>
      </c>
      <c r="W157" s="142">
        <f t="shared" si="276"/>
        <v>2.0000000000000001E-10</v>
      </c>
      <c r="X157" s="142">
        <f t="shared" si="277"/>
        <v>3E-10</v>
      </c>
      <c r="Y157" s="142">
        <f t="shared" si="278"/>
        <v>0</v>
      </c>
      <c r="Z157" s="142">
        <f t="shared" si="279"/>
        <v>5.0000000000000003E-10</v>
      </c>
      <c r="AA157" s="142">
        <f t="shared" si="280"/>
        <v>6E-10</v>
      </c>
      <c r="AB157" s="142">
        <f t="shared" si="281"/>
        <v>6.9999999999999996E-10</v>
      </c>
      <c r="AC157" s="142">
        <f t="shared" si="282"/>
        <v>8.0000000000000003E-10</v>
      </c>
      <c r="AD157" s="142">
        <f t="shared" si="283"/>
        <v>8.9999999999999999E-10</v>
      </c>
      <c r="AE157" s="142">
        <f t="shared" si="284"/>
        <v>9.5000000000000003E-10</v>
      </c>
      <c r="AF157" s="142" t="b">
        <f t="shared" si="285"/>
        <v>0</v>
      </c>
      <c r="AG157" s="142" t="b">
        <f t="shared" si="286"/>
        <v>0</v>
      </c>
      <c r="AH157" s="142" t="b">
        <f t="shared" si="287"/>
        <v>0</v>
      </c>
      <c r="AI157" s="142" t="b">
        <f t="shared" si="288"/>
        <v>0</v>
      </c>
      <c r="AJ157" s="142" t="b">
        <f t="shared" si="289"/>
        <v>0</v>
      </c>
      <c r="AK157" s="142" t="b">
        <f t="shared" si="290"/>
        <v>1</v>
      </c>
      <c r="AL157" s="142" t="b">
        <f t="shared" si="291"/>
        <v>1</v>
      </c>
      <c r="AM157" s="142" t="b">
        <f t="shared" si="292"/>
        <v>1</v>
      </c>
      <c r="AN157" s="142" t="b">
        <f t="shared" si="293"/>
        <v>1</v>
      </c>
      <c r="AO157" s="142" t="b">
        <f t="shared" si="294"/>
        <v>1</v>
      </c>
      <c r="AP157" s="142" t="str">
        <f>'Reference Score Calculation'!AU134</f>
        <v>無</v>
      </c>
      <c r="AQ157" s="95" t="str">
        <f>'Reference Score Calculation'!M134</f>
        <v>/</v>
      </c>
      <c r="AR157" s="95"/>
      <c r="AS157" s="95"/>
      <c r="AT157" s="198"/>
      <c r="AU157" s="195" t="str">
        <f t="shared" ref="AU157:BD157" si="296">K1</f>
        <v>中國語文</v>
      </c>
      <c r="AV157" s="195" t="str">
        <f t="shared" si="296"/>
        <v>英國語文</v>
      </c>
      <c r="AW157" s="195" t="str">
        <f t="shared" si="296"/>
        <v>數學</v>
      </c>
      <c r="AX157" s="195" t="str">
        <f t="shared" si="296"/>
        <v>通識教育</v>
      </c>
      <c r="AY157" s="195" t="str">
        <f t="shared" si="296"/>
        <v>數學延伸</v>
      </c>
      <c r="AZ157" s="195" t="str">
        <f t="shared" si="296"/>
        <v>請選擇第一選修科</v>
      </c>
      <c r="BA157" s="195" t="str">
        <f t="shared" si="296"/>
        <v>請選擇第二選修科</v>
      </c>
      <c r="BB157" s="195" t="str">
        <f t="shared" si="296"/>
        <v>請選擇第三選修科</v>
      </c>
      <c r="BC157" s="195" t="str">
        <f t="shared" si="296"/>
        <v>請選擇第四選修科</v>
      </c>
      <c r="BD157" s="195" t="str">
        <f t="shared" si="296"/>
        <v>請選擇語言科目</v>
      </c>
      <c r="BE157" s="195"/>
      <c r="BF157" s="142"/>
      <c r="BG157" s="2"/>
      <c r="BH157" s="2"/>
      <c r="BI157" s="2"/>
      <c r="BJ157" s="2"/>
      <c r="BK157" s="2"/>
    </row>
    <row r="158" spans="1:79">
      <c r="A158" s="142" t="str">
        <f>'Reference Score Calculation'!A135</f>
        <v>JS4068</v>
      </c>
      <c r="B158" s="193" t="str">
        <f>'Reference Score Calculation'!A135</f>
        <v>JS4068</v>
      </c>
      <c r="C158" s="193" t="str">
        <f>'Reference Score Calculation'!D135</f>
        <v>日本研究</v>
      </c>
      <c r="D158" s="193"/>
      <c r="E158" s="193" t="str">
        <f>'Reference Score Calculation'!E135</f>
        <v>Best 5</v>
      </c>
      <c r="F158" s="95"/>
      <c r="G158" s="95" t="str">
        <f>入學要求!AB144</f>
        <v>v</v>
      </c>
      <c r="H158" s="95" t="str">
        <f>入學要求!AC144</f>
        <v>E</v>
      </c>
      <c r="I158" s="95" t="str">
        <f>入學要求!AD144</f>
        <v>NO</v>
      </c>
      <c r="J158" s="193">
        <f t="shared" si="295"/>
        <v>3.9500000000000006E-9</v>
      </c>
      <c r="K158" s="193">
        <v>1</v>
      </c>
      <c r="L158" s="193">
        <v>1</v>
      </c>
      <c r="M158" s="193">
        <v>1</v>
      </c>
      <c r="N158" s="193">
        <v>0</v>
      </c>
      <c r="O158" s="193">
        <v>1</v>
      </c>
      <c r="P158" s="193">
        <v>1</v>
      </c>
      <c r="Q158" s="193">
        <v>1</v>
      </c>
      <c r="R158" s="193">
        <v>1</v>
      </c>
      <c r="S158" s="193">
        <v>1</v>
      </c>
      <c r="T158" s="193">
        <v>1</v>
      </c>
      <c r="U158" s="95"/>
      <c r="V158" s="142">
        <f t="shared" si="275"/>
        <v>4.0000000000000001E-10</v>
      </c>
      <c r="W158" s="142">
        <f t="shared" si="276"/>
        <v>2.0000000000000001E-10</v>
      </c>
      <c r="X158" s="142">
        <f t="shared" si="277"/>
        <v>3E-10</v>
      </c>
      <c r="Y158" s="142">
        <f t="shared" si="278"/>
        <v>0</v>
      </c>
      <c r="Z158" s="142">
        <f t="shared" si="279"/>
        <v>5.0000000000000003E-10</v>
      </c>
      <c r="AA158" s="142">
        <f t="shared" si="280"/>
        <v>6E-10</v>
      </c>
      <c r="AB158" s="142">
        <f t="shared" si="281"/>
        <v>6.9999999999999996E-10</v>
      </c>
      <c r="AC158" s="142">
        <f t="shared" si="282"/>
        <v>8.0000000000000003E-10</v>
      </c>
      <c r="AD158" s="142">
        <f t="shared" si="283"/>
        <v>8.9999999999999999E-10</v>
      </c>
      <c r="AE158" s="142">
        <f t="shared" si="284"/>
        <v>9.5000000000000003E-10</v>
      </c>
      <c r="AF158" s="142" t="b">
        <f t="shared" si="285"/>
        <v>0</v>
      </c>
      <c r="AG158" s="142" t="b">
        <f t="shared" si="286"/>
        <v>0</v>
      </c>
      <c r="AH158" s="142" t="b">
        <f t="shared" si="287"/>
        <v>0</v>
      </c>
      <c r="AI158" s="142" t="b">
        <f t="shared" si="288"/>
        <v>0</v>
      </c>
      <c r="AJ158" s="142" t="b">
        <f t="shared" si="289"/>
        <v>0</v>
      </c>
      <c r="AK158" s="142" t="b">
        <f t="shared" si="290"/>
        <v>1</v>
      </c>
      <c r="AL158" s="142" t="b">
        <f t="shared" si="291"/>
        <v>1</v>
      </c>
      <c r="AM158" s="142" t="b">
        <f t="shared" si="292"/>
        <v>1</v>
      </c>
      <c r="AN158" s="142" t="b">
        <f t="shared" si="293"/>
        <v>1</v>
      </c>
      <c r="AO158" s="142" t="b">
        <f t="shared" si="294"/>
        <v>1</v>
      </c>
      <c r="AP158" s="142" t="str">
        <f>'Reference Score Calculation'!AU135</f>
        <v>無</v>
      </c>
      <c r="AQ158" s="95" t="str">
        <f>'Reference Score Calculation'!M135</f>
        <v>/</v>
      </c>
      <c r="AR158" s="95"/>
      <c r="AS158" s="95"/>
      <c r="AT158" s="198"/>
      <c r="AU158" s="142">
        <f>K6</f>
        <v>4.0000000000000001E-10</v>
      </c>
      <c r="AV158" s="142">
        <f>0</f>
        <v>0</v>
      </c>
      <c r="AW158" s="142">
        <f>IF(AW157=AU155,0,M6)</f>
        <v>3E-10</v>
      </c>
      <c r="AX158" s="142">
        <f>N6</f>
        <v>0</v>
      </c>
      <c r="AY158" s="142">
        <f>IF(AY157=AU155,0,O6)</f>
        <v>0</v>
      </c>
      <c r="AZ158" s="142">
        <f>P6</f>
        <v>6E-10</v>
      </c>
      <c r="BA158" s="142">
        <f>Q6</f>
        <v>6.9999999999999996E-10</v>
      </c>
      <c r="BB158" s="142">
        <f>R6</f>
        <v>8.0000000000000003E-10</v>
      </c>
      <c r="BC158" s="142">
        <f>S6</f>
        <v>8.9999999999999999E-10</v>
      </c>
      <c r="BD158" s="142">
        <f>T6</f>
        <v>9.5000000000000003E-10</v>
      </c>
      <c r="BE158" s="195"/>
      <c r="BF158" s="142"/>
      <c r="BG158" s="2"/>
      <c r="BH158" s="2"/>
      <c r="BI158" s="2"/>
      <c r="BJ158" s="2"/>
      <c r="BK158" s="2"/>
    </row>
    <row r="159" spans="1:79">
      <c r="A159" s="142" t="str">
        <f>'Reference Score Calculation'!A136</f>
        <v>JS4070</v>
      </c>
      <c r="B159" s="193" t="str">
        <f>'Reference Score Calculation'!A136</f>
        <v>JS4070</v>
      </c>
      <c r="C159" s="193" t="str">
        <f>'Reference Score Calculation'!D136</f>
        <v>語言學</v>
      </c>
      <c r="D159" s="193"/>
      <c r="E159" s="193" t="str">
        <f>'Reference Score Calculation'!E136</f>
        <v>Best 5</v>
      </c>
      <c r="F159" s="95"/>
      <c r="G159" s="95" t="str">
        <f>入學要求!AB145</f>
        <v>v</v>
      </c>
      <c r="H159" s="95" t="str">
        <f>入學要求!AC145</f>
        <v>E</v>
      </c>
      <c r="I159" s="95" t="str">
        <f>入學要求!AD145</f>
        <v>NO</v>
      </c>
      <c r="J159" s="193">
        <f t="shared" si="295"/>
        <v>3.9500000000000006E-9</v>
      </c>
      <c r="K159" s="193">
        <v>1</v>
      </c>
      <c r="L159" s="193">
        <v>1</v>
      </c>
      <c r="M159" s="193">
        <v>1</v>
      </c>
      <c r="N159" s="193">
        <v>0</v>
      </c>
      <c r="O159" s="193">
        <v>1</v>
      </c>
      <c r="P159" s="193">
        <v>1</v>
      </c>
      <c r="Q159" s="193">
        <v>1</v>
      </c>
      <c r="R159" s="193">
        <v>1</v>
      </c>
      <c r="S159" s="193">
        <v>1</v>
      </c>
      <c r="T159" s="193">
        <v>1</v>
      </c>
      <c r="U159" s="95"/>
      <c r="V159" s="142">
        <f t="shared" si="275"/>
        <v>4.0000000000000001E-10</v>
      </c>
      <c r="W159" s="142">
        <f t="shared" si="276"/>
        <v>2.0000000000000001E-10</v>
      </c>
      <c r="X159" s="142">
        <f t="shared" si="277"/>
        <v>3E-10</v>
      </c>
      <c r="Y159" s="142">
        <f t="shared" si="278"/>
        <v>0</v>
      </c>
      <c r="Z159" s="142">
        <f t="shared" si="279"/>
        <v>5.0000000000000003E-10</v>
      </c>
      <c r="AA159" s="142">
        <f t="shared" si="280"/>
        <v>6E-10</v>
      </c>
      <c r="AB159" s="142">
        <f t="shared" si="281"/>
        <v>6.9999999999999996E-10</v>
      </c>
      <c r="AC159" s="142">
        <f t="shared" si="282"/>
        <v>8.0000000000000003E-10</v>
      </c>
      <c r="AD159" s="142">
        <f t="shared" si="283"/>
        <v>8.9999999999999999E-10</v>
      </c>
      <c r="AE159" s="142">
        <f t="shared" si="284"/>
        <v>9.5000000000000003E-10</v>
      </c>
      <c r="AF159" s="142" t="b">
        <f t="shared" si="285"/>
        <v>0</v>
      </c>
      <c r="AG159" s="142" t="b">
        <f t="shared" si="286"/>
        <v>0</v>
      </c>
      <c r="AH159" s="142" t="b">
        <f t="shared" si="287"/>
        <v>0</v>
      </c>
      <c r="AI159" s="142" t="b">
        <f t="shared" si="288"/>
        <v>0</v>
      </c>
      <c r="AJ159" s="142" t="b">
        <f t="shared" si="289"/>
        <v>0</v>
      </c>
      <c r="AK159" s="142" t="b">
        <f t="shared" si="290"/>
        <v>1</v>
      </c>
      <c r="AL159" s="142" t="b">
        <f t="shared" si="291"/>
        <v>1</v>
      </c>
      <c r="AM159" s="142" t="b">
        <f t="shared" si="292"/>
        <v>1</v>
      </c>
      <c r="AN159" s="142" t="b">
        <f t="shared" si="293"/>
        <v>1</v>
      </c>
      <c r="AO159" s="142" t="b">
        <f t="shared" si="294"/>
        <v>1</v>
      </c>
      <c r="AP159" s="142" t="str">
        <f>'Reference Score Calculation'!AU136</f>
        <v>無</v>
      </c>
      <c r="AQ159" s="95" t="str">
        <f>'Reference Score Calculation'!M136</f>
        <v>/</v>
      </c>
      <c r="AR159" s="95"/>
      <c r="AS159" s="95"/>
      <c r="AT159" s="194"/>
      <c r="AU159" s="199" t="b">
        <f>IF(AU158&gt;LARGE($AU158:$BD158,4),TRUE)</f>
        <v>0</v>
      </c>
      <c r="AV159" s="199" t="b">
        <v>1</v>
      </c>
      <c r="AW159" s="199" t="b">
        <f>IF(AW157=AU155,TRUE,IF(AW158&gt;LARGE($AU158:$BD158,4),TRUE))</f>
        <v>0</v>
      </c>
      <c r="AX159" s="199" t="b">
        <f t="shared" ref="AX159:BD159" si="297">IF(AX158&gt;LARGE($AU158:$BD158,4),TRUE)</f>
        <v>0</v>
      </c>
      <c r="AY159" s="199" t="b">
        <f>IF(AY157=AU155,TRUE,IF(AY158&gt;LARGE($AU158:$BD158,4),TRUE))</f>
        <v>1</v>
      </c>
      <c r="AZ159" s="199" t="b">
        <f t="shared" si="297"/>
        <v>0</v>
      </c>
      <c r="BA159" s="199" t="b">
        <f t="shared" si="297"/>
        <v>0</v>
      </c>
      <c r="BB159" s="199" t="b">
        <f t="shared" si="297"/>
        <v>1</v>
      </c>
      <c r="BC159" s="199" t="b">
        <f t="shared" si="297"/>
        <v>1</v>
      </c>
      <c r="BD159" s="199" t="b">
        <f t="shared" si="297"/>
        <v>1</v>
      </c>
      <c r="BE159" s="195"/>
      <c r="BF159" s="142"/>
      <c r="BG159" s="2"/>
      <c r="BH159" s="2"/>
      <c r="BI159" s="2"/>
      <c r="BJ159" s="2"/>
      <c r="BK159" s="2"/>
    </row>
    <row r="160" spans="1:79">
      <c r="A160" s="142" t="str">
        <f>'Reference Score Calculation'!A137</f>
        <v>JS4082</v>
      </c>
      <c r="B160" s="193" t="str">
        <f>'Reference Score Calculation'!A137</f>
        <v>JS4082</v>
      </c>
      <c r="C160" s="193" t="str">
        <f>'Reference Score Calculation'!D137</f>
        <v>音樂</v>
      </c>
      <c r="D160" s="193"/>
      <c r="E160" s="193" t="str">
        <f>'Reference Score Calculation'!E137</f>
        <v>Best 5</v>
      </c>
      <c r="F160" s="95"/>
      <c r="G160" s="95" t="str">
        <f>入學要求!AB146</f>
        <v>v</v>
      </c>
      <c r="H160" s="95" t="str">
        <f>入學要求!AC146</f>
        <v>E</v>
      </c>
      <c r="I160" s="95" t="str">
        <f>入學要求!AD146</f>
        <v>NO</v>
      </c>
      <c r="J160" s="193">
        <f t="shared" si="295"/>
        <v>3.9500000000000006E-9</v>
      </c>
      <c r="K160" s="193">
        <v>1</v>
      </c>
      <c r="L160" s="193">
        <v>1</v>
      </c>
      <c r="M160" s="193">
        <v>1</v>
      </c>
      <c r="N160" s="193">
        <v>0</v>
      </c>
      <c r="O160" s="193">
        <v>1</v>
      </c>
      <c r="P160" s="193">
        <v>1</v>
      </c>
      <c r="Q160" s="193">
        <v>1</v>
      </c>
      <c r="R160" s="193">
        <v>1</v>
      </c>
      <c r="S160" s="193">
        <v>1</v>
      </c>
      <c r="T160" s="193">
        <v>1</v>
      </c>
      <c r="U160" s="95"/>
      <c r="V160" s="142">
        <f t="shared" si="275"/>
        <v>4.0000000000000001E-10</v>
      </c>
      <c r="W160" s="142">
        <f t="shared" si="276"/>
        <v>2.0000000000000001E-10</v>
      </c>
      <c r="X160" s="142">
        <f t="shared" si="277"/>
        <v>3E-10</v>
      </c>
      <c r="Y160" s="142">
        <f t="shared" si="278"/>
        <v>0</v>
      </c>
      <c r="Z160" s="142">
        <f t="shared" si="279"/>
        <v>5.0000000000000003E-10</v>
      </c>
      <c r="AA160" s="142">
        <f t="shared" si="280"/>
        <v>6E-10</v>
      </c>
      <c r="AB160" s="142">
        <f t="shared" si="281"/>
        <v>6.9999999999999996E-10</v>
      </c>
      <c r="AC160" s="142">
        <f t="shared" si="282"/>
        <v>8.0000000000000003E-10</v>
      </c>
      <c r="AD160" s="142">
        <f t="shared" si="283"/>
        <v>8.9999999999999999E-10</v>
      </c>
      <c r="AE160" s="142">
        <f t="shared" si="284"/>
        <v>9.5000000000000003E-10</v>
      </c>
      <c r="AF160" s="142" t="b">
        <f t="shared" si="285"/>
        <v>0</v>
      </c>
      <c r="AG160" s="142" t="b">
        <f t="shared" si="286"/>
        <v>0</v>
      </c>
      <c r="AH160" s="142" t="b">
        <f t="shared" si="287"/>
        <v>0</v>
      </c>
      <c r="AI160" s="142" t="b">
        <f t="shared" si="288"/>
        <v>0</v>
      </c>
      <c r="AJ160" s="142" t="b">
        <f t="shared" si="289"/>
        <v>0</v>
      </c>
      <c r="AK160" s="142" t="b">
        <f t="shared" si="290"/>
        <v>1</v>
      </c>
      <c r="AL160" s="142" t="b">
        <f t="shared" si="291"/>
        <v>1</v>
      </c>
      <c r="AM160" s="142" t="b">
        <f t="shared" si="292"/>
        <v>1</v>
      </c>
      <c r="AN160" s="142" t="b">
        <f t="shared" si="293"/>
        <v>1</v>
      </c>
      <c r="AO160" s="142" t="b">
        <f t="shared" si="294"/>
        <v>1</v>
      </c>
      <c r="AP160" s="142" t="str">
        <f>'Reference Score Calculation'!AU137</f>
        <v>無</v>
      </c>
      <c r="AQ160" s="95" t="str">
        <f>'Reference Score Calculation'!M137</f>
        <v>優先考慮修讀 音樂 者</v>
      </c>
      <c r="AR160" s="95"/>
      <c r="AS160" s="95"/>
      <c r="AT160" s="198"/>
      <c r="AU160" s="195"/>
      <c r="AV160" s="195"/>
      <c r="AW160" s="195"/>
      <c r="AX160" s="195"/>
      <c r="AY160" s="195"/>
      <c r="AZ160" s="195"/>
      <c r="BA160" s="195"/>
      <c r="BB160" s="195"/>
      <c r="BC160" s="195"/>
      <c r="BD160" s="195"/>
      <c r="BE160" s="195"/>
      <c r="BF160" s="142"/>
      <c r="BG160" s="2"/>
      <c r="BH160" s="2"/>
      <c r="BI160" s="2"/>
      <c r="BJ160" s="2"/>
      <c r="BK160" s="2"/>
    </row>
    <row r="161" spans="1:63">
      <c r="A161" s="142" t="str">
        <f>'Reference Score Calculation'!A138</f>
        <v>JS4094</v>
      </c>
      <c r="B161" s="193" t="str">
        <f>'Reference Score Calculation'!A138</f>
        <v>JS4094</v>
      </c>
      <c r="C161" s="193" t="str">
        <f>'Reference Score Calculation'!D138</f>
        <v>哲學</v>
      </c>
      <c r="D161" s="193"/>
      <c r="E161" s="193" t="str">
        <f>'Reference Score Calculation'!E138</f>
        <v>Best 5</v>
      </c>
      <c r="F161" s="95"/>
      <c r="G161" s="95" t="str">
        <f>入學要求!AB147</f>
        <v>v</v>
      </c>
      <c r="H161" s="95" t="str">
        <f>入學要求!AC147</f>
        <v>E</v>
      </c>
      <c r="I161" s="95" t="str">
        <f>入學要求!AD147</f>
        <v>NO</v>
      </c>
      <c r="J161" s="193">
        <f t="shared" si="295"/>
        <v>3.2500000000000002E-9</v>
      </c>
      <c r="K161" s="193">
        <v>1</v>
      </c>
      <c r="L161" s="193">
        <v>1</v>
      </c>
      <c r="M161" s="193">
        <v>1</v>
      </c>
      <c r="N161" s="193">
        <v>0</v>
      </c>
      <c r="O161" s="193">
        <v>1</v>
      </c>
      <c r="P161" s="193">
        <v>1</v>
      </c>
      <c r="Q161" s="193">
        <v>1</v>
      </c>
      <c r="R161" s="193">
        <v>1</v>
      </c>
      <c r="S161" s="193">
        <v>1</v>
      </c>
      <c r="T161" s="193">
        <v>1</v>
      </c>
      <c r="U161" s="95"/>
      <c r="V161" s="142">
        <f t="shared" si="275"/>
        <v>4.0000000000000001E-10</v>
      </c>
      <c r="W161" s="142">
        <f t="shared" si="276"/>
        <v>2.0000000000000001E-10</v>
      </c>
      <c r="X161" s="142">
        <f t="shared" si="277"/>
        <v>3E-10</v>
      </c>
      <c r="Y161" s="142">
        <f t="shared" si="278"/>
        <v>0</v>
      </c>
      <c r="Z161" s="142">
        <f t="shared" si="279"/>
        <v>5.0000000000000003E-10</v>
      </c>
      <c r="AA161" s="142">
        <f t="shared" si="280"/>
        <v>6E-10</v>
      </c>
      <c r="AB161" s="142">
        <f t="shared" si="281"/>
        <v>6.9999999999999996E-10</v>
      </c>
      <c r="AC161" s="142">
        <f t="shared" si="282"/>
        <v>8.0000000000000003E-10</v>
      </c>
      <c r="AD161" s="142">
        <f t="shared" si="283"/>
        <v>8.9999999999999999E-10</v>
      </c>
      <c r="AE161" s="142">
        <f t="shared" si="284"/>
        <v>9.5000000000000003E-10</v>
      </c>
      <c r="AF161" s="254" t="b">
        <v>1</v>
      </c>
      <c r="AG161" s="254" t="b">
        <v>1</v>
      </c>
      <c r="AH161" s="253" t="b">
        <f t="shared" ref="AH161:AO161" si="298">IF(X161&gt;LARGE($X161:$AE161,4),TRUE)</f>
        <v>0</v>
      </c>
      <c r="AI161" s="253" t="b">
        <f t="shared" si="298"/>
        <v>0</v>
      </c>
      <c r="AJ161" s="253" t="b">
        <f t="shared" si="298"/>
        <v>0</v>
      </c>
      <c r="AK161" s="253" t="b">
        <f t="shared" si="298"/>
        <v>0</v>
      </c>
      <c r="AL161" s="253" t="b">
        <f t="shared" si="298"/>
        <v>0</v>
      </c>
      <c r="AM161" s="253" t="b">
        <f t="shared" si="298"/>
        <v>1</v>
      </c>
      <c r="AN161" s="253" t="b">
        <f t="shared" si="298"/>
        <v>1</v>
      </c>
      <c r="AO161" s="253" t="b">
        <f t="shared" si="298"/>
        <v>1</v>
      </c>
      <c r="AP161" s="142" t="str">
        <f>'Reference Score Calculation'!AU138</f>
        <v>無</v>
      </c>
      <c r="AQ161" s="95" t="str">
        <f>'Reference Score Calculation'!M138</f>
        <v>最佳五科必須包括︰中文、英文</v>
      </c>
      <c r="AR161" s="95"/>
      <c r="AS161" s="95"/>
      <c r="AT161" s="198" t="s">
        <v>351</v>
      </c>
      <c r="AU161" s="195" t="s">
        <v>352</v>
      </c>
      <c r="AV161" s="195"/>
      <c r="AW161" s="195"/>
      <c r="AX161" s="195"/>
      <c r="AY161" s="195"/>
      <c r="AZ161" s="195"/>
      <c r="BA161" s="195"/>
      <c r="BB161" s="195"/>
      <c r="BC161" s="195"/>
      <c r="BD161" s="195"/>
      <c r="BE161" s="195"/>
      <c r="BF161" s="142"/>
      <c r="BG161" s="2"/>
      <c r="BH161" s="2"/>
      <c r="BI161" s="2"/>
      <c r="BJ161" s="2"/>
      <c r="BK161" s="2"/>
    </row>
    <row r="162" spans="1:63">
      <c r="A162" s="142" t="str">
        <f>'Reference Score Calculation'!A139</f>
        <v>JS4109</v>
      </c>
      <c r="B162" s="193" t="str">
        <f>'Reference Score Calculation'!A139</f>
        <v>JS4109</v>
      </c>
      <c r="C162" s="193" t="str">
        <f>'Reference Score Calculation'!D139</f>
        <v>宗教研究</v>
      </c>
      <c r="D162" s="193"/>
      <c r="E162" s="193" t="str">
        <f>'Reference Score Calculation'!E139</f>
        <v>Best 5</v>
      </c>
      <c r="F162" s="95"/>
      <c r="G162" s="95" t="str">
        <f>入學要求!AB148</f>
        <v>v</v>
      </c>
      <c r="H162" s="95" t="str">
        <f>入學要求!AC148</f>
        <v>E</v>
      </c>
      <c r="I162" s="95" t="str">
        <f>入學要求!AD148</f>
        <v>NO</v>
      </c>
      <c r="J162" s="193">
        <f t="shared" si="295"/>
        <v>3.9500000000000006E-9</v>
      </c>
      <c r="K162" s="193">
        <v>1</v>
      </c>
      <c r="L162" s="193">
        <v>1</v>
      </c>
      <c r="M162" s="193">
        <v>1</v>
      </c>
      <c r="N162" s="193">
        <v>0</v>
      </c>
      <c r="O162" s="193">
        <v>1</v>
      </c>
      <c r="P162" s="193">
        <v>1</v>
      </c>
      <c r="Q162" s="193">
        <v>1</v>
      </c>
      <c r="R162" s="193">
        <v>1</v>
      </c>
      <c r="S162" s="193">
        <v>1</v>
      </c>
      <c r="T162" s="193">
        <v>1</v>
      </c>
      <c r="U162" s="95"/>
      <c r="V162" s="142">
        <f t="shared" si="275"/>
        <v>4.0000000000000001E-10</v>
      </c>
      <c r="W162" s="142">
        <f t="shared" si="276"/>
        <v>2.0000000000000001E-10</v>
      </c>
      <c r="X162" s="142">
        <f t="shared" si="277"/>
        <v>3E-10</v>
      </c>
      <c r="Y162" s="142">
        <f t="shared" si="278"/>
        <v>0</v>
      </c>
      <c r="Z162" s="142">
        <f t="shared" si="279"/>
        <v>5.0000000000000003E-10</v>
      </c>
      <c r="AA162" s="142">
        <f t="shared" si="280"/>
        <v>6E-10</v>
      </c>
      <c r="AB162" s="142">
        <f t="shared" si="281"/>
        <v>6.9999999999999996E-10</v>
      </c>
      <c r="AC162" s="142">
        <f t="shared" si="282"/>
        <v>8.0000000000000003E-10</v>
      </c>
      <c r="AD162" s="142">
        <f t="shared" si="283"/>
        <v>8.9999999999999999E-10</v>
      </c>
      <c r="AE162" s="142">
        <f t="shared" si="284"/>
        <v>9.5000000000000003E-10</v>
      </c>
      <c r="AF162" s="142" t="b">
        <f t="shared" ref="AF162:AI168" si="299">IF($E162="4C2X",TRUE,IF($E162="Best 5",IF(V162&gt;LARGE($V162:$AE162,6),TRUE)))</f>
        <v>0</v>
      </c>
      <c r="AG162" s="142" t="b">
        <f t="shared" si="299"/>
        <v>0</v>
      </c>
      <c r="AH162" s="142" t="b">
        <f t="shared" si="299"/>
        <v>0</v>
      </c>
      <c r="AI162" s="142" t="b">
        <f t="shared" si="299"/>
        <v>0</v>
      </c>
      <c r="AJ162" s="142" t="b">
        <f t="shared" ref="AJ162:AO168" si="300">IF($E162="4C2X",IF(Z162&gt;LARGE($Z162:$AE162,3),TRUE),IF($E162="Best 5",IF(Z162&gt;LARGE($V162:$AE162,6),TRUE)))</f>
        <v>0</v>
      </c>
      <c r="AK162" s="142" t="b">
        <f t="shared" si="300"/>
        <v>1</v>
      </c>
      <c r="AL162" s="142" t="b">
        <f t="shared" si="300"/>
        <v>1</v>
      </c>
      <c r="AM162" s="142" t="b">
        <f t="shared" si="300"/>
        <v>1</v>
      </c>
      <c r="AN162" s="142" t="b">
        <f t="shared" si="300"/>
        <v>1</v>
      </c>
      <c r="AO162" s="142" t="b">
        <f t="shared" si="300"/>
        <v>1</v>
      </c>
      <c r="AP162" s="142" t="str">
        <f>'Reference Score Calculation'!AU139</f>
        <v>無</v>
      </c>
      <c r="AQ162" s="95" t="str">
        <f>'Reference Score Calculation'!M139</f>
        <v>/</v>
      </c>
      <c r="AR162" s="95"/>
      <c r="AS162" s="95"/>
      <c r="AT162" s="198" t="s">
        <v>353</v>
      </c>
      <c r="AU162" s="195" t="str">
        <f>P1</f>
        <v>請選擇第一選修科</v>
      </c>
      <c r="AV162" s="195" t="str">
        <f>Q1</f>
        <v>請選擇第二選修科</v>
      </c>
      <c r="AW162" s="195" t="str">
        <f>R1</f>
        <v>請選擇第三選修科</v>
      </c>
      <c r="AX162" s="195" t="str">
        <f>S1</f>
        <v>請選擇第四選修科</v>
      </c>
      <c r="AY162" s="195" t="str">
        <f>O1</f>
        <v>數學延伸</v>
      </c>
      <c r="AZ162" s="195"/>
      <c r="BA162" s="195"/>
      <c r="BB162" s="195" t="s">
        <v>354</v>
      </c>
      <c r="BC162" s="195"/>
      <c r="BD162" s="195"/>
      <c r="BE162" s="195"/>
      <c r="BF162" s="142"/>
      <c r="BG162" s="2"/>
      <c r="BH162" s="2"/>
      <c r="BI162" s="2"/>
      <c r="BJ162" s="2"/>
      <c r="BK162" s="2"/>
    </row>
    <row r="163" spans="1:63">
      <c r="A163" s="142" t="str">
        <f>'Reference Score Calculation'!A140</f>
        <v>JS4111</v>
      </c>
      <c r="B163" s="193" t="str">
        <f>'Reference Score Calculation'!A140</f>
        <v>JS4111</v>
      </c>
      <c r="C163" s="193" t="str">
        <f>'Reference Score Calculation'!D140</f>
        <v>神學</v>
      </c>
      <c r="D163" s="193"/>
      <c r="E163" s="193" t="str">
        <f>'Reference Score Calculation'!E140</f>
        <v>Best 5</v>
      </c>
      <c r="F163" s="95"/>
      <c r="G163" s="95" t="str">
        <f>入學要求!AB149</f>
        <v>v</v>
      </c>
      <c r="H163" s="95" t="str">
        <f>入學要求!AC149</f>
        <v>E</v>
      </c>
      <c r="I163" s="95" t="str">
        <f>入學要求!AD149</f>
        <v>NO</v>
      </c>
      <c r="J163" s="193" t="s">
        <v>356</v>
      </c>
      <c r="K163" s="193" t="s">
        <v>356</v>
      </c>
      <c r="L163" s="193" t="s">
        <v>356</v>
      </c>
      <c r="M163" s="193" t="s">
        <v>356</v>
      </c>
      <c r="N163" s="193" t="s">
        <v>356</v>
      </c>
      <c r="O163" s="193" t="s">
        <v>356</v>
      </c>
      <c r="P163" s="193" t="s">
        <v>356</v>
      </c>
      <c r="Q163" s="193" t="s">
        <v>356</v>
      </c>
      <c r="R163" s="193" t="s">
        <v>356</v>
      </c>
      <c r="S163" s="193" t="s">
        <v>356</v>
      </c>
      <c r="T163" s="193" t="s">
        <v>356</v>
      </c>
      <c r="U163" s="95"/>
      <c r="V163" s="142" t="e">
        <f t="shared" si="275"/>
        <v>#VALUE!</v>
      </c>
      <c r="W163" s="142" t="e">
        <f t="shared" si="276"/>
        <v>#VALUE!</v>
      </c>
      <c r="X163" s="142" t="e">
        <f t="shared" si="277"/>
        <v>#VALUE!</v>
      </c>
      <c r="Y163" s="142" t="e">
        <f t="shared" si="278"/>
        <v>#VALUE!</v>
      </c>
      <c r="Z163" s="142" t="e">
        <f t="shared" si="279"/>
        <v>#VALUE!</v>
      </c>
      <c r="AA163" s="142" t="e">
        <f t="shared" si="280"/>
        <v>#VALUE!</v>
      </c>
      <c r="AB163" s="142" t="e">
        <f t="shared" si="281"/>
        <v>#VALUE!</v>
      </c>
      <c r="AC163" s="142" t="e">
        <f t="shared" si="282"/>
        <v>#VALUE!</v>
      </c>
      <c r="AD163" s="142" t="e">
        <f t="shared" si="283"/>
        <v>#VALUE!</v>
      </c>
      <c r="AE163" s="142" t="e">
        <f t="shared" si="284"/>
        <v>#VALUE!</v>
      </c>
      <c r="AF163" s="142" t="e">
        <f t="shared" si="299"/>
        <v>#VALUE!</v>
      </c>
      <c r="AG163" s="142" t="e">
        <f t="shared" si="299"/>
        <v>#VALUE!</v>
      </c>
      <c r="AH163" s="142" t="e">
        <f t="shared" si="299"/>
        <v>#VALUE!</v>
      </c>
      <c r="AI163" s="142" t="e">
        <f t="shared" si="299"/>
        <v>#VALUE!</v>
      </c>
      <c r="AJ163" s="142" t="e">
        <f t="shared" si="300"/>
        <v>#VALUE!</v>
      </c>
      <c r="AK163" s="142" t="e">
        <f t="shared" si="300"/>
        <v>#VALUE!</v>
      </c>
      <c r="AL163" s="142" t="e">
        <f t="shared" si="300"/>
        <v>#VALUE!</v>
      </c>
      <c r="AM163" s="142" t="e">
        <f t="shared" si="300"/>
        <v>#VALUE!</v>
      </c>
      <c r="AN163" s="142" t="e">
        <f t="shared" si="300"/>
        <v>#VALUE!</v>
      </c>
      <c r="AO163" s="142" t="e">
        <f t="shared" si="300"/>
        <v>#VALUE!</v>
      </c>
      <c r="AP163" s="142" t="str">
        <f>'Reference Score Calculation'!AU140</f>
        <v>無</v>
      </c>
      <c r="AQ163" s="95" t="str">
        <f>'Reference Score Calculation'!M140</f>
        <v>/</v>
      </c>
      <c r="AR163" s="95"/>
      <c r="AS163" s="95"/>
      <c r="AT163" s="194" t="s">
        <v>355</v>
      </c>
      <c r="AU163" s="142">
        <f>IF(OR(P1="化學",P1="物理",P1="經濟"),P6,0)</f>
        <v>0</v>
      </c>
      <c r="AV163" s="142">
        <f>IF(OR(Q1="化學",Q1="物理",Q1="經濟"),Q6,0)</f>
        <v>0</v>
      </c>
      <c r="AW163" s="142">
        <f>IF(OR(R1="化學",R1="物理",R1="經濟"),R6,0)</f>
        <v>0</v>
      </c>
      <c r="AX163" s="142">
        <f>IF(OR(S1="化學",S1="物理",S1="經濟"),S6,0)</f>
        <v>0</v>
      </c>
      <c r="AY163" s="142">
        <f>O6</f>
        <v>5.0000000000000003E-10</v>
      </c>
      <c r="AZ163" s="195"/>
      <c r="BA163" s="195"/>
      <c r="BB163" s="142" t="str">
        <f>IF(BC163&gt;0,INDEX(AU162:AY162,MATCH(LARGE(AU163:AY163,1),AU163:AY163,0)),"無")</f>
        <v>數學延伸</v>
      </c>
      <c r="BC163" s="142">
        <f>LARGE(AU163:AY163,1)</f>
        <v>5.0000000000000003E-10</v>
      </c>
      <c r="BD163" s="196"/>
      <c r="BE163" s="196"/>
      <c r="BF163" s="142"/>
      <c r="BG163" s="2"/>
      <c r="BH163" s="2"/>
      <c r="BI163" s="2"/>
      <c r="BJ163" s="2"/>
      <c r="BK163" s="2"/>
    </row>
    <row r="164" spans="1:63">
      <c r="A164" s="142" t="str">
        <f>'Reference Score Calculation'!A141</f>
        <v>JS4123</v>
      </c>
      <c r="B164" s="193" t="str">
        <f>'Reference Score Calculation'!A141</f>
        <v>JS4123</v>
      </c>
      <c r="C164" s="193" t="str">
        <f>'Reference Score Calculation'!D141</f>
        <v>翻譯</v>
      </c>
      <c r="D164" s="193"/>
      <c r="E164" s="193" t="str">
        <f>'Reference Score Calculation'!E141</f>
        <v>Best 5</v>
      </c>
      <c r="F164" s="95"/>
      <c r="G164" s="95" t="str">
        <f>入學要求!AB150</f>
        <v>v</v>
      </c>
      <c r="H164" s="95" t="str">
        <f>入學要求!AC150</f>
        <v>E</v>
      </c>
      <c r="I164" s="95" t="str">
        <f>入學要求!AD150</f>
        <v>NO</v>
      </c>
      <c r="J164" s="193">
        <f>IF($W$15=TRUE,SUMIF(AF164:AO164,TRUE,V164:AE164)*0.95,SUMIF(AF164:AO164,TRUE,V164:AE164))</f>
        <v>3.9500000000000006E-9</v>
      </c>
      <c r="K164" s="193">
        <v>1</v>
      </c>
      <c r="L164" s="193">
        <v>1</v>
      </c>
      <c r="M164" s="193">
        <v>1</v>
      </c>
      <c r="N164" s="193">
        <v>0</v>
      </c>
      <c r="O164" s="193">
        <v>1</v>
      </c>
      <c r="P164" s="193">
        <v>1</v>
      </c>
      <c r="Q164" s="193">
        <v>1</v>
      </c>
      <c r="R164" s="193">
        <v>1</v>
      </c>
      <c r="S164" s="193">
        <v>1</v>
      </c>
      <c r="T164" s="193">
        <v>1</v>
      </c>
      <c r="U164" s="95"/>
      <c r="V164" s="142">
        <f t="shared" si="275"/>
        <v>4.0000000000000001E-10</v>
      </c>
      <c r="W164" s="142">
        <f t="shared" si="276"/>
        <v>2.0000000000000001E-10</v>
      </c>
      <c r="X164" s="142">
        <f t="shared" si="277"/>
        <v>3E-10</v>
      </c>
      <c r="Y164" s="142">
        <f t="shared" si="278"/>
        <v>0</v>
      </c>
      <c r="Z164" s="142">
        <f t="shared" si="279"/>
        <v>5.0000000000000003E-10</v>
      </c>
      <c r="AA164" s="142">
        <f t="shared" si="280"/>
        <v>6E-10</v>
      </c>
      <c r="AB164" s="142">
        <f t="shared" si="281"/>
        <v>6.9999999999999996E-10</v>
      </c>
      <c r="AC164" s="142">
        <f t="shared" si="282"/>
        <v>8.0000000000000003E-10</v>
      </c>
      <c r="AD164" s="142">
        <f t="shared" si="283"/>
        <v>8.9999999999999999E-10</v>
      </c>
      <c r="AE164" s="142">
        <f t="shared" si="284"/>
        <v>9.5000000000000003E-10</v>
      </c>
      <c r="AF164" s="142" t="b">
        <f t="shared" si="299"/>
        <v>0</v>
      </c>
      <c r="AG164" s="142" t="b">
        <f t="shared" si="299"/>
        <v>0</v>
      </c>
      <c r="AH164" s="142" t="b">
        <f t="shared" si="299"/>
        <v>0</v>
      </c>
      <c r="AI164" s="142" t="b">
        <f t="shared" si="299"/>
        <v>0</v>
      </c>
      <c r="AJ164" s="142" t="b">
        <f t="shared" si="300"/>
        <v>0</v>
      </c>
      <c r="AK164" s="142" t="b">
        <f t="shared" si="300"/>
        <v>1</v>
      </c>
      <c r="AL164" s="142" t="b">
        <f t="shared" si="300"/>
        <v>1</v>
      </c>
      <c r="AM164" s="142" t="b">
        <f t="shared" si="300"/>
        <v>1</v>
      </c>
      <c r="AN164" s="142" t="b">
        <f t="shared" si="300"/>
        <v>1</v>
      </c>
      <c r="AO164" s="142" t="b">
        <f t="shared" si="300"/>
        <v>1</v>
      </c>
      <c r="AP164" s="142" t="str">
        <f>'Reference Score Calculation'!AU141</f>
        <v>5%或更少(全Cert)</v>
      </c>
      <c r="AQ164" s="95" t="str">
        <f>'Reference Score Calculation'!M141</f>
        <v>/</v>
      </c>
      <c r="AR164" s="95"/>
      <c r="AS164" s="95"/>
      <c r="AT164" s="194"/>
      <c r="AU164" s="195"/>
      <c r="AV164" s="195"/>
      <c r="AW164" s="195"/>
      <c r="AX164" s="195"/>
      <c r="AY164" s="195"/>
      <c r="AZ164" s="195"/>
      <c r="BA164" s="195"/>
      <c r="BB164" s="195"/>
      <c r="BC164" s="196"/>
      <c r="BD164" s="196"/>
      <c r="BE164" s="196"/>
      <c r="BF164" s="142"/>
      <c r="BG164" s="2"/>
      <c r="BH164" s="2"/>
      <c r="BI164" s="2"/>
      <c r="BJ164" s="2"/>
      <c r="BK164" s="2"/>
    </row>
    <row r="165" spans="1:63" s="145" customFormat="1">
      <c r="A165" s="142" t="str">
        <f>'Reference Score Calculation'!A142</f>
        <v>JS4136</v>
      </c>
      <c r="B165" s="193" t="str">
        <f>'Reference Score Calculation'!A142</f>
        <v>JS4136</v>
      </c>
      <c r="C165" s="193" t="str">
        <f>'Reference Score Calculation'!D142</f>
        <v>中國研究</v>
      </c>
      <c r="D165" s="193"/>
      <c r="E165" s="193" t="str">
        <f>'Reference Score Calculation'!E142</f>
        <v>Best 5</v>
      </c>
      <c r="F165" s="95"/>
      <c r="G165" s="95" t="str">
        <f>入學要求!AB151</f>
        <v>v</v>
      </c>
      <c r="H165" s="95" t="str">
        <f>入學要求!AC151</f>
        <v>E</v>
      </c>
      <c r="I165" s="95" t="str">
        <f>入學要求!AD151</f>
        <v>NO</v>
      </c>
      <c r="J165" s="193">
        <f>SUMIF(AF165:AO165,TRUE,V165:AE165)</f>
        <v>3.9500000000000006E-9</v>
      </c>
      <c r="K165" s="193">
        <v>1</v>
      </c>
      <c r="L165" s="193">
        <v>1.25</v>
      </c>
      <c r="M165" s="193">
        <v>1</v>
      </c>
      <c r="N165" s="193">
        <v>0</v>
      </c>
      <c r="O165" s="193">
        <v>1</v>
      </c>
      <c r="P165" s="193">
        <v>1</v>
      </c>
      <c r="Q165" s="193">
        <v>1</v>
      </c>
      <c r="R165" s="193">
        <v>1</v>
      </c>
      <c r="S165" s="193">
        <v>1</v>
      </c>
      <c r="T165" s="193">
        <v>1</v>
      </c>
      <c r="U165" s="95"/>
      <c r="V165" s="142">
        <f t="shared" si="275"/>
        <v>4.0000000000000001E-10</v>
      </c>
      <c r="W165" s="142">
        <f t="shared" si="276"/>
        <v>2.5000000000000002E-10</v>
      </c>
      <c r="X165" s="142">
        <f t="shared" si="277"/>
        <v>3E-10</v>
      </c>
      <c r="Y165" s="142">
        <f t="shared" si="278"/>
        <v>0</v>
      </c>
      <c r="Z165" s="142">
        <f t="shared" si="279"/>
        <v>5.0000000000000003E-10</v>
      </c>
      <c r="AA165" s="142">
        <f t="shared" si="280"/>
        <v>6E-10</v>
      </c>
      <c r="AB165" s="142">
        <f t="shared" si="281"/>
        <v>6.9999999999999996E-10</v>
      </c>
      <c r="AC165" s="142">
        <f t="shared" si="282"/>
        <v>8.0000000000000003E-10</v>
      </c>
      <c r="AD165" s="142">
        <f t="shared" si="283"/>
        <v>8.9999999999999999E-10</v>
      </c>
      <c r="AE165" s="142">
        <f t="shared" si="284"/>
        <v>9.5000000000000003E-10</v>
      </c>
      <c r="AF165" s="142" t="b">
        <f t="shared" si="299"/>
        <v>0</v>
      </c>
      <c r="AG165" s="142" t="b">
        <f t="shared" si="299"/>
        <v>0</v>
      </c>
      <c r="AH165" s="142" t="b">
        <f t="shared" si="299"/>
        <v>0</v>
      </c>
      <c r="AI165" s="142" t="b">
        <f t="shared" si="299"/>
        <v>0</v>
      </c>
      <c r="AJ165" s="142" t="b">
        <f t="shared" si="300"/>
        <v>0</v>
      </c>
      <c r="AK165" s="142" t="b">
        <f t="shared" si="300"/>
        <v>1</v>
      </c>
      <c r="AL165" s="142" t="b">
        <f t="shared" si="300"/>
        <v>1</v>
      </c>
      <c r="AM165" s="142" t="b">
        <f t="shared" si="300"/>
        <v>1</v>
      </c>
      <c r="AN165" s="142" t="b">
        <f t="shared" si="300"/>
        <v>1</v>
      </c>
      <c r="AO165" s="142" t="b">
        <f t="shared" si="300"/>
        <v>1</v>
      </c>
      <c r="AP165" s="142" t="str">
        <f>'Reference Score Calculation'!AU142</f>
        <v>無</v>
      </c>
      <c r="AQ165" s="95" t="str">
        <f>'Reference Score Calculation'!M142</f>
        <v>/</v>
      </c>
      <c r="AR165" s="95"/>
      <c r="AS165" s="95"/>
      <c r="AT165" s="198"/>
      <c r="AU165" s="195" t="s">
        <v>3028</v>
      </c>
      <c r="AV165" s="195"/>
      <c r="AW165" s="195"/>
      <c r="AX165" s="195"/>
      <c r="AY165" s="195"/>
      <c r="AZ165" s="195"/>
      <c r="BA165" s="195"/>
      <c r="BB165" s="195"/>
      <c r="BC165" s="195"/>
      <c r="BD165" s="196"/>
      <c r="BE165" s="196"/>
      <c r="BF165" s="142"/>
      <c r="BG165" s="51"/>
      <c r="BH165" s="51"/>
      <c r="BI165" s="51"/>
      <c r="BJ165" s="51"/>
      <c r="BK165" s="51"/>
    </row>
    <row r="166" spans="1:63">
      <c r="A166" s="142" t="str">
        <f>'Reference Score Calculation'!A143</f>
        <v>JS4202</v>
      </c>
      <c r="B166" s="193" t="str">
        <f>'Reference Score Calculation'!A143</f>
        <v>JS4202</v>
      </c>
      <c r="C166" s="193" t="str">
        <f>'Reference Score Calculation'!D143</f>
        <v>工商管理學士綜合課程</v>
      </c>
      <c r="D166" s="193"/>
      <c r="E166" s="193" t="str">
        <f>'Reference Score Calculation'!E143</f>
        <v>Best 5</v>
      </c>
      <c r="F166" s="95"/>
      <c r="G166" s="95" t="str">
        <f>入學要求!AB152</f>
        <v>v</v>
      </c>
      <c r="H166" s="95" t="str">
        <f>入學要求!AC152</f>
        <v>E</v>
      </c>
      <c r="I166" s="95" t="str">
        <f>入學要求!AD152</f>
        <v>NO</v>
      </c>
      <c r="J166" s="193">
        <f>IF($W$15=TRUE,SUMIF(AF166:AO166,TRUE,V166:AE166)*0.95,SUMIF(AF166:AO166,TRUE,V166:AE166))</f>
        <v>3.9500000000000006E-9</v>
      </c>
      <c r="K166" s="193">
        <v>1</v>
      </c>
      <c r="L166" s="193">
        <v>1</v>
      </c>
      <c r="M166" s="193">
        <v>1</v>
      </c>
      <c r="N166" s="193">
        <v>0</v>
      </c>
      <c r="O166" s="193">
        <v>1</v>
      </c>
      <c r="P166" s="193">
        <v>1</v>
      </c>
      <c r="Q166" s="193">
        <v>1</v>
      </c>
      <c r="R166" s="193">
        <v>1</v>
      </c>
      <c r="S166" s="193">
        <v>1</v>
      </c>
      <c r="T166" s="193">
        <v>1</v>
      </c>
      <c r="U166" s="95"/>
      <c r="V166" s="142">
        <f t="shared" si="275"/>
        <v>4.0000000000000001E-10</v>
      </c>
      <c r="W166" s="142">
        <f t="shared" si="276"/>
        <v>2.0000000000000001E-10</v>
      </c>
      <c r="X166" s="142">
        <f t="shared" si="277"/>
        <v>3E-10</v>
      </c>
      <c r="Y166" s="142">
        <f t="shared" si="278"/>
        <v>0</v>
      </c>
      <c r="Z166" s="142">
        <f t="shared" si="279"/>
        <v>5.0000000000000003E-10</v>
      </c>
      <c r="AA166" s="142">
        <f t="shared" si="280"/>
        <v>6E-10</v>
      </c>
      <c r="AB166" s="142">
        <f t="shared" si="281"/>
        <v>6.9999999999999996E-10</v>
      </c>
      <c r="AC166" s="142">
        <f t="shared" si="282"/>
        <v>8.0000000000000003E-10</v>
      </c>
      <c r="AD166" s="142">
        <f t="shared" si="283"/>
        <v>8.9999999999999999E-10</v>
      </c>
      <c r="AE166" s="142">
        <f t="shared" si="284"/>
        <v>9.5000000000000003E-10</v>
      </c>
      <c r="AF166" s="142" t="b">
        <f t="shared" si="299"/>
        <v>0</v>
      </c>
      <c r="AG166" s="142" t="b">
        <f t="shared" si="299"/>
        <v>0</v>
      </c>
      <c r="AH166" s="142" t="b">
        <f t="shared" si="299"/>
        <v>0</v>
      </c>
      <c r="AI166" s="142" t="b">
        <f t="shared" si="299"/>
        <v>0</v>
      </c>
      <c r="AJ166" s="142" t="b">
        <f t="shared" si="300"/>
        <v>0</v>
      </c>
      <c r="AK166" s="142" t="b">
        <f t="shared" si="300"/>
        <v>1</v>
      </c>
      <c r="AL166" s="142" t="b">
        <f t="shared" si="300"/>
        <v>1</v>
      </c>
      <c r="AM166" s="142" t="b">
        <f t="shared" si="300"/>
        <v>1</v>
      </c>
      <c r="AN166" s="142" t="b">
        <f t="shared" si="300"/>
        <v>1</v>
      </c>
      <c r="AO166" s="142" t="b">
        <f t="shared" si="300"/>
        <v>1</v>
      </c>
      <c r="AP166" s="142" t="str">
        <f>'Reference Score Calculation'!AU143</f>
        <v>5%或更少(全Cert)</v>
      </c>
      <c r="AQ166" s="95" t="str">
        <f>'Reference Score Calculation'!M143</f>
        <v>/</v>
      </c>
      <c r="AR166" s="95"/>
      <c r="AS166" s="95"/>
      <c r="AT166" s="198" t="s">
        <v>362</v>
      </c>
      <c r="AU166" s="195" t="str">
        <f>P1</f>
        <v>請選擇第一選修科</v>
      </c>
      <c r="AV166" s="195" t="str">
        <f>Q1</f>
        <v>請選擇第二選修科</v>
      </c>
      <c r="AW166" s="195" t="str">
        <f>R1</f>
        <v>請選擇第三選修科</v>
      </c>
      <c r="AX166" s="195" t="str">
        <f>S1</f>
        <v>請選擇第四選修科</v>
      </c>
      <c r="AY166" s="195"/>
      <c r="AZ166" s="195"/>
      <c r="BA166" s="195"/>
      <c r="BB166" s="195" t="s">
        <v>354</v>
      </c>
      <c r="BC166" s="195"/>
      <c r="BD166" s="196"/>
      <c r="BE166" s="196"/>
      <c r="BF166" s="142"/>
      <c r="BG166" s="2"/>
      <c r="BH166" s="2"/>
      <c r="BI166" s="2"/>
      <c r="BJ166" s="2"/>
      <c r="BK166" s="2"/>
    </row>
    <row r="167" spans="1:63" s="145" customFormat="1">
      <c r="A167" s="142" t="str">
        <f>'Reference Score Calculation'!A144</f>
        <v>JS4214</v>
      </c>
      <c r="B167" s="193" t="str">
        <f>'Reference Score Calculation'!A144</f>
        <v>JS4214</v>
      </c>
      <c r="C167" s="193" t="str">
        <f>'Reference Score Calculation'!D144</f>
        <v>環球商業學</v>
      </c>
      <c r="D167" s="193"/>
      <c r="E167" s="193" t="str">
        <f>'Reference Score Calculation'!E144</f>
        <v>4C2X</v>
      </c>
      <c r="F167" s="95"/>
      <c r="G167" s="95" t="str">
        <f>入學要求!AB153</f>
        <v>v</v>
      </c>
      <c r="H167" s="95" t="str">
        <f>入學要求!AC153</f>
        <v>E</v>
      </c>
      <c r="I167" s="95" t="str">
        <f>入學要求!AD153</f>
        <v>NO</v>
      </c>
      <c r="J167" s="193">
        <f>IF($W$15=TRUE,SUMIF(AF167:AO167,TRUE,V167:AE167)*0.95,SUMIF(AF167:AO167,TRUE,V167:AE167))</f>
        <v>2.7499999999999998E-9</v>
      </c>
      <c r="K167" s="193">
        <v>1</v>
      </c>
      <c r="L167" s="193">
        <v>1</v>
      </c>
      <c r="M167" s="193">
        <v>1</v>
      </c>
      <c r="N167" s="193">
        <v>1</v>
      </c>
      <c r="O167" s="193">
        <v>1</v>
      </c>
      <c r="P167" s="193">
        <v>1</v>
      </c>
      <c r="Q167" s="193">
        <v>1</v>
      </c>
      <c r="R167" s="193">
        <v>1</v>
      </c>
      <c r="S167" s="193">
        <v>1</v>
      </c>
      <c r="T167" s="193">
        <v>1</v>
      </c>
      <c r="U167" s="95"/>
      <c r="V167" s="142">
        <f t="shared" si="275"/>
        <v>4.0000000000000001E-10</v>
      </c>
      <c r="W167" s="142">
        <f t="shared" si="276"/>
        <v>2.0000000000000001E-10</v>
      </c>
      <c r="X167" s="142">
        <f t="shared" si="277"/>
        <v>3E-10</v>
      </c>
      <c r="Y167" s="142">
        <f t="shared" si="278"/>
        <v>0</v>
      </c>
      <c r="Z167" s="142">
        <f t="shared" si="279"/>
        <v>5.0000000000000003E-10</v>
      </c>
      <c r="AA167" s="142">
        <f t="shared" si="280"/>
        <v>6E-10</v>
      </c>
      <c r="AB167" s="142">
        <f t="shared" si="281"/>
        <v>6.9999999999999996E-10</v>
      </c>
      <c r="AC167" s="142">
        <f t="shared" si="282"/>
        <v>8.0000000000000003E-10</v>
      </c>
      <c r="AD167" s="142">
        <f t="shared" si="283"/>
        <v>8.9999999999999999E-10</v>
      </c>
      <c r="AE167" s="142">
        <f t="shared" si="284"/>
        <v>9.5000000000000003E-10</v>
      </c>
      <c r="AF167" s="142" t="b">
        <f t="shared" si="299"/>
        <v>1</v>
      </c>
      <c r="AG167" s="142" t="b">
        <f t="shared" si="299"/>
        <v>1</v>
      </c>
      <c r="AH167" s="142" t="b">
        <f t="shared" si="299"/>
        <v>1</v>
      </c>
      <c r="AI167" s="142" t="b">
        <f t="shared" si="299"/>
        <v>1</v>
      </c>
      <c r="AJ167" s="142" t="b">
        <f t="shared" si="300"/>
        <v>0</v>
      </c>
      <c r="AK167" s="142" t="b">
        <f t="shared" si="300"/>
        <v>0</v>
      </c>
      <c r="AL167" s="142" t="b">
        <f t="shared" si="300"/>
        <v>0</v>
      </c>
      <c r="AM167" s="142" t="b">
        <f t="shared" si="300"/>
        <v>0</v>
      </c>
      <c r="AN167" s="142" t="b">
        <f t="shared" si="300"/>
        <v>1</v>
      </c>
      <c r="AO167" s="142" t="b">
        <f t="shared" si="300"/>
        <v>1</v>
      </c>
      <c r="AP167" s="142" t="str">
        <f>'Reference Score Calculation'!AU144</f>
        <v>5%或更少(全Cert)</v>
      </c>
      <c r="AQ167" s="95" t="str">
        <f>'Reference Score Calculation'!M144</f>
        <v>/</v>
      </c>
      <c r="AR167" s="95"/>
      <c r="AS167" s="95"/>
      <c r="AT167" s="194"/>
      <c r="AU167" s="142">
        <f>IF(OR(P1="資訊及通訊科技",P1="物理",P1="經濟"),P6,0)</f>
        <v>0</v>
      </c>
      <c r="AV167" s="142">
        <f>IF(OR(Q1="資訊及通訊科技",Q1="物理",Q1="經濟"),Q6,0)</f>
        <v>0</v>
      </c>
      <c r="AW167" s="142">
        <f>IF(OR(R1="資訊及通訊科技",R1="物理",R1="經濟"),R6,0)</f>
        <v>0</v>
      </c>
      <c r="AX167" s="142">
        <f>IF(OR(S1="資訊及通訊科技",S1="物理",S1="經濟"),S6,0)</f>
        <v>0</v>
      </c>
      <c r="AY167" s="195"/>
      <c r="AZ167" s="195"/>
      <c r="BA167" s="195"/>
      <c r="BB167" s="142" t="str">
        <f>IF(BC167&gt;0,INDEX(AU166:AY166,MATCH(LARGE(AU167:AY167,1),AU167:AY167,0)),"無")</f>
        <v>無</v>
      </c>
      <c r="BC167" s="142">
        <f>LARGE(AU167:AX167,1)</f>
        <v>0</v>
      </c>
      <c r="BD167" s="196"/>
      <c r="BE167" s="196"/>
      <c r="BF167" s="142"/>
      <c r="BG167" s="51"/>
      <c r="BH167" s="51"/>
      <c r="BI167" s="51"/>
      <c r="BJ167" s="51"/>
      <c r="BK167" s="51"/>
    </row>
    <row r="168" spans="1:63" s="145" customFormat="1">
      <c r="A168" s="142" t="str">
        <f>'Reference Score Calculation'!A145</f>
        <v>JS4226</v>
      </c>
      <c r="B168" s="193" t="str">
        <f>'Reference Score Calculation'!A145</f>
        <v>JS4226</v>
      </c>
      <c r="C168" s="193" t="str">
        <f>'Reference Score Calculation'!D145</f>
        <v>酒店旅遊及房地產</v>
      </c>
      <c r="D168" s="193"/>
      <c r="E168" s="193" t="str">
        <f>'Reference Score Calculation'!E145</f>
        <v>Best 5</v>
      </c>
      <c r="F168" s="95"/>
      <c r="G168" s="95" t="str">
        <f>入學要求!AB154</f>
        <v>v</v>
      </c>
      <c r="H168" s="95" t="str">
        <f>入學要求!AC154</f>
        <v>E</v>
      </c>
      <c r="I168" s="95" t="str">
        <f>入學要求!AD154</f>
        <v>NO</v>
      </c>
      <c r="J168" s="193">
        <f>IF($W$15=TRUE,SUMIF(AF168:AO168,TRUE,V168:AE168)*0.95,SUMIF(AF168:AO168,TRUE,V168:AE168))</f>
        <v>3.9500000000000006E-9</v>
      </c>
      <c r="K168" s="193">
        <v>1</v>
      </c>
      <c r="L168" s="193">
        <v>1</v>
      </c>
      <c r="M168" s="193">
        <v>1</v>
      </c>
      <c r="N168" s="193">
        <v>0</v>
      </c>
      <c r="O168" s="193">
        <v>1</v>
      </c>
      <c r="P168" s="193">
        <v>1</v>
      </c>
      <c r="Q168" s="193">
        <v>1</v>
      </c>
      <c r="R168" s="193">
        <v>1</v>
      </c>
      <c r="S168" s="193">
        <v>1</v>
      </c>
      <c r="T168" s="193">
        <v>1</v>
      </c>
      <c r="U168" s="95"/>
      <c r="V168" s="142">
        <f t="shared" si="275"/>
        <v>4.0000000000000001E-10</v>
      </c>
      <c r="W168" s="142">
        <f t="shared" si="276"/>
        <v>2.0000000000000001E-10</v>
      </c>
      <c r="X168" s="142">
        <f t="shared" si="277"/>
        <v>3E-10</v>
      </c>
      <c r="Y168" s="142">
        <f t="shared" si="278"/>
        <v>0</v>
      </c>
      <c r="Z168" s="142">
        <f t="shared" si="279"/>
        <v>5.0000000000000003E-10</v>
      </c>
      <c r="AA168" s="142">
        <f t="shared" si="280"/>
        <v>6E-10</v>
      </c>
      <c r="AB168" s="142">
        <f t="shared" si="281"/>
        <v>6.9999999999999996E-10</v>
      </c>
      <c r="AC168" s="142">
        <f t="shared" si="282"/>
        <v>8.0000000000000003E-10</v>
      </c>
      <c r="AD168" s="142">
        <f t="shared" si="283"/>
        <v>8.9999999999999999E-10</v>
      </c>
      <c r="AE168" s="142">
        <f t="shared" si="284"/>
        <v>9.5000000000000003E-10</v>
      </c>
      <c r="AF168" s="142" t="b">
        <f t="shared" si="299"/>
        <v>0</v>
      </c>
      <c r="AG168" s="142" t="b">
        <f t="shared" si="299"/>
        <v>0</v>
      </c>
      <c r="AH168" s="142" t="b">
        <f t="shared" si="299"/>
        <v>0</v>
      </c>
      <c r="AI168" s="142" t="b">
        <f t="shared" si="299"/>
        <v>0</v>
      </c>
      <c r="AJ168" s="142" t="b">
        <f t="shared" si="300"/>
        <v>0</v>
      </c>
      <c r="AK168" s="142" t="b">
        <f t="shared" si="300"/>
        <v>1</v>
      </c>
      <c r="AL168" s="142" t="b">
        <f t="shared" si="300"/>
        <v>1</v>
      </c>
      <c r="AM168" s="142" t="b">
        <f t="shared" si="300"/>
        <v>1</v>
      </c>
      <c r="AN168" s="142" t="b">
        <f t="shared" si="300"/>
        <v>1</v>
      </c>
      <c r="AO168" s="142" t="b">
        <f t="shared" si="300"/>
        <v>1</v>
      </c>
      <c r="AP168" s="142" t="str">
        <f>'Reference Score Calculation'!AU145</f>
        <v>5%或更少(全Cert)</v>
      </c>
      <c r="AQ168" s="95" t="str">
        <f>'Reference Score Calculation'!M145</f>
        <v>/</v>
      </c>
      <c r="AR168" s="95"/>
      <c r="AS168" s="95"/>
      <c r="AT168" s="194"/>
      <c r="AU168" s="195"/>
      <c r="AV168" s="195"/>
      <c r="AW168" s="195"/>
      <c r="AX168" s="195"/>
      <c r="AY168" s="195"/>
      <c r="AZ168" s="195"/>
      <c r="BA168" s="195"/>
      <c r="BB168" s="195"/>
      <c r="BC168" s="196"/>
      <c r="BD168" s="196"/>
      <c r="BE168" s="196"/>
      <c r="BF168" s="142"/>
      <c r="BG168" s="51"/>
      <c r="BH168" s="51"/>
      <c r="BI168" s="51"/>
      <c r="BJ168" s="51"/>
      <c r="BK168" s="51"/>
    </row>
    <row r="169" spans="1:63" s="145" customFormat="1">
      <c r="A169" s="142" t="str">
        <f>'Reference Score Calculation'!A146</f>
        <v>JS4238</v>
      </c>
      <c r="B169" s="193" t="str">
        <f>'Reference Score Calculation'!A146</f>
        <v>JS4238</v>
      </c>
      <c r="C169" s="193" t="str">
        <f>'Reference Score Calculation'!D146</f>
        <v>保險、金融與精算學</v>
      </c>
      <c r="D169" s="193"/>
      <c r="E169" s="193" t="str">
        <f>'Reference Score Calculation'!E146</f>
        <v>Best 5</v>
      </c>
      <c r="F169" s="95"/>
      <c r="G169" s="95" t="str">
        <f>入學要求!AB155</f>
        <v>v</v>
      </c>
      <c r="H169" s="95" t="str">
        <f>入學要求!AC155</f>
        <v>E</v>
      </c>
      <c r="I169" s="95" t="str">
        <f>入學要求!AD155</f>
        <v>NO</v>
      </c>
      <c r="J169" s="193">
        <f>IF($W$15=TRUE,SUMIF(AF169:AO169,TRUE,V169:AE169)*0.9,SUMIF(AF169:AO169,TRUE,V169:AE169))</f>
        <v>3.3500000000000002E-9</v>
      </c>
      <c r="K169" s="193">
        <v>1</v>
      </c>
      <c r="L169" s="193">
        <v>1</v>
      </c>
      <c r="M169" s="193">
        <v>1</v>
      </c>
      <c r="N169" s="193">
        <v>0</v>
      </c>
      <c r="O169" s="193">
        <v>1</v>
      </c>
      <c r="P169" s="193">
        <v>1</v>
      </c>
      <c r="Q169" s="193">
        <v>1</v>
      </c>
      <c r="R169" s="193">
        <v>1</v>
      </c>
      <c r="S169" s="193">
        <v>1</v>
      </c>
      <c r="T169" s="193">
        <v>1</v>
      </c>
      <c r="U169" s="95"/>
      <c r="V169" s="142">
        <f t="shared" si="275"/>
        <v>4.0000000000000001E-10</v>
      </c>
      <c r="W169" s="142">
        <f t="shared" si="276"/>
        <v>2.0000000000000001E-10</v>
      </c>
      <c r="X169" s="142">
        <f t="shared" si="277"/>
        <v>3E-10</v>
      </c>
      <c r="Y169" s="142">
        <f t="shared" si="278"/>
        <v>0</v>
      </c>
      <c r="Z169" s="142">
        <f t="shared" si="279"/>
        <v>5.0000000000000003E-10</v>
      </c>
      <c r="AA169" s="142">
        <f t="shared" si="280"/>
        <v>6E-10</v>
      </c>
      <c r="AB169" s="142">
        <f t="shared" si="281"/>
        <v>6.9999999999999996E-10</v>
      </c>
      <c r="AC169" s="142">
        <f t="shared" si="282"/>
        <v>8.0000000000000003E-10</v>
      </c>
      <c r="AD169" s="142">
        <f t="shared" si="283"/>
        <v>8.9999999999999999E-10</v>
      </c>
      <c r="AE169" s="142">
        <f t="shared" si="284"/>
        <v>9.5000000000000003E-10</v>
      </c>
      <c r="AF169" s="253" t="b">
        <f t="shared" ref="AF169:AO169" si="301">AU159</f>
        <v>0</v>
      </c>
      <c r="AG169" s="254" t="b">
        <f t="shared" si="301"/>
        <v>1</v>
      </c>
      <c r="AH169" s="254" t="b">
        <f t="shared" si="301"/>
        <v>0</v>
      </c>
      <c r="AI169" s="253" t="b">
        <f t="shared" si="301"/>
        <v>0</v>
      </c>
      <c r="AJ169" s="254" t="b">
        <f t="shared" si="301"/>
        <v>1</v>
      </c>
      <c r="AK169" s="253" t="b">
        <f t="shared" si="301"/>
        <v>0</v>
      </c>
      <c r="AL169" s="253" t="b">
        <f t="shared" si="301"/>
        <v>0</v>
      </c>
      <c r="AM169" s="253" t="b">
        <f t="shared" si="301"/>
        <v>1</v>
      </c>
      <c r="AN169" s="253" t="b">
        <f t="shared" si="301"/>
        <v>1</v>
      </c>
      <c r="AO169" s="253" t="b">
        <f t="shared" si="301"/>
        <v>1</v>
      </c>
      <c r="AP169" s="142" t="str">
        <f>'Reference Score Calculation'!AU146</f>
        <v>6%-10%(全Cert)</v>
      </c>
      <c r="AQ169" s="95" t="str">
        <f>'Reference Score Calculation'!M146</f>
        <v>最佳五科必須包括︰英文 及 [數學 和 M1/2] 其中最佳一科</v>
      </c>
      <c r="AR169" s="95"/>
      <c r="AS169" s="95"/>
      <c r="AT169" s="194"/>
      <c r="AU169" s="195"/>
      <c r="AV169" s="195"/>
      <c r="AW169" s="195"/>
      <c r="AX169" s="195"/>
      <c r="AY169" s="195"/>
      <c r="AZ169" s="195"/>
      <c r="BA169" s="195"/>
      <c r="BB169" s="195"/>
      <c r="BC169" s="196"/>
      <c r="BD169" s="196"/>
      <c r="BE169" s="196"/>
      <c r="BF169" s="142"/>
      <c r="BG169" s="51"/>
      <c r="BH169" s="51"/>
      <c r="BI169" s="51"/>
      <c r="BJ169" s="51"/>
      <c r="BK169" s="51"/>
    </row>
    <row r="170" spans="1:63">
      <c r="A170" s="142" t="str">
        <f>'Reference Score Calculation'!A147</f>
        <v>JS4240</v>
      </c>
      <c r="B170" s="193" t="str">
        <f>'Reference Score Calculation'!A147</f>
        <v>JS4240</v>
      </c>
      <c r="C170" s="193" t="str">
        <f>'Reference Score Calculation'!D147</f>
        <v>專業會計學</v>
      </c>
      <c r="D170" s="193"/>
      <c r="E170" s="193" t="str">
        <f>'Reference Score Calculation'!E147</f>
        <v>Best 5</v>
      </c>
      <c r="F170" s="95"/>
      <c r="G170" s="95" t="str">
        <f>入學要求!AB156</f>
        <v>v</v>
      </c>
      <c r="H170" s="95" t="str">
        <f>入學要求!AC156</f>
        <v>E</v>
      </c>
      <c r="I170" s="95" t="str">
        <f>入學要求!AD156</f>
        <v>NO</v>
      </c>
      <c r="J170" s="193">
        <f>IF($W$15=TRUE,SUMIF(AF170:AO170,TRUE,V170:AE170)*0.95,SUMIF(AF170:AO170,TRUE,V170:AE170))</f>
        <v>3.9500000000000006E-9</v>
      </c>
      <c r="K170" s="193">
        <v>1</v>
      </c>
      <c r="L170" s="193">
        <v>1</v>
      </c>
      <c r="M170" s="193">
        <v>1</v>
      </c>
      <c r="N170" s="193">
        <v>0</v>
      </c>
      <c r="O170" s="193">
        <v>1</v>
      </c>
      <c r="P170" s="193">
        <v>1</v>
      </c>
      <c r="Q170" s="193">
        <v>1</v>
      </c>
      <c r="R170" s="193">
        <v>1</v>
      </c>
      <c r="S170" s="193">
        <v>1</v>
      </c>
      <c r="T170" s="193">
        <v>1</v>
      </c>
      <c r="U170" s="95"/>
      <c r="V170" s="142">
        <f t="shared" si="275"/>
        <v>4.0000000000000001E-10</v>
      </c>
      <c r="W170" s="142">
        <f t="shared" si="276"/>
        <v>2.0000000000000001E-10</v>
      </c>
      <c r="X170" s="142">
        <f t="shared" si="277"/>
        <v>3E-10</v>
      </c>
      <c r="Y170" s="142">
        <f t="shared" si="278"/>
        <v>0</v>
      </c>
      <c r="Z170" s="142">
        <f t="shared" si="279"/>
        <v>5.0000000000000003E-10</v>
      </c>
      <c r="AA170" s="142">
        <f t="shared" si="280"/>
        <v>6E-10</v>
      </c>
      <c r="AB170" s="142">
        <f t="shared" si="281"/>
        <v>6.9999999999999996E-10</v>
      </c>
      <c r="AC170" s="142">
        <f t="shared" si="282"/>
        <v>8.0000000000000003E-10</v>
      </c>
      <c r="AD170" s="142">
        <f t="shared" si="283"/>
        <v>8.9999999999999999E-10</v>
      </c>
      <c r="AE170" s="142">
        <f t="shared" si="284"/>
        <v>9.5000000000000003E-10</v>
      </c>
      <c r="AF170" s="142" t="b">
        <f t="shared" ref="AF170:AI171" si="302">IF($E170="4C2X",TRUE,IF($E170="Best 5",IF(V170&gt;LARGE($V170:$AE170,6),TRUE)))</f>
        <v>0</v>
      </c>
      <c r="AG170" s="142" t="b">
        <f t="shared" si="302"/>
        <v>0</v>
      </c>
      <c r="AH170" s="142" t="b">
        <f t="shared" si="302"/>
        <v>0</v>
      </c>
      <c r="AI170" s="142" t="b">
        <f t="shared" si="302"/>
        <v>0</v>
      </c>
      <c r="AJ170" s="142" t="b">
        <f t="shared" ref="AJ170:AO171" si="303">IF($E170="4C2X",IF(Z170&gt;LARGE($Z170:$AE170,3),TRUE),IF($E170="Best 5",IF(Z170&gt;LARGE($V170:$AE170,6),TRUE)))</f>
        <v>0</v>
      </c>
      <c r="AK170" s="142" t="b">
        <f t="shared" si="303"/>
        <v>1</v>
      </c>
      <c r="AL170" s="142" t="b">
        <f t="shared" si="303"/>
        <v>1</v>
      </c>
      <c r="AM170" s="142" t="b">
        <f t="shared" si="303"/>
        <v>1</v>
      </c>
      <c r="AN170" s="142" t="b">
        <f t="shared" si="303"/>
        <v>1</v>
      </c>
      <c r="AO170" s="142" t="b">
        <f t="shared" si="303"/>
        <v>1</v>
      </c>
      <c r="AP170" s="142" t="str">
        <f>'Reference Score Calculation'!AU147</f>
        <v>5%或更少(全Cert)</v>
      </c>
      <c r="AQ170" s="95" t="str">
        <f>'Reference Score Calculation'!M147</f>
        <v>/</v>
      </c>
      <c r="AR170" s="95"/>
      <c r="AS170" s="95"/>
      <c r="AT170" s="194" t="s">
        <v>1449</v>
      </c>
      <c r="AU170" s="195" t="s">
        <v>3029</v>
      </c>
      <c r="AV170" s="195"/>
      <c r="AW170" s="195"/>
      <c r="AX170" s="195"/>
      <c r="AY170" s="195" t="s">
        <v>3030</v>
      </c>
      <c r="AZ170" s="195"/>
      <c r="BA170" s="195"/>
      <c r="BB170" s="195" t="s">
        <v>3031</v>
      </c>
      <c r="BC170" s="196"/>
      <c r="BD170" s="196"/>
      <c r="BE170" s="196"/>
      <c r="BF170" s="142"/>
      <c r="BG170" s="2"/>
      <c r="BH170" s="2"/>
      <c r="BI170" s="2"/>
      <c r="BJ170" s="2"/>
      <c r="BK170" s="2"/>
    </row>
    <row r="171" spans="1:63">
      <c r="A171" s="142" t="str">
        <f>'Reference Score Calculation'!A148</f>
        <v>JS4252</v>
      </c>
      <c r="B171" s="193" t="str">
        <f>'Reference Score Calculation'!A148</f>
        <v>JS4252</v>
      </c>
      <c r="C171" s="193" t="str">
        <f>'Reference Score Calculation'!D148</f>
        <v>計量金融學</v>
      </c>
      <c r="D171" s="193"/>
      <c r="E171" s="193" t="str">
        <f>'Reference Score Calculation'!E148</f>
        <v>Best 5</v>
      </c>
      <c r="F171" s="95"/>
      <c r="G171" s="95" t="str">
        <f>入學要求!AB157</f>
        <v>v</v>
      </c>
      <c r="H171" s="95" t="str">
        <f>入學要求!AC157</f>
        <v>E</v>
      </c>
      <c r="I171" s="95" t="str">
        <f>入學要求!AD157</f>
        <v>NO</v>
      </c>
      <c r="J171" s="193">
        <f>IF($W$15=TRUE,SUMIF(AF171:AO171,TRUE,V171:AE171)*0.95,SUMIF(AF171:AO171,TRUE,V171:AE171))</f>
        <v>4.1000000000000003E-9</v>
      </c>
      <c r="K171" s="193">
        <v>1</v>
      </c>
      <c r="L171" s="193">
        <v>2</v>
      </c>
      <c r="M171" s="193">
        <v>2</v>
      </c>
      <c r="N171" s="193">
        <v>0</v>
      </c>
      <c r="O171" s="193">
        <f>IF(O$1=$BB$163,1.5,1)</f>
        <v>1.5</v>
      </c>
      <c r="P171" s="193">
        <f>IF(P$1=$BB$163,1.5,1)</f>
        <v>1</v>
      </c>
      <c r="Q171" s="193">
        <f>IF(Q$1=$BB$163,1.5,1)</f>
        <v>1</v>
      </c>
      <c r="R171" s="193">
        <f>IF(R$1=$BB$163,1.5,1)</f>
        <v>1</v>
      </c>
      <c r="S171" s="193">
        <f>IF(S$1=$BB$163,1.5,1)</f>
        <v>1</v>
      </c>
      <c r="T171" s="193">
        <v>1</v>
      </c>
      <c r="U171" s="95"/>
      <c r="V171" s="142">
        <f t="shared" si="275"/>
        <v>4.0000000000000001E-10</v>
      </c>
      <c r="W171" s="142">
        <f t="shared" si="276"/>
        <v>4.0000000000000001E-10</v>
      </c>
      <c r="X171" s="142">
        <f t="shared" si="277"/>
        <v>6E-10</v>
      </c>
      <c r="Y171" s="142">
        <f t="shared" si="278"/>
        <v>0</v>
      </c>
      <c r="Z171" s="142">
        <f t="shared" si="279"/>
        <v>7.500000000000001E-10</v>
      </c>
      <c r="AA171" s="142">
        <f t="shared" si="280"/>
        <v>6E-10</v>
      </c>
      <c r="AB171" s="142">
        <f t="shared" si="281"/>
        <v>6.9999999999999996E-10</v>
      </c>
      <c r="AC171" s="142">
        <f t="shared" si="282"/>
        <v>8.0000000000000003E-10</v>
      </c>
      <c r="AD171" s="142">
        <f t="shared" si="283"/>
        <v>8.9999999999999999E-10</v>
      </c>
      <c r="AE171" s="142">
        <f t="shared" si="284"/>
        <v>9.5000000000000003E-10</v>
      </c>
      <c r="AF171" s="142" t="b">
        <f t="shared" si="302"/>
        <v>0</v>
      </c>
      <c r="AG171" s="142" t="b">
        <f t="shared" si="302"/>
        <v>0</v>
      </c>
      <c r="AH171" s="142" t="b">
        <f t="shared" si="302"/>
        <v>0</v>
      </c>
      <c r="AI171" s="142" t="b">
        <f t="shared" si="302"/>
        <v>0</v>
      </c>
      <c r="AJ171" s="142" t="b">
        <f t="shared" si="303"/>
        <v>1</v>
      </c>
      <c r="AK171" s="142" t="b">
        <f t="shared" si="303"/>
        <v>0</v>
      </c>
      <c r="AL171" s="142" t="b">
        <f t="shared" si="303"/>
        <v>1</v>
      </c>
      <c r="AM171" s="142" t="b">
        <f t="shared" si="303"/>
        <v>1</v>
      </c>
      <c r="AN171" s="142" t="b">
        <f t="shared" si="303"/>
        <v>1</v>
      </c>
      <c r="AO171" s="142" t="b">
        <f t="shared" si="303"/>
        <v>1</v>
      </c>
      <c r="AP171" s="142" t="str">
        <f>'Reference Score Calculation'!AU148</f>
        <v>5%或更少(全Cert)</v>
      </c>
      <c r="AQ171" s="95" t="str">
        <f>'Reference Score Calculation'!M148</f>
        <v>/</v>
      </c>
      <c r="AR171" s="95"/>
      <c r="AS171" s="95"/>
      <c r="AT171" s="194" t="s">
        <v>487</v>
      </c>
      <c r="AU171" s="199" t="b">
        <f>IF(O13&gt;LARGE(AU174:BD174,6),TRUE,FALSE)</f>
        <v>1</v>
      </c>
      <c r="AV171" s="195"/>
      <c r="AW171" s="195"/>
      <c r="AX171" s="195"/>
      <c r="AY171" s="142" t="str">
        <f>IF(AZ171&gt;0,INDEX(AU173:BD173,MATCH(LARGE(AU174:BD174,6),AU174:BD174,0)),"無")</f>
        <v>中國語文</v>
      </c>
      <c r="AZ171" s="142">
        <f>LARGE(AU174:BD174,6)</f>
        <v>4.0000000000000001E-10</v>
      </c>
      <c r="BA171" s="195"/>
      <c r="BB171" s="142">
        <f>(AZ171+O13)/(O13+O13)</f>
        <v>0.89999999999999991</v>
      </c>
      <c r="BC171" s="195"/>
      <c r="BD171" s="195"/>
      <c r="BE171" s="196"/>
      <c r="BF171" s="142"/>
      <c r="BG171" s="2"/>
      <c r="BH171" s="2"/>
      <c r="BI171" s="2"/>
      <c r="BJ171" s="2"/>
      <c r="BK171" s="2"/>
    </row>
    <row r="172" spans="1:63" s="145" customFormat="1">
      <c r="A172" s="142" t="str">
        <f>'Reference Score Calculation'!A149</f>
        <v>JS4254</v>
      </c>
      <c r="B172" s="193" t="str">
        <f>'Reference Score Calculation'!A149</f>
        <v>JS4254</v>
      </c>
      <c r="C172" s="193" t="str">
        <f>'Reference Score Calculation'!D149</f>
        <v>環球經濟與金融跨學科主修課程</v>
      </c>
      <c r="D172" s="193"/>
      <c r="E172" s="193" t="str">
        <f>'Reference Score Calculation'!E149</f>
        <v>Best 5</v>
      </c>
      <c r="F172" s="95"/>
      <c r="G172" s="95" t="str">
        <f>入學要求!AB158</f>
        <v>v</v>
      </c>
      <c r="H172" s="95" t="str">
        <f>入學要求!AC158</f>
        <v>E</v>
      </c>
      <c r="I172" s="95" t="str">
        <f>入學要求!AD158</f>
        <v>NO</v>
      </c>
      <c r="J172" s="193">
        <f t="shared" si="295"/>
        <v>3.5500000000000004E-9</v>
      </c>
      <c r="K172" s="193">
        <v>1</v>
      </c>
      <c r="L172" s="193">
        <v>1</v>
      </c>
      <c r="M172" s="193">
        <v>1</v>
      </c>
      <c r="N172" s="193">
        <v>0</v>
      </c>
      <c r="O172" s="193">
        <v>1</v>
      </c>
      <c r="P172" s="193">
        <v>1</v>
      </c>
      <c r="Q172" s="193">
        <v>1</v>
      </c>
      <c r="R172" s="193">
        <v>1</v>
      </c>
      <c r="S172" s="193">
        <v>1</v>
      </c>
      <c r="T172" s="193">
        <v>1</v>
      </c>
      <c r="U172" s="95"/>
      <c r="V172" s="142">
        <f t="shared" si="275"/>
        <v>4.0000000000000001E-10</v>
      </c>
      <c r="W172" s="142">
        <f t="shared" si="276"/>
        <v>2.0000000000000001E-10</v>
      </c>
      <c r="X172" s="142">
        <f t="shared" si="277"/>
        <v>3E-10</v>
      </c>
      <c r="Y172" s="142">
        <f t="shared" si="278"/>
        <v>0</v>
      </c>
      <c r="Z172" s="142">
        <f t="shared" si="279"/>
        <v>5.0000000000000003E-10</v>
      </c>
      <c r="AA172" s="142">
        <f t="shared" si="280"/>
        <v>6E-10</v>
      </c>
      <c r="AB172" s="142">
        <f t="shared" si="281"/>
        <v>6.9999999999999996E-10</v>
      </c>
      <c r="AC172" s="142">
        <f t="shared" si="282"/>
        <v>8.0000000000000003E-10</v>
      </c>
      <c r="AD172" s="142">
        <f t="shared" si="283"/>
        <v>8.9999999999999999E-10</v>
      </c>
      <c r="AE172" s="142">
        <f t="shared" si="284"/>
        <v>9.5000000000000003E-10</v>
      </c>
      <c r="AF172" s="253" t="b">
        <f>IF(V172&gt;LARGE(($V172,$X172:$AE172),5),TRUE)</f>
        <v>0</v>
      </c>
      <c r="AG172" s="254" t="b">
        <f>TRUE</f>
        <v>1</v>
      </c>
      <c r="AH172" s="253" t="b">
        <f>IF(X172&gt;LARGE(($V172,$X172:$AE172),5),TRUE)</f>
        <v>0</v>
      </c>
      <c r="AI172" s="253" t="b">
        <f>IF(Y172&gt;LARGE(($V172,$X172:$AE172),5),TRUE)</f>
        <v>0</v>
      </c>
      <c r="AJ172" s="253" t="b">
        <f>IF(Z172&gt;LARGE(($V172,$X172:$AE172),5),TRUE)</f>
        <v>0</v>
      </c>
      <c r="AK172" s="253" t="b">
        <f>IF(AA172&gt;LARGE(($V172,$X172:$AE172),5),TRUE)</f>
        <v>0</v>
      </c>
      <c r="AL172" s="253" t="b">
        <f>IF(AB172&gt;LARGE(($V172,$X172:$AE172),5),TRUE)</f>
        <v>1</v>
      </c>
      <c r="AM172" s="253" t="b">
        <f>IF(AC172&gt;LARGE(($V172,$X172:$AE172),5),TRUE)</f>
        <v>1</v>
      </c>
      <c r="AN172" s="253" t="b">
        <f>IF(AD172&gt;LARGE(($V172,$X172:$AE172),5),TRUE)</f>
        <v>1</v>
      </c>
      <c r="AO172" s="253" t="b">
        <f>IF(AE172&gt;LARGE(($V172,$X172:$AE172),5),TRUE)</f>
        <v>1</v>
      </c>
      <c r="AP172" s="142" t="str">
        <f>'Reference Score Calculation'!AU149</f>
        <v>無</v>
      </c>
      <c r="AQ172" s="95" t="str">
        <f>'Reference Score Calculation'!M149</f>
        <v>最佳五科必須包括︰英文</v>
      </c>
      <c r="AR172" s="95"/>
      <c r="AS172" s="95"/>
      <c r="AT172" s="194"/>
      <c r="AU172" s="195"/>
      <c r="AV172" s="195"/>
      <c r="AW172" s="195"/>
      <c r="AX172" s="195"/>
      <c r="AY172" s="195"/>
      <c r="AZ172" s="195"/>
      <c r="BA172" s="195"/>
      <c r="BB172" s="195"/>
      <c r="BC172" s="195"/>
      <c r="BD172" s="195"/>
      <c r="BE172" s="196"/>
      <c r="BF172" s="142"/>
      <c r="BG172" s="51"/>
      <c r="BH172" s="51"/>
      <c r="BI172" s="51"/>
      <c r="BJ172" s="51"/>
      <c r="BK172" s="51"/>
    </row>
    <row r="173" spans="1:63" s="142" customFormat="1">
      <c r="A173" s="142" t="str">
        <f>'Reference Score Calculation'!A150</f>
        <v>JS4264</v>
      </c>
      <c r="B173" s="193" t="str">
        <f>'Reference Score Calculation'!A150</f>
        <v>JS4264</v>
      </c>
      <c r="C173" s="193" t="str">
        <f>'Reference Score Calculation'!D150</f>
        <v>工商管理學士（工商管理學士綜合課程）及法律博士雙學位課程</v>
      </c>
      <c r="D173" s="193"/>
      <c r="E173" s="193" t="str">
        <f>'Reference Score Calculation'!E150</f>
        <v>4C2X</v>
      </c>
      <c r="F173" s="95"/>
      <c r="G173" s="95" t="str">
        <f>入學要求!AB159</f>
        <v>v</v>
      </c>
      <c r="H173" s="95" t="str">
        <f>入學要求!AC159</f>
        <v>E</v>
      </c>
      <c r="I173" s="95" t="str">
        <f>入學要求!AD159</f>
        <v>NO</v>
      </c>
      <c r="J173" s="193">
        <f>IF($W$15=TRUE,SUMIF(AF173:AO173,TRUE,V173:AE173)*0.95,SUMIF(AF173:AO173,TRUE,V173:AE173))</f>
        <v>3.1500000000000001E-9</v>
      </c>
      <c r="K173" s="193">
        <v>1.5</v>
      </c>
      <c r="L173" s="193">
        <v>2</v>
      </c>
      <c r="M173" s="193">
        <v>1</v>
      </c>
      <c r="N173" s="193">
        <v>2</v>
      </c>
      <c r="O173" s="193">
        <v>1</v>
      </c>
      <c r="P173" s="193">
        <v>1</v>
      </c>
      <c r="Q173" s="193">
        <v>1</v>
      </c>
      <c r="R173" s="193">
        <v>1</v>
      </c>
      <c r="S173" s="193">
        <v>1</v>
      </c>
      <c r="T173" s="193">
        <v>1</v>
      </c>
      <c r="U173" s="95"/>
      <c r="V173" s="142">
        <f t="shared" si="275"/>
        <v>6E-10</v>
      </c>
      <c r="W173" s="142">
        <f t="shared" si="276"/>
        <v>4.0000000000000001E-10</v>
      </c>
      <c r="X173" s="142">
        <f t="shared" si="277"/>
        <v>3E-10</v>
      </c>
      <c r="Y173" s="142">
        <f t="shared" si="278"/>
        <v>0</v>
      </c>
      <c r="Z173" s="142">
        <f t="shared" si="279"/>
        <v>5.0000000000000003E-10</v>
      </c>
      <c r="AA173" s="142">
        <f t="shared" si="280"/>
        <v>6E-10</v>
      </c>
      <c r="AB173" s="142">
        <f t="shared" si="281"/>
        <v>6.9999999999999996E-10</v>
      </c>
      <c r="AC173" s="142">
        <f t="shared" si="282"/>
        <v>8.0000000000000003E-10</v>
      </c>
      <c r="AD173" s="142">
        <f t="shared" si="283"/>
        <v>8.9999999999999999E-10</v>
      </c>
      <c r="AE173" s="142">
        <f t="shared" si="284"/>
        <v>9.5000000000000003E-10</v>
      </c>
      <c r="AF173" s="142" t="b">
        <f t="shared" ref="AF173:AI175" si="304">IF($E173="4C2X",TRUE,IF($E173="Best 5",IF(V173&gt;LARGE($V173:$AE173,6),TRUE)))</f>
        <v>1</v>
      </c>
      <c r="AG173" s="142" t="b">
        <f t="shared" si="304"/>
        <v>1</v>
      </c>
      <c r="AH173" s="142" t="b">
        <f t="shared" si="304"/>
        <v>1</v>
      </c>
      <c r="AI173" s="142" t="b">
        <f t="shared" si="304"/>
        <v>1</v>
      </c>
      <c r="AJ173" s="142" t="b">
        <f t="shared" ref="AJ173:AO175" si="305">IF($E173="4C2X",IF(Z173&gt;LARGE($Z173:$AE173,3),TRUE),IF($E173="Best 5",IF(Z173&gt;LARGE($V173:$AE173,6),TRUE)))</f>
        <v>0</v>
      </c>
      <c r="AK173" s="142" t="b">
        <f t="shared" si="305"/>
        <v>0</v>
      </c>
      <c r="AL173" s="142" t="b">
        <f t="shared" si="305"/>
        <v>0</v>
      </c>
      <c r="AM173" s="142" t="b">
        <f t="shared" si="305"/>
        <v>0</v>
      </c>
      <c r="AN173" s="142" t="b">
        <f t="shared" si="305"/>
        <v>1</v>
      </c>
      <c r="AO173" s="142" t="b">
        <f t="shared" si="305"/>
        <v>1</v>
      </c>
      <c r="AP173" s="142" t="str">
        <f>'Reference Score Calculation'!AU150</f>
        <v>5%或更少(全Cert)</v>
      </c>
      <c r="AQ173" s="95" t="str">
        <f>'Reference Score Calculation'!M150</f>
        <v>/</v>
      </c>
      <c r="AR173" s="95"/>
      <c r="AS173" s="95"/>
      <c r="AT173" s="194"/>
      <c r="AU173" s="194" t="str">
        <f t="shared" ref="AU173:BD173" si="306">K1</f>
        <v>中國語文</v>
      </c>
      <c r="AV173" s="194" t="str">
        <f t="shared" si="306"/>
        <v>英國語文</v>
      </c>
      <c r="AW173" s="194" t="str">
        <f t="shared" si="306"/>
        <v>數學</v>
      </c>
      <c r="AX173" s="194" t="str">
        <f t="shared" si="306"/>
        <v>通識教育</v>
      </c>
      <c r="AY173" s="194" t="str">
        <f t="shared" si="306"/>
        <v>數學延伸</v>
      </c>
      <c r="AZ173" s="194" t="str">
        <f t="shared" si="306"/>
        <v>請選擇第一選修科</v>
      </c>
      <c r="BA173" s="194" t="str">
        <f t="shared" si="306"/>
        <v>請選擇第二選修科</v>
      </c>
      <c r="BB173" s="194" t="str">
        <f t="shared" si="306"/>
        <v>請選擇第三選修科</v>
      </c>
      <c r="BC173" s="194" t="str">
        <f t="shared" si="306"/>
        <v>請選擇第四選修科</v>
      </c>
      <c r="BD173" s="194" t="str">
        <f t="shared" si="306"/>
        <v>請選擇語言科目</v>
      </c>
      <c r="BE173" s="196"/>
      <c r="BG173" s="95"/>
      <c r="BH173" s="95"/>
      <c r="BI173" s="95"/>
      <c r="BJ173" s="95"/>
      <c r="BK173" s="95"/>
    </row>
    <row r="174" spans="1:63" s="145" customFormat="1">
      <c r="A174" s="142" t="str">
        <f>'Reference Score Calculation'!A151</f>
        <v>JS4276</v>
      </c>
      <c r="B174" s="193" t="str">
        <f>'Reference Score Calculation'!A151</f>
        <v>JS4276</v>
      </c>
      <c r="C174" s="193" t="str">
        <f>'Reference Score Calculation'!D151</f>
        <v>計量金融學及風險管理科學</v>
      </c>
      <c r="D174" s="193"/>
      <c r="E174" s="193" t="str">
        <f>'Reference Score Calculation'!E151</f>
        <v>Best 5</v>
      </c>
      <c r="F174" s="95"/>
      <c r="G174" s="95" t="str">
        <f>入學要求!AB160</f>
        <v>v</v>
      </c>
      <c r="H174" s="95" t="str">
        <f>入學要求!AC160</f>
        <v>E</v>
      </c>
      <c r="I174" s="95" t="str">
        <f>入學要求!AD160</f>
        <v>NO</v>
      </c>
      <c r="J174" s="193">
        <f t="shared" si="295"/>
        <v>4.1000000000000003E-9</v>
      </c>
      <c r="K174" s="193">
        <v>1</v>
      </c>
      <c r="L174" s="193">
        <v>2</v>
      </c>
      <c r="M174" s="193">
        <v>2</v>
      </c>
      <c r="N174" s="193">
        <v>0</v>
      </c>
      <c r="O174" s="193">
        <f>IF(O$1=$BB$163,1.5,1)</f>
        <v>1.5</v>
      </c>
      <c r="P174" s="193">
        <f>IF(P$1=$BB$163,1.5,1)</f>
        <v>1</v>
      </c>
      <c r="Q174" s="193">
        <f>IF(Q$1=$BB$163,1.5,1)</f>
        <v>1</v>
      </c>
      <c r="R174" s="193">
        <f>IF(R$1=$BB$163,1.5,1)</f>
        <v>1</v>
      </c>
      <c r="S174" s="193">
        <f>IF(S$1=$BB$163,1.5,1)</f>
        <v>1</v>
      </c>
      <c r="T174" s="193">
        <v>1</v>
      </c>
      <c r="U174" s="95"/>
      <c r="V174" s="142">
        <f t="shared" si="275"/>
        <v>4.0000000000000001E-10</v>
      </c>
      <c r="W174" s="142">
        <f t="shared" si="276"/>
        <v>4.0000000000000001E-10</v>
      </c>
      <c r="X174" s="142">
        <f t="shared" si="277"/>
        <v>6E-10</v>
      </c>
      <c r="Y174" s="142">
        <f t="shared" si="278"/>
        <v>0</v>
      </c>
      <c r="Z174" s="142">
        <f t="shared" si="279"/>
        <v>7.500000000000001E-10</v>
      </c>
      <c r="AA174" s="142">
        <f t="shared" si="280"/>
        <v>6E-10</v>
      </c>
      <c r="AB174" s="142">
        <f t="shared" si="281"/>
        <v>6.9999999999999996E-10</v>
      </c>
      <c r="AC174" s="142">
        <f t="shared" si="282"/>
        <v>8.0000000000000003E-10</v>
      </c>
      <c r="AD174" s="142">
        <f t="shared" si="283"/>
        <v>8.9999999999999999E-10</v>
      </c>
      <c r="AE174" s="142">
        <f t="shared" si="284"/>
        <v>9.5000000000000003E-10</v>
      </c>
      <c r="AF174" s="142" t="b">
        <f t="shared" si="304"/>
        <v>0</v>
      </c>
      <c r="AG174" s="142" t="b">
        <f t="shared" si="304"/>
        <v>0</v>
      </c>
      <c r="AH174" s="142" t="b">
        <f t="shared" si="304"/>
        <v>0</v>
      </c>
      <c r="AI174" s="142" t="b">
        <f t="shared" si="304"/>
        <v>0</v>
      </c>
      <c r="AJ174" s="142" t="b">
        <f t="shared" si="305"/>
        <v>1</v>
      </c>
      <c r="AK174" s="142" t="b">
        <f t="shared" si="305"/>
        <v>0</v>
      </c>
      <c r="AL174" s="142" t="b">
        <f t="shared" si="305"/>
        <v>1</v>
      </c>
      <c r="AM174" s="142" t="b">
        <f t="shared" si="305"/>
        <v>1</v>
      </c>
      <c r="AN174" s="142" t="b">
        <f t="shared" si="305"/>
        <v>1</v>
      </c>
      <c r="AO174" s="142" t="b">
        <f t="shared" si="305"/>
        <v>1</v>
      </c>
      <c r="AP174" s="142" t="str">
        <f>'Reference Score Calculation'!AU151</f>
        <v>無</v>
      </c>
      <c r="AQ174" s="95" t="str">
        <f>'Reference Score Calculation'!M151</f>
        <v>/</v>
      </c>
      <c r="AR174" s="95"/>
      <c r="AS174" s="95"/>
      <c r="AT174" s="194"/>
      <c r="AU174" s="432">
        <f>K13</f>
        <v>4.0000000000000001E-10</v>
      </c>
      <c r="AV174" s="432">
        <f>L13</f>
        <v>2.0000000000000001E-10</v>
      </c>
      <c r="AW174" s="432">
        <f>M13</f>
        <v>3E-10</v>
      </c>
      <c r="AX174" s="432">
        <f>N13</f>
        <v>0</v>
      </c>
      <c r="AY174" s="195"/>
      <c r="AZ174" s="432">
        <f>P13</f>
        <v>6E-10</v>
      </c>
      <c r="BA174" s="432">
        <f>Q13</f>
        <v>6.9999999999999996E-10</v>
      </c>
      <c r="BB174" s="432">
        <f>R13</f>
        <v>8.0000000000000003E-10</v>
      </c>
      <c r="BC174" s="432">
        <f>S13</f>
        <v>8.9999999999999999E-10</v>
      </c>
      <c r="BD174" s="432">
        <f>T13</f>
        <v>9.5000000000000003E-10</v>
      </c>
      <c r="BE174" s="196"/>
      <c r="BF174" s="142"/>
      <c r="BG174" s="51"/>
      <c r="BH174" s="51"/>
      <c r="BI174" s="51"/>
      <c r="BJ174" s="51"/>
      <c r="BK174" s="51"/>
    </row>
    <row r="175" spans="1:63" s="142" customFormat="1">
      <c r="A175" s="142" t="str">
        <f>'Reference Score Calculation'!A152</f>
        <v>JS4329</v>
      </c>
      <c r="B175" s="193" t="str">
        <f>'Reference Score Calculation'!A152</f>
        <v>JS4329</v>
      </c>
      <c r="C175" s="193" t="str">
        <f>'Reference Score Calculation'!D152</f>
        <v>健康與體育運動科學</v>
      </c>
      <c r="D175" s="193"/>
      <c r="E175" s="193" t="str">
        <f>'Reference Score Calculation'!E152</f>
        <v>Best 5</v>
      </c>
      <c r="F175" s="95"/>
      <c r="G175" s="95" t="str">
        <f>入學要求!AB161</f>
        <v>v</v>
      </c>
      <c r="H175" s="95" t="str">
        <f>入學要求!AC161</f>
        <v>E</v>
      </c>
      <c r="I175" s="95" t="str">
        <f>入學要求!AD161</f>
        <v>NO</v>
      </c>
      <c r="J175" s="193">
        <f>IF($W$15=TRUE,SUMIF(AF175:AO175,TRUE,V175:AE175)*0.95,SUMIF(AF175:AO175,TRUE,V175:AE175))</f>
        <v>3.9500000000000006E-9</v>
      </c>
      <c r="K175" s="193">
        <v>1</v>
      </c>
      <c r="L175" s="193">
        <v>1</v>
      </c>
      <c r="M175" s="193">
        <v>1</v>
      </c>
      <c r="N175" s="193">
        <v>0</v>
      </c>
      <c r="O175" s="193">
        <v>1</v>
      </c>
      <c r="P175" s="193">
        <v>1</v>
      </c>
      <c r="Q175" s="193">
        <v>1</v>
      </c>
      <c r="R175" s="193">
        <v>1</v>
      </c>
      <c r="S175" s="193">
        <v>1</v>
      </c>
      <c r="T175" s="193">
        <v>1</v>
      </c>
      <c r="U175" s="95"/>
      <c r="V175" s="142">
        <f t="shared" si="275"/>
        <v>4.0000000000000001E-10</v>
      </c>
      <c r="W175" s="142">
        <f t="shared" si="276"/>
        <v>2.0000000000000001E-10</v>
      </c>
      <c r="X175" s="142">
        <f t="shared" si="277"/>
        <v>3E-10</v>
      </c>
      <c r="Y175" s="142">
        <f t="shared" si="278"/>
        <v>0</v>
      </c>
      <c r="Z175" s="142">
        <f t="shared" si="279"/>
        <v>5.0000000000000003E-10</v>
      </c>
      <c r="AA175" s="142">
        <f t="shared" si="280"/>
        <v>6E-10</v>
      </c>
      <c r="AB175" s="142">
        <f t="shared" si="281"/>
        <v>6.9999999999999996E-10</v>
      </c>
      <c r="AC175" s="142">
        <f t="shared" si="282"/>
        <v>8.0000000000000003E-10</v>
      </c>
      <c r="AD175" s="142">
        <f t="shared" si="283"/>
        <v>8.9999999999999999E-10</v>
      </c>
      <c r="AE175" s="142">
        <f t="shared" si="284"/>
        <v>9.5000000000000003E-10</v>
      </c>
      <c r="AF175" s="142" t="b">
        <f t="shared" si="304"/>
        <v>0</v>
      </c>
      <c r="AG175" s="142" t="b">
        <f t="shared" si="304"/>
        <v>0</v>
      </c>
      <c r="AH175" s="142" t="b">
        <f t="shared" si="304"/>
        <v>0</v>
      </c>
      <c r="AI175" s="142" t="b">
        <f t="shared" si="304"/>
        <v>0</v>
      </c>
      <c r="AJ175" s="142" t="b">
        <f t="shared" si="305"/>
        <v>0</v>
      </c>
      <c r="AK175" s="142" t="b">
        <f t="shared" si="305"/>
        <v>1</v>
      </c>
      <c r="AL175" s="142" t="b">
        <f t="shared" si="305"/>
        <v>1</v>
      </c>
      <c r="AM175" s="142" t="b">
        <f t="shared" si="305"/>
        <v>1</v>
      </c>
      <c r="AN175" s="142" t="b">
        <f t="shared" si="305"/>
        <v>1</v>
      </c>
      <c r="AO175" s="142" t="b">
        <f t="shared" si="305"/>
        <v>1</v>
      </c>
      <c r="AP175" s="142" t="str">
        <f>'Reference Score Calculation'!AU152</f>
        <v>5%或更少(全Cert)</v>
      </c>
      <c r="AQ175" s="95" t="str">
        <f>'Reference Score Calculation'!M152</f>
        <v>/</v>
      </c>
      <c r="AR175" s="95"/>
      <c r="AS175" s="95"/>
      <c r="AT175" s="194"/>
      <c r="AU175" s="195"/>
      <c r="AV175" s="195"/>
      <c r="AW175" s="195"/>
      <c r="AX175" s="195"/>
      <c r="AY175" s="195"/>
      <c r="AZ175" s="195"/>
      <c r="BA175" s="195"/>
      <c r="BB175" s="195"/>
      <c r="BC175" s="195"/>
      <c r="BD175" s="195"/>
      <c r="BE175" s="196"/>
      <c r="BG175" s="95"/>
      <c r="BH175" s="95"/>
      <c r="BI175" s="95"/>
      <c r="BJ175" s="95"/>
      <c r="BK175" s="95"/>
    </row>
    <row r="176" spans="1:63" s="145" customFormat="1">
      <c r="A176" s="142" t="str">
        <f>'Reference Score Calculation'!A153</f>
        <v>JS4331</v>
      </c>
      <c r="B176" s="193" t="str">
        <f>'Reference Score Calculation'!A153</f>
        <v>JS4331</v>
      </c>
      <c r="C176" s="193" t="str">
        <f>'Reference Score Calculation'!D153</f>
        <v>文學士 (中國語文研究) 及教育學士 (中國語文教育)</v>
      </c>
      <c r="D176" s="193"/>
      <c r="E176" s="193" t="str">
        <f>'Reference Score Calculation'!E153</f>
        <v>Best 5</v>
      </c>
      <c r="F176" s="95"/>
      <c r="G176" s="95" t="str">
        <f>入學要求!AB162</f>
        <v>v</v>
      </c>
      <c r="H176" s="95" t="str">
        <f>入學要求!AC162</f>
        <v>E</v>
      </c>
      <c r="I176" s="95" t="str">
        <f>入學要求!AD162</f>
        <v>NO</v>
      </c>
      <c r="J176" s="193">
        <f>IF($W$15=TRUE,SUMIF(AF176:AO176,TRUE,V176:AE176)*0.95,SUMIF(AF176:AO176,TRUE,V176:AE176))</f>
        <v>4.1499999999999999E-9</v>
      </c>
      <c r="K176" s="193">
        <v>2</v>
      </c>
      <c r="L176" s="193">
        <v>1</v>
      </c>
      <c r="M176" s="193">
        <v>1</v>
      </c>
      <c r="N176" s="193">
        <v>0</v>
      </c>
      <c r="O176" s="193">
        <v>1</v>
      </c>
      <c r="P176" s="193">
        <v>1</v>
      </c>
      <c r="Q176" s="193">
        <v>1</v>
      </c>
      <c r="R176" s="193">
        <v>1</v>
      </c>
      <c r="S176" s="193">
        <v>1</v>
      </c>
      <c r="T176" s="193">
        <v>1</v>
      </c>
      <c r="U176" s="95"/>
      <c r="V176" s="142">
        <f t="shared" si="275"/>
        <v>8.0000000000000003E-10</v>
      </c>
      <c r="W176" s="142">
        <f t="shared" si="276"/>
        <v>2.0000000000000001E-10</v>
      </c>
      <c r="X176" s="142">
        <f t="shared" si="277"/>
        <v>3E-10</v>
      </c>
      <c r="Y176" s="142">
        <f t="shared" si="278"/>
        <v>0</v>
      </c>
      <c r="Z176" s="142">
        <f t="shared" si="279"/>
        <v>5.0000000000000003E-10</v>
      </c>
      <c r="AA176" s="142">
        <f t="shared" si="280"/>
        <v>6E-10</v>
      </c>
      <c r="AB176" s="142">
        <f t="shared" si="281"/>
        <v>6.9999999999999996E-10</v>
      </c>
      <c r="AC176" s="142">
        <f t="shared" si="282"/>
        <v>8.0000000000000003E-10</v>
      </c>
      <c r="AD176" s="142">
        <f t="shared" si="283"/>
        <v>8.9999999999999999E-10</v>
      </c>
      <c r="AE176" s="142">
        <f t="shared" si="284"/>
        <v>9.5000000000000003E-10</v>
      </c>
      <c r="AF176" s="254" t="b">
        <f>TRUE</f>
        <v>1</v>
      </c>
      <c r="AG176" s="253" t="b">
        <f t="shared" ref="AG176:AO176" si="307">IF(W176&gt;LARGE(($W176:$AE176),5),TRUE)</f>
        <v>0</v>
      </c>
      <c r="AH176" s="253" t="b">
        <f t="shared" si="307"/>
        <v>0</v>
      </c>
      <c r="AI176" s="253" t="b">
        <f t="shared" si="307"/>
        <v>0</v>
      </c>
      <c r="AJ176" s="253" t="b">
        <f t="shared" si="307"/>
        <v>0</v>
      </c>
      <c r="AK176" s="253" t="b">
        <f t="shared" si="307"/>
        <v>0</v>
      </c>
      <c r="AL176" s="253" t="b">
        <f t="shared" si="307"/>
        <v>1</v>
      </c>
      <c r="AM176" s="253" t="b">
        <f t="shared" si="307"/>
        <v>1</v>
      </c>
      <c r="AN176" s="253" t="b">
        <f t="shared" si="307"/>
        <v>1</v>
      </c>
      <c r="AO176" s="253" t="b">
        <f t="shared" si="307"/>
        <v>1</v>
      </c>
      <c r="AP176" s="142" t="str">
        <f>'Reference Score Calculation'!AU153</f>
        <v>5%或更少(全Cert)</v>
      </c>
      <c r="AQ176" s="95" t="str">
        <f>'Reference Score Calculation'!M153</f>
        <v>最佳五科必須包括︰中文</v>
      </c>
      <c r="AR176" s="95"/>
      <c r="AS176" s="95"/>
      <c r="AT176" s="194"/>
      <c r="AU176" s="195"/>
      <c r="AV176" s="195"/>
      <c r="AW176" s="195"/>
      <c r="AX176" s="195"/>
      <c r="AY176" s="195"/>
      <c r="AZ176" s="195"/>
      <c r="BA176" s="195"/>
      <c r="BB176" s="195"/>
      <c r="BC176" s="195"/>
      <c r="BD176" s="195"/>
      <c r="BE176" s="196"/>
      <c r="BF176" s="142"/>
      <c r="BG176" s="51"/>
      <c r="BH176" s="51"/>
      <c r="BI176" s="51"/>
      <c r="BJ176" s="51"/>
      <c r="BK176" s="51"/>
    </row>
    <row r="177" spans="1:63" s="145" customFormat="1">
      <c r="A177" s="142" t="str">
        <f>'Reference Score Calculation'!A154</f>
        <v>JS4343</v>
      </c>
      <c r="B177" s="193" t="str">
        <f>'Reference Score Calculation'!A154</f>
        <v>JS4343</v>
      </c>
      <c r="C177" s="193" t="str">
        <f>'Reference Score Calculation'!D154</f>
        <v>文學士(英國語文研究)及教育學士(英國語文教育)</v>
      </c>
      <c r="D177" s="193"/>
      <c r="E177" s="193" t="str">
        <f>'Reference Score Calculation'!E154</f>
        <v>Best 5</v>
      </c>
      <c r="F177" s="95"/>
      <c r="G177" s="95" t="str">
        <f>入學要求!AB163</f>
        <v>v</v>
      </c>
      <c r="H177" s="95" t="str">
        <f>入學要求!AC163</f>
        <v>E</v>
      </c>
      <c r="I177" s="95" t="str">
        <f>入學要求!AD163</f>
        <v>NO</v>
      </c>
      <c r="J177" s="193">
        <f>SUMIF(AF177:AO177,TRUE,V177:AE177)</f>
        <v>3.7500000000000005E-9</v>
      </c>
      <c r="K177" s="193">
        <v>1</v>
      </c>
      <c r="L177" s="193">
        <v>2</v>
      </c>
      <c r="M177" s="193">
        <v>1</v>
      </c>
      <c r="N177" s="193">
        <v>0</v>
      </c>
      <c r="O177" s="193">
        <v>1</v>
      </c>
      <c r="P177" s="193">
        <v>1</v>
      </c>
      <c r="Q177" s="193">
        <v>1</v>
      </c>
      <c r="R177" s="193">
        <v>1</v>
      </c>
      <c r="S177" s="193">
        <v>1</v>
      </c>
      <c r="T177" s="193">
        <v>1</v>
      </c>
      <c r="U177" s="95"/>
      <c r="V177" s="142">
        <f t="shared" si="275"/>
        <v>4.0000000000000001E-10</v>
      </c>
      <c r="W177" s="142">
        <f t="shared" si="276"/>
        <v>4.0000000000000001E-10</v>
      </c>
      <c r="X177" s="142">
        <f t="shared" si="277"/>
        <v>3E-10</v>
      </c>
      <c r="Y177" s="142">
        <f t="shared" si="278"/>
        <v>0</v>
      </c>
      <c r="Z177" s="142">
        <f t="shared" si="279"/>
        <v>5.0000000000000003E-10</v>
      </c>
      <c r="AA177" s="142">
        <f t="shared" si="280"/>
        <v>6E-10</v>
      </c>
      <c r="AB177" s="142">
        <f t="shared" si="281"/>
        <v>6.9999999999999996E-10</v>
      </c>
      <c r="AC177" s="142">
        <f t="shared" si="282"/>
        <v>8.0000000000000003E-10</v>
      </c>
      <c r="AD177" s="142">
        <f t="shared" si="283"/>
        <v>8.9999999999999999E-10</v>
      </c>
      <c r="AE177" s="142">
        <f t="shared" si="284"/>
        <v>9.5000000000000003E-10</v>
      </c>
      <c r="AF177" s="253" t="b">
        <f>IF(V177&gt;LARGE(($V177,$X177:$AE177),5),TRUE)</f>
        <v>0</v>
      </c>
      <c r="AG177" s="254" t="b">
        <f>TRUE</f>
        <v>1</v>
      </c>
      <c r="AH177" s="253" t="b">
        <f>IF(X177&gt;LARGE(($V177,$X177:$AE177),5),TRUE)</f>
        <v>0</v>
      </c>
      <c r="AI177" s="253" t="b">
        <f>IF(Y177&gt;LARGE(($V177,$X177:$AE177),5),TRUE)</f>
        <v>0</v>
      </c>
      <c r="AJ177" s="253" t="b">
        <f>IF(Z177&gt;LARGE(($V177,$X177:$AE177),5),TRUE)</f>
        <v>0</v>
      </c>
      <c r="AK177" s="253" t="b">
        <f>IF(AA177&gt;LARGE(($V177,$X177:$AE177),5),TRUE)</f>
        <v>0</v>
      </c>
      <c r="AL177" s="253" t="b">
        <f>IF(AB177&gt;LARGE(($V177,$X177:$AE177),5),TRUE)</f>
        <v>1</v>
      </c>
      <c r="AM177" s="253" t="b">
        <f>IF(AC177&gt;LARGE(($V177,$X177:$AE177),5),TRUE)</f>
        <v>1</v>
      </c>
      <c r="AN177" s="253" t="b">
        <f>IF(AD177&gt;LARGE(($V177,$X177:$AE177),5),TRUE)</f>
        <v>1</v>
      </c>
      <c r="AO177" s="253" t="b">
        <f>IF(AE177&gt;LARGE(($V177,$X177:$AE177),5),TRUE)</f>
        <v>1</v>
      </c>
      <c r="AP177" s="142" t="str">
        <f>'Reference Score Calculation'!AU154</f>
        <v>無</v>
      </c>
      <c r="AQ177" s="95" t="str">
        <f>'Reference Score Calculation'!M154</f>
        <v>最佳五科必須包括︰英文</v>
      </c>
      <c r="AR177" s="95"/>
      <c r="AS177" s="95"/>
      <c r="AT177" s="194" t="s">
        <v>1458</v>
      </c>
      <c r="AU177" s="434" t="s">
        <v>3032</v>
      </c>
      <c r="AV177" s="195"/>
      <c r="AW177" s="195"/>
      <c r="AX177" s="195"/>
      <c r="AY177" s="195"/>
      <c r="AZ177" s="195"/>
      <c r="BA177" s="195"/>
      <c r="BB177" s="195"/>
      <c r="BC177" s="195"/>
      <c r="BD177" s="195"/>
      <c r="BE177" s="196"/>
      <c r="BF177" s="142"/>
      <c r="BG177" s="51"/>
      <c r="BH177" s="51"/>
      <c r="BI177" s="51"/>
      <c r="BJ177" s="51"/>
      <c r="BK177" s="51"/>
    </row>
    <row r="178" spans="1:63" s="145" customFormat="1">
      <c r="A178" s="142" t="str">
        <f>'Reference Score Calculation'!A155</f>
        <v>JS4361</v>
      </c>
      <c r="B178" s="193" t="str">
        <f>'Reference Score Calculation'!A155</f>
        <v>JS4361</v>
      </c>
      <c r="C178" s="193" t="str">
        <f>'Reference Score Calculation'!D155</f>
        <v>教育學士(數學及數學教育)</v>
      </c>
      <c r="D178" s="193"/>
      <c r="E178" s="193" t="str">
        <f>'Reference Score Calculation'!E155</f>
        <v>Best 5</v>
      </c>
      <c r="F178" s="95"/>
      <c r="G178" s="95" t="str">
        <f>入學要求!AB164</f>
        <v>v</v>
      </c>
      <c r="H178" s="95" t="str">
        <f>入學要求!AC164</f>
        <v>E</v>
      </c>
      <c r="I178" s="95" t="str">
        <f>入學要求!AD164</f>
        <v>NO</v>
      </c>
      <c r="J178" s="193">
        <f>IF($W$15=TRUE,SUMIF(AF178:AO178,TRUE,V178:AE178)*0.95,SUMIF(AF178:AO178,TRUE,V178:AE178))</f>
        <v>4.25E-9</v>
      </c>
      <c r="K178" s="193">
        <f>IF($K$1=$AU$192, 1.5,1)</f>
        <v>1.5</v>
      </c>
      <c r="L178" s="193">
        <f>IF($L$1=$AU$192, 1.5,1)</f>
        <v>1</v>
      </c>
      <c r="M178" s="193">
        <v>2</v>
      </c>
      <c r="N178" s="193">
        <v>0</v>
      </c>
      <c r="O178" s="193">
        <v>2</v>
      </c>
      <c r="P178" s="193">
        <f>IF(P$1=$BB$167,1.5,1)</f>
        <v>1</v>
      </c>
      <c r="Q178" s="193">
        <f>IF(Q$1=$BB$167,1.5,1)</f>
        <v>1</v>
      </c>
      <c r="R178" s="193">
        <f>IF(R$1=$BB$167,1.5,1)</f>
        <v>1</v>
      </c>
      <c r="S178" s="193">
        <f>IF(S$1=$BB$167,1.5,1)</f>
        <v>1</v>
      </c>
      <c r="T178" s="193">
        <v>1</v>
      </c>
      <c r="U178" s="95"/>
      <c r="V178" s="142">
        <f t="shared" si="275"/>
        <v>6E-10</v>
      </c>
      <c r="W178" s="142">
        <f t="shared" si="276"/>
        <v>2.0000000000000001E-10</v>
      </c>
      <c r="X178" s="142">
        <f t="shared" si="277"/>
        <v>6E-10</v>
      </c>
      <c r="Y178" s="142">
        <f t="shared" si="278"/>
        <v>0</v>
      </c>
      <c r="Z178" s="142">
        <f t="shared" si="279"/>
        <v>1.0000000000000001E-9</v>
      </c>
      <c r="AA178" s="142">
        <f t="shared" si="280"/>
        <v>6E-10</v>
      </c>
      <c r="AB178" s="142">
        <f t="shared" si="281"/>
        <v>6.9999999999999996E-10</v>
      </c>
      <c r="AC178" s="142">
        <f t="shared" si="282"/>
        <v>8.0000000000000003E-10</v>
      </c>
      <c r="AD178" s="142">
        <f t="shared" si="283"/>
        <v>8.9999999999999999E-10</v>
      </c>
      <c r="AE178" s="142">
        <f t="shared" si="284"/>
        <v>9.5000000000000003E-10</v>
      </c>
      <c r="AF178" s="253" t="b">
        <f>IF(V178&gt;LARGE(($V178:$W178,$Y178,$AA178:$AE178),4),TRUE)</f>
        <v>0</v>
      </c>
      <c r="AG178" s="253" t="b">
        <f>IF(W178&gt;LARGE(($V178:$W178,$Y178,$AA178:$AE178),4),TRUE)</f>
        <v>0</v>
      </c>
      <c r="AH178" s="254" t="b">
        <v>1</v>
      </c>
      <c r="AI178" s="253" t="b">
        <f>IF(Y178&gt;LARGE(($V178:$W178,$Y178,$AA178:$AE178),4),TRUE)</f>
        <v>0</v>
      </c>
      <c r="AJ178" s="254" t="b">
        <v>1</v>
      </c>
      <c r="AK178" s="253" t="b">
        <f>IF(AA178&gt;LARGE(($V178:$W178,$Y178,$AA178:$AE178),4),TRUE)</f>
        <v>0</v>
      </c>
      <c r="AL178" s="253" t="b">
        <f>IF(AB178&gt;LARGE(($V178:$W178,$Y178,$AA178:$AE178),4),TRUE)</f>
        <v>0</v>
      </c>
      <c r="AM178" s="253" t="b">
        <f>IF(AC178&gt;LARGE(($V178:$W178,$Y178,$AA178:$AE178),4),TRUE)</f>
        <v>1</v>
      </c>
      <c r="AN178" s="253" t="b">
        <f>IF(AD178&gt;LARGE(($V178:$W178,$Y178,$AA178:$AE178),4),TRUE)</f>
        <v>1</v>
      </c>
      <c r="AO178" s="253" t="b">
        <f>IF(AE178&gt;LARGE(($V178:$W178,$Y178,$AA178:$AE178),4),TRUE)</f>
        <v>1</v>
      </c>
      <c r="AP178" s="142" t="str">
        <f>'Reference Score Calculation'!AU155</f>
        <v>5%或更少(全Cert)</v>
      </c>
      <c r="AQ178" s="95" t="str">
        <f>'Reference Score Calculation'!M155</f>
        <v>最佳五科必須包括︰數學、M1/2</v>
      </c>
      <c r="AR178" s="95"/>
      <c r="AS178" s="95"/>
      <c r="AT178" s="194"/>
      <c r="AU178" s="433" t="str">
        <f>INDEX($AU$180:$AX$180,MATCH(LARGE($AU$181:$AX$181,1),$AU$181:$AX$181,0))</f>
        <v>請選擇第一選修科</v>
      </c>
      <c r="AV178" s="142">
        <f>LARGE(AU181:AX181,1)</f>
        <v>0</v>
      </c>
      <c r="AW178" s="195"/>
      <c r="AX178" s="195"/>
      <c r="AY178" s="195"/>
      <c r="AZ178" s="195"/>
      <c r="BA178" s="195"/>
      <c r="BB178" s="195"/>
      <c r="BC178" s="195"/>
      <c r="BD178" s="195"/>
      <c r="BE178" s="196"/>
      <c r="BG178" s="51"/>
      <c r="BH178" s="51"/>
      <c r="BI178" s="51"/>
      <c r="BJ178" s="51"/>
      <c r="BK178" s="51"/>
    </row>
    <row r="179" spans="1:63" s="145" customFormat="1">
      <c r="A179" s="142" t="str">
        <f>'Reference Score Calculation'!A156</f>
        <v>JS4372</v>
      </c>
      <c r="B179" s="193" t="str">
        <f>'Reference Score Calculation'!A156</f>
        <v>JS4372</v>
      </c>
      <c r="C179" s="193" t="str">
        <f>'Reference Score Calculation'!D156</f>
        <v>教育學士(幼兒教育)</v>
      </c>
      <c r="D179" s="193"/>
      <c r="E179" s="193" t="str">
        <f>'Reference Score Calculation'!E156</f>
        <v>Best 5</v>
      </c>
      <c r="F179" s="95"/>
      <c r="G179" s="95" t="str">
        <f>入學要求!AB165</f>
        <v>v</v>
      </c>
      <c r="H179" s="95" t="str">
        <f>入學要求!AC165</f>
        <v>E</v>
      </c>
      <c r="I179" s="95" t="str">
        <f>入學要求!AD165</f>
        <v>NO</v>
      </c>
      <c r="J179" s="193">
        <f t="shared" si="295"/>
        <v>3.9500000000000006E-9</v>
      </c>
      <c r="K179" s="193">
        <v>1</v>
      </c>
      <c r="L179" s="193">
        <v>1</v>
      </c>
      <c r="M179" s="193">
        <v>1</v>
      </c>
      <c r="N179" s="193">
        <v>0</v>
      </c>
      <c r="O179" s="193">
        <v>1</v>
      </c>
      <c r="P179" s="193">
        <v>1</v>
      </c>
      <c r="Q179" s="193">
        <v>1</v>
      </c>
      <c r="R179" s="193">
        <v>1</v>
      </c>
      <c r="S179" s="193">
        <v>1</v>
      </c>
      <c r="T179" s="193">
        <v>1</v>
      </c>
      <c r="U179" s="95"/>
      <c r="V179" s="142">
        <f t="shared" si="275"/>
        <v>4.0000000000000001E-10</v>
      </c>
      <c r="W179" s="142">
        <f t="shared" si="276"/>
        <v>2.0000000000000001E-10</v>
      </c>
      <c r="X179" s="142">
        <f t="shared" si="277"/>
        <v>3E-10</v>
      </c>
      <c r="Y179" s="142">
        <f t="shared" si="278"/>
        <v>0</v>
      </c>
      <c r="Z179" s="142">
        <f t="shared" si="279"/>
        <v>5.0000000000000003E-10</v>
      </c>
      <c r="AA179" s="142">
        <f t="shared" si="280"/>
        <v>6E-10</v>
      </c>
      <c r="AB179" s="142">
        <f t="shared" si="281"/>
        <v>6.9999999999999996E-10</v>
      </c>
      <c r="AC179" s="142">
        <f t="shared" si="282"/>
        <v>8.0000000000000003E-10</v>
      </c>
      <c r="AD179" s="142">
        <f t="shared" si="283"/>
        <v>8.9999999999999999E-10</v>
      </c>
      <c r="AE179" s="142">
        <f t="shared" si="284"/>
        <v>9.5000000000000003E-10</v>
      </c>
      <c r="AF179" s="142" t="b">
        <f t="shared" ref="AF179:AF190" si="308">IF($E179="4C2X",TRUE,IF($E179="Best 5",IF(V179&gt;LARGE($V179:$AE179,6),TRUE)))</f>
        <v>0</v>
      </c>
      <c r="AG179" s="142" t="b">
        <f t="shared" ref="AG179:AG190" si="309">IF($E179="4C2X",TRUE,IF($E179="Best 5",IF(W179&gt;LARGE($V179:$AE179,6),TRUE)))</f>
        <v>0</v>
      </c>
      <c r="AH179" s="142" t="b">
        <f t="shared" ref="AH179:AH190" si="310">IF($E179="4C2X",TRUE,IF($E179="Best 5",IF(X179&gt;LARGE($V179:$AE179,6),TRUE)))</f>
        <v>0</v>
      </c>
      <c r="AI179" s="142" t="b">
        <f t="shared" ref="AI179:AI190" si="311">IF($E179="4C2X",TRUE,IF($E179="Best 5",IF(Y179&gt;LARGE($V179:$AE179,6),TRUE)))</f>
        <v>0</v>
      </c>
      <c r="AJ179" s="142" t="b">
        <f t="shared" ref="AJ179:AJ190" si="312">IF($E179="4C2X",IF(Z179&gt;LARGE($Z179:$AE179,3),TRUE),IF($E179="Best 5",IF(Z179&gt;LARGE($V179:$AE179,6),TRUE)))</f>
        <v>0</v>
      </c>
      <c r="AK179" s="142" t="b">
        <f t="shared" ref="AK179:AK190" si="313">IF($E179="4C2X",IF(AA179&gt;LARGE($Z179:$AE179,3),TRUE),IF($E179="Best 5",IF(AA179&gt;LARGE($V179:$AE179,6),TRUE)))</f>
        <v>1</v>
      </c>
      <c r="AL179" s="142" t="b">
        <f t="shared" ref="AL179:AL190" si="314">IF($E179="4C2X",IF(AB179&gt;LARGE($Z179:$AE179,3),TRUE),IF($E179="Best 5",IF(AB179&gt;LARGE($V179:$AE179,6),TRUE)))</f>
        <v>1</v>
      </c>
      <c r="AM179" s="142" t="b">
        <f t="shared" ref="AM179:AM190" si="315">IF($E179="4C2X",IF(AC179&gt;LARGE($Z179:$AE179,3),TRUE),IF($E179="Best 5",IF(AC179&gt;LARGE($V179:$AE179,6),TRUE)))</f>
        <v>1</v>
      </c>
      <c r="AN179" s="142" t="b">
        <f t="shared" ref="AN179:AN190" si="316">IF($E179="4C2X",IF(AD179&gt;LARGE($Z179:$AE179,3),TRUE),IF($E179="Best 5",IF(AD179&gt;LARGE($V179:$AE179,6),TRUE)))</f>
        <v>1</v>
      </c>
      <c r="AO179" s="142" t="b">
        <f t="shared" ref="AO179:AO190" si="317">IF($E179="4C2X",IF(AE179&gt;LARGE($Z179:$AE179,3),TRUE),IF($E179="Best 5",IF(AE179&gt;LARGE($V179:$AE179,6),TRUE)))</f>
        <v>1</v>
      </c>
      <c r="AP179" s="142" t="str">
        <f>'Reference Score Calculation'!AU156</f>
        <v>無</v>
      </c>
      <c r="AQ179" s="95" t="str">
        <f>'Reference Score Calculation'!M156</f>
        <v>/</v>
      </c>
      <c r="AR179" s="95"/>
      <c r="AS179" s="95"/>
      <c r="AT179" s="194"/>
      <c r="AU179" s="195"/>
      <c r="AV179" s="195"/>
      <c r="AW179" s="195"/>
      <c r="AX179" s="195"/>
      <c r="AY179" s="196"/>
      <c r="AZ179" s="196"/>
      <c r="BA179" s="196"/>
      <c r="BB179" s="196"/>
      <c r="BC179" s="196"/>
      <c r="BD179" s="196"/>
      <c r="BE179" s="196"/>
      <c r="BG179" s="51"/>
      <c r="BH179" s="51"/>
      <c r="BI179" s="51"/>
      <c r="BJ179" s="51"/>
      <c r="BK179" s="51"/>
    </row>
    <row r="180" spans="1:63" s="142" customFormat="1">
      <c r="A180" s="142" t="str">
        <f>'Reference Score Calculation'!A157</f>
        <v>JS4386</v>
      </c>
      <c r="B180" s="193" t="str">
        <f>'Reference Score Calculation'!A157</f>
        <v>JS4386</v>
      </c>
      <c r="C180" s="193" t="str">
        <f>'Reference Score Calculation'!D157</f>
        <v>理學士（學習設計與科技）</v>
      </c>
      <c r="D180" s="193"/>
      <c r="E180" s="193" t="str">
        <f>'Reference Score Calculation'!E157</f>
        <v>Best 5</v>
      </c>
      <c r="F180" s="95"/>
      <c r="G180" s="95" t="str">
        <f>入學要求!AB166</f>
        <v>v</v>
      </c>
      <c r="H180" s="95" t="str">
        <f>入學要求!AC166</f>
        <v>E</v>
      </c>
      <c r="I180" s="95" t="str">
        <f>入學要求!AD166</f>
        <v>NO</v>
      </c>
      <c r="J180" s="193">
        <f>SUMIF(AF180:AO180,TRUE,V180:AE180)</f>
        <v>4.2250000000000006E-9</v>
      </c>
      <c r="K180" s="193">
        <v>1</v>
      </c>
      <c r="L180" s="193">
        <v>1</v>
      </c>
      <c r="M180" s="193">
        <v>1.5</v>
      </c>
      <c r="N180" s="193">
        <v>0</v>
      </c>
      <c r="O180" s="193">
        <v>1.75</v>
      </c>
      <c r="P180" s="193">
        <f>IF(OR(P1="物理",P1="生物",P1="化學",P1="資訊及通訊科技",P1="設計與應用科技"),1.5,1)</f>
        <v>1</v>
      </c>
      <c r="Q180" s="193">
        <f>IF(OR(Q1="物理",Q1="生物",Q1="化學",Q1="資訊及通訊科技",Q1="設計與應用科技"),1.5,1)</f>
        <v>1</v>
      </c>
      <c r="R180" s="193">
        <f>IF(OR(R1="物理",R1="生物",R1="化學",R1="資訊及通訊科技",R1="設計與應用科技"),1.5,1)</f>
        <v>1</v>
      </c>
      <c r="S180" s="193">
        <f>IF(OR(S1="物理",S1="生物",S1="化學",S1="資訊及通訊科技",S1="設計與應用科技"),1.5,1)</f>
        <v>1</v>
      </c>
      <c r="T180" s="193">
        <v>1</v>
      </c>
      <c r="U180" s="95"/>
      <c r="V180" s="142">
        <f t="shared" si="275"/>
        <v>4.0000000000000001E-10</v>
      </c>
      <c r="W180" s="142">
        <f t="shared" si="276"/>
        <v>2.0000000000000001E-10</v>
      </c>
      <c r="X180" s="142">
        <f t="shared" si="277"/>
        <v>4.5E-10</v>
      </c>
      <c r="Y180" s="142">
        <f t="shared" si="278"/>
        <v>0</v>
      </c>
      <c r="Z180" s="142">
        <f t="shared" si="279"/>
        <v>8.7500000000000008E-10</v>
      </c>
      <c r="AA180" s="142">
        <f t="shared" si="280"/>
        <v>6E-10</v>
      </c>
      <c r="AB180" s="142">
        <f t="shared" si="281"/>
        <v>6.9999999999999996E-10</v>
      </c>
      <c r="AC180" s="142">
        <f t="shared" si="282"/>
        <v>8.0000000000000003E-10</v>
      </c>
      <c r="AD180" s="142">
        <f t="shared" si="283"/>
        <v>8.9999999999999999E-10</v>
      </c>
      <c r="AE180" s="142">
        <f t="shared" si="284"/>
        <v>9.5000000000000003E-10</v>
      </c>
      <c r="AF180" s="142" t="b">
        <f t="shared" si="308"/>
        <v>0</v>
      </c>
      <c r="AG180" s="142" t="b">
        <f t="shared" si="309"/>
        <v>0</v>
      </c>
      <c r="AH180" s="142" t="b">
        <f t="shared" si="310"/>
        <v>0</v>
      </c>
      <c r="AI180" s="142" t="b">
        <f t="shared" si="311"/>
        <v>0</v>
      </c>
      <c r="AJ180" s="142" t="b">
        <f t="shared" si="312"/>
        <v>1</v>
      </c>
      <c r="AK180" s="142" t="b">
        <f t="shared" si="313"/>
        <v>0</v>
      </c>
      <c r="AL180" s="142" t="b">
        <f t="shared" si="314"/>
        <v>1</v>
      </c>
      <c r="AM180" s="142" t="b">
        <f t="shared" si="315"/>
        <v>1</v>
      </c>
      <c r="AN180" s="142" t="b">
        <f t="shared" si="316"/>
        <v>1</v>
      </c>
      <c r="AO180" s="142" t="b">
        <f t="shared" si="317"/>
        <v>1</v>
      </c>
      <c r="AP180" s="142" t="str">
        <f>'Reference Score Calculation'!AU157</f>
        <v>無</v>
      </c>
      <c r="AQ180" s="95" t="str">
        <f>'Reference Score Calculation'!M157</f>
        <v>優先考慮修讀以下科目者︰</v>
      </c>
      <c r="AR180" s="95"/>
      <c r="AS180" s="95"/>
      <c r="AT180" s="194"/>
      <c r="AU180" s="195" t="str">
        <f>P1</f>
        <v>請選擇第一選修科</v>
      </c>
      <c r="AV180" s="195" t="str">
        <f>Q1</f>
        <v>請選擇第二選修科</v>
      </c>
      <c r="AW180" s="195" t="str">
        <f>R1</f>
        <v>請選擇第三選修科</v>
      </c>
      <c r="AX180" s="195" t="str">
        <f>S1</f>
        <v>請選擇第四選修科</v>
      </c>
      <c r="AY180" s="196"/>
      <c r="AZ180" s="196"/>
      <c r="BA180" s="196"/>
      <c r="BB180" s="196"/>
      <c r="BC180" s="196"/>
      <c r="BD180" s="196"/>
      <c r="BE180" s="196"/>
      <c r="BG180" s="95"/>
      <c r="BH180" s="95"/>
      <c r="BI180" s="95"/>
      <c r="BJ180" s="95"/>
      <c r="BK180" s="95"/>
    </row>
    <row r="181" spans="1:63" s="142" customFormat="1">
      <c r="A181" s="142" t="str">
        <f>'Reference Score Calculation'!A158</f>
        <v>JS4408</v>
      </c>
      <c r="B181" s="193" t="str">
        <f>'Reference Score Calculation'!A158</f>
        <v>JS4408</v>
      </c>
      <c r="C181" s="193" t="str">
        <f>'Reference Score Calculation'!D158</f>
        <v>機械與自動化工程學</v>
      </c>
      <c r="D181" s="193"/>
      <c r="E181" s="193" t="str">
        <f>'Reference Score Calculation'!E158</f>
        <v>Best 5</v>
      </c>
      <c r="F181" s="95"/>
      <c r="G181" s="95" t="str">
        <f>入學要求!AB167</f>
        <v>v</v>
      </c>
      <c r="H181" s="95" t="str">
        <f>入學要求!AC167</f>
        <v>E</v>
      </c>
      <c r="I181" s="95" t="str">
        <f>入學要求!AD167</f>
        <v>NO</v>
      </c>
      <c r="J181" s="193">
        <f t="shared" si="295"/>
        <v>4.1000000000000003E-9</v>
      </c>
      <c r="K181" s="193">
        <v>1</v>
      </c>
      <c r="L181" s="193">
        <v>1</v>
      </c>
      <c r="M181" s="193">
        <v>1.5</v>
      </c>
      <c r="N181" s="193">
        <v>0</v>
      </c>
      <c r="O181" s="193">
        <v>1.5</v>
      </c>
      <c r="P181" s="193">
        <f>IF(P1="物理",1.5,IF(OR(P1="生物",P1="化學",P1="資訊及通訊科技",P1="設計與應用科技"),1.25,1))</f>
        <v>1</v>
      </c>
      <c r="Q181" s="193">
        <f>IF(Q1="物理",1.5,IF(OR(Q1="生物",Q1="化學",Q1="資訊及通訊科技",Q1="設計與應用科技"),1.25,1))</f>
        <v>1</v>
      </c>
      <c r="R181" s="193">
        <f>IF(R1="物理",1.5,IF(OR(R1="生物",R1="化學",R1="資訊及通訊科技",R1="設計與應用科技"),1.25,1))</f>
        <v>1</v>
      </c>
      <c r="S181" s="193">
        <f>IF(S1="物理",1.5,IF(OR(S1="生物",S1="化學",S1="資訊及通訊科技",S1="設計與應用科技"),1.25,1))</f>
        <v>1</v>
      </c>
      <c r="T181" s="193">
        <v>1</v>
      </c>
      <c r="U181" s="95"/>
      <c r="V181" s="142">
        <f t="shared" si="275"/>
        <v>4.0000000000000001E-10</v>
      </c>
      <c r="W181" s="142">
        <f t="shared" si="276"/>
        <v>2.0000000000000001E-10</v>
      </c>
      <c r="X181" s="142">
        <f t="shared" si="277"/>
        <v>4.5E-10</v>
      </c>
      <c r="Y181" s="142">
        <f t="shared" si="278"/>
        <v>0</v>
      </c>
      <c r="Z181" s="142">
        <f t="shared" si="279"/>
        <v>7.500000000000001E-10</v>
      </c>
      <c r="AA181" s="142">
        <f t="shared" si="280"/>
        <v>6E-10</v>
      </c>
      <c r="AB181" s="142">
        <f t="shared" si="281"/>
        <v>6.9999999999999996E-10</v>
      </c>
      <c r="AC181" s="142">
        <f t="shared" si="282"/>
        <v>8.0000000000000003E-10</v>
      </c>
      <c r="AD181" s="142">
        <f t="shared" si="283"/>
        <v>8.9999999999999999E-10</v>
      </c>
      <c r="AE181" s="142">
        <f t="shared" si="284"/>
        <v>9.5000000000000003E-10</v>
      </c>
      <c r="AF181" s="142" t="b">
        <f t="shared" si="308"/>
        <v>0</v>
      </c>
      <c r="AG181" s="142" t="b">
        <f t="shared" si="309"/>
        <v>0</v>
      </c>
      <c r="AH181" s="142" t="b">
        <f t="shared" si="310"/>
        <v>0</v>
      </c>
      <c r="AI181" s="142" t="b">
        <f t="shared" si="311"/>
        <v>0</v>
      </c>
      <c r="AJ181" s="142" t="b">
        <f t="shared" si="312"/>
        <v>1</v>
      </c>
      <c r="AK181" s="142" t="b">
        <f t="shared" si="313"/>
        <v>0</v>
      </c>
      <c r="AL181" s="142" t="b">
        <f t="shared" si="314"/>
        <v>1</v>
      </c>
      <c r="AM181" s="142" t="b">
        <f t="shared" si="315"/>
        <v>1</v>
      </c>
      <c r="AN181" s="142" t="b">
        <f t="shared" si="316"/>
        <v>1</v>
      </c>
      <c r="AO181" s="142" t="b">
        <f t="shared" si="317"/>
        <v>1</v>
      </c>
      <c r="AP181" s="142" t="str">
        <f>'Reference Score Calculation'!AU158</f>
        <v>無</v>
      </c>
      <c r="AQ181" s="95" t="str">
        <f>'Reference Score Calculation'!M158</f>
        <v>/</v>
      </c>
      <c r="AR181" s="95"/>
      <c r="AS181" s="95"/>
      <c r="AT181" s="194"/>
      <c r="AU181" s="432">
        <f>IF(OR(P1="生物",P1="物理",P1="化學"),P6,0)</f>
        <v>0</v>
      </c>
      <c r="AV181" s="432">
        <f>IF(OR(Q1="生物",Q1="物理",Q1="化學"),Q6,0)</f>
        <v>0</v>
      </c>
      <c r="AW181" s="432">
        <f>IF(OR(R1="生物",R1="物理",R1="化學"),R6,0)</f>
        <v>0</v>
      </c>
      <c r="AX181" s="432">
        <f>IF(OR(S1="生物",S1="物理",S1="化學"),S6,0)</f>
        <v>0</v>
      </c>
      <c r="AY181" s="196"/>
      <c r="AZ181" s="196"/>
      <c r="BA181" s="196"/>
      <c r="BB181" s="196"/>
      <c r="BC181" s="196"/>
      <c r="BD181" s="196"/>
      <c r="BE181" s="196"/>
      <c r="BG181" s="95"/>
      <c r="BH181" s="95"/>
      <c r="BI181" s="95"/>
      <c r="BJ181" s="95"/>
      <c r="BK181" s="95"/>
    </row>
    <row r="182" spans="1:63" s="142" customFormat="1">
      <c r="A182" s="142" t="str">
        <f>'Reference Score Calculation'!A159</f>
        <v>JS4412</v>
      </c>
      <c r="B182" s="193" t="str">
        <f>'Reference Score Calculation'!A159</f>
        <v>JS4412</v>
      </c>
      <c r="C182" s="193" t="str">
        <f>'Reference Score Calculation'!D159</f>
        <v>計算機科學與工程</v>
      </c>
      <c r="D182" s="193"/>
      <c r="E182" s="193" t="str">
        <f>'Reference Score Calculation'!E159</f>
        <v>Best 5</v>
      </c>
      <c r="F182" s="95"/>
      <c r="G182" s="95" t="str">
        <f>入學要求!AB168</f>
        <v>v</v>
      </c>
      <c r="H182" s="95" t="str">
        <f>入學要求!AC168</f>
        <v>E</v>
      </c>
      <c r="I182" s="95" t="str">
        <f>入學要求!AD168</f>
        <v>NO</v>
      </c>
      <c r="J182" s="193">
        <f t="shared" si="295"/>
        <v>4.2250000000000006E-9</v>
      </c>
      <c r="K182" s="193">
        <v>1</v>
      </c>
      <c r="L182" s="193">
        <v>1</v>
      </c>
      <c r="M182" s="193">
        <v>1.5</v>
      </c>
      <c r="N182" s="193">
        <v>0</v>
      </c>
      <c r="O182" s="193">
        <v>1.75</v>
      </c>
      <c r="P182" s="193">
        <f>IF(OR(P1="物理",P1="生物",P1="化學",P1="組合科學(物理、化學)",P1="組合科學(物理、生物)",P1="組合科學(生物、化學)",P1="資訊及通訊科技",P1="設計與應用科技"),1.5,1)</f>
        <v>1</v>
      </c>
      <c r="Q182" s="193">
        <f>IF(OR(Q1="物理",Q1="生物",Q1="化學",Q1="組合科學(物理、化學)",Q1="組合科學(物理、生物)",Q1="組合科學(生物、化學)",Q1="資訊及通訊科技",Q1="設計與應用科技"),1.5,1)</f>
        <v>1</v>
      </c>
      <c r="R182" s="193">
        <f>IF(OR(R1="物理",R1="生物",R1="化學",R1="組合科學(物理、化學)",R1="組合科學(物理、生物)",R1="組合科學(生物、化學)",R1="資訊及通訊科技",R1="設計與應用科技"),1.5,1)</f>
        <v>1</v>
      </c>
      <c r="S182" s="193">
        <f>IF(OR(S1="物理",S1="生物",S1="化學",S1="組合科學(物理、化學)",S1="組合科學(物理、生物)",S1="組合科學(生物、化學)",S1="資訊及通訊科技",S1="設計與應用科技"),1.5,1)</f>
        <v>1</v>
      </c>
      <c r="T182" s="193">
        <v>1</v>
      </c>
      <c r="U182" s="95"/>
      <c r="V182" s="142">
        <f t="shared" si="275"/>
        <v>4.0000000000000001E-10</v>
      </c>
      <c r="W182" s="142">
        <f t="shared" si="276"/>
        <v>2.0000000000000001E-10</v>
      </c>
      <c r="X182" s="142">
        <f t="shared" si="277"/>
        <v>4.5E-10</v>
      </c>
      <c r="Y182" s="142">
        <f t="shared" si="278"/>
        <v>0</v>
      </c>
      <c r="Z182" s="142">
        <f t="shared" si="279"/>
        <v>8.7500000000000008E-10</v>
      </c>
      <c r="AA182" s="142">
        <f t="shared" si="280"/>
        <v>6E-10</v>
      </c>
      <c r="AB182" s="142">
        <f t="shared" si="281"/>
        <v>6.9999999999999996E-10</v>
      </c>
      <c r="AC182" s="142">
        <f t="shared" si="282"/>
        <v>8.0000000000000003E-10</v>
      </c>
      <c r="AD182" s="142">
        <f t="shared" si="283"/>
        <v>8.9999999999999999E-10</v>
      </c>
      <c r="AE182" s="142">
        <f t="shared" si="284"/>
        <v>9.5000000000000003E-10</v>
      </c>
      <c r="AF182" s="142" t="b">
        <f t="shared" si="308"/>
        <v>0</v>
      </c>
      <c r="AG182" s="142" t="b">
        <f t="shared" si="309"/>
        <v>0</v>
      </c>
      <c r="AH182" s="142" t="b">
        <f t="shared" si="310"/>
        <v>0</v>
      </c>
      <c r="AI182" s="142" t="b">
        <f t="shared" si="311"/>
        <v>0</v>
      </c>
      <c r="AJ182" s="142" t="b">
        <f t="shared" si="312"/>
        <v>1</v>
      </c>
      <c r="AK182" s="142" t="b">
        <f t="shared" si="313"/>
        <v>0</v>
      </c>
      <c r="AL182" s="142" t="b">
        <f t="shared" si="314"/>
        <v>1</v>
      </c>
      <c r="AM182" s="142" t="b">
        <f t="shared" si="315"/>
        <v>1</v>
      </c>
      <c r="AN182" s="142" t="b">
        <f t="shared" si="316"/>
        <v>1</v>
      </c>
      <c r="AO182" s="142" t="b">
        <f t="shared" si="317"/>
        <v>1</v>
      </c>
      <c r="AP182" s="142" t="str">
        <f>'Reference Score Calculation'!AU159</f>
        <v>無</v>
      </c>
      <c r="AQ182" s="95" t="str">
        <f>'Reference Score Calculation'!M159</f>
        <v>優先考慮修讀以下科目者︰</v>
      </c>
      <c r="AR182" s="95"/>
      <c r="AS182" s="95"/>
      <c r="AT182" s="194"/>
      <c r="AU182" s="195"/>
      <c r="AV182" s="195"/>
      <c r="AW182" s="195"/>
      <c r="AX182" s="195"/>
      <c r="AY182" s="195"/>
      <c r="AZ182" s="195"/>
      <c r="BA182" s="195"/>
      <c r="BB182" s="195"/>
      <c r="BC182" s="195"/>
      <c r="BD182" s="195"/>
      <c r="BE182" s="196"/>
      <c r="BG182" s="95"/>
      <c r="BH182" s="95"/>
      <c r="BI182" s="95"/>
      <c r="BJ182" s="95"/>
      <c r="BK182" s="95"/>
    </row>
    <row r="183" spans="1:63" s="142" customFormat="1">
      <c r="A183" s="142" t="str">
        <f>'Reference Score Calculation'!A160</f>
        <v>JS4416</v>
      </c>
      <c r="B183" s="193" t="str">
        <f>'Reference Score Calculation'!A160</f>
        <v>JS4416</v>
      </c>
      <c r="C183" s="193" t="str">
        <f>'Reference Score Calculation'!D160</f>
        <v>計算數據科學</v>
      </c>
      <c r="D183" s="193"/>
      <c r="E183" s="193" t="str">
        <f>'Reference Score Calculation'!E160</f>
        <v>Best 5</v>
      </c>
      <c r="F183" s="95"/>
      <c r="G183" s="95" t="str">
        <f>入學要求!AB169</f>
        <v>v</v>
      </c>
      <c r="H183" s="95" t="str">
        <f>入學要求!AC169</f>
        <v>E</v>
      </c>
      <c r="I183" s="95" t="str">
        <f>入學要求!AD169</f>
        <v>NO</v>
      </c>
      <c r="J183" s="193">
        <f t="shared" si="295"/>
        <v>4.3500000000000001E-9</v>
      </c>
      <c r="K183" s="193">
        <v>1</v>
      </c>
      <c r="L183" s="193">
        <v>1.5</v>
      </c>
      <c r="M183" s="193">
        <v>2</v>
      </c>
      <c r="N183" s="193">
        <v>0</v>
      </c>
      <c r="O183" s="193">
        <v>2</v>
      </c>
      <c r="P183" s="193">
        <f>IF(OR(P1="物理",P1="生物",P1="化學",P1="資訊及通訊科技",P1="經濟"),2,1)</f>
        <v>1</v>
      </c>
      <c r="Q183" s="193">
        <f>IF(OR(Q1="物理",Q1="生物",Q1="化學",Q1="資訊及通訊科技",Q1="經濟"),2,1)</f>
        <v>1</v>
      </c>
      <c r="R183" s="193">
        <f>IF(OR(R1="物理",R1="生物",R1="化學",R1="資訊及通訊科技",R1="經濟"),2,1)</f>
        <v>1</v>
      </c>
      <c r="S183" s="193">
        <f>IF(OR(S1="物理",S1="生物",S1="化學",S1="資訊及通訊科技",S1="經濟"),2,1)</f>
        <v>1</v>
      </c>
      <c r="T183" s="193">
        <v>1</v>
      </c>
      <c r="U183" s="95"/>
      <c r="V183" s="142">
        <f t="shared" si="275"/>
        <v>4.0000000000000001E-10</v>
      </c>
      <c r="W183" s="142">
        <f t="shared" si="276"/>
        <v>3E-10</v>
      </c>
      <c r="X183" s="142">
        <f t="shared" si="277"/>
        <v>6E-10</v>
      </c>
      <c r="Y183" s="142">
        <f t="shared" si="278"/>
        <v>0</v>
      </c>
      <c r="Z183" s="142">
        <f t="shared" si="279"/>
        <v>1.0000000000000001E-9</v>
      </c>
      <c r="AA183" s="142">
        <f t="shared" si="280"/>
        <v>6E-10</v>
      </c>
      <c r="AB183" s="142">
        <f t="shared" si="281"/>
        <v>6.9999999999999996E-10</v>
      </c>
      <c r="AC183" s="142">
        <f t="shared" si="282"/>
        <v>8.0000000000000003E-10</v>
      </c>
      <c r="AD183" s="142">
        <f t="shared" si="283"/>
        <v>8.9999999999999999E-10</v>
      </c>
      <c r="AE183" s="142">
        <f t="shared" ref="AE183:AE214" si="318">IF(H183="E",T$6*T183,0)</f>
        <v>9.5000000000000003E-10</v>
      </c>
      <c r="AF183" s="142" t="b">
        <f t="shared" si="308"/>
        <v>0</v>
      </c>
      <c r="AG183" s="142" t="b">
        <f t="shared" si="309"/>
        <v>0</v>
      </c>
      <c r="AH183" s="142" t="b">
        <f t="shared" si="310"/>
        <v>0</v>
      </c>
      <c r="AI183" s="142" t="b">
        <f t="shared" si="311"/>
        <v>0</v>
      </c>
      <c r="AJ183" s="142" t="b">
        <f t="shared" si="312"/>
        <v>1</v>
      </c>
      <c r="AK183" s="142" t="b">
        <f t="shared" si="313"/>
        <v>0</v>
      </c>
      <c r="AL183" s="142" t="b">
        <f t="shared" si="314"/>
        <v>1</v>
      </c>
      <c r="AM183" s="142" t="b">
        <f t="shared" si="315"/>
        <v>1</v>
      </c>
      <c r="AN183" s="142" t="b">
        <f t="shared" si="316"/>
        <v>1</v>
      </c>
      <c r="AO183" s="142" t="b">
        <f t="shared" si="317"/>
        <v>1</v>
      </c>
      <c r="AP183" s="142" t="str">
        <f>'Reference Score Calculation'!AU160</f>
        <v>無</v>
      </c>
      <c r="AQ183" s="95" t="str">
        <f>'Reference Score Calculation'!M160</f>
        <v>優先考慮修讀以下科目者︰</v>
      </c>
      <c r="AR183" s="95"/>
      <c r="AS183" s="95"/>
      <c r="AT183" s="194"/>
      <c r="AU183" s="195"/>
      <c r="AV183" s="195"/>
      <c r="AW183" s="195"/>
      <c r="AX183" s="195"/>
      <c r="AY183" s="195"/>
      <c r="AZ183" s="195"/>
      <c r="BA183" s="195"/>
      <c r="BB183" s="195"/>
      <c r="BC183" s="195"/>
      <c r="BD183" s="195"/>
      <c r="BE183" s="196"/>
      <c r="BG183" s="95"/>
      <c r="BH183" s="95"/>
      <c r="BI183" s="95"/>
      <c r="BJ183" s="95"/>
      <c r="BK183" s="95"/>
    </row>
    <row r="184" spans="1:63" s="142" customFormat="1">
      <c r="A184" s="142" t="str">
        <f>'Reference Score Calculation'!A161</f>
        <v>JS4428</v>
      </c>
      <c r="B184" s="193" t="str">
        <f>'Reference Score Calculation'!A161</f>
        <v>JS4428</v>
      </c>
      <c r="C184" s="193" t="str">
        <f>'Reference Score Calculation'!D161</f>
        <v>金融科技學</v>
      </c>
      <c r="D184" s="193"/>
      <c r="E184" s="193" t="str">
        <f>'Reference Score Calculation'!E161</f>
        <v>Best 5</v>
      </c>
      <c r="F184" s="95"/>
      <c r="G184" s="95" t="str">
        <f>入學要求!AB170</f>
        <v>v</v>
      </c>
      <c r="H184" s="95" t="str">
        <f>入學要求!AC170</f>
        <v>E</v>
      </c>
      <c r="I184" s="95" t="str">
        <f>入學要求!AD170</f>
        <v>NO</v>
      </c>
      <c r="J184" s="193">
        <f t="shared" si="295"/>
        <v>4.2250000000000006E-9</v>
      </c>
      <c r="K184" s="193">
        <v>1.25</v>
      </c>
      <c r="L184" s="193">
        <v>1.25</v>
      </c>
      <c r="M184" s="193">
        <v>1.75</v>
      </c>
      <c r="N184" s="193">
        <v>0</v>
      </c>
      <c r="O184" s="193">
        <v>1.75</v>
      </c>
      <c r="P184" s="193">
        <f>IF(OR(P1="物理",P1="生物",P1="化學",P1="資訊及通訊科技",P1="經濟",P1="企業、會計與財務概論"),1.5,1)</f>
        <v>1</v>
      </c>
      <c r="Q184" s="193">
        <f>IF(OR(Q1="物理",Q1="生物",Q1="化學",Q1="資訊及通訊科技",Q1="經濟",Q1="企業、會計與財務概論"),1.5,1)</f>
        <v>1</v>
      </c>
      <c r="R184" s="193">
        <f>IF(OR(R1="物理",R1="生物",R1="化學",R1="資訊及通訊科技",R1="經濟",R1="企業、會計與財務概論"),1.5,1)</f>
        <v>1</v>
      </c>
      <c r="S184" s="193">
        <f>IF(OR(S1="物理",S1="生物",S1="化學",S1="資訊及通訊科技",S1="經濟",S1="企業、會計與財務概論"),1.5,1)</f>
        <v>1</v>
      </c>
      <c r="T184" s="193">
        <v>1</v>
      </c>
      <c r="U184" s="95"/>
      <c r="V184" s="142">
        <f t="shared" si="275"/>
        <v>5.0000000000000003E-10</v>
      </c>
      <c r="W184" s="142">
        <f t="shared" si="276"/>
        <v>2.5000000000000002E-10</v>
      </c>
      <c r="X184" s="142">
        <f t="shared" si="277"/>
        <v>5.2499999999999994E-10</v>
      </c>
      <c r="Y184" s="142">
        <f t="shared" si="278"/>
        <v>0</v>
      </c>
      <c r="Z184" s="142">
        <f t="shared" si="279"/>
        <v>8.7500000000000008E-10</v>
      </c>
      <c r="AA184" s="142">
        <f t="shared" si="280"/>
        <v>6E-10</v>
      </c>
      <c r="AB184" s="142">
        <f t="shared" si="281"/>
        <v>6.9999999999999996E-10</v>
      </c>
      <c r="AC184" s="142">
        <f t="shared" si="282"/>
        <v>8.0000000000000003E-10</v>
      </c>
      <c r="AD184" s="142">
        <f t="shared" si="283"/>
        <v>8.9999999999999999E-10</v>
      </c>
      <c r="AE184" s="142">
        <f t="shared" si="318"/>
        <v>9.5000000000000003E-10</v>
      </c>
      <c r="AF184" s="142" t="b">
        <f t="shared" si="308"/>
        <v>0</v>
      </c>
      <c r="AG184" s="142" t="b">
        <f t="shared" si="309"/>
        <v>0</v>
      </c>
      <c r="AH184" s="142" t="b">
        <f t="shared" si="310"/>
        <v>0</v>
      </c>
      <c r="AI184" s="142" t="b">
        <f t="shared" si="311"/>
        <v>0</v>
      </c>
      <c r="AJ184" s="142" t="b">
        <f t="shared" si="312"/>
        <v>1</v>
      </c>
      <c r="AK184" s="142" t="b">
        <f t="shared" si="313"/>
        <v>0</v>
      </c>
      <c r="AL184" s="142" t="b">
        <f t="shared" si="314"/>
        <v>1</v>
      </c>
      <c r="AM184" s="142" t="b">
        <f t="shared" si="315"/>
        <v>1</v>
      </c>
      <c r="AN184" s="142" t="b">
        <f t="shared" si="316"/>
        <v>1</v>
      </c>
      <c r="AO184" s="142" t="b">
        <f t="shared" si="317"/>
        <v>1</v>
      </c>
      <c r="AP184" s="142" t="str">
        <f>'Reference Score Calculation'!AU161</f>
        <v>無</v>
      </c>
      <c r="AQ184" s="95" t="str">
        <f>'Reference Score Calculation'!M161</f>
        <v>優先考慮修讀以下科目者︰</v>
      </c>
      <c r="AR184" s="95"/>
      <c r="AS184" s="95"/>
      <c r="AT184" s="194" t="s">
        <v>357</v>
      </c>
      <c r="AU184" s="195" t="s">
        <v>3033</v>
      </c>
      <c r="AV184" s="195"/>
      <c r="AW184" s="195"/>
      <c r="AX184" s="195"/>
      <c r="AY184" s="201" t="s">
        <v>359</v>
      </c>
      <c r="AZ184" s="195"/>
      <c r="BA184" s="201" t="s">
        <v>360</v>
      </c>
      <c r="BB184" s="195"/>
      <c r="BC184" s="201" t="s">
        <v>361</v>
      </c>
      <c r="BD184" s="196"/>
      <c r="BE184" s="196"/>
      <c r="BG184" s="95"/>
      <c r="BH184" s="95"/>
      <c r="BI184" s="95"/>
      <c r="BJ184" s="95"/>
      <c r="BK184" s="95"/>
    </row>
    <row r="185" spans="1:63" s="142" customFormat="1">
      <c r="A185" s="142" t="str">
        <f>'Reference Score Calculation'!A162</f>
        <v>JS4434</v>
      </c>
      <c r="B185" s="193" t="str">
        <f>'Reference Score Calculation'!A162</f>
        <v>JS4434</v>
      </c>
      <c r="C185" s="193" t="str">
        <f>'Reference Score Calculation'!D162</f>
        <v>電子工程學</v>
      </c>
      <c r="D185" s="193"/>
      <c r="E185" s="193" t="str">
        <f>'Reference Score Calculation'!E162</f>
        <v>Best 5</v>
      </c>
      <c r="F185" s="95"/>
      <c r="G185" s="95" t="str">
        <f>入學要求!AB171</f>
        <v>v</v>
      </c>
      <c r="H185" s="95" t="str">
        <f>入學要求!AC171</f>
        <v>E</v>
      </c>
      <c r="I185" s="95" t="str">
        <f>入學要求!AD171</f>
        <v>NO</v>
      </c>
      <c r="J185" s="193">
        <f>IF($W$15=TRUE,SUMIF(AF185:AO185,TRUE,V185:AE185)*0.95,SUMIF(AF185:AO185,TRUE,V185:AE185))</f>
        <v>4.1000000000000003E-9</v>
      </c>
      <c r="K185" s="193">
        <v>1</v>
      </c>
      <c r="L185" s="193">
        <v>1</v>
      </c>
      <c r="M185" s="193">
        <v>1.5</v>
      </c>
      <c r="N185" s="193">
        <v>0</v>
      </c>
      <c r="O185" s="193">
        <v>1.5</v>
      </c>
      <c r="P185" s="193">
        <f>IF(P1="物理",1.5,1)</f>
        <v>1</v>
      </c>
      <c r="Q185" s="193">
        <f>IF(Q1="物理",1.5,1)</f>
        <v>1</v>
      </c>
      <c r="R185" s="193">
        <f>IF(R1="物理",1.5,1)</f>
        <v>1</v>
      </c>
      <c r="S185" s="193">
        <f>IF(S1="物理",1.5,1)</f>
        <v>1</v>
      </c>
      <c r="T185" s="193">
        <v>1</v>
      </c>
      <c r="U185" s="95"/>
      <c r="V185" s="142">
        <f t="shared" si="275"/>
        <v>4.0000000000000001E-10</v>
      </c>
      <c r="W185" s="142">
        <f t="shared" si="276"/>
        <v>2.0000000000000001E-10</v>
      </c>
      <c r="X185" s="142">
        <f t="shared" si="277"/>
        <v>4.5E-10</v>
      </c>
      <c r="Y185" s="142">
        <f t="shared" si="278"/>
        <v>0</v>
      </c>
      <c r="Z185" s="142">
        <f t="shared" si="279"/>
        <v>7.500000000000001E-10</v>
      </c>
      <c r="AA185" s="142">
        <f t="shared" si="280"/>
        <v>6E-10</v>
      </c>
      <c r="AB185" s="142">
        <f t="shared" si="281"/>
        <v>6.9999999999999996E-10</v>
      </c>
      <c r="AC185" s="142">
        <f t="shared" si="282"/>
        <v>8.0000000000000003E-10</v>
      </c>
      <c r="AD185" s="142">
        <f t="shared" si="283"/>
        <v>8.9999999999999999E-10</v>
      </c>
      <c r="AE185" s="142">
        <f t="shared" si="318"/>
        <v>9.5000000000000003E-10</v>
      </c>
      <c r="AF185" s="142" t="b">
        <f t="shared" si="308"/>
        <v>0</v>
      </c>
      <c r="AG185" s="142" t="b">
        <f t="shared" si="309"/>
        <v>0</v>
      </c>
      <c r="AH185" s="142" t="b">
        <f t="shared" si="310"/>
        <v>0</v>
      </c>
      <c r="AI185" s="142" t="b">
        <f t="shared" si="311"/>
        <v>0</v>
      </c>
      <c r="AJ185" s="142" t="b">
        <f t="shared" si="312"/>
        <v>1</v>
      </c>
      <c r="AK185" s="142" t="b">
        <f t="shared" si="313"/>
        <v>0</v>
      </c>
      <c r="AL185" s="142" t="b">
        <f t="shared" si="314"/>
        <v>1</v>
      </c>
      <c r="AM185" s="142" t="b">
        <f t="shared" si="315"/>
        <v>1</v>
      </c>
      <c r="AN185" s="142" t="b">
        <f t="shared" si="316"/>
        <v>1</v>
      </c>
      <c r="AO185" s="142" t="b">
        <f t="shared" si="317"/>
        <v>1</v>
      </c>
      <c r="AP185" s="142" t="str">
        <f>'Reference Score Calculation'!AU162</f>
        <v>5%或更少(全Cert)</v>
      </c>
      <c r="AQ185" s="95" t="str">
        <f>'Reference Score Calculation'!M162</f>
        <v>/</v>
      </c>
      <c r="AR185" s="95"/>
      <c r="AS185" s="95"/>
      <c r="AT185" s="194"/>
      <c r="AU185" s="142" t="str">
        <f>IF(M6&gt;L6,M1,L1)</f>
        <v>數學</v>
      </c>
      <c r="AV185" s="142">
        <f>IF(K6&gt;L6,K6,L6)</f>
        <v>4.0000000000000001E-10</v>
      </c>
      <c r="AW185" s="195"/>
      <c r="AX185" s="195"/>
      <c r="AY185" s="142" t="str">
        <f>INDEX($AU$187:$BD$187,MATCH(LARGE($AU$188:$BD$188,1),$AU$188:$BD$188,0))</f>
        <v>數學延伸</v>
      </c>
      <c r="AZ185" s="142">
        <f>IF(OR(AY185="數學",AY185="數學延伸",AY185="物理",AY185="生物",AY185="化學",AY185="組合科學(物理、化學)",AY185="組合科學(物理、生物)",AY185="組合科學(生物、化學)",AY185="綜合科學"),2,IF(OR(AY185="中國語文",AY185="英國語文",AY185="經濟",AY185="地理",AY185="科技與生活",AY185="資訊與通訊科技"),1.5,1))</f>
        <v>2</v>
      </c>
      <c r="BA185" s="142" t="str">
        <f>INDEX($AU$187:$BD$187,MATCH(LARGE($AU$188:$BD$188,2),$AU$188:$BD$188,0))</f>
        <v>數學</v>
      </c>
      <c r="BB185" s="142">
        <f>IF(OR(BA185="數學",BA185="數學延伸",BA185="物理",BA185="生物",BA185="化學",BA185="組合科學(物理、化學)",BA185="組合科學(物理、生物)",BA185="組合科學(生物、化學)",BA185="綜合科學"),2,IF(OR(BA185="中國語文",BA185="英國語文",BA185="經濟",BA185="地理",BA185="科技與生活",BA185="資訊與通訊科技"),1.5,1))</f>
        <v>2</v>
      </c>
      <c r="BC185" s="142" t="str">
        <f>INDEX($AU$187:$BD$187,MATCH(LARGE($AU$188:$BD$188,3),$AU$188:$BD$188,0))</f>
        <v>中國語文</v>
      </c>
      <c r="BD185" s="142">
        <f>IF(OR(BC185="數學",BC185="數學延伸",BC185="物理",BC185="生物",BC185="化學",BC185="組合科學(物理、化學)",BC185="組合科學(物理、生物)",BC185="組合科學(生物、化學)",BC185="綜合科學"),2,IF(OR(BC185="中國語文",BC185="英國語文",BC185="經濟",BC185="地理",BC185="科技與生活",BC185="資訊與通訊科技"),1.5,1))</f>
        <v>1.5</v>
      </c>
      <c r="BE185" s="196"/>
      <c r="BG185" s="95"/>
      <c r="BH185" s="95"/>
      <c r="BI185" s="95"/>
      <c r="BJ185" s="95"/>
      <c r="BK185" s="95"/>
    </row>
    <row r="186" spans="1:63" s="142" customFormat="1">
      <c r="A186" s="142" t="str">
        <f>'Reference Score Calculation'!A163</f>
        <v>JS4446</v>
      </c>
      <c r="B186" s="193" t="str">
        <f>'Reference Score Calculation'!A163</f>
        <v>JS4446</v>
      </c>
      <c r="C186" s="193" t="str">
        <f>'Reference Score Calculation'!D163</f>
        <v>信息工程學</v>
      </c>
      <c r="D186" s="193"/>
      <c r="E186" s="193" t="str">
        <f>'Reference Score Calculation'!E163</f>
        <v>Best 5</v>
      </c>
      <c r="F186" s="95"/>
      <c r="G186" s="95" t="str">
        <f>入學要求!AB172</f>
        <v>v</v>
      </c>
      <c r="H186" s="95" t="str">
        <f>入學要求!AC172</f>
        <v>E</v>
      </c>
      <c r="I186" s="95" t="str">
        <f>入學要求!AD172</f>
        <v>NO</v>
      </c>
      <c r="J186" s="193">
        <f t="shared" si="295"/>
        <v>4.2250000000000006E-9</v>
      </c>
      <c r="K186" s="193">
        <v>1</v>
      </c>
      <c r="L186" s="193">
        <v>1</v>
      </c>
      <c r="M186" s="193">
        <v>2</v>
      </c>
      <c r="N186" s="193">
        <v>0</v>
      </c>
      <c r="O186" s="193">
        <v>1.75</v>
      </c>
      <c r="P186" s="193">
        <f>IF(OR(P1="物理",P1="生物",P1="化學",P1="資訊及通訊科技",P1="設計與應用科技"),1.5,1)</f>
        <v>1</v>
      </c>
      <c r="Q186" s="193">
        <f>IF(OR(Q1="物理",Q1="生物",Q1="化學",Q1="資訊及通訊科技",Q1="設計與應用科技"),1.5,1)</f>
        <v>1</v>
      </c>
      <c r="R186" s="193">
        <f>IF(OR(R1="物理",R1="生物",R1="化學",R1="資訊及通訊科技",R1="設計與應用科技"),1.5,1)</f>
        <v>1</v>
      </c>
      <c r="S186" s="193">
        <f>IF(OR(S1="物理",S1="生物",S1="化學",S1="資訊及通訊科技",S1="設計與應用科技"),1.5,1)</f>
        <v>1</v>
      </c>
      <c r="T186" s="193">
        <v>1</v>
      </c>
      <c r="U186" s="95"/>
      <c r="V186" s="142">
        <f t="shared" si="275"/>
        <v>4.0000000000000001E-10</v>
      </c>
      <c r="W186" s="142">
        <f t="shared" si="276"/>
        <v>2.0000000000000001E-10</v>
      </c>
      <c r="X186" s="142">
        <f t="shared" si="277"/>
        <v>6E-10</v>
      </c>
      <c r="Y186" s="142">
        <f t="shared" si="278"/>
        <v>0</v>
      </c>
      <c r="Z186" s="142">
        <f t="shared" si="279"/>
        <v>8.7500000000000008E-10</v>
      </c>
      <c r="AA186" s="142">
        <f t="shared" si="280"/>
        <v>6E-10</v>
      </c>
      <c r="AB186" s="142">
        <f t="shared" si="281"/>
        <v>6.9999999999999996E-10</v>
      </c>
      <c r="AC186" s="142">
        <f t="shared" si="282"/>
        <v>8.0000000000000003E-10</v>
      </c>
      <c r="AD186" s="142">
        <f t="shared" si="283"/>
        <v>8.9999999999999999E-10</v>
      </c>
      <c r="AE186" s="142">
        <f t="shared" si="318"/>
        <v>9.5000000000000003E-10</v>
      </c>
      <c r="AF186" s="142" t="b">
        <f t="shared" si="308"/>
        <v>0</v>
      </c>
      <c r="AG186" s="142" t="b">
        <f t="shared" si="309"/>
        <v>0</v>
      </c>
      <c r="AH186" s="142" t="b">
        <f t="shared" si="310"/>
        <v>0</v>
      </c>
      <c r="AI186" s="142" t="b">
        <f t="shared" si="311"/>
        <v>0</v>
      </c>
      <c r="AJ186" s="142" t="b">
        <f t="shared" si="312"/>
        <v>1</v>
      </c>
      <c r="AK186" s="142" t="b">
        <f t="shared" si="313"/>
        <v>0</v>
      </c>
      <c r="AL186" s="142" t="b">
        <f t="shared" si="314"/>
        <v>1</v>
      </c>
      <c r="AM186" s="142" t="b">
        <f t="shared" si="315"/>
        <v>1</v>
      </c>
      <c r="AN186" s="142" t="b">
        <f t="shared" si="316"/>
        <v>1</v>
      </c>
      <c r="AO186" s="142" t="b">
        <f t="shared" si="317"/>
        <v>1</v>
      </c>
      <c r="AP186" s="142" t="str">
        <f>'Reference Score Calculation'!AU163</f>
        <v>無</v>
      </c>
      <c r="AQ186" s="95" t="str">
        <f>'Reference Score Calculation'!M163</f>
        <v>優先考慮修讀以下科目者︰</v>
      </c>
      <c r="AR186" s="95"/>
      <c r="AS186" s="95"/>
      <c r="AT186" s="194"/>
      <c r="AU186" s="195"/>
      <c r="AV186" s="195"/>
      <c r="AW186" s="195"/>
      <c r="AX186" s="195"/>
      <c r="AY186" s="195"/>
      <c r="AZ186" s="195"/>
      <c r="BA186" s="195"/>
      <c r="BB186" s="195"/>
      <c r="BC186" s="196"/>
      <c r="BD186" s="196"/>
      <c r="BE186" s="196"/>
      <c r="BG186" s="95"/>
      <c r="BH186" s="95"/>
      <c r="BI186" s="95"/>
      <c r="BJ186" s="95"/>
      <c r="BK186" s="95"/>
    </row>
    <row r="187" spans="1:63" s="142" customFormat="1">
      <c r="A187" s="142" t="str">
        <f>'Reference Score Calculation'!A164</f>
        <v>JS4458</v>
      </c>
      <c r="B187" s="193" t="str">
        <f>'Reference Score Calculation'!A164</f>
        <v>JS4458</v>
      </c>
      <c r="C187" s="193" t="str">
        <f>'Reference Score Calculation'!D164</f>
        <v>系統工程與工程管理</v>
      </c>
      <c r="D187" s="193"/>
      <c r="E187" s="193" t="str">
        <f>'Reference Score Calculation'!E164</f>
        <v>Best 5</v>
      </c>
      <c r="F187" s="95"/>
      <c r="G187" s="95" t="str">
        <f>入學要求!AB173</f>
        <v>v</v>
      </c>
      <c r="H187" s="95" t="str">
        <f>入學要求!AC173</f>
        <v>E</v>
      </c>
      <c r="I187" s="95" t="str">
        <f>入學要求!AD173</f>
        <v>NO</v>
      </c>
      <c r="J187" s="193">
        <f t="shared" si="295"/>
        <v>4.1000000000000003E-9</v>
      </c>
      <c r="K187" s="193">
        <v>1</v>
      </c>
      <c r="L187" s="193">
        <v>1</v>
      </c>
      <c r="M187" s="193">
        <v>1.5</v>
      </c>
      <c r="N187" s="193">
        <v>0</v>
      </c>
      <c r="O187" s="193">
        <v>1.5</v>
      </c>
      <c r="P187" s="193">
        <f>IF(OR(P1="物理",P1="生物",P1="化學",P1="資訊及通訊科技",P1="經濟",P1="企業、會計與財務概論"),1.5,1)</f>
        <v>1</v>
      </c>
      <c r="Q187" s="193">
        <f>IF(OR(Q1="物理",Q1="生物",Q1="化學",Q1="資訊及通訊科技",Q1="經濟",Q1="企業、會計與財務概論"),1.5,1)</f>
        <v>1</v>
      </c>
      <c r="R187" s="193">
        <f>IF(OR(R1="物理",R1="生物",R1="化學",R1="資訊及通訊科技",R1="經濟",R1="企業、會計與財務概論"),1.5,1)</f>
        <v>1</v>
      </c>
      <c r="S187" s="193">
        <f>IF(OR(S1="物理",S1="生物",S1="化學",S1="資訊及通訊科技",S1="經濟",S1="企業、會計與財務概論"),1.5,1)</f>
        <v>1</v>
      </c>
      <c r="T187" s="193">
        <v>1</v>
      </c>
      <c r="U187" s="95"/>
      <c r="V187" s="142">
        <f t="shared" si="275"/>
        <v>4.0000000000000001E-10</v>
      </c>
      <c r="W187" s="142">
        <f t="shared" si="276"/>
        <v>2.0000000000000001E-10</v>
      </c>
      <c r="X187" s="142">
        <f t="shared" si="277"/>
        <v>4.5E-10</v>
      </c>
      <c r="Y187" s="142">
        <f t="shared" si="278"/>
        <v>0</v>
      </c>
      <c r="Z187" s="142">
        <f t="shared" si="279"/>
        <v>7.500000000000001E-10</v>
      </c>
      <c r="AA187" s="142">
        <f t="shared" si="280"/>
        <v>6E-10</v>
      </c>
      <c r="AB187" s="142">
        <f t="shared" si="281"/>
        <v>6.9999999999999996E-10</v>
      </c>
      <c r="AC187" s="142">
        <f t="shared" si="282"/>
        <v>8.0000000000000003E-10</v>
      </c>
      <c r="AD187" s="142">
        <f t="shared" si="283"/>
        <v>8.9999999999999999E-10</v>
      </c>
      <c r="AE187" s="142">
        <f t="shared" si="318"/>
        <v>9.5000000000000003E-10</v>
      </c>
      <c r="AF187" s="142" t="b">
        <f t="shared" si="308"/>
        <v>0</v>
      </c>
      <c r="AG187" s="142" t="b">
        <f t="shared" si="309"/>
        <v>0</v>
      </c>
      <c r="AH187" s="142" t="b">
        <f t="shared" si="310"/>
        <v>0</v>
      </c>
      <c r="AI187" s="142" t="b">
        <f t="shared" si="311"/>
        <v>0</v>
      </c>
      <c r="AJ187" s="142" t="b">
        <f t="shared" si="312"/>
        <v>1</v>
      </c>
      <c r="AK187" s="142" t="b">
        <f t="shared" si="313"/>
        <v>0</v>
      </c>
      <c r="AL187" s="142" t="b">
        <f t="shared" si="314"/>
        <v>1</v>
      </c>
      <c r="AM187" s="142" t="b">
        <f t="shared" si="315"/>
        <v>1</v>
      </c>
      <c r="AN187" s="142" t="b">
        <f t="shared" si="316"/>
        <v>1</v>
      </c>
      <c r="AO187" s="142" t="b">
        <f t="shared" si="317"/>
        <v>1</v>
      </c>
      <c r="AP187" s="142" t="str">
        <f>'Reference Score Calculation'!AU164</f>
        <v>無</v>
      </c>
      <c r="AQ187" s="95" t="str">
        <f>'Reference Score Calculation'!M164</f>
        <v>優先考慮修讀以下科目者︰</v>
      </c>
      <c r="AR187" s="95"/>
      <c r="AS187" s="95"/>
      <c r="AT187" s="194"/>
      <c r="AU187" s="195" t="str">
        <f>K1</f>
        <v>中國語文</v>
      </c>
      <c r="AV187" s="195" t="str">
        <f>L1</f>
        <v>英國語文</v>
      </c>
      <c r="AW187" s="195" t="str">
        <f>M1</f>
        <v>數學</v>
      </c>
      <c r="AX187" s="199"/>
      <c r="AY187" s="195" t="str">
        <f t="shared" ref="AY187:BD187" si="319">O1</f>
        <v>數學延伸</v>
      </c>
      <c r="AZ187" s="195" t="str">
        <f t="shared" si="319"/>
        <v>請選擇第一選修科</v>
      </c>
      <c r="BA187" s="195" t="str">
        <f t="shared" si="319"/>
        <v>請選擇第二選修科</v>
      </c>
      <c r="BB187" s="195" t="str">
        <f t="shared" si="319"/>
        <v>請選擇第三選修科</v>
      </c>
      <c r="BC187" s="195" t="str">
        <f t="shared" si="319"/>
        <v>請選擇第四選修科</v>
      </c>
      <c r="BD187" s="195" t="str">
        <f t="shared" si="319"/>
        <v>請選擇語言科目</v>
      </c>
      <c r="BE187" s="196"/>
      <c r="BG187" s="95"/>
      <c r="BH187" s="95"/>
      <c r="BI187" s="95"/>
      <c r="BJ187" s="95"/>
      <c r="BK187" s="95"/>
    </row>
    <row r="188" spans="1:63" s="142" customFormat="1">
      <c r="A188" s="142" t="str">
        <f>'Reference Score Calculation'!A165</f>
        <v>JS4460</v>
      </c>
      <c r="B188" s="193" t="str">
        <f>'Reference Score Calculation'!A165</f>
        <v>JS4460</v>
      </c>
      <c r="C188" s="193" t="str">
        <f>'Reference Score Calculation'!D165</f>
        <v>生物醫學工程學</v>
      </c>
      <c r="D188" s="193"/>
      <c r="E188" s="193" t="str">
        <f>'Reference Score Calculation'!E165</f>
        <v>Best 5</v>
      </c>
      <c r="F188" s="95"/>
      <c r="G188" s="95" t="str">
        <f>入學要求!AB174</f>
        <v>v</v>
      </c>
      <c r="H188" s="95" t="str">
        <f>入學要求!AC174</f>
        <v>E</v>
      </c>
      <c r="I188" s="95" t="str">
        <f>入學要求!AD174</f>
        <v>NO</v>
      </c>
      <c r="J188" s="193">
        <f t="shared" si="295"/>
        <v>4.1000000000000003E-9</v>
      </c>
      <c r="K188" s="193">
        <v>1</v>
      </c>
      <c r="L188" s="193">
        <v>1.5</v>
      </c>
      <c r="M188" s="193">
        <f>IF(M1=$AU$155,1.5,1)</f>
        <v>1</v>
      </c>
      <c r="N188" s="193">
        <v>0</v>
      </c>
      <c r="O188" s="193">
        <f>IF(O1=$AU$155,1.5,1)</f>
        <v>1.5</v>
      </c>
      <c r="P188" s="193">
        <f>IF(OR(P1="物理",P1="生物",P1="化學"),1.5,1)</f>
        <v>1</v>
      </c>
      <c r="Q188" s="193">
        <f>IF(OR(Q1="物理",Q1="生物",Q1="化學"),1.5,1)</f>
        <v>1</v>
      </c>
      <c r="R188" s="193">
        <f>IF(OR(R1="物理",R1="生物",R1="化學"),1.5,1)</f>
        <v>1</v>
      </c>
      <c r="S188" s="193">
        <f>IF(OR(S1="物理",S1="生物",S1="化學"),1.5,1)</f>
        <v>1</v>
      </c>
      <c r="T188" s="193">
        <v>1</v>
      </c>
      <c r="U188" s="95"/>
      <c r="V188" s="142">
        <f t="shared" si="275"/>
        <v>4.0000000000000001E-10</v>
      </c>
      <c r="W188" s="142">
        <f t="shared" si="276"/>
        <v>3E-10</v>
      </c>
      <c r="X188" s="142">
        <f t="shared" si="277"/>
        <v>3E-10</v>
      </c>
      <c r="Y188" s="142">
        <f t="shared" si="278"/>
        <v>0</v>
      </c>
      <c r="Z188" s="142">
        <f t="shared" si="279"/>
        <v>7.500000000000001E-10</v>
      </c>
      <c r="AA188" s="142">
        <f t="shared" si="280"/>
        <v>6E-10</v>
      </c>
      <c r="AB188" s="142">
        <f t="shared" si="281"/>
        <v>6.9999999999999996E-10</v>
      </c>
      <c r="AC188" s="142">
        <f t="shared" si="282"/>
        <v>8.0000000000000003E-10</v>
      </c>
      <c r="AD188" s="142">
        <f t="shared" si="283"/>
        <v>8.9999999999999999E-10</v>
      </c>
      <c r="AE188" s="142">
        <f t="shared" si="318"/>
        <v>9.5000000000000003E-10</v>
      </c>
      <c r="AF188" s="142" t="b">
        <f t="shared" si="308"/>
        <v>0</v>
      </c>
      <c r="AG188" s="142" t="b">
        <f t="shared" si="309"/>
        <v>0</v>
      </c>
      <c r="AH188" s="142" t="b">
        <f t="shared" si="310"/>
        <v>0</v>
      </c>
      <c r="AI188" s="142" t="b">
        <f t="shared" si="311"/>
        <v>0</v>
      </c>
      <c r="AJ188" s="142" t="b">
        <f t="shared" si="312"/>
        <v>1</v>
      </c>
      <c r="AK188" s="142" t="b">
        <f t="shared" si="313"/>
        <v>0</v>
      </c>
      <c r="AL188" s="142" t="b">
        <f t="shared" si="314"/>
        <v>1</v>
      </c>
      <c r="AM188" s="142" t="b">
        <f t="shared" si="315"/>
        <v>1</v>
      </c>
      <c r="AN188" s="142" t="b">
        <f t="shared" si="316"/>
        <v>1</v>
      </c>
      <c r="AO188" s="142" t="b">
        <f t="shared" si="317"/>
        <v>1</v>
      </c>
      <c r="AP188" s="142" t="str">
        <f>'Reference Score Calculation'!AU165</f>
        <v>無</v>
      </c>
      <c r="AQ188" s="95" t="str">
        <f>'Reference Score Calculation'!M165</f>
        <v>/</v>
      </c>
      <c r="AR188" s="95"/>
      <c r="AS188" s="95"/>
      <c r="AT188" s="194"/>
      <c r="AU188" s="142">
        <v>0</v>
      </c>
      <c r="AV188" s="142">
        <f>IF(AV187=$AU$185,L6*1.5,0)</f>
        <v>0</v>
      </c>
      <c r="AW188" s="142">
        <f>IF(AW187=$AU$185,M6*1.5,0)</f>
        <v>4.5E-10</v>
      </c>
      <c r="AX188" s="199"/>
      <c r="AY188" s="142">
        <f>O6*2</f>
        <v>1.0000000000000001E-9</v>
      </c>
      <c r="AZ188" s="142">
        <f>IF(OR(P1="物理",P1="生物",P1="化學",P1="組合科學(物理、化學)",P1="組合科學(物理、生物)",P1="組合科學(生物、化學)",P1="綜合科學"),P6*2,IF(OR(P1="經濟",P1="地理",P1="科技與生活",P1="資訊與通訊科技"),P6*1.5,0))</f>
        <v>0</v>
      </c>
      <c r="BA188" s="142">
        <f>IF(OR(Q1="物理",Q1="生物",Q1="化學",Q1="組合科學(物理、化學)",Q1="組合科學(物理、生物)",Q1="組合科學(生物、化學)",Q1="綜合科學"),Q6*2,IF(OR(Q1="經濟",Q1="地理",Q1="科技與生活",Q1="資訊與通訊科技"),Q6*1.5,0))</f>
        <v>0</v>
      </c>
      <c r="BB188" s="142">
        <f>IF(OR(R1="物理",R1="生物",R1="化學",R1="組合科學(物理、化學)",R1="組合科學(物理、生物)",R1="組合科學(生物、化學)",R1="綜合科學"),R6*2,IF(OR(R1="經濟",R1="地理",R1="科技與生活",R1="資訊與通訊科技"),R6*1.5,0))</f>
        <v>0</v>
      </c>
      <c r="BC188" s="142">
        <f>IF(OR(S1="物理",S1="生物",S1="化學",S1="組合科學(物理、化學)",S1="組合科學(物理、生物)",S1="組合科學(生物、化學)",S1="綜合科學"),S6*2,IF(OR(S1="經濟",S1="地理",S1="科技與生活",S1="資訊與通訊科技"),S6*1.5,0))</f>
        <v>0</v>
      </c>
      <c r="BD188" s="142">
        <f>0</f>
        <v>0</v>
      </c>
      <c r="BE188" s="196"/>
      <c r="BG188" s="95"/>
      <c r="BH188" s="95"/>
      <c r="BI188" s="95"/>
      <c r="BJ188" s="95"/>
      <c r="BK188" s="95"/>
    </row>
    <row r="189" spans="1:63" s="142" customFormat="1">
      <c r="A189" s="142" t="str">
        <f>'Reference Score Calculation'!A166</f>
        <v>JS4462</v>
      </c>
      <c r="B189" s="193" t="str">
        <f>'Reference Score Calculation'!A166</f>
        <v>JS4462</v>
      </c>
      <c r="C189" s="193" t="str">
        <f>'Reference Score Calculation'!D166</f>
        <v>能源與環境工程學</v>
      </c>
      <c r="D189" s="193"/>
      <c r="E189" s="193" t="str">
        <f>'Reference Score Calculation'!E166</f>
        <v>Best 5</v>
      </c>
      <c r="F189" s="95"/>
      <c r="G189" s="95" t="str">
        <f>入學要求!AB175</f>
        <v>v</v>
      </c>
      <c r="H189" s="95" t="str">
        <f>入學要求!AC175</f>
        <v>E</v>
      </c>
      <c r="I189" s="95" t="str">
        <f>入學要求!AD175</f>
        <v>NO</v>
      </c>
      <c r="J189" s="193">
        <f t="shared" si="295"/>
        <v>4.1000000000000003E-9</v>
      </c>
      <c r="K189" s="193">
        <v>1</v>
      </c>
      <c r="L189" s="193">
        <v>1</v>
      </c>
      <c r="M189" s="193">
        <v>1.5</v>
      </c>
      <c r="N189" s="193">
        <v>0</v>
      </c>
      <c r="O189" s="193">
        <v>1.5</v>
      </c>
      <c r="P189" s="193">
        <f>IF(OR(P1="物理",P1="生物",P1="化學",P1="資訊及通訊科技",P1="設計與應用科技"),1.5,IF(OR(P1="經濟",P1="地理"),1.2,1))</f>
        <v>1</v>
      </c>
      <c r="Q189" s="193">
        <f>IF(OR(Q1="物理",Q1="生物",Q1="化學",Q1="資訊及通訊科技",Q1="設計與應用科技"),1.5,IF(OR(Q1="經濟",Q1="地理"),1.2,1))</f>
        <v>1</v>
      </c>
      <c r="R189" s="193">
        <f>IF(OR(R1="物理",R1="生物",R1="化學",R1="資訊及通訊科技",R1="設計與應用科技"),1.5,IF(OR(R1="經濟",R1="地理"),1.2,1))</f>
        <v>1</v>
      </c>
      <c r="S189" s="193">
        <f>IF(OR(S1="物理",S1="生物",S1="化學",S1="資訊及通訊科技",S1="設計與應用科技"),1.5,IF(OR(S1="經濟",S1="地理"),1.2,1))</f>
        <v>1</v>
      </c>
      <c r="T189" s="193">
        <v>1</v>
      </c>
      <c r="U189" s="95"/>
      <c r="V189" s="142">
        <f t="shared" si="275"/>
        <v>4.0000000000000001E-10</v>
      </c>
      <c r="W189" s="142">
        <f t="shared" si="276"/>
        <v>2.0000000000000001E-10</v>
      </c>
      <c r="X189" s="142">
        <f t="shared" si="277"/>
        <v>4.5E-10</v>
      </c>
      <c r="Y189" s="142">
        <f t="shared" si="278"/>
        <v>0</v>
      </c>
      <c r="Z189" s="142">
        <f t="shared" si="279"/>
        <v>7.500000000000001E-10</v>
      </c>
      <c r="AA189" s="142">
        <f t="shared" si="280"/>
        <v>6E-10</v>
      </c>
      <c r="AB189" s="142">
        <f t="shared" si="281"/>
        <v>6.9999999999999996E-10</v>
      </c>
      <c r="AC189" s="142">
        <f t="shared" si="282"/>
        <v>8.0000000000000003E-10</v>
      </c>
      <c r="AD189" s="142">
        <f t="shared" si="283"/>
        <v>8.9999999999999999E-10</v>
      </c>
      <c r="AE189" s="142">
        <f t="shared" si="318"/>
        <v>9.5000000000000003E-10</v>
      </c>
      <c r="AF189" s="142" t="b">
        <f t="shared" si="308"/>
        <v>0</v>
      </c>
      <c r="AG189" s="142" t="b">
        <f t="shared" si="309"/>
        <v>0</v>
      </c>
      <c r="AH189" s="142" t="b">
        <f t="shared" si="310"/>
        <v>0</v>
      </c>
      <c r="AI189" s="142" t="b">
        <f t="shared" si="311"/>
        <v>0</v>
      </c>
      <c r="AJ189" s="142" t="b">
        <f t="shared" si="312"/>
        <v>1</v>
      </c>
      <c r="AK189" s="142" t="b">
        <f t="shared" si="313"/>
        <v>0</v>
      </c>
      <c r="AL189" s="142" t="b">
        <f t="shared" si="314"/>
        <v>1</v>
      </c>
      <c r="AM189" s="142" t="b">
        <f t="shared" si="315"/>
        <v>1</v>
      </c>
      <c r="AN189" s="142" t="b">
        <f t="shared" si="316"/>
        <v>1</v>
      </c>
      <c r="AO189" s="142" t="b">
        <f t="shared" si="317"/>
        <v>1</v>
      </c>
      <c r="AP189" s="142" t="str">
        <f>'Reference Score Calculation'!AU166</f>
        <v>無</v>
      </c>
      <c r="AQ189" s="95" t="str">
        <f>'Reference Score Calculation'!M166</f>
        <v>/</v>
      </c>
      <c r="AR189" s="95"/>
      <c r="AS189" s="95"/>
      <c r="AT189" s="194"/>
      <c r="AU189" s="199"/>
      <c r="AV189" s="199"/>
      <c r="AW189" s="199"/>
      <c r="AX189" s="199"/>
      <c r="AY189" s="199"/>
      <c r="AZ189" s="199"/>
      <c r="BA189" s="199"/>
      <c r="BB189" s="199"/>
      <c r="BC189" s="199"/>
      <c r="BD189" s="199"/>
      <c r="BE189" s="196"/>
      <c r="BG189" s="95"/>
      <c r="BH189" s="95"/>
      <c r="BI189" s="95"/>
      <c r="BJ189" s="95"/>
      <c r="BK189" s="95"/>
    </row>
    <row r="190" spans="1:63" s="142" customFormat="1">
      <c r="A190" s="142" t="str">
        <f>'Reference Score Calculation'!A167</f>
        <v>JS4468</v>
      </c>
      <c r="B190" s="193" t="str">
        <f>'Reference Score Calculation'!A167</f>
        <v>JS4468</v>
      </c>
      <c r="C190" s="193" t="str">
        <f>'Reference Score Calculation'!D167</f>
        <v>人工智能：系統與科技</v>
      </c>
      <c r="D190" s="193"/>
      <c r="E190" s="193" t="str">
        <f>'Reference Score Calculation'!E167</f>
        <v>Best 5</v>
      </c>
      <c r="F190" s="95"/>
      <c r="G190" s="95" t="str">
        <f>入學要求!AB176</f>
        <v>v</v>
      </c>
      <c r="H190" s="95" t="str">
        <f>入學要求!AC176</f>
        <v>E</v>
      </c>
      <c r="I190" s="95" t="str">
        <f>入學要求!AD176</f>
        <v>NO</v>
      </c>
      <c r="J190" s="193">
        <f t="shared" si="295"/>
        <v>4.2250000000000006E-9</v>
      </c>
      <c r="K190" s="193">
        <v>1.25</v>
      </c>
      <c r="L190" s="193">
        <v>1.25</v>
      </c>
      <c r="M190" s="193">
        <v>1.75</v>
      </c>
      <c r="N190" s="193">
        <v>0</v>
      </c>
      <c r="O190" s="193">
        <v>1.75</v>
      </c>
      <c r="P190" s="193">
        <f>IF(OR(P1="物理",P1="生物",P1="化學",P1="資訊及通訊科技"),1.5,1)</f>
        <v>1</v>
      </c>
      <c r="Q190" s="193">
        <f>IF(OR(Q1="物理",Q1="生物",Q1="化學",Q1="資訊及通訊科技"),1.5,1)</f>
        <v>1</v>
      </c>
      <c r="R190" s="193">
        <f>IF(OR(R1="物理",R1="生物",R1="化學",R1="資訊及通訊科技"),1.5,1)</f>
        <v>1</v>
      </c>
      <c r="S190" s="193">
        <f>IF(OR(S1="物理",S1="生物",S1="化學",S1="資訊及通訊科技"),1.5,1)</f>
        <v>1</v>
      </c>
      <c r="T190" s="193">
        <v>1</v>
      </c>
      <c r="U190" s="95"/>
      <c r="V190" s="142">
        <f t="shared" si="275"/>
        <v>5.0000000000000003E-10</v>
      </c>
      <c r="W190" s="142">
        <f t="shared" si="276"/>
        <v>2.5000000000000002E-10</v>
      </c>
      <c r="X190" s="142">
        <f t="shared" si="277"/>
        <v>5.2499999999999994E-10</v>
      </c>
      <c r="Y190" s="142">
        <f t="shared" si="278"/>
        <v>0</v>
      </c>
      <c r="Z190" s="142">
        <f t="shared" si="279"/>
        <v>8.7500000000000008E-10</v>
      </c>
      <c r="AA190" s="142">
        <f t="shared" si="280"/>
        <v>6E-10</v>
      </c>
      <c r="AB190" s="142">
        <f t="shared" si="281"/>
        <v>6.9999999999999996E-10</v>
      </c>
      <c r="AC190" s="142">
        <f t="shared" si="282"/>
        <v>8.0000000000000003E-10</v>
      </c>
      <c r="AD190" s="142">
        <f t="shared" si="283"/>
        <v>8.9999999999999999E-10</v>
      </c>
      <c r="AE190" s="142">
        <f t="shared" si="318"/>
        <v>9.5000000000000003E-10</v>
      </c>
      <c r="AF190" s="142" t="b">
        <f t="shared" si="308"/>
        <v>0</v>
      </c>
      <c r="AG190" s="142" t="b">
        <f t="shared" si="309"/>
        <v>0</v>
      </c>
      <c r="AH190" s="142" t="b">
        <f t="shared" si="310"/>
        <v>0</v>
      </c>
      <c r="AI190" s="142" t="b">
        <f t="shared" si="311"/>
        <v>0</v>
      </c>
      <c r="AJ190" s="142" t="b">
        <f t="shared" si="312"/>
        <v>1</v>
      </c>
      <c r="AK190" s="142" t="b">
        <f t="shared" si="313"/>
        <v>0</v>
      </c>
      <c r="AL190" s="142" t="b">
        <f t="shared" si="314"/>
        <v>1</v>
      </c>
      <c r="AM190" s="142" t="b">
        <f t="shared" si="315"/>
        <v>1</v>
      </c>
      <c r="AN190" s="142" t="b">
        <f t="shared" si="316"/>
        <v>1</v>
      </c>
      <c r="AO190" s="142" t="b">
        <f t="shared" si="317"/>
        <v>1</v>
      </c>
      <c r="AP190" s="142" t="str">
        <f>'Reference Score Calculation'!AU167</f>
        <v>無</v>
      </c>
      <c r="AQ190" s="95" t="str">
        <f>'Reference Score Calculation'!M167</f>
        <v>優先考慮修讀以下科目者︰</v>
      </c>
      <c r="AR190" s="95"/>
      <c r="AS190" s="95"/>
      <c r="AT190" s="194"/>
      <c r="AU190" s="195"/>
      <c r="AV190" s="195"/>
      <c r="AW190" s="195"/>
      <c r="AX190" s="195"/>
      <c r="AY190" s="195"/>
      <c r="AZ190" s="195"/>
      <c r="BA190" s="195"/>
      <c r="BB190" s="195"/>
      <c r="BC190" s="196"/>
      <c r="BD190" s="196"/>
      <c r="BE190" s="196"/>
      <c r="BG190" s="95"/>
      <c r="BH190" s="95"/>
      <c r="BI190" s="95"/>
      <c r="BJ190" s="95"/>
      <c r="BK190" s="95"/>
    </row>
    <row r="191" spans="1:63" s="142" customFormat="1">
      <c r="A191" s="142" t="str">
        <f>'Reference Score Calculation'!A168</f>
        <v>JS4501</v>
      </c>
      <c r="B191" s="193" t="str">
        <f>'Reference Score Calculation'!A168</f>
        <v>JS4501</v>
      </c>
      <c r="C191" s="193" t="str">
        <f>'Reference Score Calculation'!D168</f>
        <v>內外全科醫學士課程</v>
      </c>
      <c r="D191" s="193"/>
      <c r="E191" s="193" t="str">
        <f>'Reference Score Calculation'!E168</f>
        <v>4C3X</v>
      </c>
      <c r="F191" s="95"/>
      <c r="G191" s="95" t="str">
        <f>入學要求!AB177</f>
        <v>v</v>
      </c>
      <c r="H191" s="95" t="str">
        <f>入學要求!AC177</f>
        <v>E</v>
      </c>
      <c r="I191" s="95" t="str">
        <f>入學要求!AD177</f>
        <v>NO</v>
      </c>
      <c r="J191" s="193">
        <f>IF($W$15=TRUE,SUMIF(AF191:AO191,TRUE,V191:AE191)*0.9,SUMIF(AF191:AO191,TRUE,V191:AE191))</f>
        <v>3.6E-9</v>
      </c>
      <c r="K191" s="193">
        <f t="shared" ref="K191:N192" si="320">IF(AND($AU$171,$AY$171=K$1),0,1)</f>
        <v>0</v>
      </c>
      <c r="L191" s="193">
        <f t="shared" si="320"/>
        <v>1</v>
      </c>
      <c r="M191" s="193">
        <f t="shared" si="320"/>
        <v>1</v>
      </c>
      <c r="N191" s="193">
        <f t="shared" si="320"/>
        <v>1</v>
      </c>
      <c r="O191" s="193">
        <f>IF($AU$171,$BB$171,0)</f>
        <v>0.89999999999999991</v>
      </c>
      <c r="P191" s="193">
        <f t="shared" ref="P191:T192" si="321">IF(AND($AU$171,$AY$171=P$1),0,1)</f>
        <v>1</v>
      </c>
      <c r="Q191" s="193">
        <f t="shared" si="321"/>
        <v>1</v>
      </c>
      <c r="R191" s="193">
        <f t="shared" si="321"/>
        <v>1</v>
      </c>
      <c r="S191" s="193">
        <f t="shared" si="321"/>
        <v>1</v>
      </c>
      <c r="T191" s="193">
        <f t="shared" si="321"/>
        <v>1</v>
      </c>
      <c r="U191" s="95"/>
      <c r="V191" s="142">
        <f t="shared" ref="V191:AD192" si="322">K$13*K191</f>
        <v>0</v>
      </c>
      <c r="W191" s="142">
        <f t="shared" si="322"/>
        <v>2.0000000000000001E-10</v>
      </c>
      <c r="X191" s="142">
        <f t="shared" si="322"/>
        <v>3E-10</v>
      </c>
      <c r="Y191" s="142">
        <f t="shared" si="322"/>
        <v>0</v>
      </c>
      <c r="Z191" s="142">
        <f t="shared" si="322"/>
        <v>4.5E-10</v>
      </c>
      <c r="AA191" s="142">
        <f t="shared" si="322"/>
        <v>6E-10</v>
      </c>
      <c r="AB191" s="142">
        <f t="shared" si="322"/>
        <v>6.9999999999999996E-10</v>
      </c>
      <c r="AC191" s="142">
        <f t="shared" si="322"/>
        <v>8.0000000000000003E-10</v>
      </c>
      <c r="AD191" s="142">
        <f t="shared" si="322"/>
        <v>8.9999999999999999E-10</v>
      </c>
      <c r="AE191" s="142">
        <f t="shared" si="318"/>
        <v>9.5000000000000003E-10</v>
      </c>
      <c r="AF191" s="254" t="b">
        <v>1</v>
      </c>
      <c r="AG191" s="254" t="b">
        <v>1</v>
      </c>
      <c r="AH191" s="254" t="b">
        <v>1</v>
      </c>
      <c r="AI191" s="254" t="b">
        <v>1</v>
      </c>
      <c r="AJ191" s="254" t="b">
        <f>$AU$171</f>
        <v>1</v>
      </c>
      <c r="AK191" s="254" t="b">
        <f t="shared" ref="AK191:AO192" si="323">IF(AA191&gt;LARGE($AA191:$AE191,4),TRUE)</f>
        <v>0</v>
      </c>
      <c r="AL191" s="254" t="b">
        <f t="shared" si="323"/>
        <v>0</v>
      </c>
      <c r="AM191" s="254" t="b">
        <f t="shared" si="323"/>
        <v>1</v>
      </c>
      <c r="AN191" s="254" t="b">
        <f t="shared" si="323"/>
        <v>1</v>
      </c>
      <c r="AO191" s="254" t="b">
        <f t="shared" si="323"/>
        <v>1</v>
      </c>
      <c r="AP191" s="142" t="str">
        <f>'Reference Score Calculation'!AU168</f>
        <v>6%-10%(全Cert)</v>
      </c>
      <c r="AQ191" s="95" t="str">
        <f>'Reference Score Calculation'!M168</f>
        <v>優先考慮修讀 化學、生物 者</v>
      </c>
      <c r="AR191" s="95"/>
      <c r="AS191" s="95"/>
      <c r="AT191" s="194" t="s">
        <v>362</v>
      </c>
      <c r="AU191" s="195" t="s">
        <v>358</v>
      </c>
      <c r="AV191" s="195"/>
      <c r="AW191" s="195"/>
      <c r="AX191" s="195"/>
      <c r="AY191" s="195"/>
      <c r="AZ191" s="195"/>
      <c r="BA191" s="195"/>
      <c r="BB191" s="195"/>
      <c r="BC191" s="196"/>
      <c r="BD191" s="196"/>
      <c r="BE191" s="196"/>
      <c r="BG191" s="95"/>
      <c r="BH191" s="95"/>
      <c r="BI191" s="95"/>
      <c r="BJ191" s="95"/>
      <c r="BK191" s="95"/>
    </row>
    <row r="192" spans="1:63" s="142" customFormat="1">
      <c r="A192" s="142" t="str">
        <f>'Reference Score Calculation'!A169</f>
        <v>JS4502</v>
      </c>
      <c r="B192" s="193" t="str">
        <f>'Reference Score Calculation'!A169</f>
        <v>JS4502</v>
      </c>
      <c r="C192" s="193" t="str">
        <f>'Reference Score Calculation'!D169</f>
        <v>內外全科醫學士課程環球醫學領袖培訓專修組別</v>
      </c>
      <c r="D192" s="193"/>
      <c r="E192" s="193" t="str">
        <f>'Reference Score Calculation'!E169</f>
        <v>4C3X</v>
      </c>
      <c r="F192" s="95"/>
      <c r="G192" s="95" t="str">
        <f>入學要求!AB178</f>
        <v>v</v>
      </c>
      <c r="H192" s="95" t="str">
        <f>入學要求!AC178</f>
        <v>E</v>
      </c>
      <c r="I192" s="95" t="str">
        <f>入學要求!AD178</f>
        <v>NO</v>
      </c>
      <c r="J192" s="193">
        <f>IF($W$15=TRUE,SUMIF(AF192:AO192,TRUE,V192:AE192)*0.9,SUMIF(AF192:AO192,TRUE,V192:AE192))</f>
        <v>3.6E-9</v>
      </c>
      <c r="K192" s="193">
        <f t="shared" si="320"/>
        <v>0</v>
      </c>
      <c r="L192" s="193">
        <f t="shared" si="320"/>
        <v>1</v>
      </c>
      <c r="M192" s="193">
        <f t="shared" si="320"/>
        <v>1</v>
      </c>
      <c r="N192" s="193">
        <f t="shared" si="320"/>
        <v>1</v>
      </c>
      <c r="O192" s="193">
        <f>IF($AU$171,$BB$171,0)</f>
        <v>0.89999999999999991</v>
      </c>
      <c r="P192" s="193">
        <f t="shared" si="321"/>
        <v>1</v>
      </c>
      <c r="Q192" s="193">
        <f t="shared" si="321"/>
        <v>1</v>
      </c>
      <c r="R192" s="193">
        <f t="shared" si="321"/>
        <v>1</v>
      </c>
      <c r="S192" s="193">
        <f t="shared" si="321"/>
        <v>1</v>
      </c>
      <c r="T192" s="193">
        <f t="shared" si="321"/>
        <v>1</v>
      </c>
      <c r="U192" s="95"/>
      <c r="V192" s="142">
        <f t="shared" si="322"/>
        <v>0</v>
      </c>
      <c r="W192" s="142">
        <f t="shared" si="322"/>
        <v>2.0000000000000001E-10</v>
      </c>
      <c r="X192" s="142">
        <f t="shared" si="322"/>
        <v>3E-10</v>
      </c>
      <c r="Y192" s="142">
        <f t="shared" si="322"/>
        <v>0</v>
      </c>
      <c r="Z192" s="142">
        <f t="shared" si="322"/>
        <v>4.5E-10</v>
      </c>
      <c r="AA192" s="142">
        <f t="shared" si="322"/>
        <v>6E-10</v>
      </c>
      <c r="AB192" s="142">
        <f t="shared" si="322"/>
        <v>6.9999999999999996E-10</v>
      </c>
      <c r="AC192" s="142">
        <f t="shared" si="322"/>
        <v>8.0000000000000003E-10</v>
      </c>
      <c r="AD192" s="142">
        <f t="shared" si="322"/>
        <v>8.9999999999999999E-10</v>
      </c>
      <c r="AE192" s="142">
        <f t="shared" si="318"/>
        <v>9.5000000000000003E-10</v>
      </c>
      <c r="AF192" s="254" t="b">
        <v>1</v>
      </c>
      <c r="AG192" s="254" t="b">
        <v>1</v>
      </c>
      <c r="AH192" s="254" t="b">
        <v>1</v>
      </c>
      <c r="AI192" s="254" t="b">
        <v>1</v>
      </c>
      <c r="AJ192" s="254" t="b">
        <f>$AU$171</f>
        <v>1</v>
      </c>
      <c r="AK192" s="254" t="b">
        <f t="shared" si="323"/>
        <v>0</v>
      </c>
      <c r="AL192" s="254" t="b">
        <f t="shared" si="323"/>
        <v>0</v>
      </c>
      <c r="AM192" s="254" t="b">
        <f t="shared" si="323"/>
        <v>1</v>
      </c>
      <c r="AN192" s="254" t="b">
        <f t="shared" si="323"/>
        <v>1</v>
      </c>
      <c r="AO192" s="254" t="b">
        <f t="shared" si="323"/>
        <v>1</v>
      </c>
      <c r="AP192" s="142" t="str">
        <f>'Reference Score Calculation'!AU169</f>
        <v>6%-10%(全Cert)</v>
      </c>
      <c r="AQ192" s="95" t="str">
        <f>'Reference Score Calculation'!M169</f>
        <v>優先考慮修讀 化學、生物 者</v>
      </c>
      <c r="AR192" s="95"/>
      <c r="AS192" s="95"/>
      <c r="AT192" s="194"/>
      <c r="AU192" s="142" t="str">
        <f>IF(K6&gt;L6,K1,L1)</f>
        <v>中國語文</v>
      </c>
      <c r="AV192" s="142">
        <f>IF(K6&gt;L6,K6,L6)</f>
        <v>4.0000000000000001E-10</v>
      </c>
      <c r="AW192" s="195"/>
      <c r="AX192" s="195"/>
      <c r="AY192" s="195"/>
      <c r="AZ192" s="195"/>
      <c r="BA192" s="195"/>
      <c r="BB192" s="195"/>
      <c r="BC192" s="196"/>
      <c r="BD192" s="196"/>
      <c r="BE192" s="196"/>
      <c r="BG192" s="95"/>
      <c r="BH192" s="95"/>
      <c r="BI192" s="95"/>
      <c r="BJ192" s="95"/>
      <c r="BK192" s="95"/>
    </row>
    <row r="193" spans="1:63" s="142" customFormat="1">
      <c r="A193" s="142" t="str">
        <f>'Reference Score Calculation'!A170</f>
        <v>JS4513</v>
      </c>
      <c r="B193" s="193" t="str">
        <f>'Reference Score Calculation'!A170</f>
        <v>JS4513</v>
      </c>
      <c r="C193" s="193" t="str">
        <f>'Reference Score Calculation'!D170</f>
        <v>護理學</v>
      </c>
      <c r="D193" s="193"/>
      <c r="E193" s="193" t="str">
        <f>'Reference Score Calculation'!E170</f>
        <v>4C2X</v>
      </c>
      <c r="F193" s="95"/>
      <c r="G193" s="95" t="str">
        <f>入學要求!AB179</f>
        <v>v</v>
      </c>
      <c r="H193" s="95" t="str">
        <f>入學要求!AC179</f>
        <v>E</v>
      </c>
      <c r="I193" s="95" t="str">
        <f>入學要求!AD179</f>
        <v>NO</v>
      </c>
      <c r="J193" s="193">
        <f t="shared" si="295"/>
        <v>2.7499999999999998E-9</v>
      </c>
      <c r="K193" s="193">
        <v>1</v>
      </c>
      <c r="L193" s="193">
        <v>1</v>
      </c>
      <c r="M193" s="193">
        <v>1</v>
      </c>
      <c r="N193" s="193">
        <v>1</v>
      </c>
      <c r="O193" s="193">
        <v>1</v>
      </c>
      <c r="P193" s="193">
        <f>IF(P1=$AU$178,1.2,1)</f>
        <v>1.2</v>
      </c>
      <c r="Q193" s="193">
        <f>IF(Q1=$AU$178,1.2,1)</f>
        <v>1</v>
      </c>
      <c r="R193" s="193">
        <f>IF(R1=$AU$178,1.2,1)</f>
        <v>1</v>
      </c>
      <c r="S193" s="193">
        <f>IF(S1=$AU$178,1.2,1)</f>
        <v>1</v>
      </c>
      <c r="T193" s="193">
        <v>1</v>
      </c>
      <c r="U193" s="95"/>
      <c r="V193" s="142">
        <f t="shared" ref="V193:V220" si="324">K$6*K193</f>
        <v>4.0000000000000001E-10</v>
      </c>
      <c r="W193" s="142">
        <f t="shared" ref="W193:W220" si="325">L$6*L193</f>
        <v>2.0000000000000001E-10</v>
      </c>
      <c r="X193" s="142">
        <f t="shared" ref="X193:X220" si="326">M$6*M193</f>
        <v>3E-10</v>
      </c>
      <c r="Y193" s="142">
        <f t="shared" ref="Y193:Y220" si="327">N$6*N193</f>
        <v>0</v>
      </c>
      <c r="Z193" s="142">
        <f t="shared" ref="Z193:Z220" si="328">IF(G193="v",O$6*O193,0)</f>
        <v>5.0000000000000003E-10</v>
      </c>
      <c r="AA193" s="142">
        <f t="shared" ref="AA193:AA220" si="329">P$6*P193</f>
        <v>7.2E-10</v>
      </c>
      <c r="AB193" s="142">
        <f t="shared" ref="AB193:AB220" si="330">Q$6*Q193</f>
        <v>6.9999999999999996E-10</v>
      </c>
      <c r="AC193" s="142">
        <f t="shared" ref="AC193:AC220" si="331">R$6*R193</f>
        <v>8.0000000000000003E-10</v>
      </c>
      <c r="AD193" s="142">
        <f t="shared" ref="AD193:AD220" si="332">S$6*S193</f>
        <v>8.9999999999999999E-10</v>
      </c>
      <c r="AE193" s="142">
        <f t="shared" si="318"/>
        <v>9.5000000000000003E-10</v>
      </c>
      <c r="AF193" s="142" t="b">
        <f t="shared" ref="AF193:AF220" si="333">IF($E193="4C2X",TRUE,IF($E193="Best 5",IF(V193&gt;LARGE($V193:$AE193,6),TRUE)))</f>
        <v>1</v>
      </c>
      <c r="AG193" s="142" t="b">
        <f t="shared" ref="AG193:AG220" si="334">IF($E193="4C2X",TRUE,IF($E193="Best 5",IF(W193&gt;LARGE($V193:$AE193,6),TRUE)))</f>
        <v>1</v>
      </c>
      <c r="AH193" s="142" t="b">
        <f t="shared" ref="AH193:AH220" si="335">IF($E193="4C2X",TRUE,IF($E193="Best 5",IF(X193&gt;LARGE($V193:$AE193,6),TRUE)))</f>
        <v>1</v>
      </c>
      <c r="AI193" s="142" t="b">
        <f t="shared" ref="AI193:AI220" si="336">IF($E193="4C2X",TRUE,IF($E193="Best 5",IF(Y193&gt;LARGE($V193:$AE193,6),TRUE)))</f>
        <v>1</v>
      </c>
      <c r="AJ193" s="142" t="b">
        <f t="shared" ref="AJ193:AJ220" si="337">IF($E193="4C2X",IF(Z193&gt;LARGE($Z193:$AE193,3),TRUE),IF($E193="Best 5",IF(Z193&gt;LARGE($V193:$AE193,6),TRUE)))</f>
        <v>0</v>
      </c>
      <c r="AK193" s="142" t="b">
        <f t="shared" ref="AK193:AK220" si="338">IF($E193="4C2X",IF(AA193&gt;LARGE($Z193:$AE193,3),TRUE),IF($E193="Best 5",IF(AA193&gt;LARGE($V193:$AE193,6),TRUE)))</f>
        <v>0</v>
      </c>
      <c r="AL193" s="142" t="b">
        <f t="shared" ref="AL193:AL220" si="339">IF($E193="4C2X",IF(AB193&gt;LARGE($Z193:$AE193,3),TRUE),IF($E193="Best 5",IF(AB193&gt;LARGE($V193:$AE193,6),TRUE)))</f>
        <v>0</v>
      </c>
      <c r="AM193" s="142" t="b">
        <f t="shared" ref="AM193:AM220" si="340">IF($E193="4C2X",IF(AC193&gt;LARGE($Z193:$AE193,3),TRUE),IF($E193="Best 5",IF(AC193&gt;LARGE($V193:$AE193,6),TRUE)))</f>
        <v>0</v>
      </c>
      <c r="AN193" s="142" t="b">
        <f t="shared" ref="AN193:AN220" si="341">IF($E193="4C2X",IF(AD193&gt;LARGE($Z193:$AE193,3),TRUE),IF($E193="Best 5",IF(AD193&gt;LARGE($V193:$AE193,6),TRUE)))</f>
        <v>1</v>
      </c>
      <c r="AO193" s="142" t="b">
        <f t="shared" ref="AO193:AO220" si="342">IF($E193="4C2X",IF(AE193&gt;LARGE($Z193:$AE193,3),TRUE),IF($E193="Best 5",IF(AE193&gt;LARGE($V193:$AE193,6),TRUE)))</f>
        <v>1</v>
      </c>
      <c r="AP193" s="142" t="str">
        <f>'Reference Score Calculation'!AU170</f>
        <v>無</v>
      </c>
      <c r="AQ193" s="95" t="str">
        <f>'Reference Score Calculation'!M170</f>
        <v>優先考慮修讀以下科目者:</v>
      </c>
      <c r="AR193" s="95"/>
      <c r="AS193" s="95"/>
      <c r="AT193" s="194"/>
      <c r="AU193" s="195"/>
      <c r="AV193" s="195"/>
      <c r="AW193" s="195"/>
      <c r="AX193" s="195"/>
      <c r="AY193" s="195"/>
      <c r="AZ193" s="195"/>
      <c r="BA193" s="195"/>
      <c r="BB193" s="195"/>
      <c r="BC193" s="196"/>
      <c r="BD193" s="196"/>
      <c r="BE193" s="196"/>
      <c r="BG193" s="95"/>
      <c r="BH193" s="95"/>
      <c r="BI193" s="95"/>
      <c r="BJ193" s="95"/>
      <c r="BK193" s="95"/>
    </row>
    <row r="194" spans="1:63" s="142" customFormat="1">
      <c r="A194" s="142" t="str">
        <f>'Reference Score Calculation'!A171</f>
        <v>JS4525</v>
      </c>
      <c r="B194" s="193" t="str">
        <f>'Reference Score Calculation'!A171</f>
        <v>JS4525</v>
      </c>
      <c r="C194" s="193" t="str">
        <f>'Reference Score Calculation'!D171</f>
        <v>藥劑學</v>
      </c>
      <c r="D194" s="193"/>
      <c r="E194" s="193" t="str">
        <f>'Reference Score Calculation'!E171</f>
        <v>4C2X</v>
      </c>
      <c r="F194" s="95"/>
      <c r="G194" s="95" t="str">
        <f>入學要求!AB180</f>
        <v>v</v>
      </c>
      <c r="H194" s="95" t="str">
        <f>入學要求!AC180</f>
        <v>E</v>
      </c>
      <c r="I194" s="95" t="str">
        <f>入學要求!AD180</f>
        <v>NO</v>
      </c>
      <c r="J194" s="193">
        <f>IF($W$15=TRUE,SUMIF(AF194:AO194,TRUE,V194:AE194)*0.95,SUMIF(AF194:AO194,TRUE,V194:AE194))</f>
        <v>2.7499999999999998E-9</v>
      </c>
      <c r="K194" s="193">
        <v>1</v>
      </c>
      <c r="L194" s="193">
        <v>1</v>
      </c>
      <c r="M194" s="193">
        <v>1</v>
      </c>
      <c r="N194" s="193">
        <v>1</v>
      </c>
      <c r="O194" s="193">
        <v>1</v>
      </c>
      <c r="P194" s="193">
        <v>1</v>
      </c>
      <c r="Q194" s="193">
        <v>1</v>
      </c>
      <c r="R194" s="193">
        <v>1</v>
      </c>
      <c r="S194" s="193">
        <v>1</v>
      </c>
      <c r="T194" s="193">
        <v>1</v>
      </c>
      <c r="U194" s="95"/>
      <c r="V194" s="142">
        <f t="shared" si="324"/>
        <v>4.0000000000000001E-10</v>
      </c>
      <c r="W194" s="142">
        <f t="shared" si="325"/>
        <v>2.0000000000000001E-10</v>
      </c>
      <c r="X194" s="142">
        <f t="shared" si="326"/>
        <v>3E-10</v>
      </c>
      <c r="Y194" s="142">
        <f t="shared" si="327"/>
        <v>0</v>
      </c>
      <c r="Z194" s="142">
        <f t="shared" si="328"/>
        <v>5.0000000000000003E-10</v>
      </c>
      <c r="AA194" s="142">
        <f t="shared" si="329"/>
        <v>6E-10</v>
      </c>
      <c r="AB194" s="142">
        <f t="shared" si="330"/>
        <v>6.9999999999999996E-10</v>
      </c>
      <c r="AC194" s="142">
        <f t="shared" si="331"/>
        <v>8.0000000000000003E-10</v>
      </c>
      <c r="AD194" s="142">
        <f t="shared" si="332"/>
        <v>8.9999999999999999E-10</v>
      </c>
      <c r="AE194" s="142">
        <f t="shared" si="318"/>
        <v>9.5000000000000003E-10</v>
      </c>
      <c r="AF194" s="142" t="b">
        <f t="shared" si="333"/>
        <v>1</v>
      </c>
      <c r="AG194" s="142" t="b">
        <f t="shared" si="334"/>
        <v>1</v>
      </c>
      <c r="AH194" s="142" t="b">
        <f t="shared" si="335"/>
        <v>1</v>
      </c>
      <c r="AI194" s="142" t="b">
        <f t="shared" si="336"/>
        <v>1</v>
      </c>
      <c r="AJ194" s="142" t="b">
        <f t="shared" si="337"/>
        <v>0</v>
      </c>
      <c r="AK194" s="142" t="b">
        <f t="shared" si="338"/>
        <v>0</v>
      </c>
      <c r="AL194" s="142" t="b">
        <f t="shared" si="339"/>
        <v>0</v>
      </c>
      <c r="AM194" s="142" t="b">
        <f t="shared" si="340"/>
        <v>0</v>
      </c>
      <c r="AN194" s="142" t="b">
        <f t="shared" si="341"/>
        <v>1</v>
      </c>
      <c r="AO194" s="142" t="b">
        <f t="shared" si="342"/>
        <v>1</v>
      </c>
      <c r="AP194" s="142" t="str">
        <f>'Reference Score Calculation'!AU171</f>
        <v>5%或更少(全Cert)</v>
      </c>
      <c r="AQ194" s="95" t="str">
        <f>'Reference Score Calculation'!M171</f>
        <v>/</v>
      </c>
      <c r="AR194" s="95"/>
      <c r="AS194" s="95"/>
      <c r="AT194" s="194"/>
      <c r="AU194" s="195"/>
      <c r="AV194" s="195"/>
      <c r="AW194" s="195"/>
      <c r="AX194" s="195"/>
      <c r="AY194" s="195"/>
      <c r="AZ194" s="195"/>
      <c r="BA194" s="195"/>
      <c r="BB194" s="195"/>
      <c r="BC194" s="196"/>
      <c r="BD194" s="196"/>
      <c r="BE194" s="196"/>
      <c r="BG194" s="95"/>
      <c r="BH194" s="95"/>
      <c r="BI194" s="95"/>
      <c r="BJ194" s="95"/>
      <c r="BK194" s="95"/>
    </row>
    <row r="195" spans="1:63" s="145" customFormat="1">
      <c r="A195" s="142" t="str">
        <f>'Reference Score Calculation'!A172</f>
        <v>JS4537</v>
      </c>
      <c r="B195" s="193" t="str">
        <f>'Reference Score Calculation'!A172</f>
        <v>JS4537</v>
      </c>
      <c r="C195" s="193" t="str">
        <f>'Reference Score Calculation'!D172</f>
        <v>公共衞生</v>
      </c>
      <c r="D195" s="193"/>
      <c r="E195" s="193" t="str">
        <f>'Reference Score Calculation'!E172</f>
        <v>Best 5</v>
      </c>
      <c r="F195" s="95"/>
      <c r="G195" s="95" t="str">
        <f>入學要求!AB181</f>
        <v>v</v>
      </c>
      <c r="H195" s="95" t="str">
        <f>入學要求!AC181</f>
        <v>E</v>
      </c>
      <c r="I195" s="95" t="str">
        <f>入學要求!AD181</f>
        <v>NO</v>
      </c>
      <c r="J195" s="193">
        <f t="shared" si="295"/>
        <v>3.9500000000000006E-9</v>
      </c>
      <c r="K195" s="193">
        <v>1</v>
      </c>
      <c r="L195" s="193">
        <v>1</v>
      </c>
      <c r="M195" s="193">
        <v>1</v>
      </c>
      <c r="N195" s="193">
        <v>0</v>
      </c>
      <c r="O195" s="193">
        <v>1</v>
      </c>
      <c r="P195" s="193">
        <v>1</v>
      </c>
      <c r="Q195" s="193">
        <v>1</v>
      </c>
      <c r="R195" s="193">
        <v>1</v>
      </c>
      <c r="S195" s="193">
        <v>1</v>
      </c>
      <c r="T195" s="193">
        <v>1</v>
      </c>
      <c r="U195" s="95"/>
      <c r="V195" s="142">
        <f t="shared" si="324"/>
        <v>4.0000000000000001E-10</v>
      </c>
      <c r="W195" s="142">
        <f t="shared" si="325"/>
        <v>2.0000000000000001E-10</v>
      </c>
      <c r="X195" s="142">
        <f t="shared" si="326"/>
        <v>3E-10</v>
      </c>
      <c r="Y195" s="142">
        <f t="shared" si="327"/>
        <v>0</v>
      </c>
      <c r="Z195" s="142">
        <f t="shared" si="328"/>
        <v>5.0000000000000003E-10</v>
      </c>
      <c r="AA195" s="142">
        <f t="shared" si="329"/>
        <v>6E-10</v>
      </c>
      <c r="AB195" s="142">
        <f t="shared" si="330"/>
        <v>6.9999999999999996E-10</v>
      </c>
      <c r="AC195" s="142">
        <f t="shared" si="331"/>
        <v>8.0000000000000003E-10</v>
      </c>
      <c r="AD195" s="142">
        <f t="shared" si="332"/>
        <v>8.9999999999999999E-10</v>
      </c>
      <c r="AE195" s="142">
        <f t="shared" si="318"/>
        <v>9.5000000000000003E-10</v>
      </c>
      <c r="AF195" s="142" t="b">
        <f t="shared" si="333"/>
        <v>0</v>
      </c>
      <c r="AG195" s="142" t="b">
        <f t="shared" si="334"/>
        <v>0</v>
      </c>
      <c r="AH195" s="142" t="b">
        <f t="shared" si="335"/>
        <v>0</v>
      </c>
      <c r="AI195" s="142" t="b">
        <f t="shared" si="336"/>
        <v>0</v>
      </c>
      <c r="AJ195" s="142" t="b">
        <f t="shared" si="337"/>
        <v>0</v>
      </c>
      <c r="AK195" s="142" t="b">
        <f t="shared" si="338"/>
        <v>1</v>
      </c>
      <c r="AL195" s="142" t="b">
        <f t="shared" si="339"/>
        <v>1</v>
      </c>
      <c r="AM195" s="142" t="b">
        <f t="shared" si="340"/>
        <v>1</v>
      </c>
      <c r="AN195" s="142" t="b">
        <f t="shared" si="341"/>
        <v>1</v>
      </c>
      <c r="AO195" s="142" t="b">
        <f t="shared" si="342"/>
        <v>1</v>
      </c>
      <c r="AP195" s="142" t="str">
        <f>'Reference Score Calculation'!AU172</f>
        <v>無</v>
      </c>
      <c r="AQ195" s="95" t="str">
        <f>'Reference Score Calculation'!M172</f>
        <v>/</v>
      </c>
      <c r="AR195" s="95"/>
      <c r="AS195" s="95"/>
      <c r="AT195" s="194"/>
      <c r="AU195" s="195"/>
      <c r="AV195" s="195"/>
      <c r="AW195" s="195"/>
      <c r="AX195" s="195"/>
      <c r="AY195" s="195"/>
      <c r="AZ195" s="195"/>
      <c r="BA195" s="195"/>
      <c r="BB195" s="195"/>
      <c r="BC195" s="196"/>
      <c r="BD195" s="196"/>
      <c r="BE195" s="196"/>
      <c r="BG195" s="51"/>
      <c r="BH195" s="51"/>
      <c r="BI195" s="51"/>
      <c r="BJ195" s="51"/>
      <c r="BK195" s="51"/>
    </row>
    <row r="196" spans="1:63" s="142" customFormat="1">
      <c r="A196" s="142" t="str">
        <f>'Reference Score Calculation'!A173</f>
        <v>JS4542</v>
      </c>
      <c r="B196" s="193" t="str">
        <f>'Reference Score Calculation'!A173</f>
        <v>JS4542</v>
      </c>
      <c r="C196" s="193" t="str">
        <f>'Reference Score Calculation'!D173</f>
        <v>中醫學</v>
      </c>
      <c r="D196" s="193"/>
      <c r="E196" s="193" t="str">
        <f>'Reference Score Calculation'!E173</f>
        <v>4C2X</v>
      </c>
      <c r="F196" s="95"/>
      <c r="G196" s="95" t="str">
        <f>入學要求!AB182</f>
        <v>v</v>
      </c>
      <c r="H196" s="95" t="str">
        <f>入學要求!AC182</f>
        <v>E</v>
      </c>
      <c r="I196" s="95" t="str">
        <f>入學要求!AD182</f>
        <v>NO</v>
      </c>
      <c r="J196" s="193">
        <f t="shared" si="295"/>
        <v>2.7499999999999998E-9</v>
      </c>
      <c r="K196" s="193">
        <v>1</v>
      </c>
      <c r="L196" s="193">
        <v>1</v>
      </c>
      <c r="M196" s="193">
        <v>1</v>
      </c>
      <c r="N196" s="193">
        <v>1</v>
      </c>
      <c r="O196" s="193">
        <v>1</v>
      </c>
      <c r="P196" s="193">
        <v>1</v>
      </c>
      <c r="Q196" s="193">
        <v>1</v>
      </c>
      <c r="R196" s="193">
        <v>1</v>
      </c>
      <c r="S196" s="193">
        <v>1</v>
      </c>
      <c r="T196" s="193">
        <v>1</v>
      </c>
      <c r="U196" s="95"/>
      <c r="V196" s="142">
        <f t="shared" si="324"/>
        <v>4.0000000000000001E-10</v>
      </c>
      <c r="W196" s="142">
        <f t="shared" si="325"/>
        <v>2.0000000000000001E-10</v>
      </c>
      <c r="X196" s="142">
        <f t="shared" si="326"/>
        <v>3E-10</v>
      </c>
      <c r="Y196" s="142">
        <f t="shared" si="327"/>
        <v>0</v>
      </c>
      <c r="Z196" s="142">
        <f t="shared" si="328"/>
        <v>5.0000000000000003E-10</v>
      </c>
      <c r="AA196" s="142">
        <f t="shared" si="329"/>
        <v>6E-10</v>
      </c>
      <c r="AB196" s="142">
        <f t="shared" si="330"/>
        <v>6.9999999999999996E-10</v>
      </c>
      <c r="AC196" s="142">
        <f t="shared" si="331"/>
        <v>8.0000000000000003E-10</v>
      </c>
      <c r="AD196" s="142">
        <f t="shared" si="332"/>
        <v>8.9999999999999999E-10</v>
      </c>
      <c r="AE196" s="142">
        <f t="shared" si="318"/>
        <v>9.5000000000000003E-10</v>
      </c>
      <c r="AF196" s="142" t="b">
        <f t="shared" si="333"/>
        <v>1</v>
      </c>
      <c r="AG196" s="142" t="b">
        <f t="shared" si="334"/>
        <v>1</v>
      </c>
      <c r="AH196" s="142" t="b">
        <f t="shared" si="335"/>
        <v>1</v>
      </c>
      <c r="AI196" s="142" t="b">
        <f t="shared" si="336"/>
        <v>1</v>
      </c>
      <c r="AJ196" s="142" t="b">
        <f t="shared" si="337"/>
        <v>0</v>
      </c>
      <c r="AK196" s="142" t="b">
        <f t="shared" si="338"/>
        <v>0</v>
      </c>
      <c r="AL196" s="142" t="b">
        <f t="shared" si="339"/>
        <v>0</v>
      </c>
      <c r="AM196" s="142" t="b">
        <f t="shared" si="340"/>
        <v>0</v>
      </c>
      <c r="AN196" s="142" t="b">
        <f t="shared" si="341"/>
        <v>1</v>
      </c>
      <c r="AO196" s="142" t="b">
        <f t="shared" si="342"/>
        <v>1</v>
      </c>
      <c r="AP196" s="142" t="str">
        <f>'Reference Score Calculation'!AU173</f>
        <v>無</v>
      </c>
      <c r="AQ196" s="95" t="str">
        <f>'Reference Score Calculation'!M173</f>
        <v>優先考慮修讀以下科目者:</v>
      </c>
      <c r="AR196" s="95"/>
      <c r="AS196" s="95"/>
      <c r="AT196" s="194"/>
      <c r="AU196" s="195"/>
      <c r="AV196" s="195"/>
      <c r="AW196" s="195"/>
      <c r="AX196" s="195"/>
      <c r="AY196" s="195"/>
      <c r="AZ196" s="195"/>
      <c r="BA196" s="195"/>
      <c r="BB196" s="195"/>
      <c r="BC196" s="196"/>
      <c r="BD196" s="196"/>
      <c r="BE196" s="196"/>
      <c r="BG196" s="95"/>
      <c r="BH196" s="95"/>
      <c r="BI196" s="95"/>
      <c r="BJ196" s="95"/>
      <c r="BK196" s="95"/>
    </row>
    <row r="197" spans="1:63" s="142" customFormat="1">
      <c r="A197" s="142" t="str">
        <f>'Reference Score Calculation'!A174</f>
        <v>JS4550</v>
      </c>
      <c r="B197" s="193" t="str">
        <f>'Reference Score Calculation'!A174</f>
        <v>JS4550</v>
      </c>
      <c r="C197" s="193" t="str">
        <f>'Reference Score Calculation'!D174</f>
        <v>生物醫學</v>
      </c>
      <c r="D197" s="193"/>
      <c r="E197" s="193" t="str">
        <f>'Reference Score Calculation'!E174</f>
        <v>4C2X</v>
      </c>
      <c r="F197" s="95"/>
      <c r="G197" s="95" t="str">
        <f>入學要求!AB183</f>
        <v>v</v>
      </c>
      <c r="H197" s="95" t="str">
        <f>入學要求!AC183</f>
        <v>NO</v>
      </c>
      <c r="I197" s="95" t="str">
        <f>入學要求!AD183</f>
        <v>NO</v>
      </c>
      <c r="J197" s="193">
        <f t="shared" si="295"/>
        <v>2.6000000000000001E-9</v>
      </c>
      <c r="K197" s="193">
        <v>1</v>
      </c>
      <c r="L197" s="193">
        <v>1</v>
      </c>
      <c r="M197" s="193">
        <v>1</v>
      </c>
      <c r="N197" s="193">
        <v>1</v>
      </c>
      <c r="O197" s="193">
        <v>1</v>
      </c>
      <c r="P197" s="193">
        <v>1</v>
      </c>
      <c r="Q197" s="193">
        <v>1</v>
      </c>
      <c r="R197" s="193">
        <v>1</v>
      </c>
      <c r="S197" s="193">
        <v>1</v>
      </c>
      <c r="T197" s="193">
        <v>1</v>
      </c>
      <c r="U197" s="95"/>
      <c r="V197" s="142">
        <f t="shared" si="324"/>
        <v>4.0000000000000001E-10</v>
      </c>
      <c r="W197" s="142">
        <f t="shared" si="325"/>
        <v>2.0000000000000001E-10</v>
      </c>
      <c r="X197" s="142">
        <f t="shared" si="326"/>
        <v>3E-10</v>
      </c>
      <c r="Y197" s="142">
        <f t="shared" si="327"/>
        <v>0</v>
      </c>
      <c r="Z197" s="142">
        <f t="shared" si="328"/>
        <v>5.0000000000000003E-10</v>
      </c>
      <c r="AA197" s="142">
        <f t="shared" si="329"/>
        <v>6E-10</v>
      </c>
      <c r="AB197" s="142">
        <f t="shared" si="330"/>
        <v>6.9999999999999996E-10</v>
      </c>
      <c r="AC197" s="142">
        <f t="shared" si="331"/>
        <v>8.0000000000000003E-10</v>
      </c>
      <c r="AD197" s="142">
        <f t="shared" si="332"/>
        <v>8.9999999999999999E-10</v>
      </c>
      <c r="AE197" s="142">
        <f t="shared" si="318"/>
        <v>0</v>
      </c>
      <c r="AF197" s="142" t="b">
        <f t="shared" si="333"/>
        <v>1</v>
      </c>
      <c r="AG197" s="142" t="b">
        <f t="shared" si="334"/>
        <v>1</v>
      </c>
      <c r="AH197" s="142" t="b">
        <f t="shared" si="335"/>
        <v>1</v>
      </c>
      <c r="AI197" s="142" t="b">
        <f t="shared" si="336"/>
        <v>1</v>
      </c>
      <c r="AJ197" s="142" t="b">
        <f t="shared" si="337"/>
        <v>0</v>
      </c>
      <c r="AK197" s="142" t="b">
        <f t="shared" si="338"/>
        <v>0</v>
      </c>
      <c r="AL197" s="142" t="b">
        <f t="shared" si="339"/>
        <v>0</v>
      </c>
      <c r="AM197" s="142" t="b">
        <f t="shared" si="340"/>
        <v>1</v>
      </c>
      <c r="AN197" s="142" t="b">
        <f t="shared" si="341"/>
        <v>1</v>
      </c>
      <c r="AO197" s="142" t="b">
        <f t="shared" si="342"/>
        <v>0</v>
      </c>
      <c r="AP197" s="142" t="str">
        <f>'Reference Score Calculation'!AU174</f>
        <v>無</v>
      </c>
      <c r="AQ197" s="95" t="str">
        <f>'Reference Score Calculation'!M174</f>
        <v>/</v>
      </c>
      <c r="AR197" s="95"/>
      <c r="AS197" s="95"/>
      <c r="AT197" s="194"/>
      <c r="AU197" s="195"/>
      <c r="AV197" s="195"/>
      <c r="AW197" s="195"/>
      <c r="AX197" s="195"/>
      <c r="AY197" s="195"/>
      <c r="AZ197" s="195"/>
      <c r="BA197" s="195"/>
      <c r="BB197" s="195"/>
      <c r="BC197" s="196"/>
      <c r="BD197" s="196"/>
      <c r="BE197" s="196"/>
      <c r="BG197" s="95"/>
      <c r="BH197" s="95"/>
      <c r="BI197" s="95"/>
      <c r="BJ197" s="95"/>
      <c r="BK197" s="95"/>
    </row>
    <row r="198" spans="1:63" s="142" customFormat="1">
      <c r="A198" s="142" t="str">
        <f>'Reference Score Calculation'!A175</f>
        <v>JS4601</v>
      </c>
      <c r="B198" s="193" t="str">
        <f>'Reference Score Calculation'!A175</f>
        <v>JS4601</v>
      </c>
      <c r="C198" s="193" t="str">
        <f>'Reference Score Calculation'!D175</f>
        <v>理學</v>
      </c>
      <c r="D198" s="193"/>
      <c r="E198" s="193" t="str">
        <f>'Reference Score Calculation'!E175</f>
        <v>Best 5</v>
      </c>
      <c r="F198" s="95"/>
      <c r="G198" s="95" t="str">
        <f>入學要求!AB184</f>
        <v>v</v>
      </c>
      <c r="H198" s="95" t="str">
        <f>入學要求!AC184</f>
        <v>NO</v>
      </c>
      <c r="I198" s="95" t="str">
        <f>入學要求!AD184</f>
        <v>NO</v>
      </c>
      <c r="J198" s="193">
        <f t="shared" si="295"/>
        <v>3.3999999999999998E-9</v>
      </c>
      <c r="K198" s="193">
        <f>IF(K1=$AY$185,$AZ$185,IF(K1=$BA$185,$BB$185,IF(K1=$BC$185,$BD$185,1)))</f>
        <v>1.5</v>
      </c>
      <c r="L198" s="193">
        <f>IF(L1=$AY$185,$AZ$185,IF(L1=$BA$185,$BB$185,IF(L1=$BC$185,$BD$185,1)))</f>
        <v>1</v>
      </c>
      <c r="M198" s="193">
        <f>IF(M1=$AY$185,$AZ$185,IF(M1=$BA$185,$BB$185,IF(M1=$BC$185,$BD$185,1)))</f>
        <v>2</v>
      </c>
      <c r="N198" s="193">
        <v>0</v>
      </c>
      <c r="O198" s="193">
        <f t="shared" ref="O198:T198" si="343">IF(O1=$AY$185,$AZ$185,IF(O1=$BA$185,$BB$185,IF(O1=$BC$185,$BD$185,1)))</f>
        <v>2</v>
      </c>
      <c r="P198" s="193">
        <f t="shared" si="343"/>
        <v>1</v>
      </c>
      <c r="Q198" s="193">
        <f t="shared" si="343"/>
        <v>1</v>
      </c>
      <c r="R198" s="193">
        <f t="shared" si="343"/>
        <v>1</v>
      </c>
      <c r="S198" s="193">
        <f t="shared" si="343"/>
        <v>1</v>
      </c>
      <c r="T198" s="193">
        <f t="shared" si="343"/>
        <v>1</v>
      </c>
      <c r="U198" s="95"/>
      <c r="V198" s="142">
        <f t="shared" si="324"/>
        <v>6E-10</v>
      </c>
      <c r="W198" s="142">
        <f t="shared" si="325"/>
        <v>2.0000000000000001E-10</v>
      </c>
      <c r="X198" s="142">
        <f t="shared" si="326"/>
        <v>6E-10</v>
      </c>
      <c r="Y198" s="142">
        <f t="shared" si="327"/>
        <v>0</v>
      </c>
      <c r="Z198" s="142">
        <f t="shared" si="328"/>
        <v>1.0000000000000001E-9</v>
      </c>
      <c r="AA198" s="142">
        <f t="shared" si="329"/>
        <v>6E-10</v>
      </c>
      <c r="AB198" s="142">
        <f t="shared" si="330"/>
        <v>6.9999999999999996E-10</v>
      </c>
      <c r="AC198" s="142">
        <f t="shared" si="331"/>
        <v>8.0000000000000003E-10</v>
      </c>
      <c r="AD198" s="142">
        <f t="shared" si="332"/>
        <v>8.9999999999999999E-10</v>
      </c>
      <c r="AE198" s="142">
        <f t="shared" si="318"/>
        <v>0</v>
      </c>
      <c r="AF198" s="142" t="b">
        <f t="shared" si="333"/>
        <v>0</v>
      </c>
      <c r="AG198" s="142" t="b">
        <f t="shared" si="334"/>
        <v>0</v>
      </c>
      <c r="AH198" s="142" t="b">
        <f t="shared" si="335"/>
        <v>0</v>
      </c>
      <c r="AI198" s="142" t="b">
        <f t="shared" si="336"/>
        <v>0</v>
      </c>
      <c r="AJ198" s="142" t="b">
        <f t="shared" si="337"/>
        <v>1</v>
      </c>
      <c r="AK198" s="142" t="b">
        <f t="shared" si="338"/>
        <v>0</v>
      </c>
      <c r="AL198" s="142" t="b">
        <f t="shared" si="339"/>
        <v>1</v>
      </c>
      <c r="AM198" s="142" t="b">
        <f t="shared" si="340"/>
        <v>1</v>
      </c>
      <c r="AN198" s="142" t="b">
        <f t="shared" si="341"/>
        <v>1</v>
      </c>
      <c r="AO198" s="142" t="b">
        <f t="shared" si="342"/>
        <v>0</v>
      </c>
      <c r="AP198" s="142" t="str">
        <f>'Reference Score Calculation'!AU175</f>
        <v>無</v>
      </c>
      <c r="AQ198" s="95" t="str">
        <f>'Reference Score Calculation'!M175</f>
        <v>優先考慮修讀以下科目者:</v>
      </c>
      <c r="AR198" s="95"/>
      <c r="AS198" s="95"/>
      <c r="AT198" s="194"/>
      <c r="AU198" s="195"/>
      <c r="AV198" s="195"/>
      <c r="AW198" s="195"/>
      <c r="AX198" s="195"/>
      <c r="AY198" s="195"/>
      <c r="AZ198" s="195"/>
      <c r="BA198" s="195"/>
      <c r="BB198" s="195"/>
      <c r="BC198" s="196"/>
      <c r="BD198" s="196"/>
      <c r="BE198" s="196"/>
      <c r="BG198" s="95"/>
      <c r="BH198" s="95"/>
      <c r="BI198" s="95"/>
      <c r="BJ198" s="95"/>
      <c r="BK198" s="95"/>
    </row>
    <row r="199" spans="1:63" s="142" customFormat="1">
      <c r="A199" s="142" t="str">
        <f>'Reference Score Calculation'!A176</f>
        <v>JS4648</v>
      </c>
      <c r="B199" s="193" t="str">
        <f>'Reference Score Calculation'!A176</f>
        <v>JS4648</v>
      </c>
      <c r="C199" s="193" t="str">
        <f>'Reference Score Calculation'!D176</f>
        <v>地球與環境科學</v>
      </c>
      <c r="D199" s="193"/>
      <c r="E199" s="193" t="str">
        <f>'Reference Score Calculation'!E176</f>
        <v>Best 5</v>
      </c>
      <c r="F199" s="95"/>
      <c r="G199" s="95" t="str">
        <f>入學要求!AB185</f>
        <v>v</v>
      </c>
      <c r="H199" s="95" t="str">
        <f>入學要求!AC185</f>
        <v>NO</v>
      </c>
      <c r="I199" s="95" t="str">
        <f>入學要求!AD185</f>
        <v>NO</v>
      </c>
      <c r="J199" s="193">
        <f t="shared" si="295"/>
        <v>3.3999999999999998E-9</v>
      </c>
      <c r="K199" s="193">
        <v>1</v>
      </c>
      <c r="L199" s="193">
        <v>2</v>
      </c>
      <c r="M199" s="193">
        <v>2</v>
      </c>
      <c r="N199" s="193">
        <v>0</v>
      </c>
      <c r="O199" s="193">
        <v>2</v>
      </c>
      <c r="P199" s="193">
        <f>IF(OR(P1="物理",P1="生物",P1="化學",P1="地理"),2,1)</f>
        <v>1</v>
      </c>
      <c r="Q199" s="193">
        <f>IF(OR(Q1="物理",Q1="生物",Q1="化學",Q1="地理"),2,1)</f>
        <v>1</v>
      </c>
      <c r="R199" s="193">
        <f>IF(OR(R1="物理",R1="生物",R1="化學",R1="地理"),2,1)</f>
        <v>1</v>
      </c>
      <c r="S199" s="193">
        <f>IF(OR(S1="物理",S1="生物",S1="化學",S1="地理"),2,1)</f>
        <v>1</v>
      </c>
      <c r="T199" s="193">
        <v>1</v>
      </c>
      <c r="U199" s="95"/>
      <c r="V199" s="142">
        <f t="shared" si="324"/>
        <v>4.0000000000000001E-10</v>
      </c>
      <c r="W199" s="142">
        <f t="shared" si="325"/>
        <v>4.0000000000000001E-10</v>
      </c>
      <c r="X199" s="142">
        <f t="shared" si="326"/>
        <v>6E-10</v>
      </c>
      <c r="Y199" s="142">
        <f t="shared" si="327"/>
        <v>0</v>
      </c>
      <c r="Z199" s="142">
        <f t="shared" si="328"/>
        <v>1.0000000000000001E-9</v>
      </c>
      <c r="AA199" s="142">
        <f t="shared" si="329"/>
        <v>6E-10</v>
      </c>
      <c r="AB199" s="142">
        <f t="shared" si="330"/>
        <v>6.9999999999999996E-10</v>
      </c>
      <c r="AC199" s="142">
        <f t="shared" si="331"/>
        <v>8.0000000000000003E-10</v>
      </c>
      <c r="AD199" s="142">
        <f t="shared" si="332"/>
        <v>8.9999999999999999E-10</v>
      </c>
      <c r="AE199" s="142">
        <f t="shared" si="318"/>
        <v>0</v>
      </c>
      <c r="AF199" s="142" t="b">
        <f t="shared" si="333"/>
        <v>0</v>
      </c>
      <c r="AG199" s="142" t="b">
        <f t="shared" si="334"/>
        <v>0</v>
      </c>
      <c r="AH199" s="142" t="b">
        <f t="shared" si="335"/>
        <v>0</v>
      </c>
      <c r="AI199" s="142" t="b">
        <f t="shared" si="336"/>
        <v>0</v>
      </c>
      <c r="AJ199" s="142" t="b">
        <f t="shared" si="337"/>
        <v>1</v>
      </c>
      <c r="AK199" s="142" t="b">
        <f t="shared" si="338"/>
        <v>0</v>
      </c>
      <c r="AL199" s="142" t="b">
        <f t="shared" si="339"/>
        <v>1</v>
      </c>
      <c r="AM199" s="142" t="b">
        <f t="shared" si="340"/>
        <v>1</v>
      </c>
      <c r="AN199" s="142" t="b">
        <f t="shared" si="341"/>
        <v>1</v>
      </c>
      <c r="AO199" s="142" t="b">
        <f t="shared" si="342"/>
        <v>0</v>
      </c>
      <c r="AP199" s="142" t="str">
        <f>'Reference Score Calculation'!AU176</f>
        <v>無</v>
      </c>
      <c r="AQ199" s="95" t="str">
        <f>'Reference Score Calculation'!M176</f>
        <v>/</v>
      </c>
      <c r="AR199" s="95"/>
      <c r="AS199" s="95"/>
      <c r="AT199" s="194"/>
      <c r="AU199" s="195"/>
      <c r="AV199" s="195"/>
      <c r="AW199" s="195"/>
      <c r="AX199" s="195"/>
      <c r="AY199" s="195"/>
      <c r="AZ199" s="195"/>
      <c r="BA199" s="195"/>
      <c r="BB199" s="195"/>
      <c r="BC199" s="196"/>
      <c r="BD199" s="196"/>
      <c r="BE199" s="196"/>
      <c r="BG199" s="95"/>
      <c r="BH199" s="95"/>
      <c r="BI199" s="95"/>
      <c r="BJ199" s="95"/>
      <c r="BK199" s="95"/>
    </row>
    <row r="200" spans="1:63" s="142" customFormat="1" ht="13.95" customHeight="1">
      <c r="A200" s="142" t="str">
        <f>'Reference Score Calculation'!A177</f>
        <v>JS4682</v>
      </c>
      <c r="B200" s="193" t="str">
        <f>'Reference Score Calculation'!A177</f>
        <v>JS4682</v>
      </c>
      <c r="C200" s="193" t="str">
        <f>'Reference Score Calculation'!D177</f>
        <v>數學精研</v>
      </c>
      <c r="D200" s="193"/>
      <c r="E200" s="193" t="str">
        <f>'Reference Score Calculation'!E177</f>
        <v>Best 5</v>
      </c>
      <c r="F200" s="95"/>
      <c r="G200" s="95" t="str">
        <f>入學要求!AB186</f>
        <v>v</v>
      </c>
      <c r="H200" s="95" t="str">
        <f>入學要求!AC186</f>
        <v>E</v>
      </c>
      <c r="I200" s="95" t="str">
        <f>入學要求!AD186</f>
        <v>NO</v>
      </c>
      <c r="J200" s="193">
        <f t="shared" si="295"/>
        <v>5.1000000000000002E-9</v>
      </c>
      <c r="K200" s="193">
        <v>1</v>
      </c>
      <c r="L200" s="193">
        <v>1</v>
      </c>
      <c r="M200" s="193">
        <v>1</v>
      </c>
      <c r="N200" s="193">
        <v>0</v>
      </c>
      <c r="O200" s="193">
        <v>3.5</v>
      </c>
      <c r="P200" s="193">
        <v>1</v>
      </c>
      <c r="Q200" s="193">
        <v>1</v>
      </c>
      <c r="R200" s="193">
        <v>1</v>
      </c>
      <c r="S200" s="193">
        <v>1</v>
      </c>
      <c r="T200" s="193">
        <v>1</v>
      </c>
      <c r="U200" s="95"/>
      <c r="V200" s="142">
        <f t="shared" si="324"/>
        <v>4.0000000000000001E-10</v>
      </c>
      <c r="W200" s="142">
        <f t="shared" si="325"/>
        <v>2.0000000000000001E-10</v>
      </c>
      <c r="X200" s="142">
        <f t="shared" si="326"/>
        <v>3E-10</v>
      </c>
      <c r="Y200" s="142">
        <f t="shared" si="327"/>
        <v>0</v>
      </c>
      <c r="Z200" s="142">
        <f t="shared" si="328"/>
        <v>1.7500000000000002E-9</v>
      </c>
      <c r="AA200" s="142">
        <f t="shared" si="329"/>
        <v>6E-10</v>
      </c>
      <c r="AB200" s="142">
        <f t="shared" si="330"/>
        <v>6.9999999999999996E-10</v>
      </c>
      <c r="AC200" s="142">
        <f t="shared" si="331"/>
        <v>8.0000000000000003E-10</v>
      </c>
      <c r="AD200" s="142">
        <f t="shared" si="332"/>
        <v>8.9999999999999999E-10</v>
      </c>
      <c r="AE200" s="142">
        <f t="shared" si="318"/>
        <v>9.5000000000000003E-10</v>
      </c>
      <c r="AF200" s="142" t="b">
        <f t="shared" si="333"/>
        <v>0</v>
      </c>
      <c r="AG200" s="142" t="b">
        <f t="shared" si="334"/>
        <v>0</v>
      </c>
      <c r="AH200" s="142" t="b">
        <f t="shared" si="335"/>
        <v>0</v>
      </c>
      <c r="AI200" s="142" t="b">
        <f t="shared" si="336"/>
        <v>0</v>
      </c>
      <c r="AJ200" s="142" t="b">
        <f t="shared" si="337"/>
        <v>1</v>
      </c>
      <c r="AK200" s="142" t="b">
        <f t="shared" si="338"/>
        <v>0</v>
      </c>
      <c r="AL200" s="142" t="b">
        <f t="shared" si="339"/>
        <v>1</v>
      </c>
      <c r="AM200" s="142" t="b">
        <f t="shared" si="340"/>
        <v>1</v>
      </c>
      <c r="AN200" s="142" t="b">
        <f t="shared" si="341"/>
        <v>1</v>
      </c>
      <c r="AO200" s="142" t="b">
        <f t="shared" si="342"/>
        <v>1</v>
      </c>
      <c r="AP200" s="142" t="str">
        <f>'Reference Score Calculation'!AU177</f>
        <v>無</v>
      </c>
      <c r="AQ200" s="95" t="str">
        <f>'Reference Score Calculation'!M177</f>
        <v>優先考慮 M1/2 成績優異者</v>
      </c>
      <c r="AR200" s="95"/>
      <c r="AS200" s="95"/>
      <c r="BG200" s="95"/>
      <c r="BH200" s="95"/>
      <c r="BI200" s="197"/>
      <c r="BJ200" s="95"/>
      <c r="BK200" s="95"/>
    </row>
    <row r="201" spans="1:63">
      <c r="A201" s="142" t="str">
        <f>'Reference Score Calculation'!A178</f>
        <v>JS4690</v>
      </c>
      <c r="B201" s="193" t="str">
        <f>'Reference Score Calculation'!A178</f>
        <v>JS4690</v>
      </c>
      <c r="C201" s="193" t="str">
        <f>'Reference Score Calculation'!D178</f>
        <v>理論物理精研</v>
      </c>
      <c r="D201" s="193"/>
      <c r="E201" s="193" t="str">
        <f>'Reference Score Calculation'!E178</f>
        <v>Best 5</v>
      </c>
      <c r="F201" s="95"/>
      <c r="G201" s="95" t="str">
        <f>入學要求!AB187</f>
        <v>v</v>
      </c>
      <c r="H201" s="95" t="str">
        <f>入學要求!AC187</f>
        <v>E</v>
      </c>
      <c r="I201" s="95" t="str">
        <f>入學要求!AD187</f>
        <v>NO</v>
      </c>
      <c r="J201" s="193">
        <f t="shared" si="295"/>
        <v>4.1000000000000003E-9</v>
      </c>
      <c r="K201" s="193">
        <v>1</v>
      </c>
      <c r="L201" s="193">
        <v>1</v>
      </c>
      <c r="M201" s="193">
        <v>1.5</v>
      </c>
      <c r="N201" s="193">
        <v>0</v>
      </c>
      <c r="O201" s="193">
        <v>1.5</v>
      </c>
      <c r="P201" s="193">
        <f>IF(P1="物理",2,1)</f>
        <v>1</v>
      </c>
      <c r="Q201" s="193">
        <f>IF(Q1="物理",2,1)</f>
        <v>1</v>
      </c>
      <c r="R201" s="193">
        <f>IF(R1="物理",2,1)</f>
        <v>1</v>
      </c>
      <c r="S201" s="193">
        <f>IF(S1="物理",2,1)</f>
        <v>1</v>
      </c>
      <c r="T201" s="193">
        <f>IF(T1="物理",1.5,1)</f>
        <v>1</v>
      </c>
      <c r="U201" s="95"/>
      <c r="V201" s="142">
        <f t="shared" si="324"/>
        <v>4.0000000000000001E-10</v>
      </c>
      <c r="W201" s="142">
        <f t="shared" si="325"/>
        <v>2.0000000000000001E-10</v>
      </c>
      <c r="X201" s="142">
        <f t="shared" si="326"/>
        <v>4.5E-10</v>
      </c>
      <c r="Y201" s="142">
        <f t="shared" si="327"/>
        <v>0</v>
      </c>
      <c r="Z201" s="142">
        <f t="shared" si="328"/>
        <v>7.500000000000001E-10</v>
      </c>
      <c r="AA201" s="142">
        <f t="shared" si="329"/>
        <v>6E-10</v>
      </c>
      <c r="AB201" s="142">
        <f t="shared" si="330"/>
        <v>6.9999999999999996E-10</v>
      </c>
      <c r="AC201" s="142">
        <f t="shared" si="331"/>
        <v>8.0000000000000003E-10</v>
      </c>
      <c r="AD201" s="142">
        <f t="shared" si="332"/>
        <v>8.9999999999999999E-10</v>
      </c>
      <c r="AE201" s="142">
        <f t="shared" si="318"/>
        <v>9.5000000000000003E-10</v>
      </c>
      <c r="AF201" s="142" t="b">
        <f t="shared" si="333"/>
        <v>0</v>
      </c>
      <c r="AG201" s="142" t="b">
        <f t="shared" si="334"/>
        <v>0</v>
      </c>
      <c r="AH201" s="142" t="b">
        <f t="shared" si="335"/>
        <v>0</v>
      </c>
      <c r="AI201" s="142" t="b">
        <f t="shared" si="336"/>
        <v>0</v>
      </c>
      <c r="AJ201" s="142" t="b">
        <f t="shared" si="337"/>
        <v>1</v>
      </c>
      <c r="AK201" s="142" t="b">
        <f t="shared" si="338"/>
        <v>0</v>
      </c>
      <c r="AL201" s="142" t="b">
        <f t="shared" si="339"/>
        <v>1</v>
      </c>
      <c r="AM201" s="142" t="b">
        <f t="shared" si="340"/>
        <v>1</v>
      </c>
      <c r="AN201" s="142" t="b">
        <f t="shared" si="341"/>
        <v>1</v>
      </c>
      <c r="AO201" s="142" t="b">
        <f t="shared" si="342"/>
        <v>1</v>
      </c>
      <c r="AP201" s="142" t="str">
        <f>'Reference Score Calculation'!AU178</f>
        <v>無</v>
      </c>
      <c r="AQ201" s="95" t="str">
        <f>'Reference Score Calculation'!M178</f>
        <v>優先考慮修讀  M1/2 者</v>
      </c>
      <c r="AR201" s="95"/>
      <c r="AS201" s="95"/>
      <c r="BG201" s="2"/>
      <c r="BH201" s="2"/>
      <c r="BI201" s="2"/>
      <c r="BJ201" s="2"/>
      <c r="BK201" s="2"/>
    </row>
    <row r="202" spans="1:63">
      <c r="A202" s="142" t="str">
        <f>'Reference Score Calculation'!A179</f>
        <v>JS4719</v>
      </c>
      <c r="B202" s="193" t="str">
        <f>'Reference Score Calculation'!A179</f>
        <v>JS4719</v>
      </c>
      <c r="C202" s="193" t="str">
        <f>'Reference Score Calculation'!D179</f>
        <v>風險管理科學</v>
      </c>
      <c r="D202" s="193"/>
      <c r="E202" s="193" t="str">
        <f>'Reference Score Calculation'!E179</f>
        <v>Best 5</v>
      </c>
      <c r="F202" s="95"/>
      <c r="G202" s="95" t="str">
        <f>入學要求!AB188</f>
        <v>v</v>
      </c>
      <c r="H202" s="95" t="str">
        <f>入學要求!AC188</f>
        <v>E</v>
      </c>
      <c r="I202" s="95" t="str">
        <f>入學要求!AD188</f>
        <v>NO</v>
      </c>
      <c r="J202" s="193">
        <f t="shared" si="295"/>
        <v>4.3500000000000001E-9</v>
      </c>
      <c r="K202" s="193">
        <v>1</v>
      </c>
      <c r="L202" s="193">
        <v>1</v>
      </c>
      <c r="M202" s="193">
        <v>2</v>
      </c>
      <c r="N202" s="193">
        <v>0</v>
      </c>
      <c r="O202" s="193">
        <v>2</v>
      </c>
      <c r="P202" s="193">
        <v>1</v>
      </c>
      <c r="Q202" s="193">
        <v>1</v>
      </c>
      <c r="R202" s="193">
        <v>1</v>
      </c>
      <c r="S202" s="193">
        <v>1</v>
      </c>
      <c r="T202" s="193">
        <v>1</v>
      </c>
      <c r="U202" s="95"/>
      <c r="V202" s="142">
        <f t="shared" si="324"/>
        <v>4.0000000000000001E-10</v>
      </c>
      <c r="W202" s="142">
        <f t="shared" si="325"/>
        <v>2.0000000000000001E-10</v>
      </c>
      <c r="X202" s="142">
        <f t="shared" si="326"/>
        <v>6E-10</v>
      </c>
      <c r="Y202" s="142">
        <f t="shared" si="327"/>
        <v>0</v>
      </c>
      <c r="Z202" s="142">
        <f t="shared" si="328"/>
        <v>1.0000000000000001E-9</v>
      </c>
      <c r="AA202" s="142">
        <f t="shared" si="329"/>
        <v>6E-10</v>
      </c>
      <c r="AB202" s="142">
        <f t="shared" si="330"/>
        <v>6.9999999999999996E-10</v>
      </c>
      <c r="AC202" s="142">
        <f t="shared" si="331"/>
        <v>8.0000000000000003E-10</v>
      </c>
      <c r="AD202" s="142">
        <f t="shared" si="332"/>
        <v>8.9999999999999999E-10</v>
      </c>
      <c r="AE202" s="142">
        <f t="shared" si="318"/>
        <v>9.5000000000000003E-10</v>
      </c>
      <c r="AF202" s="142" t="b">
        <f t="shared" si="333"/>
        <v>0</v>
      </c>
      <c r="AG202" s="142" t="b">
        <f t="shared" si="334"/>
        <v>0</v>
      </c>
      <c r="AH202" s="142" t="b">
        <f t="shared" si="335"/>
        <v>0</v>
      </c>
      <c r="AI202" s="142" t="b">
        <f t="shared" si="336"/>
        <v>0</v>
      </c>
      <c r="AJ202" s="142" t="b">
        <f t="shared" si="337"/>
        <v>1</v>
      </c>
      <c r="AK202" s="142" t="b">
        <f t="shared" si="338"/>
        <v>0</v>
      </c>
      <c r="AL202" s="142" t="b">
        <f t="shared" si="339"/>
        <v>1</v>
      </c>
      <c r="AM202" s="142" t="b">
        <f t="shared" si="340"/>
        <v>1</v>
      </c>
      <c r="AN202" s="142" t="b">
        <f t="shared" si="341"/>
        <v>1</v>
      </c>
      <c r="AO202" s="142" t="b">
        <f t="shared" si="342"/>
        <v>1</v>
      </c>
      <c r="AP202" s="142" t="str">
        <f>'Reference Score Calculation'!AU179</f>
        <v>無</v>
      </c>
      <c r="AQ202" s="95" t="str">
        <f>'Reference Score Calculation'!M179</f>
        <v>/</v>
      </c>
      <c r="AR202" s="95"/>
      <c r="AS202" s="95"/>
      <c r="BG202" s="2"/>
      <c r="BH202" s="2"/>
      <c r="BI202" s="2"/>
      <c r="BJ202" s="2"/>
      <c r="BK202" s="2"/>
    </row>
    <row r="203" spans="1:63">
      <c r="A203" s="142" t="str">
        <f>'Reference Score Calculation'!A180</f>
        <v>JS4725</v>
      </c>
      <c r="B203" s="193" t="str">
        <f>'Reference Score Calculation'!A180</f>
        <v>JS4725</v>
      </c>
      <c r="C203" s="193" t="str">
        <f>'Reference Score Calculation'!D180</f>
        <v>生物科技、創業與醫療管理</v>
      </c>
      <c r="D203" s="193"/>
      <c r="E203" s="193" t="str">
        <f>'Reference Score Calculation'!E180</f>
        <v>Best 5</v>
      </c>
      <c r="F203" s="95"/>
      <c r="G203" s="95" t="str">
        <f>入學要求!AB189</f>
        <v>v</v>
      </c>
      <c r="H203" s="95" t="str">
        <f>入學要求!AC189</f>
        <v>E</v>
      </c>
      <c r="I203" s="95" t="str">
        <f>入學要求!AD189</f>
        <v>NO</v>
      </c>
      <c r="J203" s="193">
        <f t="shared" si="295"/>
        <v>3.9500000000000006E-9</v>
      </c>
      <c r="K203" s="193">
        <v>1</v>
      </c>
      <c r="L203" s="193">
        <v>1</v>
      </c>
      <c r="M203" s="193">
        <v>1</v>
      </c>
      <c r="N203" s="193">
        <v>0</v>
      </c>
      <c r="O203" s="193">
        <v>1</v>
      </c>
      <c r="P203" s="193">
        <v>1</v>
      </c>
      <c r="Q203" s="193">
        <v>1</v>
      </c>
      <c r="R203" s="193">
        <v>1</v>
      </c>
      <c r="S203" s="193">
        <v>1</v>
      </c>
      <c r="T203" s="193">
        <v>1</v>
      </c>
      <c r="U203" s="95"/>
      <c r="V203" s="142">
        <f t="shared" si="324"/>
        <v>4.0000000000000001E-10</v>
      </c>
      <c r="W203" s="142">
        <f t="shared" si="325"/>
        <v>2.0000000000000001E-10</v>
      </c>
      <c r="X203" s="142">
        <f t="shared" si="326"/>
        <v>3E-10</v>
      </c>
      <c r="Y203" s="142">
        <f t="shared" si="327"/>
        <v>0</v>
      </c>
      <c r="Z203" s="142">
        <f t="shared" si="328"/>
        <v>5.0000000000000003E-10</v>
      </c>
      <c r="AA203" s="142">
        <f t="shared" si="329"/>
        <v>6E-10</v>
      </c>
      <c r="AB203" s="142">
        <f t="shared" si="330"/>
        <v>6.9999999999999996E-10</v>
      </c>
      <c r="AC203" s="142">
        <f t="shared" si="331"/>
        <v>8.0000000000000003E-10</v>
      </c>
      <c r="AD203" s="142">
        <f t="shared" si="332"/>
        <v>8.9999999999999999E-10</v>
      </c>
      <c r="AE203" s="142">
        <f t="shared" si="318"/>
        <v>9.5000000000000003E-10</v>
      </c>
      <c r="AF203" s="142" t="b">
        <f t="shared" si="333"/>
        <v>0</v>
      </c>
      <c r="AG203" s="142" t="b">
        <f t="shared" si="334"/>
        <v>0</v>
      </c>
      <c r="AH203" s="142" t="b">
        <f t="shared" si="335"/>
        <v>0</v>
      </c>
      <c r="AI203" s="142" t="b">
        <f t="shared" si="336"/>
        <v>0</v>
      </c>
      <c r="AJ203" s="142" t="b">
        <f t="shared" si="337"/>
        <v>0</v>
      </c>
      <c r="AK203" s="142" t="b">
        <f t="shared" si="338"/>
        <v>1</v>
      </c>
      <c r="AL203" s="142" t="b">
        <f t="shared" si="339"/>
        <v>1</v>
      </c>
      <c r="AM203" s="142" t="b">
        <f t="shared" si="340"/>
        <v>1</v>
      </c>
      <c r="AN203" s="142" t="b">
        <f t="shared" si="341"/>
        <v>1</v>
      </c>
      <c r="AO203" s="142" t="b">
        <f t="shared" si="342"/>
        <v>1</v>
      </c>
      <c r="AP203" s="142" t="str">
        <f>'Reference Score Calculation'!AU180</f>
        <v>無</v>
      </c>
      <c r="AQ203" s="95" t="str">
        <f>'Reference Score Calculation'!M180</f>
        <v>/</v>
      </c>
      <c r="AR203" s="95"/>
      <c r="AS203" s="95"/>
      <c r="BG203" s="2"/>
      <c r="BH203" s="2"/>
      <c r="BI203" s="2"/>
      <c r="BJ203" s="2"/>
      <c r="BK203" s="2"/>
    </row>
    <row r="204" spans="1:63">
      <c r="A204" s="142" t="str">
        <f>'Reference Score Calculation'!A181</f>
        <v>JS4733</v>
      </c>
      <c r="B204" s="193" t="str">
        <f>'Reference Score Calculation'!A181</f>
        <v>JS4733</v>
      </c>
      <c r="C204" s="193" t="str">
        <f>'Reference Score Calculation'!D181</f>
        <v>數學與信息工程學</v>
      </c>
      <c r="D204" s="193"/>
      <c r="E204" s="193" t="str">
        <f>'Reference Score Calculation'!E181</f>
        <v>4C2X</v>
      </c>
      <c r="F204" s="95"/>
      <c r="G204" s="95" t="str">
        <f>入學要求!AB190</f>
        <v>v</v>
      </c>
      <c r="H204" s="95" t="str">
        <f>入學要求!AC190</f>
        <v>E</v>
      </c>
      <c r="I204" s="95" t="str">
        <f>入學要求!AD190</f>
        <v>NO</v>
      </c>
      <c r="J204" s="193">
        <f t="shared" si="295"/>
        <v>3.05E-9</v>
      </c>
      <c r="K204" s="193">
        <v>1</v>
      </c>
      <c r="L204" s="193">
        <v>1</v>
      </c>
      <c r="M204" s="193">
        <v>2</v>
      </c>
      <c r="N204" s="193">
        <v>0.5</v>
      </c>
      <c r="O204" s="193">
        <v>1.75</v>
      </c>
      <c r="P204" s="193">
        <f>IF(OR(P1="物理",P1="生物",P1="化學",P1="資訊及通訊科技"),1.5,1)</f>
        <v>1</v>
      </c>
      <c r="Q204" s="193">
        <f>IF(OR(Q1="物理",Q1="生物",Q1="化學",Q1="資訊及通訊科技"),1.5,1)</f>
        <v>1</v>
      </c>
      <c r="R204" s="193">
        <f>IF(OR(R1="物理",R1="生物",R1="化學",R1="資訊及通訊科技"),1.5,1)</f>
        <v>1</v>
      </c>
      <c r="S204" s="193">
        <f>IF(OR(S1="物理",S1="生物",S1="化學",S1="資訊及通訊科技"),1.5,1)</f>
        <v>1</v>
      </c>
      <c r="T204" s="193">
        <v>1</v>
      </c>
      <c r="U204" s="95"/>
      <c r="V204" s="142">
        <f t="shared" si="324"/>
        <v>4.0000000000000001E-10</v>
      </c>
      <c r="W204" s="142">
        <f t="shared" si="325"/>
        <v>2.0000000000000001E-10</v>
      </c>
      <c r="X204" s="142">
        <f t="shared" si="326"/>
        <v>6E-10</v>
      </c>
      <c r="Y204" s="142">
        <f t="shared" si="327"/>
        <v>0</v>
      </c>
      <c r="Z204" s="142">
        <f t="shared" si="328"/>
        <v>8.7500000000000008E-10</v>
      </c>
      <c r="AA204" s="142">
        <f t="shared" si="329"/>
        <v>6E-10</v>
      </c>
      <c r="AB204" s="142">
        <f t="shared" si="330"/>
        <v>6.9999999999999996E-10</v>
      </c>
      <c r="AC204" s="142">
        <f t="shared" si="331"/>
        <v>8.0000000000000003E-10</v>
      </c>
      <c r="AD204" s="142">
        <f t="shared" si="332"/>
        <v>8.9999999999999999E-10</v>
      </c>
      <c r="AE204" s="142">
        <f t="shared" si="318"/>
        <v>9.5000000000000003E-10</v>
      </c>
      <c r="AF204" s="142" t="b">
        <f t="shared" si="333"/>
        <v>1</v>
      </c>
      <c r="AG204" s="142" t="b">
        <f t="shared" si="334"/>
        <v>1</v>
      </c>
      <c r="AH204" s="142" t="b">
        <f t="shared" si="335"/>
        <v>1</v>
      </c>
      <c r="AI204" s="142" t="b">
        <f t="shared" si="336"/>
        <v>1</v>
      </c>
      <c r="AJ204" s="142" t="b">
        <f t="shared" si="337"/>
        <v>0</v>
      </c>
      <c r="AK204" s="142" t="b">
        <f t="shared" si="338"/>
        <v>0</v>
      </c>
      <c r="AL204" s="142" t="b">
        <f t="shared" si="339"/>
        <v>0</v>
      </c>
      <c r="AM204" s="142" t="b">
        <f t="shared" si="340"/>
        <v>0</v>
      </c>
      <c r="AN204" s="142" t="b">
        <f t="shared" si="341"/>
        <v>1</v>
      </c>
      <c r="AO204" s="142" t="b">
        <f t="shared" si="342"/>
        <v>1</v>
      </c>
      <c r="AP204" s="142" t="str">
        <f>'Reference Score Calculation'!AU181</f>
        <v>無</v>
      </c>
      <c r="AQ204" s="95" t="str">
        <f>'Reference Score Calculation'!M181</f>
        <v>優先考慮修讀以下科目者:</v>
      </c>
      <c r="AR204" s="95"/>
      <c r="AS204" s="95"/>
      <c r="BG204" s="2"/>
      <c r="BH204" s="2"/>
      <c r="BI204" s="2"/>
      <c r="BJ204" s="2"/>
      <c r="BK204" s="2"/>
    </row>
    <row r="205" spans="1:63">
      <c r="A205" s="142" t="str">
        <f>'Reference Score Calculation'!A182</f>
        <v>JS4750</v>
      </c>
      <c r="B205" s="193" t="str">
        <f>'Reference Score Calculation'!A182</f>
        <v>JS4750</v>
      </c>
      <c r="C205" s="193" t="str">
        <f>'Reference Score Calculation'!D182</f>
        <v>航天科學與地球信息學＋Ｘ雙主修課程</v>
      </c>
      <c r="D205" s="193"/>
      <c r="E205" s="193" t="str">
        <f>'Reference Score Calculation'!E182</f>
        <v>24年新科目</v>
      </c>
      <c r="F205" s="95"/>
      <c r="G205" s="95" t="str">
        <f>入學要求!AB191</f>
        <v>v</v>
      </c>
      <c r="H205" s="95" t="str">
        <f>入學要求!AC191</f>
        <v>E</v>
      </c>
      <c r="I205" s="95" t="str">
        <f>入學要求!AD191</f>
        <v>NO</v>
      </c>
      <c r="J205" s="193">
        <f t="shared" ref="J205" si="344">SUMIF(AF205:AO205,TRUE,V205:AE205)</f>
        <v>0</v>
      </c>
      <c r="K205" s="193">
        <v>1</v>
      </c>
      <c r="L205" s="193">
        <v>1</v>
      </c>
      <c r="M205" s="193">
        <v>1.5</v>
      </c>
      <c r="N205" s="193">
        <v>0</v>
      </c>
      <c r="O205" s="193">
        <v>2</v>
      </c>
      <c r="P205" s="193">
        <f>IF(OR(P1="物理",P1="地理"),2,1)</f>
        <v>1</v>
      </c>
      <c r="Q205" s="193">
        <f>IF(OR(Q1="物理",Q1="地理"),2,1)</f>
        <v>1</v>
      </c>
      <c r="R205" s="193">
        <f>IF(OR(R1="物理",R1="地理"),2,1)</f>
        <v>1</v>
      </c>
      <c r="S205" s="193">
        <f>IF(OR(S1="物理",S1="地理"),2,1)</f>
        <v>1</v>
      </c>
      <c r="T205" s="193">
        <v>1</v>
      </c>
      <c r="U205" s="95"/>
      <c r="V205" s="142">
        <f t="shared" si="324"/>
        <v>4.0000000000000001E-10</v>
      </c>
      <c r="W205" s="142">
        <f t="shared" si="325"/>
        <v>2.0000000000000001E-10</v>
      </c>
      <c r="X205" s="142">
        <f t="shared" si="326"/>
        <v>4.5E-10</v>
      </c>
      <c r="Y205" s="142">
        <f t="shared" si="327"/>
        <v>0</v>
      </c>
      <c r="Z205" s="142">
        <f t="shared" si="328"/>
        <v>1.0000000000000001E-9</v>
      </c>
      <c r="AA205" s="142">
        <f t="shared" si="329"/>
        <v>6E-10</v>
      </c>
      <c r="AB205" s="142">
        <f t="shared" si="330"/>
        <v>6.9999999999999996E-10</v>
      </c>
      <c r="AC205" s="142">
        <f t="shared" si="331"/>
        <v>8.0000000000000003E-10</v>
      </c>
      <c r="AD205" s="142">
        <f t="shared" si="332"/>
        <v>8.9999999999999999E-10</v>
      </c>
      <c r="AE205" s="142">
        <f t="shared" si="318"/>
        <v>9.5000000000000003E-10</v>
      </c>
      <c r="AF205" s="142" t="b">
        <f t="shared" si="333"/>
        <v>0</v>
      </c>
      <c r="AG205" s="142" t="b">
        <f t="shared" si="334"/>
        <v>0</v>
      </c>
      <c r="AH205" s="142" t="b">
        <f t="shared" si="335"/>
        <v>0</v>
      </c>
      <c r="AI205" s="142" t="b">
        <f t="shared" si="336"/>
        <v>0</v>
      </c>
      <c r="AJ205" s="142" t="b">
        <f t="shared" si="337"/>
        <v>0</v>
      </c>
      <c r="AK205" s="142" t="b">
        <f t="shared" si="338"/>
        <v>0</v>
      </c>
      <c r="AL205" s="142" t="b">
        <f t="shared" si="339"/>
        <v>0</v>
      </c>
      <c r="AM205" s="142" t="b">
        <f t="shared" si="340"/>
        <v>0</v>
      </c>
      <c r="AN205" s="142" t="b">
        <f t="shared" si="341"/>
        <v>0</v>
      </c>
      <c r="AO205" s="142" t="b">
        <f t="shared" si="342"/>
        <v>0</v>
      </c>
      <c r="AP205" s="142"/>
      <c r="AQ205" s="95"/>
      <c r="AR205" s="95"/>
      <c r="AS205" s="95"/>
      <c r="BG205" s="2"/>
      <c r="BH205" s="2"/>
      <c r="BI205" s="2"/>
      <c r="BJ205" s="2"/>
      <c r="BK205" s="2"/>
    </row>
    <row r="206" spans="1:63">
      <c r="A206" s="142" t="str">
        <f>'Reference Score Calculation'!A183</f>
        <v>JS4760</v>
      </c>
      <c r="B206" s="193" t="str">
        <f>'Reference Score Calculation'!A183</f>
        <v>JS4760</v>
      </c>
      <c r="C206" s="193" t="str">
        <f>'Reference Score Calculation'!D183</f>
        <v>跨學科數據分析及Ｘ 理學士雙主修課程</v>
      </c>
      <c r="D206" s="193"/>
      <c r="E206" s="193" t="str">
        <f>'Reference Score Calculation'!E183</f>
        <v>Best 5</v>
      </c>
      <c r="F206" s="95"/>
      <c r="G206" s="95" t="str">
        <f>入學要求!AB192</f>
        <v>v</v>
      </c>
      <c r="H206" s="95" t="str">
        <f>入學要求!AC192</f>
        <v>E</v>
      </c>
      <c r="I206" s="95" t="str">
        <f>入學要求!AD192</f>
        <v>NO</v>
      </c>
      <c r="J206" s="193">
        <f t="shared" si="295"/>
        <v>3.9500000000000006E-9</v>
      </c>
      <c r="K206" s="193">
        <v>1</v>
      </c>
      <c r="L206" s="193">
        <v>1</v>
      </c>
      <c r="M206" s="193">
        <v>1.5</v>
      </c>
      <c r="N206" s="193">
        <v>0</v>
      </c>
      <c r="O206" s="193">
        <v>1</v>
      </c>
      <c r="P206" s="193">
        <v>1</v>
      </c>
      <c r="Q206" s="193">
        <v>1</v>
      </c>
      <c r="R206" s="193">
        <v>1</v>
      </c>
      <c r="S206" s="193">
        <v>1</v>
      </c>
      <c r="T206" s="193">
        <v>1</v>
      </c>
      <c r="U206" s="95"/>
      <c r="V206" s="142">
        <f t="shared" si="324"/>
        <v>4.0000000000000001E-10</v>
      </c>
      <c r="W206" s="142">
        <f t="shared" si="325"/>
        <v>2.0000000000000001E-10</v>
      </c>
      <c r="X206" s="142">
        <f t="shared" si="326"/>
        <v>4.5E-10</v>
      </c>
      <c r="Y206" s="142">
        <f t="shared" si="327"/>
        <v>0</v>
      </c>
      <c r="Z206" s="142">
        <f t="shared" si="328"/>
        <v>5.0000000000000003E-10</v>
      </c>
      <c r="AA206" s="142">
        <f t="shared" si="329"/>
        <v>6E-10</v>
      </c>
      <c r="AB206" s="142">
        <f t="shared" si="330"/>
        <v>6.9999999999999996E-10</v>
      </c>
      <c r="AC206" s="142">
        <f t="shared" si="331"/>
        <v>8.0000000000000003E-10</v>
      </c>
      <c r="AD206" s="142">
        <f t="shared" si="332"/>
        <v>8.9999999999999999E-10</v>
      </c>
      <c r="AE206" s="142">
        <f t="shared" si="318"/>
        <v>9.5000000000000003E-10</v>
      </c>
      <c r="AF206" s="142" t="b">
        <f t="shared" si="333"/>
        <v>0</v>
      </c>
      <c r="AG206" s="142" t="b">
        <f t="shared" si="334"/>
        <v>0</v>
      </c>
      <c r="AH206" s="142" t="b">
        <f t="shared" si="335"/>
        <v>0</v>
      </c>
      <c r="AI206" s="142" t="b">
        <f t="shared" si="336"/>
        <v>0</v>
      </c>
      <c r="AJ206" s="142" t="b">
        <f t="shared" si="337"/>
        <v>0</v>
      </c>
      <c r="AK206" s="142" t="b">
        <f t="shared" si="338"/>
        <v>1</v>
      </c>
      <c r="AL206" s="142" t="b">
        <f t="shared" si="339"/>
        <v>1</v>
      </c>
      <c r="AM206" s="142" t="b">
        <f t="shared" si="340"/>
        <v>1</v>
      </c>
      <c r="AN206" s="142" t="b">
        <f t="shared" si="341"/>
        <v>1</v>
      </c>
      <c r="AO206" s="142" t="b">
        <f t="shared" si="342"/>
        <v>1</v>
      </c>
      <c r="AP206" s="142" t="str">
        <f>'Reference Score Calculation'!AU183</f>
        <v>無</v>
      </c>
      <c r="AQ206" s="95" t="str">
        <f>'Reference Score Calculation'!M183</f>
        <v>/</v>
      </c>
      <c r="AR206" s="95"/>
      <c r="AS206" s="95"/>
      <c r="BG206" s="2"/>
      <c r="BH206" s="2"/>
      <c r="BI206" s="2"/>
      <c r="BJ206" s="2"/>
      <c r="BK206" s="2"/>
    </row>
    <row r="207" spans="1:63">
      <c r="A207" s="142" t="str">
        <f>'Reference Score Calculation'!A184</f>
        <v>JS4801</v>
      </c>
      <c r="B207" s="193" t="str">
        <f>'Reference Score Calculation'!A184</f>
        <v>JS4801</v>
      </c>
      <c r="C207" s="193" t="str">
        <f>'Reference Score Calculation'!D184</f>
        <v>社會科學</v>
      </c>
      <c r="D207" s="193"/>
      <c r="E207" s="193" t="str">
        <f>'Reference Score Calculation'!E184</f>
        <v>Best 5</v>
      </c>
      <c r="F207" s="95"/>
      <c r="G207" s="95" t="str">
        <f>入學要求!AB193</f>
        <v>v</v>
      </c>
      <c r="H207" s="95" t="str">
        <f>入學要求!AC193</f>
        <v>E</v>
      </c>
      <c r="I207" s="95" t="str">
        <f>入學要求!AD193</f>
        <v>NO</v>
      </c>
      <c r="J207" s="193">
        <f t="shared" si="295"/>
        <v>3.9500000000000006E-9</v>
      </c>
      <c r="K207" s="193">
        <v>1</v>
      </c>
      <c r="L207" s="193">
        <v>1.3</v>
      </c>
      <c r="M207" s="193">
        <v>1</v>
      </c>
      <c r="N207" s="193">
        <v>0</v>
      </c>
      <c r="O207" s="193">
        <v>1</v>
      </c>
      <c r="P207" s="193">
        <v>1</v>
      </c>
      <c r="Q207" s="193">
        <v>1</v>
      </c>
      <c r="R207" s="193">
        <v>1</v>
      </c>
      <c r="S207" s="193">
        <v>1</v>
      </c>
      <c r="T207" s="193">
        <v>1</v>
      </c>
      <c r="U207" s="95"/>
      <c r="V207" s="142">
        <f t="shared" si="324"/>
        <v>4.0000000000000001E-10</v>
      </c>
      <c r="W207" s="142">
        <f t="shared" si="325"/>
        <v>2.6000000000000003E-10</v>
      </c>
      <c r="X207" s="142">
        <f t="shared" si="326"/>
        <v>3E-10</v>
      </c>
      <c r="Y207" s="142">
        <f t="shared" si="327"/>
        <v>0</v>
      </c>
      <c r="Z207" s="142">
        <f t="shared" si="328"/>
        <v>5.0000000000000003E-10</v>
      </c>
      <c r="AA207" s="142">
        <f t="shared" si="329"/>
        <v>6E-10</v>
      </c>
      <c r="AB207" s="142">
        <f t="shared" si="330"/>
        <v>6.9999999999999996E-10</v>
      </c>
      <c r="AC207" s="142">
        <f t="shared" si="331"/>
        <v>8.0000000000000003E-10</v>
      </c>
      <c r="AD207" s="142">
        <f t="shared" si="332"/>
        <v>8.9999999999999999E-10</v>
      </c>
      <c r="AE207" s="142">
        <f t="shared" si="318"/>
        <v>9.5000000000000003E-10</v>
      </c>
      <c r="AF207" s="142" t="b">
        <f t="shared" si="333"/>
        <v>0</v>
      </c>
      <c r="AG207" s="142" t="b">
        <f t="shared" si="334"/>
        <v>0</v>
      </c>
      <c r="AH207" s="142" t="b">
        <f t="shared" si="335"/>
        <v>0</v>
      </c>
      <c r="AI207" s="142" t="b">
        <f t="shared" si="336"/>
        <v>0</v>
      </c>
      <c r="AJ207" s="142" t="b">
        <f t="shared" si="337"/>
        <v>0</v>
      </c>
      <c r="AK207" s="142" t="b">
        <f t="shared" si="338"/>
        <v>1</v>
      </c>
      <c r="AL207" s="142" t="b">
        <f t="shared" si="339"/>
        <v>1</v>
      </c>
      <c r="AM207" s="142" t="b">
        <f t="shared" si="340"/>
        <v>1</v>
      </c>
      <c r="AN207" s="142" t="b">
        <f t="shared" si="341"/>
        <v>1</v>
      </c>
      <c r="AO207" s="142" t="b">
        <f t="shared" si="342"/>
        <v>1</v>
      </c>
      <c r="AP207" s="142" t="str">
        <f>'Reference Score Calculation'!AU184</f>
        <v>無</v>
      </c>
      <c r="AQ207" s="95" t="str">
        <f>'Reference Score Calculation'!M184</f>
        <v>/</v>
      </c>
      <c r="AR207" s="95"/>
      <c r="AS207" s="95"/>
      <c r="BG207" s="2"/>
      <c r="BH207" s="2"/>
      <c r="BI207" s="2"/>
      <c r="BJ207" s="2"/>
      <c r="BK207" s="2"/>
    </row>
    <row r="208" spans="1:63">
      <c r="A208" s="142" t="str">
        <f>'Reference Score Calculation'!A185</f>
        <v>JS4812</v>
      </c>
      <c r="B208" s="193" t="str">
        <f>'Reference Score Calculation'!A185</f>
        <v>JS4812</v>
      </c>
      <c r="C208" s="193" t="str">
        <f>'Reference Score Calculation'!D185</f>
        <v>建築學</v>
      </c>
      <c r="D208" s="193"/>
      <c r="E208" s="193" t="str">
        <f>'Reference Score Calculation'!E185</f>
        <v>Best 5</v>
      </c>
      <c r="F208" s="95"/>
      <c r="G208" s="95" t="str">
        <f>入學要求!AB194</f>
        <v>v</v>
      </c>
      <c r="H208" s="95" t="str">
        <f>入學要求!AC194</f>
        <v>E</v>
      </c>
      <c r="I208" s="95" t="str">
        <f>入學要求!AD194</f>
        <v>NO</v>
      </c>
      <c r="J208" s="193">
        <f t="shared" si="295"/>
        <v>3.9500000000000006E-9</v>
      </c>
      <c r="K208" s="193">
        <v>1</v>
      </c>
      <c r="L208" s="193">
        <v>1.5</v>
      </c>
      <c r="M208" s="193">
        <v>1</v>
      </c>
      <c r="N208" s="193">
        <v>0</v>
      </c>
      <c r="O208" s="193">
        <v>1</v>
      </c>
      <c r="P208" s="193">
        <v>1</v>
      </c>
      <c r="Q208" s="193">
        <v>1</v>
      </c>
      <c r="R208" s="193">
        <v>1</v>
      </c>
      <c r="S208" s="193">
        <v>1</v>
      </c>
      <c r="T208" s="193">
        <v>1</v>
      </c>
      <c r="U208" s="95"/>
      <c r="V208" s="142">
        <f t="shared" si="324"/>
        <v>4.0000000000000001E-10</v>
      </c>
      <c r="W208" s="142">
        <f t="shared" si="325"/>
        <v>3E-10</v>
      </c>
      <c r="X208" s="142">
        <f t="shared" si="326"/>
        <v>3E-10</v>
      </c>
      <c r="Y208" s="142">
        <f t="shared" si="327"/>
        <v>0</v>
      </c>
      <c r="Z208" s="142">
        <f t="shared" si="328"/>
        <v>5.0000000000000003E-10</v>
      </c>
      <c r="AA208" s="142">
        <f t="shared" si="329"/>
        <v>6E-10</v>
      </c>
      <c r="AB208" s="142">
        <f t="shared" si="330"/>
        <v>6.9999999999999996E-10</v>
      </c>
      <c r="AC208" s="142">
        <f t="shared" si="331"/>
        <v>8.0000000000000003E-10</v>
      </c>
      <c r="AD208" s="142">
        <f t="shared" si="332"/>
        <v>8.9999999999999999E-10</v>
      </c>
      <c r="AE208" s="142">
        <f t="shared" si="318"/>
        <v>9.5000000000000003E-10</v>
      </c>
      <c r="AF208" s="142" t="b">
        <f t="shared" si="333"/>
        <v>0</v>
      </c>
      <c r="AG208" s="142" t="b">
        <f t="shared" si="334"/>
        <v>0</v>
      </c>
      <c r="AH208" s="142" t="b">
        <f t="shared" si="335"/>
        <v>0</v>
      </c>
      <c r="AI208" s="142" t="b">
        <f t="shared" si="336"/>
        <v>0</v>
      </c>
      <c r="AJ208" s="142" t="b">
        <f t="shared" si="337"/>
        <v>0</v>
      </c>
      <c r="AK208" s="142" t="b">
        <f t="shared" si="338"/>
        <v>1</v>
      </c>
      <c r="AL208" s="142" t="b">
        <f t="shared" si="339"/>
        <v>1</v>
      </c>
      <c r="AM208" s="142" t="b">
        <f t="shared" si="340"/>
        <v>1</v>
      </c>
      <c r="AN208" s="142" t="b">
        <f t="shared" si="341"/>
        <v>1</v>
      </c>
      <c r="AO208" s="142" t="b">
        <f t="shared" si="342"/>
        <v>1</v>
      </c>
      <c r="AP208" s="142" t="str">
        <f>'Reference Score Calculation'!AU185</f>
        <v>無</v>
      </c>
      <c r="AQ208" s="95" t="str">
        <f>'Reference Score Calculation'!M185</f>
        <v>/</v>
      </c>
      <c r="AR208" s="95"/>
      <c r="AS208" s="95"/>
      <c r="BG208" s="2"/>
      <c r="BH208" s="2"/>
      <c r="BI208" s="2"/>
      <c r="BJ208" s="2"/>
      <c r="BK208" s="2"/>
    </row>
    <row r="209" spans="1:72">
      <c r="A209" s="142" t="str">
        <f>'Reference Score Calculation'!A186</f>
        <v>JS4824</v>
      </c>
      <c r="B209" s="193" t="str">
        <f>'Reference Score Calculation'!A186</f>
        <v>JS4824</v>
      </c>
      <c r="C209" s="193" t="str">
        <f>'Reference Score Calculation'!D186</f>
        <v>經濟學</v>
      </c>
      <c r="D209" s="193"/>
      <c r="E209" s="193" t="str">
        <f>'Reference Score Calculation'!E186</f>
        <v>Best 5</v>
      </c>
      <c r="F209" s="95"/>
      <c r="G209" s="95" t="str">
        <f>入學要求!AB195</f>
        <v>v</v>
      </c>
      <c r="H209" s="95" t="str">
        <f>入學要求!AC195</f>
        <v>E</v>
      </c>
      <c r="I209" s="95" t="str">
        <f>入學要求!AD195</f>
        <v>NO</v>
      </c>
      <c r="J209" s="193">
        <f t="shared" si="295"/>
        <v>4.1000000000000003E-9</v>
      </c>
      <c r="K209" s="193">
        <v>1</v>
      </c>
      <c r="L209" s="193">
        <v>1</v>
      </c>
      <c r="M209" s="193">
        <v>1.5</v>
      </c>
      <c r="N209" s="193">
        <v>0</v>
      </c>
      <c r="O209" s="193">
        <f>IF(O$1=$BB$163,1.5,1)</f>
        <v>1.5</v>
      </c>
      <c r="P209" s="193">
        <f>IF(P$1=$BB$163,1.5,1)</f>
        <v>1</v>
      </c>
      <c r="Q209" s="193">
        <f>IF(Q$1=$BB$163,1.5,1)</f>
        <v>1</v>
      </c>
      <c r="R209" s="193">
        <f>IF(R$1=$BB$163,1.5,1)</f>
        <v>1</v>
      </c>
      <c r="S209" s="193">
        <f>IF(S$1=$BB$163,1.5,1)</f>
        <v>1</v>
      </c>
      <c r="T209" s="193">
        <v>1</v>
      </c>
      <c r="U209" s="95"/>
      <c r="V209" s="142">
        <f t="shared" si="324"/>
        <v>4.0000000000000001E-10</v>
      </c>
      <c r="W209" s="142">
        <f t="shared" si="325"/>
        <v>2.0000000000000001E-10</v>
      </c>
      <c r="X209" s="142">
        <f t="shared" si="326"/>
        <v>4.5E-10</v>
      </c>
      <c r="Y209" s="142">
        <f t="shared" si="327"/>
        <v>0</v>
      </c>
      <c r="Z209" s="142">
        <f t="shared" si="328"/>
        <v>7.500000000000001E-10</v>
      </c>
      <c r="AA209" s="142">
        <f t="shared" si="329"/>
        <v>6E-10</v>
      </c>
      <c r="AB209" s="142">
        <f t="shared" si="330"/>
        <v>6.9999999999999996E-10</v>
      </c>
      <c r="AC209" s="142">
        <f t="shared" si="331"/>
        <v>8.0000000000000003E-10</v>
      </c>
      <c r="AD209" s="142">
        <f t="shared" si="332"/>
        <v>8.9999999999999999E-10</v>
      </c>
      <c r="AE209" s="142">
        <f t="shared" si="318"/>
        <v>9.5000000000000003E-10</v>
      </c>
      <c r="AF209" s="142" t="b">
        <f t="shared" si="333"/>
        <v>0</v>
      </c>
      <c r="AG209" s="142" t="b">
        <f t="shared" si="334"/>
        <v>0</v>
      </c>
      <c r="AH209" s="142" t="b">
        <f t="shared" si="335"/>
        <v>0</v>
      </c>
      <c r="AI209" s="142" t="b">
        <f t="shared" si="336"/>
        <v>0</v>
      </c>
      <c r="AJ209" s="142" t="b">
        <f t="shared" si="337"/>
        <v>1</v>
      </c>
      <c r="AK209" s="142" t="b">
        <f t="shared" si="338"/>
        <v>0</v>
      </c>
      <c r="AL209" s="142" t="b">
        <f t="shared" si="339"/>
        <v>1</v>
      </c>
      <c r="AM209" s="142" t="b">
        <f t="shared" si="340"/>
        <v>1</v>
      </c>
      <c r="AN209" s="142" t="b">
        <f t="shared" si="341"/>
        <v>1</v>
      </c>
      <c r="AO209" s="142" t="b">
        <f t="shared" si="342"/>
        <v>1</v>
      </c>
      <c r="AP209" s="142" t="str">
        <f>'Reference Score Calculation'!AU186</f>
        <v>無</v>
      </c>
      <c r="AQ209" s="95" t="str">
        <f>'Reference Score Calculation'!M186</f>
        <v>/</v>
      </c>
      <c r="AR209" s="95"/>
      <c r="AS209" s="95"/>
      <c r="BG209" s="2"/>
      <c r="BH209" s="2"/>
      <c r="BI209" s="2"/>
      <c r="BJ209" s="2"/>
      <c r="BK209" s="2"/>
    </row>
    <row r="210" spans="1:72">
      <c r="A210" s="142" t="str">
        <f>'Reference Score Calculation'!A187</f>
        <v>JS4836</v>
      </c>
      <c r="B210" s="193" t="str">
        <f>'Reference Score Calculation'!A187</f>
        <v>JS4836</v>
      </c>
      <c r="C210" s="193" t="str">
        <f>'Reference Score Calculation'!D187</f>
        <v>地理與資源管理學</v>
      </c>
      <c r="D210" s="193"/>
      <c r="E210" s="193" t="str">
        <f>'Reference Score Calculation'!E187</f>
        <v>Best 5</v>
      </c>
      <c r="F210" s="95"/>
      <c r="G210" s="95" t="str">
        <f>入學要求!AB196</f>
        <v>v</v>
      </c>
      <c r="H210" s="95" t="str">
        <f>入學要求!AC196</f>
        <v>E</v>
      </c>
      <c r="I210" s="95" t="str">
        <f>入學要求!AD196</f>
        <v>NO</v>
      </c>
      <c r="J210" s="193">
        <f t="shared" si="295"/>
        <v>3.9500000000000006E-9</v>
      </c>
      <c r="K210" s="193">
        <v>1</v>
      </c>
      <c r="L210" s="193">
        <v>1.5</v>
      </c>
      <c r="M210" s="193">
        <v>1</v>
      </c>
      <c r="N210" s="193">
        <v>0</v>
      </c>
      <c r="O210" s="193">
        <v>1</v>
      </c>
      <c r="P210" s="193">
        <f>IF(P1="地理",1.5,1)</f>
        <v>1</v>
      </c>
      <c r="Q210" s="193">
        <f>IF(Q1="地理",1.5,1)</f>
        <v>1</v>
      </c>
      <c r="R210" s="193">
        <f>IF(R1="地理",1.5,1)</f>
        <v>1</v>
      </c>
      <c r="S210" s="193">
        <f>IF(S1="地理",1.5,1)</f>
        <v>1</v>
      </c>
      <c r="T210" s="193">
        <v>1</v>
      </c>
      <c r="U210" s="95"/>
      <c r="V210" s="142">
        <f t="shared" si="324"/>
        <v>4.0000000000000001E-10</v>
      </c>
      <c r="W210" s="142">
        <f t="shared" si="325"/>
        <v>3E-10</v>
      </c>
      <c r="X210" s="142">
        <f t="shared" si="326"/>
        <v>3E-10</v>
      </c>
      <c r="Y210" s="142">
        <f t="shared" si="327"/>
        <v>0</v>
      </c>
      <c r="Z210" s="142">
        <f t="shared" si="328"/>
        <v>5.0000000000000003E-10</v>
      </c>
      <c r="AA210" s="142">
        <f t="shared" si="329"/>
        <v>6E-10</v>
      </c>
      <c r="AB210" s="142">
        <f t="shared" si="330"/>
        <v>6.9999999999999996E-10</v>
      </c>
      <c r="AC210" s="142">
        <f t="shared" si="331"/>
        <v>8.0000000000000003E-10</v>
      </c>
      <c r="AD210" s="142">
        <f t="shared" si="332"/>
        <v>8.9999999999999999E-10</v>
      </c>
      <c r="AE210" s="142">
        <f t="shared" si="318"/>
        <v>9.5000000000000003E-10</v>
      </c>
      <c r="AF210" s="142" t="b">
        <f t="shared" si="333"/>
        <v>0</v>
      </c>
      <c r="AG210" s="142" t="b">
        <f t="shared" si="334"/>
        <v>0</v>
      </c>
      <c r="AH210" s="142" t="b">
        <f t="shared" si="335"/>
        <v>0</v>
      </c>
      <c r="AI210" s="142" t="b">
        <f t="shared" si="336"/>
        <v>0</v>
      </c>
      <c r="AJ210" s="142" t="b">
        <f t="shared" si="337"/>
        <v>0</v>
      </c>
      <c r="AK210" s="142" t="b">
        <f t="shared" si="338"/>
        <v>1</v>
      </c>
      <c r="AL210" s="142" t="b">
        <f t="shared" si="339"/>
        <v>1</v>
      </c>
      <c r="AM210" s="142" t="b">
        <f t="shared" si="340"/>
        <v>1</v>
      </c>
      <c r="AN210" s="142" t="b">
        <f t="shared" si="341"/>
        <v>1</v>
      </c>
      <c r="AO210" s="142" t="b">
        <f t="shared" si="342"/>
        <v>1</v>
      </c>
      <c r="AP210" s="142" t="str">
        <f>'Reference Score Calculation'!AU187</f>
        <v>無</v>
      </c>
      <c r="AQ210" s="95" t="str">
        <f>'Reference Score Calculation'!M187</f>
        <v>/</v>
      </c>
      <c r="AR210" s="95"/>
      <c r="AS210" s="95"/>
      <c r="BG210" s="2"/>
      <c r="BH210" s="2"/>
      <c r="BI210" s="2"/>
      <c r="BJ210" s="2"/>
      <c r="BK210" s="2"/>
    </row>
    <row r="211" spans="1:72">
      <c r="A211" s="142" t="str">
        <f>'Reference Score Calculation'!A188</f>
        <v>JS4838</v>
      </c>
      <c r="B211" s="193" t="str">
        <f>'Reference Score Calculation'!A188</f>
        <v>JS4838</v>
      </c>
      <c r="C211" s="193" t="str">
        <f>'Reference Score Calculation'!D188</f>
        <v>城市研究</v>
      </c>
      <c r="D211" s="193"/>
      <c r="E211" s="193" t="str">
        <f>'Reference Score Calculation'!E188</f>
        <v>Best 5</v>
      </c>
      <c r="F211" s="95"/>
      <c r="G211" s="95" t="str">
        <f>入學要求!AB197</f>
        <v>v</v>
      </c>
      <c r="H211" s="95" t="str">
        <f>入學要求!AC197</f>
        <v>E</v>
      </c>
      <c r="I211" s="95" t="str">
        <f>入學要求!AD197</f>
        <v>NO</v>
      </c>
      <c r="J211" s="193">
        <f t="shared" si="295"/>
        <v>3.9500000000000006E-9</v>
      </c>
      <c r="K211" s="193">
        <v>1</v>
      </c>
      <c r="L211" s="193">
        <v>1</v>
      </c>
      <c r="M211" s="193">
        <v>1</v>
      </c>
      <c r="N211" s="193">
        <v>0</v>
      </c>
      <c r="O211" s="193">
        <v>1</v>
      </c>
      <c r="P211" s="193">
        <v>1</v>
      </c>
      <c r="Q211" s="193">
        <v>1</v>
      </c>
      <c r="R211" s="193">
        <v>1</v>
      </c>
      <c r="S211" s="193">
        <v>1</v>
      </c>
      <c r="T211" s="193">
        <v>1</v>
      </c>
      <c r="U211" s="95"/>
      <c r="V211" s="142">
        <f t="shared" si="324"/>
        <v>4.0000000000000001E-10</v>
      </c>
      <c r="W211" s="142">
        <f t="shared" si="325"/>
        <v>2.0000000000000001E-10</v>
      </c>
      <c r="X211" s="142">
        <f t="shared" si="326"/>
        <v>3E-10</v>
      </c>
      <c r="Y211" s="142">
        <f t="shared" si="327"/>
        <v>0</v>
      </c>
      <c r="Z211" s="142">
        <f t="shared" si="328"/>
        <v>5.0000000000000003E-10</v>
      </c>
      <c r="AA211" s="142">
        <f t="shared" si="329"/>
        <v>6E-10</v>
      </c>
      <c r="AB211" s="142">
        <f t="shared" si="330"/>
        <v>6.9999999999999996E-10</v>
      </c>
      <c r="AC211" s="142">
        <f t="shared" si="331"/>
        <v>8.0000000000000003E-10</v>
      </c>
      <c r="AD211" s="142">
        <f t="shared" si="332"/>
        <v>8.9999999999999999E-10</v>
      </c>
      <c r="AE211" s="142">
        <f t="shared" si="318"/>
        <v>9.5000000000000003E-10</v>
      </c>
      <c r="AF211" s="142" t="b">
        <f t="shared" si="333"/>
        <v>0</v>
      </c>
      <c r="AG211" s="142" t="b">
        <f t="shared" si="334"/>
        <v>0</v>
      </c>
      <c r="AH211" s="142" t="b">
        <f t="shared" si="335"/>
        <v>0</v>
      </c>
      <c r="AI211" s="142" t="b">
        <f t="shared" si="336"/>
        <v>0</v>
      </c>
      <c r="AJ211" s="142" t="b">
        <f t="shared" si="337"/>
        <v>0</v>
      </c>
      <c r="AK211" s="142" t="b">
        <f t="shared" si="338"/>
        <v>1</v>
      </c>
      <c r="AL211" s="142" t="b">
        <f t="shared" si="339"/>
        <v>1</v>
      </c>
      <c r="AM211" s="142" t="b">
        <f t="shared" si="340"/>
        <v>1</v>
      </c>
      <c r="AN211" s="142" t="b">
        <f t="shared" si="341"/>
        <v>1</v>
      </c>
      <c r="AO211" s="142" t="b">
        <f t="shared" si="342"/>
        <v>1</v>
      </c>
      <c r="AP211" s="142" t="str">
        <f>'Reference Score Calculation'!AU188</f>
        <v>無</v>
      </c>
      <c r="AQ211" s="95" t="str">
        <f>'Reference Score Calculation'!M188</f>
        <v>/</v>
      </c>
      <c r="AR211" s="95"/>
      <c r="AS211" s="95"/>
      <c r="BG211" s="2"/>
      <c r="BH211" s="2"/>
      <c r="BI211" s="2"/>
      <c r="BJ211" s="2"/>
      <c r="BK211" s="2"/>
    </row>
    <row r="212" spans="1:72">
      <c r="A212" s="142" t="str">
        <f>'Reference Score Calculation'!A189</f>
        <v>JS4848</v>
      </c>
      <c r="B212" s="193" t="str">
        <f>'Reference Score Calculation'!A189</f>
        <v>JS4848</v>
      </c>
      <c r="C212" s="193" t="str">
        <f>'Reference Score Calculation'!D189</f>
        <v>政治與行政學</v>
      </c>
      <c r="D212" s="193"/>
      <c r="E212" s="193" t="str">
        <f>'Reference Score Calculation'!E189</f>
        <v>Best 5</v>
      </c>
      <c r="F212" s="95"/>
      <c r="G212" s="95" t="str">
        <f>入學要求!AB198</f>
        <v>v</v>
      </c>
      <c r="H212" s="95" t="str">
        <f>入學要求!AC198</f>
        <v>E</v>
      </c>
      <c r="I212" s="95" t="str">
        <f>入學要求!AD198</f>
        <v>NO</v>
      </c>
      <c r="J212" s="193">
        <f>IF($W$15=TRUE,SUMIF(AF212:AO212,TRUE,V212:AE212)*0.95,SUMIF(AF212:AO212,TRUE,V212:AE212))</f>
        <v>3.9500000000000006E-9</v>
      </c>
      <c r="K212" s="193">
        <v>1.25</v>
      </c>
      <c r="L212" s="193">
        <v>1.5</v>
      </c>
      <c r="M212" s="193">
        <v>1</v>
      </c>
      <c r="N212" s="193">
        <v>1.25</v>
      </c>
      <c r="O212" s="193">
        <v>1</v>
      </c>
      <c r="P212" s="193">
        <v>1</v>
      </c>
      <c r="Q212" s="193">
        <v>1</v>
      </c>
      <c r="R212" s="193">
        <v>1</v>
      </c>
      <c r="S212" s="193">
        <v>1</v>
      </c>
      <c r="T212" s="193">
        <v>1</v>
      </c>
      <c r="U212" s="95"/>
      <c r="V212" s="142">
        <f t="shared" si="324"/>
        <v>5.0000000000000003E-10</v>
      </c>
      <c r="W212" s="142">
        <f t="shared" si="325"/>
        <v>3E-10</v>
      </c>
      <c r="X212" s="142">
        <f t="shared" si="326"/>
        <v>3E-10</v>
      </c>
      <c r="Y212" s="142">
        <f t="shared" si="327"/>
        <v>0</v>
      </c>
      <c r="Z212" s="142">
        <f t="shared" si="328"/>
        <v>5.0000000000000003E-10</v>
      </c>
      <c r="AA212" s="142">
        <f t="shared" si="329"/>
        <v>6E-10</v>
      </c>
      <c r="AB212" s="142">
        <f t="shared" si="330"/>
        <v>6.9999999999999996E-10</v>
      </c>
      <c r="AC212" s="142">
        <f t="shared" si="331"/>
        <v>8.0000000000000003E-10</v>
      </c>
      <c r="AD212" s="142">
        <f t="shared" si="332"/>
        <v>8.9999999999999999E-10</v>
      </c>
      <c r="AE212" s="142">
        <f t="shared" si="318"/>
        <v>9.5000000000000003E-10</v>
      </c>
      <c r="AF212" s="142" t="b">
        <f t="shared" si="333"/>
        <v>0</v>
      </c>
      <c r="AG212" s="142" t="b">
        <f t="shared" si="334"/>
        <v>0</v>
      </c>
      <c r="AH212" s="142" t="b">
        <f t="shared" si="335"/>
        <v>0</v>
      </c>
      <c r="AI212" s="142" t="b">
        <f t="shared" si="336"/>
        <v>0</v>
      </c>
      <c r="AJ212" s="142" t="b">
        <f t="shared" si="337"/>
        <v>0</v>
      </c>
      <c r="AK212" s="142" t="b">
        <f t="shared" si="338"/>
        <v>1</v>
      </c>
      <c r="AL212" s="142" t="b">
        <f t="shared" si="339"/>
        <v>1</v>
      </c>
      <c r="AM212" s="142" t="b">
        <f t="shared" si="340"/>
        <v>1</v>
      </c>
      <c r="AN212" s="142" t="b">
        <f t="shared" si="341"/>
        <v>1</v>
      </c>
      <c r="AO212" s="142" t="b">
        <f t="shared" si="342"/>
        <v>1</v>
      </c>
      <c r="AP212" s="142" t="str">
        <f>'Reference Score Calculation'!AU189</f>
        <v>5%或更少(全Cert)</v>
      </c>
      <c r="AQ212" s="95" t="str">
        <f>'Reference Score Calculation'!M189</f>
        <v>/</v>
      </c>
      <c r="AR212" s="95"/>
      <c r="AS212" s="95"/>
    </row>
    <row r="213" spans="1:72">
      <c r="A213" s="142" t="str">
        <f>'Reference Score Calculation'!A190</f>
        <v>JS4850</v>
      </c>
      <c r="B213" s="193" t="str">
        <f>'Reference Score Calculation'!A190</f>
        <v>JS4850</v>
      </c>
      <c r="C213" s="193" t="str">
        <f>'Reference Score Calculation'!D190</f>
        <v>新聞與傳播學</v>
      </c>
      <c r="D213" s="193"/>
      <c r="E213" s="193" t="str">
        <f>'Reference Score Calculation'!E190</f>
        <v>Best 5</v>
      </c>
      <c r="F213" s="95"/>
      <c r="G213" s="95" t="str">
        <f>入學要求!AB199</f>
        <v>v</v>
      </c>
      <c r="H213" s="95" t="str">
        <f>入學要求!AC199</f>
        <v>E</v>
      </c>
      <c r="I213" s="95" t="str">
        <f>入學要求!AD199</f>
        <v>NO</v>
      </c>
      <c r="J213" s="193">
        <f t="shared" si="295"/>
        <v>3.9500000000000006E-9</v>
      </c>
      <c r="K213" s="193">
        <v>1.3</v>
      </c>
      <c r="L213" s="193">
        <v>1.3</v>
      </c>
      <c r="M213" s="193">
        <v>1</v>
      </c>
      <c r="N213" s="193">
        <v>0</v>
      </c>
      <c r="O213" s="193">
        <v>1</v>
      </c>
      <c r="P213" s="193">
        <v>1</v>
      </c>
      <c r="Q213" s="193">
        <v>1</v>
      </c>
      <c r="R213" s="193">
        <v>1</v>
      </c>
      <c r="S213" s="193">
        <v>1</v>
      </c>
      <c r="T213" s="193">
        <v>1</v>
      </c>
      <c r="U213" s="95"/>
      <c r="V213" s="142">
        <f t="shared" si="324"/>
        <v>5.2000000000000007E-10</v>
      </c>
      <c r="W213" s="142">
        <f t="shared" si="325"/>
        <v>2.6000000000000003E-10</v>
      </c>
      <c r="X213" s="142">
        <f t="shared" si="326"/>
        <v>3E-10</v>
      </c>
      <c r="Y213" s="142">
        <f t="shared" si="327"/>
        <v>0</v>
      </c>
      <c r="Z213" s="142">
        <f t="shared" si="328"/>
        <v>5.0000000000000003E-10</v>
      </c>
      <c r="AA213" s="142">
        <f t="shared" si="329"/>
        <v>6E-10</v>
      </c>
      <c r="AB213" s="142">
        <f t="shared" si="330"/>
        <v>6.9999999999999996E-10</v>
      </c>
      <c r="AC213" s="142">
        <f t="shared" si="331"/>
        <v>8.0000000000000003E-10</v>
      </c>
      <c r="AD213" s="142">
        <f t="shared" si="332"/>
        <v>8.9999999999999999E-10</v>
      </c>
      <c r="AE213" s="142">
        <f t="shared" si="318"/>
        <v>9.5000000000000003E-10</v>
      </c>
      <c r="AF213" s="142" t="b">
        <f t="shared" si="333"/>
        <v>0</v>
      </c>
      <c r="AG213" s="142" t="b">
        <f t="shared" si="334"/>
        <v>0</v>
      </c>
      <c r="AH213" s="142" t="b">
        <f t="shared" si="335"/>
        <v>0</v>
      </c>
      <c r="AI213" s="142" t="b">
        <f t="shared" si="336"/>
        <v>0</v>
      </c>
      <c r="AJ213" s="142" t="b">
        <f t="shared" si="337"/>
        <v>0</v>
      </c>
      <c r="AK213" s="142" t="b">
        <f t="shared" si="338"/>
        <v>1</v>
      </c>
      <c r="AL213" s="142" t="b">
        <f t="shared" si="339"/>
        <v>1</v>
      </c>
      <c r="AM213" s="142" t="b">
        <f t="shared" si="340"/>
        <v>1</v>
      </c>
      <c r="AN213" s="142" t="b">
        <f t="shared" si="341"/>
        <v>1</v>
      </c>
      <c r="AO213" s="142" t="b">
        <f t="shared" si="342"/>
        <v>1</v>
      </c>
      <c r="AP213" s="142" t="str">
        <f>'Reference Score Calculation'!AU190</f>
        <v>無</v>
      </c>
      <c r="AQ213" s="95" t="str">
        <f>'Reference Score Calculation'!M190</f>
        <v>/</v>
      </c>
      <c r="AR213" s="95"/>
      <c r="AS213" s="95"/>
    </row>
    <row r="214" spans="1:72">
      <c r="A214" s="142" t="str">
        <f>'Reference Score Calculation'!A191</f>
        <v>JS4858</v>
      </c>
      <c r="B214" s="193" t="str">
        <f>'Reference Score Calculation'!A191</f>
        <v>JS4858</v>
      </c>
      <c r="C214" s="193" t="str">
        <f>'Reference Score Calculation'!D191</f>
        <v>全球傳播</v>
      </c>
      <c r="D214" s="95"/>
      <c r="E214" s="193" t="str">
        <f>'Reference Score Calculation'!E191</f>
        <v>Best 5</v>
      </c>
      <c r="F214" s="95"/>
      <c r="G214" s="95" t="str">
        <f>入學要求!AB200</f>
        <v>v</v>
      </c>
      <c r="H214" s="95" t="str">
        <f>入學要求!AC200</f>
        <v>E</v>
      </c>
      <c r="I214" s="95" t="str">
        <f>入學要求!AD200</f>
        <v>NO</v>
      </c>
      <c r="J214" s="193">
        <f t="shared" si="295"/>
        <v>3.9500000000000006E-9</v>
      </c>
      <c r="K214" s="95">
        <v>1</v>
      </c>
      <c r="L214" s="95">
        <v>1.3</v>
      </c>
      <c r="M214" s="95">
        <v>1</v>
      </c>
      <c r="N214" s="95">
        <v>0</v>
      </c>
      <c r="O214" s="95">
        <v>1</v>
      </c>
      <c r="P214" s="95">
        <v>1</v>
      </c>
      <c r="Q214" s="95">
        <v>1</v>
      </c>
      <c r="R214" s="95">
        <v>1</v>
      </c>
      <c r="S214" s="95">
        <v>1</v>
      </c>
      <c r="T214" s="95">
        <v>1</v>
      </c>
      <c r="U214" s="95"/>
      <c r="V214" s="142">
        <f t="shared" si="324"/>
        <v>4.0000000000000001E-10</v>
      </c>
      <c r="W214" s="142">
        <f t="shared" si="325"/>
        <v>2.6000000000000003E-10</v>
      </c>
      <c r="X214" s="142">
        <f t="shared" si="326"/>
        <v>3E-10</v>
      </c>
      <c r="Y214" s="142">
        <f t="shared" si="327"/>
        <v>0</v>
      </c>
      <c r="Z214" s="142">
        <f t="shared" si="328"/>
        <v>5.0000000000000003E-10</v>
      </c>
      <c r="AA214" s="142">
        <f t="shared" si="329"/>
        <v>6E-10</v>
      </c>
      <c r="AB214" s="142">
        <f t="shared" si="330"/>
        <v>6.9999999999999996E-10</v>
      </c>
      <c r="AC214" s="142">
        <f t="shared" si="331"/>
        <v>8.0000000000000003E-10</v>
      </c>
      <c r="AD214" s="142">
        <f t="shared" si="332"/>
        <v>8.9999999999999999E-10</v>
      </c>
      <c r="AE214" s="142">
        <f t="shared" si="318"/>
        <v>9.5000000000000003E-10</v>
      </c>
      <c r="AF214" s="142" t="b">
        <f t="shared" si="333"/>
        <v>0</v>
      </c>
      <c r="AG214" s="142" t="b">
        <f t="shared" si="334"/>
        <v>0</v>
      </c>
      <c r="AH214" s="142" t="b">
        <f t="shared" si="335"/>
        <v>0</v>
      </c>
      <c r="AI214" s="142" t="b">
        <f t="shared" si="336"/>
        <v>0</v>
      </c>
      <c r="AJ214" s="142" t="b">
        <f t="shared" si="337"/>
        <v>0</v>
      </c>
      <c r="AK214" s="142" t="b">
        <f t="shared" si="338"/>
        <v>1</v>
      </c>
      <c r="AL214" s="142" t="b">
        <f t="shared" si="339"/>
        <v>1</v>
      </c>
      <c r="AM214" s="142" t="b">
        <f t="shared" si="340"/>
        <v>1</v>
      </c>
      <c r="AN214" s="142" t="b">
        <f t="shared" si="341"/>
        <v>1</v>
      </c>
      <c r="AO214" s="142" t="b">
        <f t="shared" si="342"/>
        <v>1</v>
      </c>
      <c r="AP214" s="142" t="str">
        <f>'Reference Score Calculation'!AU191</f>
        <v>無</v>
      </c>
      <c r="AQ214" s="95" t="str">
        <f>'Reference Score Calculation'!M191</f>
        <v>/</v>
      </c>
      <c r="AR214" s="95"/>
      <c r="AS214" s="95"/>
    </row>
    <row r="215" spans="1:72">
      <c r="A215" s="142" t="str">
        <f>'Reference Score Calculation'!A192</f>
        <v>JS4862</v>
      </c>
      <c r="B215" s="193" t="str">
        <f>'Reference Score Calculation'!A192</f>
        <v>JS4862</v>
      </c>
      <c r="C215" s="193" t="str">
        <f>'Reference Score Calculation'!D192</f>
        <v>心理學</v>
      </c>
      <c r="D215" s="95"/>
      <c r="E215" s="193" t="str">
        <f>'Reference Score Calculation'!E192</f>
        <v>Best 5</v>
      </c>
      <c r="F215" s="95"/>
      <c r="G215" s="95" t="str">
        <f>入學要求!AB201</f>
        <v>v</v>
      </c>
      <c r="H215" s="95" t="str">
        <f>入學要求!AC201</f>
        <v>E</v>
      </c>
      <c r="I215" s="95" t="str">
        <f>入學要求!AD201</f>
        <v>NO</v>
      </c>
      <c r="J215" s="193">
        <f t="shared" si="295"/>
        <v>3.9500000000000006E-9</v>
      </c>
      <c r="K215" s="95">
        <v>1</v>
      </c>
      <c r="L215" s="95">
        <v>1.5</v>
      </c>
      <c r="M215" s="95">
        <v>1.5</v>
      </c>
      <c r="N215" s="95">
        <v>0</v>
      </c>
      <c r="O215" s="95">
        <v>1</v>
      </c>
      <c r="P215" s="95">
        <v>1</v>
      </c>
      <c r="Q215" s="95">
        <v>1</v>
      </c>
      <c r="R215" s="95">
        <v>1</v>
      </c>
      <c r="S215" s="95">
        <v>1</v>
      </c>
      <c r="T215" s="95">
        <v>1</v>
      </c>
      <c r="U215" s="95"/>
      <c r="V215" s="142">
        <f t="shared" si="324"/>
        <v>4.0000000000000001E-10</v>
      </c>
      <c r="W215" s="142">
        <f t="shared" si="325"/>
        <v>3E-10</v>
      </c>
      <c r="X215" s="142">
        <f t="shared" si="326"/>
        <v>4.5E-10</v>
      </c>
      <c r="Y215" s="142">
        <f t="shared" si="327"/>
        <v>0</v>
      </c>
      <c r="Z215" s="142">
        <f t="shared" si="328"/>
        <v>5.0000000000000003E-10</v>
      </c>
      <c r="AA215" s="142">
        <f t="shared" si="329"/>
        <v>6E-10</v>
      </c>
      <c r="AB215" s="142">
        <f t="shared" si="330"/>
        <v>6.9999999999999996E-10</v>
      </c>
      <c r="AC215" s="142">
        <f t="shared" si="331"/>
        <v>8.0000000000000003E-10</v>
      </c>
      <c r="AD215" s="142">
        <f t="shared" si="332"/>
        <v>8.9999999999999999E-10</v>
      </c>
      <c r="AE215" s="142">
        <f t="shared" ref="AE215:AE220" si="345">IF(H215="E",T$6*T215,0)</f>
        <v>9.5000000000000003E-10</v>
      </c>
      <c r="AF215" s="142" t="b">
        <f t="shared" si="333"/>
        <v>0</v>
      </c>
      <c r="AG215" s="142" t="b">
        <f t="shared" si="334"/>
        <v>0</v>
      </c>
      <c r="AH215" s="142" t="b">
        <f t="shared" si="335"/>
        <v>0</v>
      </c>
      <c r="AI215" s="142" t="b">
        <f t="shared" si="336"/>
        <v>0</v>
      </c>
      <c r="AJ215" s="142" t="b">
        <f t="shared" si="337"/>
        <v>0</v>
      </c>
      <c r="AK215" s="142" t="b">
        <f t="shared" si="338"/>
        <v>1</v>
      </c>
      <c r="AL215" s="142" t="b">
        <f t="shared" si="339"/>
        <v>1</v>
      </c>
      <c r="AM215" s="142" t="b">
        <f t="shared" si="340"/>
        <v>1</v>
      </c>
      <c r="AN215" s="142" t="b">
        <f t="shared" si="341"/>
        <v>1</v>
      </c>
      <c r="AO215" s="142" t="b">
        <f t="shared" si="342"/>
        <v>1</v>
      </c>
      <c r="AP215" s="142" t="str">
        <f>'Reference Score Calculation'!AU192</f>
        <v>無</v>
      </c>
      <c r="AQ215" s="95" t="str">
        <f>'Reference Score Calculation'!M192</f>
        <v>/</v>
      </c>
      <c r="AR215" s="95"/>
      <c r="AS215" s="95"/>
      <c r="AT215" s="126" t="s">
        <v>257</v>
      </c>
      <c r="AU215" s="124" t="s">
        <v>300</v>
      </c>
      <c r="AV215" s="104"/>
      <c r="AW215" s="117"/>
      <c r="AX215" s="117"/>
      <c r="AY215" s="117"/>
      <c r="AZ215" s="117"/>
      <c r="BA215" s="117"/>
      <c r="BB215" s="117"/>
      <c r="BC215" s="117"/>
      <c r="BD215" s="117"/>
      <c r="BE215" s="117"/>
      <c r="BF215" s="117"/>
      <c r="BG215" s="117"/>
      <c r="BH215" s="117"/>
      <c r="BI215" s="117"/>
      <c r="BJ215" s="117"/>
      <c r="BK215" s="117"/>
      <c r="BL215" s="117"/>
      <c r="BM215" s="117"/>
      <c r="BN215" s="117"/>
      <c r="BO215" s="117"/>
      <c r="BP215" s="117"/>
      <c r="BQ215" s="117"/>
      <c r="BR215" s="117"/>
      <c r="BS215" s="117"/>
      <c r="BT215" s="117"/>
    </row>
    <row r="216" spans="1:72">
      <c r="A216" s="142" t="str">
        <f>'Reference Score Calculation'!A193</f>
        <v>JS4874</v>
      </c>
      <c r="B216" s="193" t="str">
        <f>'Reference Score Calculation'!A193</f>
        <v>JS4874</v>
      </c>
      <c r="C216" s="193" t="str">
        <f>'Reference Score Calculation'!D193</f>
        <v>社會工作</v>
      </c>
      <c r="D216" s="95"/>
      <c r="E216" s="193" t="str">
        <f>'Reference Score Calculation'!E193</f>
        <v>Best 5</v>
      </c>
      <c r="F216" s="95"/>
      <c r="G216" s="95" t="str">
        <f>入學要求!AB202</f>
        <v>v</v>
      </c>
      <c r="H216" s="95" t="str">
        <f>入學要求!AC202</f>
        <v>E</v>
      </c>
      <c r="I216" s="95" t="str">
        <f>入學要求!AD202</f>
        <v>NO</v>
      </c>
      <c r="J216" s="193">
        <f t="shared" si="295"/>
        <v>3.9500000000000006E-9</v>
      </c>
      <c r="K216" s="95">
        <v>1</v>
      </c>
      <c r="L216" s="95">
        <v>1</v>
      </c>
      <c r="M216" s="95">
        <v>1</v>
      </c>
      <c r="N216" s="95">
        <v>0</v>
      </c>
      <c r="O216" s="95">
        <v>1</v>
      </c>
      <c r="P216" s="95">
        <v>1</v>
      </c>
      <c r="Q216" s="95">
        <v>1</v>
      </c>
      <c r="R216" s="95">
        <v>1</v>
      </c>
      <c r="S216" s="95">
        <v>1</v>
      </c>
      <c r="T216" s="95">
        <v>1</v>
      </c>
      <c r="U216" s="95"/>
      <c r="V216" s="142">
        <f t="shared" si="324"/>
        <v>4.0000000000000001E-10</v>
      </c>
      <c r="W216" s="142">
        <f t="shared" si="325"/>
        <v>2.0000000000000001E-10</v>
      </c>
      <c r="X216" s="142">
        <f t="shared" si="326"/>
        <v>3E-10</v>
      </c>
      <c r="Y216" s="142">
        <f t="shared" si="327"/>
        <v>0</v>
      </c>
      <c r="Z216" s="142">
        <f t="shared" si="328"/>
        <v>5.0000000000000003E-10</v>
      </c>
      <c r="AA216" s="142">
        <f t="shared" si="329"/>
        <v>6E-10</v>
      </c>
      <c r="AB216" s="142">
        <f t="shared" si="330"/>
        <v>6.9999999999999996E-10</v>
      </c>
      <c r="AC216" s="142">
        <f t="shared" si="331"/>
        <v>8.0000000000000003E-10</v>
      </c>
      <c r="AD216" s="142">
        <f t="shared" si="332"/>
        <v>8.9999999999999999E-10</v>
      </c>
      <c r="AE216" s="142">
        <f t="shared" si="345"/>
        <v>9.5000000000000003E-10</v>
      </c>
      <c r="AF216" s="142" t="b">
        <f t="shared" si="333"/>
        <v>0</v>
      </c>
      <c r="AG216" s="142" t="b">
        <f t="shared" si="334"/>
        <v>0</v>
      </c>
      <c r="AH216" s="142" t="b">
        <f t="shared" si="335"/>
        <v>0</v>
      </c>
      <c r="AI216" s="142" t="b">
        <f t="shared" si="336"/>
        <v>0</v>
      </c>
      <c r="AJ216" s="142" t="b">
        <f t="shared" si="337"/>
        <v>0</v>
      </c>
      <c r="AK216" s="142" t="b">
        <f t="shared" si="338"/>
        <v>1</v>
      </c>
      <c r="AL216" s="142" t="b">
        <f t="shared" si="339"/>
        <v>1</v>
      </c>
      <c r="AM216" s="142" t="b">
        <f t="shared" si="340"/>
        <v>1</v>
      </c>
      <c r="AN216" s="142" t="b">
        <f t="shared" si="341"/>
        <v>1</v>
      </c>
      <c r="AO216" s="142" t="b">
        <f t="shared" si="342"/>
        <v>1</v>
      </c>
      <c r="AP216" s="142" t="str">
        <f>'Reference Score Calculation'!AU193</f>
        <v>無</v>
      </c>
      <c r="AQ216" s="95" t="str">
        <f>'Reference Score Calculation'!M193</f>
        <v>/</v>
      </c>
      <c r="AR216" s="95"/>
      <c r="AS216" s="95"/>
      <c r="AT216" s="117"/>
      <c r="AU216" s="103"/>
      <c r="AV216" s="104"/>
      <c r="AW216" s="117"/>
      <c r="AX216" s="117"/>
      <c r="AY216" s="117"/>
      <c r="AZ216" s="117"/>
      <c r="BA216" s="117"/>
      <c r="BB216" s="117"/>
      <c r="BC216" s="117"/>
      <c r="BD216" s="117"/>
      <c r="BE216" s="117"/>
      <c r="BF216" s="117"/>
      <c r="BG216" s="117"/>
      <c r="BH216" s="117"/>
      <c r="BI216" s="117"/>
      <c r="BJ216" s="117"/>
      <c r="BK216" s="117"/>
      <c r="BL216" s="117"/>
      <c r="BM216" s="117"/>
      <c r="BN216" s="117"/>
      <c r="BO216" s="117"/>
      <c r="BP216" s="117"/>
      <c r="BQ216" s="117"/>
      <c r="BR216" s="117"/>
      <c r="BS216" s="117"/>
      <c r="BT216" s="117"/>
    </row>
    <row r="217" spans="1:72">
      <c r="A217" s="142" t="str">
        <f>'Reference Score Calculation'!A194</f>
        <v>JS4886</v>
      </c>
      <c r="B217" s="193" t="str">
        <f>'Reference Score Calculation'!A194</f>
        <v>JS4886</v>
      </c>
      <c r="C217" s="193" t="str">
        <f>'Reference Score Calculation'!D194</f>
        <v>社會學</v>
      </c>
      <c r="D217" s="95"/>
      <c r="E217" s="193" t="str">
        <f>'Reference Score Calculation'!E194</f>
        <v>Best 5</v>
      </c>
      <c r="F217" s="95"/>
      <c r="G217" s="95" t="str">
        <f>入學要求!AB203</f>
        <v>v</v>
      </c>
      <c r="H217" s="95" t="str">
        <f>入學要求!AC203</f>
        <v>E</v>
      </c>
      <c r="I217" s="95" t="str">
        <f>入學要求!AD203</f>
        <v>NO</v>
      </c>
      <c r="J217" s="193">
        <f t="shared" si="295"/>
        <v>3.9500000000000006E-9</v>
      </c>
      <c r="K217" s="95">
        <v>1</v>
      </c>
      <c r="L217" s="95">
        <v>1.5</v>
      </c>
      <c r="M217" s="95">
        <v>1</v>
      </c>
      <c r="N217" s="95">
        <v>1.5</v>
      </c>
      <c r="O217" s="95">
        <v>1</v>
      </c>
      <c r="P217" s="95">
        <v>1</v>
      </c>
      <c r="Q217" s="95">
        <v>1</v>
      </c>
      <c r="R217" s="95">
        <v>1</v>
      </c>
      <c r="S217" s="95">
        <v>1</v>
      </c>
      <c r="T217" s="95">
        <v>1</v>
      </c>
      <c r="U217" s="95"/>
      <c r="V217" s="142">
        <f t="shared" si="324"/>
        <v>4.0000000000000001E-10</v>
      </c>
      <c r="W217" s="142">
        <f t="shared" si="325"/>
        <v>3E-10</v>
      </c>
      <c r="X217" s="142">
        <f t="shared" si="326"/>
        <v>3E-10</v>
      </c>
      <c r="Y217" s="142">
        <f t="shared" si="327"/>
        <v>0</v>
      </c>
      <c r="Z217" s="142">
        <f t="shared" si="328"/>
        <v>5.0000000000000003E-10</v>
      </c>
      <c r="AA217" s="142">
        <f t="shared" si="329"/>
        <v>6E-10</v>
      </c>
      <c r="AB217" s="142">
        <f t="shared" si="330"/>
        <v>6.9999999999999996E-10</v>
      </c>
      <c r="AC217" s="142">
        <f t="shared" si="331"/>
        <v>8.0000000000000003E-10</v>
      </c>
      <c r="AD217" s="142">
        <f t="shared" si="332"/>
        <v>8.9999999999999999E-10</v>
      </c>
      <c r="AE217" s="142">
        <f t="shared" si="345"/>
        <v>9.5000000000000003E-10</v>
      </c>
      <c r="AF217" s="142" t="b">
        <f t="shared" si="333"/>
        <v>0</v>
      </c>
      <c r="AG217" s="142" t="b">
        <f t="shared" si="334"/>
        <v>0</v>
      </c>
      <c r="AH217" s="142" t="b">
        <f t="shared" si="335"/>
        <v>0</v>
      </c>
      <c r="AI217" s="142" t="b">
        <f t="shared" si="336"/>
        <v>0</v>
      </c>
      <c r="AJ217" s="142" t="b">
        <f t="shared" si="337"/>
        <v>0</v>
      </c>
      <c r="AK217" s="142" t="b">
        <f t="shared" si="338"/>
        <v>1</v>
      </c>
      <c r="AL217" s="142" t="b">
        <f t="shared" si="339"/>
        <v>1</v>
      </c>
      <c r="AM217" s="142" t="b">
        <f t="shared" si="340"/>
        <v>1</v>
      </c>
      <c r="AN217" s="142" t="b">
        <f t="shared" si="341"/>
        <v>1</v>
      </c>
      <c r="AO217" s="142" t="b">
        <f t="shared" si="342"/>
        <v>1</v>
      </c>
      <c r="AP217" s="142" t="str">
        <f>'Reference Score Calculation'!AU194</f>
        <v>無</v>
      </c>
      <c r="AQ217" s="95" t="str">
        <f>'Reference Score Calculation'!M194</f>
        <v>/</v>
      </c>
      <c r="AR217" s="95"/>
      <c r="AS217" s="95"/>
      <c r="AT217" s="118" t="s">
        <v>363</v>
      </c>
      <c r="AU217" s="103" t="str">
        <f>P$1</f>
        <v>請選擇第一選修科</v>
      </c>
      <c r="AV217" s="103" t="str">
        <f>Q$1</f>
        <v>請選擇第二選修科</v>
      </c>
      <c r="AW217" s="103" t="str">
        <f>R$1</f>
        <v>請選擇第三選修科</v>
      </c>
      <c r="AX217" s="103" t="str">
        <f>S$1</f>
        <v>請選擇第四選修科</v>
      </c>
      <c r="AY217" s="103" t="str">
        <f>O$1</f>
        <v>數學延伸</v>
      </c>
      <c r="AZ217" s="117"/>
      <c r="BA217" s="161" t="s">
        <v>364</v>
      </c>
      <c r="BB217" s="118"/>
      <c r="BC217" s="161" t="s">
        <v>365</v>
      </c>
      <c r="BD217" s="118"/>
      <c r="BE217" s="118"/>
      <c r="BF217" s="103" t="str">
        <f t="shared" ref="BF217:BO217" si="346">K$1</f>
        <v>中國語文</v>
      </c>
      <c r="BG217" s="103" t="str">
        <f t="shared" si="346"/>
        <v>英國語文</v>
      </c>
      <c r="BH217" s="103" t="str">
        <f t="shared" si="346"/>
        <v>數學</v>
      </c>
      <c r="BI217" s="103"/>
      <c r="BJ217" s="103" t="str">
        <f t="shared" si="346"/>
        <v>數學延伸</v>
      </c>
      <c r="BK217" s="103" t="str">
        <f t="shared" si="346"/>
        <v>請選擇第一選修科</v>
      </c>
      <c r="BL217" s="103" t="str">
        <f t="shared" si="346"/>
        <v>請選擇第二選修科</v>
      </c>
      <c r="BM217" s="103" t="str">
        <f t="shared" si="346"/>
        <v>請選擇第三選修科</v>
      </c>
      <c r="BN217" s="103" t="str">
        <f t="shared" si="346"/>
        <v>請選擇第四選修科</v>
      </c>
      <c r="BO217" s="103" t="str">
        <f t="shared" si="346"/>
        <v>請選擇語言科目</v>
      </c>
      <c r="BP217" s="117"/>
      <c r="BQ217" s="117"/>
      <c r="BR217" s="117"/>
      <c r="BS217" s="117"/>
      <c r="BT217" s="117"/>
    </row>
    <row r="218" spans="1:72">
      <c r="A218" s="142" t="str">
        <f>'Reference Score Calculation'!A195</f>
        <v>JS4892</v>
      </c>
      <c r="B218" s="193" t="str">
        <f>'Reference Score Calculation'!A195</f>
        <v>JS4892</v>
      </c>
      <c r="C218" s="193" t="str">
        <f>'Reference Score Calculation'!D195</f>
        <v>全球研究</v>
      </c>
      <c r="D218" s="95"/>
      <c r="E218" s="193" t="str">
        <f>'Reference Score Calculation'!E195</f>
        <v>Best 5</v>
      </c>
      <c r="F218" s="95"/>
      <c r="G218" s="95" t="str">
        <f>入學要求!AB204</f>
        <v>v</v>
      </c>
      <c r="H218" s="95" t="str">
        <f>入學要求!AC204</f>
        <v>E</v>
      </c>
      <c r="I218" s="95" t="str">
        <f>入學要求!AD204</f>
        <v>NO</v>
      </c>
      <c r="J218" s="193">
        <f t="shared" ref="J218:J219" si="347">SUMIF(AF218:AO218,TRUE,V218:AE218)</f>
        <v>3.9500000000000006E-9</v>
      </c>
      <c r="K218" s="95">
        <v>1</v>
      </c>
      <c r="L218" s="95">
        <v>1.5</v>
      </c>
      <c r="M218" s="95">
        <v>1</v>
      </c>
      <c r="N218" s="95">
        <v>0</v>
      </c>
      <c r="O218" s="95">
        <v>1</v>
      </c>
      <c r="P218" s="95">
        <v>1</v>
      </c>
      <c r="Q218" s="95">
        <v>1</v>
      </c>
      <c r="R218" s="95">
        <v>1</v>
      </c>
      <c r="S218" s="95">
        <v>1</v>
      </c>
      <c r="T218" s="95">
        <v>1</v>
      </c>
      <c r="U218" s="95"/>
      <c r="V218" s="142">
        <f t="shared" si="324"/>
        <v>4.0000000000000001E-10</v>
      </c>
      <c r="W218" s="142">
        <f t="shared" si="325"/>
        <v>3E-10</v>
      </c>
      <c r="X218" s="142">
        <f t="shared" si="326"/>
        <v>3E-10</v>
      </c>
      <c r="Y218" s="142">
        <f t="shared" si="327"/>
        <v>0</v>
      </c>
      <c r="Z218" s="142">
        <f t="shared" si="328"/>
        <v>5.0000000000000003E-10</v>
      </c>
      <c r="AA218" s="142">
        <f t="shared" si="329"/>
        <v>6E-10</v>
      </c>
      <c r="AB218" s="142">
        <f t="shared" si="330"/>
        <v>6.9999999999999996E-10</v>
      </c>
      <c r="AC218" s="142">
        <f t="shared" si="331"/>
        <v>8.0000000000000003E-10</v>
      </c>
      <c r="AD218" s="142">
        <f t="shared" si="332"/>
        <v>8.9999999999999999E-10</v>
      </c>
      <c r="AE218" s="142">
        <f t="shared" si="345"/>
        <v>9.5000000000000003E-10</v>
      </c>
      <c r="AF218" s="142" t="b">
        <f t="shared" si="333"/>
        <v>0</v>
      </c>
      <c r="AG218" s="142" t="b">
        <f t="shared" si="334"/>
        <v>0</v>
      </c>
      <c r="AH218" s="142" t="b">
        <f t="shared" si="335"/>
        <v>0</v>
      </c>
      <c r="AI218" s="142" t="b">
        <f t="shared" si="336"/>
        <v>0</v>
      </c>
      <c r="AJ218" s="142" t="b">
        <f t="shared" si="337"/>
        <v>0</v>
      </c>
      <c r="AK218" s="142" t="b">
        <f t="shared" si="338"/>
        <v>1</v>
      </c>
      <c r="AL218" s="142" t="b">
        <f t="shared" si="339"/>
        <v>1</v>
      </c>
      <c r="AM218" s="142" t="b">
        <f t="shared" si="340"/>
        <v>1</v>
      </c>
      <c r="AN218" s="142" t="b">
        <f t="shared" si="341"/>
        <v>1</v>
      </c>
      <c r="AO218" s="142" t="b">
        <f t="shared" si="342"/>
        <v>1</v>
      </c>
      <c r="AP218" s="142" t="str">
        <f>'Reference Score Calculation'!AU195</f>
        <v>無</v>
      </c>
      <c r="AQ218" s="95" t="str">
        <f>'Reference Score Calculation'!M195</f>
        <v>/</v>
      </c>
      <c r="AR218" s="95"/>
      <c r="AS218" s="95"/>
      <c r="AT218" s="118"/>
      <c r="AU218" s="21">
        <f>IF(OR(P$1="化學",P$1="生物",P$1="物理"),P$7,0)</f>
        <v>0</v>
      </c>
      <c r="AV218" s="21">
        <f t="shared" ref="AV218:AX218" si="348">IF(OR(Q$1="化學",Q$1="生物",Q$1="物理"),Q$7,0)</f>
        <v>0</v>
      </c>
      <c r="AW218" s="21">
        <f t="shared" si="348"/>
        <v>0</v>
      </c>
      <c r="AX218" s="21">
        <f t="shared" si="348"/>
        <v>0</v>
      </c>
      <c r="AY218" s="2">
        <f>O$7</f>
        <v>5.0000000000000003E-10</v>
      </c>
      <c r="AZ218" s="117"/>
      <c r="BA218" s="119" t="str">
        <f>INDEX(AU217:AY217,MATCH(LARGE(AU218:AY218,1),AU218:AY218,0))</f>
        <v>數學延伸</v>
      </c>
      <c r="BB218" s="119">
        <f>LARGE((AU218:AY218),1)</f>
        <v>5.0000000000000003E-10</v>
      </c>
      <c r="BC218" s="119" t="str">
        <f>INDEX(AU217:AY217,MATCH(LARGE(AU218:AY218,2),AU218:AY218,0))</f>
        <v>請選擇第一選修科</v>
      </c>
      <c r="BD218" s="119">
        <f>LARGE((AU218:AY218),2)</f>
        <v>0</v>
      </c>
      <c r="BE218" s="118"/>
      <c r="BF218" s="21">
        <f>IF(OR(BF217=$BC$218,BF217=$BA$218),0,K$7)</f>
        <v>4.0000000000000001E-10</v>
      </c>
      <c r="BG218" s="21">
        <v>0</v>
      </c>
      <c r="BH218" s="21">
        <v>0</v>
      </c>
      <c r="BI218" s="21"/>
      <c r="BJ218" s="21">
        <f t="shared" ref="BJ218:BO218" si="349">IF(OR(BJ217=$BC$218,BJ217=$BA$218),0,O$7)</f>
        <v>0</v>
      </c>
      <c r="BK218" s="21">
        <f t="shared" si="349"/>
        <v>0</v>
      </c>
      <c r="BL218" s="21">
        <f t="shared" si="349"/>
        <v>6.9999999999999996E-10</v>
      </c>
      <c r="BM218" s="21">
        <f t="shared" si="349"/>
        <v>8.0000000000000003E-10</v>
      </c>
      <c r="BN218" s="21">
        <f t="shared" si="349"/>
        <v>8.9999999999999999E-10</v>
      </c>
      <c r="BO218" s="21">
        <f t="shared" si="349"/>
        <v>9.5000000000000003E-10</v>
      </c>
      <c r="BP218" s="117"/>
      <c r="BQ218" s="117"/>
      <c r="BR218" s="117"/>
      <c r="BS218" s="117"/>
      <c r="BT218" s="117"/>
    </row>
    <row r="219" spans="1:72">
      <c r="A219" s="142" t="str">
        <f>'Reference Score Calculation'!A196</f>
        <v>JS4893</v>
      </c>
      <c r="B219" s="193" t="str">
        <f>'Reference Score Calculation'!A196</f>
        <v>JS4893</v>
      </c>
      <c r="C219" s="193" t="str">
        <f>'Reference Score Calculation'!D196</f>
        <v>數據科學與政策研究</v>
      </c>
      <c r="D219" s="95"/>
      <c r="E219" s="193" t="str">
        <f>'Reference Score Calculation'!E196</f>
        <v>Best 5</v>
      </c>
      <c r="F219" s="95"/>
      <c r="G219" s="95" t="str">
        <f>入學要求!AB205</f>
        <v>v</v>
      </c>
      <c r="H219" s="95" t="str">
        <f>入學要求!AC205</f>
        <v>E</v>
      </c>
      <c r="I219" s="95" t="str">
        <f>入學要求!AD205</f>
        <v>NO</v>
      </c>
      <c r="J219" s="193">
        <f t="shared" si="347"/>
        <v>3.9500000000000006E-9</v>
      </c>
      <c r="K219" s="95">
        <v>1</v>
      </c>
      <c r="L219" s="95">
        <v>1</v>
      </c>
      <c r="M219" s="95">
        <v>1</v>
      </c>
      <c r="N219" s="95">
        <v>0</v>
      </c>
      <c r="O219" s="95">
        <v>1</v>
      </c>
      <c r="P219" s="95">
        <v>1</v>
      </c>
      <c r="Q219" s="95">
        <v>1</v>
      </c>
      <c r="R219" s="95">
        <v>1</v>
      </c>
      <c r="S219" s="95">
        <v>1</v>
      </c>
      <c r="T219" s="95">
        <v>1</v>
      </c>
      <c r="U219" s="95"/>
      <c r="V219" s="142">
        <f t="shared" si="324"/>
        <v>4.0000000000000001E-10</v>
      </c>
      <c r="W219" s="142">
        <f t="shared" si="325"/>
        <v>2.0000000000000001E-10</v>
      </c>
      <c r="X219" s="142">
        <f t="shared" si="326"/>
        <v>3E-10</v>
      </c>
      <c r="Y219" s="142">
        <f t="shared" si="327"/>
        <v>0</v>
      </c>
      <c r="Z219" s="142">
        <f t="shared" si="328"/>
        <v>5.0000000000000003E-10</v>
      </c>
      <c r="AA219" s="142">
        <f t="shared" si="329"/>
        <v>6E-10</v>
      </c>
      <c r="AB219" s="142">
        <f t="shared" si="330"/>
        <v>6.9999999999999996E-10</v>
      </c>
      <c r="AC219" s="142">
        <f t="shared" si="331"/>
        <v>8.0000000000000003E-10</v>
      </c>
      <c r="AD219" s="142">
        <f t="shared" si="332"/>
        <v>8.9999999999999999E-10</v>
      </c>
      <c r="AE219" s="142">
        <f t="shared" si="345"/>
        <v>9.5000000000000003E-10</v>
      </c>
      <c r="AF219" s="142" t="b">
        <f t="shared" si="333"/>
        <v>0</v>
      </c>
      <c r="AG219" s="142" t="b">
        <f t="shared" si="334"/>
        <v>0</v>
      </c>
      <c r="AH219" s="142" t="b">
        <f t="shared" si="335"/>
        <v>0</v>
      </c>
      <c r="AI219" s="142" t="b">
        <f t="shared" si="336"/>
        <v>0</v>
      </c>
      <c r="AJ219" s="142" t="b">
        <f t="shared" si="337"/>
        <v>0</v>
      </c>
      <c r="AK219" s="142" t="b">
        <f t="shared" si="338"/>
        <v>1</v>
      </c>
      <c r="AL219" s="142" t="b">
        <f t="shared" si="339"/>
        <v>1</v>
      </c>
      <c r="AM219" s="142" t="b">
        <f t="shared" si="340"/>
        <v>1</v>
      </c>
      <c r="AN219" s="142" t="b">
        <f t="shared" si="341"/>
        <v>1</v>
      </c>
      <c r="AO219" s="142" t="b">
        <f t="shared" si="342"/>
        <v>1</v>
      </c>
      <c r="AP219" s="142" t="str">
        <f>'Reference Score Calculation'!AU196</f>
        <v>無</v>
      </c>
      <c r="AQ219" s="95" t="str">
        <f>'Reference Score Calculation'!M196</f>
        <v>/</v>
      </c>
      <c r="AR219" s="95"/>
      <c r="AS219" s="95"/>
      <c r="AT219" s="118"/>
      <c r="AU219" s="169" t="s">
        <v>3088</v>
      </c>
      <c r="AV219" s="104"/>
      <c r="AW219" s="117"/>
      <c r="AX219" s="117"/>
      <c r="AY219" s="117"/>
      <c r="AZ219" s="117"/>
      <c r="BA219" s="118"/>
      <c r="BB219" s="118"/>
      <c r="BC219" s="104"/>
      <c r="BD219" s="118"/>
      <c r="BE219" s="118"/>
      <c r="BF219" s="169" t="b">
        <f>IF(BF218=LARGE($BF218:$BO218,1),TRUE,IF(OR(BF217=$BA$218,BF217=$BC$218),TRUE,FALSE))</f>
        <v>0</v>
      </c>
      <c r="BG219" s="169" t="b">
        <v>1</v>
      </c>
      <c r="BH219" s="169" t="b">
        <v>1</v>
      </c>
      <c r="BI219" s="169"/>
      <c r="BJ219" s="169" t="b">
        <f t="shared" ref="BJ219:BO219" si="350">IF(BJ218=LARGE($BF218:$BO218,1),TRUE,IF(OR(BJ217=$BA$218,BJ217=$BC$218),TRUE,FALSE))</f>
        <v>1</v>
      </c>
      <c r="BK219" s="169" t="b">
        <f t="shared" si="350"/>
        <v>1</v>
      </c>
      <c r="BL219" s="169" t="b">
        <f t="shared" si="350"/>
        <v>0</v>
      </c>
      <c r="BM219" s="169" t="b">
        <f t="shared" si="350"/>
        <v>0</v>
      </c>
      <c r="BN219" s="169" t="b">
        <f t="shared" si="350"/>
        <v>0</v>
      </c>
      <c r="BO219" s="169" t="b">
        <f t="shared" si="350"/>
        <v>1</v>
      </c>
      <c r="BP219" s="117"/>
      <c r="BQ219" s="117"/>
      <c r="BR219" s="117"/>
      <c r="BS219" s="117"/>
      <c r="BT219" s="117"/>
    </row>
    <row r="220" spans="1:72">
      <c r="A220" s="142" t="str">
        <f>'Reference Score Calculation'!A197</f>
        <v>JS4903</v>
      </c>
      <c r="B220" s="193" t="str">
        <f>'Reference Score Calculation'!A197</f>
        <v>JS4903</v>
      </c>
      <c r="C220" s="193" t="str">
        <f>'Reference Score Calculation'!D197</f>
        <v>法學士</v>
      </c>
      <c r="D220" s="95"/>
      <c r="E220" s="193" t="str">
        <f>'Reference Score Calculation'!E197</f>
        <v>4C2X</v>
      </c>
      <c r="F220" s="95"/>
      <c r="G220" s="95" t="str">
        <f>入學要求!AB206</f>
        <v>v</v>
      </c>
      <c r="H220" s="95" t="str">
        <f>入學要求!AC206</f>
        <v>E</v>
      </c>
      <c r="I220" s="95" t="str">
        <f>入學要求!AD206</f>
        <v>NO</v>
      </c>
      <c r="J220" s="193">
        <f>IF($W$15=TRUE,SUMIF(AF220:AO220,TRUE,V220:AE220)*0.95,SUMIF(AF220:AO220,TRUE,V220:AE220))</f>
        <v>3.1500000000000001E-9</v>
      </c>
      <c r="K220" s="95">
        <v>1.5</v>
      </c>
      <c r="L220" s="95">
        <v>2</v>
      </c>
      <c r="M220" s="95">
        <v>1</v>
      </c>
      <c r="N220" s="95">
        <v>2</v>
      </c>
      <c r="O220" s="95">
        <v>1</v>
      </c>
      <c r="P220" s="95">
        <v>1</v>
      </c>
      <c r="Q220" s="95">
        <v>1</v>
      </c>
      <c r="R220" s="95">
        <v>1</v>
      </c>
      <c r="S220" s="95">
        <v>1</v>
      </c>
      <c r="T220" s="95">
        <v>1</v>
      </c>
      <c r="U220" s="95"/>
      <c r="V220" s="142">
        <f t="shared" si="324"/>
        <v>6E-10</v>
      </c>
      <c r="W220" s="142">
        <f t="shared" si="325"/>
        <v>4.0000000000000001E-10</v>
      </c>
      <c r="X220" s="142">
        <f t="shared" si="326"/>
        <v>3E-10</v>
      </c>
      <c r="Y220" s="142">
        <f t="shared" si="327"/>
        <v>0</v>
      </c>
      <c r="Z220" s="142">
        <f t="shared" si="328"/>
        <v>5.0000000000000003E-10</v>
      </c>
      <c r="AA220" s="142">
        <f t="shared" si="329"/>
        <v>6E-10</v>
      </c>
      <c r="AB220" s="142">
        <f t="shared" si="330"/>
        <v>6.9999999999999996E-10</v>
      </c>
      <c r="AC220" s="142">
        <f t="shared" si="331"/>
        <v>8.0000000000000003E-10</v>
      </c>
      <c r="AD220" s="142">
        <f t="shared" si="332"/>
        <v>8.9999999999999999E-10</v>
      </c>
      <c r="AE220" s="142">
        <f t="shared" si="345"/>
        <v>9.5000000000000003E-10</v>
      </c>
      <c r="AF220" s="142" t="b">
        <f t="shared" si="333"/>
        <v>1</v>
      </c>
      <c r="AG220" s="142" t="b">
        <f t="shared" si="334"/>
        <v>1</v>
      </c>
      <c r="AH220" s="142" t="b">
        <f t="shared" si="335"/>
        <v>1</v>
      </c>
      <c r="AI220" s="142" t="b">
        <f t="shared" si="336"/>
        <v>1</v>
      </c>
      <c r="AJ220" s="142" t="b">
        <f t="shared" si="337"/>
        <v>0</v>
      </c>
      <c r="AK220" s="142" t="b">
        <f t="shared" si="338"/>
        <v>0</v>
      </c>
      <c r="AL220" s="142" t="b">
        <f t="shared" si="339"/>
        <v>0</v>
      </c>
      <c r="AM220" s="142" t="b">
        <f t="shared" si="340"/>
        <v>0</v>
      </c>
      <c r="AN220" s="142" t="b">
        <f t="shared" si="341"/>
        <v>1</v>
      </c>
      <c r="AO220" s="142" t="b">
        <f t="shared" si="342"/>
        <v>1</v>
      </c>
      <c r="AP220" s="142" t="str">
        <f>'Reference Score Calculation'!AU197</f>
        <v>5%或更少(全Cert)</v>
      </c>
      <c r="AQ220" s="95" t="str">
        <f>'Reference Score Calculation'!M197</f>
        <v>/</v>
      </c>
      <c r="AR220" s="95"/>
      <c r="AS220" s="95"/>
      <c r="AT220" s="118"/>
      <c r="AU220" s="169"/>
      <c r="AV220" s="104"/>
      <c r="AW220" s="117"/>
      <c r="AX220" s="117"/>
      <c r="AY220" s="117"/>
      <c r="AZ220" s="117"/>
      <c r="BA220" s="118"/>
      <c r="BB220" s="118"/>
      <c r="BC220" s="104"/>
      <c r="BD220" s="118"/>
      <c r="BE220" s="118"/>
      <c r="BF220" s="169"/>
      <c r="BG220" s="104"/>
      <c r="BH220" s="117"/>
      <c r="BI220" s="117"/>
      <c r="BJ220" s="117"/>
      <c r="BK220" s="117"/>
      <c r="BL220" s="117"/>
      <c r="BM220" s="117"/>
      <c r="BN220" s="117"/>
      <c r="BO220" s="117"/>
      <c r="BP220" s="117"/>
      <c r="BQ220" s="117"/>
      <c r="BR220" s="117"/>
      <c r="BS220" s="117"/>
      <c r="BT220" s="117"/>
    </row>
    <row r="221" spans="1:72" s="145" customFormat="1">
      <c r="A221" s="142"/>
      <c r="B221" s="119"/>
      <c r="C221" s="398" t="s">
        <v>3035</v>
      </c>
      <c r="D221" s="119"/>
      <c r="E221" s="119"/>
      <c r="F221" s="119"/>
      <c r="G221" s="119"/>
      <c r="H221" s="119"/>
      <c r="I221" s="119"/>
      <c r="J221" s="119"/>
      <c r="K221" s="119"/>
      <c r="L221" s="119"/>
      <c r="M221" s="119"/>
      <c r="N221" s="119"/>
      <c r="O221" s="119"/>
      <c r="P221" s="119"/>
      <c r="Q221" s="119"/>
      <c r="R221" s="119"/>
      <c r="S221" s="119"/>
      <c r="T221" s="119"/>
      <c r="U221" s="119"/>
      <c r="V221" s="119"/>
      <c r="W221" s="119"/>
      <c r="X221" s="119"/>
      <c r="Y221" s="119"/>
      <c r="Z221" s="119"/>
      <c r="AA221" s="119"/>
      <c r="AB221" s="119"/>
      <c r="AC221" s="119"/>
      <c r="AD221" s="119"/>
      <c r="AE221" s="119"/>
      <c r="AF221" s="119"/>
      <c r="AG221" s="119"/>
      <c r="AH221" s="119"/>
      <c r="AI221" s="119"/>
      <c r="AJ221" s="119"/>
      <c r="AK221" s="119"/>
      <c r="AL221" s="119"/>
      <c r="AM221" s="119"/>
      <c r="AN221" s="119"/>
      <c r="AO221" s="119"/>
      <c r="AP221" s="119"/>
      <c r="AQ221" s="95">
        <f>'Reference Score Calculation'!M198</f>
        <v>0</v>
      </c>
      <c r="AR221" s="95"/>
      <c r="AS221" s="95"/>
      <c r="AT221" s="195" t="s">
        <v>367</v>
      </c>
      <c r="AU221" s="194" t="str">
        <f>P$1</f>
        <v>請選擇第一選修科</v>
      </c>
      <c r="AV221" s="194" t="str">
        <f>Q$1</f>
        <v>請選擇第二選修科</v>
      </c>
      <c r="AW221" s="194" t="str">
        <f>R$1</f>
        <v>請選擇第三選修科</v>
      </c>
      <c r="AX221" s="194" t="str">
        <f>S$1</f>
        <v>請選擇第四選修科</v>
      </c>
      <c r="AY221" s="194" t="str">
        <f>O$1</f>
        <v>數學延伸</v>
      </c>
      <c r="AZ221" s="196"/>
      <c r="BA221" s="198" t="s">
        <v>364</v>
      </c>
      <c r="BB221" s="195"/>
      <c r="BC221" s="199" t="s">
        <v>102</v>
      </c>
      <c r="BD221" s="194"/>
      <c r="BE221" s="198" t="s">
        <v>365</v>
      </c>
      <c r="BF221" s="195"/>
      <c r="BG221" s="199" t="s">
        <v>102</v>
      </c>
      <c r="BH221" s="196"/>
      <c r="BI221" s="194" t="str">
        <f t="shared" ref="BI221:BR221" si="351">K$1</f>
        <v>中國語文</v>
      </c>
      <c r="BJ221" s="194" t="str">
        <f t="shared" si="351"/>
        <v>英國語文</v>
      </c>
      <c r="BK221" s="194" t="str">
        <f t="shared" si="351"/>
        <v>數學</v>
      </c>
      <c r="BL221" s="194"/>
      <c r="BM221" s="194" t="str">
        <f t="shared" si="351"/>
        <v>數學延伸</v>
      </c>
      <c r="BN221" s="194" t="str">
        <f t="shared" si="351"/>
        <v>請選擇第一選修科</v>
      </c>
      <c r="BO221" s="194" t="str">
        <f t="shared" si="351"/>
        <v>請選擇第二選修科</v>
      </c>
      <c r="BP221" s="194" t="str">
        <f t="shared" si="351"/>
        <v>請選擇第三選修科</v>
      </c>
      <c r="BQ221" s="194" t="str">
        <f t="shared" si="351"/>
        <v>請選擇第四選修科</v>
      </c>
      <c r="BR221" s="194" t="str">
        <f t="shared" si="351"/>
        <v>請選擇語言科目</v>
      </c>
      <c r="BS221" s="196"/>
      <c r="BT221" s="196"/>
    </row>
    <row r="222" spans="1:72">
      <c r="A222" s="142"/>
      <c r="B222" s="144" t="s">
        <v>369</v>
      </c>
      <c r="C222" s="418"/>
      <c r="D222" s="144"/>
      <c r="E222" s="149"/>
      <c r="F222" s="457"/>
      <c r="G222" s="19" t="s">
        <v>297</v>
      </c>
      <c r="H222" s="19" t="s">
        <v>298</v>
      </c>
      <c r="I222" s="19" t="s">
        <v>299</v>
      </c>
      <c r="J222" s="133" t="s">
        <v>245</v>
      </c>
      <c r="K222" s="133" t="s">
        <v>274</v>
      </c>
      <c r="L222" s="133" t="s">
        <v>275</v>
      </c>
      <c r="M222" s="133" t="s">
        <v>276</v>
      </c>
      <c r="N222" s="133" t="s">
        <v>277</v>
      </c>
      <c r="O222" s="133" t="s">
        <v>278</v>
      </c>
      <c r="P222" s="133" t="s">
        <v>279</v>
      </c>
      <c r="Q222" s="133" t="s">
        <v>280</v>
      </c>
      <c r="R222" s="133" t="s">
        <v>281</v>
      </c>
      <c r="S222" s="133" t="s">
        <v>282</v>
      </c>
      <c r="T222" s="133" t="s">
        <v>319</v>
      </c>
      <c r="U222" s="144"/>
      <c r="V222" s="133" t="str">
        <f t="shared" ref="V222:AE222" si="352">K$1</f>
        <v>中國語文</v>
      </c>
      <c r="W222" s="133" t="str">
        <f t="shared" si="352"/>
        <v>英國語文</v>
      </c>
      <c r="X222" s="133" t="str">
        <f t="shared" si="352"/>
        <v>數學</v>
      </c>
      <c r="Y222" s="133" t="str">
        <f t="shared" si="352"/>
        <v>通識教育</v>
      </c>
      <c r="Z222" s="133" t="str">
        <f t="shared" si="352"/>
        <v>數學延伸</v>
      </c>
      <c r="AA222" s="133" t="str">
        <f t="shared" si="352"/>
        <v>請選擇第一選修科</v>
      </c>
      <c r="AB222" s="133" t="str">
        <f t="shared" si="352"/>
        <v>請選擇第二選修科</v>
      </c>
      <c r="AC222" s="133" t="str">
        <f t="shared" si="352"/>
        <v>請選擇第三選修科</v>
      </c>
      <c r="AD222" s="133" t="str">
        <f t="shared" si="352"/>
        <v>請選擇第四選修科</v>
      </c>
      <c r="AE222" s="133" t="str">
        <f t="shared" si="352"/>
        <v>請選擇語言科目</v>
      </c>
      <c r="AF222" s="133" t="s">
        <v>284</v>
      </c>
      <c r="AG222" s="133" t="s">
        <v>285</v>
      </c>
      <c r="AH222" s="133" t="s">
        <v>286</v>
      </c>
      <c r="AI222" s="133" t="s">
        <v>287</v>
      </c>
      <c r="AJ222" s="133" t="s">
        <v>288</v>
      </c>
      <c r="AK222" s="133" t="s">
        <v>289</v>
      </c>
      <c r="AL222" s="133" t="s">
        <v>290</v>
      </c>
      <c r="AM222" s="133" t="s">
        <v>291</v>
      </c>
      <c r="AN222" s="133" t="s">
        <v>292</v>
      </c>
      <c r="AO222" s="133" t="s">
        <v>320</v>
      </c>
      <c r="AP222" s="145"/>
      <c r="AQ222" s="95">
        <f>'Reference Score Calculation'!M199</f>
        <v>0</v>
      </c>
      <c r="AR222" s="95"/>
      <c r="AS222" s="95"/>
      <c r="AT222" s="118" t="s">
        <v>368</v>
      </c>
      <c r="AU222" s="21">
        <f>IF(OR(P$1="化學",P$1="生物"),P$7*1.5,IF(P$1="物理",P$7*2,0))</f>
        <v>0</v>
      </c>
      <c r="AV222" s="21">
        <f t="shared" ref="AV222:AX222" si="353">IF(OR(Q$1="化學",Q$1="生物"),Q$7*1.5,IF(Q$1="物理",Q$7*2,0))</f>
        <v>0</v>
      </c>
      <c r="AW222" s="21">
        <f t="shared" si="353"/>
        <v>0</v>
      </c>
      <c r="AX222" s="21">
        <f t="shared" si="353"/>
        <v>0</v>
      </c>
      <c r="AY222" s="2">
        <f>O$7*2</f>
        <v>1.0000000000000001E-9</v>
      </c>
      <c r="AZ222" s="117"/>
      <c r="BA222" s="119" t="str">
        <f>INDEX(AU221:AY221,MATCH(LARGE(AU222:AY222,1),AU222:AY222,0))</f>
        <v>數學延伸</v>
      </c>
      <c r="BB222" s="119">
        <f>LARGE((AU222:AY222),1)</f>
        <v>1.0000000000000001E-9</v>
      </c>
      <c r="BC222" s="16">
        <f>IF(OR(BA222="物理",BA222="數學延伸"),2,IF(OR(BA222="生物",BA222="化學",BA222="組合科學(物理、化學)",BA222="組合科學(生物、化學)",BA222="組合科學(物理、生物)"),1.5,1))</f>
        <v>2</v>
      </c>
      <c r="BD222" s="103"/>
      <c r="BE222" s="119" t="str">
        <f>INDEX(AU221:AY221,MATCH(LARGE(AU222:AY222,2),AU222:AY222,0))</f>
        <v>請選擇第一選修科</v>
      </c>
      <c r="BF222" s="119">
        <f>LARGE((AU222:AY222),2)</f>
        <v>0</v>
      </c>
      <c r="BG222" s="16">
        <f>IF(OR(BE222="物理",BE222="數學延伸"),2,IF(OR(BE222="生物",BE222="化學",BE222="組合科學(物理、化學)",BE222="組合科學(生物、化學)",BE222="組合科學(物理、生物)"),1.5,1))</f>
        <v>1</v>
      </c>
      <c r="BH222" s="117"/>
      <c r="BI222" s="21">
        <f>IF(BI221=$BA$222,0,IF(BI221=$BE$222,$BF$222*$BG$222,K$7))</f>
        <v>4.0000000000000001E-10</v>
      </c>
      <c r="BJ222" s="21">
        <v>0</v>
      </c>
      <c r="BK222" s="21">
        <v>0</v>
      </c>
      <c r="BL222" s="21"/>
      <c r="BM222" s="21">
        <f t="shared" ref="BM222:BR222" si="354">IF(BM221=$BA$222,0,IF(BM221=$BE$222,$BF$222*$BG$222,O$7))</f>
        <v>0</v>
      </c>
      <c r="BN222" s="21">
        <f t="shared" si="354"/>
        <v>0</v>
      </c>
      <c r="BO222" s="21">
        <f t="shared" si="354"/>
        <v>6.9999999999999996E-10</v>
      </c>
      <c r="BP222" s="21">
        <f t="shared" si="354"/>
        <v>8.0000000000000003E-10</v>
      </c>
      <c r="BQ222" s="21">
        <f t="shared" si="354"/>
        <v>8.9999999999999999E-10</v>
      </c>
      <c r="BR222" s="21">
        <f t="shared" si="354"/>
        <v>9.5000000000000003E-10</v>
      </c>
      <c r="BS222" s="117"/>
      <c r="BT222" s="117"/>
    </row>
    <row r="223" spans="1:72" s="145" customFormat="1">
      <c r="A223" s="142" t="str">
        <f>'Reference Score Calculation'!A200</f>
        <v>JS5101</v>
      </c>
      <c r="B223" s="119" t="str">
        <f>'Reference Score Calculation'!A200</f>
        <v>JS5101</v>
      </c>
      <c r="C223" s="119" t="str">
        <f>'Reference Score Calculation'!D200</f>
        <v>國際科研</v>
      </c>
      <c r="D223" s="119" t="e">
        <f>'Reference Score Calculation'!#REF!</f>
        <v>#REF!</v>
      </c>
      <c r="E223" s="119" t="str">
        <f>'Reference Score Calculation'!E200</f>
        <v>英數Best3</v>
      </c>
      <c r="F223" s="119"/>
      <c r="G223" s="119" t="str">
        <f>入學要求!AB209</f>
        <v>v</v>
      </c>
      <c r="H223" s="119" t="str">
        <f>入學要求!AC209</f>
        <v>NO</v>
      </c>
      <c r="I223" s="119" t="str">
        <f>入學要求!AD209</f>
        <v>NO</v>
      </c>
      <c r="J223" s="119">
        <f>SUMIF(AF223:AO223,TRUE,V223:AE223)</f>
        <v>1.6000000000000001E-9</v>
      </c>
      <c r="K223" s="119">
        <v>1</v>
      </c>
      <c r="L223" s="119">
        <v>1</v>
      </c>
      <c r="M223" s="119">
        <v>1</v>
      </c>
      <c r="N223" s="119">
        <v>0</v>
      </c>
      <c r="O223" s="119">
        <v>1</v>
      </c>
      <c r="P223" s="119">
        <v>1</v>
      </c>
      <c r="Q223" s="119">
        <v>1</v>
      </c>
      <c r="R223" s="119">
        <v>1</v>
      </c>
      <c r="S223" s="119">
        <v>1</v>
      </c>
      <c r="T223" s="119">
        <v>1</v>
      </c>
      <c r="U223" s="119"/>
      <c r="V223" s="119">
        <f t="shared" ref="V223:V248" si="355">K$7*K223</f>
        <v>4.0000000000000001E-10</v>
      </c>
      <c r="W223" s="119">
        <f t="shared" ref="W223:W248" si="356">L$7*L223</f>
        <v>2.0000000000000001E-10</v>
      </c>
      <c r="X223" s="119">
        <f t="shared" ref="X223:X248" si="357">M$7*M223</f>
        <v>3E-10</v>
      </c>
      <c r="Y223" s="119">
        <f t="shared" ref="Y223:Y248" si="358">N$7*N223</f>
        <v>0</v>
      </c>
      <c r="Z223" s="119">
        <f t="shared" ref="Z223:Z248" si="359">IF(G223="v",O$7*O223,0)</f>
        <v>5.0000000000000003E-10</v>
      </c>
      <c r="AA223" s="119">
        <f t="shared" ref="AA223:AA248" si="360">P$7*P223</f>
        <v>6E-10</v>
      </c>
      <c r="AB223" s="119">
        <f t="shared" ref="AB223:AB248" si="361">Q$7*Q223</f>
        <v>6.9999999999999996E-10</v>
      </c>
      <c r="AC223" s="119">
        <f t="shared" ref="AC223:AC248" si="362">R$7*R223</f>
        <v>8.0000000000000003E-10</v>
      </c>
      <c r="AD223" s="119">
        <f t="shared" ref="AD223:AD248" si="363">S$7*S223</f>
        <v>8.9999999999999999E-10</v>
      </c>
      <c r="AE223" s="119">
        <f t="shared" ref="AE223:AE248" si="364">IF(H223="E",T$7*T223,0)</f>
        <v>0</v>
      </c>
      <c r="AF223" s="119" t="b">
        <f t="shared" ref="AF223:AO223" si="365">BF219</f>
        <v>0</v>
      </c>
      <c r="AG223" s="119" t="b">
        <f t="shared" si="365"/>
        <v>1</v>
      </c>
      <c r="AH223" s="119" t="b">
        <f t="shared" si="365"/>
        <v>1</v>
      </c>
      <c r="AI223" s="119">
        <f t="shared" si="365"/>
        <v>0</v>
      </c>
      <c r="AJ223" s="119" t="b">
        <f t="shared" si="365"/>
        <v>1</v>
      </c>
      <c r="AK223" s="119" t="b">
        <f t="shared" si="365"/>
        <v>1</v>
      </c>
      <c r="AL223" s="119" t="b">
        <f t="shared" si="365"/>
        <v>0</v>
      </c>
      <c r="AM223" s="119" t="b">
        <f t="shared" si="365"/>
        <v>0</v>
      </c>
      <c r="AN223" s="119" t="b">
        <f t="shared" si="365"/>
        <v>0</v>
      </c>
      <c r="AO223" s="119" t="b">
        <f t="shared" si="365"/>
        <v>1</v>
      </c>
      <c r="AP223" s="119"/>
      <c r="AQ223" s="95" t="str">
        <f>'Reference Score Calculation'!M200</f>
        <v>由於科大公佈了已計「加分制」的2023年收生分數，</v>
      </c>
      <c r="AR223" s="95"/>
      <c r="AS223" s="95"/>
      <c r="AT223" s="118"/>
      <c r="AU223" s="169" t="s">
        <v>3089</v>
      </c>
      <c r="AV223" s="104"/>
      <c r="AW223" s="117"/>
      <c r="AX223" s="117"/>
      <c r="AY223" s="117"/>
      <c r="AZ223" s="117"/>
      <c r="BA223" s="163" t="s">
        <v>366</v>
      </c>
      <c r="BB223" s="118"/>
      <c r="BC223" s="104"/>
      <c r="BD223" s="103"/>
      <c r="BE223" s="103"/>
      <c r="BF223" s="117"/>
      <c r="BG223" s="117"/>
      <c r="BH223" s="117"/>
      <c r="BI223" s="169" t="b">
        <f>IF(BI221=$BA$222,TRUE,IF(BI222&gt;LARGE($BI222:$BR222,3),TRUE))</f>
        <v>0</v>
      </c>
      <c r="BJ223" s="169" t="b">
        <v>1</v>
      </c>
      <c r="BK223" s="169" t="b">
        <v>1</v>
      </c>
      <c r="BL223" s="169"/>
      <c r="BM223" s="169" t="b">
        <f t="shared" ref="BM223:BR223" si="366">IF(BM221=$BA$222,TRUE,IF(BM222&gt;LARGE($BI222:$BR222,3),TRUE))</f>
        <v>1</v>
      </c>
      <c r="BN223" s="169" t="b">
        <f t="shared" si="366"/>
        <v>0</v>
      </c>
      <c r="BO223" s="169" t="b">
        <f t="shared" si="366"/>
        <v>0</v>
      </c>
      <c r="BP223" s="169" t="b">
        <f t="shared" si="366"/>
        <v>0</v>
      </c>
      <c r="BQ223" s="169" t="b">
        <f t="shared" si="366"/>
        <v>1</v>
      </c>
      <c r="BR223" s="169" t="b">
        <f t="shared" si="366"/>
        <v>1</v>
      </c>
      <c r="BS223" s="117"/>
      <c r="BT223" s="117"/>
    </row>
    <row r="224" spans="1:72">
      <c r="A224" s="142" t="str">
        <f>'Reference Score Calculation'!A201</f>
        <v>JS5102</v>
      </c>
      <c r="B224" s="119" t="str">
        <f>'Reference Score Calculation'!A201</f>
        <v>JS5102</v>
      </c>
      <c r="C224" s="119" t="str">
        <f>'Reference Score Calculation'!D201</f>
        <v>理學Ａ組</v>
      </c>
      <c r="E224" s="119" t="str">
        <f>'Reference Score Calculation'!E201</f>
        <v>英數Best3</v>
      </c>
      <c r="F224" s="119"/>
      <c r="G224" s="119" t="str">
        <f>入學要求!AB210</f>
        <v>v</v>
      </c>
      <c r="H224" s="119" t="str">
        <f>入學要求!AC210</f>
        <v>NO</v>
      </c>
      <c r="I224" s="119" t="str">
        <f>入學要求!AD210</f>
        <v>NO</v>
      </c>
      <c r="J224" s="119">
        <f t="shared" ref="J224:J248" si="367">SUMIF(AF224:AO224,TRUE,V224:AE224)</f>
        <v>2.5000000000000001E-9</v>
      </c>
      <c r="K224" s="119">
        <v>1</v>
      </c>
      <c r="L224" s="119">
        <v>1.5</v>
      </c>
      <c r="M224" s="119">
        <v>1</v>
      </c>
      <c r="N224" s="119">
        <v>0</v>
      </c>
      <c r="O224" s="142">
        <f>IF(O$1=$BA$222,$BC$222,IF(O$1=$BE$222,$BG$222,1))</f>
        <v>2</v>
      </c>
      <c r="P224" s="142">
        <f>IF(P$1=$BA$222,$BC$222,IF(P$1=$BE$222,$BG$222,1))</f>
        <v>1</v>
      </c>
      <c r="Q224" s="142">
        <f>IF(Q$1=$BA$222,$BC$222,IF(Q$1=$BE$222,$BG$222,1))</f>
        <v>1</v>
      </c>
      <c r="R224" s="142">
        <f>IF(R$1=$BA$222,$BC$222,IF(R$1=$BE$222,$BG$222,1))</f>
        <v>1</v>
      </c>
      <c r="S224" s="142">
        <f>IF(S$1=$BA$222,$BC$222,IF(S$1=$BE$222,$BG$222,1))</f>
        <v>1</v>
      </c>
      <c r="T224" s="119">
        <v>1</v>
      </c>
      <c r="U224" s="142"/>
      <c r="V224" s="119">
        <f t="shared" si="355"/>
        <v>4.0000000000000001E-10</v>
      </c>
      <c r="W224" s="119">
        <f t="shared" si="356"/>
        <v>3E-10</v>
      </c>
      <c r="X224" s="119">
        <f t="shared" si="357"/>
        <v>3E-10</v>
      </c>
      <c r="Y224" s="119">
        <f t="shared" si="358"/>
        <v>0</v>
      </c>
      <c r="Z224" s="119">
        <f t="shared" si="359"/>
        <v>1.0000000000000001E-9</v>
      </c>
      <c r="AA224" s="119">
        <f t="shared" si="360"/>
        <v>6E-10</v>
      </c>
      <c r="AB224" s="119">
        <f t="shared" si="361"/>
        <v>6.9999999999999996E-10</v>
      </c>
      <c r="AC224" s="119">
        <f t="shared" si="362"/>
        <v>8.0000000000000003E-10</v>
      </c>
      <c r="AD224" s="119">
        <f t="shared" si="363"/>
        <v>8.9999999999999999E-10</v>
      </c>
      <c r="AE224" s="119">
        <f t="shared" si="364"/>
        <v>0</v>
      </c>
      <c r="AF224" s="142" t="b">
        <f t="shared" ref="AF224:AO224" si="368">BI223</f>
        <v>0</v>
      </c>
      <c r="AG224" s="142" t="b">
        <f t="shared" si="368"/>
        <v>1</v>
      </c>
      <c r="AH224" s="142" t="b">
        <f t="shared" si="368"/>
        <v>1</v>
      </c>
      <c r="AI224" s="142">
        <f t="shared" si="368"/>
        <v>0</v>
      </c>
      <c r="AJ224" s="142" t="b">
        <f t="shared" si="368"/>
        <v>1</v>
      </c>
      <c r="AK224" s="142" t="b">
        <f t="shared" si="368"/>
        <v>0</v>
      </c>
      <c r="AL224" s="142" t="b">
        <f t="shared" si="368"/>
        <v>0</v>
      </c>
      <c r="AM224" s="142" t="b">
        <f t="shared" si="368"/>
        <v>0</v>
      </c>
      <c r="AN224" s="142" t="b">
        <f t="shared" si="368"/>
        <v>1</v>
      </c>
      <c r="AO224" s="142" t="b">
        <f t="shared" si="368"/>
        <v>1</v>
      </c>
      <c r="AQ224" s="95" t="str">
        <f>'Reference Score Calculation'!M201</f>
        <v>由於科大公佈了已計「加分制」的2023年收生分數，</v>
      </c>
      <c r="AR224" s="95"/>
      <c r="AS224" s="95"/>
      <c r="AT224" s="118"/>
      <c r="AU224" s="118"/>
      <c r="AV224" s="118"/>
      <c r="AW224" s="118"/>
      <c r="AX224" s="118"/>
      <c r="AY224" s="118"/>
      <c r="AZ224" s="118"/>
      <c r="BA224" s="169"/>
      <c r="BB224" s="104"/>
      <c r="BC224" s="117"/>
      <c r="BD224" s="117"/>
      <c r="BE224" s="117"/>
      <c r="BF224" s="117"/>
      <c r="BG224" s="118"/>
      <c r="BH224" s="117"/>
      <c r="BI224" s="117"/>
      <c r="BJ224" s="117"/>
      <c r="BK224" s="117"/>
      <c r="BL224" s="117"/>
      <c r="BM224" s="117"/>
      <c r="BN224" s="117"/>
      <c r="BO224" s="117"/>
      <c r="BP224" s="117"/>
      <c r="BQ224" s="117"/>
      <c r="BR224" s="117"/>
      <c r="BS224" s="117"/>
      <c r="BT224" s="117"/>
    </row>
    <row r="225" spans="1:72">
      <c r="A225" s="142" t="str">
        <f>'Reference Score Calculation'!A202</f>
        <v>JS5103</v>
      </c>
      <c r="B225" s="119" t="str">
        <f>'Reference Score Calculation'!A202</f>
        <v>JS5103</v>
      </c>
      <c r="C225" s="119" t="str">
        <f>'Reference Score Calculation'!D202</f>
        <v>理學Ｂ組</v>
      </c>
      <c r="E225" s="119" t="str">
        <f>'Reference Score Calculation'!E202</f>
        <v>英數Best3</v>
      </c>
      <c r="F225" s="119"/>
      <c r="G225" s="119" t="str">
        <f>入學要求!AB211</f>
        <v>v</v>
      </c>
      <c r="H225" s="119" t="str">
        <f>入學要求!AC211</f>
        <v>NO</v>
      </c>
      <c r="I225" s="119" t="str">
        <f>入學要求!AD211</f>
        <v>NO</v>
      </c>
      <c r="J225" s="119">
        <f t="shared" si="367"/>
        <v>2.2500000000000003E-9</v>
      </c>
      <c r="K225" s="119">
        <v>1</v>
      </c>
      <c r="L225" s="119">
        <v>1.5</v>
      </c>
      <c r="M225" s="119">
        <v>1</v>
      </c>
      <c r="N225" s="119">
        <v>0</v>
      </c>
      <c r="O225" s="142">
        <f>IF(O$1=$BA$226,$BC$226,IF(O$1=$BE$226,$BG$226,1))</f>
        <v>1.5</v>
      </c>
      <c r="P225" s="142">
        <f>IF(P$1=$BA$226,$BC$226,IF(P$1=$BE$226,$BG$226,1))</f>
        <v>1</v>
      </c>
      <c r="Q225" s="142">
        <f>IF(Q$1=$BA$226,$BC$226,IF(Q$1=$BE$226,$BG$226,1))</f>
        <v>1</v>
      </c>
      <c r="R225" s="142">
        <f>IF(R$1=$BA$226,$BC$226,IF(R$1=$BE$226,$BG$226,1))</f>
        <v>1</v>
      </c>
      <c r="S225" s="142">
        <f>IF(S$1=$BA$226,$BC$226,IF(S$1=$BE$226,$BG$226,1))</f>
        <v>1</v>
      </c>
      <c r="T225" s="119">
        <v>1</v>
      </c>
      <c r="U225" s="142"/>
      <c r="V225" s="119">
        <f t="shared" si="355"/>
        <v>4.0000000000000001E-10</v>
      </c>
      <c r="W225" s="119">
        <f t="shared" si="356"/>
        <v>3E-10</v>
      </c>
      <c r="X225" s="119">
        <f t="shared" si="357"/>
        <v>3E-10</v>
      </c>
      <c r="Y225" s="119">
        <f t="shared" si="358"/>
        <v>0</v>
      </c>
      <c r="Z225" s="119">
        <f t="shared" si="359"/>
        <v>7.500000000000001E-10</v>
      </c>
      <c r="AA225" s="119">
        <f t="shared" si="360"/>
        <v>6E-10</v>
      </c>
      <c r="AB225" s="119">
        <f t="shared" si="361"/>
        <v>6.9999999999999996E-10</v>
      </c>
      <c r="AC225" s="119">
        <f t="shared" si="362"/>
        <v>8.0000000000000003E-10</v>
      </c>
      <c r="AD225" s="119">
        <f t="shared" si="363"/>
        <v>8.9999999999999999E-10</v>
      </c>
      <c r="AE225" s="119">
        <f t="shared" si="364"/>
        <v>0</v>
      </c>
      <c r="AF225" s="142" t="b">
        <f t="shared" ref="AF225:AO225" si="369">BI227</f>
        <v>0</v>
      </c>
      <c r="AG225" s="142" t="b">
        <f t="shared" si="369"/>
        <v>1</v>
      </c>
      <c r="AH225" s="142" t="b">
        <f t="shared" si="369"/>
        <v>1</v>
      </c>
      <c r="AI225" s="142">
        <f t="shared" si="369"/>
        <v>0</v>
      </c>
      <c r="AJ225" s="142" t="b">
        <f t="shared" si="369"/>
        <v>1</v>
      </c>
      <c r="AK225" s="142" t="b">
        <f t="shared" si="369"/>
        <v>0</v>
      </c>
      <c r="AL225" s="142" t="b">
        <f t="shared" si="369"/>
        <v>0</v>
      </c>
      <c r="AM225" s="142" t="b">
        <f t="shared" si="369"/>
        <v>0</v>
      </c>
      <c r="AN225" s="142" t="b">
        <f t="shared" si="369"/>
        <v>1</v>
      </c>
      <c r="AO225" s="142" t="b">
        <f t="shared" si="369"/>
        <v>1</v>
      </c>
      <c r="AQ225" s="95" t="str">
        <f>'Reference Score Calculation'!M202</f>
        <v>由於科大公佈了已計「加分制」的2023年收生分數，</v>
      </c>
      <c r="AR225" s="95"/>
      <c r="AS225" s="95"/>
      <c r="AT225" s="118" t="s">
        <v>517</v>
      </c>
      <c r="AU225" s="103" t="str">
        <f>P$1</f>
        <v>請選擇第一選修科</v>
      </c>
      <c r="AV225" s="103" t="str">
        <f>Q$1</f>
        <v>請選擇第二選修科</v>
      </c>
      <c r="AW225" s="103" t="str">
        <f>R$1</f>
        <v>請選擇第三選修科</v>
      </c>
      <c r="AX225" s="103" t="str">
        <f>S$1</f>
        <v>請選擇第四選修科</v>
      </c>
      <c r="AY225" s="103" t="str">
        <f>O$1</f>
        <v>數學延伸</v>
      </c>
      <c r="AZ225" s="117"/>
      <c r="BA225" s="161" t="s">
        <v>364</v>
      </c>
      <c r="BB225" s="118"/>
      <c r="BC225" s="104" t="s">
        <v>102</v>
      </c>
      <c r="BD225" s="103"/>
      <c r="BE225" s="161" t="s">
        <v>365</v>
      </c>
      <c r="BF225" s="118"/>
      <c r="BG225" s="104" t="s">
        <v>102</v>
      </c>
      <c r="BH225" s="117"/>
      <c r="BI225" s="103" t="str">
        <f t="shared" ref="BI225:BR225" si="370">K$1</f>
        <v>中國語文</v>
      </c>
      <c r="BJ225" s="103" t="str">
        <f t="shared" si="370"/>
        <v>英國語文</v>
      </c>
      <c r="BK225" s="103" t="str">
        <f t="shared" si="370"/>
        <v>數學</v>
      </c>
      <c r="BL225" s="103"/>
      <c r="BM225" s="103" t="str">
        <f t="shared" si="370"/>
        <v>數學延伸</v>
      </c>
      <c r="BN225" s="103" t="str">
        <f t="shared" si="370"/>
        <v>請選擇第一選修科</v>
      </c>
      <c r="BO225" s="103" t="str">
        <f t="shared" si="370"/>
        <v>請選擇第二選修科</v>
      </c>
      <c r="BP225" s="103" t="str">
        <f t="shared" si="370"/>
        <v>請選擇第三選修科</v>
      </c>
      <c r="BQ225" s="103" t="str">
        <f t="shared" si="370"/>
        <v>請選擇第四選修科</v>
      </c>
      <c r="BR225" s="103" t="str">
        <f t="shared" si="370"/>
        <v>請選擇語言科目</v>
      </c>
      <c r="BS225" s="117"/>
      <c r="BT225" s="117"/>
    </row>
    <row r="226" spans="1:72">
      <c r="A226" s="142" t="str">
        <f>'Reference Score Calculation'!A203</f>
        <v>JS5181</v>
      </c>
      <c r="B226" s="119" t="str">
        <f>'Reference Score Calculation'!A203</f>
        <v>JS5181</v>
      </c>
      <c r="C226" s="119" t="str">
        <f>'Reference Score Calculation'!D203</f>
        <v>理學Ａ組– 延伸主修人工智能</v>
      </c>
      <c r="E226" s="119" t="str">
        <f>'Reference Score Calculation'!E203</f>
        <v>英數Best3</v>
      </c>
      <c r="F226" s="119"/>
      <c r="G226" s="119" t="str">
        <f>入學要求!AB212</f>
        <v>v</v>
      </c>
      <c r="H226" s="119" t="str">
        <f>入學要求!AC212</f>
        <v>NO</v>
      </c>
      <c r="I226" s="119" t="str">
        <f>入學要求!AD212</f>
        <v>NO</v>
      </c>
      <c r="J226" s="119">
        <f t="shared" si="367"/>
        <v>2.5000000000000001E-9</v>
      </c>
      <c r="K226" s="119">
        <v>1</v>
      </c>
      <c r="L226" s="119">
        <v>1.5</v>
      </c>
      <c r="M226" s="119">
        <v>1</v>
      </c>
      <c r="N226" s="119">
        <v>0</v>
      </c>
      <c r="O226" s="142">
        <f>IF(O$1=$BA$222,$BC$222,IF(O$1=$BE$222,$BG$222,1))</f>
        <v>2</v>
      </c>
      <c r="P226" s="142">
        <f>IF(P$1=$BA$222,$BC$222,IF(P$1=$BE$222,$BG$222,1))</f>
        <v>1</v>
      </c>
      <c r="Q226" s="142">
        <f>IF(Q$1=$BA$222,$BC$222,IF(Q$1=$BE$222,$BG$222,1))</f>
        <v>1</v>
      </c>
      <c r="R226" s="142">
        <f>IF(R$1=$BA$222,$BC$222,IF(R$1=$BE$222,$BG$222,1))</f>
        <v>1</v>
      </c>
      <c r="S226" s="142">
        <f>IF(S$1=$BA$222,$BC$222,IF(S$1=$BE$222,$BG$222,1))</f>
        <v>1</v>
      </c>
      <c r="T226" s="119">
        <v>1</v>
      </c>
      <c r="U226" s="142"/>
      <c r="V226" s="119">
        <f t="shared" si="355"/>
        <v>4.0000000000000001E-10</v>
      </c>
      <c r="W226" s="119">
        <f t="shared" si="356"/>
        <v>3E-10</v>
      </c>
      <c r="X226" s="119">
        <f t="shared" si="357"/>
        <v>3E-10</v>
      </c>
      <c r="Y226" s="119">
        <f t="shared" si="358"/>
        <v>0</v>
      </c>
      <c r="Z226" s="119">
        <f t="shared" si="359"/>
        <v>1.0000000000000001E-9</v>
      </c>
      <c r="AA226" s="119">
        <f t="shared" si="360"/>
        <v>6E-10</v>
      </c>
      <c r="AB226" s="119">
        <f t="shared" si="361"/>
        <v>6.9999999999999996E-10</v>
      </c>
      <c r="AC226" s="119">
        <f t="shared" si="362"/>
        <v>8.0000000000000003E-10</v>
      </c>
      <c r="AD226" s="119">
        <f t="shared" si="363"/>
        <v>8.9999999999999999E-10</v>
      </c>
      <c r="AE226" s="119">
        <f t="shared" si="364"/>
        <v>0</v>
      </c>
      <c r="AF226" s="142" t="b">
        <f t="shared" ref="AF226:AO226" si="371">BI223</f>
        <v>0</v>
      </c>
      <c r="AG226" s="142" t="b">
        <f t="shared" si="371"/>
        <v>1</v>
      </c>
      <c r="AH226" s="142" t="b">
        <f t="shared" si="371"/>
        <v>1</v>
      </c>
      <c r="AI226" s="142">
        <f t="shared" si="371"/>
        <v>0</v>
      </c>
      <c r="AJ226" s="142" t="b">
        <f t="shared" si="371"/>
        <v>1</v>
      </c>
      <c r="AK226" s="142" t="b">
        <f t="shared" si="371"/>
        <v>0</v>
      </c>
      <c r="AL226" s="142" t="b">
        <f t="shared" si="371"/>
        <v>0</v>
      </c>
      <c r="AM226" s="142" t="b">
        <f t="shared" si="371"/>
        <v>0</v>
      </c>
      <c r="AN226" s="142" t="b">
        <f t="shared" si="371"/>
        <v>1</v>
      </c>
      <c r="AO226" s="142" t="b">
        <f t="shared" si="371"/>
        <v>1</v>
      </c>
      <c r="AQ226" s="95" t="str">
        <f>'Reference Score Calculation'!M203</f>
        <v>由於科大公佈了已計「加分制」的2023年收生分數，</v>
      </c>
      <c r="AR226" s="95"/>
      <c r="AS226" s="95"/>
      <c r="AT226" s="118"/>
      <c r="AU226" s="21">
        <f>IF(P$1="物理",P$7*1.5,IF(OR(P$1="化學",P$1="生物"),P$7*2,0))</f>
        <v>0</v>
      </c>
      <c r="AV226" s="21">
        <f t="shared" ref="AV226:AX226" si="372">IF(Q$1="物理",Q$7*1.5,IF(OR(Q$1="化學",Q$1="生物"),Q$7*2,0))</f>
        <v>0</v>
      </c>
      <c r="AW226" s="21">
        <f t="shared" si="372"/>
        <v>0</v>
      </c>
      <c r="AX226" s="21">
        <f t="shared" si="372"/>
        <v>0</v>
      </c>
      <c r="AY226" s="2">
        <f>O$7*1.5</f>
        <v>7.500000000000001E-10</v>
      </c>
      <c r="AZ226" s="117"/>
      <c r="BA226" s="119" t="str">
        <f>INDEX(AU225:AY225,MATCH(LARGE(AU226:AY226,1),AU226:AY226,0))</f>
        <v>數學延伸</v>
      </c>
      <c r="BB226" s="119">
        <f>LARGE((AU226:AY226),1)</f>
        <v>7.500000000000001E-10</v>
      </c>
      <c r="BC226" s="16">
        <f>IF(OR(BA226="生物",BA226="化學"),2,IF(OR(BA226="物理",BA226="數學延伸",BA226="組合科學(物理、化學)",BA226="組合科學(生物、化學)",BA226="組合科學(物理、生物)"),1.5,1))</f>
        <v>1.5</v>
      </c>
      <c r="BD226" s="103"/>
      <c r="BE226" s="119" t="str">
        <f>INDEX(AU225:AY225,MATCH(LARGE(AU226:AY226,2),AU226:AY226,0))</f>
        <v>請選擇第一選修科</v>
      </c>
      <c r="BF226" s="119">
        <f>LARGE((AU218:AY218),2)</f>
        <v>0</v>
      </c>
      <c r="BG226" s="16">
        <f>IF(OR(BE226="生物",BE226="化學"),2,IF(OR(BE226="物理",BE226="數學延伸",BE226="組合科學(物理、化學)",BE226="組合科學(生物、化學)",BE226="組合科學(物理、生物)"),1.5,1))</f>
        <v>1</v>
      </c>
      <c r="BH226" s="117"/>
      <c r="BI226" s="21">
        <f>IF(BI225=$BA$226,0,IF(BI225=$BE$226,$BF$226*$BG$226,K$7))</f>
        <v>4.0000000000000001E-10</v>
      </c>
      <c r="BJ226" s="21">
        <v>0</v>
      </c>
      <c r="BK226" s="21">
        <v>0</v>
      </c>
      <c r="BL226" s="21"/>
      <c r="BM226" s="21">
        <f t="shared" ref="BM226:BR226" si="373">IF(BM225=$BA$226,0,IF(BM225=$BE$226,$BF$226*$BG$226,O$7))</f>
        <v>0</v>
      </c>
      <c r="BN226" s="21">
        <f t="shared" si="373"/>
        <v>0</v>
      </c>
      <c r="BO226" s="21">
        <f t="shared" si="373"/>
        <v>6.9999999999999996E-10</v>
      </c>
      <c r="BP226" s="21">
        <f t="shared" si="373"/>
        <v>8.0000000000000003E-10</v>
      </c>
      <c r="BQ226" s="21">
        <f t="shared" si="373"/>
        <v>8.9999999999999999E-10</v>
      </c>
      <c r="BR226" s="21">
        <f t="shared" si="373"/>
        <v>9.5000000000000003E-10</v>
      </c>
      <c r="BS226" s="117"/>
      <c r="BT226" s="117"/>
    </row>
    <row r="227" spans="1:72">
      <c r="A227" s="142" t="str">
        <f>'Reference Score Calculation'!A204</f>
        <v>JS5200</v>
      </c>
      <c r="B227" s="119" t="str">
        <f>'Reference Score Calculation'!A204</f>
        <v>JS5200</v>
      </c>
      <c r="C227" s="119" t="str">
        <f>'Reference Score Calculation'!D204</f>
        <v>工程學</v>
      </c>
      <c r="D227" s="142"/>
      <c r="E227" s="119" t="str">
        <f>'Reference Score Calculation'!E204</f>
        <v>英數Best3</v>
      </c>
      <c r="F227" s="119"/>
      <c r="G227" s="119" t="str">
        <f>入學要求!AB213</f>
        <v>v</v>
      </c>
      <c r="H227" s="119" t="str">
        <f>入學要求!AC213</f>
        <v>NO</v>
      </c>
      <c r="I227" s="119" t="str">
        <f>入學要求!AD213</f>
        <v>NO</v>
      </c>
      <c r="J227" s="119">
        <f t="shared" si="367"/>
        <v>2.5000000000000001E-9</v>
      </c>
      <c r="K227" s="119">
        <v>1</v>
      </c>
      <c r="L227" s="142">
        <v>2</v>
      </c>
      <c r="M227" s="142">
        <v>2</v>
      </c>
      <c r="N227" s="119">
        <v>0</v>
      </c>
      <c r="O227" s="142">
        <v>1.5</v>
      </c>
      <c r="P227" s="142">
        <f t="shared" ref="P227:S228" si="374">IF(P$1=$BA$229,$BC$229,1)</f>
        <v>1</v>
      </c>
      <c r="Q227" s="142">
        <f t="shared" si="374"/>
        <v>1</v>
      </c>
      <c r="R227" s="142">
        <f t="shared" si="374"/>
        <v>1</v>
      </c>
      <c r="S227" s="142">
        <f t="shared" si="374"/>
        <v>1</v>
      </c>
      <c r="T227" s="119">
        <v>1</v>
      </c>
      <c r="U227" s="142"/>
      <c r="V227" s="119">
        <f t="shared" si="355"/>
        <v>4.0000000000000001E-10</v>
      </c>
      <c r="W227" s="119">
        <f t="shared" si="356"/>
        <v>4.0000000000000001E-10</v>
      </c>
      <c r="X227" s="119">
        <f t="shared" si="357"/>
        <v>6E-10</v>
      </c>
      <c r="Y227" s="119">
        <f t="shared" si="358"/>
        <v>0</v>
      </c>
      <c r="Z227" s="119">
        <f t="shared" si="359"/>
        <v>7.500000000000001E-10</v>
      </c>
      <c r="AA227" s="119">
        <f t="shared" si="360"/>
        <v>6E-10</v>
      </c>
      <c r="AB227" s="119">
        <f t="shared" si="361"/>
        <v>6.9999999999999996E-10</v>
      </c>
      <c r="AC227" s="119">
        <f t="shared" si="362"/>
        <v>8.0000000000000003E-10</v>
      </c>
      <c r="AD227" s="119">
        <f t="shared" si="363"/>
        <v>8.9999999999999999E-10</v>
      </c>
      <c r="AE227" s="119">
        <f t="shared" si="364"/>
        <v>0</v>
      </c>
      <c r="AF227" s="142" t="b">
        <f t="shared" ref="AF227:AO227" si="375">BF230</f>
        <v>0</v>
      </c>
      <c r="AG227" s="142" t="b">
        <f t="shared" si="375"/>
        <v>1</v>
      </c>
      <c r="AH227" s="142" t="b">
        <f t="shared" si="375"/>
        <v>1</v>
      </c>
      <c r="AI227" s="142">
        <f t="shared" si="375"/>
        <v>0</v>
      </c>
      <c r="AJ227" s="142" t="b">
        <f t="shared" si="375"/>
        <v>0</v>
      </c>
      <c r="AK227" s="142" t="b">
        <f t="shared" si="375"/>
        <v>1</v>
      </c>
      <c r="AL227" s="142" t="b">
        <f t="shared" si="375"/>
        <v>0</v>
      </c>
      <c r="AM227" s="142" t="b">
        <f t="shared" si="375"/>
        <v>0</v>
      </c>
      <c r="AN227" s="142" t="b">
        <f t="shared" si="375"/>
        <v>1</v>
      </c>
      <c r="AO227" s="142" t="b">
        <f t="shared" si="375"/>
        <v>1</v>
      </c>
      <c r="AQ227" s="95" t="str">
        <f>'Reference Score Calculation'!M204</f>
        <v>由於科大公佈了已計「加分制」的2023年收生分數，</v>
      </c>
      <c r="AR227" s="95"/>
      <c r="AS227" s="95"/>
      <c r="AT227" s="118"/>
      <c r="AU227" s="169" t="s">
        <v>3088</v>
      </c>
      <c r="AV227" s="104"/>
      <c r="AW227" s="117"/>
      <c r="AX227" s="117"/>
      <c r="AY227" s="117"/>
      <c r="AZ227" s="117"/>
      <c r="BA227" s="163" t="s">
        <v>366</v>
      </c>
      <c r="BB227" s="118"/>
      <c r="BC227" s="104"/>
      <c r="BD227" s="103"/>
      <c r="BE227" s="103"/>
      <c r="BF227" s="117"/>
      <c r="BG227" s="117"/>
      <c r="BH227" s="117"/>
      <c r="BI227" s="169" t="b">
        <f>IF(BI225=$BA$226,TRUE,IF(BI226&gt;LARGE($BI226:$BR226,3),TRUE))</f>
        <v>0</v>
      </c>
      <c r="BJ227" s="169" t="b">
        <v>1</v>
      </c>
      <c r="BK227" s="169" t="b">
        <v>1</v>
      </c>
      <c r="BL227" s="169"/>
      <c r="BM227" s="169" t="b">
        <f t="shared" ref="BM227:BR227" si="376">IF(BM225=$BA$226,TRUE,IF(BM226&gt;LARGE($BI226:$BR226,3),TRUE))</f>
        <v>1</v>
      </c>
      <c r="BN227" s="169" t="b">
        <f t="shared" si="376"/>
        <v>0</v>
      </c>
      <c r="BO227" s="169" t="b">
        <f t="shared" si="376"/>
        <v>0</v>
      </c>
      <c r="BP227" s="169" t="b">
        <f t="shared" si="376"/>
        <v>0</v>
      </c>
      <c r="BQ227" s="169" t="b">
        <f t="shared" si="376"/>
        <v>1</v>
      </c>
      <c r="BR227" s="169" t="b">
        <f t="shared" si="376"/>
        <v>1</v>
      </c>
      <c r="BS227" s="117"/>
      <c r="BT227" s="117"/>
    </row>
    <row r="228" spans="1:72">
      <c r="A228" s="142" t="str">
        <f>'Reference Score Calculation'!A205</f>
        <v>JS5282</v>
      </c>
      <c r="B228" s="119" t="str">
        <f>'Reference Score Calculation'!A205</f>
        <v>JS5282</v>
      </c>
      <c r="C228" s="119" t="str">
        <f>'Reference Score Calculation'!D205</f>
        <v>工程學– 延伸主修人工智能</v>
      </c>
      <c r="D228" s="142"/>
      <c r="E228" s="119" t="str">
        <f>'Reference Score Calculation'!E205</f>
        <v>英數Best3</v>
      </c>
      <c r="F228" s="119"/>
      <c r="G228" s="119" t="str">
        <f>入學要求!AB215</f>
        <v>v</v>
      </c>
      <c r="H228" s="119" t="str">
        <f>入學要求!AC215</f>
        <v>NO</v>
      </c>
      <c r="I228" s="119" t="str">
        <f>入學要求!AD215</f>
        <v>NO</v>
      </c>
      <c r="J228" s="119">
        <f t="shared" si="367"/>
        <v>2.5000000000000001E-9</v>
      </c>
      <c r="K228" s="119">
        <v>1</v>
      </c>
      <c r="L228" s="142">
        <v>2</v>
      </c>
      <c r="M228" s="142">
        <v>2</v>
      </c>
      <c r="N228" s="119">
        <v>0</v>
      </c>
      <c r="O228" s="142">
        <v>1.5</v>
      </c>
      <c r="P228" s="142">
        <f t="shared" si="374"/>
        <v>1</v>
      </c>
      <c r="Q228" s="142">
        <f t="shared" si="374"/>
        <v>1</v>
      </c>
      <c r="R228" s="142">
        <f t="shared" si="374"/>
        <v>1</v>
      </c>
      <c r="S228" s="142">
        <f t="shared" si="374"/>
        <v>1</v>
      </c>
      <c r="T228" s="119">
        <v>1</v>
      </c>
      <c r="U228" s="142"/>
      <c r="V228" s="119">
        <f t="shared" si="355"/>
        <v>4.0000000000000001E-10</v>
      </c>
      <c r="W228" s="119">
        <f t="shared" si="356"/>
        <v>4.0000000000000001E-10</v>
      </c>
      <c r="X228" s="119">
        <f t="shared" si="357"/>
        <v>6E-10</v>
      </c>
      <c r="Y228" s="119">
        <f t="shared" si="358"/>
        <v>0</v>
      </c>
      <c r="Z228" s="119">
        <f t="shared" si="359"/>
        <v>7.500000000000001E-10</v>
      </c>
      <c r="AA228" s="119">
        <f t="shared" si="360"/>
        <v>6E-10</v>
      </c>
      <c r="AB228" s="119">
        <f t="shared" si="361"/>
        <v>6.9999999999999996E-10</v>
      </c>
      <c r="AC228" s="119">
        <f t="shared" si="362"/>
        <v>8.0000000000000003E-10</v>
      </c>
      <c r="AD228" s="119">
        <f t="shared" si="363"/>
        <v>8.9999999999999999E-10</v>
      </c>
      <c r="AE228" s="119">
        <f t="shared" si="364"/>
        <v>0</v>
      </c>
      <c r="AF228" s="142" t="b">
        <f t="shared" ref="AF228:AO228" si="377">BF230</f>
        <v>0</v>
      </c>
      <c r="AG228" s="142" t="b">
        <f t="shared" si="377"/>
        <v>1</v>
      </c>
      <c r="AH228" s="142" t="b">
        <f t="shared" si="377"/>
        <v>1</v>
      </c>
      <c r="AI228" s="142">
        <f t="shared" si="377"/>
        <v>0</v>
      </c>
      <c r="AJ228" s="142" t="b">
        <f t="shared" si="377"/>
        <v>0</v>
      </c>
      <c r="AK228" s="142" t="b">
        <f t="shared" si="377"/>
        <v>1</v>
      </c>
      <c r="AL228" s="142" t="b">
        <f t="shared" si="377"/>
        <v>0</v>
      </c>
      <c r="AM228" s="142" t="b">
        <f t="shared" si="377"/>
        <v>0</v>
      </c>
      <c r="AN228" s="142" t="b">
        <f t="shared" si="377"/>
        <v>1</v>
      </c>
      <c r="AO228" s="142" t="b">
        <f t="shared" si="377"/>
        <v>1</v>
      </c>
      <c r="AQ228" s="95" t="str">
        <f>'Reference Score Calculation'!M205</f>
        <v>由於科大公佈了已計「加分制」的2023年收生分數，</v>
      </c>
      <c r="AR228" s="95"/>
      <c r="AS228" s="95"/>
      <c r="AT228" s="118" t="s">
        <v>1585</v>
      </c>
      <c r="AU228" s="118"/>
      <c r="AV228" s="118"/>
      <c r="AW228" s="118"/>
      <c r="AX228" s="118"/>
      <c r="AY228" s="118"/>
      <c r="AZ228" s="118"/>
      <c r="BA228" s="118"/>
      <c r="BB228" s="118"/>
      <c r="BC228" s="118"/>
      <c r="BD228" s="118"/>
      <c r="BE228" s="118"/>
      <c r="BF228" s="118"/>
      <c r="BG228" s="118"/>
      <c r="BH228" s="118"/>
      <c r="BI228" s="118"/>
      <c r="BJ228" s="118"/>
      <c r="BK228" s="118"/>
      <c r="BL228" s="118"/>
      <c r="BM228" s="118"/>
      <c r="BN228" s="118"/>
      <c r="BO228" s="118"/>
      <c r="BP228" s="118"/>
      <c r="BQ228" s="118"/>
      <c r="BR228" s="118"/>
      <c r="BS228" s="117"/>
      <c r="BT228" s="117"/>
    </row>
    <row r="229" spans="1:72">
      <c r="A229" s="142" t="str">
        <f>'Reference Score Calculation'!A206</f>
        <v>JS5300</v>
      </c>
      <c r="B229" s="119" t="str">
        <f>'Reference Score Calculation'!A206</f>
        <v>JS5300</v>
      </c>
      <c r="C229" s="119" t="str">
        <f>'Reference Score Calculation'!D206</f>
        <v>工商管理</v>
      </c>
      <c r="E229" s="119" t="str">
        <f>'Reference Score Calculation'!E206</f>
        <v>英數Best4</v>
      </c>
      <c r="F229" s="119"/>
      <c r="G229" s="119" t="str">
        <f>入學要求!AB216</f>
        <v>v</v>
      </c>
      <c r="H229" s="119" t="str">
        <f>入學要求!AC216</f>
        <v>NO</v>
      </c>
      <c r="I229" s="119" t="str">
        <f>入學要求!AD216</f>
        <v>NO</v>
      </c>
      <c r="J229" s="119">
        <f t="shared" si="367"/>
        <v>4.0000000000000002E-9</v>
      </c>
      <c r="K229" s="119">
        <v>1</v>
      </c>
      <c r="L229" s="142">
        <v>2</v>
      </c>
      <c r="M229" s="142">
        <v>2</v>
      </c>
      <c r="N229" s="119">
        <v>1</v>
      </c>
      <c r="O229" s="119">
        <v>1</v>
      </c>
      <c r="P229" s="119">
        <v>1</v>
      </c>
      <c r="Q229" s="119">
        <v>1</v>
      </c>
      <c r="R229" s="119">
        <v>1</v>
      </c>
      <c r="S229" s="119">
        <v>1</v>
      </c>
      <c r="T229" s="119">
        <v>1</v>
      </c>
      <c r="V229" s="119">
        <f t="shared" si="355"/>
        <v>4.0000000000000001E-10</v>
      </c>
      <c r="W229" s="119">
        <f t="shared" si="356"/>
        <v>4.0000000000000001E-10</v>
      </c>
      <c r="X229" s="119">
        <f t="shared" si="357"/>
        <v>6E-10</v>
      </c>
      <c r="Y229" s="119">
        <f t="shared" si="358"/>
        <v>0</v>
      </c>
      <c r="Z229" s="119">
        <f t="shared" si="359"/>
        <v>5.0000000000000003E-10</v>
      </c>
      <c r="AA229" s="119">
        <f t="shared" si="360"/>
        <v>6E-10</v>
      </c>
      <c r="AB229" s="119">
        <f t="shared" si="361"/>
        <v>6.9999999999999996E-10</v>
      </c>
      <c r="AC229" s="119">
        <f t="shared" si="362"/>
        <v>8.0000000000000003E-10</v>
      </c>
      <c r="AD229" s="119">
        <f t="shared" si="363"/>
        <v>8.9999999999999999E-10</v>
      </c>
      <c r="AE229" s="119">
        <f t="shared" si="364"/>
        <v>0</v>
      </c>
      <c r="AF229" s="119" t="b">
        <f>IF(V229&gt;LARGE(($V229,$Y229:$AE229),5),TRUE)</f>
        <v>0</v>
      </c>
      <c r="AG229" s="119" t="b">
        <v>1</v>
      </c>
      <c r="AH229" s="119" t="b">
        <v>1</v>
      </c>
      <c r="AI229" s="119" t="b">
        <f>IF(Y229&gt;LARGE(($V229,$Y229:$AE229),5),TRUE)</f>
        <v>0</v>
      </c>
      <c r="AJ229" s="119" t="b">
        <f>IF(Z229&gt;LARGE(($V229,$Y229:$AE229),5),TRUE)</f>
        <v>0</v>
      </c>
      <c r="AK229" s="119" t="b">
        <f>IF(AA229&gt;LARGE(($V229,$Y229:$AE229),5),TRUE)</f>
        <v>1</v>
      </c>
      <c r="AL229" s="119" t="b">
        <f>IF(AB229&gt;LARGE(($V229,$Y229:$AE229),5),TRUE)</f>
        <v>1</v>
      </c>
      <c r="AM229" s="119" t="b">
        <f>IF(AC229&gt;LARGE(($V229,$Y229:$AE229),5),TRUE)</f>
        <v>1</v>
      </c>
      <c r="AN229" s="119" t="b">
        <f>IF(AD229&gt;LARGE(($V229,$Y229:$AE229),5),TRUE)</f>
        <v>1</v>
      </c>
      <c r="AO229" s="119" t="b">
        <f>IF(AE229&gt;LARGE(($V229,$Y229:$AE229),5),TRUE)</f>
        <v>0</v>
      </c>
      <c r="AQ229" s="95" t="str">
        <f>'Reference Score Calculation'!M206</f>
        <v>由於科大公佈了已計「加分制」的2023年收生分數，</v>
      </c>
      <c r="AR229" s="95"/>
      <c r="AS229" s="95"/>
      <c r="AT229" s="118" t="s">
        <v>371</v>
      </c>
      <c r="AU229" s="21">
        <f>IF(OR(P$1="物理",P$1="組合科學(物理、化學)",P$1="組合科學(生物、化學)",P$1="組合科學(物理、生物)",P$1="化學",P$1="生物"),P$7*2,IF(P$1="資訊及通訊科技",P$7,0))</f>
        <v>0</v>
      </c>
      <c r="AV229" s="21">
        <f>IF(OR(Q$1="物理",Q$1="組合科學(物理、化學)",Q$1="組合科學(生物、化學)",Q$1="組合科學(物理、生物)",Q$1="化學",Q$1="生物"),Q$7*2,IF(Q$1="資訊及通訊科技",Q$7,0))</f>
        <v>0</v>
      </c>
      <c r="AW229" s="21">
        <f>IF(OR(R$1="物理",R$1="組合科學(物理、化學)",R$1="組合科學(生物、化學)",R$1="組合科學(物理、生物)",R$1="化學",R$1="生物"),R$7*2,IF(R$1="資訊及通訊科技",R$7,0))</f>
        <v>0</v>
      </c>
      <c r="AX229" s="21">
        <f>IF(OR(S$1="物理",S$1="組合科學(物理、化學)",S$1="組合科學(生物、化學)",S$1="組合科學(物理、生物)",S$1="化學",S$1="生物"),S$7*2,IF(S$1="資訊及通訊科技",S$7,0))</f>
        <v>0</v>
      </c>
      <c r="AY229" s="118"/>
      <c r="AZ229" s="118"/>
      <c r="BA229" s="119" t="str">
        <f>INDEX(AU243:AX243,MATCH(LARGE(AU229:AX229,1),AU229:AX229,0))</f>
        <v>請選擇第一選修科</v>
      </c>
      <c r="BB229" s="119">
        <f>LARGE((AU229:AX229),1)</f>
        <v>0</v>
      </c>
      <c r="BC229" s="16">
        <f>IF(OR(BA229="生物",BA229="化學",BA229="物理",BA229="數學延伸",BA229="組合科學(物理、化學)",BA229="組合科學(生物、化學)",BA229="組合科學(物理、生物)"),2,1)</f>
        <v>1</v>
      </c>
      <c r="BD229" s="118"/>
      <c r="BE229" s="118"/>
      <c r="BF229" s="21">
        <f>IF(BF243=$BA$229,0,K$7)</f>
        <v>4.0000000000000001E-10</v>
      </c>
      <c r="BG229" s="21">
        <v>0</v>
      </c>
      <c r="BH229" s="21">
        <v>0</v>
      </c>
      <c r="BI229" s="21">
        <f>IF(BI243=$BA$229,0,N$7)</f>
        <v>0</v>
      </c>
      <c r="BJ229" s="21">
        <f>IF(BJ243=$BA$229,0,O$7*1.5)</f>
        <v>7.500000000000001E-10</v>
      </c>
      <c r="BK229" s="21">
        <f>IF(BK243=$BA$229,0,P$7)</f>
        <v>0</v>
      </c>
      <c r="BL229" s="21">
        <f>IF(BL243=$BA$229,0,Q$7)</f>
        <v>6.9999999999999996E-10</v>
      </c>
      <c r="BM229" s="21">
        <f>IF(BM243=$BA$229,0,R$7)</f>
        <v>8.0000000000000003E-10</v>
      </c>
      <c r="BN229" s="21">
        <f>IF(BN243=$BA$229,0,S$7)</f>
        <v>8.9999999999999999E-10</v>
      </c>
      <c r="BO229" s="21">
        <f>IF(BO243=$BA$229,0,T$7)</f>
        <v>9.5000000000000003E-10</v>
      </c>
      <c r="BP229" s="118"/>
      <c r="BQ229" s="118"/>
      <c r="BR229" s="118"/>
      <c r="BS229" s="118"/>
      <c r="BT229" s="118"/>
    </row>
    <row r="230" spans="1:72">
      <c r="A230" s="142" t="str">
        <f>'Reference Score Calculation'!A207</f>
        <v>JS5311</v>
      </c>
      <c r="B230" s="119" t="str">
        <f>'Reference Score Calculation'!A207</f>
        <v>JS5311</v>
      </c>
      <c r="C230" s="119" t="str">
        <f>'Reference Score Calculation'!D207</f>
        <v>工商管理學士（經濟學）</v>
      </c>
      <c r="E230" s="119" t="str">
        <f>'Reference Score Calculation'!E207</f>
        <v>英數Best4</v>
      </c>
      <c r="F230" s="119"/>
      <c r="G230" s="119" t="str">
        <f>入學要求!AB217</f>
        <v>v</v>
      </c>
      <c r="H230" s="119" t="str">
        <f>入學要求!AC217</f>
        <v>NO</v>
      </c>
      <c r="I230" s="119" t="str">
        <f>入學要求!AD217</f>
        <v>NO</v>
      </c>
      <c r="J230" s="119">
        <f t="shared" si="367"/>
        <v>4.0000000000000002E-9</v>
      </c>
      <c r="K230" s="119">
        <v>1</v>
      </c>
      <c r="L230" s="142">
        <v>2</v>
      </c>
      <c r="M230" s="142">
        <v>2</v>
      </c>
      <c r="N230" s="119">
        <v>1</v>
      </c>
      <c r="O230" s="119">
        <v>1</v>
      </c>
      <c r="P230" s="119">
        <v>1</v>
      </c>
      <c r="Q230" s="119">
        <v>1</v>
      </c>
      <c r="R230" s="119">
        <v>1</v>
      </c>
      <c r="S230" s="119">
        <v>1</v>
      </c>
      <c r="T230" s="119">
        <v>1</v>
      </c>
      <c r="V230" s="119">
        <f t="shared" si="355"/>
        <v>4.0000000000000001E-10</v>
      </c>
      <c r="W230" s="119">
        <f t="shared" si="356"/>
        <v>4.0000000000000001E-10</v>
      </c>
      <c r="X230" s="119">
        <f t="shared" si="357"/>
        <v>6E-10</v>
      </c>
      <c r="Y230" s="119">
        <f t="shared" si="358"/>
        <v>0</v>
      </c>
      <c r="Z230" s="119">
        <f t="shared" si="359"/>
        <v>5.0000000000000003E-10</v>
      </c>
      <c r="AA230" s="119">
        <f t="shared" si="360"/>
        <v>6E-10</v>
      </c>
      <c r="AB230" s="119">
        <f t="shared" si="361"/>
        <v>6.9999999999999996E-10</v>
      </c>
      <c r="AC230" s="119">
        <f t="shared" si="362"/>
        <v>8.0000000000000003E-10</v>
      </c>
      <c r="AD230" s="119">
        <f t="shared" si="363"/>
        <v>8.9999999999999999E-10</v>
      </c>
      <c r="AE230" s="119">
        <f t="shared" si="364"/>
        <v>0</v>
      </c>
      <c r="AF230" s="119" t="b">
        <f>IF(V230&gt;LARGE(($V230,$Y230:$AE230),5),TRUE)</f>
        <v>0</v>
      </c>
      <c r="AG230" s="119" t="b">
        <v>1</v>
      </c>
      <c r="AH230" s="119" t="b">
        <v>1</v>
      </c>
      <c r="AI230" s="119" t="b">
        <f>IF(Y230&gt;LARGE(($V230,$Y230:$AE230),5),TRUE)</f>
        <v>0</v>
      </c>
      <c r="AJ230" s="119" t="b">
        <f>IF(Z230&gt;LARGE(($V230,$Y230:$AE230),5),TRUE)</f>
        <v>0</v>
      </c>
      <c r="AK230" s="119" t="b">
        <f>IF(AA230&gt;LARGE(($V230,$Y230:$AE230),5),TRUE)</f>
        <v>1</v>
      </c>
      <c r="AL230" s="119" t="b">
        <f>IF(AB230&gt;LARGE(($V230,$Y230:$AE230),5),TRUE)</f>
        <v>1</v>
      </c>
      <c r="AM230" s="119" t="b">
        <f>IF(AC230&gt;LARGE(($V230,$Y230:$AE230),5),TRUE)</f>
        <v>1</v>
      </c>
      <c r="AN230" s="119" t="b">
        <f>IF(AD230&gt;LARGE(($V230,$Y230:$AE230),5),TRUE)</f>
        <v>1</v>
      </c>
      <c r="AO230" s="119" t="b">
        <f>IF(AE230&gt;LARGE(($V230,$Y230:$AE230),5),TRUE)</f>
        <v>0</v>
      </c>
      <c r="AQ230" s="95" t="str">
        <f>'Reference Score Calculation'!M207</f>
        <v>由於科大公佈了已計「加分制」的2023年收生分數，</v>
      </c>
      <c r="AR230" s="95"/>
      <c r="AS230" s="95"/>
      <c r="AT230" s="118" t="s">
        <v>372</v>
      </c>
      <c r="AU230" s="163" t="s">
        <v>373</v>
      </c>
      <c r="AV230" s="104"/>
      <c r="AW230" s="117"/>
      <c r="AX230" s="117"/>
      <c r="AY230" s="117"/>
      <c r="AZ230" s="118"/>
      <c r="BA230" s="118"/>
      <c r="BB230" s="118"/>
      <c r="BC230" s="118"/>
      <c r="BD230" s="118"/>
      <c r="BE230" s="118"/>
      <c r="BF230" s="169" t="b">
        <f>IF(BF243=$BA$229,TRUE,IF(BF229&gt;LARGE($BF229:$BO229,3),TRUE))</f>
        <v>0</v>
      </c>
      <c r="BG230" s="169" t="b">
        <v>1</v>
      </c>
      <c r="BH230" s="169" t="b">
        <v>1</v>
      </c>
      <c r="BI230" s="169"/>
      <c r="BJ230" s="169" t="b">
        <f t="shared" ref="BJ230:BO230" si="378">IF(BJ243=$BA$229,TRUE,IF(BJ229&gt;LARGE($BF229:$BO229,3),TRUE))</f>
        <v>0</v>
      </c>
      <c r="BK230" s="169" t="b">
        <f t="shared" si="378"/>
        <v>1</v>
      </c>
      <c r="BL230" s="169" t="b">
        <f t="shared" si="378"/>
        <v>0</v>
      </c>
      <c r="BM230" s="169" t="b">
        <f t="shared" si="378"/>
        <v>0</v>
      </c>
      <c r="BN230" s="169" t="b">
        <f t="shared" si="378"/>
        <v>1</v>
      </c>
      <c r="BO230" s="169" t="b">
        <f t="shared" si="378"/>
        <v>1</v>
      </c>
      <c r="BP230" s="118"/>
      <c r="BQ230" s="118"/>
      <c r="BR230" s="118"/>
      <c r="BS230" s="118"/>
      <c r="BT230" s="118"/>
    </row>
    <row r="231" spans="1:72">
      <c r="A231" s="142" t="str">
        <f>'Reference Score Calculation'!A208</f>
        <v>JS5312</v>
      </c>
      <c r="B231" s="119" t="str">
        <f>'Reference Score Calculation'!A208</f>
        <v>JS5312</v>
      </c>
      <c r="C231" s="119" t="str">
        <f>'Reference Score Calculation'!D208</f>
        <v>工商管理學士（金融學）</v>
      </c>
      <c r="E231" s="119" t="str">
        <f>'Reference Score Calculation'!E208</f>
        <v>英數Best4</v>
      </c>
      <c r="F231" s="119"/>
      <c r="G231" s="119" t="str">
        <f>入學要求!AB218</f>
        <v>v</v>
      </c>
      <c r="H231" s="119" t="str">
        <f>入學要求!AC218</f>
        <v>NO</v>
      </c>
      <c r="I231" s="119" t="str">
        <f>入學要求!AD218</f>
        <v>NO</v>
      </c>
      <c r="J231" s="119">
        <f t="shared" si="367"/>
        <v>3.3999999999999998E-9</v>
      </c>
      <c r="K231" s="119">
        <v>1</v>
      </c>
      <c r="L231" s="142">
        <v>2</v>
      </c>
      <c r="M231" s="142">
        <v>2</v>
      </c>
      <c r="N231" s="119">
        <v>1</v>
      </c>
      <c r="O231" s="142">
        <f>IF(O$1=$BA$238,$BC$238,1)</f>
        <v>1</v>
      </c>
      <c r="P231" s="142">
        <f>IF(P$1=$BA$238,$BC$238,1)</f>
        <v>1</v>
      </c>
      <c r="Q231" s="142">
        <f>IF(Q$1=$BA$238,$BC$238,1)</f>
        <v>1</v>
      </c>
      <c r="R231" s="142">
        <f>IF(R$1=$BA$238,$BC$238,1)</f>
        <v>1</v>
      </c>
      <c r="S231" s="142">
        <f>IF(S$1=$BA$238,$BC$238,1)</f>
        <v>1</v>
      </c>
      <c r="T231" s="119">
        <v>1</v>
      </c>
      <c r="V231" s="119">
        <f t="shared" si="355"/>
        <v>4.0000000000000001E-10</v>
      </c>
      <c r="W231" s="119">
        <f t="shared" si="356"/>
        <v>4.0000000000000001E-10</v>
      </c>
      <c r="X231" s="119">
        <f t="shared" si="357"/>
        <v>6E-10</v>
      </c>
      <c r="Y231" s="119">
        <f t="shared" si="358"/>
        <v>0</v>
      </c>
      <c r="Z231" s="119">
        <f t="shared" si="359"/>
        <v>5.0000000000000003E-10</v>
      </c>
      <c r="AA231" s="119">
        <f t="shared" si="360"/>
        <v>6E-10</v>
      </c>
      <c r="AB231" s="119">
        <f t="shared" si="361"/>
        <v>6.9999999999999996E-10</v>
      </c>
      <c r="AC231" s="119">
        <f t="shared" si="362"/>
        <v>8.0000000000000003E-10</v>
      </c>
      <c r="AD231" s="119">
        <f t="shared" si="363"/>
        <v>8.9999999999999999E-10</v>
      </c>
      <c r="AE231" s="119">
        <f t="shared" si="364"/>
        <v>0</v>
      </c>
      <c r="AF231" s="119" t="b">
        <f t="shared" ref="AF231:AO231" si="379">BF239</f>
        <v>0</v>
      </c>
      <c r="AG231" s="119" t="b">
        <f t="shared" si="379"/>
        <v>1</v>
      </c>
      <c r="AH231" s="119" t="b">
        <f t="shared" si="379"/>
        <v>1</v>
      </c>
      <c r="AI231" s="119" t="b">
        <f t="shared" si="379"/>
        <v>0</v>
      </c>
      <c r="AJ231" s="119" t="b">
        <f t="shared" si="379"/>
        <v>0</v>
      </c>
      <c r="AK231" s="119" t="b">
        <f t="shared" si="379"/>
        <v>0</v>
      </c>
      <c r="AL231" s="119" t="b">
        <f t="shared" si="379"/>
        <v>1</v>
      </c>
      <c r="AM231" s="119" t="b">
        <f t="shared" si="379"/>
        <v>1</v>
      </c>
      <c r="AN231" s="119" t="b">
        <f t="shared" si="379"/>
        <v>1</v>
      </c>
      <c r="AO231" s="119" t="b">
        <f t="shared" si="379"/>
        <v>1</v>
      </c>
      <c r="AQ231" s="95" t="str">
        <f>'Reference Score Calculation'!M208</f>
        <v>由於科大公佈了已計「加分制」的2023年收生分數，</v>
      </c>
      <c r="AR231" s="95"/>
      <c r="AS231" s="95"/>
      <c r="AT231" s="118"/>
      <c r="AU231" s="118"/>
      <c r="AV231" s="118"/>
      <c r="AW231" s="118"/>
      <c r="AX231" s="118"/>
      <c r="AY231" s="118"/>
      <c r="AZ231" s="118"/>
      <c r="BA231" s="118"/>
      <c r="BB231" s="118"/>
      <c r="BC231" s="118"/>
      <c r="BD231" s="118"/>
      <c r="BE231" s="170" t="s">
        <v>374</v>
      </c>
      <c r="BF231" s="163" t="b">
        <f>IF(BF243=$BA$229,TRUE,IF(BF229&gt;LARGE($BF229:$BO229,4),TRUE))</f>
        <v>0</v>
      </c>
      <c r="BG231" s="163" t="b">
        <v>1</v>
      </c>
      <c r="BH231" s="163" t="b">
        <v>1</v>
      </c>
      <c r="BI231" s="163" t="b">
        <f t="shared" ref="BI231:BO231" si="380">IF(BI243=$BA$229,TRUE,IF(BI229&gt;LARGE($BF229:$BO229,4),TRUE))</f>
        <v>0</v>
      </c>
      <c r="BJ231" s="163" t="b">
        <f t="shared" si="380"/>
        <v>0</v>
      </c>
      <c r="BK231" s="163" t="b">
        <f t="shared" si="380"/>
        <v>1</v>
      </c>
      <c r="BL231" s="163" t="b">
        <f t="shared" si="380"/>
        <v>0</v>
      </c>
      <c r="BM231" s="163" t="b">
        <f t="shared" si="380"/>
        <v>1</v>
      </c>
      <c r="BN231" s="163" t="b">
        <f t="shared" si="380"/>
        <v>1</v>
      </c>
      <c r="BO231" s="163" t="b">
        <f t="shared" si="380"/>
        <v>1</v>
      </c>
      <c r="BP231" s="118"/>
      <c r="BQ231" s="118"/>
      <c r="BR231" s="118"/>
      <c r="BS231" s="118"/>
      <c r="BT231" s="118"/>
    </row>
    <row r="232" spans="1:72">
      <c r="A232" s="142" t="str">
        <f>'Reference Score Calculation'!A209</f>
        <v>JS5313</v>
      </c>
      <c r="B232" s="119" t="str">
        <f>'Reference Score Calculation'!A209</f>
        <v>JS5313</v>
      </c>
      <c r="C232" s="119" t="str">
        <f>'Reference Score Calculation'!D209</f>
        <v>工商管理學士（環球商業管理）</v>
      </c>
      <c r="E232" s="119" t="str">
        <f>'Reference Score Calculation'!E209</f>
        <v>英數Best4</v>
      </c>
      <c r="F232" s="119"/>
      <c r="G232" s="119" t="str">
        <f>入學要求!AB219</f>
        <v>v</v>
      </c>
      <c r="H232" s="119" t="str">
        <f>入學要求!AC219</f>
        <v>NO</v>
      </c>
      <c r="I232" s="119" t="str">
        <f>入學要求!AD219</f>
        <v>NO</v>
      </c>
      <c r="J232" s="119">
        <f t="shared" si="367"/>
        <v>4.0000000000000002E-9</v>
      </c>
      <c r="K232" s="119">
        <v>1</v>
      </c>
      <c r="L232" s="142">
        <v>2</v>
      </c>
      <c r="M232" s="142">
        <v>2</v>
      </c>
      <c r="N232" s="119">
        <v>1</v>
      </c>
      <c r="O232" s="119">
        <v>1</v>
      </c>
      <c r="P232" s="119">
        <v>1</v>
      </c>
      <c r="Q232" s="119">
        <v>1</v>
      </c>
      <c r="R232" s="119">
        <v>1</v>
      </c>
      <c r="S232" s="119">
        <v>1</v>
      </c>
      <c r="T232" s="119">
        <v>1</v>
      </c>
      <c r="V232" s="119">
        <f t="shared" si="355"/>
        <v>4.0000000000000001E-10</v>
      </c>
      <c r="W232" s="119">
        <f t="shared" si="356"/>
        <v>4.0000000000000001E-10</v>
      </c>
      <c r="X232" s="119">
        <f t="shared" si="357"/>
        <v>6E-10</v>
      </c>
      <c r="Y232" s="119">
        <f t="shared" si="358"/>
        <v>0</v>
      </c>
      <c r="Z232" s="119">
        <f t="shared" si="359"/>
        <v>5.0000000000000003E-10</v>
      </c>
      <c r="AA232" s="119">
        <f t="shared" si="360"/>
        <v>6E-10</v>
      </c>
      <c r="AB232" s="119">
        <f t="shared" si="361"/>
        <v>6.9999999999999996E-10</v>
      </c>
      <c r="AC232" s="119">
        <f t="shared" si="362"/>
        <v>8.0000000000000003E-10</v>
      </c>
      <c r="AD232" s="119">
        <f t="shared" si="363"/>
        <v>8.9999999999999999E-10</v>
      </c>
      <c r="AE232" s="119">
        <f t="shared" si="364"/>
        <v>0</v>
      </c>
      <c r="AF232" s="119" t="b">
        <f>IF(V232&gt;LARGE(($V232,$Y232:$AE232),5),TRUE)</f>
        <v>0</v>
      </c>
      <c r="AG232" s="119" t="b">
        <v>1</v>
      </c>
      <c r="AH232" s="119" t="b">
        <v>1</v>
      </c>
      <c r="AI232" s="119" t="b">
        <f>IF(Y232&gt;LARGE(($V232,$Y232:$AE232),5),TRUE)</f>
        <v>0</v>
      </c>
      <c r="AJ232" s="119" t="b">
        <f>IF(Z232&gt;LARGE(($V232,$Y232:$AE232),5),TRUE)</f>
        <v>0</v>
      </c>
      <c r="AK232" s="119" t="b">
        <f>IF(AA232&gt;LARGE(($V232,$Y232:$AE232),5),TRUE)</f>
        <v>1</v>
      </c>
      <c r="AL232" s="119" t="b">
        <f>IF(AB232&gt;LARGE(($V232,$Y232:$AE232),5),TRUE)</f>
        <v>1</v>
      </c>
      <c r="AM232" s="119" t="b">
        <f>IF(AC232&gt;LARGE(($V232,$Y232:$AE232),5),TRUE)</f>
        <v>1</v>
      </c>
      <c r="AN232" s="119" t="b">
        <f>IF(AD232&gt;LARGE(($V232,$Y232:$AE232),5),TRUE)</f>
        <v>1</v>
      </c>
      <c r="AO232" s="119" t="b">
        <f>IF(AE232&gt;LARGE(($V232,$Y232:$AE232),5),TRUE)</f>
        <v>0</v>
      </c>
      <c r="AQ232" s="95" t="str">
        <f>'Reference Score Calculation'!M209</f>
        <v>由於科大公佈了已計「加分制」的2023年收生分數，</v>
      </c>
      <c r="AR232" s="95"/>
      <c r="AS232" s="95"/>
      <c r="AT232" s="118"/>
      <c r="AU232" s="118"/>
      <c r="AV232" s="118"/>
      <c r="AW232" s="118"/>
      <c r="AX232" s="118"/>
      <c r="AY232" s="118"/>
      <c r="AZ232" s="118"/>
      <c r="BA232" s="118"/>
      <c r="BB232" s="118"/>
      <c r="BC232" s="118"/>
      <c r="BD232" s="118"/>
      <c r="BE232" s="118"/>
      <c r="BF232" s="118"/>
      <c r="BG232" s="118"/>
      <c r="BH232" s="118"/>
      <c r="BI232" s="118"/>
      <c r="BJ232" s="118"/>
      <c r="BK232" s="118"/>
      <c r="BL232" s="118"/>
      <c r="BM232" s="118"/>
      <c r="BN232" s="118"/>
      <c r="BO232" s="118"/>
      <c r="BP232" s="118"/>
      <c r="BQ232" s="118"/>
      <c r="BR232" s="118"/>
      <c r="BS232" s="118"/>
      <c r="BT232" s="118"/>
    </row>
    <row r="233" spans="1:72">
      <c r="A233" s="142" t="str">
        <f>'Reference Score Calculation'!A210</f>
        <v>JS5314</v>
      </c>
      <c r="B233" s="119" t="str">
        <f>'Reference Score Calculation'!A210</f>
        <v>JS5314</v>
      </c>
      <c r="C233" s="119" t="str">
        <f>'Reference Score Calculation'!D210</f>
        <v>工商管理學士（資訊系統學）</v>
      </c>
      <c r="E233" s="119" t="str">
        <f>'Reference Score Calculation'!E210</f>
        <v>英數Best4</v>
      </c>
      <c r="F233" s="119"/>
      <c r="G233" s="119" t="str">
        <f>入學要求!AB220</f>
        <v>v</v>
      </c>
      <c r="H233" s="119" t="str">
        <f>入學要求!AC220</f>
        <v>NO</v>
      </c>
      <c r="I233" s="119" t="str">
        <f>入學要求!AD220</f>
        <v>NO</v>
      </c>
      <c r="J233" s="119">
        <f t="shared" si="367"/>
        <v>4.0000000000000002E-9</v>
      </c>
      <c r="K233" s="119">
        <v>1</v>
      </c>
      <c r="L233" s="142">
        <v>2</v>
      </c>
      <c r="M233" s="142">
        <v>2</v>
      </c>
      <c r="N233" s="119">
        <v>1</v>
      </c>
      <c r="O233" s="119">
        <v>1</v>
      </c>
      <c r="P233" s="119">
        <v>1</v>
      </c>
      <c r="Q233" s="119">
        <v>1</v>
      </c>
      <c r="R233" s="119">
        <v>1</v>
      </c>
      <c r="S233" s="119">
        <v>1</v>
      </c>
      <c r="T233" s="119">
        <v>1</v>
      </c>
      <c r="V233" s="119">
        <f t="shared" si="355"/>
        <v>4.0000000000000001E-10</v>
      </c>
      <c r="W233" s="119">
        <f t="shared" si="356"/>
        <v>4.0000000000000001E-10</v>
      </c>
      <c r="X233" s="119">
        <f t="shared" si="357"/>
        <v>6E-10</v>
      </c>
      <c r="Y233" s="119">
        <f t="shared" si="358"/>
        <v>0</v>
      </c>
      <c r="Z233" s="119">
        <f t="shared" si="359"/>
        <v>5.0000000000000003E-10</v>
      </c>
      <c r="AA233" s="119">
        <f t="shared" si="360"/>
        <v>6E-10</v>
      </c>
      <c r="AB233" s="119">
        <f t="shared" si="361"/>
        <v>6.9999999999999996E-10</v>
      </c>
      <c r="AC233" s="119">
        <f t="shared" si="362"/>
        <v>8.0000000000000003E-10</v>
      </c>
      <c r="AD233" s="119">
        <f t="shared" si="363"/>
        <v>8.9999999999999999E-10</v>
      </c>
      <c r="AE233" s="119">
        <f t="shared" si="364"/>
        <v>0</v>
      </c>
      <c r="AF233" s="119" t="b">
        <f>IF(V233&gt;LARGE(($V233,$Y233:$AE233),5),TRUE)</f>
        <v>0</v>
      </c>
      <c r="AG233" s="119" t="b">
        <v>1</v>
      </c>
      <c r="AH233" s="119" t="b">
        <v>1</v>
      </c>
      <c r="AI233" s="119" t="b">
        <f>IF(Y233&gt;LARGE(($V233,$Y233:$AE233),5),TRUE)</f>
        <v>0</v>
      </c>
      <c r="AJ233" s="119" t="b">
        <f>IF(Z233&gt;LARGE(($V233,$Y233:$AE233),5),TRUE)</f>
        <v>0</v>
      </c>
      <c r="AK233" s="119" t="b">
        <f>IF(AA233&gt;LARGE(($V233,$Y233:$AE233),5),TRUE)</f>
        <v>1</v>
      </c>
      <c r="AL233" s="119" t="b">
        <f>IF(AB233&gt;LARGE(($V233,$Y233:$AE233),5),TRUE)</f>
        <v>1</v>
      </c>
      <c r="AM233" s="119" t="b">
        <f>IF(AC233&gt;LARGE(($V233,$Y233:$AE233),5),TRUE)</f>
        <v>1</v>
      </c>
      <c r="AN233" s="119" t="b">
        <f>IF(AD233&gt;LARGE(($V233,$Y233:$AE233),5),TRUE)</f>
        <v>1</v>
      </c>
      <c r="AO233" s="119" t="b">
        <f>IF(AE233&gt;LARGE(($V233,$Y233:$AE233),5),TRUE)</f>
        <v>0</v>
      </c>
      <c r="AQ233" s="95" t="str">
        <f>'Reference Score Calculation'!M210</f>
        <v>由於科大公佈了已計「加分制」的2023年收生分數，</v>
      </c>
      <c r="AR233" s="95"/>
      <c r="AS233" s="95"/>
      <c r="AT233" s="118" t="s">
        <v>375</v>
      </c>
      <c r="AU233" s="103" t="str">
        <f>P$1</f>
        <v>請選擇第一選修科</v>
      </c>
      <c r="AV233" s="103" t="str">
        <f>Q$1</f>
        <v>請選擇第二選修科</v>
      </c>
      <c r="AW233" s="103" t="str">
        <f>R$1</f>
        <v>請選擇第三選修科</v>
      </c>
      <c r="AX233" s="103" t="str">
        <f>S$1</f>
        <v>請選擇第四選修科</v>
      </c>
      <c r="AY233" s="118"/>
      <c r="AZ233" s="118"/>
      <c r="BA233" s="161" t="s">
        <v>364</v>
      </c>
      <c r="BB233" s="118"/>
      <c r="BC233" s="104" t="s">
        <v>102</v>
      </c>
      <c r="BD233" s="118"/>
      <c r="BE233" s="118"/>
      <c r="BF233" s="103" t="str">
        <f t="shared" ref="BF233:BO233" si="381">K$1</f>
        <v>中國語文</v>
      </c>
      <c r="BG233" s="103" t="str">
        <f t="shared" si="381"/>
        <v>英國語文</v>
      </c>
      <c r="BH233" s="103" t="str">
        <f t="shared" si="381"/>
        <v>數學</v>
      </c>
      <c r="BI233" s="103"/>
      <c r="BJ233" s="103" t="str">
        <f t="shared" si="381"/>
        <v>數學延伸</v>
      </c>
      <c r="BK233" s="103" t="str">
        <f t="shared" si="381"/>
        <v>請選擇第一選修科</v>
      </c>
      <c r="BL233" s="103" t="str">
        <f t="shared" si="381"/>
        <v>請選擇第二選修科</v>
      </c>
      <c r="BM233" s="103" t="str">
        <f t="shared" si="381"/>
        <v>請選擇第三選修科</v>
      </c>
      <c r="BN233" s="103" t="str">
        <f t="shared" si="381"/>
        <v>請選擇第四選修科</v>
      </c>
      <c r="BO233" s="103" t="str">
        <f t="shared" si="381"/>
        <v>請選擇語言科目</v>
      </c>
      <c r="BP233" s="118"/>
      <c r="BQ233" s="118"/>
      <c r="BR233" s="118"/>
      <c r="BS233" s="118"/>
      <c r="BT233" s="118"/>
    </row>
    <row r="234" spans="1:72">
      <c r="A234" s="142" t="str">
        <f>'Reference Score Calculation'!A211</f>
        <v>JS5315</v>
      </c>
      <c r="B234" s="119" t="str">
        <f>'Reference Score Calculation'!A211</f>
        <v>JS5315</v>
      </c>
      <c r="C234" s="119" t="str">
        <f>'Reference Score Calculation'!D211</f>
        <v>工商管理學士（管理學）</v>
      </c>
      <c r="E234" s="119" t="str">
        <f>'Reference Score Calculation'!E211</f>
        <v>英數Best4</v>
      </c>
      <c r="F234" s="119"/>
      <c r="G234" s="119" t="str">
        <f>入學要求!AB221</f>
        <v>v</v>
      </c>
      <c r="H234" s="119" t="str">
        <f>入學要求!AC221</f>
        <v>NO</v>
      </c>
      <c r="I234" s="119" t="str">
        <f>入學要求!AD221</f>
        <v>NO</v>
      </c>
      <c r="J234" s="119">
        <f t="shared" si="367"/>
        <v>4.0000000000000002E-9</v>
      </c>
      <c r="K234" s="119">
        <v>1</v>
      </c>
      <c r="L234" s="142">
        <v>2</v>
      </c>
      <c r="M234" s="142">
        <v>2</v>
      </c>
      <c r="N234" s="119">
        <v>1</v>
      </c>
      <c r="O234" s="119">
        <v>1</v>
      </c>
      <c r="P234" s="119">
        <v>1</v>
      </c>
      <c r="Q234" s="119">
        <v>1</v>
      </c>
      <c r="R234" s="119">
        <v>1</v>
      </c>
      <c r="S234" s="119">
        <v>1</v>
      </c>
      <c r="T234" s="119">
        <v>1</v>
      </c>
      <c r="V234" s="119">
        <f t="shared" si="355"/>
        <v>4.0000000000000001E-10</v>
      </c>
      <c r="W234" s="119">
        <f t="shared" si="356"/>
        <v>4.0000000000000001E-10</v>
      </c>
      <c r="X234" s="119">
        <f t="shared" si="357"/>
        <v>6E-10</v>
      </c>
      <c r="Y234" s="119">
        <f t="shared" si="358"/>
        <v>0</v>
      </c>
      <c r="Z234" s="119">
        <f t="shared" si="359"/>
        <v>5.0000000000000003E-10</v>
      </c>
      <c r="AA234" s="119">
        <f t="shared" si="360"/>
        <v>6E-10</v>
      </c>
      <c r="AB234" s="119">
        <f t="shared" si="361"/>
        <v>6.9999999999999996E-10</v>
      </c>
      <c r="AC234" s="119">
        <f t="shared" si="362"/>
        <v>8.0000000000000003E-10</v>
      </c>
      <c r="AD234" s="119">
        <f t="shared" si="363"/>
        <v>8.9999999999999999E-10</v>
      </c>
      <c r="AE234" s="119">
        <f t="shared" si="364"/>
        <v>0</v>
      </c>
      <c r="AF234" s="119" t="b">
        <f>IF(V234&gt;LARGE(($V234,$Y234:$AE234),5),TRUE)</f>
        <v>0</v>
      </c>
      <c r="AG234" s="119" t="b">
        <v>1</v>
      </c>
      <c r="AH234" s="119" t="b">
        <v>1</v>
      </c>
      <c r="AI234" s="119" t="b">
        <f>IF(Y234&gt;LARGE(($V234,$Y234:$AE234),5),TRUE)</f>
        <v>0</v>
      </c>
      <c r="AJ234" s="119" t="b">
        <f>IF(Z234&gt;LARGE(($V234,$Y234:$AE234),5),TRUE)</f>
        <v>0</v>
      </c>
      <c r="AK234" s="119" t="b">
        <f>IF(AA234&gt;LARGE(($V234,$Y234:$AE234),5),TRUE)</f>
        <v>1</v>
      </c>
      <c r="AL234" s="119" t="b">
        <f>IF(AB234&gt;LARGE(($V234,$Y234:$AE234),5),TRUE)</f>
        <v>1</v>
      </c>
      <c r="AM234" s="119" t="b">
        <f>IF(AC234&gt;LARGE(($V234,$Y234:$AE234),5),TRUE)</f>
        <v>1</v>
      </c>
      <c r="AN234" s="119" t="b">
        <f>IF(AD234&gt;LARGE(($V234,$Y234:$AE234),5),TRUE)</f>
        <v>1</v>
      </c>
      <c r="AO234" s="119" t="b">
        <f>IF(AE234&gt;LARGE(($V234,$Y234:$AE234),5),TRUE)</f>
        <v>0</v>
      </c>
      <c r="AQ234" s="95" t="str">
        <f>'Reference Score Calculation'!M211</f>
        <v>由於科大公佈了已計「加分制」的2023年收生分數，</v>
      </c>
      <c r="AR234" s="95"/>
      <c r="AS234" s="95"/>
      <c r="AT234" s="118"/>
      <c r="AU234" s="21">
        <f>IF(OR(P$1="物理",P$1="組合科學(物理、化學)",P$1="組合科學(生物、化學)",P$1="組合科學(物理、生物)",P$1="化學",P$1="生物",P$1="設計與應用科技"),P$7*2,IF(P$1="資訊及通訊科技",P$7,0))</f>
        <v>0</v>
      </c>
      <c r="AV234" s="21">
        <f>IF(OR(Q$1="物理",Q$1="組合科學(物理、化學)",Q$1="組合科學(生物、化學)",Q$1="組合科學(物理、生物)",Q$1="化學",Q$1="生物",Q$1="設計與應用科技"),Q$7*2,IF(Q$1="資訊及通訊科技",Q$7,0))</f>
        <v>0</v>
      </c>
      <c r="AW234" s="21">
        <f>IF(OR(R$1="物理",R$1="組合科學(物理、化學)",R$1="組合科學(生物、化學)",R$1="組合科學(物理、生物)",R$1="化學",R$1="生物",R$1="設計與應用科技"),R$7*2,IF(R$1="資訊及通訊科技",R$7,0))</f>
        <v>0</v>
      </c>
      <c r="AX234" s="21">
        <f>IF(OR(S$1="物理",S$1="組合科學(物理、化學)",S$1="組合科學(生物、化學)",S$1="組合科學(物理、生物)",S$1="化學",S$1="生物",S$1="設計與應用科技"),S$7*2,IF(S$1="資訊及通訊科技",S$7,0))</f>
        <v>0</v>
      </c>
      <c r="AY234" s="118"/>
      <c r="AZ234" s="118"/>
      <c r="BA234" s="119" t="str">
        <f>INDEX(AU233:AX233,MATCH(LARGE(AU234:AX234,1),AU234:AX234,0))</f>
        <v>請選擇第一選修科</v>
      </c>
      <c r="BB234" s="119">
        <f>LARGE((AU234:AX234),1)</f>
        <v>0</v>
      </c>
      <c r="BC234" s="16">
        <f>IF(OR(BA234="生物",BA234="化學",BA234="物理",BA234="數學延伸",BA234="組合科學(物理、化學)",BA234="組合科學(生物、化學)",BA234="組合科學(物理、生物)",BA234="設計與應用科技"),2,1)</f>
        <v>1</v>
      </c>
      <c r="BD234" s="118"/>
      <c r="BE234" s="118"/>
      <c r="BF234" s="21">
        <f>IF(BF233=$BA$234,0,K$7)</f>
        <v>4.0000000000000001E-10</v>
      </c>
      <c r="BG234" s="21">
        <v>0</v>
      </c>
      <c r="BH234" s="21">
        <v>0</v>
      </c>
      <c r="BI234" s="21"/>
      <c r="BJ234" s="21">
        <f>IF(BJ233=$BA$234,0,O$7*1.5)</f>
        <v>7.500000000000001E-10</v>
      </c>
      <c r="BK234" s="21">
        <f>IF(BK233=$BA$234,0,P$7)</f>
        <v>0</v>
      </c>
      <c r="BL234" s="21">
        <f>IF(BL233=$BA$234,0,Q$7)</f>
        <v>6.9999999999999996E-10</v>
      </c>
      <c r="BM234" s="21">
        <f>IF(BM233=$BA$234,0,R$7)</f>
        <v>8.0000000000000003E-10</v>
      </c>
      <c r="BN234" s="21">
        <f>IF(BN233=$BA$234,0,S$7)</f>
        <v>8.9999999999999999E-10</v>
      </c>
      <c r="BO234" s="21">
        <f>IF(BO233=$BA$234,0,T$7)</f>
        <v>9.5000000000000003E-10</v>
      </c>
      <c r="BP234" s="118"/>
      <c r="BQ234" s="118"/>
      <c r="BR234" s="118"/>
      <c r="BS234" s="118"/>
      <c r="BT234" s="118"/>
    </row>
    <row r="235" spans="1:72">
      <c r="A235" s="142" t="str">
        <f>'Reference Score Calculation'!A212</f>
        <v>JS5316</v>
      </c>
      <c r="B235" s="119" t="str">
        <f>'Reference Score Calculation'!A212</f>
        <v>JS5316</v>
      </c>
      <c r="C235" s="119" t="str">
        <f>'Reference Score Calculation'!D212</f>
        <v>工商管理學士（市場學）</v>
      </c>
      <c r="E235" s="119" t="str">
        <f>'Reference Score Calculation'!E212</f>
        <v>英數Best4</v>
      </c>
      <c r="F235" s="119"/>
      <c r="G235" s="119" t="str">
        <f>入學要求!AB222</f>
        <v>v</v>
      </c>
      <c r="H235" s="119" t="str">
        <f>入學要求!AC222</f>
        <v>NO</v>
      </c>
      <c r="I235" s="119" t="str">
        <f>入學要求!AD222</f>
        <v>NO</v>
      </c>
      <c r="J235" s="119">
        <f t="shared" si="367"/>
        <v>4.0000000000000002E-9</v>
      </c>
      <c r="K235" s="119">
        <v>1</v>
      </c>
      <c r="L235" s="142">
        <v>2</v>
      </c>
      <c r="M235" s="142">
        <v>2</v>
      </c>
      <c r="N235" s="119">
        <v>1</v>
      </c>
      <c r="O235" s="119">
        <v>1</v>
      </c>
      <c r="P235" s="119">
        <v>1</v>
      </c>
      <c r="Q235" s="119">
        <v>1</v>
      </c>
      <c r="R235" s="119">
        <v>1</v>
      </c>
      <c r="S235" s="119">
        <v>1</v>
      </c>
      <c r="T235" s="119">
        <v>1</v>
      </c>
      <c r="V235" s="119">
        <f t="shared" si="355"/>
        <v>4.0000000000000001E-10</v>
      </c>
      <c r="W235" s="119">
        <f t="shared" si="356"/>
        <v>4.0000000000000001E-10</v>
      </c>
      <c r="X235" s="119">
        <f t="shared" si="357"/>
        <v>6E-10</v>
      </c>
      <c r="Y235" s="119">
        <f t="shared" si="358"/>
        <v>0</v>
      </c>
      <c r="Z235" s="119">
        <f t="shared" si="359"/>
        <v>5.0000000000000003E-10</v>
      </c>
      <c r="AA235" s="119">
        <f t="shared" si="360"/>
        <v>6E-10</v>
      </c>
      <c r="AB235" s="119">
        <f t="shared" si="361"/>
        <v>6.9999999999999996E-10</v>
      </c>
      <c r="AC235" s="119">
        <f t="shared" si="362"/>
        <v>8.0000000000000003E-10</v>
      </c>
      <c r="AD235" s="119">
        <f t="shared" si="363"/>
        <v>8.9999999999999999E-10</v>
      </c>
      <c r="AE235" s="119">
        <f t="shared" si="364"/>
        <v>0</v>
      </c>
      <c r="AF235" s="119" t="b">
        <f>IF(V235&gt;LARGE(($V235,$Y235:$AE235),5),TRUE)</f>
        <v>0</v>
      </c>
      <c r="AG235" s="119" t="b">
        <v>1</v>
      </c>
      <c r="AH235" s="119" t="b">
        <v>1</v>
      </c>
      <c r="AI235" s="119" t="b">
        <f>IF(Y235&gt;LARGE(($V235,$Y235:$AE235),5),TRUE)</f>
        <v>0</v>
      </c>
      <c r="AJ235" s="119" t="b">
        <f>IF(Z235&gt;LARGE(($V235,$Y235:$AE235),5),TRUE)</f>
        <v>0</v>
      </c>
      <c r="AK235" s="119" t="b">
        <f>IF(AA235&gt;LARGE(($V235,$Y235:$AE235),5),TRUE)</f>
        <v>1</v>
      </c>
      <c r="AL235" s="119" t="b">
        <f>IF(AB235&gt;LARGE(($V235,$Y235:$AE235),5),TRUE)</f>
        <v>1</v>
      </c>
      <c r="AM235" s="119" t="b">
        <f>IF(AC235&gt;LARGE(($V235,$Y235:$AE235),5),TRUE)</f>
        <v>1</v>
      </c>
      <c r="AN235" s="119" t="b">
        <f>IF(AD235&gt;LARGE(($V235,$Y235:$AE235),5),TRUE)</f>
        <v>1</v>
      </c>
      <c r="AO235" s="119" t="b">
        <f>IF(AE235&gt;LARGE(($V235,$Y235:$AE235),5),TRUE)</f>
        <v>0</v>
      </c>
      <c r="AQ235" s="95" t="str">
        <f>'Reference Score Calculation'!M212</f>
        <v>由於科大公佈了已計「加分制」的2023年收生分數，</v>
      </c>
      <c r="AR235" s="95"/>
      <c r="AS235" s="95"/>
      <c r="AT235" s="118"/>
      <c r="AU235" s="163" t="s">
        <v>376</v>
      </c>
      <c r="AV235" s="104"/>
      <c r="AW235" s="117"/>
      <c r="AX235" s="117"/>
      <c r="AY235" s="117"/>
      <c r="AZ235" s="118"/>
      <c r="BA235" s="118"/>
      <c r="BB235" s="118"/>
      <c r="BC235" s="118"/>
      <c r="BD235" s="118"/>
      <c r="BE235" s="118"/>
      <c r="BF235" s="169" t="b">
        <f>IF(BF233=$BA$234,TRUE,IF(BF234&gt;LARGE($BF234:$BO234,3),TRUE))</f>
        <v>0</v>
      </c>
      <c r="BG235" s="169" t="b">
        <v>1</v>
      </c>
      <c r="BH235" s="169" t="b">
        <v>1</v>
      </c>
      <c r="BI235" s="169"/>
      <c r="BJ235" s="169" t="b">
        <f t="shared" ref="BJ235:BO235" si="382">IF(BJ233=$BA$234,TRUE,IF(BJ234&gt;LARGE($BF234:$BO234,3),TRUE))</f>
        <v>0</v>
      </c>
      <c r="BK235" s="169" t="b">
        <f t="shared" si="382"/>
        <v>1</v>
      </c>
      <c r="BL235" s="169" t="b">
        <f t="shared" si="382"/>
        <v>0</v>
      </c>
      <c r="BM235" s="169" t="b">
        <f t="shared" si="382"/>
        <v>0</v>
      </c>
      <c r="BN235" s="169" t="b">
        <f t="shared" si="382"/>
        <v>1</v>
      </c>
      <c r="BO235" s="169" t="b">
        <f t="shared" si="382"/>
        <v>1</v>
      </c>
      <c r="BP235" s="118"/>
      <c r="BQ235" s="118"/>
      <c r="BR235" s="118"/>
      <c r="BS235" s="118"/>
      <c r="BT235" s="118"/>
    </row>
    <row r="236" spans="1:72">
      <c r="A236" s="142" t="str">
        <f>'Reference Score Calculation'!A213</f>
        <v>JS5317</v>
      </c>
      <c r="B236" s="119" t="str">
        <f>'Reference Score Calculation'!A213</f>
        <v>JS5317</v>
      </c>
      <c r="C236" s="119" t="str">
        <f>'Reference Score Calculation'!D213</f>
        <v>工商管理學士（營運管理學）</v>
      </c>
      <c r="E236" s="119" t="str">
        <f>'Reference Score Calculation'!E213</f>
        <v>英數Best4</v>
      </c>
      <c r="F236" s="119"/>
      <c r="G236" s="119" t="str">
        <f>入學要求!AB223</f>
        <v>v</v>
      </c>
      <c r="H236" s="119" t="str">
        <f>入學要求!AC223</f>
        <v>NO</v>
      </c>
      <c r="I236" s="119" t="str">
        <f>入學要求!AD223</f>
        <v>NO</v>
      </c>
      <c r="J236" s="119">
        <f t="shared" si="367"/>
        <v>4.0000000000000002E-9</v>
      </c>
      <c r="K236" s="119">
        <v>1</v>
      </c>
      <c r="L236" s="142">
        <v>2</v>
      </c>
      <c r="M236" s="142">
        <v>2</v>
      </c>
      <c r="N236" s="119">
        <v>1</v>
      </c>
      <c r="O236" s="119">
        <v>1</v>
      </c>
      <c r="P236" s="119">
        <v>1</v>
      </c>
      <c r="Q236" s="119">
        <v>1</v>
      </c>
      <c r="R236" s="119">
        <v>1</v>
      </c>
      <c r="S236" s="119">
        <v>1</v>
      </c>
      <c r="T236" s="119">
        <v>1</v>
      </c>
      <c r="V236" s="119">
        <f t="shared" si="355"/>
        <v>4.0000000000000001E-10</v>
      </c>
      <c r="W236" s="119">
        <f t="shared" si="356"/>
        <v>4.0000000000000001E-10</v>
      </c>
      <c r="X236" s="119">
        <f t="shared" si="357"/>
        <v>6E-10</v>
      </c>
      <c r="Y236" s="119">
        <f t="shared" si="358"/>
        <v>0</v>
      </c>
      <c r="Z236" s="119">
        <f t="shared" si="359"/>
        <v>5.0000000000000003E-10</v>
      </c>
      <c r="AA236" s="119">
        <f t="shared" si="360"/>
        <v>6E-10</v>
      </c>
      <c r="AB236" s="119">
        <f t="shared" si="361"/>
        <v>6.9999999999999996E-10</v>
      </c>
      <c r="AC236" s="119">
        <f t="shared" si="362"/>
        <v>8.0000000000000003E-10</v>
      </c>
      <c r="AD236" s="119">
        <f t="shared" si="363"/>
        <v>8.9999999999999999E-10</v>
      </c>
      <c r="AE236" s="119">
        <f t="shared" si="364"/>
        <v>0</v>
      </c>
      <c r="AF236" s="119" t="b">
        <f>IF(V236&gt;LARGE(($V236,$Y236:$AE236),5),TRUE)</f>
        <v>0</v>
      </c>
      <c r="AG236" s="119" t="b">
        <v>1</v>
      </c>
      <c r="AH236" s="119" t="b">
        <v>1</v>
      </c>
      <c r="AI236" s="119" t="b">
        <f>IF(Y236&gt;LARGE(($V236,$Y236:$AE236),5),TRUE)</f>
        <v>0</v>
      </c>
      <c r="AJ236" s="119" t="b">
        <f>IF(Z236&gt;LARGE(($V236,$Y236:$AE236),5),TRUE)</f>
        <v>0</v>
      </c>
      <c r="AK236" s="119" t="b">
        <f>IF(AA236&gt;LARGE(($V236,$Y236:$AE236),5),TRUE)</f>
        <v>1</v>
      </c>
      <c r="AL236" s="119" t="b">
        <f>IF(AB236&gt;LARGE(($V236,$Y236:$AE236),5),TRUE)</f>
        <v>1</v>
      </c>
      <c r="AM236" s="119" t="b">
        <f>IF(AC236&gt;LARGE(($V236,$Y236:$AE236),5),TRUE)</f>
        <v>1</v>
      </c>
      <c r="AN236" s="119" t="b">
        <f>IF(AD236&gt;LARGE(($V236,$Y236:$AE236),5),TRUE)</f>
        <v>1</v>
      </c>
      <c r="AO236" s="119" t="b">
        <f>IF(AE236&gt;LARGE(($V236,$Y236:$AE236),5),TRUE)</f>
        <v>0</v>
      </c>
      <c r="AQ236" s="95" t="str">
        <f>'Reference Score Calculation'!M213</f>
        <v>由於科大公佈了已計「加分制」的2023年收生分數，</v>
      </c>
      <c r="AR236" s="95"/>
      <c r="AS236" s="95"/>
      <c r="AT236" s="118"/>
      <c r="AU236" s="118"/>
      <c r="AV236" s="118"/>
      <c r="AW236" s="118"/>
      <c r="AX236" s="118"/>
      <c r="AY236" s="118"/>
      <c r="AZ236" s="118"/>
      <c r="BA236" s="118"/>
      <c r="BB236" s="118"/>
      <c r="BC236" s="118"/>
      <c r="BD236" s="118"/>
      <c r="BE236" s="118"/>
      <c r="BF236" s="118"/>
      <c r="BG236" s="118"/>
      <c r="BH236" s="118"/>
      <c r="BI236" s="118"/>
      <c r="BJ236" s="118"/>
      <c r="BK236" s="118"/>
      <c r="BL236" s="118"/>
      <c r="BM236" s="118"/>
      <c r="BN236" s="118"/>
      <c r="BO236" s="118"/>
      <c r="BP236" s="118"/>
      <c r="BQ236" s="118"/>
      <c r="BR236" s="118"/>
      <c r="BS236" s="118"/>
      <c r="BT236" s="118"/>
    </row>
    <row r="237" spans="1:72">
      <c r="A237" s="142" t="str">
        <f>'Reference Score Calculation'!A214</f>
        <v>JS5318</v>
      </c>
      <c r="B237" s="119" t="str">
        <f>'Reference Score Calculation'!A214</f>
        <v>JS5318</v>
      </c>
      <c r="C237" s="119" t="str">
        <f>'Reference Score Calculation'!D214</f>
        <v>工商管理學士（專業會計學）</v>
      </c>
      <c r="E237" s="119" t="str">
        <f>'Reference Score Calculation'!E214</f>
        <v>英數Best4</v>
      </c>
      <c r="F237" s="119"/>
      <c r="G237" s="119" t="str">
        <f>入學要求!AB224</f>
        <v>v</v>
      </c>
      <c r="H237" s="119" t="str">
        <f>入學要求!AC224</f>
        <v>NO</v>
      </c>
      <c r="I237" s="119" t="str">
        <f>入學要求!AD224</f>
        <v>NO</v>
      </c>
      <c r="J237" s="119">
        <f t="shared" si="367"/>
        <v>4.0000000000000002E-9</v>
      </c>
      <c r="K237" s="119">
        <v>1</v>
      </c>
      <c r="L237" s="142">
        <v>2</v>
      </c>
      <c r="M237" s="142">
        <v>2</v>
      </c>
      <c r="N237" s="119">
        <v>1</v>
      </c>
      <c r="O237" s="119">
        <v>1</v>
      </c>
      <c r="P237" s="119">
        <v>1</v>
      </c>
      <c r="Q237" s="119">
        <v>1</v>
      </c>
      <c r="R237" s="119">
        <v>1</v>
      </c>
      <c r="S237" s="119">
        <v>1</v>
      </c>
      <c r="T237" s="119">
        <v>1</v>
      </c>
      <c r="V237" s="119">
        <f t="shared" si="355"/>
        <v>4.0000000000000001E-10</v>
      </c>
      <c r="W237" s="119">
        <f t="shared" si="356"/>
        <v>4.0000000000000001E-10</v>
      </c>
      <c r="X237" s="119">
        <f t="shared" si="357"/>
        <v>6E-10</v>
      </c>
      <c r="Y237" s="119">
        <f t="shared" si="358"/>
        <v>0</v>
      </c>
      <c r="Z237" s="119">
        <f t="shared" si="359"/>
        <v>5.0000000000000003E-10</v>
      </c>
      <c r="AA237" s="119">
        <f t="shared" si="360"/>
        <v>6E-10</v>
      </c>
      <c r="AB237" s="119">
        <f t="shared" si="361"/>
        <v>6.9999999999999996E-10</v>
      </c>
      <c r="AC237" s="119">
        <f t="shared" si="362"/>
        <v>8.0000000000000003E-10</v>
      </c>
      <c r="AD237" s="119">
        <f t="shared" si="363"/>
        <v>8.9999999999999999E-10</v>
      </c>
      <c r="AE237" s="119">
        <f t="shared" si="364"/>
        <v>0</v>
      </c>
      <c r="AF237" s="119" t="b">
        <f>IF(V237&gt;LARGE(($V237,$Y237:$AE237),5),TRUE)</f>
        <v>0</v>
      </c>
      <c r="AG237" s="119" t="b">
        <v>1</v>
      </c>
      <c r="AH237" s="119" t="b">
        <v>1</v>
      </c>
      <c r="AI237" s="119" t="b">
        <f>IF(Y237&gt;LARGE(($V237,$Y237:$AE237),5),TRUE)</f>
        <v>0</v>
      </c>
      <c r="AJ237" s="119" t="b">
        <f>IF(Z237&gt;LARGE(($V237,$Y237:$AE237),5),TRUE)</f>
        <v>0</v>
      </c>
      <c r="AK237" s="119" t="b">
        <f>IF(AA237&gt;LARGE(($V237,$Y237:$AE237),5),TRUE)</f>
        <v>1</v>
      </c>
      <c r="AL237" s="119" t="b">
        <f>IF(AB237&gt;LARGE(($V237,$Y237:$AE237),5),TRUE)</f>
        <v>1</v>
      </c>
      <c r="AM237" s="119" t="b">
        <f>IF(AC237&gt;LARGE(($V237,$Y237:$AE237),5),TRUE)</f>
        <v>1</v>
      </c>
      <c r="AN237" s="119" t="b">
        <f>IF(AD237&gt;LARGE(($V237,$Y237:$AE237),5),TRUE)</f>
        <v>1</v>
      </c>
      <c r="AO237" s="119" t="b">
        <f>IF(AE237&gt;LARGE(($V237,$Y237:$AE237),5),TRUE)</f>
        <v>0</v>
      </c>
      <c r="AQ237" s="95" t="str">
        <f>'Reference Score Calculation'!M214</f>
        <v>由於科大公佈了已計「加分制」的2023年收生分數，</v>
      </c>
      <c r="AR237" s="95"/>
      <c r="AS237" s="95"/>
      <c r="AT237" s="118" t="s">
        <v>377</v>
      </c>
      <c r="AU237" s="103" t="str">
        <f>P$1</f>
        <v>請選擇第一選修科</v>
      </c>
      <c r="AV237" s="103" t="str">
        <f>Q$1</f>
        <v>請選擇第二選修科</v>
      </c>
      <c r="AW237" s="103" t="str">
        <f>R$1</f>
        <v>請選擇第三選修科</v>
      </c>
      <c r="AX237" s="103" t="str">
        <f>S$1</f>
        <v>請選擇第四選修科</v>
      </c>
      <c r="AY237" s="103" t="str">
        <f>O$1</f>
        <v>數學延伸</v>
      </c>
      <c r="AZ237" s="118"/>
      <c r="BA237" s="161" t="s">
        <v>378</v>
      </c>
      <c r="BB237" s="118"/>
      <c r="BC237" s="104" t="s">
        <v>102</v>
      </c>
      <c r="BD237" s="118"/>
      <c r="BE237" s="118"/>
      <c r="BF237" s="103" t="str">
        <f t="shared" ref="BF237:BO237" si="383">K$1</f>
        <v>中國語文</v>
      </c>
      <c r="BG237" s="103" t="str">
        <f t="shared" si="383"/>
        <v>英國語文</v>
      </c>
      <c r="BH237" s="103" t="str">
        <f t="shared" si="383"/>
        <v>數學</v>
      </c>
      <c r="BI237" s="103" t="str">
        <f t="shared" si="383"/>
        <v>通識教育</v>
      </c>
      <c r="BJ237" s="103" t="str">
        <f t="shared" si="383"/>
        <v>數學延伸</v>
      </c>
      <c r="BK237" s="103" t="str">
        <f t="shared" si="383"/>
        <v>請選擇第一選修科</v>
      </c>
      <c r="BL237" s="103" t="str">
        <f t="shared" si="383"/>
        <v>請選擇第二選修科</v>
      </c>
      <c r="BM237" s="103" t="str">
        <f t="shared" si="383"/>
        <v>請選擇第三選修科</v>
      </c>
      <c r="BN237" s="103" t="str">
        <f t="shared" si="383"/>
        <v>請選擇第四選修科</v>
      </c>
      <c r="BO237" s="103" t="str">
        <f t="shared" si="383"/>
        <v>請選擇語言科目</v>
      </c>
      <c r="BP237" s="118"/>
      <c r="BQ237" s="118"/>
      <c r="BR237" s="118"/>
      <c r="BS237" s="118"/>
      <c r="BT237" s="118"/>
    </row>
    <row r="238" spans="1:72">
      <c r="A238" s="142" t="str">
        <f>'Reference Score Calculation'!A215</f>
        <v>JS5331</v>
      </c>
      <c r="B238" s="119" t="str">
        <f>'Reference Score Calculation'!A215</f>
        <v>JS5331</v>
      </c>
      <c r="C238" s="119" t="str">
        <f>'Reference Score Calculation'!D215</f>
        <v>理學士（經濟及金融學）</v>
      </c>
      <c r="E238" s="119" t="str">
        <f>'Reference Score Calculation'!E215</f>
        <v>英數Best4</v>
      </c>
      <c r="F238" s="119"/>
      <c r="G238" s="119" t="str">
        <f>入學要求!AB225</f>
        <v>v</v>
      </c>
      <c r="H238" s="119" t="str">
        <f>入學要求!AC225</f>
        <v>NO</v>
      </c>
      <c r="I238" s="119" t="str">
        <f>入學要求!AD225</f>
        <v>NO</v>
      </c>
      <c r="J238" s="119">
        <f t="shared" si="367"/>
        <v>3.3999999999999998E-9</v>
      </c>
      <c r="K238" s="119">
        <v>1</v>
      </c>
      <c r="L238" s="142">
        <v>2</v>
      </c>
      <c r="M238" s="142">
        <v>2</v>
      </c>
      <c r="N238" s="119">
        <v>1</v>
      </c>
      <c r="O238" s="119">
        <f t="shared" ref="O238:S239" si="384">IF(O$1=$BA$238,$BC$238,1)</f>
        <v>1</v>
      </c>
      <c r="P238" s="119">
        <f t="shared" si="384"/>
        <v>1</v>
      </c>
      <c r="Q238" s="119">
        <f t="shared" si="384"/>
        <v>1</v>
      </c>
      <c r="R238" s="119">
        <f t="shared" si="384"/>
        <v>1</v>
      </c>
      <c r="S238" s="119">
        <f t="shared" si="384"/>
        <v>1</v>
      </c>
      <c r="T238" s="119">
        <v>1</v>
      </c>
      <c r="V238" s="119">
        <f t="shared" si="355"/>
        <v>4.0000000000000001E-10</v>
      </c>
      <c r="W238" s="119">
        <f t="shared" si="356"/>
        <v>4.0000000000000001E-10</v>
      </c>
      <c r="X238" s="119">
        <f t="shared" si="357"/>
        <v>6E-10</v>
      </c>
      <c r="Y238" s="119">
        <f t="shared" si="358"/>
        <v>0</v>
      </c>
      <c r="Z238" s="119">
        <f t="shared" si="359"/>
        <v>5.0000000000000003E-10</v>
      </c>
      <c r="AA238" s="119">
        <f t="shared" si="360"/>
        <v>6E-10</v>
      </c>
      <c r="AB238" s="119">
        <f t="shared" si="361"/>
        <v>6.9999999999999996E-10</v>
      </c>
      <c r="AC238" s="119">
        <f t="shared" si="362"/>
        <v>8.0000000000000003E-10</v>
      </c>
      <c r="AD238" s="119">
        <f t="shared" si="363"/>
        <v>8.9999999999999999E-10</v>
      </c>
      <c r="AE238" s="119">
        <f t="shared" si="364"/>
        <v>0</v>
      </c>
      <c r="AF238" s="119" t="b">
        <f t="shared" ref="AF238:AO238" si="385">BF239</f>
        <v>0</v>
      </c>
      <c r="AG238" s="119" t="b">
        <f t="shared" si="385"/>
        <v>1</v>
      </c>
      <c r="AH238" s="119" t="b">
        <f t="shared" si="385"/>
        <v>1</v>
      </c>
      <c r="AI238" s="119" t="b">
        <f t="shared" si="385"/>
        <v>0</v>
      </c>
      <c r="AJ238" s="119" t="b">
        <f t="shared" si="385"/>
        <v>0</v>
      </c>
      <c r="AK238" s="119" t="b">
        <f t="shared" si="385"/>
        <v>0</v>
      </c>
      <c r="AL238" s="119" t="b">
        <f t="shared" si="385"/>
        <v>1</v>
      </c>
      <c r="AM238" s="119" t="b">
        <f t="shared" si="385"/>
        <v>1</v>
      </c>
      <c r="AN238" s="119" t="b">
        <f t="shared" si="385"/>
        <v>1</v>
      </c>
      <c r="AO238" s="119" t="b">
        <f t="shared" si="385"/>
        <v>1</v>
      </c>
      <c r="AQ238" s="95" t="str">
        <f>'Reference Score Calculation'!M215</f>
        <v>由於科大公佈了已計「加分制」的2023年收生分數，</v>
      </c>
      <c r="AR238" s="95"/>
      <c r="AS238" s="95"/>
      <c r="AT238" s="118" t="s">
        <v>379</v>
      </c>
      <c r="AU238" s="21">
        <f>IF(OR(P$1="物理",P$1="化學",P$1="經濟"),P$7*1.5,P$7)</f>
        <v>6E-10</v>
      </c>
      <c r="AV238" s="21">
        <f>IF(OR(Q$1="物理",Q$1="化學",Q$1="經濟"),Q$7*1.5,Q$7)</f>
        <v>6.9999999999999996E-10</v>
      </c>
      <c r="AW238" s="21">
        <f>IF(OR(R$1="物理",R$1="化學",R$1="經濟"),R$7*1.5,R$7)</f>
        <v>8.0000000000000003E-10</v>
      </c>
      <c r="AX238" s="21">
        <f>IF(OR(S$1="物理",S$1="化學",S$1="經濟"),S$7*1.5,S$7)</f>
        <v>8.9999999999999999E-10</v>
      </c>
      <c r="AY238" s="2">
        <f>O$7*1.5</f>
        <v>7.500000000000001E-10</v>
      </c>
      <c r="AZ238" s="118"/>
      <c r="BA238" s="119" t="str">
        <f>INDEX(AU237:AY237,MATCH(LARGE(AU238:AY238,1),AU238:AY238,0))</f>
        <v>請選擇第四選修科</v>
      </c>
      <c r="BB238" s="119">
        <f>LARGE((AU238:AY238),1)</f>
        <v>8.9999999999999999E-10</v>
      </c>
      <c r="BC238" s="16">
        <f>IF(OR(BA238="化學",BA238="物理",BA238="數學延伸",BA238="經濟"),1.5,1)</f>
        <v>1</v>
      </c>
      <c r="BD238" s="118"/>
      <c r="BE238" s="118"/>
      <c r="BF238" s="21">
        <f>IF(BF237=$BA$238,0,K$7)</f>
        <v>4.0000000000000001E-10</v>
      </c>
      <c r="BG238" s="21">
        <v>0</v>
      </c>
      <c r="BH238" s="21">
        <v>0</v>
      </c>
      <c r="BI238" s="21">
        <f t="shared" ref="BI238:BO238" si="386">IF(BI237=$BA$238,0,N$7)</f>
        <v>0</v>
      </c>
      <c r="BJ238" s="21">
        <f t="shared" si="386"/>
        <v>5.0000000000000003E-10</v>
      </c>
      <c r="BK238" s="21">
        <f t="shared" si="386"/>
        <v>6E-10</v>
      </c>
      <c r="BL238" s="21">
        <f t="shared" si="386"/>
        <v>6.9999999999999996E-10</v>
      </c>
      <c r="BM238" s="21">
        <f t="shared" si="386"/>
        <v>8.0000000000000003E-10</v>
      </c>
      <c r="BN238" s="21">
        <f t="shared" si="386"/>
        <v>0</v>
      </c>
      <c r="BO238" s="21">
        <f t="shared" si="386"/>
        <v>9.5000000000000003E-10</v>
      </c>
      <c r="BP238" s="118"/>
      <c r="BQ238" s="118"/>
      <c r="BR238" s="118"/>
      <c r="BS238" s="118"/>
      <c r="BT238" s="118"/>
    </row>
    <row r="239" spans="1:72">
      <c r="A239" s="142" t="str">
        <f>'Reference Score Calculation'!A216</f>
        <v>JS5332</v>
      </c>
      <c r="B239" s="119" t="str">
        <f>'Reference Score Calculation'!A216</f>
        <v>JS5332</v>
      </c>
      <c r="C239" s="119" t="str">
        <f>'Reference Score Calculation'!D216</f>
        <v>理學士（量化金融學）</v>
      </c>
      <c r="E239" s="119" t="str">
        <f>'Reference Score Calculation'!E216</f>
        <v>英數Best4</v>
      </c>
      <c r="F239" s="119"/>
      <c r="G239" s="119" t="str">
        <f>入學要求!AB226</f>
        <v>v</v>
      </c>
      <c r="H239" s="119" t="str">
        <f>入學要求!AC226</f>
        <v>C</v>
      </c>
      <c r="I239" s="119" t="str">
        <f>入學要求!AD226</f>
        <v>NO</v>
      </c>
      <c r="J239" s="119">
        <f t="shared" si="367"/>
        <v>3.3999999999999998E-9</v>
      </c>
      <c r="K239" s="119">
        <v>1</v>
      </c>
      <c r="L239" s="142">
        <v>2</v>
      </c>
      <c r="M239" s="142">
        <v>2</v>
      </c>
      <c r="N239" s="119">
        <v>1</v>
      </c>
      <c r="O239" s="119">
        <f t="shared" si="384"/>
        <v>1</v>
      </c>
      <c r="P239" s="119">
        <f t="shared" si="384"/>
        <v>1</v>
      </c>
      <c r="Q239" s="119">
        <f t="shared" si="384"/>
        <v>1</v>
      </c>
      <c r="R239" s="119">
        <f t="shared" si="384"/>
        <v>1</v>
      </c>
      <c r="S239" s="119">
        <f t="shared" si="384"/>
        <v>1</v>
      </c>
      <c r="T239" s="119">
        <v>1</v>
      </c>
      <c r="V239" s="119">
        <f t="shared" si="355"/>
        <v>4.0000000000000001E-10</v>
      </c>
      <c r="W239" s="119">
        <f t="shared" si="356"/>
        <v>4.0000000000000001E-10</v>
      </c>
      <c r="X239" s="119">
        <f t="shared" si="357"/>
        <v>6E-10</v>
      </c>
      <c r="Y239" s="119">
        <f t="shared" si="358"/>
        <v>0</v>
      </c>
      <c r="Z239" s="119">
        <f t="shared" si="359"/>
        <v>5.0000000000000003E-10</v>
      </c>
      <c r="AA239" s="119">
        <f t="shared" si="360"/>
        <v>6E-10</v>
      </c>
      <c r="AB239" s="119">
        <f t="shared" si="361"/>
        <v>6.9999999999999996E-10</v>
      </c>
      <c r="AC239" s="119">
        <f t="shared" si="362"/>
        <v>8.0000000000000003E-10</v>
      </c>
      <c r="AD239" s="119">
        <f t="shared" si="363"/>
        <v>8.9999999999999999E-10</v>
      </c>
      <c r="AE239" s="119">
        <f t="shared" si="364"/>
        <v>0</v>
      </c>
      <c r="AF239" s="119" t="b">
        <f t="shared" ref="AF239:AO239" si="387">BF239</f>
        <v>0</v>
      </c>
      <c r="AG239" s="119" t="b">
        <f t="shared" si="387"/>
        <v>1</v>
      </c>
      <c r="AH239" s="119" t="b">
        <f t="shared" si="387"/>
        <v>1</v>
      </c>
      <c r="AI239" s="119" t="b">
        <f t="shared" si="387"/>
        <v>0</v>
      </c>
      <c r="AJ239" s="119" t="b">
        <f t="shared" si="387"/>
        <v>0</v>
      </c>
      <c r="AK239" s="119" t="b">
        <f t="shared" si="387"/>
        <v>0</v>
      </c>
      <c r="AL239" s="119" t="b">
        <f t="shared" si="387"/>
        <v>1</v>
      </c>
      <c r="AM239" s="119" t="b">
        <f t="shared" si="387"/>
        <v>1</v>
      </c>
      <c r="AN239" s="119" t="b">
        <f t="shared" si="387"/>
        <v>1</v>
      </c>
      <c r="AO239" s="119" t="b">
        <f t="shared" si="387"/>
        <v>1</v>
      </c>
      <c r="AQ239" s="95" t="str">
        <f>'Reference Score Calculation'!M216</f>
        <v>由於科大公佈了已計「加分制」的2023年收生分數，</v>
      </c>
      <c r="AR239" s="95"/>
      <c r="AS239" s="95"/>
      <c r="AT239" s="118" t="s">
        <v>380</v>
      </c>
      <c r="AU239" s="163" t="s">
        <v>381</v>
      </c>
      <c r="AV239" s="104"/>
      <c r="AW239" s="117"/>
      <c r="AX239" s="117"/>
      <c r="AY239" s="117"/>
      <c r="AZ239" s="118"/>
      <c r="BA239" s="118"/>
      <c r="BB239" s="118"/>
      <c r="BC239" s="118"/>
      <c r="BD239" s="118"/>
      <c r="BE239" s="118"/>
      <c r="BF239" s="169" t="b">
        <f>IF(BF237=$BA$238,TRUE,IF(BF238&gt;LARGE($BF238:$BO238,4),TRUE))</f>
        <v>0</v>
      </c>
      <c r="BG239" s="169" t="b">
        <v>1</v>
      </c>
      <c r="BH239" s="169" t="b">
        <v>1</v>
      </c>
      <c r="BI239" s="169" t="b">
        <f t="shared" ref="BI239:BO239" si="388">IF(BI237=$BA$238,TRUE,IF(BI238&gt;LARGE($BF238:$BO238,4),TRUE))</f>
        <v>0</v>
      </c>
      <c r="BJ239" s="169" t="b">
        <f t="shared" si="388"/>
        <v>0</v>
      </c>
      <c r="BK239" s="169" t="b">
        <f t="shared" si="388"/>
        <v>0</v>
      </c>
      <c r="BL239" s="169" t="b">
        <f t="shared" si="388"/>
        <v>1</v>
      </c>
      <c r="BM239" s="169" t="b">
        <f t="shared" si="388"/>
        <v>1</v>
      </c>
      <c r="BN239" s="169" t="b">
        <f t="shared" si="388"/>
        <v>1</v>
      </c>
      <c r="BO239" s="169" t="b">
        <f t="shared" si="388"/>
        <v>1</v>
      </c>
      <c r="BP239" s="118"/>
      <c r="BQ239" s="118"/>
      <c r="BR239" s="118"/>
      <c r="BS239" s="118"/>
      <c r="BT239" s="118"/>
    </row>
    <row r="240" spans="1:72">
      <c r="A240" s="142" t="str">
        <f>'Reference Score Calculation'!A217</f>
        <v>JS5411</v>
      </c>
      <c r="B240" s="119" t="str">
        <f>'Reference Score Calculation'!A217</f>
        <v>JS5411</v>
      </c>
      <c r="C240" s="119" t="str">
        <f>'Reference Score Calculation'!D217</f>
        <v>理學士（環球中國研究）</v>
      </c>
      <c r="E240" s="119" t="str">
        <f>'Reference Score Calculation'!E217</f>
        <v>中英Best4</v>
      </c>
      <c r="F240" s="119"/>
      <c r="G240" s="119" t="str">
        <f>入學要求!AB227</f>
        <v>v</v>
      </c>
      <c r="H240" s="119" t="str">
        <f>入學要求!AC227</f>
        <v>NO</v>
      </c>
      <c r="I240" s="119" t="str">
        <f>入學要求!AD227</f>
        <v>NO</v>
      </c>
      <c r="J240" s="119">
        <f t="shared" si="367"/>
        <v>4.0000000000000002E-9</v>
      </c>
      <c r="K240" s="119">
        <v>1.5</v>
      </c>
      <c r="L240" s="142">
        <v>2</v>
      </c>
      <c r="M240" s="142">
        <v>1</v>
      </c>
      <c r="N240" s="119">
        <v>1</v>
      </c>
      <c r="O240" s="119">
        <v>1</v>
      </c>
      <c r="P240" s="119">
        <v>1</v>
      </c>
      <c r="Q240" s="119">
        <v>1</v>
      </c>
      <c r="R240" s="119">
        <v>1</v>
      </c>
      <c r="S240" s="119">
        <v>1</v>
      </c>
      <c r="T240" s="119">
        <v>1</v>
      </c>
      <c r="V240" s="119">
        <f t="shared" si="355"/>
        <v>6E-10</v>
      </c>
      <c r="W240" s="119">
        <f t="shared" si="356"/>
        <v>4.0000000000000001E-10</v>
      </c>
      <c r="X240" s="119">
        <f t="shared" si="357"/>
        <v>3E-10</v>
      </c>
      <c r="Y240" s="119">
        <f t="shared" si="358"/>
        <v>0</v>
      </c>
      <c r="Z240" s="119">
        <f t="shared" si="359"/>
        <v>5.0000000000000003E-10</v>
      </c>
      <c r="AA240" s="119">
        <f t="shared" si="360"/>
        <v>6E-10</v>
      </c>
      <c r="AB240" s="119">
        <f t="shared" si="361"/>
        <v>6.9999999999999996E-10</v>
      </c>
      <c r="AC240" s="119">
        <f t="shared" si="362"/>
        <v>8.0000000000000003E-10</v>
      </c>
      <c r="AD240" s="119">
        <f t="shared" si="363"/>
        <v>8.9999999999999999E-10</v>
      </c>
      <c r="AE240" s="119">
        <f t="shared" si="364"/>
        <v>0</v>
      </c>
      <c r="AF240" s="119" t="b">
        <v>1</v>
      </c>
      <c r="AG240" s="119" t="b">
        <v>1</v>
      </c>
      <c r="AH240" s="119" t="b">
        <f t="shared" ref="AH240:AO240" si="389">IF(X240&gt;LARGE($X240:$AE240,5),TRUE)</f>
        <v>0</v>
      </c>
      <c r="AI240" s="119" t="b">
        <f t="shared" si="389"/>
        <v>0</v>
      </c>
      <c r="AJ240" s="119" t="b">
        <f t="shared" si="389"/>
        <v>0</v>
      </c>
      <c r="AK240" s="119" t="b">
        <f t="shared" si="389"/>
        <v>1</v>
      </c>
      <c r="AL240" s="119" t="b">
        <f t="shared" si="389"/>
        <v>1</v>
      </c>
      <c r="AM240" s="119" t="b">
        <f t="shared" si="389"/>
        <v>1</v>
      </c>
      <c r="AN240" s="119" t="b">
        <f t="shared" si="389"/>
        <v>1</v>
      </c>
      <c r="AO240" s="119" t="b">
        <f t="shared" si="389"/>
        <v>0</v>
      </c>
      <c r="AQ240" s="95" t="str">
        <f>'Reference Score Calculation'!M217</f>
        <v>由於科大公佈了已計「加分制」的2023年收生分數，</v>
      </c>
      <c r="AR240" s="95"/>
      <c r="AS240" s="95"/>
      <c r="AT240" s="118" t="s">
        <v>382</v>
      </c>
      <c r="AU240" s="118"/>
      <c r="AV240" s="118"/>
      <c r="AW240" s="118"/>
      <c r="AX240" s="118"/>
      <c r="AY240" s="118"/>
      <c r="AZ240" s="118"/>
      <c r="BA240" s="118"/>
      <c r="BB240" s="118"/>
      <c r="BC240" s="118"/>
      <c r="BD240" s="118"/>
      <c r="BE240" s="118"/>
      <c r="BF240" s="118"/>
      <c r="BG240" s="118"/>
      <c r="BH240" s="118"/>
      <c r="BI240" s="118"/>
      <c r="BJ240" s="118"/>
      <c r="BK240" s="118"/>
      <c r="BL240" s="118"/>
      <c r="BM240" s="118"/>
      <c r="BN240" s="118"/>
      <c r="BO240" s="118"/>
      <c r="BP240" s="118"/>
      <c r="BQ240" s="118"/>
      <c r="BR240" s="118"/>
      <c r="BS240" s="118"/>
      <c r="BT240" s="118"/>
    </row>
    <row r="241" spans="1:72">
      <c r="A241" s="142" t="str">
        <f>'Reference Score Calculation'!A218</f>
        <v>JS5412</v>
      </c>
      <c r="B241" s="119" t="str">
        <f>'Reference Score Calculation'!A218</f>
        <v>JS5412</v>
      </c>
      <c r="C241" s="119" t="str">
        <f>'Reference Score Calculation'!D218</f>
        <v>理學士（定量社會數據分析）</v>
      </c>
      <c r="E241" s="119" t="str">
        <f>'Reference Score Calculation'!E218</f>
        <v>英數Best4</v>
      </c>
      <c r="F241" s="119"/>
      <c r="G241" s="119" t="str">
        <f>入學要求!AB228</f>
        <v>v</v>
      </c>
      <c r="H241" s="119" t="str">
        <f>入學要求!AC228</f>
        <v>NO</v>
      </c>
      <c r="I241" s="119" t="str">
        <f>入學要求!AD228</f>
        <v>NO</v>
      </c>
      <c r="J241" s="119">
        <f t="shared" si="367"/>
        <v>4.1499999999999999E-9</v>
      </c>
      <c r="K241" s="119">
        <v>1</v>
      </c>
      <c r="L241" s="142">
        <v>2</v>
      </c>
      <c r="M241" s="142">
        <v>2</v>
      </c>
      <c r="N241" s="119">
        <v>1</v>
      </c>
      <c r="O241" s="119">
        <v>1.5</v>
      </c>
      <c r="P241" s="119">
        <v>1</v>
      </c>
      <c r="Q241" s="119">
        <v>1</v>
      </c>
      <c r="R241" s="119">
        <v>1</v>
      </c>
      <c r="S241" s="119">
        <v>1</v>
      </c>
      <c r="T241" s="119">
        <v>1</v>
      </c>
      <c r="V241" s="119">
        <f t="shared" si="355"/>
        <v>4.0000000000000001E-10</v>
      </c>
      <c r="W241" s="119">
        <f t="shared" si="356"/>
        <v>4.0000000000000001E-10</v>
      </c>
      <c r="X241" s="119">
        <f t="shared" si="357"/>
        <v>6E-10</v>
      </c>
      <c r="Y241" s="119">
        <f t="shared" si="358"/>
        <v>0</v>
      </c>
      <c r="Z241" s="119">
        <f t="shared" si="359"/>
        <v>7.500000000000001E-10</v>
      </c>
      <c r="AA241" s="119">
        <f t="shared" si="360"/>
        <v>6E-10</v>
      </c>
      <c r="AB241" s="119">
        <f t="shared" si="361"/>
        <v>6.9999999999999996E-10</v>
      </c>
      <c r="AC241" s="119">
        <f t="shared" si="362"/>
        <v>8.0000000000000003E-10</v>
      </c>
      <c r="AD241" s="119">
        <f t="shared" si="363"/>
        <v>8.9999999999999999E-10</v>
      </c>
      <c r="AE241" s="119">
        <f t="shared" si="364"/>
        <v>0</v>
      </c>
      <c r="AF241" s="119" t="b">
        <f>IF(V241&gt;LARGE(($V241,$Y241:$AE241),5),TRUE)</f>
        <v>0</v>
      </c>
      <c r="AG241" s="119" t="b">
        <v>1</v>
      </c>
      <c r="AH241" s="119" t="b">
        <v>1</v>
      </c>
      <c r="AI241" s="119" t="b">
        <f>IF(Y241&gt;LARGE(($V241,$Y241:$AE241),5),TRUE)</f>
        <v>0</v>
      </c>
      <c r="AJ241" s="119" t="b">
        <f>IF(Z241&gt;LARGE(($V241,$Y241:$AE241),5),TRUE)</f>
        <v>1</v>
      </c>
      <c r="AK241" s="119" t="b">
        <f>IF(AA241&gt;LARGE(($V241,$Y241:$AE241),5),TRUE)</f>
        <v>0</v>
      </c>
      <c r="AL241" s="119" t="b">
        <f>IF(AB241&gt;LARGE(($V241,$Y241:$AE241),5),TRUE)</f>
        <v>1</v>
      </c>
      <c r="AM241" s="119" t="b">
        <f>IF(AC241&gt;LARGE(($V241,$Y241:$AE241),5),TRUE)</f>
        <v>1</v>
      </c>
      <c r="AN241" s="119" t="b">
        <f>IF(AD241&gt;LARGE(($V241,$Y241:$AE241),5),TRUE)</f>
        <v>1</v>
      </c>
      <c r="AO241" s="119" t="b">
        <f>IF(AE241&gt;LARGE(($V241,$Y241:$AE241),5),TRUE)</f>
        <v>0</v>
      </c>
      <c r="AQ241" s="95" t="str">
        <f>'Reference Score Calculation'!M218</f>
        <v>由於科大公佈了已計「加分制」的2023年收生分數，</v>
      </c>
      <c r="AR241" s="95"/>
      <c r="AS241" s="95"/>
      <c r="AT241" s="118"/>
      <c r="AU241" s="103" t="str">
        <f>P$1</f>
        <v>請選擇第一選修科</v>
      </c>
      <c r="AV241" s="103" t="str">
        <f>Q$1</f>
        <v>請選擇第二選修科</v>
      </c>
      <c r="AW241" s="103" t="str">
        <f>R$1</f>
        <v>請選擇第三選修科</v>
      </c>
      <c r="AX241" s="103" t="str">
        <f>S$1</f>
        <v>請選擇第四選修科</v>
      </c>
      <c r="AY241" s="118"/>
      <c r="AZ241" s="118"/>
      <c r="BA241" s="161" t="s">
        <v>364</v>
      </c>
      <c r="BB241" s="118"/>
      <c r="BC241" s="104" t="s">
        <v>102</v>
      </c>
      <c r="BD241" s="118"/>
      <c r="BE241" s="118"/>
      <c r="BF241" s="103" t="str">
        <f t="shared" ref="BF241:BO241" si="390">K$1</f>
        <v>中國語文</v>
      </c>
      <c r="BG241" s="103" t="str">
        <f t="shared" si="390"/>
        <v>英國語文</v>
      </c>
      <c r="BH241" s="103" t="str">
        <f t="shared" si="390"/>
        <v>數學</v>
      </c>
      <c r="BI241" s="103" t="str">
        <f t="shared" si="390"/>
        <v>通識教育</v>
      </c>
      <c r="BJ241" s="103" t="str">
        <f t="shared" si="390"/>
        <v>數學延伸</v>
      </c>
      <c r="BK241" s="103" t="str">
        <f t="shared" si="390"/>
        <v>請選擇第一選修科</v>
      </c>
      <c r="BL241" s="103" t="str">
        <f t="shared" si="390"/>
        <v>請選擇第二選修科</v>
      </c>
      <c r="BM241" s="103" t="str">
        <f t="shared" si="390"/>
        <v>請選擇第三選修科</v>
      </c>
      <c r="BN241" s="103" t="str">
        <f t="shared" si="390"/>
        <v>請選擇第四選修科</v>
      </c>
      <c r="BO241" s="103" t="str">
        <f t="shared" si="390"/>
        <v>請選擇語言科目</v>
      </c>
      <c r="BP241" s="118"/>
      <c r="BQ241" s="118"/>
      <c r="BR241" s="118"/>
      <c r="BS241" s="118"/>
      <c r="BT241" s="118"/>
    </row>
    <row r="242" spans="1:72">
      <c r="A242" s="142" t="str">
        <f>'Reference Score Calculation'!A219</f>
        <v>JS5711</v>
      </c>
      <c r="B242" s="119" t="str">
        <f>'Reference Score Calculation'!A219</f>
        <v>JS5711</v>
      </c>
      <c r="C242" s="119" t="str">
        <f>'Reference Score Calculation'!D219</f>
        <v>理學士（綜合系統與設計）</v>
      </c>
      <c r="D242" s="142"/>
      <c r="E242" s="119" t="str">
        <f>'Reference Score Calculation'!E219</f>
        <v>英數Best3</v>
      </c>
      <c r="F242" s="119"/>
      <c r="G242" s="119" t="str">
        <f>入學要求!AB214</f>
        <v>v</v>
      </c>
      <c r="H242" s="119" t="str">
        <f>入學要求!AC214</f>
        <v>NO</v>
      </c>
      <c r="I242" s="119" t="str">
        <f>入學要求!AD214</f>
        <v>NO</v>
      </c>
      <c r="J242" s="119">
        <f>SUMIF(AF242:AO242,TRUE,V242:AE242)</f>
        <v>2.5000000000000001E-9</v>
      </c>
      <c r="K242" s="119">
        <v>1</v>
      </c>
      <c r="L242" s="142">
        <v>2</v>
      </c>
      <c r="M242" s="142">
        <v>2</v>
      </c>
      <c r="N242" s="119">
        <v>0</v>
      </c>
      <c r="O242" s="142">
        <v>1.5</v>
      </c>
      <c r="P242" s="142">
        <f>IF(P$1=$BA$234,$BC$234,1)</f>
        <v>1</v>
      </c>
      <c r="Q242" s="142">
        <f>IF(Q$1=$BA$234,$BC$234,1)</f>
        <v>1</v>
      </c>
      <c r="R242" s="142">
        <f>IF(R$1=$BA$234,$BC$234,1)</f>
        <v>1</v>
      </c>
      <c r="S242" s="142">
        <f>IF(S$1=$BA$234,$BC$234,1)</f>
        <v>1</v>
      </c>
      <c r="T242" s="119">
        <v>1</v>
      </c>
      <c r="U242" s="142"/>
      <c r="V242" s="119">
        <f t="shared" si="355"/>
        <v>4.0000000000000001E-10</v>
      </c>
      <c r="W242" s="119">
        <f t="shared" si="356"/>
        <v>4.0000000000000001E-10</v>
      </c>
      <c r="X242" s="119">
        <f t="shared" si="357"/>
        <v>6E-10</v>
      </c>
      <c r="Y242" s="119">
        <f t="shared" si="358"/>
        <v>0</v>
      </c>
      <c r="Z242" s="119">
        <f t="shared" si="359"/>
        <v>7.500000000000001E-10</v>
      </c>
      <c r="AA242" s="119">
        <f t="shared" si="360"/>
        <v>6E-10</v>
      </c>
      <c r="AB242" s="119">
        <f t="shared" si="361"/>
        <v>6.9999999999999996E-10</v>
      </c>
      <c r="AC242" s="119">
        <f t="shared" si="362"/>
        <v>8.0000000000000003E-10</v>
      </c>
      <c r="AD242" s="119">
        <f t="shared" si="363"/>
        <v>8.9999999999999999E-10</v>
      </c>
      <c r="AE242" s="119">
        <f t="shared" si="364"/>
        <v>0</v>
      </c>
      <c r="AF242" s="142" t="b">
        <f t="shared" ref="AF242:AO242" si="391">BF235</f>
        <v>0</v>
      </c>
      <c r="AG242" s="142" t="b">
        <f t="shared" si="391"/>
        <v>1</v>
      </c>
      <c r="AH242" s="142" t="b">
        <f t="shared" si="391"/>
        <v>1</v>
      </c>
      <c r="AI242" s="142">
        <f t="shared" si="391"/>
        <v>0</v>
      </c>
      <c r="AJ242" s="142" t="b">
        <f t="shared" si="391"/>
        <v>0</v>
      </c>
      <c r="AK242" s="142" t="b">
        <f t="shared" si="391"/>
        <v>1</v>
      </c>
      <c r="AL242" s="142" t="b">
        <f t="shared" si="391"/>
        <v>0</v>
      </c>
      <c r="AM242" s="142" t="b">
        <f t="shared" si="391"/>
        <v>0</v>
      </c>
      <c r="AN242" s="142" t="b">
        <f t="shared" si="391"/>
        <v>1</v>
      </c>
      <c r="AO242" s="142" t="b">
        <f t="shared" si="391"/>
        <v>1</v>
      </c>
      <c r="AQ242" s="95" t="str">
        <f>'Reference Score Calculation'!M219</f>
        <v>由於科大公佈了已計「加分制」的2023年收生分數，</v>
      </c>
      <c r="AR242" s="95"/>
      <c r="AS242" s="95"/>
      <c r="AT242" s="118" t="s">
        <v>383</v>
      </c>
      <c r="AU242" s="21">
        <f>IF(OR(P$1="化學",P$1="生物"),P$7,0)</f>
        <v>0</v>
      </c>
      <c r="AV242" s="21">
        <f>IF(OR(Q$1="化學",Q$1="生物"),Q$7,0)</f>
        <v>0</v>
      </c>
      <c r="AW242" s="21">
        <f>IF(OR(R$1="化學",R$1="生物"),R$7,0)</f>
        <v>0</v>
      </c>
      <c r="AX242" s="21">
        <f>IF(OR(S$1="化學",S$1="生物"),S$7,0)</f>
        <v>0</v>
      </c>
      <c r="AY242" s="118"/>
      <c r="AZ242" s="118"/>
      <c r="BA242" s="119" t="str">
        <f>INDEX(AU241:AX241,MATCH(LARGE(AU242:AX242,1),AU242:AX242,0))</f>
        <v>請選擇第一選修科</v>
      </c>
      <c r="BB242" s="119">
        <f>LARGE((AU242:AX242),1)</f>
        <v>0</v>
      </c>
      <c r="BC242" s="16">
        <f>IF(OR(BA242="生物",BA242="化學"),1.5,1)</f>
        <v>1</v>
      </c>
      <c r="BD242" s="118"/>
      <c r="BE242" s="118"/>
      <c r="BF242" s="21">
        <f>IF(BF241=$BA$242,0,K$7)</f>
        <v>4.0000000000000001E-10</v>
      </c>
      <c r="BG242" s="21">
        <v>0</v>
      </c>
      <c r="BH242" s="21">
        <v>0</v>
      </c>
      <c r="BI242" s="21">
        <f t="shared" ref="BI242:BO242" si="392">IF(BI241=$BA$242,0,N$7)</f>
        <v>0</v>
      </c>
      <c r="BJ242" s="21">
        <f t="shared" si="392"/>
        <v>5.0000000000000003E-10</v>
      </c>
      <c r="BK242" s="21">
        <f t="shared" si="392"/>
        <v>0</v>
      </c>
      <c r="BL242" s="21">
        <f t="shared" si="392"/>
        <v>6.9999999999999996E-10</v>
      </c>
      <c r="BM242" s="21">
        <f t="shared" si="392"/>
        <v>8.0000000000000003E-10</v>
      </c>
      <c r="BN242" s="21">
        <f t="shared" si="392"/>
        <v>8.9999999999999999E-10</v>
      </c>
      <c r="BO242" s="21">
        <f t="shared" si="392"/>
        <v>9.5000000000000003E-10</v>
      </c>
      <c r="BP242" s="118"/>
      <c r="BQ242" s="118"/>
      <c r="BR242" s="118"/>
      <c r="BS242" s="118"/>
      <c r="BT242" s="118"/>
    </row>
    <row r="243" spans="1:72">
      <c r="A243" s="142" t="str">
        <f>'Reference Score Calculation'!A220</f>
        <v>JS5811</v>
      </c>
      <c r="B243" s="119" t="str">
        <f>'Reference Score Calculation'!A220</f>
        <v>JS5811</v>
      </c>
      <c r="C243" s="119" t="str">
        <f>'Reference Score Calculation'!D220</f>
        <v>理學士（生物科技及商學）</v>
      </c>
      <c r="E243" s="119" t="str">
        <f>'Reference Score Calculation'!E220</f>
        <v>英數Best4</v>
      </c>
      <c r="F243" s="119"/>
      <c r="G243" s="119" t="str">
        <f>入學要求!AB229</f>
        <v>v</v>
      </c>
      <c r="H243" s="119" t="str">
        <f>入學要求!AC229</f>
        <v>NO</v>
      </c>
      <c r="I243" s="119" t="str">
        <f>入學要求!AD229</f>
        <v>NO</v>
      </c>
      <c r="J243" s="119">
        <f t="shared" si="367"/>
        <v>3.2999999999999998E-9</v>
      </c>
      <c r="K243" s="119">
        <v>1</v>
      </c>
      <c r="L243" s="142">
        <v>2</v>
      </c>
      <c r="M243" s="142">
        <v>2</v>
      </c>
      <c r="N243" s="119">
        <v>1</v>
      </c>
      <c r="O243" s="119">
        <v>1</v>
      </c>
      <c r="P243" s="119">
        <f>IF(P$1=$BA$242,$BC$242,1)</f>
        <v>1</v>
      </c>
      <c r="Q243" s="119">
        <f>IF(Q$1=$BA$242,$BC$242,1)</f>
        <v>1</v>
      </c>
      <c r="R243" s="119">
        <f>IF(R$1=$BA$242,$BC$242,1)</f>
        <v>1</v>
      </c>
      <c r="S243" s="119">
        <f>IF(S$1=$BA$242,$BC$242,1)</f>
        <v>1</v>
      </c>
      <c r="T243" s="119">
        <v>1</v>
      </c>
      <c r="V243" s="119">
        <f t="shared" si="355"/>
        <v>4.0000000000000001E-10</v>
      </c>
      <c r="W243" s="119">
        <f t="shared" si="356"/>
        <v>4.0000000000000001E-10</v>
      </c>
      <c r="X243" s="119">
        <f t="shared" si="357"/>
        <v>6E-10</v>
      </c>
      <c r="Y243" s="119">
        <f t="shared" si="358"/>
        <v>0</v>
      </c>
      <c r="Z243" s="119">
        <f t="shared" si="359"/>
        <v>5.0000000000000003E-10</v>
      </c>
      <c r="AA243" s="119">
        <f t="shared" si="360"/>
        <v>6E-10</v>
      </c>
      <c r="AB243" s="119">
        <f t="shared" si="361"/>
        <v>6.9999999999999996E-10</v>
      </c>
      <c r="AC243" s="119">
        <f t="shared" si="362"/>
        <v>8.0000000000000003E-10</v>
      </c>
      <c r="AD243" s="119">
        <f t="shared" si="363"/>
        <v>8.9999999999999999E-10</v>
      </c>
      <c r="AE243" s="119">
        <f t="shared" si="364"/>
        <v>0</v>
      </c>
      <c r="AF243" s="119" t="b">
        <f t="shared" ref="AF243:AO243" si="393">BF244</f>
        <v>0</v>
      </c>
      <c r="AG243" s="119" t="b">
        <f t="shared" si="393"/>
        <v>1</v>
      </c>
      <c r="AH243" s="119" t="b">
        <f t="shared" si="393"/>
        <v>1</v>
      </c>
      <c r="AI243" s="119" t="b">
        <f t="shared" si="393"/>
        <v>0</v>
      </c>
      <c r="AJ243" s="119" t="b">
        <f t="shared" si="393"/>
        <v>0</v>
      </c>
      <c r="AK243" s="119" t="b">
        <f t="shared" si="393"/>
        <v>1</v>
      </c>
      <c r="AL243" s="119" t="b">
        <f t="shared" si="393"/>
        <v>0</v>
      </c>
      <c r="AM243" s="119" t="b">
        <f t="shared" si="393"/>
        <v>1</v>
      </c>
      <c r="AN243" s="119" t="b">
        <f t="shared" si="393"/>
        <v>1</v>
      </c>
      <c r="AO243" s="119" t="b">
        <f t="shared" si="393"/>
        <v>1</v>
      </c>
      <c r="AQ243" s="95" t="str">
        <f>'Reference Score Calculation'!M220</f>
        <v>由於科大公佈了已計「加分制」的2023年收生分數，</v>
      </c>
      <c r="AR243" s="95"/>
      <c r="AS243" s="95"/>
      <c r="AT243" s="118"/>
      <c r="AU243" s="103" t="str">
        <f>P$1</f>
        <v>請選擇第一選修科</v>
      </c>
      <c r="AV243" s="103" t="str">
        <f>Q$1</f>
        <v>請選擇第二選修科</v>
      </c>
      <c r="AW243" s="103" t="str">
        <f>R$1</f>
        <v>請選擇第三選修科</v>
      </c>
      <c r="AX243" s="103" t="str">
        <f>S$1</f>
        <v>請選擇第四選修科</v>
      </c>
      <c r="AY243" s="118"/>
      <c r="AZ243" s="118"/>
      <c r="BA243" s="161" t="s">
        <v>364</v>
      </c>
      <c r="BB243" s="118"/>
      <c r="BC243" s="104" t="s">
        <v>102</v>
      </c>
      <c r="BD243" s="118"/>
      <c r="BE243" s="118"/>
      <c r="BF243" s="103" t="str">
        <f t="shared" ref="BF243:BO243" si="394">K$1</f>
        <v>中國語文</v>
      </c>
      <c r="BG243" s="103" t="str">
        <f t="shared" si="394"/>
        <v>英國語文</v>
      </c>
      <c r="BH243" s="103" t="str">
        <f t="shared" si="394"/>
        <v>數學</v>
      </c>
      <c r="BI243" s="103" t="str">
        <f t="shared" si="394"/>
        <v>通識教育</v>
      </c>
      <c r="BJ243" s="103" t="str">
        <f t="shared" si="394"/>
        <v>數學延伸</v>
      </c>
      <c r="BK243" s="103" t="str">
        <f t="shared" si="394"/>
        <v>請選擇第一選修科</v>
      </c>
      <c r="BL243" s="103" t="str">
        <f t="shared" si="394"/>
        <v>請選擇第二選修科</v>
      </c>
      <c r="BM243" s="103" t="str">
        <f t="shared" si="394"/>
        <v>請選擇第三選修科</v>
      </c>
      <c r="BN243" s="103" t="str">
        <f t="shared" si="394"/>
        <v>請選擇第四選修科</v>
      </c>
      <c r="BO243" s="103" t="str">
        <f t="shared" si="394"/>
        <v>請選擇語言科目</v>
      </c>
      <c r="BP243" s="118"/>
      <c r="BQ243" s="118"/>
      <c r="BR243" s="118"/>
      <c r="BS243" s="117"/>
      <c r="BT243" s="117"/>
    </row>
    <row r="244" spans="1:72">
      <c r="A244" s="142" t="str">
        <f>'Reference Score Calculation'!A221</f>
        <v>JS5812</v>
      </c>
      <c r="B244" s="119" t="str">
        <f>'Reference Score Calculation'!A221</f>
        <v>JS5812</v>
      </c>
      <c r="C244" s="119" t="str">
        <f>'Reference Score Calculation'!D221</f>
        <v>理學士（環境管理及科技）</v>
      </c>
      <c r="E244" s="119" t="str">
        <f>'Reference Score Calculation'!E221</f>
        <v>英數Best4</v>
      </c>
      <c r="F244" s="119"/>
      <c r="G244" s="119" t="str">
        <f>入學要求!AB230</f>
        <v>v</v>
      </c>
      <c r="H244" s="119" t="str">
        <f>入學要求!AC230</f>
        <v>C</v>
      </c>
      <c r="I244" s="119" t="str">
        <f>入學要求!AD230</f>
        <v>NO</v>
      </c>
      <c r="J244" s="119">
        <f t="shared" si="367"/>
        <v>4.0000000000000002E-9</v>
      </c>
      <c r="K244" s="119">
        <v>1</v>
      </c>
      <c r="L244" s="142">
        <v>2</v>
      </c>
      <c r="M244" s="142">
        <v>2</v>
      </c>
      <c r="N244" s="119">
        <v>1</v>
      </c>
      <c r="O244" s="119">
        <v>1</v>
      </c>
      <c r="P244" s="119">
        <v>1</v>
      </c>
      <c r="Q244" s="119">
        <v>1</v>
      </c>
      <c r="R244" s="119">
        <v>1</v>
      </c>
      <c r="S244" s="119">
        <v>1</v>
      </c>
      <c r="T244" s="119">
        <v>1</v>
      </c>
      <c r="V244" s="119">
        <f t="shared" si="355"/>
        <v>4.0000000000000001E-10</v>
      </c>
      <c r="W244" s="119">
        <f t="shared" si="356"/>
        <v>4.0000000000000001E-10</v>
      </c>
      <c r="X244" s="119">
        <f t="shared" si="357"/>
        <v>6E-10</v>
      </c>
      <c r="Y244" s="119">
        <f t="shared" si="358"/>
        <v>0</v>
      </c>
      <c r="Z244" s="119">
        <f t="shared" si="359"/>
        <v>5.0000000000000003E-10</v>
      </c>
      <c r="AA244" s="119">
        <f t="shared" si="360"/>
        <v>6E-10</v>
      </c>
      <c r="AB244" s="119">
        <f t="shared" si="361"/>
        <v>6.9999999999999996E-10</v>
      </c>
      <c r="AC244" s="119">
        <f t="shared" si="362"/>
        <v>8.0000000000000003E-10</v>
      </c>
      <c r="AD244" s="119">
        <f t="shared" si="363"/>
        <v>8.9999999999999999E-10</v>
      </c>
      <c r="AE244" s="119">
        <f t="shared" si="364"/>
        <v>0</v>
      </c>
      <c r="AF244" s="119" t="b">
        <f>IF(V244&gt;LARGE(($V$229,$Y$229:$AE$229),5),TRUE)</f>
        <v>0</v>
      </c>
      <c r="AG244" s="119" t="b">
        <v>1</v>
      </c>
      <c r="AH244" s="119" t="b">
        <v>1</v>
      </c>
      <c r="AI244" s="119" t="b">
        <f>IF(Y244&gt;LARGE(($V$229,$Y$229:$AE$229),5),TRUE)</f>
        <v>0</v>
      </c>
      <c r="AJ244" s="119" t="b">
        <f>IF(Z244&gt;LARGE(($V$229,$Y$229:$AE$229),5),TRUE)</f>
        <v>0</v>
      </c>
      <c r="AK244" s="119" t="b">
        <f>IF(AA244&gt;LARGE(($V$229,$Y$229:$AE$229),5),TRUE)</f>
        <v>1</v>
      </c>
      <c r="AL244" s="119" t="b">
        <f>IF(AB244&gt;LARGE(($V$229,$Y$229:$AE$229),5),TRUE)</f>
        <v>1</v>
      </c>
      <c r="AM244" s="119" t="b">
        <f>IF(AC244&gt;LARGE(($V$229,$Y$229:$AE$229),5),TRUE)</f>
        <v>1</v>
      </c>
      <c r="AN244" s="119" t="b">
        <f>IF(AD244&gt;LARGE(($V$229,$Y$229:$AE$229),5),TRUE)</f>
        <v>1</v>
      </c>
      <c r="AO244" s="119" t="b">
        <f>IF(AE244&gt;LARGE(($V$229,$Y$229:$AE$229),5),TRUE)</f>
        <v>0</v>
      </c>
      <c r="AQ244" s="95" t="str">
        <f>'Reference Score Calculation'!M221</f>
        <v>由於科大公佈了已計「加分制」的2023年收生分數，</v>
      </c>
      <c r="AR244" s="95"/>
      <c r="AS244" s="95"/>
      <c r="AT244" s="118"/>
      <c r="AU244" s="163" t="s">
        <v>384</v>
      </c>
      <c r="AV244" s="104"/>
      <c r="AW244" s="117"/>
      <c r="AX244" s="117"/>
      <c r="AY244" s="117"/>
      <c r="AZ244" s="118"/>
      <c r="BA244" s="118"/>
      <c r="BB244" s="118"/>
      <c r="BC244" s="118"/>
      <c r="BD244" s="118"/>
      <c r="BE244" s="118"/>
      <c r="BF244" s="169" t="b">
        <f>IF(BF241=$BA$242,TRUE,IF(BF242&gt;LARGE($BF242:$BO242,4),TRUE))</f>
        <v>0</v>
      </c>
      <c r="BG244" s="169" t="b">
        <v>1</v>
      </c>
      <c r="BH244" s="169" t="b">
        <v>1</v>
      </c>
      <c r="BI244" s="169" t="b">
        <f t="shared" ref="BI244" si="395">IF(BI241=$BA$242,TRUE,IF(BI242&gt;LARGE($BF242:$BO242,4),TRUE))</f>
        <v>0</v>
      </c>
      <c r="BJ244" s="169" t="b">
        <f t="shared" ref="BJ244:BO244" si="396">IF(BJ241=$BA$242,TRUE,IF(BJ242&gt;LARGE($BF242:$BO242,4),TRUE))</f>
        <v>0</v>
      </c>
      <c r="BK244" s="169" t="b">
        <f t="shared" si="396"/>
        <v>1</v>
      </c>
      <c r="BL244" s="169" t="b">
        <f t="shared" si="396"/>
        <v>0</v>
      </c>
      <c r="BM244" s="169" t="b">
        <f t="shared" si="396"/>
        <v>1</v>
      </c>
      <c r="BN244" s="169" t="b">
        <f t="shared" si="396"/>
        <v>1</v>
      </c>
      <c r="BO244" s="169" t="b">
        <f t="shared" si="396"/>
        <v>1</v>
      </c>
      <c r="BP244" s="118"/>
      <c r="BQ244" s="118"/>
      <c r="BR244" s="118"/>
      <c r="BS244" s="118"/>
      <c r="BT244" s="118"/>
    </row>
    <row r="245" spans="1:72">
      <c r="A245" s="142" t="str">
        <f>'Reference Score Calculation'!A222</f>
        <v>JS5813</v>
      </c>
      <c r="B245" s="119" t="str">
        <f>'Reference Score Calculation'!A222</f>
        <v>JS5813</v>
      </c>
      <c r="C245" s="119" t="str">
        <f>'Reference Score Calculation'!D222</f>
        <v>理學士（數學與經濟學）</v>
      </c>
      <c r="E245" s="119" t="str">
        <f>'Reference Score Calculation'!E222</f>
        <v>英數Best4</v>
      </c>
      <c r="F245" s="119"/>
      <c r="G245" s="119" t="str">
        <f>入學要求!AB231</f>
        <v>v</v>
      </c>
      <c r="H245" s="119" t="str">
        <f>入學要求!AC231</f>
        <v>NO</v>
      </c>
      <c r="I245" s="119" t="str">
        <f>入學要求!AD231</f>
        <v>NO</v>
      </c>
      <c r="J245" s="119">
        <f t="shared" si="367"/>
        <v>3.7E-9</v>
      </c>
      <c r="K245" s="119">
        <v>1</v>
      </c>
      <c r="L245" s="142">
        <v>2</v>
      </c>
      <c r="M245" s="142">
        <v>2</v>
      </c>
      <c r="N245" s="119">
        <v>1</v>
      </c>
      <c r="O245" s="119">
        <f>IF(O$1=$BA$247,$BC$247,1)</f>
        <v>2</v>
      </c>
      <c r="P245" s="119">
        <f>IF(P$1=$BA$247,$BC$247,1)</f>
        <v>1</v>
      </c>
      <c r="Q245" s="119">
        <f>IF(Q$1=$BA$247,$BC$247,1)</f>
        <v>1</v>
      </c>
      <c r="R245" s="119">
        <f>IF(R$1=$BA$247,$BC$247,1)</f>
        <v>1</v>
      </c>
      <c r="S245" s="119">
        <f>IF(S$1=$BA$247,$BC$247,1)</f>
        <v>1</v>
      </c>
      <c r="T245" s="119">
        <v>1</v>
      </c>
      <c r="V245" s="119">
        <f t="shared" si="355"/>
        <v>4.0000000000000001E-10</v>
      </c>
      <c r="W245" s="119">
        <f t="shared" si="356"/>
        <v>4.0000000000000001E-10</v>
      </c>
      <c r="X245" s="119">
        <f t="shared" si="357"/>
        <v>6E-10</v>
      </c>
      <c r="Y245" s="119">
        <f t="shared" si="358"/>
        <v>0</v>
      </c>
      <c r="Z245" s="119">
        <f t="shared" si="359"/>
        <v>1.0000000000000001E-9</v>
      </c>
      <c r="AA245" s="119">
        <f t="shared" si="360"/>
        <v>6E-10</v>
      </c>
      <c r="AB245" s="119">
        <f t="shared" si="361"/>
        <v>6.9999999999999996E-10</v>
      </c>
      <c r="AC245" s="119">
        <f t="shared" si="362"/>
        <v>8.0000000000000003E-10</v>
      </c>
      <c r="AD245" s="119">
        <f t="shared" si="363"/>
        <v>8.9999999999999999E-10</v>
      </c>
      <c r="AE245" s="119">
        <f t="shared" si="364"/>
        <v>0</v>
      </c>
      <c r="AF245" s="119" t="b">
        <f t="shared" ref="AF245:AO245" si="397">BF248</f>
        <v>0</v>
      </c>
      <c r="AG245" s="119" t="b">
        <f t="shared" si="397"/>
        <v>1</v>
      </c>
      <c r="AH245" s="119" t="b">
        <f t="shared" si="397"/>
        <v>1</v>
      </c>
      <c r="AI245" s="119" t="b">
        <f t="shared" si="397"/>
        <v>0</v>
      </c>
      <c r="AJ245" s="119" t="b">
        <f t="shared" si="397"/>
        <v>1</v>
      </c>
      <c r="AK245" s="119" t="b">
        <f t="shared" si="397"/>
        <v>0</v>
      </c>
      <c r="AL245" s="119" t="b">
        <f t="shared" si="397"/>
        <v>0</v>
      </c>
      <c r="AM245" s="119" t="b">
        <f t="shared" si="397"/>
        <v>1</v>
      </c>
      <c r="AN245" s="119" t="b">
        <f t="shared" si="397"/>
        <v>1</v>
      </c>
      <c r="AO245" s="119" t="b">
        <f t="shared" si="397"/>
        <v>1</v>
      </c>
      <c r="AQ245" s="95" t="str">
        <f>'Reference Score Calculation'!M222</f>
        <v>由於科大公佈了已計「加分制」的2023年收生分數，</v>
      </c>
      <c r="AR245" s="95"/>
      <c r="AS245" s="95"/>
      <c r="AT245" s="118"/>
      <c r="AU245" s="118"/>
      <c r="AV245" s="118"/>
      <c r="AW245" s="118"/>
      <c r="AX245" s="118"/>
      <c r="AY245" s="118"/>
      <c r="AZ245" s="118"/>
      <c r="BA245" s="118"/>
      <c r="BB245" s="118"/>
      <c r="BC245" s="118"/>
      <c r="BD245" s="118"/>
      <c r="BE245" s="118"/>
      <c r="BF245" s="118"/>
      <c r="BG245" s="118"/>
      <c r="BH245" s="118"/>
      <c r="BI245" s="118"/>
      <c r="BJ245" s="118"/>
      <c r="BK245" s="118"/>
      <c r="BL245" s="118"/>
      <c r="BM245" s="118"/>
      <c r="BN245" s="118"/>
      <c r="BO245" s="118"/>
      <c r="BP245" s="118"/>
      <c r="BQ245" s="118"/>
      <c r="BR245" s="118"/>
      <c r="BS245" s="118"/>
      <c r="BT245" s="118"/>
    </row>
    <row r="246" spans="1:72">
      <c r="A246" s="142" t="str">
        <f>'Reference Score Calculation'!A223</f>
        <v>JS5814</v>
      </c>
      <c r="B246" s="119" t="str">
        <f>'Reference Score Calculation'!A223</f>
        <v>JS5814</v>
      </c>
      <c r="C246" s="119" t="str">
        <f>'Reference Score Calculation'!D223</f>
        <v>理學士（風險管理及商業智能學）</v>
      </c>
      <c r="E246" s="119" t="str">
        <f>'Reference Score Calculation'!E223</f>
        <v>英數Best4</v>
      </c>
      <c r="F246" s="119"/>
      <c r="G246" s="119" t="str">
        <f>入學要求!AB232</f>
        <v>v</v>
      </c>
      <c r="H246" s="119" t="str">
        <f>入學要求!AC232</f>
        <v>NO</v>
      </c>
      <c r="I246" s="119" t="str">
        <f>入學要求!AD232</f>
        <v>NO</v>
      </c>
      <c r="J246" s="119">
        <f t="shared" si="367"/>
        <v>4.1499999999999999E-9</v>
      </c>
      <c r="K246" s="119">
        <v>1</v>
      </c>
      <c r="L246" s="142">
        <v>2</v>
      </c>
      <c r="M246" s="142">
        <v>2</v>
      </c>
      <c r="N246" s="119">
        <v>1</v>
      </c>
      <c r="O246" s="119">
        <v>1.5</v>
      </c>
      <c r="P246" s="119">
        <v>1</v>
      </c>
      <c r="Q246" s="119">
        <v>1</v>
      </c>
      <c r="R246" s="119">
        <v>1</v>
      </c>
      <c r="S246" s="119">
        <v>1</v>
      </c>
      <c r="T246" s="119">
        <v>1</v>
      </c>
      <c r="V246" s="119">
        <f t="shared" si="355"/>
        <v>4.0000000000000001E-10</v>
      </c>
      <c r="W246" s="119">
        <f t="shared" si="356"/>
        <v>4.0000000000000001E-10</v>
      </c>
      <c r="X246" s="119">
        <f t="shared" si="357"/>
        <v>6E-10</v>
      </c>
      <c r="Y246" s="119">
        <f t="shared" si="358"/>
        <v>0</v>
      </c>
      <c r="Z246" s="119">
        <f t="shared" si="359"/>
        <v>7.500000000000001E-10</v>
      </c>
      <c r="AA246" s="119">
        <f t="shared" si="360"/>
        <v>6E-10</v>
      </c>
      <c r="AB246" s="119">
        <f t="shared" si="361"/>
        <v>6.9999999999999996E-10</v>
      </c>
      <c r="AC246" s="119">
        <f t="shared" si="362"/>
        <v>8.0000000000000003E-10</v>
      </c>
      <c r="AD246" s="119">
        <f t="shared" si="363"/>
        <v>8.9999999999999999E-10</v>
      </c>
      <c r="AE246" s="119">
        <f t="shared" si="364"/>
        <v>0</v>
      </c>
      <c r="AF246" s="119" t="b">
        <f>IF(V246&gt;LARGE(($V246,$Y246:$AE246),5),TRUE)</f>
        <v>0</v>
      </c>
      <c r="AG246" s="119" t="b">
        <v>1</v>
      </c>
      <c r="AH246" s="119" t="b">
        <v>1</v>
      </c>
      <c r="AI246" s="119" t="b">
        <f>IF(Y246&gt;LARGE(($V246,$Y246:$AE246),5),TRUE)</f>
        <v>0</v>
      </c>
      <c r="AJ246" s="119" t="b">
        <f>IF(Z246&gt;LARGE(($V246,$Y246:$AE246),5),TRUE)</f>
        <v>1</v>
      </c>
      <c r="AK246" s="119" t="b">
        <f>IF(AA246&gt;LARGE(($V246,$Y246:$AE246),5),TRUE)</f>
        <v>0</v>
      </c>
      <c r="AL246" s="119" t="b">
        <f>IF(AB246&gt;LARGE(($V246,$Y246:$AE246),5),TRUE)</f>
        <v>1</v>
      </c>
      <c r="AM246" s="119" t="b">
        <f>IF(AC246&gt;LARGE(($V246,$Y246:$AE246),5),TRUE)</f>
        <v>1</v>
      </c>
      <c r="AN246" s="119" t="b">
        <f>IF(AD246&gt;LARGE(($V246,$Y246:$AE246),5),TRUE)</f>
        <v>1</v>
      </c>
      <c r="AO246" s="119" t="b">
        <f>IF(AE246&gt;LARGE(($V246,$Y246:$AE246),5),TRUE)</f>
        <v>0</v>
      </c>
      <c r="AQ246" s="95" t="str">
        <f>'Reference Score Calculation'!M223</f>
        <v>由於科大公佈了已計「加分制」的2023年收生分數，</v>
      </c>
      <c r="AR246" s="95"/>
      <c r="AS246" s="95"/>
      <c r="AT246" s="118" t="s">
        <v>385</v>
      </c>
      <c r="AU246" s="103" t="str">
        <f>P$1</f>
        <v>請選擇第一選修科</v>
      </c>
      <c r="AV246" s="103" t="str">
        <f>Q$1</f>
        <v>請選擇第二選修科</v>
      </c>
      <c r="AW246" s="103" t="str">
        <f>R$1</f>
        <v>請選擇第三選修科</v>
      </c>
      <c r="AX246" s="103" t="str">
        <f>S$1</f>
        <v>請選擇第四選修科</v>
      </c>
      <c r="AY246" s="103" t="str">
        <f>O$1</f>
        <v>數學延伸</v>
      </c>
      <c r="AZ246" s="118"/>
      <c r="BA246" s="161" t="s">
        <v>364</v>
      </c>
      <c r="BB246" s="118"/>
      <c r="BC246" s="104" t="s">
        <v>102</v>
      </c>
      <c r="BD246" s="118"/>
      <c r="BE246" s="118"/>
      <c r="BF246" s="103" t="str">
        <f t="shared" ref="BF246:BO246" si="398">K$1</f>
        <v>中國語文</v>
      </c>
      <c r="BG246" s="103" t="str">
        <f t="shared" si="398"/>
        <v>英國語文</v>
      </c>
      <c r="BH246" s="103" t="str">
        <f t="shared" si="398"/>
        <v>數學</v>
      </c>
      <c r="BI246" s="103" t="str">
        <f t="shared" si="398"/>
        <v>通識教育</v>
      </c>
      <c r="BJ246" s="103" t="str">
        <f t="shared" si="398"/>
        <v>數學延伸</v>
      </c>
      <c r="BK246" s="103" t="str">
        <f t="shared" si="398"/>
        <v>請選擇第一選修科</v>
      </c>
      <c r="BL246" s="103" t="str">
        <f t="shared" si="398"/>
        <v>請選擇第二選修科</v>
      </c>
      <c r="BM246" s="103" t="str">
        <f t="shared" si="398"/>
        <v>請選擇第三選修科</v>
      </c>
      <c r="BN246" s="103" t="str">
        <f t="shared" si="398"/>
        <v>請選擇第四選修科</v>
      </c>
      <c r="BO246" s="103" t="str">
        <f t="shared" si="398"/>
        <v>請選擇語言科目</v>
      </c>
      <c r="BP246" s="118"/>
      <c r="BQ246" s="118"/>
      <c r="BR246" s="118"/>
      <c r="BS246" s="118"/>
      <c r="BT246" s="118"/>
    </row>
    <row r="247" spans="1:72">
      <c r="A247" s="142" t="str">
        <f>'Reference Score Calculation'!A224</f>
        <v>JS5822</v>
      </c>
      <c r="B247" s="119" t="str">
        <f>'Reference Score Calculation'!A224</f>
        <v>JS5822</v>
      </c>
      <c r="C247" s="119" t="str">
        <f>'Reference Score Calculation'!D224</f>
        <v>理學士（可持續發展及綠色金融）</v>
      </c>
      <c r="E247" s="119" t="str">
        <f>'Reference Score Calculation'!E223</f>
        <v>英數Best4</v>
      </c>
      <c r="F247" s="119"/>
      <c r="G247" s="119" t="str">
        <f>入學要求!AB233</f>
        <v>v</v>
      </c>
      <c r="H247" s="119" t="str">
        <f>入學要求!AC233</f>
        <v>NO</v>
      </c>
      <c r="I247" s="119" t="str">
        <f>入學要求!AD233</f>
        <v>NO</v>
      </c>
      <c r="J247" s="119">
        <f t="shared" si="367"/>
        <v>3.3999999999999998E-9</v>
      </c>
      <c r="K247" s="119">
        <v>1</v>
      </c>
      <c r="L247" s="142">
        <v>2</v>
      </c>
      <c r="M247" s="142">
        <v>2</v>
      </c>
      <c r="N247" s="119">
        <v>1</v>
      </c>
      <c r="O247" s="119">
        <f>IF(O$1=$BA$238,$BC$238,1)</f>
        <v>1</v>
      </c>
      <c r="P247" s="119">
        <f>IF(P$1=$BA$238,$BC$238,1)</f>
        <v>1</v>
      </c>
      <c r="Q247" s="119">
        <f>IF(Q$1=$BA$238,$BC$238,1)</f>
        <v>1</v>
      </c>
      <c r="R247" s="119">
        <f>IF(R$1=$BA$238,$BC$238,1)</f>
        <v>1</v>
      </c>
      <c r="S247" s="119">
        <f>IF(S$1=$BA$238,$BC$238,1)</f>
        <v>1</v>
      </c>
      <c r="T247" s="119">
        <v>1</v>
      </c>
      <c r="V247" s="119">
        <f t="shared" si="355"/>
        <v>4.0000000000000001E-10</v>
      </c>
      <c r="W247" s="119">
        <f t="shared" si="356"/>
        <v>4.0000000000000001E-10</v>
      </c>
      <c r="X247" s="119">
        <f t="shared" si="357"/>
        <v>6E-10</v>
      </c>
      <c r="Y247" s="119">
        <f t="shared" si="358"/>
        <v>0</v>
      </c>
      <c r="Z247" s="119">
        <f t="shared" si="359"/>
        <v>5.0000000000000003E-10</v>
      </c>
      <c r="AA247" s="119">
        <f t="shared" si="360"/>
        <v>6E-10</v>
      </c>
      <c r="AB247" s="119">
        <f t="shared" si="361"/>
        <v>6.9999999999999996E-10</v>
      </c>
      <c r="AC247" s="119">
        <f t="shared" si="362"/>
        <v>8.0000000000000003E-10</v>
      </c>
      <c r="AD247" s="119">
        <f t="shared" si="363"/>
        <v>8.9999999999999999E-10</v>
      </c>
      <c r="AE247" s="119">
        <f t="shared" si="364"/>
        <v>0</v>
      </c>
      <c r="AF247" s="119" t="b">
        <f t="shared" ref="AF247:AO247" si="399">BF239</f>
        <v>0</v>
      </c>
      <c r="AG247" s="119" t="b">
        <f t="shared" si="399"/>
        <v>1</v>
      </c>
      <c r="AH247" s="119" t="b">
        <f t="shared" si="399"/>
        <v>1</v>
      </c>
      <c r="AI247" s="119" t="b">
        <f t="shared" si="399"/>
        <v>0</v>
      </c>
      <c r="AJ247" s="119" t="b">
        <f t="shared" si="399"/>
        <v>0</v>
      </c>
      <c r="AK247" s="119" t="b">
        <f t="shared" si="399"/>
        <v>0</v>
      </c>
      <c r="AL247" s="119" t="b">
        <f t="shared" si="399"/>
        <v>1</v>
      </c>
      <c r="AM247" s="119" t="b">
        <f t="shared" si="399"/>
        <v>1</v>
      </c>
      <c r="AN247" s="119" t="b">
        <f t="shared" si="399"/>
        <v>1</v>
      </c>
      <c r="AO247" s="119" t="b">
        <f t="shared" si="399"/>
        <v>1</v>
      </c>
      <c r="AQ247" s="95" t="str">
        <f>'Reference Score Calculation'!M224</f>
        <v>由於科大公佈了已計「加分制」的2023年收生分數，</v>
      </c>
      <c r="AR247" s="95"/>
      <c r="AS247" s="95"/>
      <c r="AT247" s="118"/>
      <c r="AU247" s="21">
        <f>IF(OR(P$1="物理",P$1="化學",P$1="生物",P$1="經濟"),P$7*1.5,0)</f>
        <v>0</v>
      </c>
      <c r="AV247" s="21">
        <f t="shared" ref="AV247:AX247" si="400">IF(OR(Q$1="物理",Q$1="化學",Q$1="生物",Q$1="經濟"),Q$7*1.5,0)</f>
        <v>0</v>
      </c>
      <c r="AW247" s="21">
        <f t="shared" si="400"/>
        <v>0</v>
      </c>
      <c r="AX247" s="21">
        <f t="shared" si="400"/>
        <v>0</v>
      </c>
      <c r="AY247" s="2">
        <f>O$7*2</f>
        <v>1.0000000000000001E-9</v>
      </c>
      <c r="AZ247" s="118"/>
      <c r="BA247" s="119" t="str">
        <f>INDEX(AU246:AY246,MATCH(LARGE(AU247:AY247,1),AU247:AY247,0))</f>
        <v>數學延伸</v>
      </c>
      <c r="BB247" s="119">
        <f>LARGE((AU247:AY247),1)</f>
        <v>1.0000000000000001E-9</v>
      </c>
      <c r="BC247" s="16">
        <f>IF(OR(BA247="物理",BA247="組合科學(物理、化學)",BA247="組合科學(生物、化學)",BA247="組合科學(物理、生物)",BA247="化學",BA247="生物",BA247="經濟"),1.5,IF(BA247="數學延伸",2,1))</f>
        <v>2</v>
      </c>
      <c r="BD247" s="118"/>
      <c r="BE247" s="118"/>
      <c r="BF247" s="21">
        <f>IF(BF246=$BA$247,0,K$7)</f>
        <v>4.0000000000000001E-10</v>
      </c>
      <c r="BG247" s="21">
        <v>0</v>
      </c>
      <c r="BH247" s="21">
        <v>0</v>
      </c>
      <c r="BI247" s="21">
        <f>IF(BI246=$BA$238,0,N$7)</f>
        <v>0</v>
      </c>
      <c r="BJ247" s="21">
        <f t="shared" ref="BJ247:BO247" si="401">IF(BJ246=$BA$247,0,O$7)</f>
        <v>0</v>
      </c>
      <c r="BK247" s="21">
        <f t="shared" si="401"/>
        <v>6E-10</v>
      </c>
      <c r="BL247" s="21">
        <f t="shared" si="401"/>
        <v>6.9999999999999996E-10</v>
      </c>
      <c r="BM247" s="21">
        <f t="shared" si="401"/>
        <v>8.0000000000000003E-10</v>
      </c>
      <c r="BN247" s="21">
        <f t="shared" si="401"/>
        <v>8.9999999999999999E-10</v>
      </c>
      <c r="BO247" s="21">
        <f t="shared" si="401"/>
        <v>9.5000000000000003E-10</v>
      </c>
      <c r="BP247" s="118"/>
      <c r="BQ247" s="118"/>
      <c r="BR247" s="118"/>
      <c r="BS247" s="118"/>
      <c r="BT247" s="118"/>
    </row>
    <row r="248" spans="1:72">
      <c r="A248" s="142" t="str">
        <f>'Reference Score Calculation'!A225</f>
        <v>JS5901</v>
      </c>
      <c r="B248" s="119" t="str">
        <f>'Reference Score Calculation'!A225</f>
        <v>JS5901</v>
      </c>
      <c r="C248" s="119" t="str">
        <f>'Reference Score Calculation'!D225</f>
        <v>科技及管理學雙學位課程</v>
      </c>
      <c r="E248" s="119" t="str">
        <f>'Reference Score Calculation'!E225</f>
        <v>英數Best4</v>
      </c>
      <c r="F248" s="119"/>
      <c r="G248" s="119" t="str">
        <f>入學要求!AB234</f>
        <v>v</v>
      </c>
      <c r="H248" s="119" t="str">
        <f>入學要求!AC234</f>
        <v>NO</v>
      </c>
      <c r="I248" s="119" t="str">
        <f>入學要求!AD234</f>
        <v>NO</v>
      </c>
      <c r="J248" s="119">
        <f t="shared" si="367"/>
        <v>3.2999999999999998E-9</v>
      </c>
      <c r="K248" s="119">
        <v>1</v>
      </c>
      <c r="L248" s="142">
        <v>2</v>
      </c>
      <c r="M248" s="142">
        <v>2</v>
      </c>
      <c r="N248" s="119">
        <v>1</v>
      </c>
      <c r="O248" s="119">
        <v>1.5</v>
      </c>
      <c r="P248" s="119">
        <f>IF(P$1=$BA$229,$BC$229,1)</f>
        <v>1</v>
      </c>
      <c r="Q248" s="119">
        <f>IF(Q$1=$BA$229,$BC$229,1)</f>
        <v>1</v>
      </c>
      <c r="R248" s="119">
        <f>IF(R$1=$BA$229,$BC$229,1)</f>
        <v>1</v>
      </c>
      <c r="S248" s="119">
        <f>IF(S$1=$BA$229,$BC$229,1)</f>
        <v>1</v>
      </c>
      <c r="T248" s="119">
        <v>1</v>
      </c>
      <c r="V248" s="119">
        <f t="shared" si="355"/>
        <v>4.0000000000000001E-10</v>
      </c>
      <c r="W248" s="119">
        <f t="shared" si="356"/>
        <v>4.0000000000000001E-10</v>
      </c>
      <c r="X248" s="119">
        <f t="shared" si="357"/>
        <v>6E-10</v>
      </c>
      <c r="Y248" s="119">
        <f t="shared" si="358"/>
        <v>0</v>
      </c>
      <c r="Z248" s="119">
        <f t="shared" si="359"/>
        <v>7.500000000000001E-10</v>
      </c>
      <c r="AA248" s="119">
        <f t="shared" si="360"/>
        <v>6E-10</v>
      </c>
      <c r="AB248" s="119">
        <f t="shared" si="361"/>
        <v>6.9999999999999996E-10</v>
      </c>
      <c r="AC248" s="119">
        <f t="shared" si="362"/>
        <v>8.0000000000000003E-10</v>
      </c>
      <c r="AD248" s="119">
        <f t="shared" si="363"/>
        <v>8.9999999999999999E-10</v>
      </c>
      <c r="AE248" s="119">
        <f t="shared" si="364"/>
        <v>0</v>
      </c>
      <c r="AF248" s="119" t="b">
        <f t="shared" ref="AF248:AO248" si="402">BF231</f>
        <v>0</v>
      </c>
      <c r="AG248" s="119" t="b">
        <f t="shared" si="402"/>
        <v>1</v>
      </c>
      <c r="AH248" s="119" t="b">
        <f t="shared" si="402"/>
        <v>1</v>
      </c>
      <c r="AI248" s="119" t="b">
        <f t="shared" si="402"/>
        <v>0</v>
      </c>
      <c r="AJ248" s="119" t="b">
        <f t="shared" si="402"/>
        <v>0</v>
      </c>
      <c r="AK248" s="119" t="b">
        <f t="shared" si="402"/>
        <v>1</v>
      </c>
      <c r="AL248" s="119" t="b">
        <f t="shared" si="402"/>
        <v>0</v>
      </c>
      <c r="AM248" s="119" t="b">
        <f t="shared" si="402"/>
        <v>1</v>
      </c>
      <c r="AN248" s="119" t="b">
        <f t="shared" si="402"/>
        <v>1</v>
      </c>
      <c r="AO248" s="119" t="b">
        <f t="shared" si="402"/>
        <v>1</v>
      </c>
      <c r="AQ248" s="95" t="str">
        <f>'Reference Score Calculation'!M225</f>
        <v>由於科大公佈了已計「加分制」的2023年收生分數，</v>
      </c>
      <c r="AR248" s="95"/>
      <c r="AS248" s="95"/>
      <c r="AT248" s="118"/>
      <c r="AU248" s="163" t="s">
        <v>3090</v>
      </c>
      <c r="AV248" s="104"/>
      <c r="AW248" s="117"/>
      <c r="AX248" s="117"/>
      <c r="AY248" s="117"/>
      <c r="AZ248" s="118"/>
      <c r="BA248" s="118"/>
      <c r="BB248" s="118"/>
      <c r="BC248" s="118"/>
      <c r="BD248" s="118"/>
      <c r="BE248" s="118"/>
      <c r="BF248" s="169" t="b">
        <f>IF(BF246=$BA$247,TRUE,IF(BF247&gt;LARGE($BF247:$BO247,4),TRUE))</f>
        <v>0</v>
      </c>
      <c r="BG248" s="169" t="b">
        <v>1</v>
      </c>
      <c r="BH248" s="169" t="b">
        <v>1</v>
      </c>
      <c r="BI248" s="169" t="b">
        <f t="shared" ref="BI248" si="403">IF(BI246=$BA$238,TRUE,IF(BI247&gt;LARGE($BF247:$BO247,4),TRUE))</f>
        <v>0</v>
      </c>
      <c r="BJ248" s="169" t="b">
        <f t="shared" ref="BJ248:BO248" si="404">IF(BJ246=$BA$247,TRUE,IF(BJ247&gt;LARGE($BF247:$BO247,4),TRUE))</f>
        <v>1</v>
      </c>
      <c r="BK248" s="169" t="b">
        <f t="shared" si="404"/>
        <v>0</v>
      </c>
      <c r="BL248" s="169" t="b">
        <f t="shared" si="404"/>
        <v>0</v>
      </c>
      <c r="BM248" s="169" t="b">
        <f t="shared" si="404"/>
        <v>1</v>
      </c>
      <c r="BN248" s="169" t="b">
        <f t="shared" si="404"/>
        <v>1</v>
      </c>
      <c r="BO248" s="169" t="b">
        <f t="shared" si="404"/>
        <v>1</v>
      </c>
      <c r="BP248" s="118"/>
      <c r="BQ248" s="118"/>
      <c r="BR248" s="118"/>
      <c r="BS248" s="118"/>
      <c r="BT248" s="118"/>
    </row>
    <row r="249" spans="1:72">
      <c r="A249" s="142"/>
      <c r="B249" s="133"/>
      <c r="C249" s="398" t="s">
        <v>3091</v>
      </c>
      <c r="W249" s="133"/>
      <c r="X249" s="133"/>
      <c r="Y249" s="133"/>
      <c r="AA249" s="133"/>
      <c r="AC249" s="133"/>
      <c r="AQ249" s="95">
        <f>'Reference Score Calculation'!M226</f>
        <v>0</v>
      </c>
      <c r="AR249" s="95"/>
      <c r="AS249" s="95"/>
      <c r="AT249" s="118"/>
      <c r="AU249" s="118"/>
      <c r="AV249" s="118"/>
      <c r="AW249" s="118"/>
      <c r="AX249" s="118"/>
      <c r="AY249" s="118"/>
      <c r="AZ249" s="118"/>
      <c r="BA249" s="118"/>
      <c r="BB249" s="118"/>
      <c r="BC249" s="118"/>
      <c r="BD249" s="118"/>
      <c r="BE249" s="118"/>
      <c r="BF249" s="118"/>
      <c r="BG249" s="118"/>
      <c r="BH249" s="118"/>
      <c r="BI249" s="118"/>
      <c r="BJ249" s="118"/>
      <c r="BK249" s="118"/>
      <c r="BL249" s="118"/>
      <c r="BM249" s="118"/>
      <c r="BN249" s="118"/>
      <c r="BO249" s="118"/>
      <c r="BP249" s="118"/>
      <c r="BQ249" s="118"/>
      <c r="BR249" s="118"/>
      <c r="BS249" s="118"/>
      <c r="BT249" s="118"/>
    </row>
    <row r="250" spans="1:72">
      <c r="A250" s="142"/>
      <c r="B250" s="144" t="s">
        <v>259</v>
      </c>
      <c r="C250" s="418"/>
      <c r="D250" s="159"/>
      <c r="E250" s="459">
        <v>2023</v>
      </c>
      <c r="F250" s="460">
        <v>2024</v>
      </c>
      <c r="G250" s="19" t="s">
        <v>297</v>
      </c>
      <c r="H250" s="19" t="s">
        <v>298</v>
      </c>
      <c r="I250" s="19" t="s">
        <v>299</v>
      </c>
      <c r="J250" s="133" t="s">
        <v>245</v>
      </c>
      <c r="K250" s="133" t="s">
        <v>274</v>
      </c>
      <c r="L250" s="133" t="s">
        <v>275</v>
      </c>
      <c r="M250" s="133" t="s">
        <v>276</v>
      </c>
      <c r="N250" s="133" t="s">
        <v>277</v>
      </c>
      <c r="O250" s="133" t="s">
        <v>278</v>
      </c>
      <c r="P250" s="133" t="s">
        <v>279</v>
      </c>
      <c r="Q250" s="133" t="s">
        <v>280</v>
      </c>
      <c r="R250" s="133" t="s">
        <v>281</v>
      </c>
      <c r="S250" s="133" t="s">
        <v>282</v>
      </c>
      <c r="T250" s="133" t="s">
        <v>319</v>
      </c>
      <c r="U250" s="144"/>
      <c r="V250" s="133" t="str">
        <f t="shared" ref="V250:AE250" si="405">K$1</f>
        <v>中國語文</v>
      </c>
      <c r="W250" s="133" t="str">
        <f t="shared" si="405"/>
        <v>英國語文</v>
      </c>
      <c r="X250" s="133" t="str">
        <f t="shared" si="405"/>
        <v>數學</v>
      </c>
      <c r="Y250" s="133" t="str">
        <f t="shared" si="405"/>
        <v>通識教育</v>
      </c>
      <c r="Z250" s="133" t="str">
        <f t="shared" si="405"/>
        <v>數學延伸</v>
      </c>
      <c r="AA250" s="133" t="str">
        <f t="shared" si="405"/>
        <v>請選擇第一選修科</v>
      </c>
      <c r="AB250" s="133" t="str">
        <f t="shared" si="405"/>
        <v>請選擇第二選修科</v>
      </c>
      <c r="AC250" s="133" t="str">
        <f t="shared" si="405"/>
        <v>請選擇第三選修科</v>
      </c>
      <c r="AD250" s="133" t="str">
        <f t="shared" si="405"/>
        <v>請選擇第四選修科</v>
      </c>
      <c r="AE250" s="133" t="str">
        <f t="shared" si="405"/>
        <v>請選擇語言科目</v>
      </c>
      <c r="AF250" s="133" t="s">
        <v>284</v>
      </c>
      <c r="AG250" s="133" t="s">
        <v>285</v>
      </c>
      <c r="AH250" s="133" t="s">
        <v>286</v>
      </c>
      <c r="AI250" s="133" t="s">
        <v>287</v>
      </c>
      <c r="AJ250" s="133" t="s">
        <v>288</v>
      </c>
      <c r="AK250" s="133" t="s">
        <v>289</v>
      </c>
      <c r="AL250" s="133" t="s">
        <v>290</v>
      </c>
      <c r="AM250" s="133" t="s">
        <v>291</v>
      </c>
      <c r="AN250" s="133" t="s">
        <v>292</v>
      </c>
      <c r="AO250" s="133" t="s">
        <v>320</v>
      </c>
      <c r="AP250" s="145"/>
      <c r="AQ250" s="95">
        <f>'Reference Score Calculation'!M227</f>
        <v>0</v>
      </c>
      <c r="AR250" s="95"/>
      <c r="AS250" s="95" t="s">
        <v>356</v>
      </c>
    </row>
    <row r="251" spans="1:72" s="145" customFormat="1">
      <c r="A251" s="433" t="str">
        <f>'Reference Score Calculation'!A228</f>
        <v>JS6004</v>
      </c>
      <c r="B251" s="433" t="str">
        <f>'Reference Score Calculation'!A228</f>
        <v>JS6004</v>
      </c>
      <c r="C251" s="446" t="str">
        <f>'Reference Score Calculation'!D228</f>
        <v>建築學文學士</v>
      </c>
      <c r="D251" s="365"/>
      <c r="E251" s="447" t="str">
        <f>'Reference Score Calculation'!E228</f>
        <v>Best 6</v>
      </c>
      <c r="F251" s="461" t="str">
        <f>'Reference Score Calculation'!AB228</f>
        <v>Best 5</v>
      </c>
      <c r="G251" s="365" t="str">
        <f>入學要求!AB237</f>
        <v>v</v>
      </c>
      <c r="H251" s="365" t="str">
        <f>入學要求!AC237</f>
        <v>E</v>
      </c>
      <c r="I251" s="365" t="str">
        <f>入學要求!AD237</f>
        <v>NO</v>
      </c>
      <c r="J251" s="448">
        <f>SUMIF(AF251:AO251,TRUE,V251:AE251)</f>
        <v>4.3500000000000001E-9</v>
      </c>
      <c r="K251" s="448">
        <v>1</v>
      </c>
      <c r="L251" s="448">
        <v>1</v>
      </c>
      <c r="M251" s="448">
        <v>1</v>
      </c>
      <c r="N251" s="448">
        <v>1</v>
      </c>
      <c r="O251" s="448">
        <v>1</v>
      </c>
      <c r="P251" s="448">
        <v>1</v>
      </c>
      <c r="Q251" s="448">
        <v>1</v>
      </c>
      <c r="R251" s="448">
        <v>1</v>
      </c>
      <c r="S251" s="448">
        <v>1</v>
      </c>
      <c r="T251" s="448">
        <v>1</v>
      </c>
      <c r="U251" s="448"/>
      <c r="V251" s="448">
        <f t="shared" ref="V251:V265" si="406">K$8*K251</f>
        <v>4.0000000000000001E-10</v>
      </c>
      <c r="W251" s="448">
        <f t="shared" ref="W251:W265" si="407">L$8*L251</f>
        <v>2.0000000000000001E-10</v>
      </c>
      <c r="X251" s="448">
        <f t="shared" ref="X251:X265" si="408">M$8*M251</f>
        <v>3E-10</v>
      </c>
      <c r="Y251" s="448">
        <f t="shared" ref="Y251:Y265" si="409">N$8*N251</f>
        <v>0</v>
      </c>
      <c r="Z251" s="448">
        <f t="shared" ref="Z251:Z256" si="410">IF($O$8&gt;$T$8,O$8*O251,0)</f>
        <v>0</v>
      </c>
      <c r="AA251" s="448">
        <f t="shared" ref="AA251:AA265" si="411">P$8*P251</f>
        <v>6E-10</v>
      </c>
      <c r="AB251" s="448">
        <f t="shared" ref="AB251:AB265" si="412">Q$8*Q251</f>
        <v>6.9999999999999996E-10</v>
      </c>
      <c r="AC251" s="448">
        <f t="shared" ref="AC251:AC265" si="413">R$8*R251</f>
        <v>8.0000000000000003E-10</v>
      </c>
      <c r="AD251" s="448">
        <f t="shared" ref="AD251:AD265" si="414">S$8*S251</f>
        <v>8.9999999999999999E-10</v>
      </c>
      <c r="AE251" s="448">
        <f t="shared" ref="AE251:AE282" si="415">IF(H251="E",IF($T$8 &gt; $O$8,$T$8*T251,0),0)</f>
        <v>9.5000000000000003E-10</v>
      </c>
      <c r="AF251" s="448" t="b">
        <f t="shared" ref="AF251:AO251" si="416">IF(V251&gt;LARGE(($V251:$AE251),7),TRUE)</f>
        <v>1</v>
      </c>
      <c r="AG251" s="448" t="b">
        <f t="shared" si="416"/>
        <v>0</v>
      </c>
      <c r="AH251" s="448" t="b">
        <f t="shared" si="416"/>
        <v>0</v>
      </c>
      <c r="AI251" s="448" t="b">
        <f t="shared" si="416"/>
        <v>0</v>
      </c>
      <c r="AJ251" s="448" t="b">
        <f t="shared" si="416"/>
        <v>0</v>
      </c>
      <c r="AK251" s="448" t="b">
        <f t="shared" si="416"/>
        <v>1</v>
      </c>
      <c r="AL251" s="448" t="b">
        <f t="shared" si="416"/>
        <v>1</v>
      </c>
      <c r="AM251" s="448" t="b">
        <f t="shared" si="416"/>
        <v>1</v>
      </c>
      <c r="AN251" s="448" t="b">
        <f t="shared" si="416"/>
        <v>1</v>
      </c>
      <c r="AO251" s="448" t="b">
        <f t="shared" si="416"/>
        <v>1</v>
      </c>
      <c r="AP251" s="433"/>
      <c r="AQ251" s="365" t="str">
        <f>'Reference Score Calculation'!M228</f>
        <v>/</v>
      </c>
      <c r="AR251" s="365" t="str">
        <f>'Reference Score Calculation'!N228</f>
        <v>可包含 M1/2 或丙類科目 (較高者) 於計算內</v>
      </c>
      <c r="AS251" s="365" t="s">
        <v>356</v>
      </c>
      <c r="AT251" s="126" t="s">
        <v>259</v>
      </c>
      <c r="AU251" s="124" t="s">
        <v>300</v>
      </c>
      <c r="AV251" s="104"/>
      <c r="AW251" s="117"/>
      <c r="AX251" s="117"/>
      <c r="AY251" s="117"/>
      <c r="AZ251" s="117"/>
      <c r="BA251" s="117"/>
      <c r="BB251" s="117"/>
      <c r="BC251" s="117"/>
      <c r="BD251" s="117"/>
      <c r="BE251" s="117"/>
      <c r="BF251" s="117"/>
      <c r="BG251" s="117"/>
      <c r="BH251" s="117"/>
      <c r="BI251" s="117"/>
      <c r="BJ251" s="117"/>
      <c r="BK251" s="117"/>
      <c r="BL251" s="117"/>
      <c r="BM251" s="117"/>
      <c r="BN251" s="117"/>
      <c r="BO251" s="117"/>
      <c r="BP251" s="117"/>
      <c r="BQ251" s="117"/>
      <c r="BR251" s="117"/>
      <c r="BS251" s="117"/>
      <c r="BT251" s="117"/>
    </row>
    <row r="252" spans="1:72" s="433" customFormat="1">
      <c r="A252" s="433" t="str">
        <f>'Reference Score Calculation'!A229</f>
        <v>JS6016</v>
      </c>
      <c r="B252" s="433" t="str">
        <f>'Reference Score Calculation'!A229</f>
        <v>JS6016</v>
      </c>
      <c r="C252" s="446" t="str">
        <f>'Reference Score Calculation'!D229</f>
        <v>理學士(測量學)</v>
      </c>
      <c r="D252" s="365"/>
      <c r="E252" s="447" t="str">
        <f>'Reference Score Calculation'!E229</f>
        <v>Best 5</v>
      </c>
      <c r="F252" s="461" t="str">
        <f>'Reference Score Calculation'!AB229</f>
        <v>Best 5</v>
      </c>
      <c r="G252" s="365" t="str">
        <f>入學要求!AB238</f>
        <v>v</v>
      </c>
      <c r="H252" s="365" t="str">
        <f>入學要求!AC238</f>
        <v>E</v>
      </c>
      <c r="I252" s="365" t="str">
        <f>入學要求!AD238</f>
        <v>NO</v>
      </c>
      <c r="J252" s="448">
        <f t="shared" ref="J252:J299" si="417">SUMIF(AF252:AO252,TRUE,V252:AE252)</f>
        <v>3.9500000000000006E-9</v>
      </c>
      <c r="K252" s="448">
        <v>1</v>
      </c>
      <c r="L252" s="448">
        <v>1</v>
      </c>
      <c r="M252" s="448">
        <v>1</v>
      </c>
      <c r="N252" s="448">
        <v>0</v>
      </c>
      <c r="O252" s="448">
        <v>1</v>
      </c>
      <c r="P252" s="448">
        <v>1</v>
      </c>
      <c r="Q252" s="448">
        <v>1</v>
      </c>
      <c r="R252" s="448">
        <v>1</v>
      </c>
      <c r="S252" s="448">
        <v>1</v>
      </c>
      <c r="T252" s="448">
        <v>1</v>
      </c>
      <c r="U252" s="448"/>
      <c r="V252" s="448">
        <f t="shared" si="406"/>
        <v>4.0000000000000001E-10</v>
      </c>
      <c r="W252" s="448">
        <f t="shared" si="407"/>
        <v>2.0000000000000001E-10</v>
      </c>
      <c r="X252" s="448">
        <f t="shared" si="408"/>
        <v>3E-10</v>
      </c>
      <c r="Y252" s="448">
        <f t="shared" si="409"/>
        <v>0</v>
      </c>
      <c r="Z252" s="448">
        <f t="shared" si="410"/>
        <v>0</v>
      </c>
      <c r="AA252" s="448">
        <f t="shared" si="411"/>
        <v>6E-10</v>
      </c>
      <c r="AB252" s="448">
        <f t="shared" si="412"/>
        <v>6.9999999999999996E-10</v>
      </c>
      <c r="AC252" s="448">
        <f t="shared" si="413"/>
        <v>8.0000000000000003E-10</v>
      </c>
      <c r="AD252" s="448">
        <f t="shared" si="414"/>
        <v>8.9999999999999999E-10</v>
      </c>
      <c r="AE252" s="448">
        <f t="shared" si="415"/>
        <v>9.5000000000000003E-10</v>
      </c>
      <c r="AF252" s="448" t="b">
        <f t="shared" ref="AF252:AO254" si="418">IF(V252&gt;LARGE(($V252:$AE252),6),TRUE)</f>
        <v>0</v>
      </c>
      <c r="AG252" s="448" t="b">
        <f t="shared" si="418"/>
        <v>0</v>
      </c>
      <c r="AH252" s="448" t="b">
        <f t="shared" si="418"/>
        <v>0</v>
      </c>
      <c r="AI252" s="448" t="b">
        <f t="shared" si="418"/>
        <v>0</v>
      </c>
      <c r="AJ252" s="448" t="b">
        <f t="shared" si="418"/>
        <v>0</v>
      </c>
      <c r="AK252" s="448" t="b">
        <f t="shared" si="418"/>
        <v>1</v>
      </c>
      <c r="AL252" s="448" t="b">
        <f t="shared" si="418"/>
        <v>1</v>
      </c>
      <c r="AM252" s="448" t="b">
        <f t="shared" si="418"/>
        <v>1</v>
      </c>
      <c r="AN252" s="448" t="b">
        <f t="shared" si="418"/>
        <v>1</v>
      </c>
      <c r="AO252" s="448" t="b">
        <f t="shared" si="418"/>
        <v>1</v>
      </c>
      <c r="AQ252" s="365" t="str">
        <f>'Reference Score Calculation'!M229</f>
        <v>/</v>
      </c>
      <c r="AR252" s="365" t="str">
        <f>'Reference Score Calculation'!N229</f>
        <v>可包含 M1/2 或丙類科目 (較高者) 於計算內</v>
      </c>
      <c r="AS252" s="365" t="s">
        <v>356</v>
      </c>
      <c r="AT252" s="449"/>
      <c r="AU252" s="450"/>
      <c r="AV252" s="451"/>
      <c r="AW252" s="449"/>
      <c r="AX252" s="449"/>
      <c r="AY252" s="449"/>
      <c r="AZ252" s="449"/>
      <c r="BA252" s="434"/>
      <c r="BB252" s="434"/>
      <c r="BC252" s="451"/>
      <c r="BD252" s="434"/>
      <c r="BE252" s="434"/>
      <c r="BF252" s="452"/>
      <c r="BG252" s="451"/>
      <c r="BH252" s="449"/>
      <c r="BI252" s="449"/>
      <c r="BJ252" s="449"/>
      <c r="BK252" s="449"/>
      <c r="BL252" s="449"/>
      <c r="BM252" s="449"/>
      <c r="BN252" s="449"/>
      <c r="BO252" s="449"/>
      <c r="BP252" s="449"/>
      <c r="BQ252" s="449"/>
      <c r="BR252" s="449"/>
      <c r="BS252" s="449"/>
      <c r="BT252" s="449"/>
    </row>
    <row r="253" spans="1:72" s="433" customFormat="1">
      <c r="A253" s="433" t="str">
        <f>'Reference Score Calculation'!A230</f>
        <v>JS6028</v>
      </c>
      <c r="B253" s="433" t="str">
        <f>'Reference Score Calculation'!A230</f>
        <v>JS6028</v>
      </c>
      <c r="C253" s="446" t="str">
        <f>'Reference Score Calculation'!D230</f>
        <v>園境學文學士</v>
      </c>
      <c r="D253" s="365"/>
      <c r="E253" s="447" t="str">
        <f>'Reference Score Calculation'!E230</f>
        <v>Best 5</v>
      </c>
      <c r="F253" s="461" t="str">
        <f>'Reference Score Calculation'!AB230</f>
        <v>Best 5</v>
      </c>
      <c r="G253" s="365" t="str">
        <f>入學要求!AB239</f>
        <v>v</v>
      </c>
      <c r="H253" s="365" t="str">
        <f>入學要求!AC239</f>
        <v>E</v>
      </c>
      <c r="I253" s="365" t="str">
        <f>入學要求!AD239</f>
        <v>NO</v>
      </c>
      <c r="J253" s="448">
        <f t="shared" si="417"/>
        <v>3.9500000000000006E-9</v>
      </c>
      <c r="K253" s="448">
        <v>1</v>
      </c>
      <c r="L253" s="448">
        <v>1</v>
      </c>
      <c r="M253" s="448">
        <v>1</v>
      </c>
      <c r="N253" s="448">
        <v>0</v>
      </c>
      <c r="O253" s="448">
        <v>1</v>
      </c>
      <c r="P253" s="448">
        <v>1</v>
      </c>
      <c r="Q253" s="448">
        <v>1</v>
      </c>
      <c r="R253" s="448">
        <v>1</v>
      </c>
      <c r="S253" s="448">
        <v>1</v>
      </c>
      <c r="T253" s="448">
        <v>1</v>
      </c>
      <c r="U253" s="448"/>
      <c r="V253" s="448">
        <f t="shared" si="406"/>
        <v>4.0000000000000001E-10</v>
      </c>
      <c r="W253" s="448">
        <f t="shared" si="407"/>
        <v>2.0000000000000001E-10</v>
      </c>
      <c r="X253" s="448">
        <f t="shared" si="408"/>
        <v>3E-10</v>
      </c>
      <c r="Y253" s="448">
        <f t="shared" si="409"/>
        <v>0</v>
      </c>
      <c r="Z253" s="448">
        <f t="shared" si="410"/>
        <v>0</v>
      </c>
      <c r="AA253" s="448">
        <f t="shared" si="411"/>
        <v>6E-10</v>
      </c>
      <c r="AB253" s="448">
        <f t="shared" si="412"/>
        <v>6.9999999999999996E-10</v>
      </c>
      <c r="AC253" s="448">
        <f t="shared" si="413"/>
        <v>8.0000000000000003E-10</v>
      </c>
      <c r="AD253" s="448">
        <f t="shared" si="414"/>
        <v>8.9999999999999999E-10</v>
      </c>
      <c r="AE253" s="448">
        <f t="shared" si="415"/>
        <v>9.5000000000000003E-10</v>
      </c>
      <c r="AF253" s="448" t="b">
        <f t="shared" si="418"/>
        <v>0</v>
      </c>
      <c r="AG253" s="448" t="b">
        <f t="shared" si="418"/>
        <v>0</v>
      </c>
      <c r="AH253" s="448" t="b">
        <f t="shared" si="418"/>
        <v>0</v>
      </c>
      <c r="AI253" s="448" t="b">
        <f t="shared" si="418"/>
        <v>0</v>
      </c>
      <c r="AJ253" s="448" t="b">
        <f t="shared" si="418"/>
        <v>0</v>
      </c>
      <c r="AK253" s="448" t="b">
        <f t="shared" si="418"/>
        <v>1</v>
      </c>
      <c r="AL253" s="448" t="b">
        <f t="shared" si="418"/>
        <v>1</v>
      </c>
      <c r="AM253" s="448" t="b">
        <f t="shared" si="418"/>
        <v>1</v>
      </c>
      <c r="AN253" s="448" t="b">
        <f t="shared" si="418"/>
        <v>1</v>
      </c>
      <c r="AO253" s="448" t="b">
        <f t="shared" si="418"/>
        <v>1</v>
      </c>
      <c r="AQ253" s="365" t="str">
        <f>'Reference Score Calculation'!M230</f>
        <v>/</v>
      </c>
      <c r="AR253" s="365" t="str">
        <f>'Reference Score Calculation'!N230</f>
        <v>可包含 M1/2 或丙類科目 (較高者) 於計算內</v>
      </c>
      <c r="AS253" s="365" t="s">
        <v>356</v>
      </c>
      <c r="AT253" s="444" t="s">
        <v>386</v>
      </c>
      <c r="AU253" s="450" t="s">
        <v>407</v>
      </c>
      <c r="AV253" s="450"/>
      <c r="AW253" s="449"/>
      <c r="AX253" s="449"/>
      <c r="AY253" s="449"/>
      <c r="AZ253" s="449" t="s">
        <v>388</v>
      </c>
      <c r="BA253" s="450"/>
      <c r="BB253" s="450"/>
      <c r="BC253" s="450"/>
      <c r="BD253" s="450" t="str">
        <f t="shared" ref="BD253:BL253" si="419">K$1</f>
        <v>中國語文</v>
      </c>
      <c r="BE253" s="450" t="str">
        <f t="shared" si="419"/>
        <v>英國語文</v>
      </c>
      <c r="BF253" s="450" t="str">
        <f t="shared" si="419"/>
        <v>數學</v>
      </c>
      <c r="BG253" s="450" t="str">
        <f t="shared" si="419"/>
        <v>通識教育</v>
      </c>
      <c r="BH253" s="450" t="str">
        <f t="shared" si="419"/>
        <v>數學延伸</v>
      </c>
      <c r="BI253" s="450" t="str">
        <f t="shared" si="419"/>
        <v>請選擇第一選修科</v>
      </c>
      <c r="BJ253" s="450" t="str">
        <f t="shared" si="419"/>
        <v>請選擇第二選修科</v>
      </c>
      <c r="BK253" s="450" t="str">
        <f t="shared" si="419"/>
        <v>請選擇第三選修科</v>
      </c>
      <c r="BL253" s="450" t="str">
        <f t="shared" si="419"/>
        <v>請選擇第四選修科</v>
      </c>
      <c r="BM253" s="449"/>
      <c r="BN253" s="449"/>
      <c r="BO253" s="449"/>
      <c r="BP253" s="449"/>
      <c r="BQ253" s="449"/>
      <c r="BR253" s="449"/>
      <c r="BS253" s="449"/>
      <c r="BT253" s="449"/>
    </row>
    <row r="254" spans="1:72" s="433" customFormat="1">
      <c r="A254" s="433" t="str">
        <f>'Reference Score Calculation'!A231</f>
        <v>JS6042</v>
      </c>
      <c r="B254" s="433" t="str">
        <f>'Reference Score Calculation'!A231</f>
        <v>JS6042</v>
      </c>
      <c r="C254" s="446" t="str">
        <f>'Reference Score Calculation'!D231</f>
        <v>文學士(城市研究)</v>
      </c>
      <c r="D254" s="365"/>
      <c r="E254" s="447" t="str">
        <f>'Reference Score Calculation'!E231</f>
        <v>Best 5</v>
      </c>
      <c r="F254" s="461" t="str">
        <f>'Reference Score Calculation'!AB231</f>
        <v>Best 5</v>
      </c>
      <c r="G254" s="365" t="str">
        <f>入學要求!AB240</f>
        <v>v</v>
      </c>
      <c r="H254" s="365" t="str">
        <f>入學要求!AC240</f>
        <v>E</v>
      </c>
      <c r="I254" s="365" t="str">
        <f>入學要求!AD240</f>
        <v>NO</v>
      </c>
      <c r="J254" s="448">
        <f t="shared" si="417"/>
        <v>3.9500000000000006E-9</v>
      </c>
      <c r="K254" s="448">
        <v>1</v>
      </c>
      <c r="L254" s="448">
        <v>1</v>
      </c>
      <c r="M254" s="448">
        <v>1</v>
      </c>
      <c r="N254" s="448">
        <v>0</v>
      </c>
      <c r="O254" s="448">
        <v>1</v>
      </c>
      <c r="P254" s="448">
        <v>1</v>
      </c>
      <c r="Q254" s="448">
        <v>1</v>
      </c>
      <c r="R254" s="448">
        <v>1</v>
      </c>
      <c r="S254" s="448">
        <v>1</v>
      </c>
      <c r="T254" s="448">
        <v>1</v>
      </c>
      <c r="U254" s="448"/>
      <c r="V254" s="448">
        <f t="shared" si="406"/>
        <v>4.0000000000000001E-10</v>
      </c>
      <c r="W254" s="448">
        <f t="shared" si="407"/>
        <v>2.0000000000000001E-10</v>
      </c>
      <c r="X254" s="448">
        <f t="shared" si="408"/>
        <v>3E-10</v>
      </c>
      <c r="Y254" s="448">
        <f t="shared" si="409"/>
        <v>0</v>
      </c>
      <c r="Z254" s="448">
        <f t="shared" si="410"/>
        <v>0</v>
      </c>
      <c r="AA254" s="448">
        <f t="shared" si="411"/>
        <v>6E-10</v>
      </c>
      <c r="AB254" s="448">
        <f t="shared" si="412"/>
        <v>6.9999999999999996E-10</v>
      </c>
      <c r="AC254" s="448">
        <f t="shared" si="413"/>
        <v>8.0000000000000003E-10</v>
      </c>
      <c r="AD254" s="448">
        <f t="shared" si="414"/>
        <v>8.9999999999999999E-10</v>
      </c>
      <c r="AE254" s="448">
        <f t="shared" si="415"/>
        <v>9.5000000000000003E-10</v>
      </c>
      <c r="AF254" s="448" t="b">
        <f t="shared" si="418"/>
        <v>0</v>
      </c>
      <c r="AG254" s="448" t="b">
        <f t="shared" si="418"/>
        <v>0</v>
      </c>
      <c r="AH254" s="448" t="b">
        <f t="shared" si="418"/>
        <v>0</v>
      </c>
      <c r="AI254" s="448" t="b">
        <f t="shared" si="418"/>
        <v>0</v>
      </c>
      <c r="AJ254" s="448" t="b">
        <f t="shared" si="418"/>
        <v>0</v>
      </c>
      <c r="AK254" s="448" t="b">
        <f t="shared" si="418"/>
        <v>1</v>
      </c>
      <c r="AL254" s="448" t="b">
        <f t="shared" si="418"/>
        <v>1</v>
      </c>
      <c r="AM254" s="448" t="b">
        <f t="shared" si="418"/>
        <v>1</v>
      </c>
      <c r="AN254" s="448" t="b">
        <f t="shared" si="418"/>
        <v>1</v>
      </c>
      <c r="AO254" s="448" t="b">
        <f t="shared" si="418"/>
        <v>1</v>
      </c>
      <c r="AQ254" s="365" t="str">
        <f>'Reference Score Calculation'!M231</f>
        <v>/</v>
      </c>
      <c r="AR254" s="365" t="str">
        <f>'Reference Score Calculation'!N231</f>
        <v>可包含 M1/2 或丙類科目 (較高者) 於計算內</v>
      </c>
      <c r="AS254" s="365" t="s">
        <v>356</v>
      </c>
      <c r="AT254" s="444" t="s">
        <v>389</v>
      </c>
      <c r="AU254" s="447" t="str">
        <f>IF(COUNTIF(BD255:BM255,TRUE)&gt;0,"有","無")</f>
        <v>無</v>
      </c>
      <c r="AV254" s="433">
        <f>IFERROR(INDEX(BD254:BM254,MATCH(TRUE,BD255:BM255,0)),0)</f>
        <v>0</v>
      </c>
      <c r="AW254" s="447">
        <f>IFERROR(INDEX(BD253:BM253,MATCH(TRUE,BD255:BM255,0)),0)</f>
        <v>0</v>
      </c>
      <c r="AX254" s="365"/>
      <c r="AY254" s="449"/>
      <c r="AZ254" s="365">
        <f>AV254*0.2</f>
        <v>0</v>
      </c>
      <c r="BA254" s="450"/>
      <c r="BB254" s="450"/>
      <c r="BC254" s="450"/>
      <c r="BD254" s="447">
        <f t="shared" ref="BD254:BL254" si="420">K$8</f>
        <v>4.0000000000000001E-10</v>
      </c>
      <c r="BE254" s="447">
        <f t="shared" si="420"/>
        <v>2.0000000000000001E-10</v>
      </c>
      <c r="BF254" s="447">
        <f t="shared" si="420"/>
        <v>3E-10</v>
      </c>
      <c r="BG254" s="447">
        <f t="shared" si="420"/>
        <v>0</v>
      </c>
      <c r="BH254" s="447">
        <f t="shared" si="420"/>
        <v>5.0000000000000003E-10</v>
      </c>
      <c r="BI254" s="447">
        <f t="shared" si="420"/>
        <v>6E-10</v>
      </c>
      <c r="BJ254" s="447">
        <f t="shared" si="420"/>
        <v>6.9999999999999996E-10</v>
      </c>
      <c r="BK254" s="447">
        <f t="shared" si="420"/>
        <v>8.0000000000000003E-10</v>
      </c>
      <c r="BL254" s="447">
        <f t="shared" si="420"/>
        <v>8.9999999999999999E-10</v>
      </c>
      <c r="BM254" s="449"/>
      <c r="BN254" s="449"/>
      <c r="BO254" s="449"/>
      <c r="BP254" s="449"/>
      <c r="BQ254" s="449"/>
      <c r="BR254" s="449"/>
      <c r="BS254" s="449"/>
      <c r="BT254" s="449"/>
    </row>
    <row r="255" spans="1:72" s="433" customFormat="1">
      <c r="A255" s="433" t="str">
        <f>'Reference Score Calculation'!A232</f>
        <v>JS6054</v>
      </c>
      <c r="B255" s="433" t="str">
        <f>'Reference Score Calculation'!A232</f>
        <v>JS6054</v>
      </c>
      <c r="C255" s="446" t="str">
        <f>'Reference Score Calculation'!D232</f>
        <v>文學士</v>
      </c>
      <c r="D255" s="365"/>
      <c r="E255" s="447" t="str">
        <f>'Reference Score Calculation'!E232</f>
        <v>Best 5</v>
      </c>
      <c r="F255" s="461" t="str">
        <f>'Reference Score Calculation'!AB232</f>
        <v>Best 5</v>
      </c>
      <c r="G255" s="365" t="str">
        <f>入學要求!AB241</f>
        <v>v</v>
      </c>
      <c r="H255" s="365" t="str">
        <f>入學要求!AC241</f>
        <v>E</v>
      </c>
      <c r="I255" s="365" t="str">
        <f>入學要求!AD241</f>
        <v>NO</v>
      </c>
      <c r="J255" s="448">
        <f t="shared" si="417"/>
        <v>3.6500000000000004E-9</v>
      </c>
      <c r="K255" s="448">
        <v>1.5</v>
      </c>
      <c r="L255" s="448">
        <v>1.5</v>
      </c>
      <c r="M255" s="448">
        <v>1</v>
      </c>
      <c r="N255" s="448">
        <v>0</v>
      </c>
      <c r="O255" s="448">
        <v>1</v>
      </c>
      <c r="P255" s="448">
        <v>1</v>
      </c>
      <c r="Q255" s="448">
        <v>1</v>
      </c>
      <c r="R255" s="448">
        <v>1</v>
      </c>
      <c r="S255" s="448">
        <v>1</v>
      </c>
      <c r="T255" s="448">
        <v>1</v>
      </c>
      <c r="U255" s="448"/>
      <c r="V255" s="448">
        <f t="shared" si="406"/>
        <v>6E-10</v>
      </c>
      <c r="W255" s="448">
        <f t="shared" si="407"/>
        <v>3E-10</v>
      </c>
      <c r="X255" s="448">
        <f t="shared" si="408"/>
        <v>3E-10</v>
      </c>
      <c r="Y255" s="448">
        <f t="shared" si="409"/>
        <v>0</v>
      </c>
      <c r="Z255" s="448">
        <f t="shared" si="410"/>
        <v>0</v>
      </c>
      <c r="AA255" s="448">
        <f t="shared" si="411"/>
        <v>6E-10</v>
      </c>
      <c r="AB255" s="448">
        <f t="shared" si="412"/>
        <v>6.9999999999999996E-10</v>
      </c>
      <c r="AC255" s="448">
        <f t="shared" si="413"/>
        <v>8.0000000000000003E-10</v>
      </c>
      <c r="AD255" s="448">
        <f t="shared" si="414"/>
        <v>8.9999999999999999E-10</v>
      </c>
      <c r="AE255" s="448">
        <f t="shared" si="415"/>
        <v>9.5000000000000003E-10</v>
      </c>
      <c r="AF255" s="448" t="b">
        <f>IF(V255&gt;LARGE((($V255,$X255:$AE255)),5),TRUE)</f>
        <v>0</v>
      </c>
      <c r="AG255" s="448" t="b">
        <v>1</v>
      </c>
      <c r="AH255" s="448" t="b">
        <f>IF(X255&gt;LARGE((($V255,$X255:$AE255)),5),TRUE)</f>
        <v>0</v>
      </c>
      <c r="AI255" s="448" t="b">
        <f>IF(Y255&gt;LARGE((($V255,$X255:$AE255)),5),TRUE)</f>
        <v>0</v>
      </c>
      <c r="AJ255" s="448" t="b">
        <f>IF(Z255&gt;LARGE((($V255,$X255:$AE255)),5),TRUE)</f>
        <v>0</v>
      </c>
      <c r="AK255" s="448" t="b">
        <f>IF(AA255&gt;LARGE((($V255,$X255:$AE255)),5),TRUE)</f>
        <v>0</v>
      </c>
      <c r="AL255" s="448" t="b">
        <f>IF(AB255&gt;LARGE((($V255,$X255:$AE255)),5),TRUE)</f>
        <v>1</v>
      </c>
      <c r="AM255" s="448" t="b">
        <f>IF(AC255&gt;LARGE((($V255,$X255:$AE255)),5),TRUE)</f>
        <v>1</v>
      </c>
      <c r="AN255" s="448" t="b">
        <f>IF(AD255&gt;LARGE((($V255,$X255:$AE255)),5),TRUE)</f>
        <v>1</v>
      </c>
      <c r="AO255" s="448" t="b">
        <f>IF(AE255&gt;LARGE((($V255,$X255:$AE255)),5),TRUE)</f>
        <v>1</v>
      </c>
      <c r="AQ255" s="365" t="str">
        <f>'Reference Score Calculation'!M232</f>
        <v>最佳五科必須包括︰英文</v>
      </c>
      <c r="AR255" s="365" t="str">
        <f>'Reference Score Calculation'!N232</f>
        <v>可包含 M1/2 或丙類科目 (較高者) 於計算內</v>
      </c>
      <c r="AS255" s="365" t="s">
        <v>356</v>
      </c>
      <c r="AT255" s="444" t="s">
        <v>390</v>
      </c>
      <c r="AU255" s="452"/>
      <c r="AV255" s="451"/>
      <c r="AW255" s="449"/>
      <c r="AX255" s="449"/>
      <c r="AY255" s="449"/>
      <c r="AZ255" s="449"/>
      <c r="BA255" s="452"/>
      <c r="BB255" s="452"/>
      <c r="BC255" s="452"/>
      <c r="BD255" s="452" t="b">
        <f>IF(AND(BD254=LARGE(($BD254,$BG254:$BL254),5),BD254&gt;1),TRUE,FALSE)</f>
        <v>0</v>
      </c>
      <c r="BE255" s="445" t="b">
        <v>0</v>
      </c>
      <c r="BF255" s="445" t="b">
        <v>0</v>
      </c>
      <c r="BG255" s="452" t="b">
        <f>IF(AND(BG254=LARGE(($BD254,$BG254:$BL254),5),BG254&gt;1),TRUE,FALSE)</f>
        <v>0</v>
      </c>
      <c r="BH255" s="452" t="b">
        <f>IF(AND(BH254=LARGE(($BD254,$BG254:$BL254),5),BH254&gt;1),TRUE,FALSE)</f>
        <v>0</v>
      </c>
      <c r="BI255" s="452" t="b">
        <f>IF(AND(BI254=LARGE(($BD254,$BG254:$BL254),5),BI254&gt;1),TRUE,FALSE)</f>
        <v>0</v>
      </c>
      <c r="BJ255" s="452" t="b">
        <f>IF(AND(BJ254=LARGE(($BD254,$BG254:$BL254),5),BJ254&gt;1),TRUE,FALSE)</f>
        <v>0</v>
      </c>
      <c r="BK255" s="452" t="b">
        <f>IF(AND(BK254=LARGE(($BD254,$BG254:$BL254),5),BK254&gt;1),TRUE,FALSE)</f>
        <v>0</v>
      </c>
      <c r="BL255" s="452" t="b">
        <f>IF(AND(BL254=LARGE(($BD254,$BG254:$BL254),5),BL254&gt;1),TRUE,FALSE)</f>
        <v>0</v>
      </c>
      <c r="BM255" s="449"/>
      <c r="BN255" s="449"/>
      <c r="BO255" s="449"/>
      <c r="BP255" s="449"/>
      <c r="BQ255" s="449"/>
      <c r="BR255" s="449"/>
      <c r="BS255" s="449"/>
      <c r="BT255" s="449"/>
    </row>
    <row r="256" spans="1:72" s="433" customFormat="1">
      <c r="A256" s="433" t="str">
        <f>'Reference Score Calculation'!A233</f>
        <v>JS6286</v>
      </c>
      <c r="B256" s="433" t="str">
        <f>'Reference Score Calculation'!A233</f>
        <v>JS6286</v>
      </c>
      <c r="C256" s="446" t="str">
        <f>'Reference Score Calculation'!D233</f>
        <v>文學士(人文及數碼科技)</v>
      </c>
      <c r="D256" s="365"/>
      <c r="E256" s="447" t="str">
        <f>'Reference Score Calculation'!E233</f>
        <v>Best 5</v>
      </c>
      <c r="F256" s="461" t="str">
        <f>'Reference Score Calculation'!AB233</f>
        <v>Best 5</v>
      </c>
      <c r="G256" s="365" t="str">
        <f>入學要求!AB242</f>
        <v>v</v>
      </c>
      <c r="H256" s="365" t="str">
        <f>入學要求!AC242</f>
        <v>E</v>
      </c>
      <c r="I256" s="365" t="str">
        <f>入學要求!AD242</f>
        <v>NO</v>
      </c>
      <c r="J256" s="448">
        <f t="shared" si="417"/>
        <v>3.6500000000000004E-9</v>
      </c>
      <c r="K256" s="448">
        <v>1.5</v>
      </c>
      <c r="L256" s="448">
        <v>1.5</v>
      </c>
      <c r="M256" s="448">
        <v>1</v>
      </c>
      <c r="N256" s="448">
        <v>0</v>
      </c>
      <c r="O256" s="448">
        <v>1</v>
      </c>
      <c r="P256" s="448">
        <v>1</v>
      </c>
      <c r="Q256" s="448">
        <v>1</v>
      </c>
      <c r="R256" s="448">
        <v>1</v>
      </c>
      <c r="S256" s="448">
        <v>1</v>
      </c>
      <c r="T256" s="448">
        <v>1</v>
      </c>
      <c r="U256" s="448"/>
      <c r="V256" s="448">
        <f t="shared" si="406"/>
        <v>6E-10</v>
      </c>
      <c r="W256" s="448">
        <f t="shared" si="407"/>
        <v>3E-10</v>
      </c>
      <c r="X256" s="448">
        <f t="shared" si="408"/>
        <v>3E-10</v>
      </c>
      <c r="Y256" s="448">
        <f t="shared" si="409"/>
        <v>0</v>
      </c>
      <c r="Z256" s="448">
        <f t="shared" si="410"/>
        <v>0</v>
      </c>
      <c r="AA256" s="448">
        <f t="shared" si="411"/>
        <v>6E-10</v>
      </c>
      <c r="AB256" s="448">
        <f t="shared" si="412"/>
        <v>6.9999999999999996E-10</v>
      </c>
      <c r="AC256" s="448">
        <f t="shared" si="413"/>
        <v>8.0000000000000003E-10</v>
      </c>
      <c r="AD256" s="448">
        <f t="shared" si="414"/>
        <v>8.9999999999999999E-10</v>
      </c>
      <c r="AE256" s="448">
        <f t="shared" si="415"/>
        <v>9.5000000000000003E-10</v>
      </c>
      <c r="AF256" s="448" t="b">
        <f>IF(V256&gt;LARGE((($V256,$X256:$AE256)),5),TRUE)</f>
        <v>0</v>
      </c>
      <c r="AG256" s="448" t="b">
        <v>1</v>
      </c>
      <c r="AH256" s="448" t="b">
        <f>IF(X256&gt;LARGE((($V256,$X256:$AE256)),5),TRUE)</f>
        <v>0</v>
      </c>
      <c r="AI256" s="448" t="b">
        <f>IF(Y256&gt;LARGE((($V256,$X256:$AE256)),5),TRUE)</f>
        <v>0</v>
      </c>
      <c r="AJ256" s="448" t="b">
        <f>IF(Z256&gt;LARGE((($V256,$X256:$AE256)),5),TRUE)</f>
        <v>0</v>
      </c>
      <c r="AK256" s="448" t="b">
        <f>IF(AA256&gt;LARGE((($V256,$X256:$AE256)),5),TRUE)</f>
        <v>0</v>
      </c>
      <c r="AL256" s="448" t="b">
        <f>IF(AB256&gt;LARGE((($V256,$X256:$AE256)),5),TRUE)</f>
        <v>1</v>
      </c>
      <c r="AM256" s="448" t="b">
        <f>IF(AC256&gt;LARGE((($V256,$X256:$AE256)),5),TRUE)</f>
        <v>1</v>
      </c>
      <c r="AN256" s="448" t="b">
        <f>IF(AD256&gt;LARGE((($V256,$X256:$AE256)),5),TRUE)</f>
        <v>1</v>
      </c>
      <c r="AO256" s="448" t="b">
        <f>IF(AE256&gt;LARGE((($V256,$X256:$AE256)),5),TRUE)</f>
        <v>1</v>
      </c>
      <c r="AQ256" s="365" t="str">
        <f>'Reference Score Calculation'!M233</f>
        <v>最佳五科必須包括︰英文</v>
      </c>
      <c r="AR256" s="365" t="str">
        <f>'Reference Score Calculation'!N233</f>
        <v>可包含 M1/2 或丙類科目 (較高者) 於計算內</v>
      </c>
      <c r="AS256" s="365" t="s">
        <v>356</v>
      </c>
      <c r="AT256" s="444" t="s">
        <v>393</v>
      </c>
      <c r="AU256" s="449"/>
      <c r="AV256" s="449"/>
      <c r="AW256" s="449"/>
      <c r="AX256" s="449"/>
      <c r="AY256" s="449"/>
      <c r="AZ256" s="449"/>
      <c r="BA256" s="449"/>
      <c r="BB256" s="449"/>
      <c r="BC256" s="449"/>
      <c r="BD256" s="449"/>
      <c r="BE256" s="449"/>
      <c r="BF256" s="449"/>
      <c r="BG256" s="449"/>
      <c r="BH256" s="449"/>
      <c r="BI256" s="449"/>
      <c r="BJ256" s="449"/>
      <c r="BK256" s="449"/>
      <c r="BL256" s="449"/>
      <c r="BM256" s="449"/>
      <c r="BN256" s="449"/>
      <c r="BO256" s="449"/>
      <c r="BP256" s="449"/>
      <c r="BQ256" s="449"/>
      <c r="BR256" s="449"/>
      <c r="BS256" s="449"/>
      <c r="BT256" s="449"/>
    </row>
    <row r="257" spans="1:72" s="433" customFormat="1" ht="13.2" customHeight="1">
      <c r="A257" s="433" t="str">
        <f>'Reference Score Calculation'!A234</f>
        <v>JS6755</v>
      </c>
      <c r="B257" s="433" t="str">
        <f>'Reference Score Calculation'!A234</f>
        <v>JS6755</v>
      </c>
      <c r="C257" s="446" t="str">
        <f>'Reference Score Calculation'!D234</f>
        <v>工商管理學學士</v>
      </c>
      <c r="D257" s="365"/>
      <c r="E257" s="447" t="str">
        <f>'Reference Score Calculation'!E234</f>
        <v>Best 6</v>
      </c>
      <c r="F257" s="461" t="str">
        <f>'Reference Score Calculation'!AB234</f>
        <v>Best 5</v>
      </c>
      <c r="G257" s="365" t="str">
        <f>入學要求!AB243</f>
        <v>v</v>
      </c>
      <c r="H257" s="365" t="str">
        <f>入學要求!AC243</f>
        <v>NO</v>
      </c>
      <c r="I257" s="365" t="str">
        <f>入學要求!AD243</f>
        <v>NO</v>
      </c>
      <c r="J257" s="448">
        <f t="shared" si="417"/>
        <v>3.7500000000000005E-9</v>
      </c>
      <c r="K257" s="448">
        <f>IF($AW$254=K$1,0.2,1)</f>
        <v>1</v>
      </c>
      <c r="L257" s="448">
        <v>1.5</v>
      </c>
      <c r="M257" s="448">
        <v>1.5</v>
      </c>
      <c r="N257" s="448">
        <f t="shared" ref="N257:T259" si="421">IF($AW$254=N$1,0.2,1)</f>
        <v>1</v>
      </c>
      <c r="O257" s="448">
        <f t="shared" si="421"/>
        <v>1</v>
      </c>
      <c r="P257" s="448">
        <f t="shared" si="421"/>
        <v>1</v>
      </c>
      <c r="Q257" s="448">
        <f t="shared" si="421"/>
        <v>1</v>
      </c>
      <c r="R257" s="448">
        <f t="shared" si="421"/>
        <v>1</v>
      </c>
      <c r="S257" s="448">
        <f t="shared" si="421"/>
        <v>1</v>
      </c>
      <c r="T257" s="448">
        <f t="shared" si="421"/>
        <v>1</v>
      </c>
      <c r="U257" s="448"/>
      <c r="V257" s="448">
        <f t="shared" si="406"/>
        <v>4.0000000000000001E-10</v>
      </c>
      <c r="W257" s="448">
        <f t="shared" si="407"/>
        <v>3E-10</v>
      </c>
      <c r="X257" s="448">
        <f t="shared" si="408"/>
        <v>4.5E-10</v>
      </c>
      <c r="Y257" s="448">
        <f t="shared" si="409"/>
        <v>0</v>
      </c>
      <c r="Z257" s="448">
        <f t="shared" ref="Z257:Z265" si="422">O$8*O257</f>
        <v>5.0000000000000003E-10</v>
      </c>
      <c r="AA257" s="448">
        <f t="shared" si="411"/>
        <v>6E-10</v>
      </c>
      <c r="AB257" s="448">
        <f t="shared" si="412"/>
        <v>6.9999999999999996E-10</v>
      </c>
      <c r="AC257" s="448">
        <f t="shared" si="413"/>
        <v>8.0000000000000003E-10</v>
      </c>
      <c r="AD257" s="448">
        <f t="shared" si="414"/>
        <v>8.9999999999999999E-10</v>
      </c>
      <c r="AE257" s="448">
        <f>IF(H257="E",IF($T$8 &gt; $O$8,$T$8*T257,0),0)</f>
        <v>0</v>
      </c>
      <c r="AF257" s="448" t="b">
        <f>IF(V257&gt;LARGE((($V257,$Y257:$AE257)),5),TRUE,IF(K257=0.2,TRUE,FALSE))</f>
        <v>0</v>
      </c>
      <c r="AG257" s="448" t="b">
        <v>1</v>
      </c>
      <c r="AH257" s="448" t="b">
        <v>1</v>
      </c>
      <c r="AI257" s="448" t="b">
        <f>IF(Y257&gt;LARGE((($V257,$Y257:$AE257)),5),TRUE,IF(N257=0.2,TRUE,FALSE))</f>
        <v>0</v>
      </c>
      <c r="AJ257" s="448" t="b">
        <f>IF(Z257&gt;LARGE((($V257,$Y257:$AE257)),5),TRUE,IF(O257=0.2,TRUE,FALSE))</f>
        <v>0</v>
      </c>
      <c r="AK257" s="448" t="b">
        <f>IF(AA257&gt;LARGE((($V257,$Y257:$AE257)),5),TRUE,IF(P257=0.2,TRUE,FALSE))</f>
        <v>1</v>
      </c>
      <c r="AL257" s="448" t="b">
        <f>IF(AB257&gt;LARGE((($V257,$Y257:$AE257)),5),TRUE,IF(Q257=0.2,TRUE,FALSE))</f>
        <v>1</v>
      </c>
      <c r="AM257" s="448" t="b">
        <f>IF(AC257&gt;LARGE((($V257,$Y257:$AE257)),5),TRUE,IF(R257=0.2,TRUE,FALSE))</f>
        <v>1</v>
      </c>
      <c r="AN257" s="448" t="b">
        <f>IF(AD257&gt;LARGE((($V257,$Y257:$AE257)),5),TRUE,IF(S257=0.2,TRUE,FALSE))</f>
        <v>1</v>
      </c>
      <c r="AO257" s="448" t="b">
        <f>IF(AE257&gt;LARGE((($V257,$Y257:$AE257)),5),TRUE,IF(T257=0.2,TRUE,FALSE))</f>
        <v>0</v>
      </c>
      <c r="AQ257" s="365" t="str">
        <f>'Reference Score Calculation'!M234</f>
        <v>最佳六科必須包括︰英文、數學</v>
      </c>
      <c r="AR257" s="365" t="str">
        <f>'Reference Score Calculation'!N234</f>
        <v>如同學有修讀七科，第七科成績 (x0.2) 會額外加上原有的Best 6分數</v>
      </c>
      <c r="AS257" s="365" t="s">
        <v>356</v>
      </c>
      <c r="AT257" s="443" t="s">
        <v>395</v>
      </c>
      <c r="AU257" s="449"/>
      <c r="AV257" s="449"/>
      <c r="AW257" s="449"/>
      <c r="AX257" s="449"/>
      <c r="AY257" s="449"/>
      <c r="AZ257" s="449"/>
      <c r="BA257" s="449"/>
      <c r="BB257" s="449"/>
      <c r="BC257" s="449"/>
      <c r="BD257" s="449"/>
      <c r="BE257" s="449"/>
      <c r="BF257" s="449"/>
      <c r="BG257" s="449"/>
      <c r="BH257" s="449"/>
      <c r="BI257" s="449"/>
      <c r="BJ257" s="449"/>
      <c r="BK257" s="449"/>
      <c r="BL257" s="449"/>
      <c r="BM257" s="449"/>
      <c r="BN257" s="449"/>
      <c r="BO257" s="449"/>
      <c r="BP257" s="449"/>
      <c r="BQ257" s="449"/>
      <c r="BR257" s="449"/>
      <c r="BS257" s="449"/>
      <c r="BT257" s="449"/>
    </row>
    <row r="258" spans="1:72" s="433" customFormat="1">
      <c r="A258" s="433" t="str">
        <f>'Reference Score Calculation'!A235</f>
        <v>JS6767</v>
      </c>
      <c r="B258" s="433" t="str">
        <f>'Reference Score Calculation'!A235</f>
        <v>JS6767</v>
      </c>
      <c r="C258" s="446" t="str">
        <f>'Reference Score Calculation'!D235</f>
        <v>經濟學學士 / 經濟金融學學士</v>
      </c>
      <c r="D258" s="365"/>
      <c r="E258" s="447" t="str">
        <f>'Reference Score Calculation'!E235</f>
        <v>Best 6</v>
      </c>
      <c r="F258" s="461" t="str">
        <f>'Reference Score Calculation'!AB235</f>
        <v>Best 5</v>
      </c>
      <c r="G258" s="365" t="str">
        <f>入學要求!AB244</f>
        <v>v</v>
      </c>
      <c r="H258" s="365" t="str">
        <f>入學要求!AC244</f>
        <v>NO</v>
      </c>
      <c r="I258" s="365" t="str">
        <f>入學要求!AD244</f>
        <v>NO</v>
      </c>
      <c r="J258" s="448">
        <f t="shared" si="417"/>
        <v>3.7500000000000005E-9</v>
      </c>
      <c r="K258" s="448">
        <f>IF($AW$254=K$1,0.2,1)</f>
        <v>1</v>
      </c>
      <c r="L258" s="448">
        <v>1.5</v>
      </c>
      <c r="M258" s="448">
        <v>1.5</v>
      </c>
      <c r="N258" s="448">
        <f t="shared" si="421"/>
        <v>1</v>
      </c>
      <c r="O258" s="448">
        <f t="shared" si="421"/>
        <v>1</v>
      </c>
      <c r="P258" s="448">
        <f t="shared" si="421"/>
        <v>1</v>
      </c>
      <c r="Q258" s="448">
        <f t="shared" si="421"/>
        <v>1</v>
      </c>
      <c r="R258" s="448">
        <f t="shared" si="421"/>
        <v>1</v>
      </c>
      <c r="S258" s="448">
        <f t="shared" si="421"/>
        <v>1</v>
      </c>
      <c r="T258" s="448">
        <f t="shared" si="421"/>
        <v>1</v>
      </c>
      <c r="U258" s="448"/>
      <c r="V258" s="448">
        <f t="shared" si="406"/>
        <v>4.0000000000000001E-10</v>
      </c>
      <c r="W258" s="448">
        <f t="shared" si="407"/>
        <v>3E-10</v>
      </c>
      <c r="X258" s="448">
        <f t="shared" si="408"/>
        <v>4.5E-10</v>
      </c>
      <c r="Y258" s="448">
        <f t="shared" si="409"/>
        <v>0</v>
      </c>
      <c r="Z258" s="448">
        <f t="shared" si="422"/>
        <v>5.0000000000000003E-10</v>
      </c>
      <c r="AA258" s="448">
        <f t="shared" si="411"/>
        <v>6E-10</v>
      </c>
      <c r="AB258" s="448">
        <f t="shared" si="412"/>
        <v>6.9999999999999996E-10</v>
      </c>
      <c r="AC258" s="448">
        <f t="shared" si="413"/>
        <v>8.0000000000000003E-10</v>
      </c>
      <c r="AD258" s="448">
        <f t="shared" si="414"/>
        <v>8.9999999999999999E-10</v>
      </c>
      <c r="AE258" s="448">
        <f t="shared" si="415"/>
        <v>0</v>
      </c>
      <c r="AF258" s="448" t="b">
        <f>IF(V258&gt;LARGE((($V258,$Y258:$AE258)),5),TRUE,IF(K258=0.2,TRUE,FALSE))</f>
        <v>0</v>
      </c>
      <c r="AG258" s="448" t="b">
        <v>1</v>
      </c>
      <c r="AH258" s="448" t="b">
        <v>1</v>
      </c>
      <c r="AI258" s="448" t="b">
        <f>IF(Y258&gt;LARGE((($V258,$Y258:$AE258)),5),TRUE,IF(N258=0.2,TRUE,FALSE))</f>
        <v>0</v>
      </c>
      <c r="AJ258" s="448" t="b">
        <f>IF(Z258&gt;LARGE((($V258,$Y258:$AE258)),5),TRUE,IF(O258=0.2,TRUE,FALSE))</f>
        <v>0</v>
      </c>
      <c r="AK258" s="448" t="b">
        <f>IF(AA258&gt;LARGE((($V258,$Y258:$AE258)),5),TRUE,IF(P258=0.2,TRUE,FALSE))</f>
        <v>1</v>
      </c>
      <c r="AL258" s="448" t="b">
        <f>IF(AB258&gt;LARGE((($V258,$Y258:$AE258)),5),TRUE,IF(Q258=0.2,TRUE,FALSE))</f>
        <v>1</v>
      </c>
      <c r="AM258" s="448" t="b">
        <f>IF(AC258&gt;LARGE((($V258,$Y258:$AE258)),5),TRUE,IF(R258=0.2,TRUE,FALSE))</f>
        <v>1</v>
      </c>
      <c r="AN258" s="448" t="b">
        <f>IF(AD258&gt;LARGE((($V258,$Y258:$AE258)),5),TRUE,IF(S258=0.2,TRUE,FALSE))</f>
        <v>1</v>
      </c>
      <c r="AO258" s="448" t="b">
        <f>IF(AE258&gt;LARGE((($V258,$Y258:$AE258)),5),TRUE,IF(T258=0.2,TRUE,FALSE))</f>
        <v>0</v>
      </c>
      <c r="AQ258" s="365" t="str">
        <f>'Reference Score Calculation'!M235</f>
        <v>最佳六科必須包括︰英文、數學</v>
      </c>
      <c r="AR258" s="365" t="str">
        <f>'Reference Score Calculation'!N235</f>
        <v>如同學有修讀七科，第七科成績 (x0.2) 會額外加上原有的Best 6分數</v>
      </c>
      <c r="AS258" s="365" t="s">
        <v>356</v>
      </c>
      <c r="AT258" s="434"/>
      <c r="AU258" s="450" t="s">
        <v>387</v>
      </c>
      <c r="AV258" s="450"/>
      <c r="AW258" s="449"/>
      <c r="AX258" s="449"/>
      <c r="AY258" s="449"/>
      <c r="AZ258" s="449" t="s">
        <v>388</v>
      </c>
      <c r="BA258" s="434"/>
      <c r="BB258" s="434"/>
      <c r="BC258" s="451"/>
      <c r="BD258" s="450" t="str">
        <f t="shared" ref="BD258" si="423">K$1</f>
        <v>中國語文</v>
      </c>
      <c r="BE258" s="450" t="str">
        <f t="shared" ref="BE258" si="424">L$1</f>
        <v>英國語文</v>
      </c>
      <c r="BF258" s="450" t="str">
        <f t="shared" ref="BF258" si="425">M$1</f>
        <v>數學</v>
      </c>
      <c r="BG258" s="450"/>
      <c r="BH258" s="450" t="str">
        <f t="shared" ref="BH258" si="426">O$1</f>
        <v>數學延伸</v>
      </c>
      <c r="BI258" s="450" t="str">
        <f t="shared" ref="BI258" si="427">P$1</f>
        <v>請選擇第一選修科</v>
      </c>
      <c r="BJ258" s="450" t="str">
        <f t="shared" ref="BJ258" si="428">Q$1</f>
        <v>請選擇第二選修科</v>
      </c>
      <c r="BK258" s="450" t="str">
        <f t="shared" ref="BK258" si="429">R$1</f>
        <v>請選擇第三選修科</v>
      </c>
      <c r="BL258" s="450" t="str">
        <f t="shared" ref="BL258" si="430">S$1</f>
        <v>請選擇第四選修科</v>
      </c>
      <c r="BM258" s="449"/>
      <c r="BN258" s="449"/>
      <c r="BO258" s="449"/>
      <c r="BP258" s="449"/>
      <c r="BQ258" s="449"/>
      <c r="BR258" s="449"/>
      <c r="BS258" s="449"/>
      <c r="BT258" s="449"/>
    </row>
    <row r="259" spans="1:72" s="433" customFormat="1">
      <c r="A259" s="433" t="str">
        <f>'Reference Score Calculation'!A236</f>
        <v>JS6781</v>
      </c>
      <c r="B259" s="433" t="str">
        <f>'Reference Score Calculation'!A236</f>
        <v>JS6781</v>
      </c>
      <c r="C259" s="446" t="str">
        <f>'Reference Score Calculation'!D236</f>
        <v>工商管理學學士 / 工商管理學學士(會計及財務)</v>
      </c>
      <c r="D259" s="365"/>
      <c r="E259" s="447" t="str">
        <f>'Reference Score Calculation'!E236</f>
        <v>Best 6</v>
      </c>
      <c r="F259" s="461" t="str">
        <f>'Reference Score Calculation'!AB236</f>
        <v>Best 5</v>
      </c>
      <c r="G259" s="365" t="str">
        <f>入學要求!AB245</f>
        <v>v</v>
      </c>
      <c r="H259" s="365" t="str">
        <f>入學要求!AC245</f>
        <v>NO</v>
      </c>
      <c r="I259" s="365" t="str">
        <f>入學要求!AD245</f>
        <v>NO</v>
      </c>
      <c r="J259" s="448">
        <f t="shared" si="417"/>
        <v>3.7500000000000005E-9</v>
      </c>
      <c r="K259" s="448">
        <f>IF($AW$254=K$1,0.2,1)</f>
        <v>1</v>
      </c>
      <c r="L259" s="448">
        <v>1.5</v>
      </c>
      <c r="M259" s="448">
        <v>1.5</v>
      </c>
      <c r="N259" s="448">
        <f t="shared" si="421"/>
        <v>1</v>
      </c>
      <c r="O259" s="448">
        <f t="shared" si="421"/>
        <v>1</v>
      </c>
      <c r="P259" s="448">
        <f t="shared" si="421"/>
        <v>1</v>
      </c>
      <c r="Q259" s="448">
        <f t="shared" si="421"/>
        <v>1</v>
      </c>
      <c r="R259" s="448">
        <f t="shared" si="421"/>
        <v>1</v>
      </c>
      <c r="S259" s="448">
        <f t="shared" si="421"/>
        <v>1</v>
      </c>
      <c r="T259" s="448">
        <f t="shared" si="421"/>
        <v>1</v>
      </c>
      <c r="U259" s="448"/>
      <c r="V259" s="448">
        <f t="shared" si="406"/>
        <v>4.0000000000000001E-10</v>
      </c>
      <c r="W259" s="448">
        <f t="shared" si="407"/>
        <v>3E-10</v>
      </c>
      <c r="X259" s="448">
        <f t="shared" si="408"/>
        <v>4.5E-10</v>
      </c>
      <c r="Y259" s="448">
        <f t="shared" si="409"/>
        <v>0</v>
      </c>
      <c r="Z259" s="448">
        <f t="shared" si="422"/>
        <v>5.0000000000000003E-10</v>
      </c>
      <c r="AA259" s="448">
        <f t="shared" si="411"/>
        <v>6E-10</v>
      </c>
      <c r="AB259" s="448">
        <f t="shared" si="412"/>
        <v>6.9999999999999996E-10</v>
      </c>
      <c r="AC259" s="448">
        <f t="shared" si="413"/>
        <v>8.0000000000000003E-10</v>
      </c>
      <c r="AD259" s="448">
        <f t="shared" si="414"/>
        <v>8.9999999999999999E-10</v>
      </c>
      <c r="AE259" s="448">
        <f t="shared" si="415"/>
        <v>0</v>
      </c>
      <c r="AF259" s="448" t="b">
        <f>IF(V259&gt;LARGE((($V259,$Y259:$AE259)),5),TRUE,IF(K259=0.2,TRUE,FALSE))</f>
        <v>0</v>
      </c>
      <c r="AG259" s="448" t="b">
        <v>1</v>
      </c>
      <c r="AH259" s="448" t="b">
        <v>1</v>
      </c>
      <c r="AI259" s="448" t="b">
        <f>IF(Y259&gt;LARGE((($V259,$Y259:$AE259)),5),TRUE,IF(N259=0.2,TRUE,FALSE))</f>
        <v>0</v>
      </c>
      <c r="AJ259" s="448" t="b">
        <f>IF(Z259&gt;LARGE((($V259,$Y259:$AE259)),5),TRUE,IF(O259=0.2,TRUE,FALSE))</f>
        <v>0</v>
      </c>
      <c r="AK259" s="448" t="b">
        <f>IF(AA259&gt;LARGE((($V259,$Y259:$AE259)),5),TRUE,IF(P259=0.2,TRUE,FALSE))</f>
        <v>1</v>
      </c>
      <c r="AL259" s="448" t="b">
        <f>IF(AB259&gt;LARGE((($V259,$Y259:$AE259)),5),TRUE,IF(Q259=0.2,TRUE,FALSE))</f>
        <v>1</v>
      </c>
      <c r="AM259" s="448" t="b">
        <f>IF(AC259&gt;LARGE((($V259,$Y259:$AE259)),5),TRUE,IF(R259=0.2,TRUE,FALSE))</f>
        <v>1</v>
      </c>
      <c r="AN259" s="448" t="b">
        <f>IF(AD259&gt;LARGE((($V259,$Y259:$AE259)),5),TRUE,IF(S259=0.2,TRUE,FALSE))</f>
        <v>1</v>
      </c>
      <c r="AO259" s="448" t="b">
        <f>IF(AE259&gt;LARGE((($V259,$Y259:$AE259)),5),TRUE,IF(T259=0.2,TRUE,FALSE))</f>
        <v>0</v>
      </c>
      <c r="AQ259" s="365" t="str">
        <f>'Reference Score Calculation'!M236</f>
        <v>最佳六科必須包括︰英文、數學</v>
      </c>
      <c r="AR259" s="365" t="str">
        <f>'Reference Score Calculation'!N236</f>
        <v>如同學有修讀七科，第七科成績 (x0.2) 會額外加上原有的Best 6分數</v>
      </c>
      <c r="AS259" s="365" t="s">
        <v>356</v>
      </c>
      <c r="AT259" s="444" t="s">
        <v>392</v>
      </c>
      <c r="AU259" s="447" t="str">
        <f>IF(COUNTIF(BD260:BM260,TRUE)&gt;0,"有","無")</f>
        <v>無</v>
      </c>
      <c r="AV259" s="433">
        <f>IFERROR(INDEX(BD259:BL259,MATCH(TRUE,BD260:BL260,0)),0)</f>
        <v>0</v>
      </c>
      <c r="AW259" s="447">
        <f>IFERROR(INDEX(BD258:BL258,MATCH(TRUE,BD260:BL260,0)),0)</f>
        <v>0</v>
      </c>
      <c r="AX259" s="365"/>
      <c r="AY259" s="449"/>
      <c r="AZ259" s="365">
        <f>AV259*0.2</f>
        <v>0</v>
      </c>
      <c r="BA259" s="434"/>
      <c r="BB259" s="434"/>
      <c r="BC259" s="451"/>
      <c r="BD259" s="447">
        <f>K$8</f>
        <v>4.0000000000000001E-10</v>
      </c>
      <c r="BE259" s="447">
        <f t="shared" ref="BE259" si="431">L$8</f>
        <v>2.0000000000000001E-10</v>
      </c>
      <c r="BF259" s="447">
        <f t="shared" ref="BF259" si="432">M$8</f>
        <v>3E-10</v>
      </c>
      <c r="BG259" s="450"/>
      <c r="BH259" s="447">
        <f t="shared" ref="BH259" si="433">O$8</f>
        <v>5.0000000000000003E-10</v>
      </c>
      <c r="BI259" s="447">
        <f t="shared" ref="BI259" si="434">P$8</f>
        <v>6E-10</v>
      </c>
      <c r="BJ259" s="447">
        <f t="shared" ref="BJ259" si="435">Q$8</f>
        <v>6.9999999999999996E-10</v>
      </c>
      <c r="BK259" s="447">
        <f t="shared" ref="BK259" si="436">R$8</f>
        <v>8.0000000000000003E-10</v>
      </c>
      <c r="BL259" s="447">
        <f t="shared" ref="BL259" si="437">S$8</f>
        <v>8.9999999999999999E-10</v>
      </c>
      <c r="BM259" s="449"/>
      <c r="BN259" s="449"/>
      <c r="BO259" s="449"/>
      <c r="BP259" s="449"/>
      <c r="BQ259" s="449"/>
      <c r="BR259" s="449"/>
      <c r="BS259" s="449"/>
      <c r="BT259" s="449"/>
    </row>
    <row r="260" spans="1:72" s="433" customFormat="1">
      <c r="A260" s="433" t="str">
        <f>'Reference Score Calculation'!A237</f>
        <v>JS6860</v>
      </c>
      <c r="B260" s="433" t="str">
        <f>'Reference Score Calculation'!A237</f>
        <v>JS6860</v>
      </c>
      <c r="C260" s="446" t="str">
        <f>'Reference Score Calculation'!D237</f>
        <v>金融學學士(資產管理及私人銀行)</v>
      </c>
      <c r="D260" s="365"/>
      <c r="E260" s="447" t="str">
        <f>'Reference Score Calculation'!E237</f>
        <v>Best 6</v>
      </c>
      <c r="F260" s="462" t="str">
        <f>'Reference Score Calculation'!AB237</f>
        <v>Best 6</v>
      </c>
      <c r="G260" s="365" t="str">
        <f>入學要求!AB246</f>
        <v>v</v>
      </c>
      <c r="H260" s="365" t="str">
        <f>入學要求!AC246</f>
        <v>NO</v>
      </c>
      <c r="I260" s="365" t="str">
        <f>入學要求!AD246</f>
        <v>NO</v>
      </c>
      <c r="J260" s="448">
        <f t="shared" si="417"/>
        <v>3.7500000000000005E-9</v>
      </c>
      <c r="K260" s="448">
        <f>IF($AW$259=K$1,0.2,1)</f>
        <v>1</v>
      </c>
      <c r="L260" s="448">
        <v>1.5</v>
      </c>
      <c r="M260" s="448">
        <v>1.5</v>
      </c>
      <c r="N260" s="448">
        <v>0</v>
      </c>
      <c r="O260" s="448">
        <f t="shared" ref="O260:T260" si="438">IF($AW$259=O$1,0.2,1)</f>
        <v>1</v>
      </c>
      <c r="P260" s="448">
        <f t="shared" si="438"/>
        <v>1</v>
      </c>
      <c r="Q260" s="448">
        <f t="shared" si="438"/>
        <v>1</v>
      </c>
      <c r="R260" s="448">
        <f t="shared" si="438"/>
        <v>1</v>
      </c>
      <c r="S260" s="448">
        <f t="shared" si="438"/>
        <v>1</v>
      </c>
      <c r="T260" s="448">
        <f t="shared" si="438"/>
        <v>1</v>
      </c>
      <c r="U260" s="455"/>
      <c r="V260" s="448">
        <f t="shared" si="406"/>
        <v>4.0000000000000001E-10</v>
      </c>
      <c r="W260" s="448">
        <f t="shared" si="407"/>
        <v>3E-10</v>
      </c>
      <c r="X260" s="448">
        <f t="shared" si="408"/>
        <v>4.5E-10</v>
      </c>
      <c r="Y260" s="448">
        <f t="shared" si="409"/>
        <v>0</v>
      </c>
      <c r="Z260" s="448">
        <f t="shared" si="422"/>
        <v>5.0000000000000003E-10</v>
      </c>
      <c r="AA260" s="448">
        <f t="shared" si="411"/>
        <v>6E-10</v>
      </c>
      <c r="AB260" s="448">
        <f t="shared" si="412"/>
        <v>6.9999999999999996E-10</v>
      </c>
      <c r="AC260" s="448">
        <f t="shared" si="413"/>
        <v>8.0000000000000003E-10</v>
      </c>
      <c r="AD260" s="448">
        <f t="shared" si="414"/>
        <v>8.9999999999999999E-10</v>
      </c>
      <c r="AE260" s="448">
        <f t="shared" si="415"/>
        <v>0</v>
      </c>
      <c r="AF260" s="448" t="b">
        <f>IF(V260&gt;LARGE((($V260,$Y260:$AE260)),5),TRUE,IF(K260=0.2,TRUE,FALSE))</f>
        <v>0</v>
      </c>
      <c r="AG260" s="448" t="b">
        <v>1</v>
      </c>
      <c r="AH260" s="448" t="b">
        <v>1</v>
      </c>
      <c r="AI260" s="448" t="b">
        <f>IF(Y260&gt;LARGE((($V260,$Y260:$AE260)),5),TRUE,IF(N260=0.2,TRUE,FALSE))</f>
        <v>0</v>
      </c>
      <c r="AJ260" s="448" t="b">
        <f>IF(Z260&gt;LARGE((($V260,$Y260:$AE260)),5),TRUE,IF(O260=0.2,TRUE,FALSE))</f>
        <v>0</v>
      </c>
      <c r="AK260" s="448" t="b">
        <f>IF(AA260&gt;LARGE((($V260,$Y260:$AE260)),5),TRUE,IF(P260=0.2,TRUE,FALSE))</f>
        <v>1</v>
      </c>
      <c r="AL260" s="448" t="b">
        <f>IF(AB260&gt;LARGE((($V260,$Y260:$AE260)),5),TRUE,IF(Q260=0.2,TRUE,FALSE))</f>
        <v>1</v>
      </c>
      <c r="AM260" s="448" t="b">
        <f>IF(AC260&gt;LARGE((($V260,$Y260:$AE260)),5),TRUE,IF(R260=0.2,TRUE,FALSE))</f>
        <v>1</v>
      </c>
      <c r="AN260" s="448" t="b">
        <f>IF(AD260&gt;LARGE((($V260,$Y260:$AE260)),5),TRUE,IF(S260=0.2,TRUE,FALSE))</f>
        <v>1</v>
      </c>
      <c r="AO260" s="448" t="b">
        <f>IF(AE260&gt;LARGE((($V260,$Y260:$AE260)),5),TRUE,IF(T260=0.2,TRUE,FALSE))</f>
        <v>0</v>
      </c>
      <c r="AQ260" s="365" t="str">
        <f>'Reference Score Calculation'!M237</f>
        <v>最佳六科必須包括︰英文、數學</v>
      </c>
      <c r="AR260" s="365" t="str">
        <f>'Reference Score Calculation'!N237</f>
        <v>如同學有修讀七科，第七科成績 (x0.2) 會額外加上原有的Best 6分數</v>
      </c>
      <c r="AS260" s="365" t="s">
        <v>356</v>
      </c>
      <c r="AT260" s="444" t="s">
        <v>394</v>
      </c>
      <c r="AU260" s="452"/>
      <c r="AV260" s="451"/>
      <c r="AW260" s="449"/>
      <c r="AX260" s="449"/>
      <c r="AY260" s="449"/>
      <c r="AZ260" s="449"/>
      <c r="BA260" s="434"/>
      <c r="BB260" s="434"/>
      <c r="BC260" s="451"/>
      <c r="BD260" s="452" t="b">
        <f>IF(AND(BD259=LARGE(($BD259,$BH259:$BL259),5),BD259&gt;1),TRUE,FALSE)</f>
        <v>0</v>
      </c>
      <c r="BE260" s="452" t="b">
        <v>0</v>
      </c>
      <c r="BF260" s="452" t="b">
        <v>0</v>
      </c>
      <c r="BG260" s="450"/>
      <c r="BH260" s="452" t="b">
        <f>IF(AND(BH259=LARGE(($BD259,$BH259:$BL259),5),BH259&gt;1),TRUE,FALSE)</f>
        <v>0</v>
      </c>
      <c r="BI260" s="452" t="b">
        <f>IF(AND(BI259=LARGE(($BD259,$BG259:$BL259),5),BI259&gt;1),TRUE,FALSE)</f>
        <v>0</v>
      </c>
      <c r="BJ260" s="452" t="b">
        <f>IF(AND(BJ259=LARGE(($BD259,$BG259:$BL259),5),BJ259&gt;1),TRUE,FALSE)</f>
        <v>0</v>
      </c>
      <c r="BK260" s="452" t="b">
        <f>IF(AND(BK259=LARGE(($BD259,$BG259:$BL259),5),BK259&gt;1),TRUE,FALSE)</f>
        <v>0</v>
      </c>
      <c r="BL260" s="452" t="b">
        <f>IF(AND(BL259=LARGE(($BD259,$BG259:$BL259),5),BL259&gt;1),TRUE,FALSE)</f>
        <v>0</v>
      </c>
      <c r="BM260" s="449"/>
      <c r="BN260" s="449"/>
      <c r="BO260" s="449"/>
      <c r="BP260" s="449"/>
      <c r="BQ260" s="449"/>
      <c r="BR260" s="449"/>
      <c r="BS260" s="449"/>
      <c r="BT260" s="449"/>
    </row>
    <row r="261" spans="1:72" s="433" customFormat="1">
      <c r="A261" s="433" t="str">
        <f>'Reference Score Calculation'!A238</f>
        <v>JS6793</v>
      </c>
      <c r="B261" s="433" t="str">
        <f>'Reference Score Calculation'!A238</f>
        <v>JS6793</v>
      </c>
      <c r="C261" s="446" t="str">
        <f>'Reference Score Calculation'!D238</f>
        <v>工商管理學學士(資訊系統)</v>
      </c>
      <c r="D261" s="365"/>
      <c r="E261" s="447" t="str">
        <f>'Reference Score Calculation'!E238</f>
        <v>Best 6</v>
      </c>
      <c r="F261" s="461" t="str">
        <f>'Reference Score Calculation'!AB238</f>
        <v>Best 5</v>
      </c>
      <c r="G261" s="365" t="str">
        <f>入學要求!AB247</f>
        <v>v</v>
      </c>
      <c r="H261" s="365" t="str">
        <f>入學要求!AC247</f>
        <v>NO</v>
      </c>
      <c r="I261" s="365" t="str">
        <f>入學要求!AD247</f>
        <v>NO</v>
      </c>
      <c r="J261" s="448">
        <f t="shared" si="417"/>
        <v>3.7500000000000005E-9</v>
      </c>
      <c r="K261" s="448">
        <f>IF($AW$254=K$1,0.2,1)</f>
        <v>1</v>
      </c>
      <c r="L261" s="448">
        <v>1.5</v>
      </c>
      <c r="M261" s="448">
        <v>1.5</v>
      </c>
      <c r="N261" s="448">
        <f t="shared" ref="N261:T261" si="439">IF($AW$254=N$1,0.2,1)</f>
        <v>1</v>
      </c>
      <c r="O261" s="448">
        <f t="shared" si="439"/>
        <v>1</v>
      </c>
      <c r="P261" s="448">
        <f t="shared" si="439"/>
        <v>1</v>
      </c>
      <c r="Q261" s="448">
        <f t="shared" si="439"/>
        <v>1</v>
      </c>
      <c r="R261" s="448">
        <f t="shared" si="439"/>
        <v>1</v>
      </c>
      <c r="S261" s="448">
        <f t="shared" si="439"/>
        <v>1</v>
      </c>
      <c r="T261" s="448">
        <f t="shared" si="439"/>
        <v>1</v>
      </c>
      <c r="U261" s="448"/>
      <c r="V261" s="448">
        <f t="shared" si="406"/>
        <v>4.0000000000000001E-10</v>
      </c>
      <c r="W261" s="448">
        <f t="shared" si="407"/>
        <v>3E-10</v>
      </c>
      <c r="X261" s="448">
        <f t="shared" si="408"/>
        <v>4.5E-10</v>
      </c>
      <c r="Y261" s="448">
        <f t="shared" si="409"/>
        <v>0</v>
      </c>
      <c r="Z261" s="448">
        <f t="shared" si="422"/>
        <v>5.0000000000000003E-10</v>
      </c>
      <c r="AA261" s="448">
        <f t="shared" si="411"/>
        <v>6E-10</v>
      </c>
      <c r="AB261" s="448">
        <f t="shared" si="412"/>
        <v>6.9999999999999996E-10</v>
      </c>
      <c r="AC261" s="448">
        <f t="shared" si="413"/>
        <v>8.0000000000000003E-10</v>
      </c>
      <c r="AD261" s="448">
        <f t="shared" si="414"/>
        <v>8.9999999999999999E-10</v>
      </c>
      <c r="AE261" s="448">
        <f t="shared" si="415"/>
        <v>0</v>
      </c>
      <c r="AF261" s="448" t="b">
        <f>IF(V261&gt;LARGE((($V261,$Y261:$AE261)),5),TRUE,IF(K261=0.2,TRUE,FALSE))</f>
        <v>0</v>
      </c>
      <c r="AG261" s="448" t="b">
        <v>1</v>
      </c>
      <c r="AH261" s="448" t="b">
        <v>1</v>
      </c>
      <c r="AI261" s="448" t="b">
        <f>IF(Y261&gt;LARGE((($V261,$Y261:$AE261)),5),TRUE,IF(N261=0.2,TRUE,FALSE))</f>
        <v>0</v>
      </c>
      <c r="AJ261" s="448" t="b">
        <f>IF(Z261&gt;LARGE((($V261,$Y261:$AE261)),5),TRUE,IF(O261=0.2,TRUE,FALSE))</f>
        <v>0</v>
      </c>
      <c r="AK261" s="448" t="b">
        <f>IF(AA261&gt;LARGE((($V261,$Y261:$AE261)),5),TRUE,IF(P261=0.2,TRUE,FALSE))</f>
        <v>1</v>
      </c>
      <c r="AL261" s="448" t="b">
        <f>IF(AB261&gt;LARGE((($V261,$Y261:$AE261)),5),TRUE,IF(Q261=0.2,TRUE,FALSE))</f>
        <v>1</v>
      </c>
      <c r="AM261" s="448" t="b">
        <f>IF(AC261&gt;LARGE((($V261,$Y261:$AE261)),5),TRUE,IF(R261=0.2,TRUE,FALSE))</f>
        <v>1</v>
      </c>
      <c r="AN261" s="448" t="b">
        <f>IF(AD261&gt;LARGE((($V261,$Y261:$AE261)),5),TRUE,IF(S261=0.2,TRUE,FALSE))</f>
        <v>1</v>
      </c>
      <c r="AO261" s="448" t="b">
        <f>IF(AE261&gt;LARGE((($V261,$Y261:$AE261)),5),TRUE,IF(T261=0.2,TRUE,FALSE))</f>
        <v>0</v>
      </c>
      <c r="AQ261" s="365" t="str">
        <f>'Reference Score Calculation'!M238</f>
        <v>最佳六科必須包括︰英文、數學</v>
      </c>
      <c r="AR261" s="365" t="str">
        <f>'Reference Score Calculation'!N238</f>
        <v>如同學有修讀七科，第七科成績 (x0.2) 會額外加上原有的Best 6分數</v>
      </c>
      <c r="AS261" s="365" t="s">
        <v>356</v>
      </c>
      <c r="AT261" s="444" t="s">
        <v>391</v>
      </c>
      <c r="AU261" s="452"/>
      <c r="AV261" s="451"/>
      <c r="AW261" s="449"/>
      <c r="AX261" s="449"/>
      <c r="AY261" s="449"/>
      <c r="AZ261" s="449"/>
      <c r="BA261" s="434"/>
      <c r="BB261" s="434"/>
      <c r="BC261" s="451"/>
      <c r="BD261" s="434"/>
      <c r="BE261" s="434"/>
      <c r="BF261" s="452"/>
      <c r="BG261" s="451"/>
      <c r="BH261" s="449"/>
      <c r="BI261" s="449"/>
      <c r="BJ261" s="449"/>
      <c r="BK261" s="449"/>
      <c r="BL261" s="449"/>
      <c r="BM261" s="449"/>
      <c r="BN261" s="449"/>
      <c r="BO261" s="449"/>
      <c r="BP261" s="449"/>
      <c r="BQ261" s="449"/>
      <c r="BR261" s="449"/>
      <c r="BS261" s="449"/>
      <c r="BT261" s="449"/>
    </row>
    <row r="262" spans="1:72" s="433" customFormat="1">
      <c r="A262" s="433" t="str">
        <f>'Reference Score Calculation'!A239</f>
        <v>JS6808</v>
      </c>
      <c r="B262" s="433" t="str">
        <f>'Reference Score Calculation'!A239</f>
        <v>JS6808</v>
      </c>
      <c r="C262" s="446" t="str">
        <f>'Reference Score Calculation'!D239</f>
        <v>工商管理學學士(法學)及法學士 (雙學位課程)</v>
      </c>
      <c r="D262" s="365"/>
      <c r="E262" s="447" t="str">
        <f>'Reference Score Calculation'!E239</f>
        <v>Best 6</v>
      </c>
      <c r="F262" s="462" t="str">
        <f>'Reference Score Calculation'!AB239</f>
        <v>Best 6</v>
      </c>
      <c r="G262" s="365" t="str">
        <f>入學要求!AB248</f>
        <v>v</v>
      </c>
      <c r="H262" s="365" t="str">
        <f>入學要求!AC248</f>
        <v>NO</v>
      </c>
      <c r="I262" s="365" t="str">
        <f>入學要求!AD248</f>
        <v>NO</v>
      </c>
      <c r="J262" s="448">
        <f t="shared" si="417"/>
        <v>3.7500000000000005E-9</v>
      </c>
      <c r="K262" s="448">
        <f>IF($AW$259=K$1,0.2,1)</f>
        <v>1</v>
      </c>
      <c r="L262" s="448">
        <v>1.5</v>
      </c>
      <c r="M262" s="448">
        <v>1.5</v>
      </c>
      <c r="N262" s="448">
        <v>0</v>
      </c>
      <c r="O262" s="448">
        <f t="shared" ref="O262:T262" si="440">IF($AW$259=O$1,0.2,1)</f>
        <v>1</v>
      </c>
      <c r="P262" s="448">
        <f t="shared" si="440"/>
        <v>1</v>
      </c>
      <c r="Q262" s="448">
        <f t="shared" si="440"/>
        <v>1</v>
      </c>
      <c r="R262" s="448">
        <f t="shared" si="440"/>
        <v>1</v>
      </c>
      <c r="S262" s="448">
        <f t="shared" si="440"/>
        <v>1</v>
      </c>
      <c r="T262" s="448">
        <f t="shared" si="440"/>
        <v>1</v>
      </c>
      <c r="U262" s="455"/>
      <c r="V262" s="448">
        <f t="shared" si="406"/>
        <v>4.0000000000000001E-10</v>
      </c>
      <c r="W262" s="448">
        <f t="shared" si="407"/>
        <v>3E-10</v>
      </c>
      <c r="X262" s="448">
        <f t="shared" si="408"/>
        <v>4.5E-10</v>
      </c>
      <c r="Y262" s="448">
        <f t="shared" si="409"/>
        <v>0</v>
      </c>
      <c r="Z262" s="448">
        <f t="shared" si="422"/>
        <v>5.0000000000000003E-10</v>
      </c>
      <c r="AA262" s="448">
        <f t="shared" si="411"/>
        <v>6E-10</v>
      </c>
      <c r="AB262" s="448">
        <f t="shared" si="412"/>
        <v>6.9999999999999996E-10</v>
      </c>
      <c r="AC262" s="448">
        <f t="shared" si="413"/>
        <v>8.0000000000000003E-10</v>
      </c>
      <c r="AD262" s="448">
        <f t="shared" si="414"/>
        <v>8.9999999999999999E-10</v>
      </c>
      <c r="AE262" s="448">
        <f t="shared" si="415"/>
        <v>0</v>
      </c>
      <c r="AF262" s="448" t="b">
        <f>IF(V262&gt;LARGE((($V262,$Y262:$AE262)),5),TRUE,IF(K262=0.2,TRUE,FALSE))</f>
        <v>0</v>
      </c>
      <c r="AG262" s="448" t="b">
        <v>1</v>
      </c>
      <c r="AH262" s="448" t="b">
        <v>1</v>
      </c>
      <c r="AI262" s="448" t="b">
        <f>IF(Y262&gt;LARGE((($V262,$Y262:$AE262)),5),TRUE,IF(N262=0.2,TRUE,FALSE))</f>
        <v>0</v>
      </c>
      <c r="AJ262" s="448" t="b">
        <f>IF(Z262&gt;LARGE((($V262,$Y262:$AE262)),5),TRUE,IF(O262=0.2,TRUE,FALSE))</f>
        <v>0</v>
      </c>
      <c r="AK262" s="448" t="b">
        <f>IF(AA262&gt;LARGE((($V262,$Y262:$AE262)),5),TRUE,IF(P262=0.2,TRUE,FALSE))</f>
        <v>1</v>
      </c>
      <c r="AL262" s="448" t="b">
        <f>IF(AB262&gt;LARGE((($V262,$Y262:$AE262)),5),TRUE,IF(Q262=0.2,TRUE,FALSE))</f>
        <v>1</v>
      </c>
      <c r="AM262" s="448" t="b">
        <f>IF(AC262&gt;LARGE((($V262,$Y262:$AE262)),5),TRUE,IF(R262=0.2,TRUE,FALSE))</f>
        <v>1</v>
      </c>
      <c r="AN262" s="448" t="b">
        <f>IF(AD262&gt;LARGE((($V262,$Y262:$AE262)),5),TRUE,IF(S262=0.2,TRUE,FALSE))</f>
        <v>1</v>
      </c>
      <c r="AO262" s="448" t="b">
        <f>IF(AE262&gt;LARGE((($V262,$Y262:$AE262)),5),TRUE,IF(T262=0.2,TRUE,FALSE))</f>
        <v>0</v>
      </c>
      <c r="AQ262" s="365" t="str">
        <f>'Reference Score Calculation'!M239</f>
        <v>最佳六科必須包括︰英文、數學</v>
      </c>
      <c r="AR262" s="365" t="str">
        <f>'Reference Score Calculation'!N239</f>
        <v>如同學有修讀七科，第七科成績 (x0.2) 會額外加上原有的Best 6分數</v>
      </c>
      <c r="AS262" s="365" t="s">
        <v>356</v>
      </c>
      <c r="AT262" s="443" t="s">
        <v>396</v>
      </c>
      <c r="AU262" s="449"/>
      <c r="AV262" s="449"/>
      <c r="AW262" s="449"/>
      <c r="AX262" s="449"/>
      <c r="AY262" s="449"/>
      <c r="AZ262" s="449"/>
      <c r="BA262" s="449"/>
      <c r="BB262" s="449"/>
      <c r="BC262" s="449"/>
      <c r="BD262" s="449"/>
      <c r="BE262" s="449"/>
      <c r="BF262" s="449"/>
      <c r="BG262" s="449"/>
      <c r="BH262" s="449"/>
      <c r="BI262" s="449"/>
      <c r="BJ262" s="449"/>
      <c r="BK262" s="449"/>
      <c r="BL262" s="449"/>
      <c r="BM262" s="449"/>
      <c r="BN262" s="449"/>
      <c r="BO262" s="449"/>
      <c r="BP262" s="449"/>
      <c r="BQ262" s="449"/>
      <c r="BR262" s="449"/>
      <c r="BS262" s="449"/>
      <c r="BT262" s="449"/>
    </row>
    <row r="263" spans="1:72" s="433" customFormat="1">
      <c r="A263" s="433" t="str">
        <f>'Reference Score Calculation'!A240</f>
        <v>JS6846</v>
      </c>
      <c r="B263" s="433" t="str">
        <f>'Reference Score Calculation'!A240</f>
        <v>JS6846</v>
      </c>
      <c r="C263" s="446" t="str">
        <f>'Reference Score Calculation'!D240</f>
        <v>理學士(營銷分析及科技)</v>
      </c>
      <c r="D263" s="365"/>
      <c r="E263" s="447" t="str">
        <f>'Reference Score Calculation'!E240</f>
        <v>Best 6</v>
      </c>
      <c r="F263" s="461" t="str">
        <f>'Reference Score Calculation'!AB240</f>
        <v>Best 5</v>
      </c>
      <c r="G263" s="365" t="str">
        <f>入學要求!AB249</f>
        <v>v</v>
      </c>
      <c r="H263" s="365" t="str">
        <f>入學要求!AC249</f>
        <v>NO</v>
      </c>
      <c r="I263" s="365" t="str">
        <f>入學要求!AD249</f>
        <v>NO</v>
      </c>
      <c r="J263" s="448">
        <f t="shared" si="417"/>
        <v>3.7500000000000005E-9</v>
      </c>
      <c r="K263" s="448">
        <f>IF($AW$254=K$1,0.2,1)</f>
        <v>1</v>
      </c>
      <c r="L263" s="448">
        <v>1.5</v>
      </c>
      <c r="M263" s="448">
        <v>1.5</v>
      </c>
      <c r="N263" s="448">
        <f t="shared" ref="N263:T263" si="441">IF($AW$254=N$1,0.2,1)</f>
        <v>1</v>
      </c>
      <c r="O263" s="448">
        <f t="shared" si="441"/>
        <v>1</v>
      </c>
      <c r="P263" s="448">
        <f t="shared" si="441"/>
        <v>1</v>
      </c>
      <c r="Q263" s="448">
        <f t="shared" si="441"/>
        <v>1</v>
      </c>
      <c r="R263" s="448">
        <f t="shared" si="441"/>
        <v>1</v>
      </c>
      <c r="S263" s="448">
        <f t="shared" si="441"/>
        <v>1</v>
      </c>
      <c r="T263" s="448">
        <f t="shared" si="441"/>
        <v>1</v>
      </c>
      <c r="U263" s="448"/>
      <c r="V263" s="448">
        <f t="shared" si="406"/>
        <v>4.0000000000000001E-10</v>
      </c>
      <c r="W263" s="448">
        <f t="shared" si="407"/>
        <v>3E-10</v>
      </c>
      <c r="X263" s="448">
        <f t="shared" si="408"/>
        <v>4.5E-10</v>
      </c>
      <c r="Y263" s="448">
        <f t="shared" si="409"/>
        <v>0</v>
      </c>
      <c r="Z263" s="448">
        <f t="shared" si="422"/>
        <v>5.0000000000000003E-10</v>
      </c>
      <c r="AA263" s="448">
        <f t="shared" si="411"/>
        <v>6E-10</v>
      </c>
      <c r="AB263" s="448">
        <f t="shared" si="412"/>
        <v>6.9999999999999996E-10</v>
      </c>
      <c r="AC263" s="448">
        <f t="shared" si="413"/>
        <v>8.0000000000000003E-10</v>
      </c>
      <c r="AD263" s="448">
        <f t="shared" si="414"/>
        <v>8.9999999999999999E-10</v>
      </c>
      <c r="AE263" s="448">
        <f t="shared" si="415"/>
        <v>0</v>
      </c>
      <c r="AF263" s="448" t="b">
        <f>IF(V263&gt;LARGE((($V263,$Y263:$AE263)),5),TRUE,IF(K263=0.2,TRUE,FALSE))</f>
        <v>0</v>
      </c>
      <c r="AG263" s="448" t="b">
        <v>1</v>
      </c>
      <c r="AH263" s="448" t="b">
        <v>1</v>
      </c>
      <c r="AI263" s="448" t="b">
        <f>IF(Y263&gt;LARGE((($V263,$Y263:$AE263)),5),TRUE,IF(N263=0.2,TRUE,FALSE))</f>
        <v>0</v>
      </c>
      <c r="AJ263" s="448" t="b">
        <f>IF(Z263&gt;LARGE((($V263,$Y263:$AE263)),5),TRUE,IF(O263=0.2,TRUE,FALSE))</f>
        <v>0</v>
      </c>
      <c r="AK263" s="448" t="b">
        <f>IF(AA263&gt;LARGE((($V263,$Y263:$AE263)),5),TRUE,IF(P263=0.2,TRUE,FALSE))</f>
        <v>1</v>
      </c>
      <c r="AL263" s="448" t="b">
        <f>IF(AB263&gt;LARGE((($V263,$Y263:$AE263)),5),TRUE,IF(Q263=0.2,TRUE,FALSE))</f>
        <v>1</v>
      </c>
      <c r="AM263" s="448" t="b">
        <f>IF(AC263&gt;LARGE((($V263,$Y263:$AE263)),5),TRUE,IF(R263=0.2,TRUE,FALSE))</f>
        <v>1</v>
      </c>
      <c r="AN263" s="448" t="b">
        <f>IF(AD263&gt;LARGE((($V263,$Y263:$AE263)),5),TRUE,IF(S263=0.2,TRUE,FALSE))</f>
        <v>1</v>
      </c>
      <c r="AO263" s="448" t="b">
        <f>IF(AE263&gt;LARGE((($V263,$Y263:$AE263)),5),TRUE,IF(T263=0.2,TRUE,FALSE))</f>
        <v>0</v>
      </c>
      <c r="AQ263" s="365" t="str">
        <f>'Reference Score Calculation'!M240</f>
        <v>最佳六科必須包括︰英文、數學</v>
      </c>
      <c r="AR263" s="365" t="str">
        <f>'Reference Score Calculation'!N240</f>
        <v>如同學有修讀七科，第七科成績 (x0.2) 會額外加上原有的Best 6分數</v>
      </c>
      <c r="AS263" s="365" t="s">
        <v>356</v>
      </c>
      <c r="AT263" s="449"/>
      <c r="AU263" s="449"/>
      <c r="AV263" s="449"/>
      <c r="AW263" s="449"/>
      <c r="AX263" s="449"/>
      <c r="AY263" s="449"/>
      <c r="AZ263" s="449"/>
      <c r="BA263" s="449"/>
      <c r="BB263" s="449"/>
      <c r="BC263" s="449"/>
      <c r="BD263" s="449"/>
      <c r="BE263" s="449"/>
      <c r="BF263" s="449"/>
      <c r="BG263" s="449"/>
      <c r="BH263" s="449"/>
      <c r="BI263" s="449"/>
      <c r="BJ263" s="449"/>
      <c r="BK263" s="449"/>
      <c r="BL263" s="449"/>
      <c r="BM263" s="449"/>
      <c r="BN263" s="449"/>
      <c r="BO263" s="449"/>
      <c r="BP263" s="449"/>
      <c r="BQ263" s="449"/>
      <c r="BR263" s="449"/>
      <c r="BS263" s="449"/>
      <c r="BT263" s="449"/>
    </row>
    <row r="264" spans="1:72" s="433" customFormat="1">
      <c r="A264" s="433" t="str">
        <f>'Reference Score Calculation'!A241</f>
        <v>JS6884</v>
      </c>
      <c r="B264" s="433" t="str">
        <f>'Reference Score Calculation'!A241</f>
        <v>JS6884</v>
      </c>
      <c r="C264" s="446" t="str">
        <f>'Reference Score Calculation'!D241</f>
        <v>理學士(計量金融)</v>
      </c>
      <c r="D264" s="365"/>
      <c r="E264" s="447" t="str">
        <f>'Reference Score Calculation'!E241</f>
        <v>Best 6</v>
      </c>
      <c r="F264" s="462" t="str">
        <f>'Reference Score Calculation'!AB241</f>
        <v>Best 6</v>
      </c>
      <c r="G264" s="365" t="str">
        <f>入學要求!AB250</f>
        <v>v</v>
      </c>
      <c r="H264" s="365" t="str">
        <f>入學要求!AC250</f>
        <v>NO</v>
      </c>
      <c r="I264" s="365" t="str">
        <f>入學要求!AD250</f>
        <v>NO</v>
      </c>
      <c r="J264" s="448">
        <f t="shared" si="417"/>
        <v>3.7E-9</v>
      </c>
      <c r="K264" s="448">
        <f>IF($AW$259=K$1,0.2,1)</f>
        <v>1</v>
      </c>
      <c r="L264" s="448">
        <v>1.5</v>
      </c>
      <c r="M264" s="448">
        <v>1.25</v>
      </c>
      <c r="N264" s="448">
        <v>0</v>
      </c>
      <c r="O264" s="448">
        <v>1.25</v>
      </c>
      <c r="P264" s="448">
        <f t="shared" ref="P264:T265" si="442">IF($AW$259=P$1,0.2,1)</f>
        <v>1</v>
      </c>
      <c r="Q264" s="448">
        <f t="shared" si="442"/>
        <v>1</v>
      </c>
      <c r="R264" s="448">
        <f t="shared" si="442"/>
        <v>1</v>
      </c>
      <c r="S264" s="448">
        <f t="shared" si="442"/>
        <v>1</v>
      </c>
      <c r="T264" s="448">
        <f t="shared" si="442"/>
        <v>1</v>
      </c>
      <c r="U264" s="455"/>
      <c r="V264" s="448">
        <f t="shared" si="406"/>
        <v>4.0000000000000001E-10</v>
      </c>
      <c r="W264" s="448">
        <f t="shared" si="407"/>
        <v>3E-10</v>
      </c>
      <c r="X264" s="448">
        <f t="shared" si="408"/>
        <v>3.75E-10</v>
      </c>
      <c r="Y264" s="448">
        <f t="shared" si="409"/>
        <v>0</v>
      </c>
      <c r="Z264" s="448">
        <f t="shared" si="422"/>
        <v>6.2500000000000001E-10</v>
      </c>
      <c r="AA264" s="448">
        <f t="shared" si="411"/>
        <v>6E-10</v>
      </c>
      <c r="AB264" s="448">
        <f t="shared" si="412"/>
        <v>6.9999999999999996E-10</v>
      </c>
      <c r="AC264" s="448">
        <f t="shared" si="413"/>
        <v>8.0000000000000003E-10</v>
      </c>
      <c r="AD264" s="448">
        <f t="shared" si="414"/>
        <v>8.9999999999999999E-10</v>
      </c>
      <c r="AE264" s="448">
        <f t="shared" si="415"/>
        <v>0</v>
      </c>
      <c r="AF264" s="448" t="b">
        <f>IF(V264&gt;LARGE((($V264,$Y264,$AA264:$AE264)),4),TRUE,IF(K264=0.2,TRUE,FALSE))</f>
        <v>0</v>
      </c>
      <c r="AG264" s="448" t="b">
        <v>1</v>
      </c>
      <c r="AH264" s="448" t="b">
        <v>1</v>
      </c>
      <c r="AI264" s="448" t="b">
        <f>IF(Y264&gt;LARGE((($V264,$Y264,$AA264:$AE264)),4),TRUE,IF(N264=0.2,TRUE,FALSE))</f>
        <v>0</v>
      </c>
      <c r="AJ264" s="448" t="b">
        <v>1</v>
      </c>
      <c r="AK264" s="448" t="b">
        <f>IF(AA264&gt;LARGE((($V264,$Y264,$AA264:$AE264)),4),TRUE,IF(P264=0.2,TRUE,FALSE))</f>
        <v>0</v>
      </c>
      <c r="AL264" s="448" t="b">
        <f>IF(AB264&gt;LARGE((($V264,$Y264,$AA264:$AE264)),4),TRUE,IF(Q264=0.2,TRUE,FALSE))</f>
        <v>1</v>
      </c>
      <c r="AM264" s="448" t="b">
        <f>IF(AC264&gt;LARGE((($V264,$Y264,$AA264:$AE264)),4),TRUE,IF(R264=0.2,TRUE,FALSE))</f>
        <v>1</v>
      </c>
      <c r="AN264" s="448" t="b">
        <f>IF(AD264&gt;LARGE((($V264,$Y264,$AA264:$AE264)),4),TRUE,IF(S264=0.2,TRUE,FALSE))</f>
        <v>1</v>
      </c>
      <c r="AO264" s="448" t="b">
        <f>IF(AE264&gt;LARGE((($V264,$Y264,$AA264:$AE264)),4),TRUE,IF(T264=0.2,TRUE,FALSE))</f>
        <v>0</v>
      </c>
      <c r="AQ264" s="365" t="str">
        <f>'Reference Score Calculation'!M241</f>
        <v>最佳六科必須包括︰英文、數學、M1/2</v>
      </c>
      <c r="AR264" s="365" t="str">
        <f>'Reference Score Calculation'!N241</f>
        <v>如同學有修讀七科，第七科成績 (x0.2) 會額外加上原有的Best 6分數</v>
      </c>
      <c r="AS264" s="365" t="s">
        <v>356</v>
      </c>
      <c r="AT264" s="434"/>
      <c r="AU264" s="452"/>
      <c r="AV264" s="451"/>
      <c r="AW264" s="449"/>
      <c r="AX264" s="449"/>
      <c r="AY264" s="449"/>
      <c r="AZ264" s="449"/>
      <c r="BA264" s="434"/>
      <c r="BB264" s="434"/>
      <c r="BC264" s="451"/>
      <c r="BD264" s="449"/>
      <c r="BE264" s="449"/>
      <c r="BF264" s="452"/>
      <c r="BG264" s="451"/>
      <c r="BH264" s="449"/>
      <c r="BI264" s="449"/>
      <c r="BJ264" s="449"/>
      <c r="BK264" s="449"/>
      <c r="BL264" s="449"/>
      <c r="BM264" s="449"/>
      <c r="BN264" s="449"/>
      <c r="BO264" s="449"/>
      <c r="BP264" s="449"/>
      <c r="BQ264" s="449"/>
      <c r="BR264" s="449"/>
      <c r="BS264" s="449"/>
      <c r="BT264" s="449"/>
    </row>
    <row r="265" spans="1:72" s="433" customFormat="1">
      <c r="A265" s="433" t="str">
        <f>'Reference Score Calculation'!A242</f>
        <v>JS6896</v>
      </c>
      <c r="B265" s="433" t="str">
        <f>'Reference Score Calculation'!A242</f>
        <v>JS6896</v>
      </c>
      <c r="C265" s="446" t="str">
        <f>'Reference Score Calculation'!D242</f>
        <v>工商管理學學士(國際商業及環球管理)</v>
      </c>
      <c r="D265" s="365"/>
      <c r="E265" s="447" t="str">
        <f>'Reference Score Calculation'!E242</f>
        <v>Best 6</v>
      </c>
      <c r="F265" s="462" t="str">
        <f>'Reference Score Calculation'!AB242</f>
        <v>Best 6</v>
      </c>
      <c r="G265" s="365" t="str">
        <f>入學要求!AB251</f>
        <v>v</v>
      </c>
      <c r="H265" s="365" t="str">
        <f>入學要求!AC251</f>
        <v>NO</v>
      </c>
      <c r="I265" s="365" t="str">
        <f>入學要求!AD251</f>
        <v>NO</v>
      </c>
      <c r="J265" s="448">
        <f t="shared" si="417"/>
        <v>3.7500000000000005E-9</v>
      </c>
      <c r="K265" s="448">
        <f>IF($AW$259=K$1,0.2,1)</f>
        <v>1</v>
      </c>
      <c r="L265" s="448">
        <v>1.5</v>
      </c>
      <c r="M265" s="448">
        <v>1.5</v>
      </c>
      <c r="N265" s="448">
        <v>0</v>
      </c>
      <c r="O265" s="448">
        <f>IF($AW$259=O$1,0.2,1)</f>
        <v>1</v>
      </c>
      <c r="P265" s="448">
        <f t="shared" si="442"/>
        <v>1</v>
      </c>
      <c r="Q265" s="448">
        <f t="shared" si="442"/>
        <v>1</v>
      </c>
      <c r="R265" s="448">
        <f t="shared" si="442"/>
        <v>1</v>
      </c>
      <c r="S265" s="448">
        <f t="shared" si="442"/>
        <v>1</v>
      </c>
      <c r="T265" s="448">
        <f t="shared" si="442"/>
        <v>1</v>
      </c>
      <c r="U265" s="455"/>
      <c r="V265" s="448">
        <f t="shared" si="406"/>
        <v>4.0000000000000001E-10</v>
      </c>
      <c r="W265" s="448">
        <f t="shared" si="407"/>
        <v>3E-10</v>
      </c>
      <c r="X265" s="448">
        <f t="shared" si="408"/>
        <v>4.5E-10</v>
      </c>
      <c r="Y265" s="448">
        <f t="shared" si="409"/>
        <v>0</v>
      </c>
      <c r="Z265" s="448">
        <f t="shared" si="422"/>
        <v>5.0000000000000003E-10</v>
      </c>
      <c r="AA265" s="448">
        <f t="shared" si="411"/>
        <v>6E-10</v>
      </c>
      <c r="AB265" s="448">
        <f t="shared" si="412"/>
        <v>6.9999999999999996E-10</v>
      </c>
      <c r="AC265" s="448">
        <f t="shared" si="413"/>
        <v>8.0000000000000003E-10</v>
      </c>
      <c r="AD265" s="448">
        <f t="shared" si="414"/>
        <v>8.9999999999999999E-10</v>
      </c>
      <c r="AE265" s="448">
        <f t="shared" si="415"/>
        <v>0</v>
      </c>
      <c r="AF265" s="448" t="b">
        <f>IF(V265&gt;LARGE((($V265,$Y265:$AE265)),5),TRUE,IF(K265=0.2,TRUE,FALSE))</f>
        <v>0</v>
      </c>
      <c r="AG265" s="448" t="b">
        <v>1</v>
      </c>
      <c r="AH265" s="448" t="b">
        <v>1</v>
      </c>
      <c r="AI265" s="448" t="b">
        <f>IF(Y265&gt;LARGE((($V265,$Y265:$AE265)),5),TRUE,IF(N265=0.2,TRUE,FALSE))</f>
        <v>0</v>
      </c>
      <c r="AJ265" s="448" t="b">
        <f>IF(Z265&gt;LARGE((($V265,$Y265:$AE265)),5),TRUE,IF(O265=0.2,TRUE,FALSE))</f>
        <v>0</v>
      </c>
      <c r="AK265" s="448" t="b">
        <f>IF(AA265&gt;LARGE((($V265,$Y265:$AE265)),5),TRUE,IF(P265=0.2,TRUE,FALSE))</f>
        <v>1</v>
      </c>
      <c r="AL265" s="448" t="b">
        <f>IF(AB265&gt;LARGE((($V265,$Y265:$AE265)),5),TRUE,IF(Q265=0.2,TRUE,FALSE))</f>
        <v>1</v>
      </c>
      <c r="AM265" s="448" t="b">
        <f>IF(AC265&gt;LARGE((($V265,$Y265:$AE265)),5),TRUE,IF(R265=0.2,TRUE,FALSE))</f>
        <v>1</v>
      </c>
      <c r="AN265" s="448" t="b">
        <f>IF(AD265&gt;LARGE((($V265,$Y265:$AE265)),5),TRUE,IF(S265=0.2,TRUE,FALSE))</f>
        <v>1</v>
      </c>
      <c r="AO265" s="448" t="b">
        <f>IF(AE265&gt;LARGE((($V265,$Y265:$AE265)),5),TRUE,IF(T265=0.2,TRUE,FALSE))</f>
        <v>0</v>
      </c>
      <c r="AQ265" s="365" t="str">
        <f>'Reference Score Calculation'!M242</f>
        <v>最佳六科必須包括︰英文、數學</v>
      </c>
      <c r="AR265" s="365" t="str">
        <f>'Reference Score Calculation'!N242</f>
        <v>如同學有修讀七科，第七科成績 (x0.2) 會額外加上原有的Best 6分數</v>
      </c>
      <c r="AS265" s="365" t="s">
        <v>356</v>
      </c>
      <c r="AT265" s="434"/>
      <c r="AU265" s="450" t="str">
        <f>P$1</f>
        <v>請選擇第一選修科</v>
      </c>
      <c r="AV265" s="450" t="str">
        <f>Q$1</f>
        <v>請選擇第二選修科</v>
      </c>
      <c r="AW265" s="450" t="str">
        <f>R$1</f>
        <v>請選擇第三選修科</v>
      </c>
      <c r="AX265" s="450" t="str">
        <f>S$1</f>
        <v>請選擇第四選修科</v>
      </c>
      <c r="AY265" s="449"/>
      <c r="AZ265" s="449"/>
      <c r="BA265" s="453" t="s">
        <v>309</v>
      </c>
      <c r="BB265" s="434"/>
      <c r="BC265" s="434"/>
      <c r="BD265" s="450" t="str">
        <f t="shared" ref="BD265:BL265" si="443">K$1</f>
        <v>中國語文</v>
      </c>
      <c r="BE265" s="450" t="str">
        <f t="shared" si="443"/>
        <v>英國語文</v>
      </c>
      <c r="BF265" s="450" t="str">
        <f t="shared" si="443"/>
        <v>數學</v>
      </c>
      <c r="BG265" s="451"/>
      <c r="BH265" s="450" t="str">
        <f t="shared" si="443"/>
        <v>數學延伸</v>
      </c>
      <c r="BI265" s="450" t="str">
        <f t="shared" si="443"/>
        <v>請選擇第一選修科</v>
      </c>
      <c r="BJ265" s="450" t="str">
        <f t="shared" si="443"/>
        <v>請選擇第二選修科</v>
      </c>
      <c r="BK265" s="450" t="str">
        <f t="shared" si="443"/>
        <v>請選擇第三選修科</v>
      </c>
      <c r="BL265" s="450" t="str">
        <f t="shared" si="443"/>
        <v>請選擇第四選修科</v>
      </c>
      <c r="BM265" s="449"/>
      <c r="BN265" s="449"/>
      <c r="BO265" s="449"/>
      <c r="BP265" s="449"/>
      <c r="BQ265" s="449"/>
      <c r="BR265" s="449"/>
      <c r="BS265" s="449"/>
      <c r="BT265" s="449"/>
    </row>
    <row r="266" spans="1:72" s="433" customFormat="1">
      <c r="A266" s="433" t="str">
        <f>'Reference Score Calculation'!A243</f>
        <v>JS6107</v>
      </c>
      <c r="B266" s="433" t="str">
        <f>'Reference Score Calculation'!A243</f>
        <v>JS6107</v>
      </c>
      <c r="C266" s="446" t="str">
        <f>'Reference Score Calculation'!D243</f>
        <v>牙醫學士</v>
      </c>
      <c r="D266" s="365"/>
      <c r="E266" s="447" t="str">
        <f>'Reference Score Calculation'!E243</f>
        <v>Best 6</v>
      </c>
      <c r="F266" s="462" t="str">
        <f>'Reference Score Calculation'!AB243</f>
        <v>Best 6</v>
      </c>
      <c r="G266" s="365" t="str">
        <f>入學要求!AB252</f>
        <v>v</v>
      </c>
      <c r="H266" s="365" t="str">
        <f>入學要求!AC252</f>
        <v>NO</v>
      </c>
      <c r="I266" s="365" t="str">
        <f>入學要求!AD252</f>
        <v>NO</v>
      </c>
      <c r="J266" s="448">
        <f t="shared" si="417"/>
        <v>4.08E-9</v>
      </c>
      <c r="K266" s="448">
        <v>1</v>
      </c>
      <c r="L266" s="448">
        <v>1</v>
      </c>
      <c r="M266" s="448">
        <v>1</v>
      </c>
      <c r="N266" s="448">
        <v>0</v>
      </c>
      <c r="O266" s="448">
        <v>1</v>
      </c>
      <c r="P266" s="448">
        <f>IF($BA$266=P$1,1.3,1)</f>
        <v>1.3</v>
      </c>
      <c r="Q266" s="448">
        <f>IF($BA$266=Q$1,1.3,1)</f>
        <v>1</v>
      </c>
      <c r="R266" s="448">
        <f>IF($BA$266=R$1,1.3,1)</f>
        <v>1</v>
      </c>
      <c r="S266" s="448">
        <f>IF($BA$266=S$1,1.3,1)</f>
        <v>1</v>
      </c>
      <c r="T266" s="448">
        <v>1</v>
      </c>
      <c r="U266" s="455"/>
      <c r="V266" s="448">
        <f>IF(K$15,K$8*K266*0.9,K$8*K266)</f>
        <v>4.0000000000000001E-10</v>
      </c>
      <c r="W266" s="448">
        <f>IF(L$15,L$8*L266*0.9,L$8*L266)</f>
        <v>2.0000000000000001E-10</v>
      </c>
      <c r="X266" s="448">
        <f>IF(M$15,M$8*M266*0.9,M$8*M266)</f>
        <v>3E-10</v>
      </c>
      <c r="Y266" s="448">
        <f>IF(N$15,N$8*N266*0.9,N$8*N266)</f>
        <v>0</v>
      </c>
      <c r="Z266" s="448">
        <f>IF(O$15,O$8*O266*0.9,$O$8*O266)</f>
        <v>5.0000000000000003E-10</v>
      </c>
      <c r="AA266" s="448">
        <f>IF(P$15,P$8*P266*0.9,P$8*P266)</f>
        <v>7.7999999999999999E-10</v>
      </c>
      <c r="AB266" s="448">
        <f>IF(Q$15,Q$8*Q266*0.9,Q$8*Q266)</f>
        <v>6.9999999999999996E-10</v>
      </c>
      <c r="AC266" s="448">
        <f>IF(R$15,R$8*R266*0.9,R$8*R266)</f>
        <v>8.0000000000000003E-10</v>
      </c>
      <c r="AD266" s="448">
        <f>IF(S$15,S$8*S266*0.9,S$8*S266)</f>
        <v>8.9999999999999999E-10</v>
      </c>
      <c r="AE266" s="448">
        <f t="shared" si="415"/>
        <v>0</v>
      </c>
      <c r="AF266" s="448" t="b">
        <f t="shared" ref="AF266:AO266" si="444">BD267</f>
        <v>1</v>
      </c>
      <c r="AG266" s="448" t="b">
        <f t="shared" si="444"/>
        <v>0</v>
      </c>
      <c r="AH266" s="448" t="b">
        <f t="shared" si="444"/>
        <v>0</v>
      </c>
      <c r="AI266" s="448">
        <f t="shared" si="444"/>
        <v>0</v>
      </c>
      <c r="AJ266" s="448" t="b">
        <f t="shared" si="444"/>
        <v>1</v>
      </c>
      <c r="AK266" s="448" t="b">
        <f t="shared" si="444"/>
        <v>1</v>
      </c>
      <c r="AL266" s="448" t="b">
        <f t="shared" si="444"/>
        <v>1</v>
      </c>
      <c r="AM266" s="448" t="b">
        <f t="shared" si="444"/>
        <v>1</v>
      </c>
      <c r="AN266" s="448" t="b">
        <f t="shared" si="444"/>
        <v>1</v>
      </c>
      <c r="AO266" s="448">
        <f t="shared" si="444"/>
        <v>0</v>
      </c>
      <c r="AP266" s="454">
        <v>0.1</v>
      </c>
      <c r="AQ266" s="365" t="str">
        <f>'Reference Score Calculation'!M243</f>
        <v>最佳六科必須包括 最佳理科*</v>
      </c>
      <c r="AR266" s="365" t="str">
        <f>'Reference Score Calculation'!N243</f>
        <v>*理科: 生物、化學、物理、組合科學、綜合科學</v>
      </c>
      <c r="AS266" s="365" t="s">
        <v>356</v>
      </c>
      <c r="AT266" s="434" t="s">
        <v>397</v>
      </c>
      <c r="AU266" s="447">
        <f>IF(OR(P$1="化學",P$1="生物"),P$8,0)</f>
        <v>0</v>
      </c>
      <c r="AV266" s="447">
        <f t="shared" ref="AV266:AX266" si="445">IF(OR(Q$1="化學",Q$1="生物"),Q$8,0)</f>
        <v>0</v>
      </c>
      <c r="AW266" s="447">
        <f t="shared" si="445"/>
        <v>0</v>
      </c>
      <c r="AX266" s="447">
        <f t="shared" si="445"/>
        <v>0</v>
      </c>
      <c r="AY266" s="449"/>
      <c r="AZ266" s="449"/>
      <c r="BA266" s="433" t="str">
        <f>INDEX(AU265:AX265,MATCH(LARGE(AU266:AX266,1),AU266:AX266,0))</f>
        <v>請選擇第一選修科</v>
      </c>
      <c r="BB266" s="433">
        <f>LARGE((AU266:AX266),1)</f>
        <v>0</v>
      </c>
      <c r="BC266" s="449"/>
      <c r="BD266" s="447">
        <f>IF(BD265=$BA$266,0,K$8)</f>
        <v>4.0000000000000001E-10</v>
      </c>
      <c r="BE266" s="447">
        <f>IF(BE265=$BA$266,0,L$8)</f>
        <v>2.0000000000000001E-10</v>
      </c>
      <c r="BF266" s="447">
        <f>IF(BF265=$BA$266,0,M$8)</f>
        <v>3E-10</v>
      </c>
      <c r="BG266" s="451"/>
      <c r="BH266" s="447">
        <f>IF(BH265=$BA$266,0,O$8)</f>
        <v>5.0000000000000003E-10</v>
      </c>
      <c r="BI266" s="447">
        <f>IF(BI265=$BA$266,0,P$8)</f>
        <v>0</v>
      </c>
      <c r="BJ266" s="447">
        <f>IF(BJ265=$BA$266,0,Q$8)</f>
        <v>6.9999999999999996E-10</v>
      </c>
      <c r="BK266" s="447">
        <f>IF(BK265=$BA$266,0,R$8)</f>
        <v>8.0000000000000003E-10</v>
      </c>
      <c r="BL266" s="447">
        <f>IF(BL265=$BA$266,0,S$8)</f>
        <v>8.9999999999999999E-10</v>
      </c>
      <c r="BM266" s="449"/>
      <c r="BN266" s="449"/>
      <c r="BO266" s="449"/>
      <c r="BP266" s="449"/>
      <c r="BQ266" s="449"/>
      <c r="BR266" s="449"/>
      <c r="BS266" s="449"/>
      <c r="BT266" s="449"/>
    </row>
    <row r="267" spans="1:72" s="433" customFormat="1">
      <c r="A267" s="433" t="str">
        <f>'Reference Score Calculation'!A244</f>
        <v>JS6066</v>
      </c>
      <c r="B267" s="433" t="str">
        <f>'Reference Score Calculation'!A244</f>
        <v>JS6066</v>
      </c>
      <c r="C267" s="446" t="str">
        <f>'Reference Score Calculation'!D244</f>
        <v>文學士及教育學士(語文教育) - 英文教育 (雙學位課程)</v>
      </c>
      <c r="D267" s="365"/>
      <c r="E267" s="447" t="str">
        <f>'Reference Score Calculation'!E244</f>
        <v>Best 5</v>
      </c>
      <c r="F267" s="461" t="str">
        <f>'Reference Score Calculation'!AB244</f>
        <v>Best 5</v>
      </c>
      <c r="G267" s="365" t="str">
        <f>入學要求!AB253</f>
        <v>v</v>
      </c>
      <c r="H267" s="365" t="str">
        <f>入學要求!AC253</f>
        <v>NO</v>
      </c>
      <c r="I267" s="365" t="str">
        <f>入學要求!AD253</f>
        <v>NO</v>
      </c>
      <c r="J267" s="448">
        <f t="shared" si="417"/>
        <v>3.2999999999999998E-9</v>
      </c>
      <c r="K267" s="448">
        <v>1</v>
      </c>
      <c r="L267" s="448">
        <v>1.5</v>
      </c>
      <c r="M267" s="448">
        <v>1</v>
      </c>
      <c r="N267" s="448">
        <v>1.2</v>
      </c>
      <c r="O267" s="448">
        <v>1</v>
      </c>
      <c r="P267" s="448">
        <v>1</v>
      </c>
      <c r="Q267" s="448">
        <v>1</v>
      </c>
      <c r="R267" s="448">
        <v>1</v>
      </c>
      <c r="S267" s="448">
        <v>1</v>
      </c>
      <c r="T267" s="448">
        <v>1</v>
      </c>
      <c r="U267" s="455"/>
      <c r="V267" s="448">
        <f t="shared" ref="V267:V278" si="446">K$8*K267</f>
        <v>4.0000000000000001E-10</v>
      </c>
      <c r="W267" s="448">
        <f t="shared" ref="W267:W278" si="447">L$8*L267</f>
        <v>3E-10</v>
      </c>
      <c r="X267" s="448">
        <f t="shared" ref="X267:X278" si="448">M$8*M267</f>
        <v>3E-10</v>
      </c>
      <c r="Y267" s="448">
        <f t="shared" ref="Y267:Y278" si="449">N$8*N267</f>
        <v>0</v>
      </c>
      <c r="Z267" s="448">
        <f t="shared" ref="Z267:Z278" si="450">O$8*O267</f>
        <v>5.0000000000000003E-10</v>
      </c>
      <c r="AA267" s="448">
        <f t="shared" ref="AA267:AA278" si="451">P$8*P267</f>
        <v>6E-10</v>
      </c>
      <c r="AB267" s="448">
        <f t="shared" ref="AB267:AB278" si="452">Q$8*Q267</f>
        <v>6.9999999999999996E-10</v>
      </c>
      <c r="AC267" s="448">
        <f t="shared" ref="AC267:AC278" si="453">R$8*R267</f>
        <v>8.0000000000000003E-10</v>
      </c>
      <c r="AD267" s="448">
        <f t="shared" ref="AD267:AD278" si="454">S$8*S267</f>
        <v>8.9999999999999999E-10</v>
      </c>
      <c r="AE267" s="448">
        <f t="shared" si="415"/>
        <v>0</v>
      </c>
      <c r="AF267" s="448" t="b">
        <f>IF(V267&gt;LARGE((($V267,$X267:$AE267)),5),TRUE)</f>
        <v>0</v>
      </c>
      <c r="AG267" s="448" t="b">
        <v>1</v>
      </c>
      <c r="AH267" s="448" t="b">
        <f>IF(X267&gt;LARGE((($V267,$X267:$AE267)),5),TRUE)</f>
        <v>0</v>
      </c>
      <c r="AI267" s="448" t="b">
        <f>IF(Y267&gt;LARGE((($V267,$X267:$AE267)),5),TRUE)</f>
        <v>0</v>
      </c>
      <c r="AJ267" s="448" t="b">
        <f>IF(Z267&gt;LARGE((($V267,$X267:$AE267)),5),TRUE)</f>
        <v>0</v>
      </c>
      <c r="AK267" s="448" t="b">
        <f>IF(AA267&gt;LARGE((($V267,$X267:$AE267)),5),TRUE)</f>
        <v>1</v>
      </c>
      <c r="AL267" s="448" t="b">
        <f>IF(AB267&gt;LARGE((($V267,$X267:$AE267)),5),TRUE)</f>
        <v>1</v>
      </c>
      <c r="AM267" s="448" t="b">
        <f>IF(AC267&gt;LARGE((($V267,$X267:$AE267)),5),TRUE)</f>
        <v>1</v>
      </c>
      <c r="AN267" s="448" t="b">
        <f>IF(AD267&gt;LARGE((($V267,$X267:$AE267)),5),TRUE)</f>
        <v>1</v>
      </c>
      <c r="AO267" s="448" t="b">
        <f>IF(AE267&gt;LARGE((($V267,$X267:$AE267)),5),TRUE)</f>
        <v>0</v>
      </c>
      <c r="AQ267" s="365" t="str">
        <f>'Reference Score Calculation'!M244</f>
        <v>最佳五科必須包括︰英文、通識</v>
      </c>
      <c r="AR267" s="365" t="str">
        <f>'Reference Score Calculation'!N244</f>
        <v>/</v>
      </c>
      <c r="AS267" s="365" t="s">
        <v>356</v>
      </c>
      <c r="AT267" s="434"/>
      <c r="AU267" s="452" t="s">
        <v>3130</v>
      </c>
      <c r="AV267" s="451"/>
      <c r="AW267" s="449"/>
      <c r="AX267" s="449"/>
      <c r="AY267" s="449"/>
      <c r="AZ267" s="449"/>
      <c r="BA267" s="434"/>
      <c r="BB267" s="434"/>
      <c r="BC267" s="451"/>
      <c r="BD267" s="452" t="b">
        <f>IF(BD266&gt;LARGE($BD266:$BL266,6),TRUE,IF(BD265=$BA$266,TRUE,FALSE))</f>
        <v>1</v>
      </c>
      <c r="BE267" s="452" t="b">
        <f>IF(BE266&gt;LARGE($BD266:$BL266,6),TRUE,IF(BE265=$BA$266,TRUE,FALSE))</f>
        <v>0</v>
      </c>
      <c r="BF267" s="452" t="b">
        <f>IF(BF266&gt;LARGE($BD266:$BL266,6),TRUE,IF(BF265=$BA$266,TRUE,FALSE))</f>
        <v>0</v>
      </c>
      <c r="BG267" s="451"/>
      <c r="BH267" s="452" t="b">
        <f>IF(BH266&gt;LARGE($BD266:$BL266,6),TRUE,IF(BH265=$BA$266,TRUE,FALSE))</f>
        <v>1</v>
      </c>
      <c r="BI267" s="452" t="b">
        <f>IF(BI266&gt;LARGE($BD266:$BL266,6),TRUE,IF(BI265=$BA$266,TRUE,FALSE))</f>
        <v>1</v>
      </c>
      <c r="BJ267" s="452" t="b">
        <f>IF(BJ266&gt;LARGE($BD266:$BL266,6),TRUE,IF(BJ265=$BA$266,TRUE,FALSE))</f>
        <v>1</v>
      </c>
      <c r="BK267" s="452" t="b">
        <f>IF(BK266&gt;LARGE($BD266:$BL266,6),TRUE,IF(BK265=$BA$266,TRUE,FALSE))</f>
        <v>1</v>
      </c>
      <c r="BL267" s="452" t="b">
        <f>IF(BL266&gt;LARGE($BD266:$BL266,6),TRUE,IF(BL265=$BA$266,TRUE,FALSE))</f>
        <v>1</v>
      </c>
      <c r="BM267" s="434"/>
      <c r="BN267" s="434"/>
      <c r="BO267" s="434"/>
      <c r="BP267" s="434"/>
      <c r="BQ267" s="434"/>
      <c r="BR267" s="434"/>
      <c r="BS267" s="449"/>
      <c r="BT267" s="449"/>
    </row>
    <row r="268" spans="1:72" s="433" customFormat="1">
      <c r="A268" s="433" t="str">
        <f>'Reference Score Calculation'!A245</f>
        <v>JS6080</v>
      </c>
      <c r="B268" s="433" t="str">
        <f>'Reference Score Calculation'!A245</f>
        <v>JS6080</v>
      </c>
      <c r="C268" s="446" t="str">
        <f>'Reference Score Calculation'!D245</f>
        <v>文學士及教育學士(語文教育) - 中文教育 (雙學位課程)</v>
      </c>
      <c r="D268" s="365"/>
      <c r="E268" s="447" t="str">
        <f>'Reference Score Calculation'!E245</f>
        <v>Best 5</v>
      </c>
      <c r="F268" s="461" t="str">
        <f>'Reference Score Calculation'!AB245</f>
        <v>Best 5</v>
      </c>
      <c r="G268" s="365" t="str">
        <f>入學要求!AB254</f>
        <v>v</v>
      </c>
      <c r="H268" s="365" t="str">
        <f>入學要求!AC254</f>
        <v>NO</v>
      </c>
      <c r="I268" s="365" t="str">
        <f>入學要求!AD254</f>
        <v>NO</v>
      </c>
      <c r="J268" s="448">
        <f t="shared" si="417"/>
        <v>3.6E-9</v>
      </c>
      <c r="K268" s="448">
        <v>1.5</v>
      </c>
      <c r="L268" s="448">
        <v>1</v>
      </c>
      <c r="M268" s="448">
        <v>1</v>
      </c>
      <c r="N268" s="448">
        <v>1.2</v>
      </c>
      <c r="O268" s="448">
        <v>1</v>
      </c>
      <c r="P268" s="448">
        <v>1</v>
      </c>
      <c r="Q268" s="448">
        <v>1</v>
      </c>
      <c r="R268" s="448">
        <v>1</v>
      </c>
      <c r="S268" s="448">
        <v>1</v>
      </c>
      <c r="T268" s="448">
        <v>1</v>
      </c>
      <c r="U268" s="455"/>
      <c r="V268" s="448">
        <f t="shared" si="446"/>
        <v>6E-10</v>
      </c>
      <c r="W268" s="448">
        <f t="shared" si="447"/>
        <v>2.0000000000000001E-10</v>
      </c>
      <c r="X268" s="448">
        <f t="shared" si="448"/>
        <v>3E-10</v>
      </c>
      <c r="Y268" s="448">
        <f t="shared" si="449"/>
        <v>0</v>
      </c>
      <c r="Z268" s="448">
        <f t="shared" si="450"/>
        <v>5.0000000000000003E-10</v>
      </c>
      <c r="AA268" s="448">
        <f t="shared" si="451"/>
        <v>6E-10</v>
      </c>
      <c r="AB268" s="448">
        <f t="shared" si="452"/>
        <v>6.9999999999999996E-10</v>
      </c>
      <c r="AC268" s="448">
        <f t="shared" si="453"/>
        <v>8.0000000000000003E-10</v>
      </c>
      <c r="AD268" s="448">
        <f t="shared" si="454"/>
        <v>8.9999999999999999E-10</v>
      </c>
      <c r="AE268" s="448">
        <f t="shared" si="415"/>
        <v>0</v>
      </c>
      <c r="AF268" s="448" t="b">
        <v>1</v>
      </c>
      <c r="AG268" s="448" t="b">
        <f t="shared" ref="AG268:AO268" si="455">IF(W268&gt;LARGE((($W268:$AE268)),5),TRUE)</f>
        <v>0</v>
      </c>
      <c r="AH268" s="448" t="b">
        <f t="shared" si="455"/>
        <v>0</v>
      </c>
      <c r="AI268" s="448" t="b">
        <f t="shared" si="455"/>
        <v>0</v>
      </c>
      <c r="AJ268" s="448" t="b">
        <f t="shared" si="455"/>
        <v>0</v>
      </c>
      <c r="AK268" s="448" t="b">
        <f t="shared" si="455"/>
        <v>1</v>
      </c>
      <c r="AL268" s="448" t="b">
        <f t="shared" si="455"/>
        <v>1</v>
      </c>
      <c r="AM268" s="448" t="b">
        <f t="shared" si="455"/>
        <v>1</v>
      </c>
      <c r="AN268" s="448" t="b">
        <f t="shared" si="455"/>
        <v>1</v>
      </c>
      <c r="AO268" s="448" t="b">
        <f t="shared" si="455"/>
        <v>0</v>
      </c>
      <c r="AQ268" s="365" t="str">
        <f>'Reference Score Calculation'!M245</f>
        <v>最佳五科必須包括︰中文、通識</v>
      </c>
      <c r="AR268" s="365" t="str">
        <f>'Reference Score Calculation'!N245</f>
        <v>/</v>
      </c>
      <c r="AS268" s="365" t="s">
        <v>356</v>
      </c>
      <c r="AT268" s="434"/>
      <c r="AU268" s="452"/>
      <c r="AV268" s="451"/>
      <c r="AW268" s="449"/>
      <c r="AX268" s="449"/>
      <c r="AY268" s="449"/>
      <c r="AZ268" s="449"/>
      <c r="BA268" s="434"/>
      <c r="BB268" s="434"/>
      <c r="BC268" s="451"/>
      <c r="BD268" s="434"/>
      <c r="BE268" s="434"/>
      <c r="BF268" s="434"/>
      <c r="BG268" s="434"/>
      <c r="BH268" s="434"/>
      <c r="BI268" s="434"/>
      <c r="BJ268" s="434"/>
      <c r="BK268" s="434"/>
      <c r="BL268" s="434"/>
      <c r="BM268" s="434"/>
      <c r="BN268" s="434"/>
      <c r="BO268" s="434"/>
      <c r="BP268" s="434"/>
      <c r="BQ268" s="434"/>
      <c r="BR268" s="434"/>
      <c r="BS268" s="449"/>
      <c r="BT268" s="449"/>
    </row>
    <row r="269" spans="1:72" s="433" customFormat="1">
      <c r="A269" s="433" t="str">
        <f>'Reference Score Calculation'!A246</f>
        <v>JS6092</v>
      </c>
      <c r="B269" s="433" t="str">
        <f>'Reference Score Calculation'!A246</f>
        <v>JS6092</v>
      </c>
      <c r="C269" s="446" t="str">
        <f>'Reference Score Calculation'!D246</f>
        <v>教育學士(幼兒教育及特殊教育)</v>
      </c>
      <c r="D269" s="365"/>
      <c r="E269" s="447" t="str">
        <f>'Reference Score Calculation'!E246</f>
        <v>Best 5</v>
      </c>
      <c r="F269" s="461" t="str">
        <f>'Reference Score Calculation'!AB246</f>
        <v>Best 5</v>
      </c>
      <c r="G269" s="365" t="str">
        <f>入學要求!AB255</f>
        <v>v</v>
      </c>
      <c r="H269" s="365" t="str">
        <f>入學要求!AC255</f>
        <v>NO</v>
      </c>
      <c r="I269" s="365" t="str">
        <f>入學要求!AD255</f>
        <v>NO</v>
      </c>
      <c r="J269" s="448">
        <f t="shared" si="417"/>
        <v>3.1800000000000002E-9</v>
      </c>
      <c r="K269" s="448">
        <v>1.2</v>
      </c>
      <c r="L269" s="448">
        <v>1.5</v>
      </c>
      <c r="M269" s="448">
        <v>1</v>
      </c>
      <c r="N269" s="448">
        <v>0</v>
      </c>
      <c r="O269" s="448">
        <v>1</v>
      </c>
      <c r="P269" s="448">
        <v>1</v>
      </c>
      <c r="Q269" s="448">
        <v>1</v>
      </c>
      <c r="R269" s="448">
        <v>1</v>
      </c>
      <c r="S269" s="448">
        <v>1</v>
      </c>
      <c r="T269" s="448">
        <v>1</v>
      </c>
      <c r="U269" s="455"/>
      <c r="V269" s="448">
        <f t="shared" si="446"/>
        <v>4.8E-10</v>
      </c>
      <c r="W269" s="448">
        <f t="shared" si="447"/>
        <v>3E-10</v>
      </c>
      <c r="X269" s="448">
        <f t="shared" si="448"/>
        <v>3E-10</v>
      </c>
      <c r="Y269" s="448">
        <f t="shared" si="449"/>
        <v>0</v>
      </c>
      <c r="Z269" s="448">
        <f t="shared" si="450"/>
        <v>5.0000000000000003E-10</v>
      </c>
      <c r="AA269" s="448">
        <f t="shared" si="451"/>
        <v>6E-10</v>
      </c>
      <c r="AB269" s="448">
        <f t="shared" si="452"/>
        <v>6.9999999999999996E-10</v>
      </c>
      <c r="AC269" s="448">
        <f t="shared" si="453"/>
        <v>8.0000000000000003E-10</v>
      </c>
      <c r="AD269" s="448">
        <f t="shared" si="454"/>
        <v>8.9999999999999999E-10</v>
      </c>
      <c r="AE269" s="448">
        <f t="shared" si="415"/>
        <v>0</v>
      </c>
      <c r="AF269" s="448" t="b">
        <v>1</v>
      </c>
      <c r="AG269" s="448" t="b">
        <v>1</v>
      </c>
      <c r="AH269" s="448" t="b">
        <f t="shared" ref="AH269:AO269" si="456">IF(X269&gt;LARGE((($X269:$AE269)),4),TRUE)</f>
        <v>0</v>
      </c>
      <c r="AI269" s="448" t="b">
        <f t="shared" si="456"/>
        <v>0</v>
      </c>
      <c r="AJ269" s="448" t="b">
        <f t="shared" si="456"/>
        <v>0</v>
      </c>
      <c r="AK269" s="448" t="b">
        <f t="shared" si="456"/>
        <v>0</v>
      </c>
      <c r="AL269" s="448" t="b">
        <f t="shared" si="456"/>
        <v>1</v>
      </c>
      <c r="AM269" s="448" t="b">
        <f t="shared" si="456"/>
        <v>1</v>
      </c>
      <c r="AN269" s="448" t="b">
        <f t="shared" si="456"/>
        <v>1</v>
      </c>
      <c r="AO269" s="448" t="b">
        <f t="shared" si="456"/>
        <v>0</v>
      </c>
      <c r="AQ269" s="365" t="str">
        <f>'Reference Score Calculation'!M246</f>
        <v>最佳五科必須包括︰中文、英文</v>
      </c>
      <c r="AR269" s="365" t="str">
        <f>'Reference Score Calculation'!N246</f>
        <v>/</v>
      </c>
      <c r="AS269" s="365" t="s">
        <v>356</v>
      </c>
      <c r="AT269" s="434"/>
      <c r="AU269" s="452"/>
      <c r="AV269" s="451"/>
      <c r="AW269" s="449"/>
      <c r="AX269" s="449"/>
      <c r="AY269" s="449"/>
      <c r="AZ269" s="449"/>
      <c r="BA269" s="434"/>
      <c r="BB269" s="434"/>
      <c r="BC269" s="451"/>
      <c r="BD269" s="450" t="str">
        <f t="shared" ref="BD269:BM269" si="457">K$1</f>
        <v>中國語文</v>
      </c>
      <c r="BE269" s="450" t="str">
        <f t="shared" si="457"/>
        <v>英國語文</v>
      </c>
      <c r="BF269" s="450" t="str">
        <f t="shared" si="457"/>
        <v>數學</v>
      </c>
      <c r="BG269" s="434"/>
      <c r="BH269" s="450" t="str">
        <f t="shared" si="457"/>
        <v>數學延伸</v>
      </c>
      <c r="BI269" s="450" t="str">
        <f t="shared" si="457"/>
        <v>請選擇第一選修科</v>
      </c>
      <c r="BJ269" s="450" t="str">
        <f t="shared" si="457"/>
        <v>請選擇第二選修科</v>
      </c>
      <c r="BK269" s="450" t="str">
        <f t="shared" si="457"/>
        <v>請選擇第三選修科</v>
      </c>
      <c r="BL269" s="450" t="str">
        <f t="shared" si="457"/>
        <v>請選擇第四選修科</v>
      </c>
      <c r="BM269" s="450" t="str">
        <f t="shared" si="457"/>
        <v>請選擇語言科目</v>
      </c>
      <c r="BN269" s="434"/>
      <c r="BO269" s="434"/>
      <c r="BP269" s="434"/>
      <c r="BQ269" s="434"/>
      <c r="BR269" s="434"/>
      <c r="BS269" s="449"/>
      <c r="BT269" s="449"/>
    </row>
    <row r="270" spans="1:72" s="433" customFormat="1">
      <c r="A270" s="433" t="str">
        <f>'Reference Score Calculation'!A247</f>
        <v>JS6119</v>
      </c>
      <c r="B270" s="433" t="str">
        <f>'Reference Score Calculation'!A247</f>
        <v>JS6119</v>
      </c>
      <c r="C270" s="446" t="str">
        <f>'Reference Score Calculation'!D247</f>
        <v>教育學士及理學士 (雙學位課程)</v>
      </c>
      <c r="D270" s="365"/>
      <c r="E270" s="447" t="str">
        <f>'Reference Score Calculation'!E247</f>
        <v>Best 5</v>
      </c>
      <c r="F270" s="461" t="str">
        <f>'Reference Score Calculation'!AB247</f>
        <v>Best 5</v>
      </c>
      <c r="G270" s="365" t="str">
        <f>入學要求!AB256</f>
        <v>v</v>
      </c>
      <c r="H270" s="365" t="str">
        <f>入學要求!AC256</f>
        <v>NO</v>
      </c>
      <c r="I270" s="365" t="str">
        <f>入學要求!AD256</f>
        <v>NO</v>
      </c>
      <c r="J270" s="448">
        <f t="shared" si="417"/>
        <v>2.1500000000000002E-9</v>
      </c>
      <c r="K270" s="448">
        <v>1</v>
      </c>
      <c r="L270" s="448">
        <v>1</v>
      </c>
      <c r="M270" s="448">
        <v>1.5</v>
      </c>
      <c r="N270" s="448">
        <v>0</v>
      </c>
      <c r="O270" s="448">
        <v>1.5</v>
      </c>
      <c r="P270" s="448">
        <f>IF(OR(P$1="化學",P$1="生物",P$1="組合科學(物理、化學)",P$1="組合科學(生物、化學)",P$1="組合科學(物理、生物)",P$1="物理",P$1="綜合科學"),1.5,1)</f>
        <v>1</v>
      </c>
      <c r="Q270" s="448">
        <f t="shared" ref="Q270:S270" si="458">IF(OR(Q$1="化學",Q$1="生物",Q$1="組合科學(物理、化學)",Q$1="組合科學(生物、化學)",Q$1="組合科學(物理、生物)",Q$1="物理",Q$1="綜合科學"),1.5,1)</f>
        <v>1</v>
      </c>
      <c r="R270" s="448">
        <f t="shared" si="458"/>
        <v>1</v>
      </c>
      <c r="S270" s="448">
        <f t="shared" si="458"/>
        <v>1</v>
      </c>
      <c r="T270" s="448">
        <v>1</v>
      </c>
      <c r="U270" s="455"/>
      <c r="V270" s="448">
        <f t="shared" si="446"/>
        <v>4.0000000000000001E-10</v>
      </c>
      <c r="W270" s="448">
        <f t="shared" si="447"/>
        <v>2.0000000000000001E-10</v>
      </c>
      <c r="X270" s="448">
        <f t="shared" si="448"/>
        <v>4.5E-10</v>
      </c>
      <c r="Y270" s="448">
        <f t="shared" si="449"/>
        <v>0</v>
      </c>
      <c r="Z270" s="448">
        <f t="shared" si="450"/>
        <v>7.500000000000001E-10</v>
      </c>
      <c r="AA270" s="448">
        <f t="shared" si="451"/>
        <v>6E-10</v>
      </c>
      <c r="AB270" s="448">
        <f t="shared" si="452"/>
        <v>6.9999999999999996E-10</v>
      </c>
      <c r="AC270" s="448">
        <f t="shared" si="453"/>
        <v>8.0000000000000003E-10</v>
      </c>
      <c r="AD270" s="448">
        <f t="shared" si="454"/>
        <v>8.9999999999999999E-10</v>
      </c>
      <c r="AE270" s="448">
        <f t="shared" si="415"/>
        <v>0</v>
      </c>
      <c r="AF270" s="448" t="b">
        <f t="shared" ref="AF270:AO270" si="459">BD271</f>
        <v>0</v>
      </c>
      <c r="AG270" s="448" t="b">
        <f t="shared" si="459"/>
        <v>1</v>
      </c>
      <c r="AH270" s="448" t="b">
        <f t="shared" si="459"/>
        <v>1</v>
      </c>
      <c r="AI270" s="448">
        <f t="shared" si="459"/>
        <v>0</v>
      </c>
      <c r="AJ270" s="448" t="b">
        <f t="shared" si="459"/>
        <v>0</v>
      </c>
      <c r="AK270" s="448" t="b">
        <f t="shared" si="459"/>
        <v>1</v>
      </c>
      <c r="AL270" s="448" t="b">
        <f t="shared" si="459"/>
        <v>0</v>
      </c>
      <c r="AM270" s="448" t="b">
        <f t="shared" si="459"/>
        <v>0</v>
      </c>
      <c r="AN270" s="448" t="b">
        <f t="shared" si="459"/>
        <v>1</v>
      </c>
      <c r="AO270" s="448" t="b">
        <f t="shared" si="459"/>
        <v>0</v>
      </c>
      <c r="AQ270" s="365" t="str">
        <f>'Reference Score Calculation'!M247</f>
        <v>最佳五科必須包括︰英文、數學、最佳理科*</v>
      </c>
      <c r="AR270" s="365" t="str">
        <f>'Reference Score Calculation'!N247</f>
        <v>*理科: 生物、化學、物理、組合科學、綜合科學</v>
      </c>
      <c r="AS270" s="365" t="s">
        <v>356</v>
      </c>
      <c r="AT270" s="434" t="s">
        <v>399</v>
      </c>
      <c r="AU270" s="452" t="s">
        <v>400</v>
      </c>
      <c r="AV270" s="451"/>
      <c r="AW270" s="449"/>
      <c r="AX270" s="449"/>
      <c r="AY270" s="449"/>
      <c r="AZ270" s="449"/>
      <c r="BA270" s="434"/>
      <c r="BB270" s="434"/>
      <c r="BC270" s="451"/>
      <c r="BD270" s="447">
        <f>IF(BD269=$BA$266,0,K$8)</f>
        <v>4.0000000000000001E-10</v>
      </c>
      <c r="BE270" s="447">
        <v>0</v>
      </c>
      <c r="BF270" s="447">
        <v>0</v>
      </c>
      <c r="BG270" s="434"/>
      <c r="BH270" s="447">
        <f>IF(BH269=$BA$266,0,O$8*2)</f>
        <v>1.0000000000000001E-9</v>
      </c>
      <c r="BI270" s="447">
        <f>IF(BI269=$BA$266,0,IF(OR(P$1="化學",P$1="生物",P$1="組合科學(物理、化學)",P$1="組合科學(生物、化學)",P$1="組合科學(物理、生物)",P$1="物理",P$1="綜合科學"),P$8*2,P$8*1.25))</f>
        <v>0</v>
      </c>
      <c r="BJ270" s="447">
        <f>IF(BJ269=$BA$266,0,IF(OR(Q$1="化學",Q$1="生物",Q$1="組合科學(物理、化學)",Q$1="組合科學(生物、化學)",Q$1="組合科學(物理、生物)",Q$1="物理",Q$1="綜合科學"),Q$8*2,Q$8*1.25))</f>
        <v>8.7499999999999998E-10</v>
      </c>
      <c r="BK270" s="447">
        <f>IF(BK269=$BA$266,0,IF(OR(R$1="化學",R$1="生物",R$1="組合科學(物理、化學)",R$1="組合科學(生物、化學)",R$1="組合科學(物理、生物)",R$1="物理",R$1="綜合科學"),R$8*2,R$8*1.25))</f>
        <v>1.0000000000000001E-9</v>
      </c>
      <c r="BL270" s="447">
        <f>IF(BL269=$BA$266,0,IF(OR(S$1="化學",S$1="生物",S$1="組合科學(物理、化學)",S$1="組合科學(生物、化學)",S$1="組合科學(物理、生物)",S$1="物理",S$1="綜合科學"),S$8*2,S$8*1.25))</f>
        <v>1.1249999999999999E-9</v>
      </c>
      <c r="BM270" s="447">
        <f>IF(BM269=$BA$266,0,T$8)</f>
        <v>9.5000000000000003E-10</v>
      </c>
      <c r="BN270" s="449"/>
      <c r="BO270" s="449"/>
      <c r="BP270" s="449"/>
      <c r="BQ270" s="449"/>
      <c r="BR270" s="449"/>
      <c r="BS270" s="449"/>
      <c r="BT270" s="449"/>
    </row>
    <row r="271" spans="1:72" s="433" customFormat="1">
      <c r="A271" s="433" t="str">
        <f>'Reference Score Calculation'!A248</f>
        <v>JS6157</v>
      </c>
      <c r="B271" s="433" t="str">
        <f>'Reference Score Calculation'!A248</f>
        <v>JS6157</v>
      </c>
      <c r="C271" s="446" t="str">
        <f>'Reference Score Calculation'!D248</f>
        <v>理學士(言語及聽覺科學)</v>
      </c>
      <c r="D271" s="365"/>
      <c r="E271" s="447" t="str">
        <f>'Reference Score Calculation'!E248</f>
        <v>Best 6</v>
      </c>
      <c r="F271" s="461" t="str">
        <f>'Reference Score Calculation'!AB248</f>
        <v>Best 5</v>
      </c>
      <c r="G271" s="365" t="str">
        <f>入學要求!AB257</f>
        <v>v</v>
      </c>
      <c r="H271" s="365" t="str">
        <f>入學要求!AC257</f>
        <v>NO</v>
      </c>
      <c r="I271" s="365" t="str">
        <f>入學要求!AD257</f>
        <v>NO</v>
      </c>
      <c r="J271" s="448">
        <f t="shared" si="417"/>
        <v>3.9000000000000002E-9</v>
      </c>
      <c r="K271" s="448">
        <v>1</v>
      </c>
      <c r="L271" s="448">
        <v>1</v>
      </c>
      <c r="M271" s="448">
        <v>1</v>
      </c>
      <c r="N271" s="448">
        <v>0</v>
      </c>
      <c r="O271" s="448">
        <v>1</v>
      </c>
      <c r="P271" s="448">
        <v>1</v>
      </c>
      <c r="Q271" s="448">
        <v>1</v>
      </c>
      <c r="R271" s="448">
        <v>1</v>
      </c>
      <c r="S271" s="448">
        <v>1</v>
      </c>
      <c r="T271" s="448">
        <v>1</v>
      </c>
      <c r="U271" s="455"/>
      <c r="V271" s="448">
        <f t="shared" si="446"/>
        <v>4.0000000000000001E-10</v>
      </c>
      <c r="W271" s="448">
        <f t="shared" si="447"/>
        <v>2.0000000000000001E-10</v>
      </c>
      <c r="X271" s="448">
        <f t="shared" si="448"/>
        <v>3E-10</v>
      </c>
      <c r="Y271" s="448">
        <f t="shared" si="449"/>
        <v>0</v>
      </c>
      <c r="Z271" s="448">
        <f t="shared" si="450"/>
        <v>5.0000000000000003E-10</v>
      </c>
      <c r="AA271" s="448">
        <f t="shared" si="451"/>
        <v>6E-10</v>
      </c>
      <c r="AB271" s="448">
        <f t="shared" si="452"/>
        <v>6.9999999999999996E-10</v>
      </c>
      <c r="AC271" s="448">
        <f t="shared" si="453"/>
        <v>8.0000000000000003E-10</v>
      </c>
      <c r="AD271" s="448">
        <f t="shared" si="454"/>
        <v>8.9999999999999999E-10</v>
      </c>
      <c r="AE271" s="448">
        <f t="shared" si="415"/>
        <v>0</v>
      </c>
      <c r="AF271" s="448" t="b">
        <f t="shared" ref="AF271:AO271" si="460">IF(V271&gt;LARGE(($V271:$AE271),7),TRUE)</f>
        <v>1</v>
      </c>
      <c r="AG271" s="448" t="b">
        <f t="shared" si="460"/>
        <v>0</v>
      </c>
      <c r="AH271" s="448" t="b">
        <f t="shared" si="460"/>
        <v>0</v>
      </c>
      <c r="AI271" s="448" t="b">
        <f t="shared" si="460"/>
        <v>0</v>
      </c>
      <c r="AJ271" s="448" t="b">
        <f t="shared" si="460"/>
        <v>1</v>
      </c>
      <c r="AK271" s="448" t="b">
        <f t="shared" si="460"/>
        <v>1</v>
      </c>
      <c r="AL271" s="448" t="b">
        <f t="shared" si="460"/>
        <v>1</v>
      </c>
      <c r="AM271" s="448" t="b">
        <f t="shared" si="460"/>
        <v>1</v>
      </c>
      <c r="AN271" s="448" t="b">
        <f t="shared" si="460"/>
        <v>1</v>
      </c>
      <c r="AO271" s="448" t="b">
        <f t="shared" si="460"/>
        <v>0</v>
      </c>
      <c r="AQ271" s="365" t="str">
        <f>'Reference Score Calculation'!M248</f>
        <v>/</v>
      </c>
      <c r="AR271" s="365" t="str">
        <f>'Reference Score Calculation'!N248</f>
        <v>/</v>
      </c>
      <c r="AS271" s="365" t="s">
        <v>356</v>
      </c>
      <c r="AT271" s="434"/>
      <c r="AU271" s="452"/>
      <c r="AV271" s="451"/>
      <c r="AW271" s="449"/>
      <c r="AX271" s="449"/>
      <c r="AY271" s="449"/>
      <c r="AZ271" s="449"/>
      <c r="BA271" s="434"/>
      <c r="BB271" s="434"/>
      <c r="BC271" s="451"/>
      <c r="BD271" s="452" t="b">
        <f>IF(BD270&gt;LARGE($BD270:$BM270,3),TRUE,IF(BD269=$BA$266,TRUE,FALSE))</f>
        <v>0</v>
      </c>
      <c r="BE271" s="452" t="b">
        <v>1</v>
      </c>
      <c r="BF271" s="452" t="b">
        <v>1</v>
      </c>
      <c r="BG271" s="434"/>
      <c r="BH271" s="452" t="b">
        <f t="shared" ref="BH271:BM271" si="461">IF(BH270&gt;LARGE($BD270:$BM270,3),TRUE,IF(BH269=$BA$266,TRUE,FALSE))</f>
        <v>0</v>
      </c>
      <c r="BI271" s="452" t="b">
        <f t="shared" si="461"/>
        <v>1</v>
      </c>
      <c r="BJ271" s="452" t="b">
        <f t="shared" si="461"/>
        <v>0</v>
      </c>
      <c r="BK271" s="452" t="b">
        <f t="shared" si="461"/>
        <v>0</v>
      </c>
      <c r="BL271" s="452" t="b">
        <f t="shared" si="461"/>
        <v>1</v>
      </c>
      <c r="BM271" s="452" t="b">
        <f t="shared" si="461"/>
        <v>0</v>
      </c>
      <c r="BN271" s="449"/>
      <c r="BO271" s="449"/>
      <c r="BP271" s="449"/>
      <c r="BQ271" s="449"/>
      <c r="BR271" s="449"/>
      <c r="BS271" s="449"/>
      <c r="BT271" s="449"/>
    </row>
    <row r="272" spans="1:72" s="433" customFormat="1">
      <c r="A272" s="433" t="str">
        <f>'Reference Score Calculation'!A249</f>
        <v>JS6262</v>
      </c>
      <c r="B272" s="433" t="str">
        <f>'Reference Score Calculation'!A249</f>
        <v>JS6262</v>
      </c>
      <c r="C272" s="446" t="str">
        <f>'Reference Score Calculation'!D249</f>
        <v>工學學士(數據科學及工程)</v>
      </c>
      <c r="D272" s="365"/>
      <c r="E272" s="447" t="str">
        <f>'Reference Score Calculation'!E249</f>
        <v>Best 5</v>
      </c>
      <c r="F272" s="461" t="str">
        <f>'Reference Score Calculation'!AB249</f>
        <v>Best 5</v>
      </c>
      <c r="G272" s="365" t="str">
        <f>入學要求!AB258</f>
        <v>v</v>
      </c>
      <c r="H272" s="365" t="str">
        <f>入學要求!AC258</f>
        <v>E</v>
      </c>
      <c r="I272" s="365" t="str">
        <f>入學要求!AD258</f>
        <v>NO</v>
      </c>
      <c r="J272" s="448">
        <f t="shared" si="417"/>
        <v>3.1500000000000001E-9</v>
      </c>
      <c r="K272" s="448">
        <v>1</v>
      </c>
      <c r="L272" s="448">
        <v>1</v>
      </c>
      <c r="M272" s="448">
        <v>1</v>
      </c>
      <c r="N272" s="448">
        <v>0</v>
      </c>
      <c r="O272" s="448">
        <v>1</v>
      </c>
      <c r="P272" s="448">
        <v>1</v>
      </c>
      <c r="Q272" s="448">
        <v>1</v>
      </c>
      <c r="R272" s="448">
        <v>1</v>
      </c>
      <c r="S272" s="448">
        <v>1</v>
      </c>
      <c r="T272" s="448">
        <v>1</v>
      </c>
      <c r="U272" s="455"/>
      <c r="V272" s="448">
        <f t="shared" si="446"/>
        <v>4.0000000000000001E-10</v>
      </c>
      <c r="W272" s="448">
        <f t="shared" si="447"/>
        <v>2.0000000000000001E-10</v>
      </c>
      <c r="X272" s="448">
        <f t="shared" si="448"/>
        <v>3E-10</v>
      </c>
      <c r="Y272" s="448">
        <f t="shared" si="449"/>
        <v>0</v>
      </c>
      <c r="Z272" s="448">
        <f t="shared" si="450"/>
        <v>5.0000000000000003E-10</v>
      </c>
      <c r="AA272" s="448">
        <f t="shared" si="451"/>
        <v>6E-10</v>
      </c>
      <c r="AB272" s="448">
        <f t="shared" si="452"/>
        <v>6.9999999999999996E-10</v>
      </c>
      <c r="AC272" s="448">
        <f t="shared" si="453"/>
        <v>8.0000000000000003E-10</v>
      </c>
      <c r="AD272" s="448">
        <f t="shared" si="454"/>
        <v>8.9999999999999999E-10</v>
      </c>
      <c r="AE272" s="448">
        <f>IF($H272="E",$T$8*T272,0)</f>
        <v>9.5000000000000003E-10</v>
      </c>
      <c r="AF272" s="448" t="b">
        <f>IF(V272&gt;LARGE((($V272,$Y272:$AE272)),4),TRUE)</f>
        <v>0</v>
      </c>
      <c r="AG272" s="448" t="b">
        <v>1</v>
      </c>
      <c r="AH272" s="448" t="b">
        <v>1</v>
      </c>
      <c r="AI272" s="448" t="b">
        <f>IF(Y272&gt;LARGE((($V272,$Y272:$AE272)),4),TRUE)</f>
        <v>0</v>
      </c>
      <c r="AJ272" s="448" t="b">
        <f>IF(Z272&gt;LARGE((($V272,$Y272:$AE272)),4),TRUE)</f>
        <v>0</v>
      </c>
      <c r="AK272" s="448" t="b">
        <f>IF(AA272&gt;LARGE((($V272,$Y272:$AE272)),4),TRUE)</f>
        <v>0</v>
      </c>
      <c r="AL272" s="448" t="b">
        <f>IF(AB272&gt;LARGE((($V272,$Y272:$AE272)),4),TRUE)</f>
        <v>0</v>
      </c>
      <c r="AM272" s="448" t="b">
        <f>IF(AC272&gt;LARGE((($V272,$Y272:$AE272)),4),TRUE)</f>
        <v>1</v>
      </c>
      <c r="AN272" s="448" t="b">
        <f>IF(AD272&gt;LARGE((($V272,$Y272:$AE272)),4),TRUE)</f>
        <v>1</v>
      </c>
      <c r="AO272" s="448" t="b">
        <f>IF(AE272&gt;LARGE((($V272,$Y272:$AE272)),4),TRUE)</f>
        <v>1</v>
      </c>
      <c r="AQ272" s="365" t="str">
        <f>'Reference Score Calculation'!M249</f>
        <v>最佳五科必須包括︰英文、數學</v>
      </c>
      <c r="AR272" s="365" t="str">
        <f>'Reference Score Calculation'!N249</f>
        <v>可包含 M1/2 或丙類科目於計算內</v>
      </c>
      <c r="AS272" s="365" t="s">
        <v>356</v>
      </c>
      <c r="AT272" s="434"/>
      <c r="AU272" s="452"/>
      <c r="AV272" s="451"/>
      <c r="AW272" s="449"/>
      <c r="AX272" s="449"/>
      <c r="AY272" s="449"/>
      <c r="AZ272" s="449"/>
      <c r="BA272" s="434"/>
      <c r="BB272" s="434"/>
      <c r="BC272" s="451"/>
      <c r="BD272" s="434"/>
      <c r="BE272" s="434"/>
      <c r="BF272" s="452"/>
      <c r="BG272" s="451"/>
      <c r="BH272" s="449"/>
      <c r="BI272" s="449"/>
      <c r="BJ272" s="449"/>
      <c r="BK272" s="449"/>
      <c r="BL272" s="449"/>
      <c r="BM272" s="449"/>
      <c r="BN272" s="449"/>
      <c r="BO272" s="449"/>
      <c r="BP272" s="449"/>
      <c r="BQ272" s="449"/>
      <c r="BR272" s="449"/>
      <c r="BS272" s="449"/>
      <c r="BT272" s="449"/>
    </row>
    <row r="273" spans="1:72" s="433" customFormat="1">
      <c r="A273" s="433" t="str">
        <f>'Reference Score Calculation'!A250</f>
        <v>JS6925</v>
      </c>
      <c r="B273" s="433" t="str">
        <f>'Reference Score Calculation'!A250</f>
        <v>JS6925</v>
      </c>
      <c r="C273" s="446" t="str">
        <f>'Reference Score Calculation'!D250</f>
        <v>工學學士(生物醫學工程)</v>
      </c>
      <c r="D273" s="365"/>
      <c r="E273" s="447" t="str">
        <f>'Reference Score Calculation'!E250</f>
        <v>Best 5</v>
      </c>
      <c r="F273" s="461" t="str">
        <f>'Reference Score Calculation'!AB250</f>
        <v>Best 5</v>
      </c>
      <c r="G273" s="365" t="str">
        <f>入學要求!AB259</f>
        <v>v</v>
      </c>
      <c r="H273" s="365" t="str">
        <f>入學要求!AC259</f>
        <v>E</v>
      </c>
      <c r="I273" s="365" t="str">
        <f>入學要求!AD259</f>
        <v>NO</v>
      </c>
      <c r="J273" s="448">
        <f t="shared" si="417"/>
        <v>3.1500000000000001E-9</v>
      </c>
      <c r="K273" s="448">
        <v>1</v>
      </c>
      <c r="L273" s="448">
        <v>1</v>
      </c>
      <c r="M273" s="448">
        <v>1</v>
      </c>
      <c r="N273" s="448">
        <v>0</v>
      </c>
      <c r="O273" s="448">
        <v>1</v>
      </c>
      <c r="P273" s="448">
        <v>1</v>
      </c>
      <c r="Q273" s="448">
        <v>1</v>
      </c>
      <c r="R273" s="448">
        <v>1</v>
      </c>
      <c r="S273" s="448">
        <v>1</v>
      </c>
      <c r="T273" s="448">
        <v>1</v>
      </c>
      <c r="U273" s="455"/>
      <c r="V273" s="448">
        <f t="shared" si="446"/>
        <v>4.0000000000000001E-10</v>
      </c>
      <c r="W273" s="448">
        <f t="shared" si="447"/>
        <v>2.0000000000000001E-10</v>
      </c>
      <c r="X273" s="448">
        <f t="shared" si="448"/>
        <v>3E-10</v>
      </c>
      <c r="Y273" s="448">
        <f t="shared" si="449"/>
        <v>0</v>
      </c>
      <c r="Z273" s="448">
        <f t="shared" si="450"/>
        <v>5.0000000000000003E-10</v>
      </c>
      <c r="AA273" s="448">
        <f t="shared" si="451"/>
        <v>6E-10</v>
      </c>
      <c r="AB273" s="448">
        <f t="shared" si="452"/>
        <v>6.9999999999999996E-10</v>
      </c>
      <c r="AC273" s="448">
        <f t="shared" si="453"/>
        <v>8.0000000000000003E-10</v>
      </c>
      <c r="AD273" s="448">
        <f t="shared" si="454"/>
        <v>8.9999999999999999E-10</v>
      </c>
      <c r="AE273" s="448">
        <f>IF($H273="E",$T$8*T273,0)</f>
        <v>9.5000000000000003E-10</v>
      </c>
      <c r="AF273" s="448" t="b">
        <f>IF(V273&gt;LARGE((($V273,$Y273:$AE273)),4),TRUE)</f>
        <v>0</v>
      </c>
      <c r="AG273" s="448" t="b">
        <v>1</v>
      </c>
      <c r="AH273" s="448" t="b">
        <v>1</v>
      </c>
      <c r="AI273" s="448" t="b">
        <f>IF(Y273&gt;LARGE((($V273,$Y273:$AE273)),4),TRUE)</f>
        <v>0</v>
      </c>
      <c r="AJ273" s="448" t="b">
        <f>IF(Z273&gt;LARGE((($V273,$Y273:$AE273)),4),TRUE)</f>
        <v>0</v>
      </c>
      <c r="AK273" s="448" t="b">
        <f>IF(AA273&gt;LARGE((($V273,$Y273:$AE273)),4),TRUE)</f>
        <v>0</v>
      </c>
      <c r="AL273" s="448" t="b">
        <f>IF(AB273&gt;LARGE((($V273,$Y273:$AE273)),4),TRUE)</f>
        <v>0</v>
      </c>
      <c r="AM273" s="448" t="b">
        <f>IF(AC273&gt;LARGE((($V273,$Y273:$AE273)),4),TRUE)</f>
        <v>1</v>
      </c>
      <c r="AN273" s="448" t="b">
        <f>IF(AD273&gt;LARGE((($V273,$Y273:$AE273)),4),TRUE)</f>
        <v>1</v>
      </c>
      <c r="AO273" s="448" t="b">
        <f>IF(AE273&gt;LARGE((($V273,$Y273:$AE273)),4),TRUE)</f>
        <v>1</v>
      </c>
      <c r="AQ273" s="365" t="str">
        <f>'Reference Score Calculation'!M250</f>
        <v>最佳五科必須包括︰英文、數學</v>
      </c>
      <c r="AR273" s="365" t="str">
        <f>'Reference Score Calculation'!N250</f>
        <v>可包含 M1/2 或丙類科目於計算內</v>
      </c>
      <c r="AS273" s="365" t="s">
        <v>356</v>
      </c>
      <c r="AT273" s="434"/>
      <c r="AU273" s="450" t="str">
        <f>P$1</f>
        <v>請選擇第一選修科</v>
      </c>
      <c r="AV273" s="450" t="str">
        <f>Q$1</f>
        <v>請選擇第二選修科</v>
      </c>
      <c r="AW273" s="450" t="str">
        <f>R$1</f>
        <v>請選擇第三選修科</v>
      </c>
      <c r="AX273" s="450" t="str">
        <f>S$1</f>
        <v>請選擇第四選修科</v>
      </c>
      <c r="AY273" s="449" t="str">
        <f>O$1</f>
        <v>數學延伸</v>
      </c>
      <c r="AZ273" s="449"/>
      <c r="BA273" s="453" t="s">
        <v>364</v>
      </c>
      <c r="BB273" s="434"/>
      <c r="BC273" s="453" t="s">
        <v>365</v>
      </c>
      <c r="BD273" s="434"/>
      <c r="BE273" s="434"/>
      <c r="BF273" s="450" t="str">
        <f t="shared" ref="BF273:BN273" si="462">K$1</f>
        <v>中國語文</v>
      </c>
      <c r="BG273" s="450" t="str">
        <f t="shared" si="462"/>
        <v>英國語文</v>
      </c>
      <c r="BH273" s="450" t="str">
        <f t="shared" si="462"/>
        <v>數學</v>
      </c>
      <c r="BI273" s="449"/>
      <c r="BJ273" s="450" t="str">
        <f t="shared" si="462"/>
        <v>數學延伸</v>
      </c>
      <c r="BK273" s="450" t="str">
        <f t="shared" si="462"/>
        <v>請選擇第一選修科</v>
      </c>
      <c r="BL273" s="450" t="str">
        <f t="shared" si="462"/>
        <v>請選擇第二選修科</v>
      </c>
      <c r="BM273" s="450" t="str">
        <f t="shared" si="462"/>
        <v>請選擇第三選修科</v>
      </c>
      <c r="BN273" s="450" t="str">
        <f t="shared" si="462"/>
        <v>請選擇第四選修科</v>
      </c>
      <c r="BO273" s="449"/>
      <c r="BP273" s="449"/>
      <c r="BQ273" s="449"/>
      <c r="BR273" s="449"/>
      <c r="BS273" s="449"/>
      <c r="BT273" s="449"/>
    </row>
    <row r="274" spans="1:72" s="433" customFormat="1">
      <c r="A274" s="433" t="str">
        <f>'Reference Score Calculation'!A251</f>
        <v>JS6937</v>
      </c>
      <c r="B274" s="433" t="str">
        <f>'Reference Score Calculation'!A251</f>
        <v>JS6937</v>
      </c>
      <c r="C274" s="446" t="str">
        <f>'Reference Score Calculation'!D251</f>
        <v>環球工程與商業課程</v>
      </c>
      <c r="D274" s="365"/>
      <c r="E274" s="447" t="str">
        <f>'Reference Score Calculation'!E251</f>
        <v>Best 5</v>
      </c>
      <c r="F274" s="461" t="str">
        <f>'Reference Score Calculation'!AB251</f>
        <v>Best 5</v>
      </c>
      <c r="G274" s="365" t="str">
        <f>入學要求!AB260</f>
        <v>v</v>
      </c>
      <c r="H274" s="365" t="str">
        <f>入學要求!AC260</f>
        <v>E</v>
      </c>
      <c r="I274" s="365" t="str">
        <f>入學要求!AD260</f>
        <v>NO</v>
      </c>
      <c r="J274" s="448">
        <f t="shared" si="417"/>
        <v>3.1500000000000001E-9</v>
      </c>
      <c r="K274" s="448">
        <v>1</v>
      </c>
      <c r="L274" s="448">
        <v>1</v>
      </c>
      <c r="M274" s="448">
        <v>1</v>
      </c>
      <c r="N274" s="448">
        <v>0</v>
      </c>
      <c r="O274" s="448">
        <v>1</v>
      </c>
      <c r="P274" s="448">
        <v>1</v>
      </c>
      <c r="Q274" s="448">
        <v>1</v>
      </c>
      <c r="R274" s="448">
        <v>1</v>
      </c>
      <c r="S274" s="448">
        <v>1</v>
      </c>
      <c r="T274" s="448">
        <v>1</v>
      </c>
      <c r="U274" s="455"/>
      <c r="V274" s="448">
        <f t="shared" si="446"/>
        <v>4.0000000000000001E-10</v>
      </c>
      <c r="W274" s="448">
        <f t="shared" si="447"/>
        <v>2.0000000000000001E-10</v>
      </c>
      <c r="X274" s="448">
        <f t="shared" si="448"/>
        <v>3E-10</v>
      </c>
      <c r="Y274" s="448">
        <f t="shared" si="449"/>
        <v>0</v>
      </c>
      <c r="Z274" s="448">
        <f t="shared" si="450"/>
        <v>5.0000000000000003E-10</v>
      </c>
      <c r="AA274" s="448">
        <f t="shared" si="451"/>
        <v>6E-10</v>
      </c>
      <c r="AB274" s="448">
        <f t="shared" si="452"/>
        <v>6.9999999999999996E-10</v>
      </c>
      <c r="AC274" s="448">
        <f t="shared" si="453"/>
        <v>8.0000000000000003E-10</v>
      </c>
      <c r="AD274" s="448">
        <f t="shared" si="454"/>
        <v>8.9999999999999999E-10</v>
      </c>
      <c r="AE274" s="448">
        <f>IF($H274="E",$T$8*T274,0)</f>
        <v>9.5000000000000003E-10</v>
      </c>
      <c r="AF274" s="448" t="b">
        <f>IF(V274&gt;LARGE((($V274,$Y274:$AE274)),4),TRUE)</f>
        <v>0</v>
      </c>
      <c r="AG274" s="448" t="b">
        <v>1</v>
      </c>
      <c r="AH274" s="448" t="b">
        <v>1</v>
      </c>
      <c r="AI274" s="448" t="b">
        <f>IF(Y274&gt;LARGE((($V274,$Y274:$AE274)),4),TRUE)</f>
        <v>0</v>
      </c>
      <c r="AJ274" s="448" t="b">
        <f>IF(Z274&gt;LARGE((($V274,$Y274:$AE274)),4),TRUE)</f>
        <v>0</v>
      </c>
      <c r="AK274" s="448" t="b">
        <f>IF(AA274&gt;LARGE((($V274,$Y274:$AE274)),4),TRUE)</f>
        <v>0</v>
      </c>
      <c r="AL274" s="448" t="b">
        <f>IF(AB274&gt;LARGE((($V274,$Y274:$AE274)),4),TRUE)</f>
        <v>0</v>
      </c>
      <c r="AM274" s="448" t="b">
        <f>IF(AC274&gt;LARGE((($V274,$Y274:$AE274)),4),TRUE)</f>
        <v>1</v>
      </c>
      <c r="AN274" s="448" t="b">
        <f>IF(AD274&gt;LARGE((($V274,$Y274:$AE274)),4),TRUE)</f>
        <v>1</v>
      </c>
      <c r="AO274" s="448" t="b">
        <f>IF(AE274&gt;LARGE((($V274,$Y274:$AE274)),4),TRUE)</f>
        <v>1</v>
      </c>
      <c r="AQ274" s="365" t="str">
        <f>'Reference Score Calculation'!M251</f>
        <v>最佳五科必須包括︰英文、數學</v>
      </c>
      <c r="AR274" s="365" t="str">
        <f>'Reference Score Calculation'!N251</f>
        <v>可包含 M1/2 或丙類科目於計算內</v>
      </c>
      <c r="AS274" s="365" t="s">
        <v>356</v>
      </c>
      <c r="AT274" s="434" t="s">
        <v>401</v>
      </c>
      <c r="AU274" s="447">
        <f>IF(OR(P$1="化學",P$1="生物",P$1="組合科學(物理、化學)",P$1="組合科學(生物、化學)",P$1="組合科學(物理、生物)",P$1="物理"),P$8,0)</f>
        <v>0</v>
      </c>
      <c r="AV274" s="447">
        <f>IF(OR(Q$1="化學",Q$1="生物",Q$1="組合科學(物理、化學)",Q$1="組合科學(生物、化學)",Q$1="組合科學(物理、生物)",Q$1="物理"),Q$8,0)</f>
        <v>0</v>
      </c>
      <c r="AW274" s="447">
        <f>IF(OR(R$1="化學",R$1="生物",R$1="組合科學(物理、化學)",R$1="組合科學(生物、化學)",R$1="組合科學(物理、生物)",R$1="物理"),R$8,0)</f>
        <v>0</v>
      </c>
      <c r="AX274" s="447">
        <f>IF(OR(S$1="化學",S$1="生物",S$1="組合科學(物理、化學)",S$1="組合科學(生物、化學)",S$1="組合科學(物理、生物)",S$1="物理"),S$8,0)</f>
        <v>0</v>
      </c>
      <c r="AY274" s="365">
        <f>O$8</f>
        <v>5.0000000000000003E-10</v>
      </c>
      <c r="AZ274" s="449"/>
      <c r="BA274" s="433" t="str">
        <f>INDEX(AU273:AY273,MATCH(LARGE(AU274:AY274,1),AU274:AY274,0))</f>
        <v>數學延伸</v>
      </c>
      <c r="BB274" s="433">
        <f>LARGE((AU274:AX274),1)</f>
        <v>0</v>
      </c>
      <c r="BC274" s="433" t="str">
        <f>INDEX(AU273:AY273,MATCH(LARGE(AU274:AY274,2),AU274:AY274,0))</f>
        <v>請選擇第一選修科</v>
      </c>
      <c r="BD274" s="433">
        <f>LARGE((AU274:AX274),2)</f>
        <v>0</v>
      </c>
      <c r="BE274" s="434"/>
      <c r="BF274" s="447">
        <f>K$8</f>
        <v>4.0000000000000001E-10</v>
      </c>
      <c r="BG274" s="447">
        <v>0</v>
      </c>
      <c r="BH274" s="447">
        <v>0</v>
      </c>
      <c r="BI274" s="449"/>
      <c r="BJ274" s="447">
        <f>IF(OR(BJ273=$BC$274,BJ273=$BA$274),0,O$8)</f>
        <v>0</v>
      </c>
      <c r="BK274" s="447">
        <f>IF(OR(BK273=$BC$274,BK273=$BA$274),0,P$8)</f>
        <v>0</v>
      </c>
      <c r="BL274" s="447">
        <f>IF(OR(BL273=$BC$274,BL273=$BA$274),0,Q$8)</f>
        <v>6.9999999999999996E-10</v>
      </c>
      <c r="BM274" s="447">
        <f>IF(OR(BM273=$BC$274,BM273=$BA$274),0,R$8)</f>
        <v>8.0000000000000003E-10</v>
      </c>
      <c r="BN274" s="447">
        <f>IF(OR(BN273=$BC$274,BN273=$BA$274),0,S$8)</f>
        <v>8.9999999999999999E-10</v>
      </c>
      <c r="BO274" s="449"/>
      <c r="BP274" s="449"/>
      <c r="BQ274" s="449"/>
      <c r="BR274" s="449"/>
      <c r="BS274" s="449"/>
      <c r="BT274" s="449"/>
    </row>
    <row r="275" spans="1:72" s="433" customFormat="1">
      <c r="A275" s="433" t="str">
        <f>'Reference Score Calculation'!A252</f>
        <v>JS6951</v>
      </c>
      <c r="B275" s="433" t="str">
        <f>'Reference Score Calculation'!A252</f>
        <v>JS6951</v>
      </c>
      <c r="C275" s="446" t="str">
        <f>'Reference Score Calculation'!D252</f>
        <v>工學學士(工程科學)</v>
      </c>
      <c r="D275" s="365"/>
      <c r="E275" s="447" t="str">
        <f>'Reference Score Calculation'!E252</f>
        <v>Best 5</v>
      </c>
      <c r="F275" s="461" t="str">
        <f>'Reference Score Calculation'!AB252</f>
        <v>Best 5</v>
      </c>
      <c r="G275" s="365" t="str">
        <f>入學要求!AB261</f>
        <v>v</v>
      </c>
      <c r="H275" s="365" t="str">
        <f>入學要求!AC261</f>
        <v>E</v>
      </c>
      <c r="I275" s="365" t="str">
        <f>入學要求!AD261</f>
        <v>NO</v>
      </c>
      <c r="J275" s="448">
        <f t="shared" si="417"/>
        <v>3.1500000000000001E-9</v>
      </c>
      <c r="K275" s="448">
        <v>1</v>
      </c>
      <c r="L275" s="448">
        <v>1</v>
      </c>
      <c r="M275" s="448">
        <v>1</v>
      </c>
      <c r="N275" s="448">
        <v>0</v>
      </c>
      <c r="O275" s="448">
        <v>1</v>
      </c>
      <c r="P275" s="448">
        <v>1</v>
      </c>
      <c r="Q275" s="448">
        <v>1</v>
      </c>
      <c r="R275" s="448">
        <v>1</v>
      </c>
      <c r="S275" s="448">
        <v>1</v>
      </c>
      <c r="T275" s="448">
        <v>1</v>
      </c>
      <c r="U275" s="455"/>
      <c r="V275" s="448">
        <f t="shared" si="446"/>
        <v>4.0000000000000001E-10</v>
      </c>
      <c r="W275" s="448">
        <f t="shared" si="447"/>
        <v>2.0000000000000001E-10</v>
      </c>
      <c r="X275" s="448">
        <f t="shared" si="448"/>
        <v>3E-10</v>
      </c>
      <c r="Y275" s="448">
        <f t="shared" si="449"/>
        <v>0</v>
      </c>
      <c r="Z275" s="448">
        <f t="shared" si="450"/>
        <v>5.0000000000000003E-10</v>
      </c>
      <c r="AA275" s="448">
        <f t="shared" si="451"/>
        <v>6E-10</v>
      </c>
      <c r="AB275" s="448">
        <f t="shared" si="452"/>
        <v>6.9999999999999996E-10</v>
      </c>
      <c r="AC275" s="448">
        <f t="shared" si="453"/>
        <v>8.0000000000000003E-10</v>
      </c>
      <c r="AD275" s="448">
        <f t="shared" si="454"/>
        <v>8.9999999999999999E-10</v>
      </c>
      <c r="AE275" s="448">
        <f>IF($H275="E",$T$8*T275,0)</f>
        <v>9.5000000000000003E-10</v>
      </c>
      <c r="AF275" s="448" t="b">
        <f>IF(V275&gt;LARGE((($V275,$Y275:$AE275)),4),TRUE)</f>
        <v>0</v>
      </c>
      <c r="AG275" s="448" t="b">
        <v>1</v>
      </c>
      <c r="AH275" s="448" t="b">
        <v>1</v>
      </c>
      <c r="AI275" s="448" t="b">
        <f>IF(Y275&gt;LARGE((($V275,$Y275:$AE275)),4),TRUE)</f>
        <v>0</v>
      </c>
      <c r="AJ275" s="448" t="b">
        <f>IF(Z275&gt;LARGE((($V275,$Y275:$AE275)),4),TRUE)</f>
        <v>0</v>
      </c>
      <c r="AK275" s="448" t="b">
        <f>IF(AA275&gt;LARGE((($V275,$Y275:$AE275)),4),TRUE)</f>
        <v>0</v>
      </c>
      <c r="AL275" s="448" t="b">
        <f>IF(AB275&gt;LARGE((($V275,$Y275:$AE275)),4),TRUE)</f>
        <v>0</v>
      </c>
      <c r="AM275" s="448" t="b">
        <f>IF(AC275&gt;LARGE((($V275,$Y275:$AE275)),4),TRUE)</f>
        <v>1</v>
      </c>
      <c r="AN275" s="448" t="b">
        <f>IF(AD275&gt;LARGE((($V275,$Y275:$AE275)),4),TRUE)</f>
        <v>1</v>
      </c>
      <c r="AO275" s="448" t="b">
        <f>IF(AE275&gt;LARGE((($V275,$Y275:$AE275)),4),TRUE)</f>
        <v>1</v>
      </c>
      <c r="AQ275" s="365" t="str">
        <f>'Reference Score Calculation'!M252</f>
        <v>最佳五科必須包括︰英文、數學</v>
      </c>
      <c r="AR275" s="365" t="str">
        <f>'Reference Score Calculation'!N252</f>
        <v>可包含 M1/2 或丙類科目於計算內</v>
      </c>
      <c r="AS275" s="365" t="s">
        <v>356</v>
      </c>
      <c r="AT275" s="434"/>
      <c r="AU275" s="452" t="s">
        <v>402</v>
      </c>
      <c r="AV275" s="451"/>
      <c r="AW275" s="449"/>
      <c r="AX275" s="449"/>
      <c r="AY275" s="449"/>
      <c r="AZ275" s="449"/>
      <c r="BA275" s="434"/>
      <c r="BB275" s="434"/>
      <c r="BC275" s="451"/>
      <c r="BD275" s="451"/>
      <c r="BE275" s="434"/>
      <c r="BF275" s="452" t="b">
        <f>IF(BF274&gt;LARGE($BF274:$BN274,2),TRUE,IF(OR(BF273=$BC$274,BF273=$BA$274,),TRUE,FALSE))</f>
        <v>0</v>
      </c>
      <c r="BG275" s="452" t="b">
        <v>1</v>
      </c>
      <c r="BH275" s="452" t="b">
        <v>1</v>
      </c>
      <c r="BI275" s="449"/>
      <c r="BJ275" s="452" t="b">
        <f>IF(BJ274&gt;LARGE($BF274:$BN274,2),TRUE,IF(OR(BJ273=$BC$274,BJ273=$BA$274,),TRUE,FALSE))</f>
        <v>1</v>
      </c>
      <c r="BK275" s="452" t="b">
        <f>IF(BK274&gt;LARGE($BF274:$BN274,2),TRUE,IF(OR(BK273=$BC$274,BK273=$BA$274,),TRUE,FALSE))</f>
        <v>1</v>
      </c>
      <c r="BL275" s="452" t="b">
        <f>IF(BL274&gt;LARGE($BF274:$BN274,2),TRUE,IF(OR(BL273=$BC$274,BL273=$BA$274,),TRUE,FALSE))</f>
        <v>0</v>
      </c>
      <c r="BM275" s="452" t="b">
        <f>IF(BM274&gt;LARGE($BF274:$BN274,2),TRUE,IF(OR(BM273=$BC$274,BM273=$BA$274,),TRUE,FALSE))</f>
        <v>0</v>
      </c>
      <c r="BN275" s="452" t="b">
        <f>IF(BN274&gt;LARGE($BF274:$BN274,2),TRUE,IF(OR(BN273=$BC$274,BN273=$BA$274,),TRUE,FALSE))</f>
        <v>1</v>
      </c>
      <c r="BO275" s="449"/>
      <c r="BP275" s="449"/>
      <c r="BQ275" s="449"/>
      <c r="BR275" s="449"/>
      <c r="BS275" s="449"/>
      <c r="BT275" s="449"/>
    </row>
    <row r="276" spans="1:72" s="433" customFormat="1">
      <c r="A276" s="433" t="str">
        <f>'Reference Score Calculation'!A253</f>
        <v>JS6963</v>
      </c>
      <c r="B276" s="433" t="str">
        <f>'Reference Score Calculation'!A253</f>
        <v>JS6963</v>
      </c>
      <c r="C276" s="446" t="str">
        <f>'Reference Score Calculation'!D253</f>
        <v>工學學士</v>
      </c>
      <c r="D276" s="365"/>
      <c r="E276" s="447" t="str">
        <f>'Reference Score Calculation'!E253</f>
        <v>Best 5</v>
      </c>
      <c r="F276" s="461" t="str">
        <f>'Reference Score Calculation'!AB253</f>
        <v>Best 5</v>
      </c>
      <c r="G276" s="365" t="str">
        <f>入學要求!AB262</f>
        <v>v</v>
      </c>
      <c r="H276" s="365" t="str">
        <f>入學要求!AC262</f>
        <v>E</v>
      </c>
      <c r="I276" s="365" t="str">
        <f>入學要求!AD262</f>
        <v>NO</v>
      </c>
      <c r="J276" s="448">
        <f t="shared" si="417"/>
        <v>3.1500000000000001E-9</v>
      </c>
      <c r="K276" s="448">
        <v>1</v>
      </c>
      <c r="L276" s="448">
        <v>1</v>
      </c>
      <c r="M276" s="448">
        <v>1</v>
      </c>
      <c r="N276" s="448">
        <v>0</v>
      </c>
      <c r="O276" s="448">
        <v>1</v>
      </c>
      <c r="P276" s="448">
        <v>1</v>
      </c>
      <c r="Q276" s="448">
        <v>1</v>
      </c>
      <c r="R276" s="448">
        <v>1</v>
      </c>
      <c r="S276" s="448">
        <v>1</v>
      </c>
      <c r="T276" s="448">
        <v>1</v>
      </c>
      <c r="U276" s="455"/>
      <c r="V276" s="448">
        <f t="shared" si="446"/>
        <v>4.0000000000000001E-10</v>
      </c>
      <c r="W276" s="448">
        <f t="shared" si="447"/>
        <v>2.0000000000000001E-10</v>
      </c>
      <c r="X276" s="448">
        <f t="shared" si="448"/>
        <v>3E-10</v>
      </c>
      <c r="Y276" s="448">
        <f t="shared" si="449"/>
        <v>0</v>
      </c>
      <c r="Z276" s="448">
        <f t="shared" si="450"/>
        <v>5.0000000000000003E-10</v>
      </c>
      <c r="AA276" s="448">
        <f t="shared" si="451"/>
        <v>6E-10</v>
      </c>
      <c r="AB276" s="448">
        <f t="shared" si="452"/>
        <v>6.9999999999999996E-10</v>
      </c>
      <c r="AC276" s="448">
        <f t="shared" si="453"/>
        <v>8.0000000000000003E-10</v>
      </c>
      <c r="AD276" s="448">
        <f t="shared" si="454"/>
        <v>8.9999999999999999E-10</v>
      </c>
      <c r="AE276" s="448">
        <f>IF($H276="E",$T$8*T276,0)</f>
        <v>9.5000000000000003E-10</v>
      </c>
      <c r="AF276" s="448" t="b">
        <f>IF(V276&gt;LARGE((($V276,$Y276:$AE276)),4),TRUE)</f>
        <v>0</v>
      </c>
      <c r="AG276" s="448" t="b">
        <v>1</v>
      </c>
      <c r="AH276" s="448" t="b">
        <v>1</v>
      </c>
      <c r="AI276" s="448" t="b">
        <f>IF(Y276&gt;LARGE((($V276,$Y276:$AE276)),4),TRUE)</f>
        <v>0</v>
      </c>
      <c r="AJ276" s="448" t="b">
        <f>IF(Z276&gt;LARGE((($V276,$Y276:$AE276)),4),TRUE)</f>
        <v>0</v>
      </c>
      <c r="AK276" s="448" t="b">
        <f>IF(AA276&gt;LARGE((($V276,$Y276:$AE276)),4),TRUE)</f>
        <v>0</v>
      </c>
      <c r="AL276" s="448" t="b">
        <f>IF(AB276&gt;LARGE((($V276,$Y276:$AE276)),4),TRUE)</f>
        <v>0</v>
      </c>
      <c r="AM276" s="448" t="b">
        <f>IF(AC276&gt;LARGE((($V276,$Y276:$AE276)),4),TRUE)</f>
        <v>1</v>
      </c>
      <c r="AN276" s="448" t="b">
        <f>IF(AD276&gt;LARGE((($V276,$Y276:$AE276)),4),TRUE)</f>
        <v>1</v>
      </c>
      <c r="AO276" s="448" t="b">
        <f>IF(AE276&gt;LARGE((($V276,$Y276:$AE276)),4),TRUE)</f>
        <v>1</v>
      </c>
      <c r="AQ276" s="365" t="str">
        <f>'Reference Score Calculation'!M253</f>
        <v>最佳五科必須包括︰英文、數學</v>
      </c>
      <c r="AR276" s="365" t="str">
        <f>'Reference Score Calculation'!N253</f>
        <v>可包含 M1/2 或丙類科目於計算內</v>
      </c>
      <c r="AS276" s="365" t="s">
        <v>356</v>
      </c>
      <c r="AT276" s="434"/>
      <c r="AU276" s="452"/>
      <c r="AV276" s="451"/>
      <c r="AW276" s="449"/>
      <c r="AX276" s="449"/>
      <c r="AY276" s="449"/>
      <c r="AZ276" s="449"/>
      <c r="BA276" s="434"/>
      <c r="BB276" s="434"/>
      <c r="BC276" s="451"/>
      <c r="BD276" s="434"/>
      <c r="BE276" s="434"/>
      <c r="BF276" s="452"/>
      <c r="BG276" s="451"/>
      <c r="BH276" s="449"/>
      <c r="BI276" s="449"/>
      <c r="BJ276" s="449"/>
      <c r="BK276" s="449"/>
      <c r="BL276" s="449"/>
      <c r="BM276" s="449"/>
      <c r="BN276" s="449"/>
      <c r="BO276" s="449"/>
      <c r="BP276" s="449"/>
      <c r="BQ276" s="449"/>
      <c r="BR276" s="449"/>
      <c r="BS276" s="449"/>
      <c r="BT276" s="449"/>
    </row>
    <row r="277" spans="1:72" s="433" customFormat="1">
      <c r="A277" s="433" t="str">
        <f>'Reference Score Calculation'!A254</f>
        <v>JS6078</v>
      </c>
      <c r="B277" s="433" t="str">
        <f>'Reference Score Calculation'!A254</f>
        <v>JS6078</v>
      </c>
      <c r="C277" s="446" t="str">
        <f>'Reference Score Calculation'!D254</f>
        <v>文學士及法學士 (雙學位課程)</v>
      </c>
      <c r="D277" s="365"/>
      <c r="E277" s="447" t="str">
        <f>'Reference Score Calculation'!E254</f>
        <v>Best 6</v>
      </c>
      <c r="F277" s="462" t="str">
        <f>'Reference Score Calculation'!AB254</f>
        <v>Best 6</v>
      </c>
      <c r="G277" s="365" t="str">
        <f>入學要求!AB263</f>
        <v>v</v>
      </c>
      <c r="H277" s="365" t="str">
        <f>入學要求!AC263</f>
        <v>NO</v>
      </c>
      <c r="I277" s="365" t="str">
        <f>入學要求!AD263</f>
        <v>NO</v>
      </c>
      <c r="J277" s="448">
        <f t="shared" si="417"/>
        <v>3.7E-9</v>
      </c>
      <c r="K277" s="448">
        <v>1</v>
      </c>
      <c r="L277" s="448">
        <v>1</v>
      </c>
      <c r="M277" s="448">
        <v>1</v>
      </c>
      <c r="N277" s="448">
        <v>0</v>
      </c>
      <c r="O277" s="448">
        <v>1</v>
      </c>
      <c r="P277" s="448">
        <v>1</v>
      </c>
      <c r="Q277" s="448">
        <v>1</v>
      </c>
      <c r="R277" s="448">
        <v>1</v>
      </c>
      <c r="S277" s="448">
        <v>1</v>
      </c>
      <c r="T277" s="448">
        <v>1</v>
      </c>
      <c r="U277" s="455"/>
      <c r="V277" s="448">
        <f t="shared" si="446"/>
        <v>4.0000000000000001E-10</v>
      </c>
      <c r="W277" s="448">
        <f t="shared" si="447"/>
        <v>2.0000000000000001E-10</v>
      </c>
      <c r="X277" s="448">
        <f t="shared" si="448"/>
        <v>3E-10</v>
      </c>
      <c r="Y277" s="448">
        <f t="shared" si="449"/>
        <v>0</v>
      </c>
      <c r="Z277" s="448">
        <f t="shared" si="450"/>
        <v>5.0000000000000003E-10</v>
      </c>
      <c r="AA277" s="448">
        <f t="shared" si="451"/>
        <v>6E-10</v>
      </c>
      <c r="AB277" s="448">
        <f t="shared" si="452"/>
        <v>6.9999999999999996E-10</v>
      </c>
      <c r="AC277" s="448">
        <f t="shared" si="453"/>
        <v>8.0000000000000003E-10</v>
      </c>
      <c r="AD277" s="448">
        <f t="shared" si="454"/>
        <v>8.9999999999999999E-10</v>
      </c>
      <c r="AE277" s="448">
        <f t="shared" si="415"/>
        <v>0</v>
      </c>
      <c r="AF277" s="448" t="b">
        <f>IF(V277&gt;LARGE((($V277,$X277:$AE277)),6),TRUE)</f>
        <v>0</v>
      </c>
      <c r="AG277" s="448" t="b">
        <v>1</v>
      </c>
      <c r="AH277" s="448" t="b">
        <f>IF(X277&gt;LARGE((($V277,$X277:$AE277)),6),TRUE)</f>
        <v>0</v>
      </c>
      <c r="AI277" s="448" t="b">
        <f>IF(Y277&gt;LARGE((($V277,$X277:$AE277)),6),TRUE)</f>
        <v>0</v>
      </c>
      <c r="AJ277" s="448" t="b">
        <f>IF(Z277&gt;LARGE((($V277,$X277:$AE277)),6),TRUE)</f>
        <v>1</v>
      </c>
      <c r="AK277" s="448" t="b">
        <f>IF(AA277&gt;LARGE((($V277,$X277:$AE277)),6),TRUE)</f>
        <v>1</v>
      </c>
      <c r="AL277" s="448" t="b">
        <f>IF(AB277&gt;LARGE((($V277,$X277:$AE277)),6),TRUE)</f>
        <v>1</v>
      </c>
      <c r="AM277" s="448" t="b">
        <f>IF(AC277&gt;LARGE((($V277,$X277:$AE277)),6),TRUE)</f>
        <v>1</v>
      </c>
      <c r="AN277" s="448" t="b">
        <f>IF(AD277&gt;LARGE((($V277,$X277:$AE277)),6),TRUE)</f>
        <v>1</v>
      </c>
      <c r="AO277" s="448" t="b">
        <f>IF(AE277&gt;LARGE((($V277,$X277:$AE277)),6),TRUE)</f>
        <v>0</v>
      </c>
      <c r="AQ277" s="365" t="str">
        <f>'Reference Score Calculation'!M254</f>
        <v>最佳六科必須包括︰英文</v>
      </c>
      <c r="AR277" s="365" t="str">
        <f>'Reference Score Calculation'!N254</f>
        <v>/</v>
      </c>
      <c r="AS277" s="365" t="s">
        <v>356</v>
      </c>
      <c r="AT277" s="434"/>
      <c r="AU277" s="450"/>
      <c r="AV277" s="450"/>
      <c r="AW277" s="449"/>
      <c r="AX277" s="449"/>
      <c r="AY277" s="449"/>
      <c r="AZ277" s="449"/>
      <c r="BA277" s="453" t="s">
        <v>309</v>
      </c>
      <c r="BB277" s="434"/>
      <c r="BC277" s="434"/>
      <c r="BD277" s="450" t="str">
        <f t="shared" ref="BD277:BL277" si="463">K$1</f>
        <v>中國語文</v>
      </c>
      <c r="BE277" s="450" t="str">
        <f t="shared" si="463"/>
        <v>英國語文</v>
      </c>
      <c r="BF277" s="450" t="str">
        <f t="shared" si="463"/>
        <v>數學</v>
      </c>
      <c r="BG277" s="451"/>
      <c r="BH277" s="450" t="str">
        <f t="shared" si="463"/>
        <v>數學延伸</v>
      </c>
      <c r="BI277" s="450" t="str">
        <f t="shared" si="463"/>
        <v>請選擇第一選修科</v>
      </c>
      <c r="BJ277" s="450" t="str">
        <f t="shared" si="463"/>
        <v>請選擇第二選修科</v>
      </c>
      <c r="BK277" s="450" t="str">
        <f t="shared" si="463"/>
        <v>請選擇第三選修科</v>
      </c>
      <c r="BL277" s="450" t="str">
        <f t="shared" si="463"/>
        <v>請選擇第四選修科</v>
      </c>
      <c r="BM277" s="450"/>
      <c r="BN277" s="449"/>
      <c r="BO277" s="449"/>
      <c r="BP277" s="449"/>
      <c r="BQ277" s="449"/>
      <c r="BR277" s="449"/>
      <c r="BS277" s="449"/>
      <c r="BT277" s="449"/>
    </row>
    <row r="278" spans="1:72" s="433" customFormat="1">
      <c r="A278" s="433" t="str">
        <f>'Reference Score Calculation'!A255</f>
        <v>JS6406</v>
      </c>
      <c r="B278" s="433" t="str">
        <f>'Reference Score Calculation'!A255</f>
        <v>JS6406</v>
      </c>
      <c r="C278" s="446" t="str">
        <f>'Reference Score Calculation'!D255</f>
        <v>法學士</v>
      </c>
      <c r="D278" s="365"/>
      <c r="E278" s="447" t="str">
        <f>'Reference Score Calculation'!E255</f>
        <v>Best 6</v>
      </c>
      <c r="F278" s="462" t="str">
        <f>'Reference Score Calculation'!AB255</f>
        <v>Best 6</v>
      </c>
      <c r="G278" s="365" t="str">
        <f>入學要求!AB264</f>
        <v>v</v>
      </c>
      <c r="H278" s="365" t="str">
        <f>入學要求!AC264</f>
        <v>NO</v>
      </c>
      <c r="I278" s="365" t="str">
        <f>入學要求!AD264</f>
        <v>NO</v>
      </c>
      <c r="J278" s="448">
        <f t="shared" si="417"/>
        <v>3.7E-9</v>
      </c>
      <c r="K278" s="448">
        <v>1</v>
      </c>
      <c r="L278" s="448">
        <v>1</v>
      </c>
      <c r="M278" s="448">
        <v>1</v>
      </c>
      <c r="N278" s="448">
        <v>0</v>
      </c>
      <c r="O278" s="448">
        <v>1</v>
      </c>
      <c r="P278" s="448">
        <v>1</v>
      </c>
      <c r="Q278" s="448">
        <v>1</v>
      </c>
      <c r="R278" s="448">
        <v>1</v>
      </c>
      <c r="S278" s="448">
        <v>1</v>
      </c>
      <c r="T278" s="448">
        <v>1</v>
      </c>
      <c r="U278" s="455"/>
      <c r="V278" s="448">
        <f t="shared" si="446"/>
        <v>4.0000000000000001E-10</v>
      </c>
      <c r="W278" s="448">
        <f t="shared" si="447"/>
        <v>2.0000000000000001E-10</v>
      </c>
      <c r="X278" s="448">
        <f t="shared" si="448"/>
        <v>3E-10</v>
      </c>
      <c r="Y278" s="448">
        <f t="shared" si="449"/>
        <v>0</v>
      </c>
      <c r="Z278" s="448">
        <f t="shared" si="450"/>
        <v>5.0000000000000003E-10</v>
      </c>
      <c r="AA278" s="448">
        <f t="shared" si="451"/>
        <v>6E-10</v>
      </c>
      <c r="AB278" s="448">
        <f t="shared" si="452"/>
        <v>6.9999999999999996E-10</v>
      </c>
      <c r="AC278" s="448">
        <f t="shared" si="453"/>
        <v>8.0000000000000003E-10</v>
      </c>
      <c r="AD278" s="448">
        <f t="shared" si="454"/>
        <v>8.9999999999999999E-10</v>
      </c>
      <c r="AE278" s="448">
        <f t="shared" si="415"/>
        <v>0</v>
      </c>
      <c r="AF278" s="448" t="b">
        <f>IF(V278&gt;LARGE((($V278,$X278:$AE278)),6),TRUE)</f>
        <v>0</v>
      </c>
      <c r="AG278" s="448" t="b">
        <v>1</v>
      </c>
      <c r="AH278" s="448" t="b">
        <f>IF(X278&gt;LARGE((($V278,$X278:$AE278)),6),TRUE)</f>
        <v>0</v>
      </c>
      <c r="AI278" s="448" t="b">
        <f>IF(Y278&gt;LARGE((($V278,$X278:$AE278)),6),TRUE)</f>
        <v>0</v>
      </c>
      <c r="AJ278" s="448" t="b">
        <f>IF(Z278&gt;LARGE((($V278,$X278:$AE278)),6),TRUE)</f>
        <v>1</v>
      </c>
      <c r="AK278" s="448" t="b">
        <f>IF(AA278&gt;LARGE((($V278,$X278:$AE278)),6),TRUE)</f>
        <v>1</v>
      </c>
      <c r="AL278" s="448" t="b">
        <f>IF(AB278&gt;LARGE((($V278,$X278:$AE278)),6),TRUE)</f>
        <v>1</v>
      </c>
      <c r="AM278" s="448" t="b">
        <f>IF(AC278&gt;LARGE((($V278,$X278:$AE278)),6),TRUE)</f>
        <v>1</v>
      </c>
      <c r="AN278" s="448" t="b">
        <f>IF(AD278&gt;LARGE((($V278,$X278:$AE278)),6),TRUE)</f>
        <v>1</v>
      </c>
      <c r="AO278" s="448" t="b">
        <f>IF(AE278&gt;LARGE((($V278,$X278:$AE278)),6),TRUE)</f>
        <v>0</v>
      </c>
      <c r="AQ278" s="365" t="str">
        <f>'Reference Score Calculation'!M255</f>
        <v>最佳六科必須包括︰英文</v>
      </c>
      <c r="AR278" s="365" t="str">
        <f>'Reference Score Calculation'!N255</f>
        <v>/</v>
      </c>
      <c r="AS278" s="365" t="s">
        <v>356</v>
      </c>
      <c r="AT278" s="434" t="s">
        <v>403</v>
      </c>
      <c r="AU278" s="452" t="s">
        <v>404</v>
      </c>
      <c r="AV278" s="451"/>
      <c r="AW278" s="449"/>
      <c r="AX278" s="449"/>
      <c r="AY278" s="449"/>
      <c r="AZ278" s="449"/>
      <c r="BA278" s="433" t="str">
        <f>INDEX(AU265:AX265,MATCH(LARGE(AU266:AX266,1),AU266:AX266,0))</f>
        <v>請選擇第一選修科</v>
      </c>
      <c r="BB278" s="433">
        <f>LARGE((AU266:AX266),1)</f>
        <v>0</v>
      </c>
      <c r="BC278" s="434"/>
      <c r="BD278" s="447">
        <f>K$8</f>
        <v>4.0000000000000001E-10</v>
      </c>
      <c r="BE278" s="447">
        <v>0</v>
      </c>
      <c r="BF278" s="447">
        <f>IF(BF277=$AU$254,0,M$8)</f>
        <v>3E-10</v>
      </c>
      <c r="BG278" s="451"/>
      <c r="BH278" s="447">
        <f>IF(BH277=$AU$254,0,O$8)</f>
        <v>5.0000000000000003E-10</v>
      </c>
      <c r="BI278" s="447">
        <f>IF(BI277=$BA$278,0,P$8)</f>
        <v>0</v>
      </c>
      <c r="BJ278" s="447">
        <f>IF(BJ277=$BA$278,0,Q$8)</f>
        <v>6.9999999999999996E-10</v>
      </c>
      <c r="BK278" s="447">
        <f>IF(BK277=$BA$278,0,R$8)</f>
        <v>8.0000000000000003E-10</v>
      </c>
      <c r="BL278" s="447">
        <f>IF(BL277=$BA$278,0,S$8)</f>
        <v>8.9999999999999999E-10</v>
      </c>
      <c r="BM278" s="447"/>
      <c r="BN278" s="449"/>
      <c r="BO278" s="449"/>
      <c r="BP278" s="449"/>
      <c r="BQ278" s="449"/>
      <c r="BR278" s="449"/>
      <c r="BS278" s="449"/>
      <c r="BT278" s="449"/>
    </row>
    <row r="279" spans="1:72" s="433" customFormat="1">
      <c r="A279" s="433" t="str">
        <f>'Reference Score Calculation'!A256</f>
        <v>JS6418</v>
      </c>
      <c r="B279" s="433" t="str">
        <f>'Reference Score Calculation'!A256</f>
        <v>JS6418</v>
      </c>
      <c r="C279" s="446" t="str">
        <f>'Reference Score Calculation'!D256</f>
        <v>護理學學士菁英領袖培育專修組別</v>
      </c>
      <c r="D279" s="365"/>
      <c r="E279" s="447" t="str">
        <f>'Reference Score Calculation'!E256</f>
        <v>Best 5</v>
      </c>
      <c r="F279" s="461" t="str">
        <f>'Reference Score Calculation'!AB256</f>
        <v>Best 5</v>
      </c>
      <c r="G279" s="365" t="str">
        <f>入學要求!AB265</f>
        <v>v</v>
      </c>
      <c r="H279" s="365" t="str">
        <f>入學要求!AC265</f>
        <v>E</v>
      </c>
      <c r="I279" s="365" t="str">
        <f>入學要求!AD265</f>
        <v>NO</v>
      </c>
      <c r="J279" s="448">
        <f t="shared" si="417"/>
        <v>3.9500000000000006E-9</v>
      </c>
      <c r="K279" s="448">
        <f>IF($AW$286=K$1,0.5,1)</f>
        <v>1</v>
      </c>
      <c r="L279" s="448">
        <f>IF($AW$286=L$1,0.5,1)</f>
        <v>1</v>
      </c>
      <c r="M279" s="448">
        <f>IF($AW$286=M$1,0.5,1)</f>
        <v>1</v>
      </c>
      <c r="N279" s="448">
        <v>0</v>
      </c>
      <c r="O279" s="448">
        <f t="shared" ref="O279:T279" si="464">IF($AW$286=O$1,0.5,1)</f>
        <v>1</v>
      </c>
      <c r="P279" s="448">
        <f t="shared" si="464"/>
        <v>1</v>
      </c>
      <c r="Q279" s="448">
        <f t="shared" si="464"/>
        <v>1</v>
      </c>
      <c r="R279" s="448">
        <f t="shared" si="464"/>
        <v>1</v>
      </c>
      <c r="S279" s="448">
        <f t="shared" si="464"/>
        <v>1</v>
      </c>
      <c r="T279" s="448">
        <f t="shared" si="464"/>
        <v>1</v>
      </c>
      <c r="U279" s="448"/>
      <c r="V279" s="448">
        <f>K$8*K279</f>
        <v>4.0000000000000001E-10</v>
      </c>
      <c r="W279" s="448">
        <f>L$8*L279</f>
        <v>2.0000000000000001E-10</v>
      </c>
      <c r="X279" s="448">
        <f>M$8*M279</f>
        <v>3E-10</v>
      </c>
      <c r="Y279" s="448">
        <f>N$8*N279</f>
        <v>0</v>
      </c>
      <c r="Z279" s="448">
        <f>IF($O$8&gt;$T$8,O$8*O279,0)</f>
        <v>0</v>
      </c>
      <c r="AA279" s="448">
        <f>P$8*P279</f>
        <v>6E-10</v>
      </c>
      <c r="AB279" s="448">
        <f>Q$8*Q279</f>
        <v>6.9999999999999996E-10</v>
      </c>
      <c r="AC279" s="448">
        <f>R$8*R279</f>
        <v>8.0000000000000003E-10</v>
      </c>
      <c r="AD279" s="448">
        <f>S$8*S279</f>
        <v>8.9999999999999999E-10</v>
      </c>
      <c r="AE279" s="448">
        <f t="shared" si="415"/>
        <v>9.5000000000000003E-10</v>
      </c>
      <c r="AF279" s="448" t="b">
        <f t="shared" ref="AF279:AO279" si="465">IF(V279&gt;LARGE(($V279:$AE279),6),TRUE,IF(K279=0.5,TRUE,FALSE))</f>
        <v>0</v>
      </c>
      <c r="AG279" s="448" t="b">
        <f t="shared" si="465"/>
        <v>0</v>
      </c>
      <c r="AH279" s="448" t="b">
        <f t="shared" si="465"/>
        <v>0</v>
      </c>
      <c r="AI279" s="448" t="b">
        <f t="shared" si="465"/>
        <v>0</v>
      </c>
      <c r="AJ279" s="448" t="b">
        <f t="shared" si="465"/>
        <v>0</v>
      </c>
      <c r="AK279" s="448" t="b">
        <f t="shared" si="465"/>
        <v>1</v>
      </c>
      <c r="AL279" s="448" t="b">
        <f t="shared" si="465"/>
        <v>1</v>
      </c>
      <c r="AM279" s="448" t="b">
        <f t="shared" si="465"/>
        <v>1</v>
      </c>
      <c r="AN279" s="448" t="b">
        <f t="shared" si="465"/>
        <v>1</v>
      </c>
      <c r="AO279" s="448" t="b">
        <f t="shared" si="465"/>
        <v>1</v>
      </c>
      <c r="AQ279" s="365" t="str">
        <f>'Reference Score Calculation'!M256</f>
        <v>如同學有修讀六科，第六科成績 (x0.5) 會額外加上原有的Best 5分數</v>
      </c>
      <c r="AR279" s="365" t="str">
        <f>'Reference Score Calculation'!N256</f>
        <v>可包含 M1/2 或丙類科目 (較高者) 於計算內</v>
      </c>
      <c r="AS279" s="365" t="s">
        <v>356</v>
      </c>
      <c r="AT279" s="434"/>
      <c r="AU279" s="452"/>
      <c r="AV279" s="451"/>
      <c r="AW279" s="449"/>
      <c r="AX279" s="449"/>
      <c r="AY279" s="449"/>
      <c r="AZ279" s="449"/>
      <c r="BA279" s="434"/>
      <c r="BB279" s="434"/>
      <c r="BC279" s="434"/>
      <c r="BD279" s="452" t="b">
        <f>IF(BD278&gt;LARGE($BD278:$BM278,4),TRUE)</f>
        <v>0</v>
      </c>
      <c r="BE279" s="452" t="b">
        <v>1</v>
      </c>
      <c r="BF279" s="452" t="b">
        <f>IF(BF278&gt;LARGE($BD278:$BM278,4),TRUE,IF(BF277=$AU$254,TRUE,FALSE))</f>
        <v>0</v>
      </c>
      <c r="BG279" s="451"/>
      <c r="BH279" s="452" t="b">
        <f>IF(BH278&gt;LARGE($BD278:$BM278,4),TRUE,IF(BH277=$AU$254,TRUE,FALSE))</f>
        <v>0</v>
      </c>
      <c r="BI279" s="452" t="b">
        <f>IF(BI278&gt;LARGE($BD278:$BM278,4),TRUE,IF(BI277=$BA$278,TRUE,FALSE))</f>
        <v>1</v>
      </c>
      <c r="BJ279" s="452" t="b">
        <f>IF(BJ278&gt;LARGE($BD278:$BM278,4),TRUE,IF(BJ277=$BA$278,TRUE,FALSE))</f>
        <v>1</v>
      </c>
      <c r="BK279" s="452" t="b">
        <f>IF(BK278&gt;LARGE($BD278:$BM278,4),TRUE,IF(BK277=$BA$278,TRUE,FALSE))</f>
        <v>1</v>
      </c>
      <c r="BL279" s="452" t="b">
        <f>IF(BL278&gt;LARGE($BD278:$BM278,4),TRUE,IF(BL277=$BA$278,TRUE,FALSE))</f>
        <v>1</v>
      </c>
      <c r="BM279" s="452"/>
      <c r="BN279" s="449"/>
      <c r="BO279" s="449"/>
      <c r="BP279" s="449"/>
      <c r="BQ279" s="449"/>
      <c r="BR279" s="449"/>
      <c r="BS279" s="449"/>
      <c r="BT279" s="449"/>
    </row>
    <row r="280" spans="1:72" s="433" customFormat="1">
      <c r="A280" s="433" t="str">
        <f>'Reference Score Calculation'!A257</f>
        <v>JS6456</v>
      </c>
      <c r="B280" s="433" t="str">
        <f>'Reference Score Calculation'!A257</f>
        <v>JS6456</v>
      </c>
      <c r="C280" s="446" t="str">
        <f>'Reference Score Calculation'!D257</f>
        <v>內外全科醫學士</v>
      </c>
      <c r="D280" s="365"/>
      <c r="E280" s="447" t="str">
        <f>'Reference Score Calculation'!E257</f>
        <v>Best 6</v>
      </c>
      <c r="F280" s="462" t="str">
        <f>'Reference Score Calculation'!AB257</f>
        <v>Best 6</v>
      </c>
      <c r="G280" s="365" t="str">
        <f>入學要求!AB266</f>
        <v>v</v>
      </c>
      <c r="H280" s="365" t="str">
        <f>入學要求!AC266</f>
        <v>NO</v>
      </c>
      <c r="I280" s="365" t="str">
        <f>入學要求!AD266</f>
        <v>NO</v>
      </c>
      <c r="J280" s="448">
        <f t="shared" si="417"/>
        <v>3.9000000000000002E-9</v>
      </c>
      <c r="K280" s="448">
        <v>1</v>
      </c>
      <c r="L280" s="448">
        <v>1</v>
      </c>
      <c r="M280" s="448">
        <v>1</v>
      </c>
      <c r="N280" s="448">
        <v>0</v>
      </c>
      <c r="O280" s="448">
        <v>1</v>
      </c>
      <c r="P280" s="448">
        <v>1</v>
      </c>
      <c r="Q280" s="448">
        <v>1</v>
      </c>
      <c r="R280" s="448">
        <v>1</v>
      </c>
      <c r="S280" s="448">
        <v>1</v>
      </c>
      <c r="T280" s="448">
        <v>1</v>
      </c>
      <c r="U280" s="455"/>
      <c r="V280" s="448">
        <f t="shared" ref="V280:AD280" si="466">IF(K$15,K$8*K280*0.9,K$8*K280)</f>
        <v>4.0000000000000001E-10</v>
      </c>
      <c r="W280" s="448">
        <f t="shared" si="466"/>
        <v>2.0000000000000001E-10</v>
      </c>
      <c r="X280" s="448">
        <f t="shared" si="466"/>
        <v>3E-10</v>
      </c>
      <c r="Y280" s="448">
        <f t="shared" si="466"/>
        <v>0</v>
      </c>
      <c r="Z280" s="448">
        <f t="shared" si="466"/>
        <v>5.0000000000000003E-10</v>
      </c>
      <c r="AA280" s="448">
        <f t="shared" si="466"/>
        <v>6E-10</v>
      </c>
      <c r="AB280" s="448">
        <f t="shared" si="466"/>
        <v>6.9999999999999996E-10</v>
      </c>
      <c r="AC280" s="448">
        <f t="shared" si="466"/>
        <v>8.0000000000000003E-10</v>
      </c>
      <c r="AD280" s="448">
        <f t="shared" si="466"/>
        <v>8.9999999999999999E-10</v>
      </c>
      <c r="AE280" s="448">
        <f t="shared" si="415"/>
        <v>0</v>
      </c>
      <c r="AF280" s="448" t="b">
        <f t="shared" ref="AF280:AO280" si="467">IF(V280&gt;LARGE(($V280:$AE280),7),TRUE)</f>
        <v>1</v>
      </c>
      <c r="AG280" s="448" t="b">
        <f t="shared" si="467"/>
        <v>0</v>
      </c>
      <c r="AH280" s="448" t="b">
        <f t="shared" si="467"/>
        <v>0</v>
      </c>
      <c r="AI280" s="448" t="b">
        <f t="shared" si="467"/>
        <v>0</v>
      </c>
      <c r="AJ280" s="448" t="b">
        <f t="shared" si="467"/>
        <v>1</v>
      </c>
      <c r="AK280" s="448" t="b">
        <f t="shared" si="467"/>
        <v>1</v>
      </c>
      <c r="AL280" s="448" t="b">
        <f t="shared" si="467"/>
        <v>1</v>
      </c>
      <c r="AM280" s="448" t="b">
        <f t="shared" si="467"/>
        <v>1</v>
      </c>
      <c r="AN280" s="448" t="b">
        <f t="shared" si="467"/>
        <v>1</v>
      </c>
      <c r="AO280" s="448" t="b">
        <f t="shared" si="467"/>
        <v>0</v>
      </c>
      <c r="AP280" s="454">
        <v>0.1</v>
      </c>
      <c r="AQ280" s="365" t="str">
        <f>'Reference Score Calculation'!M257</f>
        <v>/</v>
      </c>
      <c r="AR280" s="365" t="str">
        <f>'Reference Score Calculation'!N257</f>
        <v>/</v>
      </c>
      <c r="AS280" s="365" t="s">
        <v>356</v>
      </c>
      <c r="AT280" s="434"/>
      <c r="AU280" s="452"/>
      <c r="AV280" s="451"/>
      <c r="AW280" s="449"/>
      <c r="AX280" s="449"/>
      <c r="AY280" s="449"/>
      <c r="AZ280" s="449"/>
      <c r="BA280" s="434"/>
      <c r="BB280" s="434"/>
      <c r="BC280" s="434"/>
      <c r="BD280" s="434"/>
      <c r="BE280" s="434"/>
      <c r="BF280" s="452"/>
      <c r="BG280" s="451"/>
      <c r="BH280" s="449"/>
      <c r="BI280" s="449"/>
      <c r="BJ280" s="449"/>
      <c r="BK280" s="449"/>
      <c r="BL280" s="449"/>
      <c r="BM280" s="449"/>
      <c r="BN280" s="449"/>
      <c r="BO280" s="449"/>
      <c r="BP280" s="449"/>
      <c r="BQ280" s="449"/>
      <c r="BR280" s="449"/>
      <c r="BS280" s="449"/>
      <c r="BT280" s="449"/>
    </row>
    <row r="281" spans="1:72" s="433" customFormat="1">
      <c r="A281" s="433" t="str">
        <f>'Reference Score Calculation'!A258</f>
        <v>JS6468</v>
      </c>
      <c r="B281" s="433" t="str">
        <f>'Reference Score Calculation'!A258</f>
        <v>JS6468</v>
      </c>
      <c r="C281" s="446" t="str">
        <f>'Reference Score Calculation'!D258</f>
        <v>護理學學士</v>
      </c>
      <c r="D281" s="365"/>
      <c r="E281" s="447" t="str">
        <f>'Reference Score Calculation'!E258</f>
        <v>Best 5</v>
      </c>
      <c r="F281" s="461" t="str">
        <f>'Reference Score Calculation'!AB258</f>
        <v>Best 5</v>
      </c>
      <c r="G281" s="365" t="str">
        <f>入學要求!AB267</f>
        <v>v</v>
      </c>
      <c r="H281" s="365" t="str">
        <f>入學要求!AC267</f>
        <v>E</v>
      </c>
      <c r="I281" s="365" t="str">
        <f>入學要求!AD267</f>
        <v>NO</v>
      </c>
      <c r="J281" s="448">
        <f t="shared" si="417"/>
        <v>3.9500000000000006E-9</v>
      </c>
      <c r="K281" s="448">
        <f>IF($AW$286=K$1,0.5,1)</f>
        <v>1</v>
      </c>
      <c r="L281" s="448">
        <f>IF($AW$286=L$1,0.5,1)</f>
        <v>1</v>
      </c>
      <c r="M281" s="448">
        <f>IF($AW$286=M$1,0.5,1)</f>
        <v>1</v>
      </c>
      <c r="N281" s="448">
        <v>0</v>
      </c>
      <c r="O281" s="448">
        <f t="shared" ref="O281:T281" si="468">IF($AW$286=O$1,0.5,1)</f>
        <v>1</v>
      </c>
      <c r="P281" s="448">
        <f t="shared" si="468"/>
        <v>1</v>
      </c>
      <c r="Q281" s="448">
        <f t="shared" si="468"/>
        <v>1</v>
      </c>
      <c r="R281" s="448">
        <f t="shared" si="468"/>
        <v>1</v>
      </c>
      <c r="S281" s="448">
        <f t="shared" si="468"/>
        <v>1</v>
      </c>
      <c r="T281" s="448">
        <f t="shared" si="468"/>
        <v>1</v>
      </c>
      <c r="U281" s="448"/>
      <c r="V281" s="448">
        <f>K$8*K281</f>
        <v>4.0000000000000001E-10</v>
      </c>
      <c r="W281" s="448">
        <f>L$8*L281</f>
        <v>2.0000000000000001E-10</v>
      </c>
      <c r="X281" s="448">
        <f>M$8*M281</f>
        <v>3E-10</v>
      </c>
      <c r="Y281" s="448">
        <f>N$8*N281</f>
        <v>0</v>
      </c>
      <c r="Z281" s="448">
        <f>IF($O$8&gt;$T$8,O$8*O281,0)</f>
        <v>0</v>
      </c>
      <c r="AA281" s="448">
        <f>P$8*P281</f>
        <v>6E-10</v>
      </c>
      <c r="AB281" s="448">
        <f>Q$8*Q281</f>
        <v>6.9999999999999996E-10</v>
      </c>
      <c r="AC281" s="448">
        <f>R$8*R281</f>
        <v>8.0000000000000003E-10</v>
      </c>
      <c r="AD281" s="448">
        <f>S$8*S281</f>
        <v>8.9999999999999999E-10</v>
      </c>
      <c r="AE281" s="448">
        <f t="shared" si="415"/>
        <v>9.5000000000000003E-10</v>
      </c>
      <c r="AF281" s="448" t="b">
        <f t="shared" ref="AF281:AO281" si="469">IF(V281&gt;LARGE(($V281:$AE281),6),TRUE,IF(K281=0.5,TRUE,FALSE))</f>
        <v>0</v>
      </c>
      <c r="AG281" s="448" t="b">
        <f t="shared" si="469"/>
        <v>0</v>
      </c>
      <c r="AH281" s="448" t="b">
        <f t="shared" si="469"/>
        <v>0</v>
      </c>
      <c r="AI281" s="448" t="b">
        <f t="shared" si="469"/>
        <v>0</v>
      </c>
      <c r="AJ281" s="448" t="b">
        <f t="shared" si="469"/>
        <v>0</v>
      </c>
      <c r="AK281" s="448" t="b">
        <f t="shared" si="469"/>
        <v>1</v>
      </c>
      <c r="AL281" s="448" t="b">
        <f t="shared" si="469"/>
        <v>1</v>
      </c>
      <c r="AM281" s="448" t="b">
        <f t="shared" si="469"/>
        <v>1</v>
      </c>
      <c r="AN281" s="448" t="b">
        <f t="shared" si="469"/>
        <v>1</v>
      </c>
      <c r="AO281" s="448" t="b">
        <f t="shared" si="469"/>
        <v>1</v>
      </c>
      <c r="AQ281" s="365" t="str">
        <f>'Reference Score Calculation'!M258</f>
        <v>如同學有修讀六科，第六科成績 (x0.5) 會額外加上原有的Best 5分數</v>
      </c>
      <c r="AR281" s="365" t="str">
        <f>'Reference Score Calculation'!N258</f>
        <v>可包含 M1/2 或丙類科目 (較高者) 於計算內</v>
      </c>
      <c r="AS281" s="365" t="s">
        <v>356</v>
      </c>
      <c r="AT281" s="434"/>
      <c r="AU281" s="450"/>
      <c r="AV281" s="450"/>
      <c r="AW281" s="449"/>
      <c r="AX281" s="449"/>
      <c r="AY281" s="449"/>
      <c r="AZ281" s="449"/>
      <c r="BA281" s="453" t="s">
        <v>309</v>
      </c>
      <c r="BB281" s="434"/>
      <c r="BC281" s="434"/>
      <c r="BD281" s="450" t="str">
        <f t="shared" ref="BD281:BL281" si="470">K$1</f>
        <v>中國語文</v>
      </c>
      <c r="BE281" s="450" t="str">
        <f t="shared" si="470"/>
        <v>英國語文</v>
      </c>
      <c r="BF281" s="450" t="str">
        <f t="shared" si="470"/>
        <v>數學</v>
      </c>
      <c r="BG281" s="451"/>
      <c r="BH281" s="450" t="str">
        <f t="shared" si="470"/>
        <v>數學延伸</v>
      </c>
      <c r="BI281" s="450" t="str">
        <f t="shared" si="470"/>
        <v>請選擇第一選修科</v>
      </c>
      <c r="BJ281" s="450" t="str">
        <f t="shared" si="470"/>
        <v>請選擇第二選修科</v>
      </c>
      <c r="BK281" s="450" t="str">
        <f t="shared" si="470"/>
        <v>請選擇第三選修科</v>
      </c>
      <c r="BL281" s="450" t="str">
        <f t="shared" si="470"/>
        <v>請選擇第四選修科</v>
      </c>
      <c r="BM281" s="450"/>
      <c r="BN281" s="449"/>
      <c r="BO281" s="449"/>
      <c r="BP281" s="449"/>
      <c r="BQ281" s="449"/>
      <c r="BR281" s="449"/>
      <c r="BS281" s="449"/>
      <c r="BT281" s="449"/>
    </row>
    <row r="282" spans="1:72" s="433" customFormat="1">
      <c r="A282" s="433" t="str">
        <f>'Reference Score Calculation'!A259</f>
        <v>JS6470</v>
      </c>
      <c r="B282" s="433" t="str">
        <f>'Reference Score Calculation'!A259</f>
        <v>JS6470</v>
      </c>
      <c r="C282" s="446" t="str">
        <f>'Reference Score Calculation'!D259</f>
        <v>理學士(生物訊息學)</v>
      </c>
      <c r="D282" s="365"/>
      <c r="E282" s="447" t="str">
        <f>'Reference Score Calculation'!E259</f>
        <v>Best 6</v>
      </c>
      <c r="F282" s="462" t="str">
        <f>'Reference Score Calculation'!AB259</f>
        <v>Best 6</v>
      </c>
      <c r="G282" s="365" t="str">
        <f>入學要求!AB268</f>
        <v>v</v>
      </c>
      <c r="H282" s="365" t="str">
        <f>入學要求!AC268</f>
        <v>NO</v>
      </c>
      <c r="I282" s="365" t="str">
        <f>入學要求!AD268</f>
        <v>NO</v>
      </c>
      <c r="J282" s="448">
        <f t="shared" si="417"/>
        <v>3.9000000000000002E-9</v>
      </c>
      <c r="K282" s="448">
        <v>1</v>
      </c>
      <c r="L282" s="448">
        <v>1</v>
      </c>
      <c r="M282" s="448">
        <v>1</v>
      </c>
      <c r="N282" s="448">
        <v>0</v>
      </c>
      <c r="O282" s="448">
        <v>1</v>
      </c>
      <c r="P282" s="448">
        <v>1</v>
      </c>
      <c r="Q282" s="448">
        <v>1</v>
      </c>
      <c r="R282" s="448">
        <v>1</v>
      </c>
      <c r="S282" s="448">
        <v>1</v>
      </c>
      <c r="T282" s="448">
        <v>1</v>
      </c>
      <c r="U282" s="455"/>
      <c r="V282" s="448">
        <f>IF(K$15,K$8*K282*0.9,K$8*K282)</f>
        <v>4.0000000000000001E-10</v>
      </c>
      <c r="W282" s="448">
        <f>IF(L$15,L$8*L282*0.9,L$8*L282)</f>
        <v>2.0000000000000001E-10</v>
      </c>
      <c r="X282" s="448">
        <f>IF(M$15,M$8*M282*0.9,M$8*M282)</f>
        <v>3E-10</v>
      </c>
      <c r="Y282" s="448">
        <f>IF(N$15,N$8*N282*0.9,N$8*N282)</f>
        <v>0</v>
      </c>
      <c r="Z282" s="448">
        <f>O$8*O282</f>
        <v>5.0000000000000003E-10</v>
      </c>
      <c r="AA282" s="448">
        <f>IF(P$15,P$8*P282*0.9,P$8*P282)</f>
        <v>6E-10</v>
      </c>
      <c r="AB282" s="448">
        <f>IF(Q$15,Q$8*Q282*0.9,Q$8*Q282)</f>
        <v>6.9999999999999996E-10</v>
      </c>
      <c r="AC282" s="448">
        <f>IF(R$15,R$8*R282*0.9,R$8*R282)</f>
        <v>8.0000000000000003E-10</v>
      </c>
      <c r="AD282" s="448">
        <f>IF(S$15,S$8*S282*0.9,S$8*S282)</f>
        <v>8.9999999999999999E-10</v>
      </c>
      <c r="AE282" s="448">
        <f t="shared" si="415"/>
        <v>0</v>
      </c>
      <c r="AF282" s="448" t="b">
        <f t="shared" ref="AF282:AO282" si="471">IF(V282&gt;LARGE(($V282:$AE282),7),TRUE)</f>
        <v>1</v>
      </c>
      <c r="AG282" s="448" t="b">
        <f t="shared" si="471"/>
        <v>0</v>
      </c>
      <c r="AH282" s="448" t="b">
        <f t="shared" si="471"/>
        <v>0</v>
      </c>
      <c r="AI282" s="448" t="b">
        <f t="shared" si="471"/>
        <v>0</v>
      </c>
      <c r="AJ282" s="448" t="b">
        <f t="shared" si="471"/>
        <v>1</v>
      </c>
      <c r="AK282" s="448" t="b">
        <f t="shared" si="471"/>
        <v>1</v>
      </c>
      <c r="AL282" s="448" t="b">
        <f t="shared" si="471"/>
        <v>1</v>
      </c>
      <c r="AM282" s="448" t="b">
        <f t="shared" si="471"/>
        <v>1</v>
      </c>
      <c r="AN282" s="448" t="b">
        <f t="shared" si="471"/>
        <v>1</v>
      </c>
      <c r="AO282" s="448" t="b">
        <f t="shared" si="471"/>
        <v>0</v>
      </c>
      <c r="AP282" s="454">
        <v>0.1</v>
      </c>
      <c r="AQ282" s="365" t="str">
        <f>'Reference Score Calculation'!M259</f>
        <v>/</v>
      </c>
      <c r="AR282" s="365" t="str">
        <f>'Reference Score Calculation'!N259</f>
        <v>/</v>
      </c>
      <c r="AS282" s="365" t="s">
        <v>356</v>
      </c>
      <c r="AT282" s="434" t="s">
        <v>405</v>
      </c>
      <c r="AU282" s="452" t="s">
        <v>400</v>
      </c>
      <c r="AV282" s="451"/>
      <c r="AW282" s="449"/>
      <c r="AX282" s="449"/>
      <c r="AY282" s="449"/>
      <c r="AZ282" s="449"/>
      <c r="BA282" s="433" t="str">
        <f>INDEX(AU265:AX265,MATCH(LARGE(AU266:AX266,1),AU266:AX266,0))</f>
        <v>請選擇第一選修科</v>
      </c>
      <c r="BB282" s="433">
        <f>LARGE((AU266:AX266),1)</f>
        <v>0</v>
      </c>
      <c r="BC282" s="434"/>
      <c r="BD282" s="447">
        <f>K$8</f>
        <v>4.0000000000000001E-10</v>
      </c>
      <c r="BE282" s="447">
        <v>0</v>
      </c>
      <c r="BF282" s="447">
        <v>0</v>
      </c>
      <c r="BG282" s="451"/>
      <c r="BH282" s="447">
        <f>O$8*2</f>
        <v>1.0000000000000001E-9</v>
      </c>
      <c r="BI282" s="447">
        <f>IF(BI281=$BA$278,0,IF(OR(P$1="化學",P$1="生物",P$1="組合科學(物理、化學)",P$1="組合科學(生物、化學)",P$1="組合科學(物理、生物)",P$1="物理",P$1="綜合科學"),P$8*2,P$8*1.25))</f>
        <v>0</v>
      </c>
      <c r="BJ282" s="447">
        <f>IF(BJ281=$BA$278,0,IF(OR(Q$1="化學",Q$1="生物",Q$1="組合科學(物理、化學)",Q$1="組合科學(生物、化學)",Q$1="組合科學(物理、生物)",Q$1="物理",Q$1="綜合科學"),Q$8*2,Q$8*1.25))</f>
        <v>8.7499999999999998E-10</v>
      </c>
      <c r="BK282" s="447">
        <f>IF(BK281=$BA$278,0,IF(OR(R$1="化學",R$1="生物",R$1="組合科學(物理、化學)",R$1="組合科學(生物、化學)",R$1="組合科學(物理、生物)",R$1="物理",R$1="綜合科學"),R$8*2,R$8*1.25))</f>
        <v>1.0000000000000001E-9</v>
      </c>
      <c r="BL282" s="447">
        <f>IF(BL281=$BA$278,0,IF(OR(S$1="化學",S$1="生物",S$1="組合科學(物理、化學)",S$1="組合科學(生物、化學)",S$1="組合科學(物理、生物)",S$1="物理",S$1="綜合科學"),S$8*2,S$8*1.25))</f>
        <v>1.1249999999999999E-9</v>
      </c>
      <c r="BM282" s="447"/>
      <c r="BN282" s="449"/>
      <c r="BO282" s="449"/>
      <c r="BP282" s="449"/>
      <c r="BQ282" s="449"/>
      <c r="BR282" s="449"/>
      <c r="BS282" s="449"/>
      <c r="BT282" s="449"/>
    </row>
    <row r="283" spans="1:72" s="433" customFormat="1">
      <c r="A283" s="433" t="str">
        <f>'Reference Score Calculation'!A260</f>
        <v>JS6482</v>
      </c>
      <c r="B283" s="433" t="str">
        <f>'Reference Score Calculation'!A260</f>
        <v>JS6482</v>
      </c>
      <c r="C283" s="446" t="str">
        <f>'Reference Score Calculation'!D260</f>
        <v>中醫全科學士</v>
      </c>
      <c r="D283" s="365"/>
      <c r="E283" s="447" t="str">
        <f>'Reference Score Calculation'!E260</f>
        <v>Best 5</v>
      </c>
      <c r="F283" s="461" t="str">
        <f>'Reference Score Calculation'!AB260</f>
        <v>Best 5</v>
      </c>
      <c r="G283" s="365" t="str">
        <f>入學要求!AB269</f>
        <v>v</v>
      </c>
      <c r="H283" s="365" t="str">
        <f>入學要求!AC269</f>
        <v>E</v>
      </c>
      <c r="I283" s="365" t="str">
        <f>入學要求!AD269</f>
        <v>NO</v>
      </c>
      <c r="J283" s="448">
        <f t="shared" si="417"/>
        <v>3.9500000000000006E-9</v>
      </c>
      <c r="K283" s="448">
        <f>IF($AW$286=K$1,0.5,1)</f>
        <v>1</v>
      </c>
      <c r="L283" s="448">
        <f>IF($AW$286=L$1,0.5,1)</f>
        <v>1</v>
      </c>
      <c r="M283" s="448">
        <f>IF($AW$286=M$1,0.5,1)</f>
        <v>1</v>
      </c>
      <c r="N283" s="448">
        <v>0</v>
      </c>
      <c r="O283" s="448">
        <f t="shared" ref="O283:T283" si="472">IF($AW$286=O$1,0.5,1)</f>
        <v>1</v>
      </c>
      <c r="P283" s="448">
        <f t="shared" si="472"/>
        <v>1</v>
      </c>
      <c r="Q283" s="448">
        <f t="shared" si="472"/>
        <v>1</v>
      </c>
      <c r="R283" s="448">
        <f t="shared" si="472"/>
        <v>1</v>
      </c>
      <c r="S283" s="448">
        <f t="shared" si="472"/>
        <v>1</v>
      </c>
      <c r="T283" s="448">
        <f t="shared" si="472"/>
        <v>1</v>
      </c>
      <c r="U283" s="448"/>
      <c r="V283" s="448">
        <f>K$8*K283</f>
        <v>4.0000000000000001E-10</v>
      </c>
      <c r="W283" s="448">
        <f>L$8*L283</f>
        <v>2.0000000000000001E-10</v>
      </c>
      <c r="X283" s="448">
        <f>M$8*M283</f>
        <v>3E-10</v>
      </c>
      <c r="Y283" s="448">
        <f>N$8*N283</f>
        <v>0</v>
      </c>
      <c r="Z283" s="448">
        <f>IF($O$8&gt;$T$8,O$8*O283,0)</f>
        <v>0</v>
      </c>
      <c r="AA283" s="448">
        <f>P$8*P283</f>
        <v>6E-10</v>
      </c>
      <c r="AB283" s="448">
        <f>Q$8*Q283</f>
        <v>6.9999999999999996E-10</v>
      </c>
      <c r="AC283" s="448">
        <f>R$8*R283</f>
        <v>8.0000000000000003E-10</v>
      </c>
      <c r="AD283" s="448">
        <f>S$8*S283</f>
        <v>8.9999999999999999E-10</v>
      </c>
      <c r="AE283" s="448">
        <f t="shared" ref="AE283:AE299" si="473">IF(H283="E",IF($T$8 &gt; $O$8,$T$8*T283,0),0)</f>
        <v>9.5000000000000003E-10</v>
      </c>
      <c r="AF283" s="448" t="b">
        <f t="shared" ref="AF283:AO283" si="474">IF(V283&gt;LARGE(($V283:$AE283),6),TRUE,IF(K283=0.5,TRUE,FALSE))</f>
        <v>0</v>
      </c>
      <c r="AG283" s="448" t="b">
        <f t="shared" si="474"/>
        <v>0</v>
      </c>
      <c r="AH283" s="448" t="b">
        <f t="shared" si="474"/>
        <v>0</v>
      </c>
      <c r="AI283" s="448" t="b">
        <f t="shared" si="474"/>
        <v>0</v>
      </c>
      <c r="AJ283" s="448" t="b">
        <f t="shared" si="474"/>
        <v>0</v>
      </c>
      <c r="AK283" s="448" t="b">
        <f t="shared" si="474"/>
        <v>1</v>
      </c>
      <c r="AL283" s="448" t="b">
        <f t="shared" si="474"/>
        <v>1</v>
      </c>
      <c r="AM283" s="448" t="b">
        <f t="shared" si="474"/>
        <v>1</v>
      </c>
      <c r="AN283" s="448" t="b">
        <f t="shared" si="474"/>
        <v>1</v>
      </c>
      <c r="AO283" s="448" t="b">
        <f t="shared" si="474"/>
        <v>1</v>
      </c>
      <c r="AQ283" s="365" t="str">
        <f>'Reference Score Calculation'!M260</f>
        <v>如同學有修讀六科，第六科成績 (x0.5) 會額外加上原有的Best 5分數</v>
      </c>
      <c r="AR283" s="365" t="str">
        <f>'Reference Score Calculation'!N260</f>
        <v>可包含 M1/2 或丙類科目 (較高者) 於計算內</v>
      </c>
      <c r="AS283" s="365" t="s">
        <v>356</v>
      </c>
      <c r="AT283" s="434"/>
      <c r="AU283" s="452"/>
      <c r="AV283" s="451"/>
      <c r="AW283" s="449"/>
      <c r="AX283" s="449"/>
      <c r="AY283" s="449"/>
      <c r="AZ283" s="449"/>
      <c r="BA283" s="434"/>
      <c r="BB283" s="434"/>
      <c r="BC283" s="434"/>
      <c r="BD283" s="452" t="b">
        <f>IF(BD282&gt;LARGE($BD282:$BM282,3),TRUE)</f>
        <v>0</v>
      </c>
      <c r="BE283" s="452" t="b">
        <v>1</v>
      </c>
      <c r="BF283" s="452" t="b">
        <v>1</v>
      </c>
      <c r="BG283" s="451"/>
      <c r="BH283" s="452" t="b">
        <f>IF(BH282&gt;LARGE($BD282:$BM282,3),TRUE)</f>
        <v>0</v>
      </c>
      <c r="BI283" s="452" t="b">
        <f>IF(BI282&gt;LARGE($BD282:$BM282,3),TRUE,IF(BI281=$BA$282,TRUE,FALSE))</f>
        <v>1</v>
      </c>
      <c r="BJ283" s="452" t="b">
        <f>IF(BJ282&gt;LARGE($BD282:$BM282,3),TRUE,IF(BJ281=$BA$282,TRUE,FALSE))</f>
        <v>0</v>
      </c>
      <c r="BK283" s="452" t="b">
        <f>IF(BK282&gt;LARGE($BD282:$BM282,3),TRUE,IF(BK281=$BA$282,TRUE,FALSE))</f>
        <v>0</v>
      </c>
      <c r="BL283" s="452" t="b">
        <f>IF(BL282&gt;LARGE($BD282:$BM282,3),TRUE,IF(BL281=$BA$282,TRUE,FALSE))</f>
        <v>1</v>
      </c>
      <c r="BM283" s="452"/>
      <c r="BN283" s="449"/>
      <c r="BO283" s="449"/>
      <c r="BP283" s="449"/>
      <c r="BQ283" s="449"/>
      <c r="BR283" s="449"/>
      <c r="BS283" s="449"/>
      <c r="BT283" s="449"/>
    </row>
    <row r="284" spans="1:72" s="433" customFormat="1">
      <c r="A284" s="433" t="str">
        <f>'Reference Score Calculation'!A261</f>
        <v>JS6494</v>
      </c>
      <c r="B284" s="433" t="str">
        <f>'Reference Score Calculation'!A261</f>
        <v>JS6494</v>
      </c>
      <c r="C284" s="446" t="str">
        <f>'Reference Score Calculation'!D261</f>
        <v>藥劑學學士</v>
      </c>
      <c r="D284" s="365"/>
      <c r="E284" s="447" t="str">
        <f>'Reference Score Calculation'!E261</f>
        <v>Best 6</v>
      </c>
      <c r="F284" s="462" t="str">
        <f>'Reference Score Calculation'!AB261</f>
        <v>Best 6</v>
      </c>
      <c r="G284" s="365" t="str">
        <f>入學要求!AB270</f>
        <v>v</v>
      </c>
      <c r="H284" s="365" t="str">
        <f>入學要求!AC270</f>
        <v>NO</v>
      </c>
      <c r="I284" s="365" t="str">
        <f>入學要求!AD270</f>
        <v>NO</v>
      </c>
      <c r="J284" s="448">
        <f t="shared" si="417"/>
        <v>3.9000000000000002E-9</v>
      </c>
      <c r="K284" s="448">
        <v>1</v>
      </c>
      <c r="L284" s="448">
        <v>1</v>
      </c>
      <c r="M284" s="448">
        <v>1</v>
      </c>
      <c r="N284" s="448">
        <v>0</v>
      </c>
      <c r="O284" s="448">
        <v>1</v>
      </c>
      <c r="P284" s="448">
        <v>1</v>
      </c>
      <c r="Q284" s="448">
        <v>1</v>
      </c>
      <c r="R284" s="448">
        <v>1</v>
      </c>
      <c r="S284" s="448">
        <v>1</v>
      </c>
      <c r="T284" s="448">
        <v>1</v>
      </c>
      <c r="U284" s="455"/>
      <c r="V284" s="448">
        <f t="shared" ref="V284:AD285" si="475">IF(K$15,K$8*K284*0.9,K$8*K284)</f>
        <v>4.0000000000000001E-10</v>
      </c>
      <c r="W284" s="448">
        <f t="shared" si="475"/>
        <v>2.0000000000000001E-10</v>
      </c>
      <c r="X284" s="448">
        <f t="shared" si="475"/>
        <v>3E-10</v>
      </c>
      <c r="Y284" s="448">
        <f t="shared" si="475"/>
        <v>0</v>
      </c>
      <c r="Z284" s="448">
        <f t="shared" si="475"/>
        <v>5.0000000000000003E-10</v>
      </c>
      <c r="AA284" s="448">
        <f t="shared" si="475"/>
        <v>6E-10</v>
      </c>
      <c r="AB284" s="448">
        <f t="shared" si="475"/>
        <v>6.9999999999999996E-10</v>
      </c>
      <c r="AC284" s="448">
        <f t="shared" si="475"/>
        <v>8.0000000000000003E-10</v>
      </c>
      <c r="AD284" s="448">
        <f t="shared" si="475"/>
        <v>8.9999999999999999E-10</v>
      </c>
      <c r="AE284" s="448">
        <f t="shared" si="473"/>
        <v>0</v>
      </c>
      <c r="AF284" s="448" t="b">
        <f t="shared" ref="AF284:AO285" si="476">IF(V284&gt;LARGE(($V284:$AE284),7),TRUE)</f>
        <v>1</v>
      </c>
      <c r="AG284" s="448" t="b">
        <f t="shared" si="476"/>
        <v>0</v>
      </c>
      <c r="AH284" s="448" t="b">
        <f t="shared" si="476"/>
        <v>0</v>
      </c>
      <c r="AI284" s="448" t="b">
        <f t="shared" si="476"/>
        <v>0</v>
      </c>
      <c r="AJ284" s="448" t="b">
        <f t="shared" si="476"/>
        <v>1</v>
      </c>
      <c r="AK284" s="448" t="b">
        <f t="shared" si="476"/>
        <v>1</v>
      </c>
      <c r="AL284" s="448" t="b">
        <f t="shared" si="476"/>
        <v>1</v>
      </c>
      <c r="AM284" s="448" t="b">
        <f t="shared" si="476"/>
        <v>1</v>
      </c>
      <c r="AN284" s="448" t="b">
        <f t="shared" si="476"/>
        <v>1</v>
      </c>
      <c r="AO284" s="448" t="b">
        <f t="shared" si="476"/>
        <v>0</v>
      </c>
      <c r="AP284" s="454">
        <v>0.1</v>
      </c>
      <c r="AQ284" s="365" t="str">
        <f>'Reference Score Calculation'!M261</f>
        <v>/</v>
      </c>
      <c r="AR284" s="365" t="str">
        <f>'Reference Score Calculation'!N261</f>
        <v>/</v>
      </c>
      <c r="AS284" s="365" t="s">
        <v>356</v>
      </c>
      <c r="AT284" s="449"/>
      <c r="AU284" s="449"/>
      <c r="AV284" s="449"/>
      <c r="AW284" s="449"/>
      <c r="AX284" s="449"/>
      <c r="AY284" s="449"/>
      <c r="AZ284" s="449"/>
      <c r="BA284" s="449"/>
      <c r="BB284" s="449"/>
      <c r="BC284" s="449"/>
      <c r="BD284" s="449"/>
      <c r="BE284" s="449"/>
      <c r="BF284" s="449"/>
      <c r="BG284" s="451"/>
      <c r="BH284" s="449"/>
      <c r="BI284" s="449"/>
      <c r="BJ284" s="449"/>
      <c r="BK284" s="449"/>
      <c r="BL284" s="449"/>
      <c r="BM284" s="449"/>
      <c r="BN284" s="449"/>
      <c r="BO284" s="449"/>
      <c r="BP284" s="449"/>
      <c r="BQ284" s="449"/>
      <c r="BR284" s="449"/>
      <c r="BS284" s="449"/>
      <c r="BT284" s="449"/>
    </row>
    <row r="285" spans="1:72" s="433" customFormat="1">
      <c r="A285" s="433" t="str">
        <f>'Reference Score Calculation'!A262</f>
        <v>JS6949</v>
      </c>
      <c r="B285" s="433" t="str">
        <f>'Reference Score Calculation'!A262</f>
        <v>JS6949</v>
      </c>
      <c r="C285" s="446" t="str">
        <f>'Reference Score Calculation'!D262</f>
        <v>生物醫學學士</v>
      </c>
      <c r="D285" s="365"/>
      <c r="E285" s="447" t="str">
        <f>'Reference Score Calculation'!E262</f>
        <v>Best 6</v>
      </c>
      <c r="F285" s="462" t="str">
        <f>'Reference Score Calculation'!AB262</f>
        <v>Best 6</v>
      </c>
      <c r="G285" s="365" t="str">
        <f>入學要求!AB271</f>
        <v>v</v>
      </c>
      <c r="H285" s="365" t="str">
        <f>入學要求!AC271</f>
        <v>NO</v>
      </c>
      <c r="I285" s="365" t="str">
        <f>入學要求!AD271</f>
        <v>NO</v>
      </c>
      <c r="J285" s="448">
        <f t="shared" si="417"/>
        <v>3.9000000000000002E-9</v>
      </c>
      <c r="K285" s="448">
        <v>1</v>
      </c>
      <c r="L285" s="448">
        <v>1</v>
      </c>
      <c r="M285" s="448">
        <v>1</v>
      </c>
      <c r="N285" s="448">
        <v>0</v>
      </c>
      <c r="O285" s="448">
        <v>1</v>
      </c>
      <c r="P285" s="448">
        <v>1</v>
      </c>
      <c r="Q285" s="448">
        <v>1</v>
      </c>
      <c r="R285" s="448">
        <v>1</v>
      </c>
      <c r="S285" s="448">
        <v>1</v>
      </c>
      <c r="T285" s="448">
        <v>1</v>
      </c>
      <c r="U285" s="455"/>
      <c r="V285" s="448">
        <f t="shared" si="475"/>
        <v>4.0000000000000001E-10</v>
      </c>
      <c r="W285" s="448">
        <f t="shared" si="475"/>
        <v>2.0000000000000001E-10</v>
      </c>
      <c r="X285" s="448">
        <f t="shared" si="475"/>
        <v>3E-10</v>
      </c>
      <c r="Y285" s="448">
        <f t="shared" si="475"/>
        <v>0</v>
      </c>
      <c r="Z285" s="448">
        <f t="shared" si="475"/>
        <v>5.0000000000000003E-10</v>
      </c>
      <c r="AA285" s="448">
        <f t="shared" si="475"/>
        <v>6E-10</v>
      </c>
      <c r="AB285" s="448">
        <f t="shared" si="475"/>
        <v>6.9999999999999996E-10</v>
      </c>
      <c r="AC285" s="448">
        <f t="shared" si="475"/>
        <v>8.0000000000000003E-10</v>
      </c>
      <c r="AD285" s="448">
        <f t="shared" si="475"/>
        <v>8.9999999999999999E-10</v>
      </c>
      <c r="AE285" s="448">
        <f t="shared" si="473"/>
        <v>0</v>
      </c>
      <c r="AF285" s="448" t="b">
        <f t="shared" si="476"/>
        <v>1</v>
      </c>
      <c r="AG285" s="448" t="b">
        <f t="shared" si="476"/>
        <v>0</v>
      </c>
      <c r="AH285" s="448" t="b">
        <f t="shared" si="476"/>
        <v>0</v>
      </c>
      <c r="AI285" s="448" t="b">
        <f t="shared" si="476"/>
        <v>0</v>
      </c>
      <c r="AJ285" s="448" t="b">
        <f t="shared" si="476"/>
        <v>1</v>
      </c>
      <c r="AK285" s="448" t="b">
        <f t="shared" si="476"/>
        <v>1</v>
      </c>
      <c r="AL285" s="448" t="b">
        <f t="shared" si="476"/>
        <v>1</v>
      </c>
      <c r="AM285" s="448" t="b">
        <f t="shared" si="476"/>
        <v>1</v>
      </c>
      <c r="AN285" s="448" t="b">
        <f t="shared" si="476"/>
        <v>1</v>
      </c>
      <c r="AO285" s="448" t="b">
        <f t="shared" si="476"/>
        <v>0</v>
      </c>
      <c r="AP285" s="454">
        <v>0.1</v>
      </c>
      <c r="AQ285" s="365" t="str">
        <f>'Reference Score Calculation'!M262</f>
        <v>/</v>
      </c>
      <c r="AR285" s="365" t="str">
        <f>'Reference Score Calculation'!N262</f>
        <v>/</v>
      </c>
      <c r="AS285" s="365" t="s">
        <v>356</v>
      </c>
      <c r="AT285" s="434" t="s">
        <v>406</v>
      </c>
      <c r="AU285" s="450" t="s">
        <v>407</v>
      </c>
      <c r="AV285" s="450"/>
      <c r="AW285" s="449"/>
      <c r="AX285" s="449"/>
      <c r="AY285" s="449"/>
      <c r="AZ285" s="449" t="s">
        <v>408</v>
      </c>
      <c r="BA285" s="450"/>
      <c r="BB285" s="450"/>
      <c r="BC285" s="450"/>
      <c r="BD285" s="450" t="str">
        <f t="shared" ref="BD285:BM285" si="477">K$1</f>
        <v>中國語文</v>
      </c>
      <c r="BE285" s="450" t="str">
        <f t="shared" si="477"/>
        <v>英國語文</v>
      </c>
      <c r="BF285" s="450" t="str">
        <f t="shared" si="477"/>
        <v>數學</v>
      </c>
      <c r="BG285" s="451"/>
      <c r="BH285" s="450" t="str">
        <f t="shared" si="477"/>
        <v>數學延伸</v>
      </c>
      <c r="BI285" s="450" t="str">
        <f t="shared" si="477"/>
        <v>請選擇第一選修科</v>
      </c>
      <c r="BJ285" s="450" t="str">
        <f t="shared" si="477"/>
        <v>請選擇第二選修科</v>
      </c>
      <c r="BK285" s="450" t="str">
        <f t="shared" si="477"/>
        <v>請選擇第三選修科</v>
      </c>
      <c r="BL285" s="450" t="str">
        <f t="shared" si="477"/>
        <v>請選擇第四選修科</v>
      </c>
      <c r="BM285" s="450" t="str">
        <f t="shared" si="477"/>
        <v>請選擇語言科目</v>
      </c>
      <c r="BN285" s="449"/>
      <c r="BO285" s="449"/>
      <c r="BP285" s="449"/>
      <c r="BQ285" s="449"/>
      <c r="BR285" s="449"/>
      <c r="BS285" s="449"/>
      <c r="BT285" s="449"/>
    </row>
    <row r="286" spans="1:72" s="433" customFormat="1">
      <c r="A286" s="433" t="str">
        <f>'Reference Score Calculation'!A263</f>
        <v>JS6688</v>
      </c>
      <c r="B286" s="433" t="str">
        <f>'Reference Score Calculation'!A263</f>
        <v>JS6688</v>
      </c>
      <c r="C286" s="446" t="str">
        <f>'Reference Score Calculation'!D263</f>
        <v>科研專才啟導課程</v>
      </c>
      <c r="D286" s="365"/>
      <c r="E286" s="447" t="str">
        <f>'Reference Score Calculation'!E263</f>
        <v>Best 5</v>
      </c>
      <c r="F286" s="461" t="str">
        <f>'Reference Score Calculation'!AB263</f>
        <v>Best 5</v>
      </c>
      <c r="G286" s="365" t="str">
        <f>入學要求!AB272</f>
        <v>v</v>
      </c>
      <c r="H286" s="365" t="str">
        <f>入學要求!AC272</f>
        <v>NO</v>
      </c>
      <c r="I286" s="365" t="str">
        <f>入學要求!AD272</f>
        <v>NO</v>
      </c>
      <c r="J286" s="448">
        <f t="shared" si="417"/>
        <v>2.7499999999999998E-9</v>
      </c>
      <c r="K286" s="448">
        <v>1</v>
      </c>
      <c r="L286" s="448">
        <v>1</v>
      </c>
      <c r="M286" s="448">
        <v>1</v>
      </c>
      <c r="N286" s="448">
        <v>0</v>
      </c>
      <c r="O286" s="448">
        <v>1.5</v>
      </c>
      <c r="P286" s="448">
        <f>IF(OR(P$1="化學",P$1="生物",P$1="組合科學(物理、化學)",P$1="組合科學(生物、化學)",P$1="組合科學(物理、生物)",P$1="物理"),1.5,1)</f>
        <v>1</v>
      </c>
      <c r="Q286" s="448">
        <f t="shared" ref="Q286:S286" si="478">IF(OR(Q$1="化學",Q$1="生物",Q$1="組合科學(物理、化學)",Q$1="組合科學(生物、化學)",Q$1="組合科學(物理、生物)",Q$1="物理"),1.5,1)</f>
        <v>1</v>
      </c>
      <c r="R286" s="448">
        <f t="shared" si="478"/>
        <v>1</v>
      </c>
      <c r="S286" s="448">
        <f t="shared" si="478"/>
        <v>1</v>
      </c>
      <c r="T286" s="448">
        <v>1</v>
      </c>
      <c r="U286" s="455"/>
      <c r="V286" s="448">
        <f t="shared" ref="V286:AD289" si="479">K$8*K286</f>
        <v>4.0000000000000001E-10</v>
      </c>
      <c r="W286" s="448">
        <f t="shared" si="479"/>
        <v>2.0000000000000001E-10</v>
      </c>
      <c r="X286" s="448">
        <f t="shared" si="479"/>
        <v>3E-10</v>
      </c>
      <c r="Y286" s="448">
        <f t="shared" si="479"/>
        <v>0</v>
      </c>
      <c r="Z286" s="448">
        <f t="shared" si="479"/>
        <v>7.500000000000001E-10</v>
      </c>
      <c r="AA286" s="448">
        <f t="shared" si="479"/>
        <v>6E-10</v>
      </c>
      <c r="AB286" s="448">
        <f t="shared" si="479"/>
        <v>6.9999999999999996E-10</v>
      </c>
      <c r="AC286" s="448">
        <f t="shared" si="479"/>
        <v>8.0000000000000003E-10</v>
      </c>
      <c r="AD286" s="448">
        <f t="shared" si="479"/>
        <v>8.9999999999999999E-10</v>
      </c>
      <c r="AE286" s="448">
        <f t="shared" si="473"/>
        <v>0</v>
      </c>
      <c r="AF286" s="448" t="b">
        <f t="shared" ref="AF286:AO286" si="480">BF275</f>
        <v>0</v>
      </c>
      <c r="AG286" s="448" t="b">
        <f t="shared" si="480"/>
        <v>1</v>
      </c>
      <c r="AH286" s="448" t="b">
        <f t="shared" si="480"/>
        <v>1</v>
      </c>
      <c r="AI286" s="448">
        <f t="shared" si="480"/>
        <v>0</v>
      </c>
      <c r="AJ286" s="448" t="b">
        <f t="shared" si="480"/>
        <v>1</v>
      </c>
      <c r="AK286" s="448" t="b">
        <f t="shared" si="480"/>
        <v>1</v>
      </c>
      <c r="AL286" s="448" t="b">
        <f t="shared" si="480"/>
        <v>0</v>
      </c>
      <c r="AM286" s="448" t="b">
        <f t="shared" si="480"/>
        <v>0</v>
      </c>
      <c r="AN286" s="448" t="b">
        <f t="shared" si="480"/>
        <v>1</v>
      </c>
      <c r="AO286" s="448">
        <f t="shared" si="480"/>
        <v>0</v>
      </c>
      <c r="AQ286" s="365" t="str">
        <f>'Reference Score Calculation'!M263</f>
        <v>最佳五科必須包括︰英文、數學、最佳兩科理科*</v>
      </c>
      <c r="AR286" s="365" t="str">
        <f>'Reference Score Calculation'!N263</f>
        <v>*理科: M1/2、生物、化學、物理、組合科學</v>
      </c>
      <c r="AS286" s="365" t="s">
        <v>356</v>
      </c>
      <c r="AT286" s="434" t="s">
        <v>409</v>
      </c>
      <c r="AU286" s="447" t="str">
        <f>IF(COUNTIF(BD287:BM287,TRUE)&gt;0,"有","無")</f>
        <v>無</v>
      </c>
      <c r="AV286" s="433">
        <f>IFERROR(INDEX(BD286:BM286,MATCH(TRUE,BD287:BM287,0)),0)</f>
        <v>0</v>
      </c>
      <c r="AW286" s="447">
        <f>IFERROR(INDEX(BD285:BM285,MATCH(TRUE,BD287:BM287,0)),0)</f>
        <v>0</v>
      </c>
      <c r="AX286" s="365"/>
      <c r="AY286" s="449"/>
      <c r="AZ286" s="365">
        <f>AV286*0.5</f>
        <v>0</v>
      </c>
      <c r="BA286" s="450"/>
      <c r="BB286" s="450"/>
      <c r="BC286" s="450"/>
      <c r="BD286" s="447">
        <f t="shared" ref="BD286:BM286" si="481">K$8</f>
        <v>4.0000000000000001E-10</v>
      </c>
      <c r="BE286" s="447">
        <f t="shared" si="481"/>
        <v>2.0000000000000001E-10</v>
      </c>
      <c r="BF286" s="447">
        <f t="shared" si="481"/>
        <v>3E-10</v>
      </c>
      <c r="BG286" s="451"/>
      <c r="BH286" s="447">
        <f t="shared" si="481"/>
        <v>5.0000000000000003E-10</v>
      </c>
      <c r="BI286" s="447">
        <f t="shared" si="481"/>
        <v>6E-10</v>
      </c>
      <c r="BJ286" s="447">
        <f t="shared" si="481"/>
        <v>6.9999999999999996E-10</v>
      </c>
      <c r="BK286" s="447">
        <f t="shared" si="481"/>
        <v>8.0000000000000003E-10</v>
      </c>
      <c r="BL286" s="447">
        <f t="shared" si="481"/>
        <v>8.9999999999999999E-10</v>
      </c>
      <c r="BM286" s="447">
        <f t="shared" si="481"/>
        <v>9.5000000000000003E-10</v>
      </c>
      <c r="BN286" s="449"/>
      <c r="BO286" s="449"/>
      <c r="BP286" s="449"/>
      <c r="BQ286" s="449"/>
      <c r="BR286" s="449"/>
      <c r="BS286" s="449"/>
      <c r="BT286" s="449"/>
    </row>
    <row r="287" spans="1:72" s="433" customFormat="1">
      <c r="A287" s="433" t="str">
        <f>'Reference Score Calculation'!A264</f>
        <v>JS6729</v>
      </c>
      <c r="B287" s="433" t="str">
        <f>'Reference Score Calculation'!A264</f>
        <v>JS6729</v>
      </c>
      <c r="C287" s="446" t="str">
        <f>'Reference Score Calculation'!D264</f>
        <v>理學士(精算學)</v>
      </c>
      <c r="D287" s="365"/>
      <c r="E287" s="447" t="str">
        <f>'Reference Score Calculation'!E264</f>
        <v>Best 5</v>
      </c>
      <c r="F287" s="461" t="str">
        <f>'Reference Score Calculation'!AB264</f>
        <v>Best 5</v>
      </c>
      <c r="G287" s="365" t="str">
        <f>入學要求!AB273</f>
        <v>v</v>
      </c>
      <c r="H287" s="365" t="str">
        <f>入學要求!AC273</f>
        <v>NO</v>
      </c>
      <c r="I287" s="365" t="str">
        <f>入學要求!AD273</f>
        <v>NO</v>
      </c>
      <c r="J287" s="448">
        <f t="shared" si="417"/>
        <v>2.9000000000000003E-9</v>
      </c>
      <c r="K287" s="448">
        <v>1</v>
      </c>
      <c r="L287" s="448">
        <v>1.2</v>
      </c>
      <c r="M287" s="448">
        <v>1.2</v>
      </c>
      <c r="N287" s="448">
        <v>0</v>
      </c>
      <c r="O287" s="448">
        <v>1.2</v>
      </c>
      <c r="P287" s="448">
        <v>1</v>
      </c>
      <c r="Q287" s="448">
        <v>1</v>
      </c>
      <c r="R287" s="448">
        <v>1</v>
      </c>
      <c r="S287" s="448">
        <v>1</v>
      </c>
      <c r="T287" s="448">
        <v>1</v>
      </c>
      <c r="U287" s="455"/>
      <c r="V287" s="448">
        <f t="shared" si="479"/>
        <v>4.0000000000000001E-10</v>
      </c>
      <c r="W287" s="448">
        <f t="shared" si="479"/>
        <v>2.4E-10</v>
      </c>
      <c r="X287" s="448">
        <f t="shared" si="479"/>
        <v>3.6E-10</v>
      </c>
      <c r="Y287" s="448">
        <f t="shared" si="479"/>
        <v>0</v>
      </c>
      <c r="Z287" s="448">
        <f t="shared" si="479"/>
        <v>6E-10</v>
      </c>
      <c r="AA287" s="448">
        <f t="shared" si="479"/>
        <v>6E-10</v>
      </c>
      <c r="AB287" s="448">
        <f t="shared" si="479"/>
        <v>6.9999999999999996E-10</v>
      </c>
      <c r="AC287" s="448">
        <f t="shared" si="479"/>
        <v>8.0000000000000003E-10</v>
      </c>
      <c r="AD287" s="448">
        <f t="shared" si="479"/>
        <v>8.9999999999999999E-10</v>
      </c>
      <c r="AE287" s="448">
        <f t="shared" si="473"/>
        <v>0</v>
      </c>
      <c r="AF287" s="448" t="b">
        <f>IF(V287&gt;LARGE((($V287,$Y287,$AA287:$AE287)),3),TRUE)</f>
        <v>0</v>
      </c>
      <c r="AG287" s="448" t="b">
        <v>1</v>
      </c>
      <c r="AH287" s="448" t="b">
        <v>1</v>
      </c>
      <c r="AI287" s="448" t="b">
        <f>IF(Y287&gt;LARGE((($V287,$Y287,$AA287:$AE287)),3),TRUE)</f>
        <v>0</v>
      </c>
      <c r="AJ287" s="448" t="b">
        <v>1</v>
      </c>
      <c r="AK287" s="448" t="b">
        <f>IF(AA287&gt;LARGE((($V287,$Y287,$AA287:$AE287)),3),TRUE)</f>
        <v>0</v>
      </c>
      <c r="AL287" s="448" t="b">
        <f>IF(AB287&gt;LARGE((($V287,$Y287,$AA287:$AE287)),3),TRUE)</f>
        <v>0</v>
      </c>
      <c r="AM287" s="448" t="b">
        <f>IF(AC287&gt;LARGE((($V287,$Y287,$AA287:$AE287)),3),TRUE)</f>
        <v>1</v>
      </c>
      <c r="AN287" s="448" t="b">
        <f>IF(AD287&gt;LARGE((($V287,$Y287,$AA287:$AE287)),3),TRUE)</f>
        <v>1</v>
      </c>
      <c r="AO287" s="448" t="b">
        <f>IF(AE287&gt;LARGE((($V287,$Y287,$AA287:$AE287)),3),TRUE)</f>
        <v>0</v>
      </c>
      <c r="AQ287" s="365" t="str">
        <f>'Reference Score Calculation'!M264</f>
        <v>最佳五科必須包括︰英文、數學、M1/2</v>
      </c>
      <c r="AR287" s="365" t="str">
        <f>'Reference Score Calculation'!N264</f>
        <v>/</v>
      </c>
      <c r="AS287" s="365" t="s">
        <v>356</v>
      </c>
      <c r="AT287" s="434" t="s">
        <v>410</v>
      </c>
      <c r="AU287" s="452"/>
      <c r="AV287" s="451"/>
      <c r="AW287" s="449"/>
      <c r="AX287" s="449"/>
      <c r="AY287" s="449"/>
      <c r="AZ287" s="449"/>
      <c r="BA287" s="452"/>
      <c r="BB287" s="452"/>
      <c r="BC287" s="452"/>
      <c r="BD287" s="452" t="b">
        <f>IF(AND(BD286=LARGE($BD286:$BM286,6),BD286&gt;1),TRUE,FALSE)</f>
        <v>0</v>
      </c>
      <c r="BE287" s="452" t="b">
        <f>IF(AND(BE286=LARGE($BD286:$BM286,6),BE286&gt;1),TRUE,FALSE)</f>
        <v>0</v>
      </c>
      <c r="BF287" s="452" t="b">
        <f>IF(AND(BF286=LARGE($BD286:$BM286,6),BF286&gt;1),TRUE,FALSE)</f>
        <v>0</v>
      </c>
      <c r="BG287" s="451"/>
      <c r="BH287" s="452" t="b">
        <f t="shared" ref="BH287:BM287" si="482">IF(AND(BH286=LARGE($BD286:$BM286,6),BH286&gt;1),TRUE,FALSE)</f>
        <v>0</v>
      </c>
      <c r="BI287" s="452" t="b">
        <f t="shared" si="482"/>
        <v>0</v>
      </c>
      <c r="BJ287" s="452" t="b">
        <f t="shared" si="482"/>
        <v>0</v>
      </c>
      <c r="BK287" s="452" t="b">
        <f t="shared" si="482"/>
        <v>0</v>
      </c>
      <c r="BL287" s="452" t="b">
        <f t="shared" si="482"/>
        <v>0</v>
      </c>
      <c r="BM287" s="452" t="b">
        <f t="shared" si="482"/>
        <v>0</v>
      </c>
      <c r="BN287" s="449"/>
      <c r="BO287" s="449"/>
      <c r="BP287" s="449"/>
      <c r="BQ287" s="449"/>
      <c r="BR287" s="449"/>
      <c r="BS287" s="449"/>
      <c r="BT287" s="449"/>
    </row>
    <row r="288" spans="1:72" s="433" customFormat="1">
      <c r="A288" s="433" t="str">
        <f>'Reference Score Calculation'!A265</f>
        <v>JS6858</v>
      </c>
      <c r="B288" s="433" t="str">
        <f>'Reference Score Calculation'!A265</f>
        <v>JS6858</v>
      </c>
      <c r="C288" s="446" t="str">
        <f>'Reference Score Calculation'!D265</f>
        <v>理學士及法學士(雙學位課程)</v>
      </c>
      <c r="D288" s="365"/>
      <c r="E288" s="447" t="str">
        <f>'Reference Score Calculation'!E265</f>
        <v>Best 6</v>
      </c>
      <c r="F288" s="462" t="str">
        <f>'Reference Score Calculation'!AB265</f>
        <v>Best 6</v>
      </c>
      <c r="G288" s="365" t="str">
        <f>入學要求!AB274</f>
        <v>v</v>
      </c>
      <c r="H288" s="365" t="str">
        <f>入學要求!AC274</f>
        <v>NO</v>
      </c>
      <c r="I288" s="365" t="str">
        <f>入學要求!AD274</f>
        <v>NO</v>
      </c>
      <c r="J288" s="448">
        <f t="shared" si="417"/>
        <v>4.0000000000000002E-9</v>
      </c>
      <c r="K288" s="448">
        <v>1</v>
      </c>
      <c r="L288" s="448">
        <v>2</v>
      </c>
      <c r="M288" s="448">
        <f>IF($M$8&gt;$O$8,2,1)</f>
        <v>1</v>
      </c>
      <c r="N288" s="448">
        <v>0</v>
      </c>
      <c r="O288" s="448">
        <f>IF($M$8&gt;$O$8,1,2)</f>
        <v>2</v>
      </c>
      <c r="P288" s="448">
        <f>IF(P$1=BA278,2,1)</f>
        <v>2</v>
      </c>
      <c r="Q288" s="448">
        <f>IF(Q$1=BB278,2,1)</f>
        <v>1</v>
      </c>
      <c r="R288" s="448">
        <f>IF(R$1=BC278,2,1)</f>
        <v>1</v>
      </c>
      <c r="S288" s="448">
        <f>IF(S$1=BD278,2,1)</f>
        <v>1</v>
      </c>
      <c r="T288" s="448">
        <v>1</v>
      </c>
      <c r="U288" s="455"/>
      <c r="V288" s="448">
        <f t="shared" si="479"/>
        <v>4.0000000000000001E-10</v>
      </c>
      <c r="W288" s="448">
        <f t="shared" si="479"/>
        <v>4.0000000000000001E-10</v>
      </c>
      <c r="X288" s="448">
        <f t="shared" si="479"/>
        <v>3E-10</v>
      </c>
      <c r="Y288" s="448">
        <f t="shared" si="479"/>
        <v>0</v>
      </c>
      <c r="Z288" s="448">
        <f t="shared" si="479"/>
        <v>1.0000000000000001E-9</v>
      </c>
      <c r="AA288" s="448">
        <f t="shared" si="479"/>
        <v>1.2E-9</v>
      </c>
      <c r="AB288" s="448">
        <f t="shared" si="479"/>
        <v>6.9999999999999996E-10</v>
      </c>
      <c r="AC288" s="448">
        <f t="shared" si="479"/>
        <v>8.0000000000000003E-10</v>
      </c>
      <c r="AD288" s="448">
        <f t="shared" si="479"/>
        <v>8.9999999999999999E-10</v>
      </c>
      <c r="AE288" s="448">
        <f t="shared" si="473"/>
        <v>0</v>
      </c>
      <c r="AF288" s="448" t="b">
        <f t="shared" ref="AF288:AO288" si="483">BD279</f>
        <v>0</v>
      </c>
      <c r="AG288" s="448" t="b">
        <f t="shared" si="483"/>
        <v>1</v>
      </c>
      <c r="AH288" s="448" t="b">
        <f t="shared" si="483"/>
        <v>0</v>
      </c>
      <c r="AI288" s="448">
        <f t="shared" si="483"/>
        <v>0</v>
      </c>
      <c r="AJ288" s="448" t="b">
        <f t="shared" si="483"/>
        <v>0</v>
      </c>
      <c r="AK288" s="448" t="b">
        <f t="shared" si="483"/>
        <v>1</v>
      </c>
      <c r="AL288" s="448" t="b">
        <f t="shared" si="483"/>
        <v>1</v>
      </c>
      <c r="AM288" s="448" t="b">
        <f t="shared" si="483"/>
        <v>1</v>
      </c>
      <c r="AN288" s="448" t="b">
        <f t="shared" si="483"/>
        <v>1</v>
      </c>
      <c r="AO288" s="448">
        <f t="shared" si="483"/>
        <v>0</v>
      </c>
      <c r="AQ288" s="365" t="str">
        <f>'Reference Score Calculation'!M265</f>
        <v>最佳六科必須包括︰英文、[數學或M1/2]、最佳理科*</v>
      </c>
      <c r="AR288" s="365" t="str">
        <f>'Reference Score Calculation'!N265</f>
        <v>*理科: 生物、化學、物理、組合科學、綜合科學</v>
      </c>
      <c r="AS288" s="365" t="s">
        <v>356</v>
      </c>
      <c r="AT288" s="434"/>
      <c r="AU288" s="452"/>
      <c r="AV288" s="451"/>
      <c r="AW288" s="449"/>
      <c r="AX288" s="449"/>
      <c r="AY288" s="449"/>
      <c r="AZ288" s="449"/>
      <c r="BA288" s="434"/>
      <c r="BB288" s="434"/>
      <c r="BC288" s="451"/>
      <c r="BD288" s="434"/>
      <c r="BE288" s="434"/>
      <c r="BF288" s="452"/>
      <c r="BG288" s="451"/>
      <c r="BH288" s="449"/>
      <c r="BI288" s="449"/>
      <c r="BJ288" s="449"/>
      <c r="BK288" s="449"/>
      <c r="BL288" s="449"/>
      <c r="BM288" s="449"/>
      <c r="BN288" s="449"/>
      <c r="BO288" s="449"/>
      <c r="BP288" s="449"/>
      <c r="BQ288" s="449"/>
      <c r="BR288" s="449"/>
      <c r="BS288" s="449"/>
      <c r="BT288" s="449"/>
    </row>
    <row r="289" spans="1:72" s="433" customFormat="1">
      <c r="A289" s="433" t="str">
        <f>'Reference Score Calculation'!A266</f>
        <v>JS6901</v>
      </c>
      <c r="B289" s="433" t="str">
        <f>'Reference Score Calculation'!A266</f>
        <v>JS6901</v>
      </c>
      <c r="C289" s="446" t="str">
        <f>'Reference Score Calculation'!D266</f>
        <v>理學士</v>
      </c>
      <c r="D289" s="365"/>
      <c r="E289" s="447" t="str">
        <f>'Reference Score Calculation'!E266</f>
        <v>Best 5</v>
      </c>
      <c r="F289" s="461" t="str">
        <f>'Reference Score Calculation'!AB266</f>
        <v>Best 5</v>
      </c>
      <c r="G289" s="365" t="str">
        <f>入學要求!AB275</f>
        <v>v</v>
      </c>
      <c r="H289" s="365" t="str">
        <f>入學要求!AC275</f>
        <v>NO</v>
      </c>
      <c r="I289" s="365" t="str">
        <f>入學要求!AD275</f>
        <v>NO</v>
      </c>
      <c r="J289" s="448">
        <f t="shared" si="417"/>
        <v>2.2500000000000003E-9</v>
      </c>
      <c r="K289" s="448">
        <v>1</v>
      </c>
      <c r="L289" s="448">
        <v>1.5</v>
      </c>
      <c r="M289" s="448">
        <v>1.5</v>
      </c>
      <c r="N289" s="448">
        <v>0</v>
      </c>
      <c r="O289" s="448">
        <v>1.5</v>
      </c>
      <c r="P289" s="448">
        <f>IF(OR(P$1="化學",P$1="生物",P$1="組合科學(物理、化學)",P$1="組合科學(生物、化學)",P$1="組合科學(物理、生物)",P$1="物理",P$1="綜合科學"),1.5,1)</f>
        <v>1</v>
      </c>
      <c r="Q289" s="448">
        <f t="shared" ref="Q289:S289" si="484">IF(OR(Q$1="化學",Q$1="生物",Q$1="組合科學(物理、化學)",Q$1="組合科學(生物、化學)",Q$1="組合科學(物理、生物)",Q$1="物理",Q$1="綜合科學"),1.5,1)</f>
        <v>1</v>
      </c>
      <c r="R289" s="448">
        <f t="shared" si="484"/>
        <v>1</v>
      </c>
      <c r="S289" s="448">
        <f t="shared" si="484"/>
        <v>1</v>
      </c>
      <c r="T289" s="448">
        <v>1</v>
      </c>
      <c r="U289" s="455"/>
      <c r="V289" s="448">
        <f t="shared" si="479"/>
        <v>4.0000000000000001E-10</v>
      </c>
      <c r="W289" s="448">
        <f t="shared" si="479"/>
        <v>3E-10</v>
      </c>
      <c r="X289" s="448">
        <f t="shared" si="479"/>
        <v>4.5E-10</v>
      </c>
      <c r="Y289" s="448">
        <f t="shared" si="479"/>
        <v>0</v>
      </c>
      <c r="Z289" s="448">
        <f t="shared" si="479"/>
        <v>7.500000000000001E-10</v>
      </c>
      <c r="AA289" s="448">
        <f t="shared" si="479"/>
        <v>6E-10</v>
      </c>
      <c r="AB289" s="448">
        <f t="shared" si="479"/>
        <v>6.9999999999999996E-10</v>
      </c>
      <c r="AC289" s="448">
        <f t="shared" si="479"/>
        <v>8.0000000000000003E-10</v>
      </c>
      <c r="AD289" s="448">
        <f t="shared" si="479"/>
        <v>8.9999999999999999E-10</v>
      </c>
      <c r="AE289" s="448">
        <f t="shared" si="473"/>
        <v>0</v>
      </c>
      <c r="AF289" s="448" t="b">
        <f t="shared" ref="AF289:AO289" si="485">BD283</f>
        <v>0</v>
      </c>
      <c r="AG289" s="448" t="b">
        <f t="shared" si="485"/>
        <v>1</v>
      </c>
      <c r="AH289" s="448" t="b">
        <f t="shared" si="485"/>
        <v>1</v>
      </c>
      <c r="AI289" s="448">
        <f t="shared" si="485"/>
        <v>0</v>
      </c>
      <c r="AJ289" s="448" t="b">
        <f t="shared" si="485"/>
        <v>0</v>
      </c>
      <c r="AK289" s="448" t="b">
        <f t="shared" si="485"/>
        <v>1</v>
      </c>
      <c r="AL289" s="448" t="b">
        <f t="shared" si="485"/>
        <v>0</v>
      </c>
      <c r="AM289" s="448" t="b">
        <f t="shared" si="485"/>
        <v>0</v>
      </c>
      <c r="AN289" s="448" t="b">
        <f t="shared" si="485"/>
        <v>1</v>
      </c>
      <c r="AO289" s="448">
        <f t="shared" si="485"/>
        <v>0</v>
      </c>
      <c r="AQ289" s="365" t="str">
        <f>'Reference Score Calculation'!M266</f>
        <v>最佳五科必須包括︰英文、數學、最佳理科*</v>
      </c>
      <c r="AR289" s="365" t="str">
        <f>'Reference Score Calculation'!N266</f>
        <v>*理科: 生物、化學、物理、組合科學、綜合科學</v>
      </c>
      <c r="AS289" s="365" t="s">
        <v>356</v>
      </c>
      <c r="AT289" s="434"/>
      <c r="AU289" s="452"/>
      <c r="AV289" s="451"/>
      <c r="AW289" s="449"/>
      <c r="AX289" s="449"/>
      <c r="AY289" s="449"/>
      <c r="AZ289" s="449"/>
      <c r="BA289" s="434"/>
      <c r="BB289" s="434"/>
      <c r="BC289" s="451"/>
      <c r="BD289" s="434"/>
      <c r="BE289" s="434"/>
      <c r="BF289" s="452"/>
      <c r="BG289" s="451"/>
      <c r="BH289" s="449"/>
      <c r="BI289" s="449"/>
      <c r="BJ289" s="449"/>
      <c r="BK289" s="449"/>
      <c r="BL289" s="449"/>
      <c r="BM289" s="449"/>
      <c r="BN289" s="449"/>
      <c r="BO289" s="449"/>
      <c r="BP289" s="449"/>
      <c r="BQ289" s="449"/>
      <c r="BR289" s="449"/>
      <c r="BS289" s="449"/>
      <c r="BT289" s="449"/>
    </row>
    <row r="290" spans="1:72" s="433" customFormat="1">
      <c r="A290" s="433" t="str">
        <f>'Reference Score Calculation'!A267</f>
        <v>JS6705</v>
      </c>
      <c r="B290" s="433" t="str">
        <f>'Reference Score Calculation'!A267</f>
        <v>JS6705</v>
      </c>
      <c r="C290" s="446" t="str">
        <f>'Reference Score Calculation'!D267</f>
        <v>心理學學士</v>
      </c>
      <c r="D290" s="365"/>
      <c r="E290" s="447" t="str">
        <f>'Reference Score Calculation'!E267</f>
        <v>Best 5</v>
      </c>
      <c r="F290" s="461" t="str">
        <f>'Reference Score Calculation'!AB267</f>
        <v>Best 5</v>
      </c>
      <c r="G290" s="365" t="str">
        <f>入學要求!AB276</f>
        <v>v</v>
      </c>
      <c r="H290" s="365" t="str">
        <f>入學要求!AC276</f>
        <v>E</v>
      </c>
      <c r="I290" s="365" t="str">
        <f>入學要求!AD276</f>
        <v>NO</v>
      </c>
      <c r="J290" s="448">
        <f t="shared" si="417"/>
        <v>3.9500000000000006E-9</v>
      </c>
      <c r="K290" s="448">
        <v>1</v>
      </c>
      <c r="L290" s="448">
        <v>1</v>
      </c>
      <c r="M290" s="448">
        <v>1</v>
      </c>
      <c r="N290" s="448">
        <v>0</v>
      </c>
      <c r="O290" s="448">
        <v>1</v>
      </c>
      <c r="P290" s="448">
        <v>1</v>
      </c>
      <c r="Q290" s="448">
        <v>1</v>
      </c>
      <c r="R290" s="448">
        <v>1</v>
      </c>
      <c r="S290" s="448">
        <v>1</v>
      </c>
      <c r="T290" s="448">
        <v>1</v>
      </c>
      <c r="U290" s="455"/>
      <c r="V290" s="448">
        <f t="shared" ref="V290:V299" si="486">K$8*K290</f>
        <v>4.0000000000000001E-10</v>
      </c>
      <c r="W290" s="448">
        <f t="shared" ref="W290:W299" si="487">L$8*L290</f>
        <v>2.0000000000000001E-10</v>
      </c>
      <c r="X290" s="448">
        <f t="shared" ref="X290:X299" si="488">M$8*M290</f>
        <v>3E-10</v>
      </c>
      <c r="Y290" s="448">
        <f t="shared" ref="Y290:Y299" si="489">N$8*N290</f>
        <v>0</v>
      </c>
      <c r="Z290" s="448">
        <f>IF($O$8&gt;$T$8,O$8*O290,0)</f>
        <v>0</v>
      </c>
      <c r="AA290" s="448">
        <f t="shared" ref="AA290:AA299" si="490">P$8*P290</f>
        <v>6E-10</v>
      </c>
      <c r="AB290" s="448">
        <f t="shared" ref="AB290:AB299" si="491">Q$8*Q290</f>
        <v>6.9999999999999996E-10</v>
      </c>
      <c r="AC290" s="448">
        <f t="shared" ref="AC290:AC299" si="492">R$8*R290</f>
        <v>8.0000000000000003E-10</v>
      </c>
      <c r="AD290" s="448">
        <f t="shared" ref="AD290:AD299" si="493">S$8*S290</f>
        <v>8.9999999999999999E-10</v>
      </c>
      <c r="AE290" s="448">
        <f t="shared" si="473"/>
        <v>9.5000000000000003E-10</v>
      </c>
      <c r="AF290" s="448" t="b">
        <f t="shared" ref="AF290:AO292" si="494">IF(V290&gt;LARGE(($V290:$AE290),6),TRUE)</f>
        <v>0</v>
      </c>
      <c r="AG290" s="448" t="b">
        <f t="shared" si="494"/>
        <v>0</v>
      </c>
      <c r="AH290" s="448" t="b">
        <f t="shared" si="494"/>
        <v>0</v>
      </c>
      <c r="AI290" s="448" t="b">
        <f t="shared" si="494"/>
        <v>0</v>
      </c>
      <c r="AJ290" s="448" t="b">
        <f t="shared" si="494"/>
        <v>0</v>
      </c>
      <c r="AK290" s="448" t="b">
        <f t="shared" si="494"/>
        <v>1</v>
      </c>
      <c r="AL290" s="448" t="b">
        <f t="shared" si="494"/>
        <v>1</v>
      </c>
      <c r="AM290" s="448" t="b">
        <f t="shared" si="494"/>
        <v>1</v>
      </c>
      <c r="AN290" s="448" t="b">
        <f t="shared" si="494"/>
        <v>1</v>
      </c>
      <c r="AO290" s="448" t="b">
        <f t="shared" si="494"/>
        <v>1</v>
      </c>
      <c r="AQ290" s="365" t="str">
        <f>'Reference Score Calculation'!M267</f>
        <v>可包含 M1/2 或丙類科目 (較高者) 於計算內</v>
      </c>
      <c r="AR290" s="365" t="str">
        <f>'Reference Score Calculation'!N267</f>
        <v>/</v>
      </c>
      <c r="AS290" s="365" t="s">
        <v>356</v>
      </c>
    </row>
    <row r="291" spans="1:72" s="433" customFormat="1">
      <c r="A291" s="433" t="str">
        <f>'Reference Score Calculation'!A268</f>
        <v>JS6717</v>
      </c>
      <c r="B291" s="433" t="str">
        <f>'Reference Score Calculation'!A268</f>
        <v>JS6717</v>
      </c>
      <c r="C291" s="446" t="str">
        <f>'Reference Score Calculation'!D268</f>
        <v>社會科學學士</v>
      </c>
      <c r="D291" s="365"/>
      <c r="E291" s="447" t="str">
        <f>'Reference Score Calculation'!E268</f>
        <v>Best 5</v>
      </c>
      <c r="F291" s="461" t="str">
        <f>'Reference Score Calculation'!AB268</f>
        <v>Best 5</v>
      </c>
      <c r="G291" s="365" t="str">
        <f>入學要求!AB277</f>
        <v>v</v>
      </c>
      <c r="H291" s="365" t="str">
        <f>入學要求!AC277</f>
        <v>E</v>
      </c>
      <c r="I291" s="365" t="str">
        <f>入學要求!AD277</f>
        <v>NO</v>
      </c>
      <c r="J291" s="448">
        <f t="shared" si="417"/>
        <v>3.9500000000000006E-9</v>
      </c>
      <c r="K291" s="448">
        <v>1</v>
      </c>
      <c r="L291" s="448">
        <v>1</v>
      </c>
      <c r="M291" s="448">
        <v>1</v>
      </c>
      <c r="N291" s="448">
        <v>0</v>
      </c>
      <c r="O291" s="448">
        <v>1</v>
      </c>
      <c r="P291" s="448">
        <v>1</v>
      </c>
      <c r="Q291" s="448">
        <v>1</v>
      </c>
      <c r="R291" s="448">
        <v>1</v>
      </c>
      <c r="S291" s="448">
        <v>1</v>
      </c>
      <c r="T291" s="448">
        <v>1</v>
      </c>
      <c r="U291" s="455"/>
      <c r="V291" s="448">
        <f t="shared" si="486"/>
        <v>4.0000000000000001E-10</v>
      </c>
      <c r="W291" s="448">
        <f t="shared" si="487"/>
        <v>2.0000000000000001E-10</v>
      </c>
      <c r="X291" s="448">
        <f t="shared" si="488"/>
        <v>3E-10</v>
      </c>
      <c r="Y291" s="448">
        <f t="shared" si="489"/>
        <v>0</v>
      </c>
      <c r="Z291" s="448">
        <f>IF($O$8&gt;$T$8,O$8*O291,0)</f>
        <v>0</v>
      </c>
      <c r="AA291" s="448">
        <f t="shared" si="490"/>
        <v>6E-10</v>
      </c>
      <c r="AB291" s="448">
        <f t="shared" si="491"/>
        <v>6.9999999999999996E-10</v>
      </c>
      <c r="AC291" s="448">
        <f t="shared" si="492"/>
        <v>8.0000000000000003E-10</v>
      </c>
      <c r="AD291" s="448">
        <f t="shared" si="493"/>
        <v>8.9999999999999999E-10</v>
      </c>
      <c r="AE291" s="448">
        <f t="shared" si="473"/>
        <v>9.5000000000000003E-10</v>
      </c>
      <c r="AF291" s="448" t="b">
        <f t="shared" si="494"/>
        <v>0</v>
      </c>
      <c r="AG291" s="448" t="b">
        <f t="shared" si="494"/>
        <v>0</v>
      </c>
      <c r="AH291" s="448" t="b">
        <f t="shared" si="494"/>
        <v>0</v>
      </c>
      <c r="AI291" s="448" t="b">
        <f t="shared" si="494"/>
        <v>0</v>
      </c>
      <c r="AJ291" s="448" t="b">
        <f t="shared" si="494"/>
        <v>0</v>
      </c>
      <c r="AK291" s="448" t="b">
        <f t="shared" si="494"/>
        <v>1</v>
      </c>
      <c r="AL291" s="448" t="b">
        <f t="shared" si="494"/>
        <v>1</v>
      </c>
      <c r="AM291" s="448" t="b">
        <f t="shared" si="494"/>
        <v>1</v>
      </c>
      <c r="AN291" s="448" t="b">
        <f t="shared" si="494"/>
        <v>1</v>
      </c>
      <c r="AO291" s="448" t="b">
        <f t="shared" si="494"/>
        <v>1</v>
      </c>
      <c r="AQ291" s="365" t="str">
        <f>'Reference Score Calculation'!M268</f>
        <v>可包含 M1/2 或丙類科目 (較高者) 於計算內</v>
      </c>
      <c r="AR291" s="365" t="str">
        <f>'Reference Score Calculation'!N268</f>
        <v>/</v>
      </c>
      <c r="AS291" s="365"/>
    </row>
    <row r="292" spans="1:72" s="433" customFormat="1">
      <c r="A292" s="433" t="str">
        <f>'Reference Score Calculation'!A269</f>
        <v>JS6731</v>
      </c>
      <c r="B292" s="433" t="str">
        <f>'Reference Score Calculation'!A269</f>
        <v>JS6731</v>
      </c>
      <c r="C292" s="446" t="str">
        <f>'Reference Score Calculation'!D269</f>
        <v>社會工作學學士</v>
      </c>
      <c r="D292" s="365"/>
      <c r="E292" s="447" t="str">
        <f>'Reference Score Calculation'!E269</f>
        <v>Best 5</v>
      </c>
      <c r="F292" s="461" t="str">
        <f>'Reference Score Calculation'!AB269</f>
        <v>Best 5</v>
      </c>
      <c r="G292" s="365" t="str">
        <f>入學要求!AB278</f>
        <v>v</v>
      </c>
      <c r="H292" s="365" t="str">
        <f>入學要求!AC278</f>
        <v>E</v>
      </c>
      <c r="I292" s="365" t="str">
        <f>入學要求!AD278</f>
        <v>NO</v>
      </c>
      <c r="J292" s="448">
        <f t="shared" si="417"/>
        <v>3.9500000000000006E-9</v>
      </c>
      <c r="K292" s="448">
        <v>1</v>
      </c>
      <c r="L292" s="448">
        <v>1</v>
      </c>
      <c r="M292" s="448">
        <v>1</v>
      </c>
      <c r="N292" s="448">
        <v>0</v>
      </c>
      <c r="O292" s="448">
        <v>1</v>
      </c>
      <c r="P292" s="448">
        <v>1</v>
      </c>
      <c r="Q292" s="448">
        <v>1</v>
      </c>
      <c r="R292" s="448">
        <v>1</v>
      </c>
      <c r="S292" s="448">
        <v>1</v>
      </c>
      <c r="T292" s="448">
        <v>1</v>
      </c>
      <c r="U292" s="455"/>
      <c r="V292" s="448">
        <f t="shared" si="486"/>
        <v>4.0000000000000001E-10</v>
      </c>
      <c r="W292" s="448">
        <f t="shared" si="487"/>
        <v>2.0000000000000001E-10</v>
      </c>
      <c r="X292" s="448">
        <f t="shared" si="488"/>
        <v>3E-10</v>
      </c>
      <c r="Y292" s="448">
        <f t="shared" si="489"/>
        <v>0</v>
      </c>
      <c r="Z292" s="448">
        <f>IF($O$8&gt;$T$8,O$8*O292,0)</f>
        <v>0</v>
      </c>
      <c r="AA292" s="448">
        <f t="shared" si="490"/>
        <v>6E-10</v>
      </c>
      <c r="AB292" s="448">
        <f t="shared" si="491"/>
        <v>6.9999999999999996E-10</v>
      </c>
      <c r="AC292" s="448">
        <f t="shared" si="492"/>
        <v>8.0000000000000003E-10</v>
      </c>
      <c r="AD292" s="448">
        <f t="shared" si="493"/>
        <v>8.9999999999999999E-10</v>
      </c>
      <c r="AE292" s="448">
        <f t="shared" si="473"/>
        <v>9.5000000000000003E-10</v>
      </c>
      <c r="AF292" s="448" t="b">
        <f t="shared" si="494"/>
        <v>0</v>
      </c>
      <c r="AG292" s="448" t="b">
        <f t="shared" si="494"/>
        <v>0</v>
      </c>
      <c r="AH292" s="448" t="b">
        <f t="shared" si="494"/>
        <v>0</v>
      </c>
      <c r="AI292" s="448" t="b">
        <f t="shared" si="494"/>
        <v>0</v>
      </c>
      <c r="AJ292" s="448" t="b">
        <f t="shared" si="494"/>
        <v>0</v>
      </c>
      <c r="AK292" s="448" t="b">
        <f t="shared" si="494"/>
        <v>1</v>
      </c>
      <c r="AL292" s="448" t="b">
        <f t="shared" si="494"/>
        <v>1</v>
      </c>
      <c r="AM292" s="448" t="b">
        <f t="shared" si="494"/>
        <v>1</v>
      </c>
      <c r="AN292" s="448" t="b">
        <f t="shared" si="494"/>
        <v>1</v>
      </c>
      <c r="AO292" s="448" t="b">
        <f t="shared" si="494"/>
        <v>1</v>
      </c>
      <c r="AQ292" s="365" t="str">
        <f>'Reference Score Calculation'!M269</f>
        <v>可包含 M1/2 或丙類科目 (較高者) 於計算內</v>
      </c>
      <c r="AR292" s="365" t="str">
        <f>'Reference Score Calculation'!N269</f>
        <v>/</v>
      </c>
      <c r="AS292" s="365"/>
    </row>
    <row r="293" spans="1:72" s="433" customFormat="1">
      <c r="A293" s="433" t="str">
        <f>'Reference Score Calculation'!A270</f>
        <v>JS6810</v>
      </c>
      <c r="B293" s="433" t="str">
        <f>'Reference Score Calculation'!A270</f>
        <v>JS6810</v>
      </c>
      <c r="C293" s="446" t="str">
        <f>'Reference Score Calculation'!D270</f>
        <v>社會科學學士(政治學與法學)及法學士 (雙學位課程)</v>
      </c>
      <c r="D293" s="365"/>
      <c r="E293" s="447" t="str">
        <f>'Reference Score Calculation'!E270</f>
        <v>Best 6</v>
      </c>
      <c r="F293" s="462" t="str">
        <f>'Reference Score Calculation'!AB270</f>
        <v>Best 6</v>
      </c>
      <c r="G293" s="365" t="str">
        <f>入學要求!AB279</f>
        <v>v</v>
      </c>
      <c r="H293" s="365" t="str">
        <f>入學要求!AC279</f>
        <v>NO</v>
      </c>
      <c r="I293" s="365" t="str">
        <f>入學要求!AD279</f>
        <v>NO</v>
      </c>
      <c r="J293" s="448">
        <f t="shared" si="417"/>
        <v>3.9000000000000002E-9</v>
      </c>
      <c r="K293" s="448">
        <v>1</v>
      </c>
      <c r="L293" s="448">
        <v>1</v>
      </c>
      <c r="M293" s="448">
        <v>1</v>
      </c>
      <c r="N293" s="448">
        <v>0</v>
      </c>
      <c r="O293" s="448">
        <v>1</v>
      </c>
      <c r="P293" s="448">
        <v>1</v>
      </c>
      <c r="Q293" s="448">
        <v>1</v>
      </c>
      <c r="R293" s="448">
        <v>1</v>
      </c>
      <c r="S293" s="448">
        <v>1</v>
      </c>
      <c r="T293" s="448">
        <v>1</v>
      </c>
      <c r="U293" s="455"/>
      <c r="V293" s="448">
        <f t="shared" si="486"/>
        <v>4.0000000000000001E-10</v>
      </c>
      <c r="W293" s="448">
        <f t="shared" si="487"/>
        <v>2.0000000000000001E-10</v>
      </c>
      <c r="X293" s="448">
        <f t="shared" si="488"/>
        <v>3E-10</v>
      </c>
      <c r="Y293" s="448">
        <f t="shared" si="489"/>
        <v>0</v>
      </c>
      <c r="Z293" s="448">
        <f>O$8*O293</f>
        <v>5.0000000000000003E-10</v>
      </c>
      <c r="AA293" s="448">
        <f t="shared" si="490"/>
        <v>6E-10</v>
      </c>
      <c r="AB293" s="448">
        <f t="shared" si="491"/>
        <v>6.9999999999999996E-10</v>
      </c>
      <c r="AC293" s="448">
        <f t="shared" si="492"/>
        <v>8.0000000000000003E-10</v>
      </c>
      <c r="AD293" s="448">
        <f t="shared" si="493"/>
        <v>8.9999999999999999E-10</v>
      </c>
      <c r="AE293" s="448">
        <f t="shared" si="473"/>
        <v>0</v>
      </c>
      <c r="AF293" s="448" t="b">
        <f t="shared" ref="AF293:AO293" si="495">IF(V293&gt;LARGE(($V293:$AE293),7),TRUE)</f>
        <v>1</v>
      </c>
      <c r="AG293" s="448" t="b">
        <f t="shared" si="495"/>
        <v>0</v>
      </c>
      <c r="AH293" s="448" t="b">
        <f t="shared" si="495"/>
        <v>0</v>
      </c>
      <c r="AI293" s="448" t="b">
        <f t="shared" si="495"/>
        <v>0</v>
      </c>
      <c r="AJ293" s="448" t="b">
        <f t="shared" si="495"/>
        <v>1</v>
      </c>
      <c r="AK293" s="448" t="b">
        <f t="shared" si="495"/>
        <v>1</v>
      </c>
      <c r="AL293" s="448" t="b">
        <f t="shared" si="495"/>
        <v>1</v>
      </c>
      <c r="AM293" s="448" t="b">
        <f t="shared" si="495"/>
        <v>1</v>
      </c>
      <c r="AN293" s="448" t="b">
        <f t="shared" si="495"/>
        <v>1</v>
      </c>
      <c r="AO293" s="448" t="b">
        <f t="shared" si="495"/>
        <v>0</v>
      </c>
      <c r="AQ293" s="365" t="str">
        <f>'Reference Score Calculation'!M270</f>
        <v>/</v>
      </c>
      <c r="AR293" s="365" t="str">
        <f>'Reference Score Calculation'!N270</f>
        <v>/</v>
      </c>
      <c r="AS293" s="365"/>
    </row>
    <row r="294" spans="1:72" s="433" customFormat="1">
      <c r="A294" s="433" t="str">
        <f>'Reference Score Calculation'!A271</f>
        <v>JS6822</v>
      </c>
      <c r="B294" s="433" t="str">
        <f>'Reference Score Calculation'!A271</f>
        <v>JS6822</v>
      </c>
      <c r="C294" s="446" t="str">
        <f>'Reference Score Calculation'!D271</f>
        <v>新聞學學士</v>
      </c>
      <c r="D294" s="365"/>
      <c r="E294" s="447" t="str">
        <f>'Reference Score Calculation'!E271</f>
        <v>Best 5</v>
      </c>
      <c r="F294" s="461" t="str">
        <f>'Reference Score Calculation'!AB271</f>
        <v>Best 5</v>
      </c>
      <c r="G294" s="365" t="str">
        <f>入學要求!AB280</f>
        <v>v</v>
      </c>
      <c r="H294" s="365" t="str">
        <f>入學要求!AC280</f>
        <v>E</v>
      </c>
      <c r="I294" s="365" t="str">
        <f>入學要求!AD280</f>
        <v>NO</v>
      </c>
      <c r="J294" s="448">
        <f t="shared" si="417"/>
        <v>3.9500000000000006E-9</v>
      </c>
      <c r="K294" s="448">
        <v>1</v>
      </c>
      <c r="L294" s="448">
        <v>1</v>
      </c>
      <c r="M294" s="448">
        <v>1</v>
      </c>
      <c r="N294" s="448">
        <v>0</v>
      </c>
      <c r="O294" s="448">
        <v>1</v>
      </c>
      <c r="P294" s="448">
        <v>1</v>
      </c>
      <c r="Q294" s="448">
        <v>1</v>
      </c>
      <c r="R294" s="448">
        <v>1</v>
      </c>
      <c r="S294" s="448">
        <v>1</v>
      </c>
      <c r="T294" s="448">
        <v>1</v>
      </c>
      <c r="U294" s="455"/>
      <c r="V294" s="448">
        <f t="shared" si="486"/>
        <v>4.0000000000000001E-10</v>
      </c>
      <c r="W294" s="448">
        <f t="shared" si="487"/>
        <v>2.0000000000000001E-10</v>
      </c>
      <c r="X294" s="448">
        <f t="shared" si="488"/>
        <v>3E-10</v>
      </c>
      <c r="Y294" s="448">
        <f t="shared" si="489"/>
        <v>0</v>
      </c>
      <c r="Z294" s="448">
        <f>IF($O$8&gt;$T$8,O$8*O294,0)</f>
        <v>0</v>
      </c>
      <c r="AA294" s="448">
        <f t="shared" si="490"/>
        <v>6E-10</v>
      </c>
      <c r="AB294" s="448">
        <f t="shared" si="491"/>
        <v>6.9999999999999996E-10</v>
      </c>
      <c r="AC294" s="448">
        <f t="shared" si="492"/>
        <v>8.0000000000000003E-10</v>
      </c>
      <c r="AD294" s="448">
        <f t="shared" si="493"/>
        <v>8.9999999999999999E-10</v>
      </c>
      <c r="AE294" s="448">
        <f t="shared" si="473"/>
        <v>9.5000000000000003E-10</v>
      </c>
      <c r="AF294" s="448" t="b">
        <f t="shared" ref="AF294:AO295" si="496">IF(V294&gt;LARGE(($V294:$AE294),6),TRUE)</f>
        <v>0</v>
      </c>
      <c r="AG294" s="448" t="b">
        <f t="shared" si="496"/>
        <v>0</v>
      </c>
      <c r="AH294" s="448" t="b">
        <f t="shared" si="496"/>
        <v>0</v>
      </c>
      <c r="AI294" s="448" t="b">
        <f t="shared" si="496"/>
        <v>0</v>
      </c>
      <c r="AJ294" s="448" t="b">
        <f t="shared" si="496"/>
        <v>0</v>
      </c>
      <c r="AK294" s="448" t="b">
        <f t="shared" si="496"/>
        <v>1</v>
      </c>
      <c r="AL294" s="448" t="b">
        <f t="shared" si="496"/>
        <v>1</v>
      </c>
      <c r="AM294" s="448" t="b">
        <f t="shared" si="496"/>
        <v>1</v>
      </c>
      <c r="AN294" s="448" t="b">
        <f t="shared" si="496"/>
        <v>1</v>
      </c>
      <c r="AO294" s="448" t="b">
        <f t="shared" si="496"/>
        <v>1</v>
      </c>
      <c r="AQ294" s="365" t="str">
        <f>'Reference Score Calculation'!M271</f>
        <v>可包含 M1/2 或丙類科目 (較高者) 於計算內</v>
      </c>
      <c r="AR294" s="365" t="str">
        <f>'Reference Score Calculation'!N271</f>
        <v>/</v>
      </c>
      <c r="AS294" s="365"/>
    </row>
    <row r="295" spans="1:72" s="433" customFormat="1">
      <c r="A295" s="433" t="str">
        <f>'Reference Score Calculation'!A272</f>
        <v>JS6212</v>
      </c>
      <c r="B295" s="433" t="str">
        <f>'Reference Score Calculation'!A272</f>
        <v>JS6212</v>
      </c>
      <c r="C295" s="446" t="str">
        <f>'Reference Score Calculation'!D272</f>
        <v>文理學士</v>
      </c>
      <c r="D295" s="365"/>
      <c r="E295" s="447" t="str">
        <f>'Reference Score Calculation'!E272</f>
        <v>Best 5</v>
      </c>
      <c r="F295" s="461" t="str">
        <f>'Reference Score Calculation'!AB272</f>
        <v>Best 5</v>
      </c>
      <c r="G295" s="365" t="str">
        <f>入學要求!AB281</f>
        <v>v</v>
      </c>
      <c r="H295" s="365" t="str">
        <f>入學要求!AC281</f>
        <v>E</v>
      </c>
      <c r="I295" s="365" t="str">
        <f>入學要求!AD281</f>
        <v>NO</v>
      </c>
      <c r="J295" s="448">
        <f t="shared" si="417"/>
        <v>3.9500000000000006E-9</v>
      </c>
      <c r="K295" s="448">
        <v>1</v>
      </c>
      <c r="L295" s="448">
        <v>1</v>
      </c>
      <c r="M295" s="448">
        <v>1.5</v>
      </c>
      <c r="N295" s="448">
        <v>0</v>
      </c>
      <c r="O295" s="448">
        <v>1</v>
      </c>
      <c r="P295" s="448">
        <v>1</v>
      </c>
      <c r="Q295" s="448">
        <v>1</v>
      </c>
      <c r="R295" s="448">
        <v>1</v>
      </c>
      <c r="S295" s="448">
        <v>1</v>
      </c>
      <c r="T295" s="448">
        <v>1</v>
      </c>
      <c r="U295" s="448"/>
      <c r="V295" s="448">
        <f t="shared" si="486"/>
        <v>4.0000000000000001E-10</v>
      </c>
      <c r="W295" s="448">
        <f t="shared" si="487"/>
        <v>2.0000000000000001E-10</v>
      </c>
      <c r="X295" s="448">
        <f t="shared" si="488"/>
        <v>4.5E-10</v>
      </c>
      <c r="Y295" s="448">
        <f t="shared" si="489"/>
        <v>0</v>
      </c>
      <c r="Z295" s="448">
        <f>IF($O$8&gt;$T$8,O$8*O295,0)</f>
        <v>0</v>
      </c>
      <c r="AA295" s="448">
        <f t="shared" si="490"/>
        <v>6E-10</v>
      </c>
      <c r="AB295" s="448">
        <f t="shared" si="491"/>
        <v>6.9999999999999996E-10</v>
      </c>
      <c r="AC295" s="448">
        <f t="shared" si="492"/>
        <v>8.0000000000000003E-10</v>
      </c>
      <c r="AD295" s="448">
        <f t="shared" si="493"/>
        <v>8.9999999999999999E-10</v>
      </c>
      <c r="AE295" s="448">
        <f t="shared" si="473"/>
        <v>9.5000000000000003E-10</v>
      </c>
      <c r="AF295" s="448" t="b">
        <f t="shared" si="496"/>
        <v>0</v>
      </c>
      <c r="AG295" s="448" t="b">
        <f t="shared" si="496"/>
        <v>0</v>
      </c>
      <c r="AH295" s="448" t="b">
        <f t="shared" si="496"/>
        <v>0</v>
      </c>
      <c r="AI295" s="448" t="b">
        <f t="shared" si="496"/>
        <v>0</v>
      </c>
      <c r="AJ295" s="448" t="b">
        <f t="shared" si="496"/>
        <v>0</v>
      </c>
      <c r="AK295" s="448" t="b">
        <f t="shared" si="496"/>
        <v>1</v>
      </c>
      <c r="AL295" s="448" t="b">
        <f t="shared" si="496"/>
        <v>1</v>
      </c>
      <c r="AM295" s="448" t="b">
        <f t="shared" si="496"/>
        <v>1</v>
      </c>
      <c r="AN295" s="448" t="b">
        <f t="shared" si="496"/>
        <v>1</v>
      </c>
      <c r="AO295" s="448" t="b">
        <f t="shared" si="496"/>
        <v>1</v>
      </c>
      <c r="AQ295" s="365" t="str">
        <f>'Reference Score Calculation'!M272</f>
        <v>可包含 M1/2 或丙類科目 (較高者) 於計算內</v>
      </c>
      <c r="AR295" s="365" t="str">
        <f>'Reference Score Calculation'!N272</f>
        <v>/</v>
      </c>
      <c r="AS295" s="365"/>
    </row>
    <row r="296" spans="1:72" s="433" customFormat="1">
      <c r="A296" s="433" t="str">
        <f>'Reference Score Calculation'!A273</f>
        <v>JS6224</v>
      </c>
      <c r="B296" s="433" t="str">
        <f>'Reference Score Calculation'!A273</f>
        <v>JS6224</v>
      </c>
      <c r="C296" s="446" t="str">
        <f>'Reference Score Calculation'!D273</f>
        <v>文理學士(應用人工智能)</v>
      </c>
      <c r="D296" s="365"/>
      <c r="E296" s="447" t="str">
        <f>'Reference Score Calculation'!E273</f>
        <v>Best 5</v>
      </c>
      <c r="F296" s="461" t="str">
        <f>'Reference Score Calculation'!AB273</f>
        <v>Best 5</v>
      </c>
      <c r="G296" s="365" t="str">
        <f>入學要求!AB282</f>
        <v>v</v>
      </c>
      <c r="H296" s="365" t="str">
        <f>入學要求!AC282</f>
        <v>NO</v>
      </c>
      <c r="I296" s="365" t="str">
        <f>入學要求!AD282</f>
        <v>NO</v>
      </c>
      <c r="J296" s="448">
        <f t="shared" si="417"/>
        <v>3.7E-9</v>
      </c>
      <c r="K296" s="448">
        <v>1</v>
      </c>
      <c r="L296" s="448">
        <v>2</v>
      </c>
      <c r="M296" s="448">
        <v>2</v>
      </c>
      <c r="N296" s="448">
        <v>0</v>
      </c>
      <c r="O296" s="448">
        <v>2</v>
      </c>
      <c r="P296" s="448">
        <f>IF(OR(P$1="化學",P$1="生物",P$1="物理",P$1="組合科學(物理、化學)",P$1="組合科學(生物、化學)",P$1="組合科學(物理、生物)",P$1="綜合科學",P$1="資訊及通訊科技"),1.5,1)</f>
        <v>1</v>
      </c>
      <c r="Q296" s="448">
        <f t="shared" ref="Q296:S296" si="497">IF(OR(Q$1="化學",Q$1="生物",Q$1="物理",Q$1="組合科學(物理、化學)",Q$1="組合科學(生物、化學)",Q$1="組合科學(物理、生物)",Q$1="綜合科學",Q$1="資訊及通訊科技"),1.5,1)</f>
        <v>1</v>
      </c>
      <c r="R296" s="448">
        <f t="shared" si="497"/>
        <v>1</v>
      </c>
      <c r="S296" s="448">
        <f t="shared" si="497"/>
        <v>1</v>
      </c>
      <c r="T296" s="448">
        <f>IF(OR(T$1="化學",T$1="生物",T$1="組合科學(物理、化學)",T$1="組合科學(生物、化學)",T$1="組合科學(物理、生物)",T$1="物理",T$1="綜合科學",T$1="資訊及通訊科技"),1.5,1)</f>
        <v>1</v>
      </c>
      <c r="U296" s="455"/>
      <c r="V296" s="448">
        <f t="shared" si="486"/>
        <v>4.0000000000000001E-10</v>
      </c>
      <c r="W296" s="448">
        <f t="shared" si="487"/>
        <v>4.0000000000000001E-10</v>
      </c>
      <c r="X296" s="448">
        <f t="shared" si="488"/>
        <v>6E-10</v>
      </c>
      <c r="Y296" s="448">
        <f t="shared" si="489"/>
        <v>0</v>
      </c>
      <c r="Z296" s="448">
        <f>O$8*O296</f>
        <v>1.0000000000000001E-9</v>
      </c>
      <c r="AA296" s="448">
        <f t="shared" si="490"/>
        <v>6E-10</v>
      </c>
      <c r="AB296" s="448">
        <f t="shared" si="491"/>
        <v>6.9999999999999996E-10</v>
      </c>
      <c r="AC296" s="448">
        <f t="shared" si="492"/>
        <v>8.0000000000000003E-10</v>
      </c>
      <c r="AD296" s="448">
        <f t="shared" si="493"/>
        <v>8.9999999999999999E-10</v>
      </c>
      <c r="AE296" s="448">
        <f t="shared" si="473"/>
        <v>0</v>
      </c>
      <c r="AF296" s="448" t="b">
        <f>IF(V296&gt;LARGE((($V296,$Y296,$AA296:$AE296)),3),TRUE)</f>
        <v>0</v>
      </c>
      <c r="AG296" s="448" t="b">
        <v>1</v>
      </c>
      <c r="AH296" s="448" t="b">
        <v>1</v>
      </c>
      <c r="AI296" s="448" t="b">
        <f>IF(Y296&gt;LARGE((($V296,$Y296,$AA296:$AE296)),3),TRUE)</f>
        <v>0</v>
      </c>
      <c r="AJ296" s="448" t="b">
        <v>1</v>
      </c>
      <c r="AK296" s="448" t="b">
        <f>IF(AA296&gt;LARGE((($V296,$Y296,$AA296:$AE296)),3),TRUE)</f>
        <v>0</v>
      </c>
      <c r="AL296" s="448" t="b">
        <f>IF(AB296&gt;LARGE((($V296,$Y296,$AA296:$AE296)),3),TRUE)</f>
        <v>0</v>
      </c>
      <c r="AM296" s="448" t="b">
        <f>IF(AC296&gt;LARGE((($V296,$Y296,$AA296:$AE296)),3),TRUE)</f>
        <v>1</v>
      </c>
      <c r="AN296" s="448" t="b">
        <f>IF(AD296&gt;LARGE((($V296,$Y296,$AA296:$AE296)),3),TRUE)</f>
        <v>1</v>
      </c>
      <c r="AO296" s="448" t="b">
        <f>IF(AE296&gt;LARGE((($V296,$Y296,$AA296:$AE296)),3),TRUE)</f>
        <v>0</v>
      </c>
      <c r="AQ296" s="365" t="str">
        <f>'Reference Score Calculation'!M273</f>
        <v>最佳五科必須包括︰英文、數學、M1/2</v>
      </c>
      <c r="AR296" s="365" t="str">
        <f>'Reference Score Calculation'!N273</f>
        <v>/</v>
      </c>
      <c r="AS296" s="365"/>
    </row>
    <row r="297" spans="1:72" s="433" customFormat="1">
      <c r="A297" s="433" t="str">
        <f>'Reference Score Calculation'!A274</f>
        <v>JS6236</v>
      </c>
      <c r="B297" s="433" t="str">
        <f>'Reference Score Calculation'!A274</f>
        <v>JS6236</v>
      </c>
      <c r="C297" s="446" t="str">
        <f>'Reference Score Calculation'!D274</f>
        <v>文理學士(設計＋)</v>
      </c>
      <c r="D297" s="365"/>
      <c r="E297" s="447" t="str">
        <f>'Reference Score Calculation'!E274</f>
        <v>Best 6</v>
      </c>
      <c r="F297" s="461" t="str">
        <f>'Reference Score Calculation'!AB274</f>
        <v>Best 5</v>
      </c>
      <c r="G297" s="365" t="str">
        <f>入學要求!AB283</f>
        <v>v</v>
      </c>
      <c r="H297" s="365" t="str">
        <f>入學要求!AC283</f>
        <v>E</v>
      </c>
      <c r="I297" s="365" t="str">
        <f>入學要求!AD283</f>
        <v>NO</v>
      </c>
      <c r="J297" s="448">
        <f>SUMIF(AF297:AO297,TRUE,V297:AE297)</f>
        <v>4.3500000000000001E-9</v>
      </c>
      <c r="K297" s="448">
        <v>1</v>
      </c>
      <c r="L297" s="448">
        <v>1</v>
      </c>
      <c r="M297" s="448">
        <v>1</v>
      </c>
      <c r="N297" s="448">
        <v>1</v>
      </c>
      <c r="O297" s="448">
        <v>1</v>
      </c>
      <c r="P297" s="448">
        <v>1</v>
      </c>
      <c r="Q297" s="448">
        <v>1</v>
      </c>
      <c r="R297" s="448">
        <v>1</v>
      </c>
      <c r="S297" s="448">
        <v>1</v>
      </c>
      <c r="T297" s="448">
        <v>1</v>
      </c>
      <c r="U297" s="455"/>
      <c r="V297" s="448">
        <f t="shared" si="486"/>
        <v>4.0000000000000001E-10</v>
      </c>
      <c r="W297" s="448">
        <f t="shared" si="487"/>
        <v>2.0000000000000001E-10</v>
      </c>
      <c r="X297" s="448">
        <f t="shared" si="488"/>
        <v>3E-10</v>
      </c>
      <c r="Y297" s="448">
        <f t="shared" si="489"/>
        <v>0</v>
      </c>
      <c r="Z297" s="448">
        <f>IF($O$8&gt;$T$8,O$8*O297,0)</f>
        <v>0</v>
      </c>
      <c r="AA297" s="448">
        <f t="shared" si="490"/>
        <v>6E-10</v>
      </c>
      <c r="AB297" s="448">
        <f t="shared" si="491"/>
        <v>6.9999999999999996E-10</v>
      </c>
      <c r="AC297" s="448">
        <f t="shared" si="492"/>
        <v>8.0000000000000003E-10</v>
      </c>
      <c r="AD297" s="448">
        <f t="shared" si="493"/>
        <v>8.9999999999999999E-10</v>
      </c>
      <c r="AE297" s="448">
        <f t="shared" si="473"/>
        <v>9.5000000000000003E-10</v>
      </c>
      <c r="AF297" s="448" t="b">
        <f t="shared" ref="AF297:AO297" si="498">IF(V297&gt;LARGE(($V297:$AE297),7),TRUE)</f>
        <v>1</v>
      </c>
      <c r="AG297" s="448" t="b">
        <f t="shared" si="498"/>
        <v>0</v>
      </c>
      <c r="AH297" s="448" t="b">
        <f t="shared" si="498"/>
        <v>0</v>
      </c>
      <c r="AI297" s="448" t="b">
        <f t="shared" si="498"/>
        <v>0</v>
      </c>
      <c r="AJ297" s="448" t="b">
        <f t="shared" si="498"/>
        <v>0</v>
      </c>
      <c r="AK297" s="448" t="b">
        <f t="shared" si="498"/>
        <v>1</v>
      </c>
      <c r="AL297" s="448" t="b">
        <f t="shared" si="498"/>
        <v>1</v>
      </c>
      <c r="AM297" s="448" t="b">
        <f t="shared" si="498"/>
        <v>1</v>
      </c>
      <c r="AN297" s="448" t="b">
        <f t="shared" si="498"/>
        <v>1</v>
      </c>
      <c r="AO297" s="448" t="b">
        <f t="shared" si="498"/>
        <v>1</v>
      </c>
      <c r="AQ297" s="365" t="str">
        <f>'Reference Score Calculation'!M274</f>
        <v>可包含 M1/2 或丙類科目 (較高者) 於計算內</v>
      </c>
      <c r="AR297" s="365" t="str">
        <f>'Reference Score Calculation'!N274</f>
        <v>/</v>
      </c>
      <c r="AS297" s="365"/>
    </row>
    <row r="298" spans="1:72" s="433" customFormat="1">
      <c r="A298" s="433" t="str">
        <f>'Reference Score Calculation'!A275</f>
        <v>JS6248</v>
      </c>
      <c r="B298" s="433" t="str">
        <f>'Reference Score Calculation'!A275</f>
        <v>JS6248</v>
      </c>
      <c r="C298" s="446" t="str">
        <f>'Reference Score Calculation'!D275</f>
        <v>文理學士(金融科技)</v>
      </c>
      <c r="D298" s="365"/>
      <c r="E298" s="447" t="str">
        <f>'Reference Score Calculation'!E275</f>
        <v>Best 6</v>
      </c>
      <c r="F298" s="461" t="str">
        <f>'Reference Score Calculation'!AB275</f>
        <v>Best 5</v>
      </c>
      <c r="G298" s="365" t="str">
        <f>入學要求!AB284</f>
        <v>v</v>
      </c>
      <c r="H298" s="365" t="str">
        <f>入學要求!AC284</f>
        <v>E</v>
      </c>
      <c r="I298" s="365" t="str">
        <f>入學要求!AD284</f>
        <v>NO</v>
      </c>
      <c r="J298" s="448">
        <f t="shared" si="417"/>
        <v>3.8500000000000006E-9</v>
      </c>
      <c r="K298" s="448">
        <v>1</v>
      </c>
      <c r="L298" s="448">
        <v>1</v>
      </c>
      <c r="M298" s="448">
        <v>1</v>
      </c>
      <c r="N298" s="448">
        <v>1</v>
      </c>
      <c r="O298" s="448">
        <v>1</v>
      </c>
      <c r="P298" s="448">
        <v>1</v>
      </c>
      <c r="Q298" s="448">
        <v>1</v>
      </c>
      <c r="R298" s="448">
        <v>1</v>
      </c>
      <c r="S298" s="448">
        <v>1</v>
      </c>
      <c r="T298" s="448">
        <v>1</v>
      </c>
      <c r="U298" s="455"/>
      <c r="V298" s="448">
        <f t="shared" si="486"/>
        <v>4.0000000000000001E-10</v>
      </c>
      <c r="W298" s="448">
        <f t="shared" si="487"/>
        <v>2.0000000000000001E-10</v>
      </c>
      <c r="X298" s="448">
        <f t="shared" si="488"/>
        <v>3E-10</v>
      </c>
      <c r="Y298" s="448">
        <f t="shared" si="489"/>
        <v>0</v>
      </c>
      <c r="Z298" s="448">
        <f>O$8*O298</f>
        <v>5.0000000000000003E-10</v>
      </c>
      <c r="AA298" s="448">
        <f t="shared" si="490"/>
        <v>6E-10</v>
      </c>
      <c r="AB298" s="448">
        <f t="shared" si="491"/>
        <v>6.9999999999999996E-10</v>
      </c>
      <c r="AC298" s="448">
        <f t="shared" si="492"/>
        <v>8.0000000000000003E-10</v>
      </c>
      <c r="AD298" s="448">
        <f t="shared" si="493"/>
        <v>8.9999999999999999E-10</v>
      </c>
      <c r="AE298" s="448">
        <f>IF(H298="E",$T$8*T298,0)</f>
        <v>9.5000000000000003E-10</v>
      </c>
      <c r="AF298" s="448" t="b">
        <f>IF(V298&gt;LARGE((($V298,$Y298:$AE298)),5),TRUE)</f>
        <v>0</v>
      </c>
      <c r="AG298" s="448" t="b">
        <v>1</v>
      </c>
      <c r="AH298" s="448" t="b">
        <v>1</v>
      </c>
      <c r="AI298" s="448" t="b">
        <f>IF(Y298&gt;LARGE((($V298,$Y298:$AE298)),5),TRUE)</f>
        <v>0</v>
      </c>
      <c r="AJ298" s="448" t="b">
        <f>IF(Z298&gt;LARGE((($V298,$Y298:$AE298)),5),TRUE)</f>
        <v>0</v>
      </c>
      <c r="AK298" s="448" t="b">
        <f>IF(AA298&gt;LARGE((($V298,$Y298:$AE298)),5),TRUE)</f>
        <v>0</v>
      </c>
      <c r="AL298" s="448" t="b">
        <f>IF(AB298&gt;LARGE((($V298,$Y298:$AE298)),5),TRUE)</f>
        <v>1</v>
      </c>
      <c r="AM298" s="448" t="b">
        <f>IF(AC298&gt;LARGE((($V298,$Y298:$AE298)),5),TRUE)</f>
        <v>1</v>
      </c>
      <c r="AN298" s="448" t="b">
        <f>IF(AD298&gt;LARGE((($V298,$Y298:$AE298)),5),TRUE)</f>
        <v>1</v>
      </c>
      <c r="AO298" s="448" t="b">
        <f>IF(AE298&gt;LARGE((($V298,$Y298:$AE298)),5),TRUE)</f>
        <v>1</v>
      </c>
      <c r="AQ298" s="365" t="str">
        <f>'Reference Score Calculation'!M275</f>
        <v>最佳六科必須包括︰英文、數學</v>
      </c>
      <c r="AR298" s="365" t="str">
        <f>'Reference Score Calculation'!N275</f>
        <v>可包含 M1/2 或丙類科目於計算內</v>
      </c>
      <c r="AS298" s="365"/>
    </row>
    <row r="299" spans="1:72" s="433" customFormat="1">
      <c r="A299" s="433" t="str">
        <f>'Reference Score Calculation'!A276</f>
        <v>JS6250</v>
      </c>
      <c r="B299" s="433" t="str">
        <f>'Reference Score Calculation'!A276</f>
        <v>JS6250</v>
      </c>
      <c r="C299" s="446" t="str">
        <f>'Reference Score Calculation'!D276</f>
        <v>文理學士(環球衞生及發展)</v>
      </c>
      <c r="D299" s="365"/>
      <c r="E299" s="447" t="str">
        <f>'Reference Score Calculation'!E276</f>
        <v>Best 5</v>
      </c>
      <c r="F299" s="461" t="str">
        <f>'Reference Score Calculation'!AB276</f>
        <v>Best 5</v>
      </c>
      <c r="G299" s="365" t="str">
        <f>入學要求!AB285</f>
        <v>v</v>
      </c>
      <c r="H299" s="365" t="str">
        <f>入學要求!AC285</f>
        <v>E</v>
      </c>
      <c r="I299" s="365" t="str">
        <f>入學要求!AD285</f>
        <v>NO</v>
      </c>
      <c r="J299" s="448">
        <f t="shared" si="417"/>
        <v>3.9500000000000006E-9</v>
      </c>
      <c r="K299" s="448">
        <v>1</v>
      </c>
      <c r="L299" s="448">
        <v>1</v>
      </c>
      <c r="M299" s="448">
        <v>1</v>
      </c>
      <c r="N299" s="448">
        <v>0</v>
      </c>
      <c r="O299" s="448">
        <v>1</v>
      </c>
      <c r="P299" s="448">
        <v>1</v>
      </c>
      <c r="Q299" s="448">
        <v>1</v>
      </c>
      <c r="R299" s="448">
        <v>1</v>
      </c>
      <c r="S299" s="448">
        <v>1</v>
      </c>
      <c r="T299" s="448">
        <v>1</v>
      </c>
      <c r="U299" s="455"/>
      <c r="V299" s="448">
        <f t="shared" si="486"/>
        <v>4.0000000000000001E-10</v>
      </c>
      <c r="W299" s="448">
        <f t="shared" si="487"/>
        <v>2.0000000000000001E-10</v>
      </c>
      <c r="X299" s="448">
        <f t="shared" si="488"/>
        <v>3E-10</v>
      </c>
      <c r="Y299" s="448">
        <f t="shared" si="489"/>
        <v>0</v>
      </c>
      <c r="Z299" s="448">
        <f>IF($O$8&gt;$T$8,O$8*O299,0)</f>
        <v>0</v>
      </c>
      <c r="AA299" s="448">
        <f t="shared" si="490"/>
        <v>6E-10</v>
      </c>
      <c r="AB299" s="448">
        <f t="shared" si="491"/>
        <v>6.9999999999999996E-10</v>
      </c>
      <c r="AC299" s="448">
        <f t="shared" si="492"/>
        <v>8.0000000000000003E-10</v>
      </c>
      <c r="AD299" s="448">
        <f t="shared" si="493"/>
        <v>8.9999999999999999E-10</v>
      </c>
      <c r="AE299" s="448">
        <f t="shared" si="473"/>
        <v>9.5000000000000003E-10</v>
      </c>
      <c r="AF299" s="448" t="b">
        <f t="shared" ref="AF299:AO299" si="499">IF(V299&gt;LARGE(($V299:$AE299),6),TRUE)</f>
        <v>0</v>
      </c>
      <c r="AG299" s="448" t="b">
        <f t="shared" si="499"/>
        <v>0</v>
      </c>
      <c r="AH299" s="448" t="b">
        <f t="shared" si="499"/>
        <v>0</v>
      </c>
      <c r="AI299" s="448" t="b">
        <f t="shared" si="499"/>
        <v>0</v>
      </c>
      <c r="AJ299" s="448" t="b">
        <f t="shared" si="499"/>
        <v>0</v>
      </c>
      <c r="AK299" s="448" t="b">
        <f t="shared" si="499"/>
        <v>1</v>
      </c>
      <c r="AL299" s="448" t="b">
        <f t="shared" si="499"/>
        <v>1</v>
      </c>
      <c r="AM299" s="448" t="b">
        <f t="shared" si="499"/>
        <v>1</v>
      </c>
      <c r="AN299" s="448" t="b">
        <f t="shared" si="499"/>
        <v>1</v>
      </c>
      <c r="AO299" s="448" t="b">
        <f t="shared" si="499"/>
        <v>1</v>
      </c>
      <c r="AQ299" s="365" t="str">
        <f>'Reference Score Calculation'!M276</f>
        <v>可包含 M1/2 或丙類科目 (較高者) 於計算內</v>
      </c>
      <c r="AR299" s="365" t="str">
        <f>'Reference Score Calculation'!N276</f>
        <v>/</v>
      </c>
      <c r="AS299" s="365"/>
    </row>
    <row r="300" spans="1:72" s="433" customFormat="1">
      <c r="A300" s="142"/>
      <c r="B300" s="119"/>
      <c r="C300" s="398" t="s">
        <v>3135</v>
      </c>
      <c r="D300" s="119"/>
      <c r="E300" s="132"/>
      <c r="F300" s="132"/>
      <c r="G300" s="119"/>
      <c r="H300" s="119"/>
      <c r="I300" s="119"/>
      <c r="J300" s="119"/>
      <c r="K300" s="119"/>
      <c r="L300" s="119"/>
      <c r="M300" s="119"/>
      <c r="N300" s="119"/>
      <c r="O300" s="119"/>
      <c r="P300" s="119"/>
      <c r="Q300" s="119"/>
      <c r="R300" s="119"/>
      <c r="S300" s="119"/>
      <c r="T300" s="119"/>
      <c r="U300" s="119"/>
      <c r="V300" s="119"/>
      <c r="W300" s="119"/>
      <c r="X300" s="119"/>
      <c r="Y300" s="119"/>
      <c r="Z300" s="119"/>
      <c r="AA300" s="119"/>
      <c r="AB300" s="119"/>
      <c r="AC300" s="119"/>
      <c r="AD300" s="119"/>
      <c r="AE300" s="119"/>
      <c r="AF300" s="119"/>
      <c r="AG300" s="119"/>
      <c r="AH300" s="119"/>
      <c r="AI300" s="119"/>
      <c r="AJ300" s="119"/>
      <c r="AK300" s="119"/>
      <c r="AL300" s="119"/>
      <c r="AM300" s="119"/>
      <c r="AN300" s="119"/>
      <c r="AO300" s="119"/>
      <c r="AP300" s="119"/>
      <c r="AQ300" s="95"/>
      <c r="AR300" s="95"/>
      <c r="AS300" s="119"/>
    </row>
    <row r="301" spans="1:72">
      <c r="A301" s="142"/>
      <c r="B301" s="144" t="s">
        <v>411</v>
      </c>
      <c r="C301" s="463"/>
      <c r="D301" s="145"/>
      <c r="E301" s="151"/>
      <c r="F301" s="457"/>
      <c r="G301" s="19" t="s">
        <v>297</v>
      </c>
      <c r="H301" s="19" t="s">
        <v>298</v>
      </c>
      <c r="I301" s="19" t="s">
        <v>299</v>
      </c>
      <c r="J301" s="133" t="s">
        <v>245</v>
      </c>
      <c r="K301" s="133" t="s">
        <v>274</v>
      </c>
      <c r="L301" s="133" t="s">
        <v>275</v>
      </c>
      <c r="M301" s="133" t="s">
        <v>276</v>
      </c>
      <c r="N301" s="133" t="s">
        <v>277</v>
      </c>
      <c r="O301" s="133" t="s">
        <v>278</v>
      </c>
      <c r="P301" s="133" t="s">
        <v>279</v>
      </c>
      <c r="Q301" s="133" t="s">
        <v>280</v>
      </c>
      <c r="R301" s="133" t="s">
        <v>281</v>
      </c>
      <c r="S301" s="133" t="s">
        <v>282</v>
      </c>
      <c r="T301" s="133" t="s">
        <v>319</v>
      </c>
      <c r="U301" s="144"/>
      <c r="V301" s="133" t="str">
        <f t="shared" ref="V301:AE301" si="500">K$1</f>
        <v>中國語文</v>
      </c>
      <c r="W301" s="133" t="str">
        <f t="shared" si="500"/>
        <v>英國語文</v>
      </c>
      <c r="X301" s="133" t="str">
        <f t="shared" si="500"/>
        <v>數學</v>
      </c>
      <c r="Y301" s="133" t="str">
        <f t="shared" si="500"/>
        <v>通識教育</v>
      </c>
      <c r="Z301" s="133" t="str">
        <f t="shared" si="500"/>
        <v>數學延伸</v>
      </c>
      <c r="AA301" s="133" t="str">
        <f t="shared" si="500"/>
        <v>請選擇第一選修科</v>
      </c>
      <c r="AB301" s="133" t="str">
        <f t="shared" si="500"/>
        <v>請選擇第二選修科</v>
      </c>
      <c r="AC301" s="133" t="str">
        <f t="shared" si="500"/>
        <v>請選擇第三選修科</v>
      </c>
      <c r="AD301" s="133" t="str">
        <f t="shared" si="500"/>
        <v>請選擇第四選修科</v>
      </c>
      <c r="AE301" s="133" t="str">
        <f t="shared" si="500"/>
        <v>請選擇語言科目</v>
      </c>
      <c r="AF301" s="133" t="s">
        <v>284</v>
      </c>
      <c r="AG301" s="133" t="s">
        <v>285</v>
      </c>
      <c r="AH301" s="133" t="s">
        <v>286</v>
      </c>
      <c r="AI301" s="133" t="s">
        <v>287</v>
      </c>
      <c r="AJ301" s="133" t="s">
        <v>288</v>
      </c>
      <c r="AK301" s="133" t="s">
        <v>289</v>
      </c>
      <c r="AL301" s="133" t="s">
        <v>290</v>
      </c>
      <c r="AM301" s="133" t="s">
        <v>291</v>
      </c>
      <c r="AN301" s="133" t="s">
        <v>292</v>
      </c>
      <c r="AO301" s="133" t="s">
        <v>320</v>
      </c>
      <c r="AP301" s="145"/>
      <c r="AQ301" s="95"/>
      <c r="AR301" s="95"/>
      <c r="AS301" s="145"/>
    </row>
    <row r="302" spans="1:72" s="145" customFormat="1">
      <c r="A302" s="142" t="str">
        <f>'Reference Score Calculation'!A279</f>
        <v>JS7101</v>
      </c>
      <c r="B302" s="119" t="str">
        <f>'Reference Score Calculation'!A279</f>
        <v>JS7101</v>
      </c>
      <c r="C302" s="119" t="str">
        <f>'Reference Score Calculation'!D279</f>
        <v>中文(榮譽)文學士</v>
      </c>
      <c r="D302" s="119"/>
      <c r="E302" s="135" t="str">
        <f>'Reference Score Calculation'!E279</f>
        <v>Best 5</v>
      </c>
      <c r="F302" s="135"/>
      <c r="G302" s="119" t="str">
        <f>入學要求!AB288</f>
        <v>v</v>
      </c>
      <c r="H302" s="119" t="str">
        <f>入學要求!AC288</f>
        <v>E</v>
      </c>
      <c r="I302" s="119" t="str">
        <f>入學要求!AD288</f>
        <v>NO</v>
      </c>
      <c r="J302" s="119">
        <f>SUMIF(AF302:AO302,TRUE,V302:AE302)</f>
        <v>3.3500000000000002E-9</v>
      </c>
      <c r="K302" s="119">
        <v>1.5</v>
      </c>
      <c r="L302" s="119">
        <v>1.5</v>
      </c>
      <c r="M302" s="119">
        <v>1</v>
      </c>
      <c r="N302" s="119">
        <v>0</v>
      </c>
      <c r="O302" s="134">
        <v>1</v>
      </c>
      <c r="P302" s="119">
        <f>IF(P$1=AU305,1.5,1)</f>
        <v>1</v>
      </c>
      <c r="Q302" s="119">
        <f>IF(Q$1=AV305,1.5,1)</f>
        <v>1</v>
      </c>
      <c r="R302" s="119">
        <f>IF(R$1=AW305,1.5,1)</f>
        <v>1</v>
      </c>
      <c r="S302" s="119">
        <f>IF(S$1=AX305,1.5,1)</f>
        <v>1</v>
      </c>
      <c r="T302" s="119">
        <v>1</v>
      </c>
      <c r="U302" s="119"/>
      <c r="V302" s="119">
        <f t="shared" ref="V302:V319" si="501">K$9*K302</f>
        <v>6E-10</v>
      </c>
      <c r="W302" s="119">
        <f t="shared" ref="W302:W319" si="502">L$9*L302</f>
        <v>3E-10</v>
      </c>
      <c r="X302" s="119">
        <f t="shared" ref="X302:X319" si="503">M$9*M302</f>
        <v>3E-10</v>
      </c>
      <c r="Y302" s="119">
        <f t="shared" ref="Y302:Y319" si="504">N$9*N302</f>
        <v>0</v>
      </c>
      <c r="Z302" s="119">
        <f t="shared" ref="Z302:Z319" si="505">IF(G302="v",O$9*O302,0)</f>
        <v>5.0000000000000003E-10</v>
      </c>
      <c r="AA302" s="119">
        <f t="shared" ref="AA302:AA319" si="506">P$9*P302</f>
        <v>6E-10</v>
      </c>
      <c r="AB302" s="119">
        <f t="shared" ref="AB302:AB319" si="507">Q$9*Q302</f>
        <v>6.9999999999999996E-10</v>
      </c>
      <c r="AC302" s="119">
        <f t="shared" ref="AC302:AC319" si="508">R$9*R302</f>
        <v>8.0000000000000003E-10</v>
      </c>
      <c r="AD302" s="119">
        <f t="shared" ref="AD302:AD319" si="509">S$9*S302</f>
        <v>8.9999999999999999E-10</v>
      </c>
      <c r="AE302" s="119">
        <f t="shared" ref="AE302:AE319" si="510">IF(H302="E",T$9*T302,0)</f>
        <v>9.5000000000000003E-10</v>
      </c>
      <c r="AF302" s="119" t="b">
        <f t="shared" ref="AF302:AF319" si="511">IF(V302&gt;LARGE(($V302:$AE302),6),TRUE)</f>
        <v>0</v>
      </c>
      <c r="AG302" s="119" t="b">
        <f t="shared" ref="AG302:AG319" si="512">IF(W302&gt;LARGE(($V302:$AE302),6),TRUE)</f>
        <v>0</v>
      </c>
      <c r="AH302" s="119" t="b">
        <f t="shared" ref="AH302:AH319" si="513">IF(X302&gt;LARGE(($V302:$AE302),6),TRUE)</f>
        <v>0</v>
      </c>
      <c r="AI302" s="119" t="b">
        <f t="shared" ref="AI302:AI319" si="514">IF(Y302&gt;LARGE(($V302:$AE302),6),TRUE)</f>
        <v>0</v>
      </c>
      <c r="AJ302" s="119" t="b">
        <f t="shared" ref="AJ302:AJ319" si="515">IF(Z302&gt;LARGE(($V302:$AE302),6),TRUE)</f>
        <v>0</v>
      </c>
      <c r="AK302" s="119" t="b">
        <f t="shared" ref="AK302:AK319" si="516">IF(AA302&gt;LARGE(($V302:$AE302),6),TRUE)</f>
        <v>0</v>
      </c>
      <c r="AL302" s="119" t="b">
        <f t="shared" ref="AL302:AL319" si="517">IF(AB302&gt;LARGE(($V302:$AE302),6),TRUE)</f>
        <v>1</v>
      </c>
      <c r="AM302" s="119" t="b">
        <f t="shared" ref="AM302:AM319" si="518">IF(AC302&gt;LARGE(($V302:$AE302),6),TRUE)</f>
        <v>1</v>
      </c>
      <c r="AN302" s="119" t="b">
        <f t="shared" ref="AN302:AN319" si="519">IF(AD302&gt;LARGE(($V302:$AE302),6),TRUE)</f>
        <v>1</v>
      </c>
      <c r="AO302" s="119" t="b">
        <f t="shared" ref="AO302:AO319" si="520">IF(AE302&gt;LARGE(($V302:$AE302),6),TRUE)</f>
        <v>1</v>
      </c>
      <c r="AP302" s="119"/>
      <c r="AQ302" s="95"/>
      <c r="AR302" s="95"/>
      <c r="AS302" s="119"/>
      <c r="AT302" s="126" t="s">
        <v>260</v>
      </c>
      <c r="AU302" s="124" t="s">
        <v>300</v>
      </c>
      <c r="AV302" s="104"/>
      <c r="AW302" s="117"/>
      <c r="AX302" s="117"/>
      <c r="AY302" s="117"/>
      <c r="AZ302" s="117"/>
      <c r="BA302" s="117"/>
      <c r="BB302" s="117"/>
      <c r="BC302" s="117"/>
      <c r="BD302" s="117"/>
      <c r="BE302" s="117"/>
      <c r="BF302" s="117"/>
      <c r="BG302" s="117"/>
      <c r="BH302" s="117"/>
      <c r="BI302" s="117"/>
      <c r="BJ302" s="117"/>
      <c r="BK302" s="117"/>
      <c r="BL302" s="117"/>
      <c r="BM302" s="117"/>
      <c r="BN302" s="117"/>
      <c r="BO302" s="117"/>
      <c r="BP302" s="117"/>
      <c r="BQ302" s="117"/>
      <c r="BR302" s="117"/>
      <c r="BS302" s="117"/>
      <c r="BT302" s="117"/>
    </row>
    <row r="303" spans="1:72">
      <c r="A303" s="142" t="str">
        <f>'Reference Score Calculation'!A280</f>
        <v>JS7123</v>
      </c>
      <c r="B303" s="119" t="str">
        <f>'Reference Score Calculation'!A280</f>
        <v>JS7123</v>
      </c>
      <c r="C303" s="119" t="str">
        <f>'Reference Score Calculation'!D280</f>
        <v>環球可持續發展(榮譽)博雅學士</v>
      </c>
      <c r="E303" s="135" t="str">
        <f>'Reference Score Calculation'!E280</f>
        <v>Best 5</v>
      </c>
      <c r="F303" s="135"/>
      <c r="G303" s="119" t="str">
        <f>入學要求!AB289</f>
        <v>v</v>
      </c>
      <c r="H303" s="119" t="str">
        <f>入學要求!AC289</f>
        <v>E</v>
      </c>
      <c r="I303" s="119" t="str">
        <f>入學要求!AD289</f>
        <v>NO</v>
      </c>
      <c r="J303" s="119">
        <f t="shared" ref="J303:J319" si="521">SUMIF(AF303:AO303,TRUE,V303:AE303)</f>
        <v>3.9500000000000006E-9</v>
      </c>
      <c r="K303" s="119">
        <v>1</v>
      </c>
      <c r="L303" s="119">
        <v>2</v>
      </c>
      <c r="M303" s="119">
        <v>1</v>
      </c>
      <c r="N303" s="119">
        <v>1.5</v>
      </c>
      <c r="O303" s="134">
        <v>1</v>
      </c>
      <c r="P303" s="119">
        <v>1</v>
      </c>
      <c r="Q303" s="119">
        <v>1</v>
      </c>
      <c r="R303" s="119">
        <v>1</v>
      </c>
      <c r="S303" s="119">
        <v>1</v>
      </c>
      <c r="T303" s="119">
        <v>1</v>
      </c>
      <c r="V303" s="119">
        <f t="shared" si="501"/>
        <v>4.0000000000000001E-10</v>
      </c>
      <c r="W303" s="119">
        <f t="shared" si="502"/>
        <v>4.0000000000000001E-10</v>
      </c>
      <c r="X303" s="119">
        <f t="shared" si="503"/>
        <v>3E-10</v>
      </c>
      <c r="Y303" s="119">
        <f t="shared" si="504"/>
        <v>0</v>
      </c>
      <c r="Z303" s="119">
        <f t="shared" si="505"/>
        <v>5.0000000000000003E-10</v>
      </c>
      <c r="AA303" s="119">
        <f t="shared" si="506"/>
        <v>6E-10</v>
      </c>
      <c r="AB303" s="119">
        <f t="shared" si="507"/>
        <v>6.9999999999999996E-10</v>
      </c>
      <c r="AC303" s="119">
        <f t="shared" si="508"/>
        <v>8.0000000000000003E-10</v>
      </c>
      <c r="AD303" s="119">
        <f t="shared" si="509"/>
        <v>8.9999999999999999E-10</v>
      </c>
      <c r="AE303" s="119">
        <f t="shared" si="510"/>
        <v>9.5000000000000003E-10</v>
      </c>
      <c r="AF303" s="119" t="b">
        <f t="shared" si="511"/>
        <v>0</v>
      </c>
      <c r="AG303" s="119" t="b">
        <f t="shared" si="512"/>
        <v>0</v>
      </c>
      <c r="AH303" s="119" t="b">
        <f t="shared" si="513"/>
        <v>0</v>
      </c>
      <c r="AI303" s="119" t="b">
        <f t="shared" si="514"/>
        <v>0</v>
      </c>
      <c r="AJ303" s="119" t="b">
        <f t="shared" si="515"/>
        <v>0</v>
      </c>
      <c r="AK303" s="119" t="b">
        <f t="shared" si="516"/>
        <v>1</v>
      </c>
      <c r="AL303" s="119" t="b">
        <f t="shared" si="517"/>
        <v>1</v>
      </c>
      <c r="AM303" s="119" t="b">
        <f t="shared" si="518"/>
        <v>1</v>
      </c>
      <c r="AN303" s="119" t="b">
        <f t="shared" si="519"/>
        <v>1</v>
      </c>
      <c r="AO303" s="119" t="b">
        <f t="shared" si="520"/>
        <v>1</v>
      </c>
      <c r="AQ303" s="95"/>
      <c r="AR303" s="95"/>
      <c r="AT303" s="117"/>
      <c r="AU303" s="103"/>
      <c r="AV303" s="104"/>
      <c r="AW303" s="117"/>
      <c r="AX303" s="117"/>
      <c r="AY303" s="117"/>
      <c r="AZ303" s="117"/>
      <c r="BA303" s="117"/>
      <c r="BB303" s="117"/>
      <c r="BC303" s="117"/>
      <c r="BD303" s="117"/>
      <c r="BE303" s="117"/>
      <c r="BF303" s="117"/>
      <c r="BG303" s="117"/>
      <c r="BH303" s="117"/>
      <c r="BI303" s="117"/>
      <c r="BJ303" s="117"/>
      <c r="BK303" s="117"/>
      <c r="BL303" s="117"/>
      <c r="BM303" s="117"/>
      <c r="BN303" s="117"/>
      <c r="BO303" s="117"/>
      <c r="BP303" s="117"/>
      <c r="BQ303" s="117"/>
      <c r="BR303" s="117"/>
      <c r="BS303" s="117"/>
      <c r="BT303" s="117"/>
    </row>
    <row r="304" spans="1:72">
      <c r="A304" s="142" t="str">
        <f>'Reference Score Calculation'!A281</f>
        <v>JS7133</v>
      </c>
      <c r="B304" s="119" t="str">
        <f>'Reference Score Calculation'!A281</f>
        <v>JS7133</v>
      </c>
      <c r="C304" s="119" t="str">
        <f>'Reference Score Calculation'!D281</f>
        <v>動畫及數碼藝術(榮譽)文學士</v>
      </c>
      <c r="E304" s="255" t="str">
        <f>'Reference Score Calculation'!AB281</f>
        <v>Best 5</v>
      </c>
      <c r="F304" s="255"/>
      <c r="G304" s="119" t="str">
        <f>入學要求!AB290</f>
        <v>v</v>
      </c>
      <c r="H304" s="119" t="str">
        <f>入學要求!AC290</f>
        <v>E</v>
      </c>
      <c r="I304" s="119" t="str">
        <f>入學要求!AD290</f>
        <v>NO</v>
      </c>
      <c r="J304" s="119">
        <f t="shared" si="521"/>
        <v>3.3500000000000002E-9</v>
      </c>
      <c r="K304" s="119">
        <v>1.5</v>
      </c>
      <c r="L304" s="119">
        <v>1.5</v>
      </c>
      <c r="M304" s="119">
        <v>1</v>
      </c>
      <c r="N304" s="119">
        <v>0</v>
      </c>
      <c r="O304" s="134">
        <v>1</v>
      </c>
      <c r="P304" s="119">
        <f>IF(OR(P$1="視覺藝術",P$1="資訊及通訊科技"),1.2,1)</f>
        <v>1</v>
      </c>
      <c r="Q304" s="119">
        <f>IF(OR(Q$1="視覺藝術",Q$1="資訊及通訊科技"),1.2,1)</f>
        <v>1</v>
      </c>
      <c r="R304" s="119">
        <f>IF(OR(R$1="視覺藝術",R$1="資訊及通訊科技"),1.2,1)</f>
        <v>1</v>
      </c>
      <c r="S304" s="119">
        <f>IF(OR(S$1="視覺藝術",S$1="資訊及通訊科技"),1.2,1)</f>
        <v>1</v>
      </c>
      <c r="T304" s="119">
        <v>1</v>
      </c>
      <c r="V304" s="119">
        <f t="shared" si="501"/>
        <v>6E-10</v>
      </c>
      <c r="W304" s="119">
        <f t="shared" si="502"/>
        <v>3E-10</v>
      </c>
      <c r="X304" s="119">
        <f t="shared" si="503"/>
        <v>3E-10</v>
      </c>
      <c r="Y304" s="119">
        <f t="shared" si="504"/>
        <v>0</v>
      </c>
      <c r="Z304" s="119">
        <f t="shared" si="505"/>
        <v>5.0000000000000003E-10</v>
      </c>
      <c r="AA304" s="119">
        <f t="shared" si="506"/>
        <v>6E-10</v>
      </c>
      <c r="AB304" s="119">
        <f t="shared" si="507"/>
        <v>6.9999999999999996E-10</v>
      </c>
      <c r="AC304" s="119">
        <f t="shared" si="508"/>
        <v>8.0000000000000003E-10</v>
      </c>
      <c r="AD304" s="119">
        <f t="shared" si="509"/>
        <v>8.9999999999999999E-10</v>
      </c>
      <c r="AE304" s="119">
        <f t="shared" si="510"/>
        <v>9.5000000000000003E-10</v>
      </c>
      <c r="AF304" s="119" t="b">
        <f t="shared" si="511"/>
        <v>0</v>
      </c>
      <c r="AG304" s="119" t="b">
        <f t="shared" si="512"/>
        <v>0</v>
      </c>
      <c r="AH304" s="119" t="b">
        <f t="shared" si="513"/>
        <v>0</v>
      </c>
      <c r="AI304" s="119" t="b">
        <f t="shared" si="514"/>
        <v>0</v>
      </c>
      <c r="AJ304" s="119" t="b">
        <f t="shared" si="515"/>
        <v>0</v>
      </c>
      <c r="AK304" s="119" t="b">
        <f t="shared" si="516"/>
        <v>0</v>
      </c>
      <c r="AL304" s="119" t="b">
        <f t="shared" si="517"/>
        <v>1</v>
      </c>
      <c r="AM304" s="119" t="b">
        <f t="shared" si="518"/>
        <v>1</v>
      </c>
      <c r="AN304" s="119" t="b">
        <f t="shared" si="519"/>
        <v>1</v>
      </c>
      <c r="AO304" s="119" t="b">
        <f t="shared" si="520"/>
        <v>1</v>
      </c>
      <c r="AQ304" s="95"/>
      <c r="AR304" s="95"/>
      <c r="AT304" s="118" t="s">
        <v>412</v>
      </c>
      <c r="AU304" s="103" t="s">
        <v>413</v>
      </c>
      <c r="AV304" s="104"/>
      <c r="AW304" s="117"/>
      <c r="AX304" s="117"/>
      <c r="AY304" s="117"/>
      <c r="AZ304" s="117"/>
      <c r="BA304" s="117"/>
      <c r="BB304" s="117"/>
      <c r="BC304" s="103" t="str">
        <f>P$1</f>
        <v>請選擇第一選修科</v>
      </c>
      <c r="BD304" s="103" t="str">
        <f>Q$1</f>
        <v>請選擇第二選修科</v>
      </c>
      <c r="BE304" s="103" t="str">
        <f>R$1</f>
        <v>請選擇第三選修科</v>
      </c>
      <c r="BF304" s="103" t="str">
        <f>S$1</f>
        <v>請選擇第四選修科</v>
      </c>
      <c r="BG304" s="117"/>
      <c r="BH304" s="117"/>
      <c r="BI304" s="117"/>
      <c r="BJ304" s="117"/>
      <c r="BK304" s="117"/>
      <c r="BL304" s="117"/>
      <c r="BM304" s="117"/>
      <c r="BN304" s="117"/>
      <c r="BO304" s="117"/>
      <c r="BP304" s="117"/>
      <c r="BQ304" s="117"/>
      <c r="BR304" s="117"/>
      <c r="BS304" s="117"/>
      <c r="BT304" s="117"/>
    </row>
    <row r="305" spans="1:72">
      <c r="A305" s="142" t="str">
        <f>'Reference Score Calculation'!A282</f>
        <v>JS7200</v>
      </c>
      <c r="B305" s="119" t="str">
        <f>'Reference Score Calculation'!A282</f>
        <v>JS7200</v>
      </c>
      <c r="C305" s="119" t="str">
        <f>'Reference Score Calculation'!D282</f>
        <v>工商管理(榮譽)學士</v>
      </c>
      <c r="E305" s="135" t="str">
        <f>'Reference Score Calculation'!E282</f>
        <v>Best 5</v>
      </c>
      <c r="F305" s="135"/>
      <c r="G305" s="119" t="str">
        <f>入學要求!AB291</f>
        <v>v</v>
      </c>
      <c r="H305" s="119" t="str">
        <f>入學要求!AC291</f>
        <v>E</v>
      </c>
      <c r="I305" s="119" t="str">
        <f>入學要求!AD291</f>
        <v>NO</v>
      </c>
      <c r="J305" s="119">
        <f t="shared" si="521"/>
        <v>3.9500000000000006E-9</v>
      </c>
      <c r="K305" s="119">
        <v>1</v>
      </c>
      <c r="L305" s="119">
        <v>2</v>
      </c>
      <c r="M305" s="119">
        <v>1.5</v>
      </c>
      <c r="N305" s="119">
        <v>0</v>
      </c>
      <c r="O305" s="134">
        <v>1</v>
      </c>
      <c r="P305" s="119">
        <v>1</v>
      </c>
      <c r="Q305" s="119">
        <v>1</v>
      </c>
      <c r="R305" s="119">
        <v>1</v>
      </c>
      <c r="S305" s="119">
        <v>1</v>
      </c>
      <c r="T305" s="119">
        <v>1</v>
      </c>
      <c r="V305" s="119">
        <f t="shared" si="501"/>
        <v>4.0000000000000001E-10</v>
      </c>
      <c r="W305" s="119">
        <f t="shared" si="502"/>
        <v>4.0000000000000001E-10</v>
      </c>
      <c r="X305" s="119">
        <f t="shared" si="503"/>
        <v>4.5E-10</v>
      </c>
      <c r="Y305" s="119">
        <f t="shared" si="504"/>
        <v>0</v>
      </c>
      <c r="Z305" s="119">
        <f t="shared" si="505"/>
        <v>5.0000000000000003E-10</v>
      </c>
      <c r="AA305" s="119">
        <f t="shared" si="506"/>
        <v>6E-10</v>
      </c>
      <c r="AB305" s="119">
        <f t="shared" si="507"/>
        <v>6.9999999999999996E-10</v>
      </c>
      <c r="AC305" s="119">
        <f t="shared" si="508"/>
        <v>8.0000000000000003E-10</v>
      </c>
      <c r="AD305" s="119">
        <f t="shared" si="509"/>
        <v>8.9999999999999999E-10</v>
      </c>
      <c r="AE305" s="119">
        <f t="shared" si="510"/>
        <v>9.5000000000000003E-10</v>
      </c>
      <c r="AF305" s="119" t="b">
        <f t="shared" si="511"/>
        <v>0</v>
      </c>
      <c r="AG305" s="119" t="b">
        <f t="shared" si="512"/>
        <v>0</v>
      </c>
      <c r="AH305" s="119" t="b">
        <f t="shared" si="513"/>
        <v>0</v>
      </c>
      <c r="AI305" s="119" t="b">
        <f t="shared" si="514"/>
        <v>0</v>
      </c>
      <c r="AJ305" s="119" t="b">
        <f t="shared" si="515"/>
        <v>0</v>
      </c>
      <c r="AK305" s="119" t="b">
        <f t="shared" si="516"/>
        <v>1</v>
      </c>
      <c r="AL305" s="119" t="b">
        <f t="shared" si="517"/>
        <v>1</v>
      </c>
      <c r="AM305" s="119" t="b">
        <f t="shared" si="518"/>
        <v>1</v>
      </c>
      <c r="AN305" s="119" t="b">
        <f t="shared" si="519"/>
        <v>1</v>
      </c>
      <c r="AO305" s="119" t="b">
        <f t="shared" si="520"/>
        <v>1</v>
      </c>
      <c r="AQ305" s="95"/>
      <c r="AR305" s="95"/>
      <c r="AT305" s="118"/>
      <c r="AU305" s="21" t="str">
        <f>IF(AW305&gt;0,INDEX(BC304:BF304,MATCH(LARGE(BC305:BF305,1),BC305:BF305,0)),"無")</f>
        <v>無</v>
      </c>
      <c r="AV305" s="16"/>
      <c r="AW305" s="2">
        <f>LARGE(BC305:BF305,1)</f>
        <v>0</v>
      </c>
      <c r="AX305" s="117"/>
      <c r="AY305" s="117"/>
      <c r="AZ305" s="117"/>
      <c r="BA305" s="117"/>
      <c r="BB305" s="117"/>
      <c r="BC305" s="21">
        <f>IF(OR(P$1="中國歷史",P$1="中國文學"),P$7,0)</f>
        <v>0</v>
      </c>
      <c r="BD305" s="21">
        <f>IF(OR(Q$1="中國歷史",Q$1="中國文學"),Q$7,0)</f>
        <v>0</v>
      </c>
      <c r="BE305" s="21">
        <f>IF(OR(R$1="中國歷史",R$1="中國文學"),R$7,0)</f>
        <v>0</v>
      </c>
      <c r="BF305" s="21">
        <f>IF(OR(S$1="中國歷史",S$1="中國文學"),S$7,0)</f>
        <v>0</v>
      </c>
      <c r="BG305" s="117"/>
      <c r="BH305" s="117"/>
      <c r="BI305" s="117"/>
      <c r="BJ305" s="117"/>
      <c r="BK305" s="117"/>
      <c r="BL305" s="117"/>
      <c r="BM305" s="117"/>
      <c r="BN305" s="117"/>
      <c r="BO305" s="117"/>
      <c r="BP305" s="117"/>
      <c r="BQ305" s="117"/>
      <c r="BR305" s="117"/>
      <c r="BS305" s="117"/>
      <c r="BT305" s="117"/>
    </row>
    <row r="306" spans="1:72">
      <c r="A306" s="142" t="str">
        <f>'Reference Score Calculation'!A283</f>
        <v>JS7204</v>
      </c>
      <c r="B306" s="119" t="str">
        <f>'Reference Score Calculation'!A283</f>
        <v>JS7204</v>
      </c>
      <c r="C306" s="119" t="str">
        <f>'Reference Score Calculation'!D283</f>
        <v>翻譯、跨文化研究及企業傳訊(榮譽)文學士</v>
      </c>
      <c r="E306" s="135" t="str">
        <f>'Reference Score Calculation'!E283</f>
        <v>Best 5</v>
      </c>
      <c r="F306" s="135"/>
      <c r="G306" s="119" t="str">
        <f>入學要求!AB292</f>
        <v>v</v>
      </c>
      <c r="H306" s="119" t="str">
        <f>入學要求!AC292</f>
        <v>E</v>
      </c>
      <c r="I306" s="119" t="str">
        <f>入學要求!AD292</f>
        <v>NO</v>
      </c>
      <c r="J306" s="119">
        <f t="shared" si="521"/>
        <v>3.3500000000000002E-9</v>
      </c>
      <c r="K306" s="119">
        <v>1.5</v>
      </c>
      <c r="L306" s="119">
        <v>2</v>
      </c>
      <c r="M306" s="119">
        <v>1</v>
      </c>
      <c r="N306" s="119">
        <v>0</v>
      </c>
      <c r="O306" s="134">
        <v>1</v>
      </c>
      <c r="P306" s="119">
        <f>IF(OR(P$1="英語文學",P$1="中國文學"),1.5,1)</f>
        <v>1</v>
      </c>
      <c r="Q306" s="119">
        <f>IF(OR(Q$1="英語文學",Q$1="中國文學"),1.5,1)</f>
        <v>1</v>
      </c>
      <c r="R306" s="119">
        <f>IF(OR(R$1="英語文學",R$1="中國文學"),1.5,1)</f>
        <v>1</v>
      </c>
      <c r="S306" s="119">
        <f>IF(OR(S$1="英語文學",S$1="中國文學"),1.5,1)</f>
        <v>1</v>
      </c>
      <c r="T306" s="119">
        <v>1</v>
      </c>
      <c r="V306" s="119">
        <f t="shared" si="501"/>
        <v>6E-10</v>
      </c>
      <c r="W306" s="119">
        <f t="shared" si="502"/>
        <v>4.0000000000000001E-10</v>
      </c>
      <c r="X306" s="119">
        <f t="shared" si="503"/>
        <v>3E-10</v>
      </c>
      <c r="Y306" s="119">
        <f t="shared" si="504"/>
        <v>0</v>
      </c>
      <c r="Z306" s="119">
        <f t="shared" si="505"/>
        <v>5.0000000000000003E-10</v>
      </c>
      <c r="AA306" s="119">
        <f t="shared" si="506"/>
        <v>6E-10</v>
      </c>
      <c r="AB306" s="119">
        <f t="shared" si="507"/>
        <v>6.9999999999999996E-10</v>
      </c>
      <c r="AC306" s="119">
        <f t="shared" si="508"/>
        <v>8.0000000000000003E-10</v>
      </c>
      <c r="AD306" s="119">
        <f t="shared" si="509"/>
        <v>8.9999999999999999E-10</v>
      </c>
      <c r="AE306" s="119">
        <f t="shared" si="510"/>
        <v>9.5000000000000003E-10</v>
      </c>
      <c r="AF306" s="119" t="b">
        <f t="shared" si="511"/>
        <v>0</v>
      </c>
      <c r="AG306" s="119" t="b">
        <f t="shared" si="512"/>
        <v>0</v>
      </c>
      <c r="AH306" s="119" t="b">
        <f t="shared" si="513"/>
        <v>0</v>
      </c>
      <c r="AI306" s="119" t="b">
        <f t="shared" si="514"/>
        <v>0</v>
      </c>
      <c r="AJ306" s="119" t="b">
        <f t="shared" si="515"/>
        <v>0</v>
      </c>
      <c r="AK306" s="119" t="b">
        <f t="shared" si="516"/>
        <v>0</v>
      </c>
      <c r="AL306" s="119" t="b">
        <f t="shared" si="517"/>
        <v>1</v>
      </c>
      <c r="AM306" s="119" t="b">
        <f t="shared" si="518"/>
        <v>1</v>
      </c>
      <c r="AN306" s="119" t="b">
        <f t="shared" si="519"/>
        <v>1</v>
      </c>
      <c r="AO306" s="119" t="b">
        <f t="shared" si="520"/>
        <v>1</v>
      </c>
      <c r="AQ306" s="95"/>
      <c r="AR306" s="95"/>
      <c r="AT306" s="118"/>
      <c r="AU306" s="103"/>
      <c r="AV306" s="104"/>
      <c r="AW306" s="117"/>
      <c r="AX306" s="117"/>
      <c r="AY306" s="117"/>
      <c r="AZ306" s="117"/>
      <c r="BA306" s="117"/>
      <c r="BB306" s="117"/>
      <c r="BC306" s="169" t="s">
        <v>414</v>
      </c>
      <c r="BD306" s="104"/>
      <c r="BE306" s="117"/>
      <c r="BF306" s="117"/>
      <c r="BG306" s="117"/>
      <c r="BH306" s="117"/>
      <c r="BI306" s="117"/>
      <c r="BJ306" s="117"/>
      <c r="BK306" s="117"/>
      <c r="BL306" s="117"/>
      <c r="BM306" s="117"/>
      <c r="BN306" s="117"/>
      <c r="BO306" s="117"/>
      <c r="BP306" s="117"/>
      <c r="BQ306" s="117"/>
      <c r="BR306" s="117"/>
      <c r="BS306" s="117"/>
      <c r="BT306" s="117"/>
    </row>
    <row r="307" spans="1:72">
      <c r="A307" s="142" t="str">
        <f>'Reference Score Calculation'!A284</f>
        <v>JS7216</v>
      </c>
      <c r="B307" s="119" t="str">
        <f>'Reference Score Calculation'!A284</f>
        <v>JS7216</v>
      </c>
      <c r="C307" s="119" t="str">
        <f>'Reference Score Calculation'!D284</f>
        <v>工商管理(榮譽)學士 - 風險及保險管理</v>
      </c>
      <c r="E307" s="135" t="str">
        <f>'Reference Score Calculation'!E284</f>
        <v>Best 5</v>
      </c>
      <c r="F307" s="135"/>
      <c r="G307" s="119" t="str">
        <f>入學要求!AB293</f>
        <v>v</v>
      </c>
      <c r="H307" s="119" t="str">
        <f>入學要求!AC293</f>
        <v>E</v>
      </c>
      <c r="I307" s="119" t="str">
        <f>入學要求!AD293</f>
        <v>NO</v>
      </c>
      <c r="J307" s="119">
        <f t="shared" si="521"/>
        <v>3.9500000000000006E-9</v>
      </c>
      <c r="K307" s="119">
        <v>1</v>
      </c>
      <c r="L307" s="119">
        <v>2</v>
      </c>
      <c r="M307" s="119">
        <v>1.5</v>
      </c>
      <c r="N307" s="119">
        <v>0</v>
      </c>
      <c r="O307" s="134">
        <v>1</v>
      </c>
      <c r="P307" s="119">
        <v>1</v>
      </c>
      <c r="Q307" s="119">
        <v>1</v>
      </c>
      <c r="R307" s="119">
        <v>1</v>
      </c>
      <c r="S307" s="119">
        <v>1</v>
      </c>
      <c r="T307" s="119">
        <v>1</v>
      </c>
      <c r="V307" s="119">
        <f t="shared" si="501"/>
        <v>4.0000000000000001E-10</v>
      </c>
      <c r="W307" s="119">
        <f t="shared" si="502"/>
        <v>4.0000000000000001E-10</v>
      </c>
      <c r="X307" s="119">
        <f t="shared" si="503"/>
        <v>4.5E-10</v>
      </c>
      <c r="Y307" s="119">
        <f t="shared" si="504"/>
        <v>0</v>
      </c>
      <c r="Z307" s="119">
        <f t="shared" si="505"/>
        <v>5.0000000000000003E-10</v>
      </c>
      <c r="AA307" s="119">
        <f t="shared" si="506"/>
        <v>6E-10</v>
      </c>
      <c r="AB307" s="119">
        <f t="shared" si="507"/>
        <v>6.9999999999999996E-10</v>
      </c>
      <c r="AC307" s="119">
        <f t="shared" si="508"/>
        <v>8.0000000000000003E-10</v>
      </c>
      <c r="AD307" s="119">
        <f t="shared" si="509"/>
        <v>8.9999999999999999E-10</v>
      </c>
      <c r="AE307" s="119">
        <f t="shared" si="510"/>
        <v>9.5000000000000003E-10</v>
      </c>
      <c r="AF307" s="119" t="b">
        <f t="shared" si="511"/>
        <v>0</v>
      </c>
      <c r="AG307" s="119" t="b">
        <f t="shared" si="512"/>
        <v>0</v>
      </c>
      <c r="AH307" s="119" t="b">
        <f t="shared" si="513"/>
        <v>0</v>
      </c>
      <c r="AI307" s="119" t="b">
        <f t="shared" si="514"/>
        <v>0</v>
      </c>
      <c r="AJ307" s="119" t="b">
        <f t="shared" si="515"/>
        <v>0</v>
      </c>
      <c r="AK307" s="119" t="b">
        <f t="shared" si="516"/>
        <v>1</v>
      </c>
      <c r="AL307" s="119" t="b">
        <f t="shared" si="517"/>
        <v>1</v>
      </c>
      <c r="AM307" s="119" t="b">
        <f t="shared" si="518"/>
        <v>1</v>
      </c>
      <c r="AN307" s="119" t="b">
        <f t="shared" si="519"/>
        <v>1</v>
      </c>
      <c r="AO307" s="119" t="b">
        <f t="shared" si="520"/>
        <v>1</v>
      </c>
      <c r="AQ307" s="95"/>
      <c r="AR307" s="95"/>
    </row>
    <row r="308" spans="1:72">
      <c r="A308" s="142" t="str">
        <f>'Reference Score Calculation'!A285</f>
        <v>JS7225</v>
      </c>
      <c r="B308" s="119" t="str">
        <f>'Reference Score Calculation'!A285</f>
        <v>JS7225</v>
      </c>
      <c r="C308" s="119" t="str">
        <f>'Reference Score Calculation'!D285</f>
        <v>數據科學(榮譽)理學士</v>
      </c>
      <c r="E308" s="255" t="str">
        <f>'Reference Score Calculation'!E285</f>
        <v>Best 5</v>
      </c>
      <c r="F308" s="255"/>
      <c r="G308" s="119" t="str">
        <f>入學要求!AB294</f>
        <v>v</v>
      </c>
      <c r="H308" s="119" t="str">
        <f>入學要求!AC294</f>
        <v>E</v>
      </c>
      <c r="I308" s="119" t="str">
        <f>入學要求!AD294</f>
        <v>NO</v>
      </c>
      <c r="J308" s="119">
        <f t="shared" si="521"/>
        <v>4.3500000000000001E-9</v>
      </c>
      <c r="K308" s="119">
        <v>1</v>
      </c>
      <c r="L308" s="119">
        <v>2</v>
      </c>
      <c r="M308" s="119">
        <v>2</v>
      </c>
      <c r="N308" s="119">
        <v>0</v>
      </c>
      <c r="O308" s="134">
        <v>2</v>
      </c>
      <c r="P308" s="119">
        <f>IF(P$1="資訊及通訊科技",2,IF(OR(P$1="化學",P$1="物理",P$1="組合科學(物理、化學)",P$1="組合科學(生物、化學)",P$1="組合科學(物理、生物)",P$1="綜合科學"),1.25,1))</f>
        <v>1</v>
      </c>
      <c r="Q308" s="119">
        <f>IF(Q$1="資訊及通訊科技",2,IF(OR(Q$1="化學",Q$1="物理",Q$1="組合科學(物理、化學)",Q$1="組合科學(生物、化學)",Q$1="組合科學(物理、生物)",Q$1="綜合科學"),1.25,1))</f>
        <v>1</v>
      </c>
      <c r="R308" s="119">
        <f>IF(R$1="資訊及通訊科技",2,IF(OR(R$1="化學",R$1="物理",R$1="組合科學(物理、化學)",R$1="組合科學(生物、化學)",R$1="組合科學(物理、生物)",R$1="綜合科學"),1.25,1))</f>
        <v>1</v>
      </c>
      <c r="S308" s="119">
        <f>IF(S$1="資訊及通訊科技",2,IF(OR(S$1="化學",S$1="物理",S$1="組合科學(物理、化學)",S$1="組合科學(生物、化學)",S$1="組合科學(物理、生物)",S$1="綜合科學"),1.25,1))</f>
        <v>1</v>
      </c>
      <c r="T308" s="119">
        <v>1</v>
      </c>
      <c r="V308" s="119">
        <f t="shared" si="501"/>
        <v>4.0000000000000001E-10</v>
      </c>
      <c r="W308" s="119">
        <f t="shared" si="502"/>
        <v>4.0000000000000001E-10</v>
      </c>
      <c r="X308" s="119">
        <f t="shared" si="503"/>
        <v>6E-10</v>
      </c>
      <c r="Y308" s="119">
        <f t="shared" si="504"/>
        <v>0</v>
      </c>
      <c r="Z308" s="119">
        <f t="shared" si="505"/>
        <v>1.0000000000000001E-9</v>
      </c>
      <c r="AA308" s="119">
        <f t="shared" si="506"/>
        <v>6E-10</v>
      </c>
      <c r="AB308" s="119">
        <f t="shared" si="507"/>
        <v>6.9999999999999996E-10</v>
      </c>
      <c r="AC308" s="119">
        <f t="shared" si="508"/>
        <v>8.0000000000000003E-10</v>
      </c>
      <c r="AD308" s="119">
        <f t="shared" si="509"/>
        <v>8.9999999999999999E-10</v>
      </c>
      <c r="AE308" s="119">
        <f t="shared" si="510"/>
        <v>9.5000000000000003E-10</v>
      </c>
      <c r="AF308" s="119" t="b">
        <f t="shared" si="511"/>
        <v>0</v>
      </c>
      <c r="AG308" s="119" t="b">
        <f t="shared" si="512"/>
        <v>0</v>
      </c>
      <c r="AH308" s="119" t="b">
        <f t="shared" si="513"/>
        <v>0</v>
      </c>
      <c r="AI308" s="119" t="b">
        <f t="shared" si="514"/>
        <v>0</v>
      </c>
      <c r="AJ308" s="119" t="b">
        <f t="shared" si="515"/>
        <v>1</v>
      </c>
      <c r="AK308" s="119" t="b">
        <f t="shared" si="516"/>
        <v>0</v>
      </c>
      <c r="AL308" s="119" t="b">
        <f t="shared" si="517"/>
        <v>1</v>
      </c>
      <c r="AM308" s="119" t="b">
        <f t="shared" si="518"/>
        <v>1</v>
      </c>
      <c r="AN308" s="119" t="b">
        <f t="shared" si="519"/>
        <v>1</v>
      </c>
      <c r="AO308" s="119" t="b">
        <f t="shared" si="520"/>
        <v>1</v>
      </c>
      <c r="AQ308" s="95"/>
      <c r="AR308" s="95"/>
    </row>
    <row r="309" spans="1:72">
      <c r="A309" s="142" t="str">
        <f>'Reference Score Calculation'!A286</f>
        <v>JS7301</v>
      </c>
      <c r="B309" s="119" t="str">
        <f>'Reference Score Calculation'!A286</f>
        <v>JS7301</v>
      </c>
      <c r="C309" s="119" t="str">
        <f>'Reference Score Calculation'!D286</f>
        <v>社會科學(榮譽)學士 - 經濟學</v>
      </c>
      <c r="E309" s="255" t="str">
        <f>'Reference Score Calculation'!AB286</f>
        <v>Best 5</v>
      </c>
      <c r="F309" s="255"/>
      <c r="G309" s="119" t="str">
        <f>入學要求!AB295</f>
        <v>v</v>
      </c>
      <c r="H309" s="119" t="str">
        <f>入學要求!AC295</f>
        <v>E</v>
      </c>
      <c r="I309" s="119" t="str">
        <f>入學要求!AD295</f>
        <v>NO</v>
      </c>
      <c r="J309" s="119">
        <f t="shared" si="521"/>
        <v>3.9500000000000006E-9</v>
      </c>
      <c r="K309" s="119">
        <v>1</v>
      </c>
      <c r="L309" s="119">
        <v>2</v>
      </c>
      <c r="M309" s="119">
        <v>1.5</v>
      </c>
      <c r="N309" s="119">
        <v>1.5</v>
      </c>
      <c r="O309" s="134">
        <v>1</v>
      </c>
      <c r="P309" s="119">
        <f>IF(P$1="經濟",1.5,1)</f>
        <v>1</v>
      </c>
      <c r="Q309" s="119">
        <f t="shared" ref="Q309:S309" si="522">IF(Q$1="經濟",1.5,1)</f>
        <v>1</v>
      </c>
      <c r="R309" s="119">
        <f t="shared" si="522"/>
        <v>1</v>
      </c>
      <c r="S309" s="119">
        <f t="shared" si="522"/>
        <v>1</v>
      </c>
      <c r="T309" s="119">
        <v>1</v>
      </c>
      <c r="V309" s="119">
        <f t="shared" si="501"/>
        <v>4.0000000000000001E-10</v>
      </c>
      <c r="W309" s="119">
        <f t="shared" si="502"/>
        <v>4.0000000000000001E-10</v>
      </c>
      <c r="X309" s="119">
        <f t="shared" si="503"/>
        <v>4.5E-10</v>
      </c>
      <c r="Y309" s="119">
        <f t="shared" si="504"/>
        <v>0</v>
      </c>
      <c r="Z309" s="119">
        <f t="shared" si="505"/>
        <v>5.0000000000000003E-10</v>
      </c>
      <c r="AA309" s="119">
        <f t="shared" si="506"/>
        <v>6E-10</v>
      </c>
      <c r="AB309" s="119">
        <f t="shared" si="507"/>
        <v>6.9999999999999996E-10</v>
      </c>
      <c r="AC309" s="119">
        <f t="shared" si="508"/>
        <v>8.0000000000000003E-10</v>
      </c>
      <c r="AD309" s="119">
        <f t="shared" si="509"/>
        <v>8.9999999999999999E-10</v>
      </c>
      <c r="AE309" s="119">
        <f t="shared" si="510"/>
        <v>9.5000000000000003E-10</v>
      </c>
      <c r="AF309" s="119" t="b">
        <f t="shared" si="511"/>
        <v>0</v>
      </c>
      <c r="AG309" s="119" t="b">
        <f t="shared" si="512"/>
        <v>0</v>
      </c>
      <c r="AH309" s="119" t="b">
        <f t="shared" si="513"/>
        <v>0</v>
      </c>
      <c r="AI309" s="119" t="b">
        <f t="shared" si="514"/>
        <v>0</v>
      </c>
      <c r="AJ309" s="119" t="b">
        <f t="shared" si="515"/>
        <v>0</v>
      </c>
      <c r="AK309" s="119" t="b">
        <f t="shared" si="516"/>
        <v>1</v>
      </c>
      <c r="AL309" s="119" t="b">
        <f t="shared" si="517"/>
        <v>1</v>
      </c>
      <c r="AM309" s="119" t="b">
        <f t="shared" si="518"/>
        <v>1</v>
      </c>
      <c r="AN309" s="119" t="b">
        <f t="shared" si="519"/>
        <v>1</v>
      </c>
      <c r="AO309" s="119" t="b">
        <f t="shared" si="520"/>
        <v>1</v>
      </c>
      <c r="AQ309" s="95"/>
      <c r="AR309" s="95"/>
    </row>
    <row r="310" spans="1:72">
      <c r="A310" s="142" t="str">
        <f>'Reference Score Calculation'!A287</f>
        <v>JS7302</v>
      </c>
      <c r="B310" s="119" t="str">
        <f>'Reference Score Calculation'!A287</f>
        <v>JS7302</v>
      </c>
      <c r="C310" s="119" t="str">
        <f>'Reference Score Calculation'!D287</f>
        <v>社會科學(榮譽)學士 - 政府與國際事務學</v>
      </c>
      <c r="E310" s="135" t="str">
        <f>'Reference Score Calculation'!AB287</f>
        <v>Best 5</v>
      </c>
      <c r="F310" s="135"/>
      <c r="G310" s="119" t="str">
        <f>入學要求!AB296</f>
        <v>v</v>
      </c>
      <c r="H310" s="119" t="str">
        <f>入學要求!AC296</f>
        <v>E</v>
      </c>
      <c r="I310" s="119" t="str">
        <f>入學要求!AD296</f>
        <v>NO</v>
      </c>
      <c r="J310" s="119">
        <f t="shared" si="521"/>
        <v>3.9500000000000006E-9</v>
      </c>
      <c r="K310" s="119">
        <v>1</v>
      </c>
      <c r="L310" s="119">
        <v>2</v>
      </c>
      <c r="M310" s="119">
        <v>1.5</v>
      </c>
      <c r="N310" s="119">
        <v>1.5</v>
      </c>
      <c r="O310" s="134">
        <v>1</v>
      </c>
      <c r="P310" s="119">
        <f>IF(OR(P$1="中國歷史",P$1="地理",P$1="歷史"),1.5,1)</f>
        <v>1</v>
      </c>
      <c r="Q310" s="119">
        <f>IF(OR(Q$1="中國歷史",Q$1="地理",Q$1="歷史"),1.5,1)</f>
        <v>1</v>
      </c>
      <c r="R310" s="119">
        <f>IF(OR(R$1="中國歷史",R$1="地理",R$1="歷史"),1.5,1)</f>
        <v>1</v>
      </c>
      <c r="S310" s="119">
        <f>IF(OR(S$1="中國歷史",S$1="地理",S$1="歷史"),1.5,1)</f>
        <v>1</v>
      </c>
      <c r="T310" s="119">
        <v>1</v>
      </c>
      <c r="V310" s="119">
        <f t="shared" si="501"/>
        <v>4.0000000000000001E-10</v>
      </c>
      <c r="W310" s="119">
        <f t="shared" si="502"/>
        <v>4.0000000000000001E-10</v>
      </c>
      <c r="X310" s="119">
        <f t="shared" si="503"/>
        <v>4.5E-10</v>
      </c>
      <c r="Y310" s="119">
        <f t="shared" si="504"/>
        <v>0</v>
      </c>
      <c r="Z310" s="119">
        <f t="shared" si="505"/>
        <v>5.0000000000000003E-10</v>
      </c>
      <c r="AA310" s="119">
        <f t="shared" si="506"/>
        <v>6E-10</v>
      </c>
      <c r="AB310" s="119">
        <f t="shared" si="507"/>
        <v>6.9999999999999996E-10</v>
      </c>
      <c r="AC310" s="119">
        <f t="shared" si="508"/>
        <v>8.0000000000000003E-10</v>
      </c>
      <c r="AD310" s="119">
        <f t="shared" si="509"/>
        <v>8.9999999999999999E-10</v>
      </c>
      <c r="AE310" s="119">
        <f t="shared" si="510"/>
        <v>9.5000000000000003E-10</v>
      </c>
      <c r="AF310" s="119" t="b">
        <f t="shared" si="511"/>
        <v>0</v>
      </c>
      <c r="AG310" s="119" t="b">
        <f t="shared" si="512"/>
        <v>0</v>
      </c>
      <c r="AH310" s="119" t="b">
        <f t="shared" si="513"/>
        <v>0</v>
      </c>
      <c r="AI310" s="119" t="b">
        <f t="shared" si="514"/>
        <v>0</v>
      </c>
      <c r="AJ310" s="119" t="b">
        <f t="shared" si="515"/>
        <v>0</v>
      </c>
      <c r="AK310" s="119" t="b">
        <f t="shared" si="516"/>
        <v>1</v>
      </c>
      <c r="AL310" s="119" t="b">
        <f t="shared" si="517"/>
        <v>1</v>
      </c>
      <c r="AM310" s="119" t="b">
        <f t="shared" si="518"/>
        <v>1</v>
      </c>
      <c r="AN310" s="119" t="b">
        <f t="shared" si="519"/>
        <v>1</v>
      </c>
      <c r="AO310" s="119" t="b">
        <f t="shared" si="520"/>
        <v>1</v>
      </c>
      <c r="AQ310" s="95"/>
      <c r="AR310" s="95"/>
    </row>
    <row r="311" spans="1:72">
      <c r="A311" s="142" t="str">
        <f>'Reference Score Calculation'!A288</f>
        <v>JS7303</v>
      </c>
      <c r="B311" s="119" t="str">
        <f>'Reference Score Calculation'!A288</f>
        <v>JS7303</v>
      </c>
      <c r="C311" s="119" t="str">
        <f>'Reference Score Calculation'!D288</f>
        <v>社會科學(榮譽)學士 - 心理學</v>
      </c>
      <c r="E311" s="135" t="str">
        <f>'Reference Score Calculation'!AB288</f>
        <v>Best 5</v>
      </c>
      <c r="F311" s="135"/>
      <c r="G311" s="119" t="str">
        <f>入學要求!AB297</f>
        <v>v</v>
      </c>
      <c r="H311" s="119" t="str">
        <f>入學要求!AC297</f>
        <v>E</v>
      </c>
      <c r="I311" s="119" t="str">
        <f>入學要求!AD297</f>
        <v>NO</v>
      </c>
      <c r="J311" s="119">
        <f t="shared" si="521"/>
        <v>3.9500000000000006E-9</v>
      </c>
      <c r="K311" s="119">
        <v>1</v>
      </c>
      <c r="L311" s="119">
        <v>2</v>
      </c>
      <c r="M311" s="119">
        <v>1.5</v>
      </c>
      <c r="N311" s="119">
        <v>1.5</v>
      </c>
      <c r="O311" s="134">
        <v>1</v>
      </c>
      <c r="P311" s="119">
        <v>1</v>
      </c>
      <c r="Q311" s="119">
        <v>1</v>
      </c>
      <c r="R311" s="119">
        <v>1</v>
      </c>
      <c r="S311" s="119">
        <v>1</v>
      </c>
      <c r="T311" s="119">
        <v>1</v>
      </c>
      <c r="V311" s="119">
        <f t="shared" si="501"/>
        <v>4.0000000000000001E-10</v>
      </c>
      <c r="W311" s="119">
        <f t="shared" si="502"/>
        <v>4.0000000000000001E-10</v>
      </c>
      <c r="X311" s="119">
        <f t="shared" si="503"/>
        <v>4.5E-10</v>
      </c>
      <c r="Y311" s="119">
        <f t="shared" si="504"/>
        <v>0</v>
      </c>
      <c r="Z311" s="119">
        <f t="shared" si="505"/>
        <v>5.0000000000000003E-10</v>
      </c>
      <c r="AA311" s="119">
        <f t="shared" si="506"/>
        <v>6E-10</v>
      </c>
      <c r="AB311" s="119">
        <f t="shared" si="507"/>
        <v>6.9999999999999996E-10</v>
      </c>
      <c r="AC311" s="119">
        <f t="shared" si="508"/>
        <v>8.0000000000000003E-10</v>
      </c>
      <c r="AD311" s="119">
        <f t="shared" si="509"/>
        <v>8.9999999999999999E-10</v>
      </c>
      <c r="AE311" s="119">
        <f t="shared" si="510"/>
        <v>9.5000000000000003E-10</v>
      </c>
      <c r="AF311" s="119" t="b">
        <f t="shared" si="511"/>
        <v>0</v>
      </c>
      <c r="AG311" s="119" t="b">
        <f t="shared" si="512"/>
        <v>0</v>
      </c>
      <c r="AH311" s="119" t="b">
        <f t="shared" si="513"/>
        <v>0</v>
      </c>
      <c r="AI311" s="119" t="b">
        <f t="shared" si="514"/>
        <v>0</v>
      </c>
      <c r="AJ311" s="119" t="b">
        <f t="shared" si="515"/>
        <v>0</v>
      </c>
      <c r="AK311" s="119" t="b">
        <f t="shared" si="516"/>
        <v>1</v>
      </c>
      <c r="AL311" s="119" t="b">
        <f t="shared" si="517"/>
        <v>1</v>
      </c>
      <c r="AM311" s="119" t="b">
        <f t="shared" si="518"/>
        <v>1</v>
      </c>
      <c r="AN311" s="119" t="b">
        <f t="shared" si="519"/>
        <v>1</v>
      </c>
      <c r="AO311" s="119" t="b">
        <f t="shared" si="520"/>
        <v>1</v>
      </c>
      <c r="AQ311" s="95"/>
      <c r="AR311" s="95"/>
    </row>
    <row r="312" spans="1:72">
      <c r="A312" s="142" t="str">
        <f>'Reference Score Calculation'!A289</f>
        <v>JS7304</v>
      </c>
      <c r="B312" s="119" t="str">
        <f>'Reference Score Calculation'!A289</f>
        <v>JS7304</v>
      </c>
      <c r="C312" s="119" t="str">
        <f>'Reference Score Calculation'!D289</f>
        <v>社會科學(榮譽)學士 - 社會學</v>
      </c>
      <c r="E312" s="135" t="str">
        <f>'Reference Score Calculation'!AB289</f>
        <v>Best 5</v>
      </c>
      <c r="F312" s="135"/>
      <c r="G312" s="119" t="str">
        <f>入學要求!AB298</f>
        <v>v</v>
      </c>
      <c r="H312" s="119" t="str">
        <f>入學要求!AC298</f>
        <v>E</v>
      </c>
      <c r="I312" s="119" t="str">
        <f>入學要求!AD298</f>
        <v>NO</v>
      </c>
      <c r="J312" s="119">
        <f t="shared" si="521"/>
        <v>3.9500000000000006E-9</v>
      </c>
      <c r="K312" s="119">
        <v>1</v>
      </c>
      <c r="L312" s="119">
        <v>2</v>
      </c>
      <c r="M312" s="119">
        <v>1.5</v>
      </c>
      <c r="N312" s="119">
        <v>1.5</v>
      </c>
      <c r="O312" s="134">
        <v>1</v>
      </c>
      <c r="P312" s="119">
        <v>1</v>
      </c>
      <c r="Q312" s="119">
        <v>1</v>
      </c>
      <c r="R312" s="119">
        <v>1</v>
      </c>
      <c r="S312" s="119">
        <v>1</v>
      </c>
      <c r="T312" s="119">
        <v>1</v>
      </c>
      <c r="V312" s="119">
        <f t="shared" si="501"/>
        <v>4.0000000000000001E-10</v>
      </c>
      <c r="W312" s="119">
        <f t="shared" si="502"/>
        <v>4.0000000000000001E-10</v>
      </c>
      <c r="X312" s="119">
        <f t="shared" si="503"/>
        <v>4.5E-10</v>
      </c>
      <c r="Y312" s="119">
        <f t="shared" si="504"/>
        <v>0</v>
      </c>
      <c r="Z312" s="119">
        <f t="shared" si="505"/>
        <v>5.0000000000000003E-10</v>
      </c>
      <c r="AA312" s="119">
        <f t="shared" si="506"/>
        <v>6E-10</v>
      </c>
      <c r="AB312" s="119">
        <f t="shared" si="507"/>
        <v>6.9999999999999996E-10</v>
      </c>
      <c r="AC312" s="119">
        <f t="shared" si="508"/>
        <v>8.0000000000000003E-10</v>
      </c>
      <c r="AD312" s="119">
        <f t="shared" si="509"/>
        <v>8.9999999999999999E-10</v>
      </c>
      <c r="AE312" s="119">
        <f t="shared" si="510"/>
        <v>9.5000000000000003E-10</v>
      </c>
      <c r="AF312" s="119" t="b">
        <f t="shared" si="511"/>
        <v>0</v>
      </c>
      <c r="AG312" s="119" t="b">
        <f t="shared" si="512"/>
        <v>0</v>
      </c>
      <c r="AH312" s="119" t="b">
        <f t="shared" si="513"/>
        <v>0</v>
      </c>
      <c r="AI312" s="119" t="b">
        <f t="shared" si="514"/>
        <v>0</v>
      </c>
      <c r="AJ312" s="119" t="b">
        <f t="shared" si="515"/>
        <v>0</v>
      </c>
      <c r="AK312" s="119" t="b">
        <f t="shared" si="516"/>
        <v>1</v>
      </c>
      <c r="AL312" s="119" t="b">
        <f t="shared" si="517"/>
        <v>1</v>
      </c>
      <c r="AM312" s="119" t="b">
        <f t="shared" si="518"/>
        <v>1</v>
      </c>
      <c r="AN312" s="119" t="b">
        <f t="shared" si="519"/>
        <v>1</v>
      </c>
      <c r="AO312" s="119" t="b">
        <f t="shared" si="520"/>
        <v>1</v>
      </c>
      <c r="AQ312" s="95"/>
      <c r="AR312" s="95"/>
    </row>
    <row r="313" spans="1:72">
      <c r="A313" s="142" t="str">
        <f>'Reference Score Calculation'!A290</f>
        <v>JS7305</v>
      </c>
      <c r="B313" s="119" t="str">
        <f>'Reference Score Calculation'!A290</f>
        <v>JS7305</v>
      </c>
      <c r="C313" s="119" t="str">
        <f>'Reference Score Calculation'!D290</f>
        <v>社會科學(榮譽)學士 - 健康及社會服務管理</v>
      </c>
      <c r="E313" s="135" t="str">
        <f>'Reference Score Calculation'!AB290</f>
        <v>Best 5</v>
      </c>
      <c r="F313" s="135"/>
      <c r="G313" s="119" t="str">
        <f>入學要求!AB299</f>
        <v>v</v>
      </c>
      <c r="H313" s="119" t="str">
        <f>入學要求!AC299</f>
        <v>E</v>
      </c>
      <c r="I313" s="119" t="str">
        <f>入學要求!AD299</f>
        <v>NO</v>
      </c>
      <c r="J313" s="119">
        <f t="shared" si="521"/>
        <v>3.9500000000000006E-9</v>
      </c>
      <c r="K313" s="119">
        <v>1</v>
      </c>
      <c r="L313" s="119">
        <v>1</v>
      </c>
      <c r="M313" s="119">
        <v>1</v>
      </c>
      <c r="N313" s="119">
        <v>0</v>
      </c>
      <c r="O313" s="134">
        <v>1</v>
      </c>
      <c r="P313" s="119">
        <f>IF(OR(P$1="倫理與宗教",P$1="健康管理與社會關懷"),1.5,1)</f>
        <v>1</v>
      </c>
      <c r="Q313" s="119">
        <f>IF(OR(Q$1="倫理與宗教",Q$1="健康管理與社會關懷"),1.5,1)</f>
        <v>1</v>
      </c>
      <c r="R313" s="119">
        <f>IF(OR(R$1="倫理與宗教",R$1="健康管理與社會關懷"),1.5,1)</f>
        <v>1</v>
      </c>
      <c r="S313" s="119">
        <f>IF(OR(S$1="倫理與宗教",S$1="健康管理與社會關懷"),1.5,1)</f>
        <v>1</v>
      </c>
      <c r="T313" s="119">
        <v>1</v>
      </c>
      <c r="V313" s="119">
        <f t="shared" si="501"/>
        <v>4.0000000000000001E-10</v>
      </c>
      <c r="W313" s="119">
        <f t="shared" si="502"/>
        <v>2.0000000000000001E-10</v>
      </c>
      <c r="X313" s="119">
        <f t="shared" si="503"/>
        <v>3E-10</v>
      </c>
      <c r="Y313" s="119">
        <f t="shared" si="504"/>
        <v>0</v>
      </c>
      <c r="Z313" s="119">
        <f t="shared" si="505"/>
        <v>5.0000000000000003E-10</v>
      </c>
      <c r="AA313" s="119">
        <f t="shared" si="506"/>
        <v>6E-10</v>
      </c>
      <c r="AB313" s="119">
        <f t="shared" si="507"/>
        <v>6.9999999999999996E-10</v>
      </c>
      <c r="AC313" s="119">
        <f t="shared" si="508"/>
        <v>8.0000000000000003E-10</v>
      </c>
      <c r="AD313" s="119">
        <f t="shared" si="509"/>
        <v>8.9999999999999999E-10</v>
      </c>
      <c r="AE313" s="119">
        <f t="shared" si="510"/>
        <v>9.5000000000000003E-10</v>
      </c>
      <c r="AF313" s="119" t="b">
        <f t="shared" si="511"/>
        <v>0</v>
      </c>
      <c r="AG313" s="119" t="b">
        <f t="shared" si="512"/>
        <v>0</v>
      </c>
      <c r="AH313" s="119" t="b">
        <f t="shared" si="513"/>
        <v>0</v>
      </c>
      <c r="AI313" s="119" t="b">
        <f t="shared" si="514"/>
        <v>0</v>
      </c>
      <c r="AJ313" s="119" t="b">
        <f t="shared" si="515"/>
        <v>0</v>
      </c>
      <c r="AK313" s="119" t="b">
        <f t="shared" si="516"/>
        <v>1</v>
      </c>
      <c r="AL313" s="119" t="b">
        <f t="shared" si="517"/>
        <v>1</v>
      </c>
      <c r="AM313" s="119" t="b">
        <f t="shared" si="518"/>
        <v>1</v>
      </c>
      <c r="AN313" s="119" t="b">
        <f t="shared" si="519"/>
        <v>1</v>
      </c>
      <c r="AO313" s="119" t="b">
        <f t="shared" si="520"/>
        <v>1</v>
      </c>
      <c r="AQ313" s="95"/>
      <c r="AR313" s="95"/>
    </row>
    <row r="314" spans="1:72">
      <c r="A314" s="142" t="str">
        <f>'Reference Score Calculation'!A291</f>
        <v>JS7306</v>
      </c>
      <c r="B314" s="119" t="str">
        <f>'Reference Score Calculation'!A291</f>
        <v>JS7306</v>
      </c>
      <c r="C314" s="119" t="str">
        <f>'Reference Score Calculation'!D291</f>
        <v>社會科學(榮譽)學士 - 社會與公共政策研究</v>
      </c>
      <c r="E314" s="135" t="str">
        <f>'Reference Score Calculation'!AB291</f>
        <v>Best 5</v>
      </c>
      <c r="F314" s="135"/>
      <c r="G314" s="119" t="str">
        <f>入學要求!AB300</f>
        <v>v</v>
      </c>
      <c r="H314" s="119" t="str">
        <f>入學要求!AC300</f>
        <v>E</v>
      </c>
      <c r="I314" s="119" t="str">
        <f>入學要求!AD300</f>
        <v>NO</v>
      </c>
      <c r="J314" s="119">
        <f t="shared" si="521"/>
        <v>3.9500000000000006E-9</v>
      </c>
      <c r="K314" s="119">
        <v>1</v>
      </c>
      <c r="L314" s="119">
        <v>2</v>
      </c>
      <c r="M314" s="119">
        <v>1.5</v>
      </c>
      <c r="N314" s="119">
        <v>1.5</v>
      </c>
      <c r="O314" s="134">
        <v>1</v>
      </c>
      <c r="P314" s="119">
        <v>1</v>
      </c>
      <c r="Q314" s="119">
        <v>1</v>
      </c>
      <c r="R314" s="119">
        <v>1</v>
      </c>
      <c r="S314" s="119">
        <v>1</v>
      </c>
      <c r="T314" s="119">
        <v>1</v>
      </c>
      <c r="V314" s="119">
        <f t="shared" si="501"/>
        <v>4.0000000000000001E-10</v>
      </c>
      <c r="W314" s="119">
        <f t="shared" si="502"/>
        <v>4.0000000000000001E-10</v>
      </c>
      <c r="X314" s="119">
        <f t="shared" si="503"/>
        <v>4.5E-10</v>
      </c>
      <c r="Y314" s="119">
        <f t="shared" si="504"/>
        <v>0</v>
      </c>
      <c r="Z314" s="119">
        <f t="shared" si="505"/>
        <v>5.0000000000000003E-10</v>
      </c>
      <c r="AA314" s="119">
        <f t="shared" si="506"/>
        <v>6E-10</v>
      </c>
      <c r="AB314" s="119">
        <f t="shared" si="507"/>
        <v>6.9999999999999996E-10</v>
      </c>
      <c r="AC314" s="119">
        <f t="shared" si="508"/>
        <v>8.0000000000000003E-10</v>
      </c>
      <c r="AD314" s="119">
        <f t="shared" si="509"/>
        <v>8.9999999999999999E-10</v>
      </c>
      <c r="AE314" s="119">
        <f t="shared" si="510"/>
        <v>9.5000000000000003E-10</v>
      </c>
      <c r="AF314" s="119" t="b">
        <f t="shared" si="511"/>
        <v>0</v>
      </c>
      <c r="AG314" s="119" t="b">
        <f t="shared" si="512"/>
        <v>0</v>
      </c>
      <c r="AH314" s="119" t="b">
        <f t="shared" si="513"/>
        <v>0</v>
      </c>
      <c r="AI314" s="119" t="b">
        <f t="shared" si="514"/>
        <v>0</v>
      </c>
      <c r="AJ314" s="119" t="b">
        <f t="shared" si="515"/>
        <v>0</v>
      </c>
      <c r="AK314" s="119" t="b">
        <f t="shared" si="516"/>
        <v>1</v>
      </c>
      <c r="AL314" s="119" t="b">
        <f t="shared" si="517"/>
        <v>1</v>
      </c>
      <c r="AM314" s="119" t="b">
        <f t="shared" si="518"/>
        <v>1</v>
      </c>
      <c r="AN314" s="119" t="b">
        <f t="shared" si="519"/>
        <v>1</v>
      </c>
      <c r="AO314" s="119" t="b">
        <f t="shared" si="520"/>
        <v>1</v>
      </c>
      <c r="AQ314" s="95"/>
      <c r="AR314" s="95"/>
    </row>
    <row r="315" spans="1:72">
      <c r="A315" s="142" t="str">
        <f>'Reference Score Calculation'!A292</f>
        <v>JS7503</v>
      </c>
      <c r="B315" s="119" t="str">
        <f>'Reference Score Calculation'!A292</f>
        <v>JS7503</v>
      </c>
      <c r="C315" s="119" t="str">
        <f>'Reference Score Calculation'!D292</f>
        <v>當代英語語言文學課程(榮譽)文學士</v>
      </c>
      <c r="E315" s="135" t="str">
        <f>'Reference Score Calculation'!E292</f>
        <v>Best 5</v>
      </c>
      <c r="F315" s="135"/>
      <c r="G315" s="119" t="str">
        <f>入學要求!AB301</f>
        <v>v</v>
      </c>
      <c r="H315" s="119" t="str">
        <f>入學要求!AC301</f>
        <v>E</v>
      </c>
      <c r="I315" s="119" t="str">
        <f>入學要求!AD301</f>
        <v>NO</v>
      </c>
      <c r="J315" s="119">
        <f t="shared" si="521"/>
        <v>3.3500000000000002E-9</v>
      </c>
      <c r="K315" s="119">
        <v>1.5</v>
      </c>
      <c r="L315" s="119">
        <v>2.5</v>
      </c>
      <c r="M315" s="119">
        <v>1</v>
      </c>
      <c r="N315" s="119">
        <v>0</v>
      </c>
      <c r="O315" s="134">
        <v>1</v>
      </c>
      <c r="P315" s="119">
        <f>IF(P$1="英語文學",1.5,1)</f>
        <v>1</v>
      </c>
      <c r="Q315" s="119">
        <f>IF(Q$1="英語文學",1.5,1)</f>
        <v>1</v>
      </c>
      <c r="R315" s="119">
        <f>IF(R$1="英語文學",1.5,1)</f>
        <v>1</v>
      </c>
      <c r="S315" s="119">
        <f>IF(S$1="英語文學",1.5,1)</f>
        <v>1</v>
      </c>
      <c r="T315" s="119">
        <v>1</v>
      </c>
      <c r="V315" s="119">
        <f t="shared" si="501"/>
        <v>6E-10</v>
      </c>
      <c r="W315" s="119">
        <f t="shared" si="502"/>
        <v>5.0000000000000003E-10</v>
      </c>
      <c r="X315" s="119">
        <f t="shared" si="503"/>
        <v>3E-10</v>
      </c>
      <c r="Y315" s="119">
        <f t="shared" si="504"/>
        <v>0</v>
      </c>
      <c r="Z315" s="119">
        <f t="shared" si="505"/>
        <v>5.0000000000000003E-10</v>
      </c>
      <c r="AA315" s="119">
        <f t="shared" si="506"/>
        <v>6E-10</v>
      </c>
      <c r="AB315" s="119">
        <f t="shared" si="507"/>
        <v>6.9999999999999996E-10</v>
      </c>
      <c r="AC315" s="119">
        <f t="shared" si="508"/>
        <v>8.0000000000000003E-10</v>
      </c>
      <c r="AD315" s="119">
        <f t="shared" si="509"/>
        <v>8.9999999999999999E-10</v>
      </c>
      <c r="AE315" s="119">
        <f t="shared" si="510"/>
        <v>9.5000000000000003E-10</v>
      </c>
      <c r="AF315" s="119" t="b">
        <f t="shared" si="511"/>
        <v>0</v>
      </c>
      <c r="AG315" s="119" t="b">
        <f t="shared" si="512"/>
        <v>0</v>
      </c>
      <c r="AH315" s="119" t="b">
        <f t="shared" si="513"/>
        <v>0</v>
      </c>
      <c r="AI315" s="119" t="b">
        <f t="shared" si="514"/>
        <v>0</v>
      </c>
      <c r="AJ315" s="119" t="b">
        <f t="shared" si="515"/>
        <v>0</v>
      </c>
      <c r="AK315" s="119" t="b">
        <f t="shared" si="516"/>
        <v>0</v>
      </c>
      <c r="AL315" s="119" t="b">
        <f t="shared" si="517"/>
        <v>1</v>
      </c>
      <c r="AM315" s="119" t="b">
        <f t="shared" si="518"/>
        <v>1</v>
      </c>
      <c r="AN315" s="119" t="b">
        <f t="shared" si="519"/>
        <v>1</v>
      </c>
      <c r="AO315" s="119" t="b">
        <f t="shared" si="520"/>
        <v>1</v>
      </c>
      <c r="AQ315" s="95"/>
      <c r="AR315" s="95"/>
    </row>
    <row r="316" spans="1:72">
      <c r="A316" s="142" t="str">
        <f>'Reference Score Calculation'!A293</f>
        <v>JS7606</v>
      </c>
      <c r="B316" s="119" t="str">
        <f>'Reference Score Calculation'!A293</f>
        <v>JS7606</v>
      </c>
      <c r="C316" s="119" t="str">
        <f>'Reference Score Calculation'!D293</f>
        <v>文化研究(榮譽)文學士</v>
      </c>
      <c r="E316" s="135" t="str">
        <f>'Reference Score Calculation'!E293</f>
        <v>Best 5</v>
      </c>
      <c r="F316" s="135"/>
      <c r="G316" s="119" t="str">
        <f>入學要求!AB302</f>
        <v>v</v>
      </c>
      <c r="H316" s="119" t="str">
        <f>入學要求!AC302</f>
        <v>E</v>
      </c>
      <c r="I316" s="119" t="str">
        <f>入學要求!AD302</f>
        <v>NO</v>
      </c>
      <c r="J316" s="119">
        <f t="shared" si="521"/>
        <v>3.3500000000000002E-9</v>
      </c>
      <c r="K316" s="119">
        <v>1.5</v>
      </c>
      <c r="L316" s="119">
        <v>2</v>
      </c>
      <c r="M316" s="119">
        <v>1</v>
      </c>
      <c r="N316" s="119">
        <v>0</v>
      </c>
      <c r="O316" s="134">
        <v>1</v>
      </c>
      <c r="P316" s="119">
        <v>1</v>
      </c>
      <c r="Q316" s="119">
        <v>1</v>
      </c>
      <c r="R316" s="119">
        <v>1</v>
      </c>
      <c r="S316" s="119">
        <v>1</v>
      </c>
      <c r="T316" s="119">
        <v>1</v>
      </c>
      <c r="V316" s="119">
        <f t="shared" si="501"/>
        <v>6E-10</v>
      </c>
      <c r="W316" s="119">
        <f t="shared" si="502"/>
        <v>4.0000000000000001E-10</v>
      </c>
      <c r="X316" s="119">
        <f t="shared" si="503"/>
        <v>3E-10</v>
      </c>
      <c r="Y316" s="119">
        <f t="shared" si="504"/>
        <v>0</v>
      </c>
      <c r="Z316" s="119">
        <f t="shared" si="505"/>
        <v>5.0000000000000003E-10</v>
      </c>
      <c r="AA316" s="119">
        <f t="shared" si="506"/>
        <v>6E-10</v>
      </c>
      <c r="AB316" s="119">
        <f t="shared" si="507"/>
        <v>6.9999999999999996E-10</v>
      </c>
      <c r="AC316" s="119">
        <f t="shared" si="508"/>
        <v>8.0000000000000003E-10</v>
      </c>
      <c r="AD316" s="119">
        <f t="shared" si="509"/>
        <v>8.9999999999999999E-10</v>
      </c>
      <c r="AE316" s="119">
        <f t="shared" si="510"/>
        <v>9.5000000000000003E-10</v>
      </c>
      <c r="AF316" s="119" t="b">
        <f t="shared" si="511"/>
        <v>0</v>
      </c>
      <c r="AG316" s="119" t="b">
        <f t="shared" si="512"/>
        <v>0</v>
      </c>
      <c r="AH316" s="119" t="b">
        <f t="shared" si="513"/>
        <v>0</v>
      </c>
      <c r="AI316" s="119" t="b">
        <f t="shared" si="514"/>
        <v>0</v>
      </c>
      <c r="AJ316" s="119" t="b">
        <f t="shared" si="515"/>
        <v>0</v>
      </c>
      <c r="AK316" s="119" t="b">
        <f t="shared" si="516"/>
        <v>0</v>
      </c>
      <c r="AL316" s="119" t="b">
        <f t="shared" si="517"/>
        <v>1</v>
      </c>
      <c r="AM316" s="119" t="b">
        <f t="shared" si="518"/>
        <v>1</v>
      </c>
      <c r="AN316" s="119" t="b">
        <f t="shared" si="519"/>
        <v>1</v>
      </c>
      <c r="AO316" s="119" t="b">
        <f t="shared" si="520"/>
        <v>1</v>
      </c>
      <c r="AQ316" s="95"/>
      <c r="AR316" s="95"/>
    </row>
    <row r="317" spans="1:72">
      <c r="A317" s="142" t="str">
        <f>'Reference Score Calculation'!A294</f>
        <v>JS7709</v>
      </c>
      <c r="B317" s="119" t="str">
        <f>'Reference Score Calculation'!A294</f>
        <v>JS7709</v>
      </c>
      <c r="C317" s="119" t="str">
        <f>'Reference Score Calculation'!D294</f>
        <v>歷史(榮譽)文學士</v>
      </c>
      <c r="E317" s="135" t="str">
        <f>'Reference Score Calculation'!E294</f>
        <v>Best 5</v>
      </c>
      <c r="F317" s="135"/>
      <c r="G317" s="119" t="str">
        <f>入學要求!AB303</f>
        <v>v</v>
      </c>
      <c r="H317" s="119" t="str">
        <f>入學要求!AC303</f>
        <v>E</v>
      </c>
      <c r="I317" s="119" t="str">
        <f>入學要求!AD303</f>
        <v>NO</v>
      </c>
      <c r="J317" s="119">
        <f t="shared" si="521"/>
        <v>3.3500000000000002E-9</v>
      </c>
      <c r="K317" s="119">
        <v>1.5</v>
      </c>
      <c r="L317" s="119">
        <v>2</v>
      </c>
      <c r="M317" s="119">
        <v>1</v>
      </c>
      <c r="N317" s="119">
        <v>0</v>
      </c>
      <c r="O317" s="134">
        <v>1</v>
      </c>
      <c r="P317" s="119">
        <f>IF(OR(P$1="中國歷史",P$1="歷史"),1.2,1)</f>
        <v>1</v>
      </c>
      <c r="Q317" s="119">
        <f>IF(OR(Q$1="中國歷史",Q$1="歷史"),1.2,1)</f>
        <v>1</v>
      </c>
      <c r="R317" s="119">
        <f>IF(OR(R$1="中國歷史",R$1="歷史"),1.2,1)</f>
        <v>1</v>
      </c>
      <c r="S317" s="119">
        <f>IF(OR(S$1="中國歷史",S$1="歷史"),1.2,1)</f>
        <v>1</v>
      </c>
      <c r="T317" s="119">
        <v>1</v>
      </c>
      <c r="V317" s="119">
        <f t="shared" si="501"/>
        <v>6E-10</v>
      </c>
      <c r="W317" s="119">
        <f t="shared" si="502"/>
        <v>4.0000000000000001E-10</v>
      </c>
      <c r="X317" s="119">
        <f t="shared" si="503"/>
        <v>3E-10</v>
      </c>
      <c r="Y317" s="119">
        <f t="shared" si="504"/>
        <v>0</v>
      </c>
      <c r="Z317" s="119">
        <f t="shared" si="505"/>
        <v>5.0000000000000003E-10</v>
      </c>
      <c r="AA317" s="119">
        <f t="shared" si="506"/>
        <v>6E-10</v>
      </c>
      <c r="AB317" s="119">
        <f t="shared" si="507"/>
        <v>6.9999999999999996E-10</v>
      </c>
      <c r="AC317" s="119">
        <f t="shared" si="508"/>
        <v>8.0000000000000003E-10</v>
      </c>
      <c r="AD317" s="119">
        <f t="shared" si="509"/>
        <v>8.9999999999999999E-10</v>
      </c>
      <c r="AE317" s="119">
        <f t="shared" si="510"/>
        <v>9.5000000000000003E-10</v>
      </c>
      <c r="AF317" s="119" t="b">
        <f t="shared" si="511"/>
        <v>0</v>
      </c>
      <c r="AG317" s="119" t="b">
        <f t="shared" si="512"/>
        <v>0</v>
      </c>
      <c r="AH317" s="119" t="b">
        <f t="shared" si="513"/>
        <v>0</v>
      </c>
      <c r="AI317" s="119" t="b">
        <f t="shared" si="514"/>
        <v>0</v>
      </c>
      <c r="AJ317" s="119" t="b">
        <f t="shared" si="515"/>
        <v>0</v>
      </c>
      <c r="AK317" s="119" t="b">
        <f t="shared" si="516"/>
        <v>0</v>
      </c>
      <c r="AL317" s="119" t="b">
        <f t="shared" si="517"/>
        <v>1</v>
      </c>
      <c r="AM317" s="119" t="b">
        <f t="shared" si="518"/>
        <v>1</v>
      </c>
      <c r="AN317" s="119" t="b">
        <f t="shared" si="519"/>
        <v>1</v>
      </c>
      <c r="AO317" s="119" t="b">
        <f t="shared" si="520"/>
        <v>1</v>
      </c>
      <c r="AQ317" s="95"/>
      <c r="AR317" s="95"/>
    </row>
    <row r="318" spans="1:72">
      <c r="A318" s="142" t="str">
        <f>'Reference Score Calculation'!A295</f>
        <v>JS7802</v>
      </c>
      <c r="B318" s="119" t="str">
        <f>'Reference Score Calculation'!A295</f>
        <v>JS7802</v>
      </c>
      <c r="C318" s="119" t="str">
        <f>'Reference Score Calculation'!D295</f>
        <v>哲學(榮譽)文學士</v>
      </c>
      <c r="E318" s="135" t="str">
        <f>'Reference Score Calculation'!E295</f>
        <v>Best 5</v>
      </c>
      <c r="F318" s="135"/>
      <c r="G318" s="119" t="str">
        <f>入學要求!AB304</f>
        <v>v</v>
      </c>
      <c r="H318" s="119" t="str">
        <f>入學要求!AC304</f>
        <v>E</v>
      </c>
      <c r="I318" s="119" t="str">
        <f>入學要求!AD304</f>
        <v>NO</v>
      </c>
      <c r="J318" s="119">
        <f t="shared" si="521"/>
        <v>3.3500000000000002E-9</v>
      </c>
      <c r="K318" s="119">
        <v>1.5</v>
      </c>
      <c r="L318" s="119">
        <v>2</v>
      </c>
      <c r="M318" s="119">
        <v>1.5</v>
      </c>
      <c r="N318" s="119">
        <v>0</v>
      </c>
      <c r="O318" s="134">
        <v>1</v>
      </c>
      <c r="P318" s="119">
        <v>1</v>
      </c>
      <c r="Q318" s="119">
        <v>1</v>
      </c>
      <c r="R318" s="119">
        <v>1</v>
      </c>
      <c r="S318" s="119">
        <v>1</v>
      </c>
      <c r="T318" s="119">
        <v>1</v>
      </c>
      <c r="V318" s="119">
        <f t="shared" si="501"/>
        <v>6E-10</v>
      </c>
      <c r="W318" s="119">
        <f t="shared" si="502"/>
        <v>4.0000000000000001E-10</v>
      </c>
      <c r="X318" s="119">
        <f t="shared" si="503"/>
        <v>4.5E-10</v>
      </c>
      <c r="Y318" s="119">
        <f t="shared" si="504"/>
        <v>0</v>
      </c>
      <c r="Z318" s="119">
        <f t="shared" si="505"/>
        <v>5.0000000000000003E-10</v>
      </c>
      <c r="AA318" s="119">
        <f t="shared" si="506"/>
        <v>6E-10</v>
      </c>
      <c r="AB318" s="119">
        <f t="shared" si="507"/>
        <v>6.9999999999999996E-10</v>
      </c>
      <c r="AC318" s="119">
        <f t="shared" si="508"/>
        <v>8.0000000000000003E-10</v>
      </c>
      <c r="AD318" s="119">
        <f t="shared" si="509"/>
        <v>8.9999999999999999E-10</v>
      </c>
      <c r="AE318" s="119">
        <f t="shared" si="510"/>
        <v>9.5000000000000003E-10</v>
      </c>
      <c r="AF318" s="119" t="b">
        <f t="shared" si="511"/>
        <v>0</v>
      </c>
      <c r="AG318" s="119" t="b">
        <f t="shared" si="512"/>
        <v>0</v>
      </c>
      <c r="AH318" s="119" t="b">
        <f t="shared" si="513"/>
        <v>0</v>
      </c>
      <c r="AI318" s="119" t="b">
        <f t="shared" si="514"/>
        <v>0</v>
      </c>
      <c r="AJ318" s="119" t="b">
        <f t="shared" si="515"/>
        <v>0</v>
      </c>
      <c r="AK318" s="119" t="b">
        <f t="shared" si="516"/>
        <v>0</v>
      </c>
      <c r="AL318" s="119" t="b">
        <f t="shared" si="517"/>
        <v>1</v>
      </c>
      <c r="AM318" s="119" t="b">
        <f t="shared" si="518"/>
        <v>1</v>
      </c>
      <c r="AN318" s="119" t="b">
        <f t="shared" si="519"/>
        <v>1</v>
      </c>
      <c r="AO318" s="119" t="b">
        <f t="shared" si="520"/>
        <v>1</v>
      </c>
      <c r="AQ318" s="95"/>
      <c r="AR318" s="95"/>
    </row>
    <row r="319" spans="1:72">
      <c r="A319" s="142" t="str">
        <f>'Reference Score Calculation'!A296</f>
        <v>JS7905</v>
      </c>
      <c r="B319" s="119" t="str">
        <f>'Reference Score Calculation'!A296</f>
        <v>JS7905</v>
      </c>
      <c r="C319" s="119" t="str">
        <f>'Reference Score Calculation'!D296</f>
        <v>視覺研究(榮譽)文學士</v>
      </c>
      <c r="E319" s="255" t="str">
        <f>'Reference Score Calculation'!E296</f>
        <v>Best 5</v>
      </c>
      <c r="F319" s="255"/>
      <c r="G319" s="119" t="str">
        <f>入學要求!AB305</f>
        <v>v</v>
      </c>
      <c r="H319" s="119" t="str">
        <f>入學要求!AC305</f>
        <v>E</v>
      </c>
      <c r="I319" s="119" t="str">
        <f>入學要求!AD305</f>
        <v>NO</v>
      </c>
      <c r="J319" s="119">
        <f t="shared" si="521"/>
        <v>3.3500000000000002E-9</v>
      </c>
      <c r="K319" s="119">
        <v>1.5</v>
      </c>
      <c r="L319" s="119">
        <v>2</v>
      </c>
      <c r="M319" s="119">
        <v>1</v>
      </c>
      <c r="N319" s="119">
        <v>0</v>
      </c>
      <c r="O319" s="134">
        <v>1</v>
      </c>
      <c r="P319" s="119">
        <f>IF(OR(P$1="視覺藝術",P$1="資訊及通訊科技"),1.2,1)</f>
        <v>1</v>
      </c>
      <c r="Q319" s="119">
        <f t="shared" ref="Q319:S319" si="523">IF(OR(Q$1="視覺藝術",Q$1="資訊及通訊科技"),1.2,1)</f>
        <v>1</v>
      </c>
      <c r="R319" s="119">
        <f t="shared" si="523"/>
        <v>1</v>
      </c>
      <c r="S319" s="119">
        <f t="shared" si="523"/>
        <v>1</v>
      </c>
      <c r="T319" s="119">
        <v>1</v>
      </c>
      <c r="V319" s="119">
        <f t="shared" si="501"/>
        <v>6E-10</v>
      </c>
      <c r="W319" s="119">
        <f t="shared" si="502"/>
        <v>4.0000000000000001E-10</v>
      </c>
      <c r="X319" s="119">
        <f t="shared" si="503"/>
        <v>3E-10</v>
      </c>
      <c r="Y319" s="119">
        <f t="shared" si="504"/>
        <v>0</v>
      </c>
      <c r="Z319" s="119">
        <f t="shared" si="505"/>
        <v>5.0000000000000003E-10</v>
      </c>
      <c r="AA319" s="119">
        <f t="shared" si="506"/>
        <v>6E-10</v>
      </c>
      <c r="AB319" s="119">
        <f t="shared" si="507"/>
        <v>6.9999999999999996E-10</v>
      </c>
      <c r="AC319" s="119">
        <f t="shared" si="508"/>
        <v>8.0000000000000003E-10</v>
      </c>
      <c r="AD319" s="119">
        <f t="shared" si="509"/>
        <v>8.9999999999999999E-10</v>
      </c>
      <c r="AE319" s="119">
        <f t="shared" si="510"/>
        <v>9.5000000000000003E-10</v>
      </c>
      <c r="AF319" s="119" t="b">
        <f t="shared" si="511"/>
        <v>0</v>
      </c>
      <c r="AG319" s="119" t="b">
        <f t="shared" si="512"/>
        <v>0</v>
      </c>
      <c r="AH319" s="119" t="b">
        <f t="shared" si="513"/>
        <v>0</v>
      </c>
      <c r="AI319" s="119" t="b">
        <f t="shared" si="514"/>
        <v>0</v>
      </c>
      <c r="AJ319" s="119" t="b">
        <f t="shared" si="515"/>
        <v>0</v>
      </c>
      <c r="AK319" s="119" t="b">
        <f t="shared" si="516"/>
        <v>0</v>
      </c>
      <c r="AL319" s="119" t="b">
        <f t="shared" si="517"/>
        <v>1</v>
      </c>
      <c r="AM319" s="119" t="b">
        <f t="shared" si="518"/>
        <v>1</v>
      </c>
      <c r="AN319" s="119" t="b">
        <f t="shared" si="519"/>
        <v>1</v>
      </c>
      <c r="AO319" s="119" t="b">
        <f t="shared" si="520"/>
        <v>1</v>
      </c>
      <c r="AQ319" s="95"/>
      <c r="AR319" s="95"/>
    </row>
    <row r="320" spans="1:72">
      <c r="A320" s="142"/>
      <c r="C320" s="398" t="s">
        <v>3252</v>
      </c>
    </row>
    <row r="321" spans="1:45">
      <c r="A321" s="142"/>
      <c r="B321" s="144" t="s">
        <v>415</v>
      </c>
      <c r="C321" s="463"/>
      <c r="D321" s="145"/>
      <c r="E321" s="146"/>
      <c r="F321" s="457"/>
      <c r="G321" s="19" t="s">
        <v>297</v>
      </c>
      <c r="H321" s="19" t="s">
        <v>298</v>
      </c>
      <c r="I321" s="19" t="s">
        <v>299</v>
      </c>
      <c r="J321" s="133" t="s">
        <v>245</v>
      </c>
      <c r="K321" s="145"/>
      <c r="L321" s="145"/>
      <c r="M321" s="145"/>
      <c r="N321" s="145"/>
      <c r="O321" s="145"/>
      <c r="P321" s="145"/>
      <c r="Q321" s="145"/>
      <c r="R321" s="145"/>
      <c r="S321" s="145"/>
      <c r="T321" s="145"/>
      <c r="U321" s="145"/>
      <c r="V321" s="145"/>
      <c r="W321" s="152"/>
      <c r="X321" s="145"/>
      <c r="Y321" s="145"/>
      <c r="Z321" s="145"/>
      <c r="AA321" s="145"/>
      <c r="AB321" s="145"/>
      <c r="AC321" s="145"/>
      <c r="AD321" s="145"/>
      <c r="AE321" s="145"/>
      <c r="AF321" s="145"/>
      <c r="AG321" s="145"/>
      <c r="AH321" s="145"/>
      <c r="AI321" s="145"/>
      <c r="AJ321" s="145"/>
      <c r="AK321" s="145"/>
      <c r="AL321" s="145"/>
      <c r="AM321" s="145"/>
      <c r="AN321" s="145"/>
      <c r="AO321" s="145"/>
      <c r="AP321" s="145"/>
      <c r="AQ321" s="145"/>
      <c r="AR321" s="145"/>
      <c r="AS321" s="145"/>
    </row>
    <row r="322" spans="1:45" s="145" customFormat="1">
      <c r="A322" s="142" t="str">
        <f>'Reference Score Calculation'!A299</f>
        <v>JS8105</v>
      </c>
      <c r="B322" s="119" t="str">
        <f>'Reference Score Calculation'!A299</f>
        <v>JS8105</v>
      </c>
      <c r="C322" s="119" t="str">
        <f>'Reference Score Calculation'!D299</f>
        <v>中國語文教育榮譽學士</v>
      </c>
      <c r="D322" s="119"/>
      <c r="E322" s="132" t="str">
        <f>'Reference Score Calculation'!E299</f>
        <v>Best 5</v>
      </c>
      <c r="F322" s="132"/>
      <c r="G322" s="119" t="str">
        <f>入學要求!AB308</f>
        <v>v</v>
      </c>
      <c r="H322" s="119" t="str">
        <f>入學要求!AC308</f>
        <v>E</v>
      </c>
      <c r="I322" s="119" t="str">
        <f>入學要求!AD308</f>
        <v>v</v>
      </c>
      <c r="J322" s="134">
        <f>LARGE($K$10:$T$10, 1)+LARGE($K$10:$T$10, 2)+LARGE($K$10:$T$10, 3)+LARGE($K$10:$T$10, 4)+LARGE($K$10:$T$10, 5)</f>
        <v>3.9500000000000006E-9</v>
      </c>
      <c r="K322" s="119"/>
      <c r="L322" s="119"/>
      <c r="M322" s="119"/>
      <c r="N322" s="119"/>
      <c r="O322" s="119"/>
      <c r="P322" s="119"/>
      <c r="Q322" s="119"/>
      <c r="R322" s="119"/>
      <c r="S322" s="119"/>
      <c r="T322" s="119"/>
      <c r="U322" s="119"/>
      <c r="V322" s="119"/>
      <c r="W322" s="119"/>
      <c r="X322" s="119"/>
      <c r="Y322" s="119"/>
      <c r="Z322" s="119"/>
      <c r="AA322" s="119"/>
      <c r="AB322" s="119"/>
      <c r="AC322" s="119"/>
      <c r="AD322" s="119"/>
      <c r="AE322" s="119"/>
      <c r="AF322" s="119"/>
      <c r="AG322" s="119"/>
      <c r="AH322" s="119"/>
      <c r="AI322" s="119"/>
      <c r="AJ322" s="119"/>
      <c r="AK322" s="119"/>
      <c r="AL322" s="119"/>
      <c r="AM322" s="119"/>
      <c r="AN322" s="119"/>
      <c r="AO322" s="119"/>
      <c r="AP322" s="119"/>
      <c r="AQ322" s="119"/>
      <c r="AR322" s="119"/>
      <c r="AS322" s="119"/>
    </row>
    <row r="323" spans="1:45">
      <c r="A323" s="142" t="str">
        <f>'Reference Score Calculation'!A300</f>
        <v>JS8222</v>
      </c>
      <c r="B323" s="119" t="str">
        <f>'Reference Score Calculation'!A300</f>
        <v>JS8222</v>
      </c>
      <c r="C323" s="119" t="str">
        <f>'Reference Score Calculation'!D300</f>
        <v>英國語文教育榮譽學士 — 小學</v>
      </c>
      <c r="E323" s="132" t="str">
        <f>'Reference Score Calculation'!E300</f>
        <v>Best 5</v>
      </c>
      <c r="G323" s="119" t="str">
        <f>入學要求!AB309</f>
        <v>v</v>
      </c>
      <c r="H323" s="119" t="str">
        <f>入學要求!AC309</f>
        <v>E</v>
      </c>
      <c r="I323" s="119" t="str">
        <f>入學要求!AD309</f>
        <v>v</v>
      </c>
      <c r="J323" s="134">
        <f t="shared" ref="J323:J348" si="524">LARGE($K$10:$T$10, 1)+LARGE($K$10:$T$10, 2)+LARGE($K$10:$T$10, 3)+LARGE($K$10:$T$10, 4)+LARGE($K$10:$T$10, 5)</f>
        <v>3.9500000000000006E-9</v>
      </c>
    </row>
    <row r="324" spans="1:45">
      <c r="A324" s="142" t="str">
        <f>'Reference Score Calculation'!A301</f>
        <v>JS8234</v>
      </c>
      <c r="B324" s="119" t="str">
        <f>'Reference Score Calculation'!A301</f>
        <v>JS8234</v>
      </c>
      <c r="C324" s="119" t="str">
        <f>'Reference Score Calculation'!D301</f>
        <v>小學教育榮譽學士 - 常識</v>
      </c>
      <c r="E324" s="132" t="str">
        <f>'Reference Score Calculation'!E301</f>
        <v>Best 5</v>
      </c>
      <c r="G324" s="119" t="str">
        <f>入學要求!AB310</f>
        <v>v</v>
      </c>
      <c r="H324" s="119" t="str">
        <f>入學要求!AC310</f>
        <v>E</v>
      </c>
      <c r="I324" s="119" t="str">
        <f>入學要求!AD310</f>
        <v>v</v>
      </c>
      <c r="J324" s="134">
        <f t="shared" si="524"/>
        <v>3.9500000000000006E-9</v>
      </c>
    </row>
    <row r="325" spans="1:45">
      <c r="A325" s="142" t="str">
        <f>'Reference Score Calculation'!A302</f>
        <v>JS8246</v>
      </c>
      <c r="B325" s="119" t="str">
        <f>'Reference Score Calculation'!A302</f>
        <v>JS8246</v>
      </c>
      <c r="C325" s="119" t="str">
        <f>'Reference Score Calculation'!D302</f>
        <v>小學教育榮譽學士 - 數學</v>
      </c>
      <c r="E325" s="132" t="str">
        <f>'Reference Score Calculation'!E302</f>
        <v>Best 5</v>
      </c>
      <c r="G325" s="119" t="str">
        <f>入學要求!AB311</f>
        <v>v</v>
      </c>
      <c r="H325" s="119" t="str">
        <f>入學要求!AC311</f>
        <v>E</v>
      </c>
      <c r="I325" s="119" t="str">
        <f>入學要求!AD311</f>
        <v>v</v>
      </c>
      <c r="J325" s="134">
        <f t="shared" si="524"/>
        <v>3.9500000000000006E-9</v>
      </c>
    </row>
    <row r="326" spans="1:45">
      <c r="A326" s="142" t="str">
        <f>'Reference Score Calculation'!A303</f>
        <v>JS8325</v>
      </c>
      <c r="B326" s="119" t="str">
        <f>'Reference Score Calculation'!A303</f>
        <v>JS8325</v>
      </c>
      <c r="C326" s="119" t="str">
        <f>'Reference Score Calculation'!D303</f>
        <v>體育教育榮譽學士</v>
      </c>
      <c r="E326" s="132" t="str">
        <f>'Reference Score Calculation'!E303</f>
        <v>Best 5</v>
      </c>
      <c r="G326" s="119" t="str">
        <f>入學要求!AB312</f>
        <v>v</v>
      </c>
      <c r="H326" s="119" t="str">
        <f>入學要求!AC312</f>
        <v>E</v>
      </c>
      <c r="I326" s="119" t="str">
        <f>入學要求!AD312</f>
        <v>v</v>
      </c>
      <c r="J326" s="134">
        <f t="shared" si="524"/>
        <v>3.9500000000000006E-9</v>
      </c>
    </row>
    <row r="327" spans="1:45">
      <c r="A327" s="142" t="str">
        <f>'Reference Score Calculation'!A304</f>
        <v>JS8361</v>
      </c>
      <c r="B327" s="119" t="str">
        <f>'Reference Score Calculation'!A304</f>
        <v>JS8361</v>
      </c>
      <c r="C327" s="119" t="str">
        <f>'Reference Score Calculation'!D304</f>
        <v>中學教育榮譽學士 - 資訊及通訊科技</v>
      </c>
      <c r="E327" s="132" t="str">
        <f>'Reference Score Calculation'!E304</f>
        <v>Best 5</v>
      </c>
      <c r="G327" s="119" t="str">
        <f>入學要求!AB313</f>
        <v>v</v>
      </c>
      <c r="H327" s="119" t="str">
        <f>入學要求!AC313</f>
        <v>E</v>
      </c>
      <c r="I327" s="119" t="str">
        <f>入學要求!AD313</f>
        <v>v</v>
      </c>
      <c r="J327" s="134">
        <f t="shared" si="524"/>
        <v>3.9500000000000006E-9</v>
      </c>
    </row>
    <row r="328" spans="1:45">
      <c r="A328" s="142" t="str">
        <f>'Reference Score Calculation'!A305</f>
        <v>JS8371</v>
      </c>
      <c r="B328" s="119" t="str">
        <f>'Reference Score Calculation'!A305</f>
        <v>JS8371</v>
      </c>
      <c r="C328" s="119" t="str">
        <f>'Reference Score Calculation'!D305</f>
        <v>企業、會計與財務概論教育榮譽學士</v>
      </c>
      <c r="E328" s="132" t="str">
        <f>'Reference Score Calculation'!E305</f>
        <v>Best 5</v>
      </c>
      <c r="G328" s="119" t="str">
        <f>入學要求!AB314</f>
        <v>v</v>
      </c>
      <c r="H328" s="119" t="str">
        <f>入學要求!AC314</f>
        <v>E</v>
      </c>
      <c r="I328" s="119" t="str">
        <f>入學要求!AD314</f>
        <v>v</v>
      </c>
      <c r="J328" s="134">
        <f t="shared" si="524"/>
        <v>3.9500000000000006E-9</v>
      </c>
    </row>
    <row r="329" spans="1:45">
      <c r="A329" s="142" t="str">
        <f>'Reference Score Calculation'!A306</f>
        <v>JS8381</v>
      </c>
      <c r="B329" s="119" t="str">
        <f>'Reference Score Calculation'!A306</f>
        <v>JS8381</v>
      </c>
      <c r="C329" s="119" t="str">
        <f>'Reference Score Calculation'!D306</f>
        <v>歷史教育榮譽學士</v>
      </c>
      <c r="E329" s="132" t="str">
        <f>'Reference Score Calculation'!E306</f>
        <v>Best 5</v>
      </c>
      <c r="G329" s="119" t="str">
        <f>入學要求!AB315</f>
        <v>v</v>
      </c>
      <c r="H329" s="119" t="str">
        <f>入學要求!AC315</f>
        <v>E</v>
      </c>
      <c r="I329" s="119" t="str">
        <f>入學要求!AD315</f>
        <v>v</v>
      </c>
      <c r="J329" s="134">
        <f t="shared" si="524"/>
        <v>3.9500000000000006E-9</v>
      </c>
    </row>
    <row r="330" spans="1:45">
      <c r="A330" s="142" t="str">
        <f>'Reference Score Calculation'!A307</f>
        <v>JS8404</v>
      </c>
      <c r="B330" s="119" t="str">
        <f>'Reference Score Calculation'!A307</f>
        <v>JS8404</v>
      </c>
      <c r="C330" s="119" t="str">
        <f>'Reference Score Calculation'!D307</f>
        <v>幼兒教育榮譽學士</v>
      </c>
      <c r="E330" s="132" t="str">
        <f>'Reference Score Calculation'!E307</f>
        <v>Best 5</v>
      </c>
      <c r="G330" s="119" t="str">
        <f>入學要求!AB316</f>
        <v>v</v>
      </c>
      <c r="H330" s="119" t="str">
        <f>入學要求!AC316</f>
        <v>E</v>
      </c>
      <c r="I330" s="119" t="str">
        <f>入學要求!AD316</f>
        <v>v</v>
      </c>
      <c r="J330" s="134">
        <f t="shared" si="524"/>
        <v>3.9500000000000006E-9</v>
      </c>
    </row>
    <row r="331" spans="1:45">
      <c r="A331" s="142" t="str">
        <f>'Reference Score Calculation'!A308</f>
        <v>JS8416</v>
      </c>
      <c r="B331" s="119" t="str">
        <f>'Reference Score Calculation'!A308</f>
        <v>JS8416</v>
      </c>
      <c r="C331" s="119" t="str">
        <f>'Reference Score Calculation'!D308</f>
        <v>中國歷史教育榮譽學士</v>
      </c>
      <c r="E331" s="132" t="str">
        <f>'Reference Score Calculation'!E308</f>
        <v>Best 5</v>
      </c>
      <c r="G331" s="119" t="str">
        <f>入學要求!AB317</f>
        <v>v</v>
      </c>
      <c r="H331" s="119" t="str">
        <f>入學要求!AC317</f>
        <v>E</v>
      </c>
      <c r="I331" s="119" t="str">
        <f>入學要求!AD317</f>
        <v>v</v>
      </c>
      <c r="J331" s="134">
        <f t="shared" si="524"/>
        <v>3.9500000000000006E-9</v>
      </c>
    </row>
    <row r="332" spans="1:45">
      <c r="A332" s="142" t="str">
        <f>'Reference Score Calculation'!A309</f>
        <v>JS8428</v>
      </c>
      <c r="B332" s="119" t="str">
        <f>'Reference Score Calculation'!A309</f>
        <v>JS8428</v>
      </c>
      <c r="C332" s="119" t="str">
        <f>'Reference Score Calculation'!D309</f>
        <v>地理教育榮譽學士</v>
      </c>
      <c r="E332" s="132" t="str">
        <f>'Reference Score Calculation'!E309</f>
        <v>Best 5</v>
      </c>
      <c r="G332" s="119" t="str">
        <f>入學要求!AB318</f>
        <v>v</v>
      </c>
      <c r="H332" s="119" t="str">
        <f>入學要求!AC318</f>
        <v>E</v>
      </c>
      <c r="I332" s="119" t="str">
        <f>入學要求!AD318</f>
        <v>v</v>
      </c>
      <c r="J332" s="134">
        <f t="shared" si="524"/>
        <v>3.9500000000000006E-9</v>
      </c>
    </row>
    <row r="333" spans="1:45">
      <c r="A333" s="142" t="str">
        <f>'Reference Score Calculation'!A310</f>
        <v>JS8430</v>
      </c>
      <c r="B333" s="119" t="str">
        <f>'Reference Score Calculation'!A310</f>
        <v>JS8430</v>
      </c>
      <c r="C333" s="119" t="str">
        <f>'Reference Score Calculation'!D310</f>
        <v>科學教育榮譽學士</v>
      </c>
      <c r="E333" s="132" t="str">
        <f>'Reference Score Calculation'!E310</f>
        <v>Best 5</v>
      </c>
      <c r="G333" s="119" t="str">
        <f>入學要求!AB319</f>
        <v>v</v>
      </c>
      <c r="H333" s="119" t="str">
        <f>入學要求!AC319</f>
        <v>E</v>
      </c>
      <c r="I333" s="119" t="str">
        <f>入學要求!AD319</f>
        <v>v</v>
      </c>
      <c r="J333" s="134">
        <f t="shared" si="524"/>
        <v>3.9500000000000006E-9</v>
      </c>
    </row>
    <row r="334" spans="1:45">
      <c r="A334" s="142" t="str">
        <f>'Reference Score Calculation'!A311</f>
        <v>JS8507</v>
      </c>
      <c r="B334" s="119" t="str">
        <f>'Reference Score Calculation'!A311</f>
        <v>JS8507</v>
      </c>
      <c r="C334" s="119" t="str">
        <f>'Reference Score Calculation'!D311</f>
        <v>幼兒教育高級文憑</v>
      </c>
      <c r="E334" s="132" t="str">
        <f>'Reference Score Calculation'!E311</f>
        <v>Best 5</v>
      </c>
      <c r="G334" s="119" t="str">
        <f>入學要求!AB320</f>
        <v>v</v>
      </c>
      <c r="H334" s="119" t="str">
        <f>入學要求!AC320</f>
        <v>E</v>
      </c>
      <c r="I334" s="119" t="str">
        <f>入學要求!AD320</f>
        <v>v</v>
      </c>
      <c r="J334" s="134">
        <f t="shared" si="524"/>
        <v>3.9500000000000006E-9</v>
      </c>
    </row>
    <row r="335" spans="1:45">
      <c r="A335" s="142" t="str">
        <f>'Reference Score Calculation'!A312</f>
        <v>JS8600</v>
      </c>
      <c r="B335" s="119" t="str">
        <f>'Reference Score Calculation'!A312</f>
        <v>JS8600</v>
      </c>
      <c r="C335" s="119" t="str">
        <f>'Reference Score Calculation'!D312</f>
        <v>語文研究榮譽文學士 (中文主修)</v>
      </c>
      <c r="E335" s="132" t="str">
        <f>'Reference Score Calculation'!E312</f>
        <v>Best 5</v>
      </c>
      <c r="G335" s="119" t="str">
        <f>入學要求!AB321</f>
        <v>v</v>
      </c>
      <c r="H335" s="119" t="str">
        <f>入學要求!AC321</f>
        <v>E</v>
      </c>
      <c r="I335" s="119" t="str">
        <f>入學要求!AD321</f>
        <v>v</v>
      </c>
      <c r="J335" s="134">
        <f t="shared" si="524"/>
        <v>3.9500000000000006E-9</v>
      </c>
    </row>
    <row r="336" spans="1:45">
      <c r="A336" s="142" t="str">
        <f>'Reference Score Calculation'!A313</f>
        <v>JS8612</v>
      </c>
      <c r="B336" s="119" t="str">
        <f>'Reference Score Calculation'!A313</f>
        <v>JS8612</v>
      </c>
      <c r="C336" s="119" t="str">
        <f>'Reference Score Calculation'!D313</f>
        <v>語文研究榮譽文學士 (英文主修)</v>
      </c>
      <c r="E336" s="132" t="str">
        <f>'Reference Score Calculation'!E313</f>
        <v>Best 5</v>
      </c>
      <c r="G336" s="119" t="str">
        <f>入學要求!AB322</f>
        <v>v</v>
      </c>
      <c r="H336" s="119" t="str">
        <f>入學要求!AC322</f>
        <v>E</v>
      </c>
      <c r="I336" s="119" t="str">
        <f>入學要求!AD322</f>
        <v>v</v>
      </c>
      <c r="J336" s="134">
        <f t="shared" si="524"/>
        <v>3.9500000000000006E-9</v>
      </c>
    </row>
    <row r="337" spans="1:47">
      <c r="A337" s="142" t="str">
        <f>'Reference Score Calculation'!A314</f>
        <v>JS8636</v>
      </c>
      <c r="B337" s="119" t="str">
        <f>'Reference Score Calculation'!A314</f>
        <v>JS8636</v>
      </c>
      <c r="C337" s="119" t="str">
        <f>'Reference Score Calculation'!D314</f>
        <v>創意藝術與文化榮譽文學士 (音樂)</v>
      </c>
      <c r="E337" s="132" t="str">
        <f>'Reference Score Calculation'!E314</f>
        <v>Best 5</v>
      </c>
      <c r="G337" s="119" t="str">
        <f>入學要求!AB323</f>
        <v>v</v>
      </c>
      <c r="H337" s="119" t="str">
        <f>入學要求!AC323</f>
        <v>E</v>
      </c>
      <c r="I337" s="119" t="str">
        <f>入學要求!AD323</f>
        <v>v</v>
      </c>
      <c r="J337" s="134">
        <f t="shared" si="524"/>
        <v>3.9500000000000006E-9</v>
      </c>
    </row>
    <row r="338" spans="1:47">
      <c r="A338" s="142" t="str">
        <f>'Reference Score Calculation'!A315</f>
        <v>JS8648</v>
      </c>
      <c r="B338" s="119" t="str">
        <f>'Reference Score Calculation'!A315</f>
        <v>JS8648</v>
      </c>
      <c r="C338" s="119" t="str">
        <f>'Reference Score Calculation'!D315</f>
        <v>創意藝術與文化榮譽文學士 (視覺藝術)</v>
      </c>
      <c r="E338" s="132" t="str">
        <f>'Reference Score Calculation'!E315</f>
        <v>Best 5</v>
      </c>
      <c r="G338" s="119" t="str">
        <f>入學要求!AB324</f>
        <v>v</v>
      </c>
      <c r="H338" s="119" t="str">
        <f>入學要求!AC324</f>
        <v>E</v>
      </c>
      <c r="I338" s="119" t="str">
        <f>入學要求!AD324</f>
        <v>v</v>
      </c>
      <c r="J338" s="134">
        <f t="shared" si="524"/>
        <v>3.9500000000000006E-9</v>
      </c>
    </row>
    <row r="339" spans="1:47">
      <c r="A339" s="142" t="str">
        <f>'Reference Score Calculation'!A316</f>
        <v>JS8651</v>
      </c>
      <c r="B339" s="119" t="str">
        <f>'Reference Score Calculation'!A316</f>
        <v>JS8651</v>
      </c>
      <c r="C339" s="119" t="str">
        <f>'Reference Score Calculation'!D316</f>
        <v>心理學榮譽社會科學學士</v>
      </c>
      <c r="E339" s="132" t="str">
        <f>'Reference Score Calculation'!E316</f>
        <v>Best 5</v>
      </c>
      <c r="G339" s="119" t="str">
        <f>入學要求!AB325</f>
        <v>v</v>
      </c>
      <c r="H339" s="119" t="str">
        <f>入學要求!AC325</f>
        <v>E</v>
      </c>
      <c r="I339" s="119" t="str">
        <f>入學要求!AD325</f>
        <v>v</v>
      </c>
      <c r="J339" s="134">
        <f t="shared" si="524"/>
        <v>3.9500000000000006E-9</v>
      </c>
    </row>
    <row r="340" spans="1:47">
      <c r="A340" s="142" t="str">
        <f>'Reference Score Calculation'!A317</f>
        <v>JS8663</v>
      </c>
      <c r="B340" s="119" t="str">
        <f>'Reference Score Calculation'!A317</f>
        <v>JS8663</v>
      </c>
      <c r="C340" s="119" t="str">
        <f>'Reference Score Calculation'!D317</f>
        <v>特殊教育榮譽文學士</v>
      </c>
      <c r="E340" s="132" t="str">
        <f>'Reference Score Calculation'!E317</f>
        <v>Best 5</v>
      </c>
      <c r="G340" s="119" t="str">
        <f>入學要求!AB326</f>
        <v>v</v>
      </c>
      <c r="H340" s="119" t="str">
        <f>入學要求!AC326</f>
        <v>E</v>
      </c>
      <c r="I340" s="119" t="str">
        <f>入學要求!AD326</f>
        <v>v</v>
      </c>
      <c r="J340" s="134">
        <f t="shared" si="524"/>
        <v>3.9500000000000006E-9</v>
      </c>
    </row>
    <row r="341" spans="1:47">
      <c r="A341" s="142" t="str">
        <f>'Reference Score Calculation'!A318</f>
        <v>JS8675</v>
      </c>
      <c r="B341" s="119" t="str">
        <f>'Reference Score Calculation'!A318</f>
        <v>JS8675</v>
      </c>
      <c r="C341" s="119" t="str">
        <f>'Reference Score Calculation'!D318</f>
        <v>英語研究及數碼傳訊榮譽文學士</v>
      </c>
      <c r="E341" s="132" t="str">
        <f>'Reference Score Calculation'!E318</f>
        <v>24年新科目</v>
      </c>
      <c r="G341" s="119" t="str">
        <f>入學要求!AB328</f>
        <v>v</v>
      </c>
      <c r="H341" s="119" t="str">
        <f>入學要求!AC328</f>
        <v>E</v>
      </c>
      <c r="I341" s="119" t="str">
        <f>入學要求!AD328</f>
        <v>v</v>
      </c>
      <c r="J341" s="134">
        <f t="shared" si="524"/>
        <v>3.9500000000000006E-9</v>
      </c>
    </row>
    <row r="342" spans="1:47">
      <c r="A342" s="142" t="str">
        <f>'Reference Score Calculation'!A319</f>
        <v>JS8687</v>
      </c>
      <c r="B342" s="119" t="str">
        <f>'Reference Score Calculation'!A319</f>
        <v>JS8687</v>
      </c>
      <c r="C342" s="119" t="str">
        <f>'Reference Score Calculation'!D319</f>
        <v>文化傳承教育與藝術管理榮譽文學士</v>
      </c>
      <c r="E342" s="179" t="str">
        <f>'Reference Score Calculation'!E319</f>
        <v>Best 5</v>
      </c>
      <c r="F342" s="179"/>
      <c r="G342" s="119" t="str">
        <f>入學要求!AB328</f>
        <v>v</v>
      </c>
      <c r="H342" s="119" t="str">
        <f>入學要求!AC328</f>
        <v>E</v>
      </c>
      <c r="I342" s="119" t="str">
        <f>入學要求!AD328</f>
        <v>v</v>
      </c>
      <c r="J342" s="134">
        <f t="shared" si="524"/>
        <v>3.9500000000000006E-9</v>
      </c>
    </row>
    <row r="343" spans="1:47">
      <c r="A343" s="142" t="str">
        <f>'Reference Score Calculation'!A320</f>
        <v>JS8702</v>
      </c>
      <c r="B343" s="119" t="str">
        <f>'Reference Score Calculation'!A320</f>
        <v>JS8702</v>
      </c>
      <c r="C343" s="119" t="str">
        <f>'Reference Score Calculation'!D320</f>
        <v>綜合環境管理榮譽理學士</v>
      </c>
      <c r="E343" s="132" t="str">
        <f>'Reference Score Calculation'!E320</f>
        <v>Best 5</v>
      </c>
      <c r="G343" s="119" t="str">
        <f>入學要求!AB329</f>
        <v>v</v>
      </c>
      <c r="H343" s="119" t="str">
        <f>入學要求!AC329</f>
        <v>E</v>
      </c>
      <c r="I343" s="119" t="str">
        <f>入學要求!AD329</f>
        <v>v</v>
      </c>
      <c r="J343" s="134">
        <f t="shared" si="524"/>
        <v>3.9500000000000006E-9</v>
      </c>
    </row>
    <row r="344" spans="1:47">
      <c r="A344" s="142" t="str">
        <f>'Reference Score Calculation'!A321</f>
        <v>JS8714</v>
      </c>
      <c r="B344" s="119" t="str">
        <f>'Reference Score Calculation'!A321</f>
        <v>JS8714</v>
      </c>
      <c r="C344" s="119" t="str">
        <f>'Reference Score Calculation'!D321</f>
        <v>人工智能與教育科技榮譽理學士</v>
      </c>
      <c r="E344" s="132" t="str">
        <f>'Reference Score Calculation'!E321</f>
        <v>Best 5</v>
      </c>
      <c r="G344" s="119" t="str">
        <f>入學要求!AB330</f>
        <v>v</v>
      </c>
      <c r="H344" s="119" t="str">
        <f>入學要求!AC330</f>
        <v>E</v>
      </c>
      <c r="I344" s="119" t="str">
        <f>入學要求!AD330</f>
        <v>v</v>
      </c>
      <c r="J344" s="134">
        <f t="shared" si="524"/>
        <v>3.9500000000000006E-9</v>
      </c>
    </row>
    <row r="345" spans="1:47">
      <c r="A345" s="142" t="str">
        <f>'Reference Score Calculation'!A322</f>
        <v>JS8726</v>
      </c>
      <c r="B345" s="119" t="str">
        <f>'Reference Score Calculation'!A322</f>
        <v>JS8726</v>
      </c>
      <c r="C345" s="119" t="str">
        <f>'Reference Score Calculation'!D322</f>
        <v>運動科學及教練榮譽理學士</v>
      </c>
      <c r="E345" s="132" t="str">
        <f>'Reference Score Calculation'!E322</f>
        <v>Best 5</v>
      </c>
      <c r="G345" s="119" t="str">
        <f>入學要求!AB331</f>
        <v>v</v>
      </c>
      <c r="H345" s="119" t="str">
        <f>入學要求!AC331</f>
        <v>E</v>
      </c>
      <c r="I345" s="119" t="str">
        <f>入學要求!AD331</f>
        <v>v</v>
      </c>
      <c r="J345" s="134">
        <f t="shared" si="524"/>
        <v>3.9500000000000006E-9</v>
      </c>
    </row>
    <row r="346" spans="1:47">
      <c r="A346" s="142" t="str">
        <f>'Reference Score Calculation'!A323</f>
        <v>JS8801</v>
      </c>
      <c r="B346" s="119" t="str">
        <f>'Reference Score Calculation'!A323</f>
        <v>JS8801</v>
      </c>
      <c r="C346" s="119" t="str">
        <f>'Reference Score Calculation'!D323</f>
        <v>創意藝術與文化榮譽文學士及音樂教育榮譽學士 (同期結業雙學位課程)</v>
      </c>
      <c r="E346" s="132" t="str">
        <f>'Reference Score Calculation'!E323</f>
        <v>Best 5</v>
      </c>
      <c r="G346" s="119" t="str">
        <f>入學要求!AB332</f>
        <v>v</v>
      </c>
      <c r="H346" s="119" t="str">
        <f>入學要求!AC332</f>
        <v>E</v>
      </c>
      <c r="I346" s="119" t="str">
        <f>入學要求!AD332</f>
        <v>v</v>
      </c>
      <c r="J346" s="134">
        <f t="shared" si="524"/>
        <v>3.9500000000000006E-9</v>
      </c>
    </row>
    <row r="347" spans="1:47">
      <c r="A347" s="142" t="str">
        <f>'Reference Score Calculation'!A324</f>
        <v>JS8813</v>
      </c>
      <c r="B347" s="119" t="str">
        <f>'Reference Score Calculation'!A324</f>
        <v>JS8813</v>
      </c>
      <c r="C347" s="119" t="str">
        <f>'Reference Score Calculation'!D324</f>
        <v>創意藝術與文化榮譽文學士及視覺藝術教育榮譽學士 (同期結業雙學位課程)</v>
      </c>
      <c r="E347" s="132" t="str">
        <f>'Reference Score Calculation'!E324</f>
        <v>Best 5</v>
      </c>
      <c r="G347" s="119" t="str">
        <f>入學要求!AB333</f>
        <v>v</v>
      </c>
      <c r="H347" s="119" t="str">
        <f>入學要求!AC333</f>
        <v>E</v>
      </c>
      <c r="I347" s="119" t="str">
        <f>入學要求!AD333</f>
        <v>v</v>
      </c>
      <c r="J347" s="134">
        <f t="shared" si="524"/>
        <v>3.9500000000000006E-9</v>
      </c>
    </row>
    <row r="348" spans="1:47">
      <c r="A348" s="142" t="str">
        <f>'Reference Score Calculation'!A325</f>
        <v>JS8825</v>
      </c>
      <c r="B348" s="119" t="str">
        <f>'Reference Score Calculation'!A325</f>
        <v>JS8825</v>
      </c>
      <c r="C348" s="119" t="str">
        <f>'Reference Score Calculation'!D325</f>
        <v>語文研究榮譽文學士及英文教育榮譽學士 (同期結業雙學位課程)</v>
      </c>
      <c r="E348" s="132" t="str">
        <f>'Reference Score Calculation'!E325</f>
        <v>Best 5</v>
      </c>
      <c r="G348" s="119" t="str">
        <f>入學要求!AB334</f>
        <v>v</v>
      </c>
      <c r="H348" s="119" t="str">
        <f>入學要求!AC334</f>
        <v>E</v>
      </c>
      <c r="I348" s="119" t="str">
        <f>入學要求!AD334</f>
        <v>v</v>
      </c>
      <c r="J348" s="134">
        <f t="shared" si="524"/>
        <v>3.9500000000000006E-9</v>
      </c>
    </row>
    <row r="349" spans="1:47">
      <c r="A349" s="142"/>
      <c r="C349" s="398" t="s">
        <v>3253</v>
      </c>
    </row>
    <row r="350" spans="1:47">
      <c r="A350" s="142"/>
      <c r="B350" s="144" t="s">
        <v>265</v>
      </c>
      <c r="C350" s="463"/>
      <c r="D350" s="145"/>
      <c r="E350" s="146"/>
      <c r="F350" s="457"/>
      <c r="G350" s="19" t="s">
        <v>297</v>
      </c>
      <c r="H350" s="19" t="s">
        <v>298</v>
      </c>
      <c r="I350" s="19" t="s">
        <v>299</v>
      </c>
      <c r="J350" s="133" t="s">
        <v>245</v>
      </c>
      <c r="K350" s="133" t="s">
        <v>274</v>
      </c>
      <c r="L350" s="133" t="s">
        <v>275</v>
      </c>
      <c r="M350" s="133" t="s">
        <v>276</v>
      </c>
      <c r="N350" s="133" t="s">
        <v>277</v>
      </c>
      <c r="O350" s="133" t="s">
        <v>278</v>
      </c>
      <c r="P350" s="133" t="s">
        <v>279</v>
      </c>
      <c r="Q350" s="133" t="s">
        <v>280</v>
      </c>
      <c r="R350" s="133" t="s">
        <v>281</v>
      </c>
      <c r="S350" s="133" t="s">
        <v>282</v>
      </c>
      <c r="T350" s="133" t="s">
        <v>319</v>
      </c>
      <c r="U350" s="144"/>
      <c r="V350" s="133" t="str">
        <f t="shared" ref="V350:AE350" si="525">K$1</f>
        <v>中國語文</v>
      </c>
      <c r="W350" s="133" t="str">
        <f t="shared" si="525"/>
        <v>英國語文</v>
      </c>
      <c r="X350" s="133" t="str">
        <f t="shared" si="525"/>
        <v>數學</v>
      </c>
      <c r="Y350" s="133" t="str">
        <f t="shared" si="525"/>
        <v>通識教育</v>
      </c>
      <c r="Z350" s="133" t="str">
        <f t="shared" si="525"/>
        <v>數學延伸</v>
      </c>
      <c r="AA350" s="133" t="str">
        <f t="shared" si="525"/>
        <v>請選擇第一選修科</v>
      </c>
      <c r="AB350" s="133" t="str">
        <f t="shared" si="525"/>
        <v>請選擇第二選修科</v>
      </c>
      <c r="AC350" s="133" t="str">
        <f t="shared" si="525"/>
        <v>請選擇第三選修科</v>
      </c>
      <c r="AD350" s="133" t="str">
        <f t="shared" si="525"/>
        <v>請選擇第四選修科</v>
      </c>
      <c r="AE350" s="133" t="str">
        <f t="shared" si="525"/>
        <v>請選擇語言科目</v>
      </c>
      <c r="AF350" s="133" t="s">
        <v>284</v>
      </c>
      <c r="AG350" s="133" t="s">
        <v>285</v>
      </c>
      <c r="AH350" s="133" t="s">
        <v>286</v>
      </c>
      <c r="AI350" s="133" t="s">
        <v>287</v>
      </c>
      <c r="AJ350" s="133" t="s">
        <v>288</v>
      </c>
      <c r="AK350" s="133" t="s">
        <v>289</v>
      </c>
      <c r="AL350" s="133" t="s">
        <v>290</v>
      </c>
      <c r="AM350" s="133" t="s">
        <v>291</v>
      </c>
      <c r="AN350" s="133" t="s">
        <v>292</v>
      </c>
      <c r="AO350" s="133" t="s">
        <v>320</v>
      </c>
      <c r="AP350" s="145"/>
      <c r="AQ350" s="145"/>
      <c r="AR350" s="145"/>
      <c r="AS350" s="145"/>
    </row>
    <row r="351" spans="1:47" s="145" customFormat="1">
      <c r="A351" s="142" t="str">
        <f>'Reference Score Calculation'!A328</f>
        <v>JS9009</v>
      </c>
      <c r="B351" s="119" t="str">
        <f>'Reference Score Calculation'!A328</f>
        <v>JS9009</v>
      </c>
      <c r="C351" s="132" t="str">
        <f>'Reference Score Calculation'!D328</f>
        <v>社會科學榮譽學士</v>
      </c>
      <c r="D351" s="132"/>
      <c r="E351" s="472" t="str">
        <f>'Reference Score Calculation'!E328</f>
        <v>Best 5</v>
      </c>
      <c r="F351" s="143"/>
      <c r="G351" s="119" t="str">
        <f>入學要求!AB337</f>
        <v>v</v>
      </c>
      <c r="H351" s="119" t="str">
        <f>入學要求!AC337</f>
        <v>E</v>
      </c>
      <c r="I351" s="119" t="str">
        <f>入學要求!AD337</f>
        <v>v</v>
      </c>
      <c r="J351" s="119">
        <f t="shared" ref="J351:J352" si="526">SUMIF(AF351:AO351,TRUE,V351:AE351)</f>
        <v>3.9500000000000006E-9</v>
      </c>
      <c r="K351" s="119">
        <v>1</v>
      </c>
      <c r="L351" s="119">
        <v>1</v>
      </c>
      <c r="M351" s="119">
        <v>1</v>
      </c>
      <c r="N351" s="119">
        <v>0</v>
      </c>
      <c r="O351" s="119">
        <v>1</v>
      </c>
      <c r="P351" s="119">
        <v>1</v>
      </c>
      <c r="Q351" s="119">
        <v>1</v>
      </c>
      <c r="R351" s="119">
        <v>1</v>
      </c>
      <c r="S351" s="119">
        <v>1</v>
      </c>
      <c r="T351" s="119">
        <v>1</v>
      </c>
      <c r="U351" s="119"/>
      <c r="V351" s="119">
        <f t="shared" ref="V351:V376" si="527">K$11*K351</f>
        <v>4.0000000000000001E-10</v>
      </c>
      <c r="W351" s="119">
        <f t="shared" ref="W351:W376" si="528">L$11*L351</f>
        <v>2.0000000000000001E-10</v>
      </c>
      <c r="X351" s="119">
        <f t="shared" ref="X351:X376" si="529">M$11*M351</f>
        <v>3E-10</v>
      </c>
      <c r="Y351" s="119">
        <f t="shared" ref="Y351:Y376" si="530">N$11*N351</f>
        <v>0</v>
      </c>
      <c r="Z351" s="119">
        <f t="shared" ref="Z351:Z376" si="531">O$11*O351</f>
        <v>0</v>
      </c>
      <c r="AA351" s="119">
        <f t="shared" ref="AA351:AA376" si="532">P$11*P351</f>
        <v>6E-10</v>
      </c>
      <c r="AB351" s="119">
        <f t="shared" ref="AB351:AB376" si="533">Q$11*Q351</f>
        <v>6.9999999999999996E-10</v>
      </c>
      <c r="AC351" s="119">
        <f t="shared" ref="AC351:AC376" si="534">R$11*R351</f>
        <v>8.0000000000000003E-10</v>
      </c>
      <c r="AD351" s="119">
        <f t="shared" ref="AD351:AD376" si="535">S$11*S351</f>
        <v>8.9999999999999999E-10</v>
      </c>
      <c r="AE351" s="119">
        <f t="shared" ref="AE351:AE376" si="536">T$11*T351</f>
        <v>9.5000000000000003E-10</v>
      </c>
      <c r="AF351" s="119" t="b">
        <f t="shared" ref="AF351:AF376" si="537">IF(V351&gt;LARGE($V351:$AE351,6),TRUE)</f>
        <v>0</v>
      </c>
      <c r="AG351" s="119" t="b">
        <f t="shared" ref="AG351:AG376" si="538">IF(W351&gt;LARGE($V351:$AE351,6),TRUE)</f>
        <v>0</v>
      </c>
      <c r="AH351" s="119" t="b">
        <f t="shared" ref="AH351:AH376" si="539">IF(X351&gt;LARGE($V351:$AE351,6),TRUE)</f>
        <v>0</v>
      </c>
      <c r="AI351" s="119" t="b">
        <f t="shared" ref="AI351:AI376" si="540">IF(Y351&gt;LARGE($V351:$AE351,6),TRUE)</f>
        <v>0</v>
      </c>
      <c r="AJ351" s="119" t="b">
        <f t="shared" ref="AJ351:AJ376" si="541">IF(Z351&gt;LARGE($V351:$AE351,6),TRUE)</f>
        <v>0</v>
      </c>
      <c r="AK351" s="119" t="b">
        <f t="shared" ref="AK351:AK376" si="542">IF(AA351&gt;LARGE($V351:$AE351,6),TRUE)</f>
        <v>1</v>
      </c>
      <c r="AL351" s="119" t="b">
        <f t="shared" ref="AL351:AL376" si="543">IF(AB351&gt;LARGE($V351:$AE351,6),TRUE)</f>
        <v>1</v>
      </c>
      <c r="AM351" s="119" t="b">
        <f t="shared" ref="AM351:AM376" si="544">IF(AC351&gt;LARGE($V351:$AE351,6),TRUE)</f>
        <v>1</v>
      </c>
      <c r="AN351" s="119" t="b">
        <f t="shared" ref="AN351:AN376" si="545">IF(AD351&gt;LARGE($V351:$AE351,6),TRUE)</f>
        <v>1</v>
      </c>
      <c r="AO351" s="119" t="b">
        <f t="shared" ref="AO351:AO376" si="546">IF(AE351&gt;LARGE($V351:$AE351,6),TRUE)</f>
        <v>1</v>
      </c>
      <c r="AP351" s="119"/>
      <c r="AQ351" s="119"/>
      <c r="AR351" s="119"/>
      <c r="AS351" s="119"/>
      <c r="AT351" s="133"/>
      <c r="AU351" s="133"/>
    </row>
    <row r="352" spans="1:47">
      <c r="A352" s="142" t="str">
        <f>'Reference Score Calculation'!A329</f>
        <v>JS9010</v>
      </c>
      <c r="B352" s="119" t="str">
        <f>'Reference Score Calculation'!A329</f>
        <v>JS9010</v>
      </c>
      <c r="C352" s="132" t="str">
        <f>'Reference Score Calculation'!D329</f>
        <v>心理學榮譽社會科學學士</v>
      </c>
      <c r="D352" s="132"/>
      <c r="E352" s="472" t="str">
        <f>'Reference Score Calculation'!E329</f>
        <v>Best 5</v>
      </c>
      <c r="F352" s="143"/>
      <c r="G352" s="119" t="str">
        <f>入學要求!AB338</f>
        <v>v</v>
      </c>
      <c r="H352" s="119" t="str">
        <f>入學要求!AC338</f>
        <v>E</v>
      </c>
      <c r="I352" s="119" t="str">
        <f>入學要求!AD338</f>
        <v>v</v>
      </c>
      <c r="J352" s="119">
        <f t="shared" si="526"/>
        <v>3.9500000000000006E-9</v>
      </c>
      <c r="K352" s="119">
        <v>1</v>
      </c>
      <c r="L352" s="119">
        <v>1</v>
      </c>
      <c r="M352" s="119">
        <v>1</v>
      </c>
      <c r="N352" s="119">
        <v>0</v>
      </c>
      <c r="O352" s="119">
        <v>1</v>
      </c>
      <c r="P352" s="119">
        <v>1</v>
      </c>
      <c r="Q352" s="119">
        <v>1</v>
      </c>
      <c r="R352" s="119">
        <v>1</v>
      </c>
      <c r="S352" s="119">
        <v>1</v>
      </c>
      <c r="T352" s="119">
        <v>1</v>
      </c>
      <c r="V352" s="119">
        <f t="shared" si="527"/>
        <v>4.0000000000000001E-10</v>
      </c>
      <c r="W352" s="119">
        <f t="shared" si="528"/>
        <v>2.0000000000000001E-10</v>
      </c>
      <c r="X352" s="119">
        <f t="shared" si="529"/>
        <v>3E-10</v>
      </c>
      <c r="Y352" s="119">
        <f t="shared" si="530"/>
        <v>0</v>
      </c>
      <c r="Z352" s="119">
        <f t="shared" si="531"/>
        <v>0</v>
      </c>
      <c r="AA352" s="119">
        <f t="shared" si="532"/>
        <v>6E-10</v>
      </c>
      <c r="AB352" s="119">
        <f t="shared" si="533"/>
        <v>6.9999999999999996E-10</v>
      </c>
      <c r="AC352" s="119">
        <f t="shared" si="534"/>
        <v>8.0000000000000003E-10</v>
      </c>
      <c r="AD352" s="119">
        <f t="shared" si="535"/>
        <v>8.9999999999999999E-10</v>
      </c>
      <c r="AE352" s="119">
        <f t="shared" si="536"/>
        <v>9.5000000000000003E-10</v>
      </c>
      <c r="AF352" s="119" t="b">
        <f t="shared" si="537"/>
        <v>0</v>
      </c>
      <c r="AG352" s="119" t="b">
        <f t="shared" si="538"/>
        <v>0</v>
      </c>
      <c r="AH352" s="119" t="b">
        <f t="shared" si="539"/>
        <v>0</v>
      </c>
      <c r="AI352" s="119" t="b">
        <f t="shared" si="540"/>
        <v>0</v>
      </c>
      <c r="AJ352" s="119" t="b">
        <f t="shared" si="541"/>
        <v>0</v>
      </c>
      <c r="AK352" s="119" t="b">
        <f t="shared" si="542"/>
        <v>1</v>
      </c>
      <c r="AL352" s="119" t="b">
        <f t="shared" si="543"/>
        <v>1</v>
      </c>
      <c r="AM352" s="119" t="b">
        <f t="shared" si="544"/>
        <v>1</v>
      </c>
      <c r="AN352" s="119" t="b">
        <f t="shared" si="545"/>
        <v>1</v>
      </c>
      <c r="AO352" s="119" t="b">
        <f t="shared" si="546"/>
        <v>1</v>
      </c>
    </row>
    <row r="353" spans="1:41">
      <c r="A353" s="142" t="str">
        <f>'Reference Score Calculation'!A330</f>
        <v>JS9011</v>
      </c>
      <c r="B353" s="119" t="str">
        <f>'Reference Score Calculation'!A330</f>
        <v>JS9011</v>
      </c>
      <c r="C353" s="132" t="str">
        <f>'Reference Score Calculation'!D330</f>
        <v>中文榮譽文學士</v>
      </c>
      <c r="D353" s="132"/>
      <c r="E353" s="472" t="str">
        <f>'Reference Score Calculation'!E330</f>
        <v>Best 5</v>
      </c>
      <c r="F353" s="133"/>
      <c r="G353" s="119" t="str">
        <f>入學要求!AB339</f>
        <v>v</v>
      </c>
      <c r="H353" s="119" t="str">
        <f>入學要求!AC339</f>
        <v>E</v>
      </c>
      <c r="I353" s="119" t="str">
        <f>入學要求!AD339</f>
        <v>v</v>
      </c>
      <c r="J353" s="119">
        <f>SUMIF(AF353:AO353,TRUE,V353:AE353)</f>
        <v>4.1499999999999999E-9</v>
      </c>
      <c r="K353" s="119">
        <v>2</v>
      </c>
      <c r="L353" s="119">
        <v>1</v>
      </c>
      <c r="M353" s="119">
        <v>1</v>
      </c>
      <c r="N353" s="119">
        <v>0</v>
      </c>
      <c r="O353" s="119">
        <v>1</v>
      </c>
      <c r="P353" s="119">
        <v>1</v>
      </c>
      <c r="Q353" s="119">
        <v>1</v>
      </c>
      <c r="R353" s="119">
        <v>1</v>
      </c>
      <c r="S353" s="119">
        <v>1</v>
      </c>
      <c r="T353" s="119">
        <v>1</v>
      </c>
      <c r="V353" s="119">
        <f t="shared" si="527"/>
        <v>8.0000000000000003E-10</v>
      </c>
      <c r="W353" s="119">
        <f t="shared" si="528"/>
        <v>2.0000000000000001E-10</v>
      </c>
      <c r="X353" s="119">
        <f t="shared" si="529"/>
        <v>3E-10</v>
      </c>
      <c r="Y353" s="119">
        <f t="shared" si="530"/>
        <v>0</v>
      </c>
      <c r="Z353" s="119">
        <f t="shared" si="531"/>
        <v>0</v>
      </c>
      <c r="AA353" s="119">
        <f t="shared" si="532"/>
        <v>6E-10</v>
      </c>
      <c r="AB353" s="119">
        <f t="shared" si="533"/>
        <v>6.9999999999999996E-10</v>
      </c>
      <c r="AC353" s="119">
        <f t="shared" si="534"/>
        <v>8.0000000000000003E-10</v>
      </c>
      <c r="AD353" s="119">
        <f t="shared" si="535"/>
        <v>8.9999999999999999E-10</v>
      </c>
      <c r="AE353" s="119">
        <f t="shared" si="536"/>
        <v>9.5000000000000003E-10</v>
      </c>
      <c r="AF353" s="119" t="b">
        <f t="shared" si="537"/>
        <v>1</v>
      </c>
      <c r="AG353" s="119" t="b">
        <f t="shared" si="538"/>
        <v>0</v>
      </c>
      <c r="AH353" s="119" t="b">
        <f t="shared" si="539"/>
        <v>0</v>
      </c>
      <c r="AI353" s="119" t="b">
        <f t="shared" si="540"/>
        <v>0</v>
      </c>
      <c r="AJ353" s="119" t="b">
        <f t="shared" si="541"/>
        <v>0</v>
      </c>
      <c r="AK353" s="119" t="b">
        <f t="shared" si="542"/>
        <v>0</v>
      </c>
      <c r="AL353" s="119" t="b">
        <f t="shared" si="543"/>
        <v>1</v>
      </c>
      <c r="AM353" s="119" t="b">
        <f t="shared" si="544"/>
        <v>1</v>
      </c>
      <c r="AN353" s="119" t="b">
        <f t="shared" si="545"/>
        <v>1</v>
      </c>
      <c r="AO353" s="119" t="b">
        <f t="shared" si="546"/>
        <v>1</v>
      </c>
    </row>
    <row r="354" spans="1:41">
      <c r="A354" s="142" t="str">
        <f>'Reference Score Calculation'!A331</f>
        <v>JS9013</v>
      </c>
      <c r="B354" s="119" t="str">
        <f>'Reference Score Calculation'!A331</f>
        <v>JS9013</v>
      </c>
      <c r="C354" s="132" t="str">
        <f>'Reference Score Calculation'!D331</f>
        <v>語言研究與翻譯榮譽文學士</v>
      </c>
      <c r="D354" s="132"/>
      <c r="E354" s="472" t="str">
        <f>'Reference Score Calculation'!E331</f>
        <v>Best 5</v>
      </c>
      <c r="F354" s="133"/>
      <c r="G354" s="119" t="str">
        <f>入學要求!AB340</f>
        <v>v</v>
      </c>
      <c r="H354" s="119" t="str">
        <f>入學要求!AC340</f>
        <v>E</v>
      </c>
      <c r="I354" s="119" t="str">
        <f>入學要求!AD340</f>
        <v>v</v>
      </c>
      <c r="J354" s="119">
        <f t="shared" ref="J354:J360" si="547">SUMIF(AF354:AO354,TRUE,V354:AE354)</f>
        <v>3.3500000000000002E-9</v>
      </c>
      <c r="K354" s="119">
        <v>1.5</v>
      </c>
      <c r="L354" s="119">
        <v>1.5</v>
      </c>
      <c r="M354" s="119">
        <v>1</v>
      </c>
      <c r="N354" s="119">
        <v>0</v>
      </c>
      <c r="O354" s="119">
        <v>1</v>
      </c>
      <c r="P354" s="119">
        <v>1</v>
      </c>
      <c r="Q354" s="119">
        <v>1</v>
      </c>
      <c r="R354" s="119">
        <v>1</v>
      </c>
      <c r="S354" s="119">
        <v>1</v>
      </c>
      <c r="T354" s="119">
        <v>1</v>
      </c>
      <c r="V354" s="119">
        <f t="shared" si="527"/>
        <v>6E-10</v>
      </c>
      <c r="W354" s="119">
        <f t="shared" si="528"/>
        <v>3E-10</v>
      </c>
      <c r="X354" s="119">
        <f t="shared" si="529"/>
        <v>3E-10</v>
      </c>
      <c r="Y354" s="119">
        <f t="shared" si="530"/>
        <v>0</v>
      </c>
      <c r="Z354" s="119">
        <f t="shared" si="531"/>
        <v>0</v>
      </c>
      <c r="AA354" s="119">
        <f t="shared" si="532"/>
        <v>6E-10</v>
      </c>
      <c r="AB354" s="119">
        <f t="shared" si="533"/>
        <v>6.9999999999999996E-10</v>
      </c>
      <c r="AC354" s="119">
        <f t="shared" si="534"/>
        <v>8.0000000000000003E-10</v>
      </c>
      <c r="AD354" s="119">
        <f t="shared" si="535"/>
        <v>8.9999999999999999E-10</v>
      </c>
      <c r="AE354" s="119">
        <f t="shared" si="536"/>
        <v>9.5000000000000003E-10</v>
      </c>
      <c r="AF354" s="119" t="b">
        <f t="shared" si="537"/>
        <v>0</v>
      </c>
      <c r="AG354" s="119" t="b">
        <f t="shared" si="538"/>
        <v>0</v>
      </c>
      <c r="AH354" s="119" t="b">
        <f t="shared" si="539"/>
        <v>0</v>
      </c>
      <c r="AI354" s="119" t="b">
        <f t="shared" si="540"/>
        <v>0</v>
      </c>
      <c r="AJ354" s="119" t="b">
        <f t="shared" si="541"/>
        <v>0</v>
      </c>
      <c r="AK354" s="119" t="b">
        <f t="shared" si="542"/>
        <v>0</v>
      </c>
      <c r="AL354" s="119" t="b">
        <f t="shared" si="543"/>
        <v>1</v>
      </c>
      <c r="AM354" s="119" t="b">
        <f t="shared" si="544"/>
        <v>1</v>
      </c>
      <c r="AN354" s="119" t="b">
        <f t="shared" si="545"/>
        <v>1</v>
      </c>
      <c r="AO354" s="119" t="b">
        <f t="shared" si="546"/>
        <v>1</v>
      </c>
    </row>
    <row r="355" spans="1:41">
      <c r="A355" s="142" t="str">
        <f>'Reference Score Calculation'!A332</f>
        <v>JS9016</v>
      </c>
      <c r="B355" s="119" t="str">
        <f>'Reference Score Calculation'!A332</f>
        <v>JS9016</v>
      </c>
      <c r="C355" s="132" t="str">
        <f>'Reference Score Calculation'!D332</f>
        <v>創意廣告及媒體設計榮譽文學士</v>
      </c>
      <c r="D355" s="132"/>
      <c r="E355" s="472" t="str">
        <f>'Reference Score Calculation'!E332</f>
        <v>Best 5</v>
      </c>
      <c r="F355" s="133"/>
      <c r="G355" s="119" t="str">
        <f>入學要求!AB341</f>
        <v>v</v>
      </c>
      <c r="H355" s="119" t="str">
        <f>入學要求!AC341</f>
        <v>E</v>
      </c>
      <c r="I355" s="119" t="str">
        <f>入學要求!AD341</f>
        <v>v</v>
      </c>
      <c r="J355" s="119">
        <f t="shared" si="547"/>
        <v>3.3500000000000002E-9</v>
      </c>
      <c r="K355" s="119">
        <v>1.5</v>
      </c>
      <c r="L355" s="119">
        <v>1.5</v>
      </c>
      <c r="M355" s="119">
        <v>1</v>
      </c>
      <c r="N355" s="119">
        <v>0</v>
      </c>
      <c r="O355" s="119">
        <v>1</v>
      </c>
      <c r="P355" s="119">
        <v>1</v>
      </c>
      <c r="Q355" s="119">
        <v>1</v>
      </c>
      <c r="R355" s="119">
        <v>1</v>
      </c>
      <c r="S355" s="119">
        <v>1</v>
      </c>
      <c r="T355" s="119">
        <v>1</v>
      </c>
      <c r="V355" s="119">
        <f t="shared" si="527"/>
        <v>6E-10</v>
      </c>
      <c r="W355" s="119">
        <f t="shared" si="528"/>
        <v>3E-10</v>
      </c>
      <c r="X355" s="119">
        <f t="shared" si="529"/>
        <v>3E-10</v>
      </c>
      <c r="Y355" s="119">
        <f t="shared" si="530"/>
        <v>0</v>
      </c>
      <c r="Z355" s="119">
        <f t="shared" si="531"/>
        <v>0</v>
      </c>
      <c r="AA355" s="119">
        <f t="shared" si="532"/>
        <v>6E-10</v>
      </c>
      <c r="AB355" s="119">
        <f t="shared" si="533"/>
        <v>6.9999999999999996E-10</v>
      </c>
      <c r="AC355" s="119">
        <f t="shared" si="534"/>
        <v>8.0000000000000003E-10</v>
      </c>
      <c r="AD355" s="119">
        <f t="shared" si="535"/>
        <v>8.9999999999999999E-10</v>
      </c>
      <c r="AE355" s="119">
        <f t="shared" si="536"/>
        <v>9.5000000000000003E-10</v>
      </c>
      <c r="AF355" s="119" t="b">
        <f t="shared" si="537"/>
        <v>0</v>
      </c>
      <c r="AG355" s="119" t="b">
        <f t="shared" si="538"/>
        <v>0</v>
      </c>
      <c r="AH355" s="119" t="b">
        <f t="shared" si="539"/>
        <v>0</v>
      </c>
      <c r="AI355" s="119" t="b">
        <f t="shared" si="540"/>
        <v>0</v>
      </c>
      <c r="AJ355" s="119" t="b">
        <f t="shared" si="541"/>
        <v>0</v>
      </c>
      <c r="AK355" s="119" t="b">
        <f t="shared" si="542"/>
        <v>0</v>
      </c>
      <c r="AL355" s="119" t="b">
        <f t="shared" si="543"/>
        <v>1</v>
      </c>
      <c r="AM355" s="119" t="b">
        <f t="shared" si="544"/>
        <v>1</v>
      </c>
      <c r="AN355" s="119" t="b">
        <f t="shared" si="545"/>
        <v>1</v>
      </c>
      <c r="AO355" s="119" t="b">
        <f t="shared" si="546"/>
        <v>1</v>
      </c>
    </row>
    <row r="356" spans="1:41">
      <c r="A356" s="142" t="str">
        <f>'Reference Score Calculation'!A333</f>
        <v>JS9019</v>
      </c>
      <c r="B356" s="119" t="str">
        <f>'Reference Score Calculation'!A333</f>
        <v>JS9019</v>
      </c>
      <c r="C356" s="132" t="str">
        <f>'Reference Score Calculation'!D333</f>
        <v>英語及文化榮譽文學士</v>
      </c>
      <c r="D356" s="132"/>
      <c r="E356" s="472" t="str">
        <f>'Reference Score Calculation'!E333</f>
        <v>Best 5</v>
      </c>
      <c r="F356" s="119"/>
      <c r="G356" s="119" t="str">
        <f>入學要求!AB342</f>
        <v>v</v>
      </c>
      <c r="H356" s="119" t="str">
        <f>入學要求!AC342</f>
        <v>E</v>
      </c>
      <c r="I356" s="119" t="str">
        <f>入學要求!AD342</f>
        <v>v</v>
      </c>
      <c r="J356" s="119">
        <f t="shared" si="547"/>
        <v>3.9500000000000006E-9</v>
      </c>
      <c r="K356" s="119">
        <v>1</v>
      </c>
      <c r="L356" s="119">
        <v>1</v>
      </c>
      <c r="M356" s="119">
        <v>1</v>
      </c>
      <c r="N356" s="119">
        <v>0</v>
      </c>
      <c r="O356" s="119">
        <v>1</v>
      </c>
      <c r="P356" s="119">
        <v>1</v>
      </c>
      <c r="Q356" s="119">
        <v>1</v>
      </c>
      <c r="R356" s="119">
        <v>1</v>
      </c>
      <c r="S356" s="119">
        <v>1</v>
      </c>
      <c r="T356" s="119">
        <v>1</v>
      </c>
      <c r="V356" s="119">
        <f t="shared" si="527"/>
        <v>4.0000000000000001E-10</v>
      </c>
      <c r="W356" s="119">
        <f t="shared" si="528"/>
        <v>2.0000000000000001E-10</v>
      </c>
      <c r="X356" s="119">
        <f t="shared" si="529"/>
        <v>3E-10</v>
      </c>
      <c r="Y356" s="119">
        <f t="shared" si="530"/>
        <v>0</v>
      </c>
      <c r="Z356" s="119">
        <f t="shared" si="531"/>
        <v>0</v>
      </c>
      <c r="AA356" s="119">
        <f t="shared" si="532"/>
        <v>6E-10</v>
      </c>
      <c r="AB356" s="119">
        <f t="shared" si="533"/>
        <v>6.9999999999999996E-10</v>
      </c>
      <c r="AC356" s="119">
        <f t="shared" si="534"/>
        <v>8.0000000000000003E-10</v>
      </c>
      <c r="AD356" s="119">
        <f t="shared" si="535"/>
        <v>8.9999999999999999E-10</v>
      </c>
      <c r="AE356" s="119">
        <f t="shared" si="536"/>
        <v>9.5000000000000003E-10</v>
      </c>
      <c r="AF356" s="119" t="b">
        <f t="shared" si="537"/>
        <v>0</v>
      </c>
      <c r="AG356" s="119" t="b">
        <f t="shared" si="538"/>
        <v>0</v>
      </c>
      <c r="AH356" s="119" t="b">
        <f t="shared" si="539"/>
        <v>0</v>
      </c>
      <c r="AI356" s="119" t="b">
        <f t="shared" si="540"/>
        <v>0</v>
      </c>
      <c r="AJ356" s="119" t="b">
        <f t="shared" si="541"/>
        <v>0</v>
      </c>
      <c r="AK356" s="119" t="b">
        <f t="shared" si="542"/>
        <v>1</v>
      </c>
      <c r="AL356" s="119" t="b">
        <f t="shared" si="543"/>
        <v>1</v>
      </c>
      <c r="AM356" s="119" t="b">
        <f t="shared" si="544"/>
        <v>1</v>
      </c>
      <c r="AN356" s="119" t="b">
        <f t="shared" si="545"/>
        <v>1</v>
      </c>
      <c r="AO356" s="119" t="b">
        <f t="shared" si="546"/>
        <v>1</v>
      </c>
    </row>
    <row r="357" spans="1:41">
      <c r="A357" s="142" t="str">
        <f>'Reference Score Calculation'!A334</f>
        <v>JS9220</v>
      </c>
      <c r="B357" s="119" t="str">
        <f>'Reference Score Calculation'!A334</f>
        <v>JS9220</v>
      </c>
      <c r="C357" s="132" t="str">
        <f>'Reference Score Calculation'!D334</f>
        <v>專業會計榮譽工商管理學士</v>
      </c>
      <c r="D357" s="132"/>
      <c r="E357" s="472" t="str">
        <f>'Reference Score Calculation'!E334</f>
        <v>Best 5</v>
      </c>
      <c r="F357" s="119"/>
      <c r="G357" s="119" t="str">
        <f>入學要求!AB343</f>
        <v>v</v>
      </c>
      <c r="H357" s="119" t="str">
        <f>入學要求!AC343</f>
        <v>E</v>
      </c>
      <c r="I357" s="119" t="str">
        <f>入學要求!AD343</f>
        <v>v</v>
      </c>
      <c r="J357" s="119">
        <f t="shared" si="547"/>
        <v>3.9500000000000006E-9</v>
      </c>
      <c r="K357" s="119">
        <v>1</v>
      </c>
      <c r="L357" s="119">
        <v>1</v>
      </c>
      <c r="M357" s="119">
        <v>1</v>
      </c>
      <c r="N357" s="119">
        <v>0</v>
      </c>
      <c r="O357" s="119">
        <v>1</v>
      </c>
      <c r="P357" s="119">
        <v>1</v>
      </c>
      <c r="Q357" s="119">
        <v>1</v>
      </c>
      <c r="R357" s="119">
        <v>1</v>
      </c>
      <c r="S357" s="119">
        <v>1</v>
      </c>
      <c r="T357" s="119">
        <v>1</v>
      </c>
      <c r="V357" s="119">
        <f t="shared" si="527"/>
        <v>4.0000000000000001E-10</v>
      </c>
      <c r="W357" s="119">
        <f t="shared" si="528"/>
        <v>2.0000000000000001E-10</v>
      </c>
      <c r="X357" s="119">
        <f t="shared" si="529"/>
        <v>3E-10</v>
      </c>
      <c r="Y357" s="119">
        <f t="shared" si="530"/>
        <v>0</v>
      </c>
      <c r="Z357" s="119">
        <f t="shared" si="531"/>
        <v>0</v>
      </c>
      <c r="AA357" s="119">
        <f t="shared" si="532"/>
        <v>6E-10</v>
      </c>
      <c r="AB357" s="119">
        <f t="shared" si="533"/>
        <v>6.9999999999999996E-10</v>
      </c>
      <c r="AC357" s="119">
        <f t="shared" si="534"/>
        <v>8.0000000000000003E-10</v>
      </c>
      <c r="AD357" s="119">
        <f t="shared" si="535"/>
        <v>8.9999999999999999E-10</v>
      </c>
      <c r="AE357" s="119">
        <f t="shared" si="536"/>
        <v>9.5000000000000003E-10</v>
      </c>
      <c r="AF357" s="119" t="b">
        <f t="shared" si="537"/>
        <v>0</v>
      </c>
      <c r="AG357" s="119" t="b">
        <f t="shared" si="538"/>
        <v>0</v>
      </c>
      <c r="AH357" s="119" t="b">
        <f t="shared" si="539"/>
        <v>0</v>
      </c>
      <c r="AI357" s="119" t="b">
        <f t="shared" si="540"/>
        <v>0</v>
      </c>
      <c r="AJ357" s="119" t="b">
        <f t="shared" si="541"/>
        <v>0</v>
      </c>
      <c r="AK357" s="119" t="b">
        <f t="shared" si="542"/>
        <v>1</v>
      </c>
      <c r="AL357" s="119" t="b">
        <f t="shared" si="543"/>
        <v>1</v>
      </c>
      <c r="AM357" s="119" t="b">
        <f t="shared" si="544"/>
        <v>1</v>
      </c>
      <c r="AN357" s="119" t="b">
        <f t="shared" si="545"/>
        <v>1</v>
      </c>
      <c r="AO357" s="119" t="b">
        <f t="shared" si="546"/>
        <v>1</v>
      </c>
    </row>
    <row r="358" spans="1:41">
      <c r="A358" s="142" t="str">
        <f>'Reference Score Calculation'!A335</f>
        <v>JS9223</v>
      </c>
      <c r="B358" s="119" t="str">
        <f>'Reference Score Calculation'!A335</f>
        <v>JS9223</v>
      </c>
      <c r="C358" s="132" t="str">
        <f>'Reference Score Calculation'!D335</f>
        <v>航空服務管理榮譽工商管理學士</v>
      </c>
      <c r="D358" s="132"/>
      <c r="E358" s="472" t="str">
        <f>'Reference Score Calculation'!E335</f>
        <v>Best 5</v>
      </c>
      <c r="F358" s="143"/>
      <c r="G358" s="119" t="str">
        <f>入學要求!AB344</f>
        <v>v</v>
      </c>
      <c r="H358" s="119" t="str">
        <f>入學要求!AC344</f>
        <v>E</v>
      </c>
      <c r="I358" s="119" t="str">
        <f>入學要求!AD344</f>
        <v>v</v>
      </c>
      <c r="J358" s="119">
        <f t="shared" si="547"/>
        <v>3.9500000000000006E-9</v>
      </c>
      <c r="K358" s="119">
        <v>1</v>
      </c>
      <c r="L358" s="119">
        <v>1</v>
      </c>
      <c r="M358" s="119">
        <v>1</v>
      </c>
      <c r="N358" s="119">
        <v>0</v>
      </c>
      <c r="O358" s="119">
        <v>1</v>
      </c>
      <c r="P358" s="119">
        <v>1</v>
      </c>
      <c r="Q358" s="119">
        <v>1</v>
      </c>
      <c r="R358" s="119">
        <v>1</v>
      </c>
      <c r="S358" s="119">
        <v>1</v>
      </c>
      <c r="T358" s="119">
        <v>1</v>
      </c>
      <c r="V358" s="119">
        <f t="shared" si="527"/>
        <v>4.0000000000000001E-10</v>
      </c>
      <c r="W358" s="119">
        <f t="shared" si="528"/>
        <v>2.0000000000000001E-10</v>
      </c>
      <c r="X358" s="119">
        <f t="shared" si="529"/>
        <v>3E-10</v>
      </c>
      <c r="Y358" s="119">
        <f t="shared" si="530"/>
        <v>0</v>
      </c>
      <c r="Z358" s="119">
        <f t="shared" si="531"/>
        <v>0</v>
      </c>
      <c r="AA358" s="119">
        <f t="shared" si="532"/>
        <v>6E-10</v>
      </c>
      <c r="AB358" s="119">
        <f t="shared" si="533"/>
        <v>6.9999999999999996E-10</v>
      </c>
      <c r="AC358" s="119">
        <f t="shared" si="534"/>
        <v>8.0000000000000003E-10</v>
      </c>
      <c r="AD358" s="119">
        <f t="shared" si="535"/>
        <v>8.9999999999999999E-10</v>
      </c>
      <c r="AE358" s="119">
        <f t="shared" si="536"/>
        <v>9.5000000000000003E-10</v>
      </c>
      <c r="AF358" s="119" t="b">
        <f t="shared" si="537"/>
        <v>0</v>
      </c>
      <c r="AG358" s="119" t="b">
        <f t="shared" si="538"/>
        <v>0</v>
      </c>
      <c r="AH358" s="119" t="b">
        <f t="shared" si="539"/>
        <v>0</v>
      </c>
      <c r="AI358" s="119" t="b">
        <f t="shared" si="540"/>
        <v>0</v>
      </c>
      <c r="AJ358" s="119" t="b">
        <f t="shared" si="541"/>
        <v>0</v>
      </c>
      <c r="AK358" s="119" t="b">
        <f t="shared" si="542"/>
        <v>1</v>
      </c>
      <c r="AL358" s="119" t="b">
        <f t="shared" si="543"/>
        <v>1</v>
      </c>
      <c r="AM358" s="119" t="b">
        <f t="shared" si="544"/>
        <v>1</v>
      </c>
      <c r="AN358" s="119" t="b">
        <f t="shared" si="545"/>
        <v>1</v>
      </c>
      <c r="AO358" s="119" t="b">
        <f t="shared" si="546"/>
        <v>1</v>
      </c>
    </row>
    <row r="359" spans="1:41">
      <c r="A359" s="142" t="str">
        <f>'Reference Score Calculation'!A336</f>
        <v>JS9230</v>
      </c>
      <c r="B359" s="119" t="str">
        <f>'Reference Score Calculation'!A336</f>
        <v>JS9230</v>
      </c>
      <c r="C359" s="132" t="str">
        <f>'Reference Score Calculation'!D336</f>
        <v>商業管理學榮譽工商管理學士</v>
      </c>
      <c r="D359" s="132"/>
      <c r="E359" s="472" t="str">
        <f>'Reference Score Calculation'!E336</f>
        <v>Best 5</v>
      </c>
      <c r="F359" s="119"/>
      <c r="G359" s="119" t="str">
        <f>入學要求!AB345</f>
        <v>v</v>
      </c>
      <c r="H359" s="119" t="str">
        <f>入學要求!AC345</f>
        <v>E</v>
      </c>
      <c r="I359" s="119" t="str">
        <f>入學要求!AD345</f>
        <v>v</v>
      </c>
      <c r="J359" s="119">
        <f t="shared" si="547"/>
        <v>3.9500000000000006E-9</v>
      </c>
      <c r="K359" s="119">
        <v>1</v>
      </c>
      <c r="L359" s="119">
        <v>1</v>
      </c>
      <c r="M359" s="119">
        <v>1</v>
      </c>
      <c r="N359" s="119">
        <v>0</v>
      </c>
      <c r="O359" s="119">
        <v>1</v>
      </c>
      <c r="P359" s="119">
        <v>1</v>
      </c>
      <c r="Q359" s="119">
        <v>1</v>
      </c>
      <c r="R359" s="119">
        <v>1</v>
      </c>
      <c r="S359" s="119">
        <v>1</v>
      </c>
      <c r="T359" s="119">
        <v>1</v>
      </c>
      <c r="V359" s="119">
        <f t="shared" si="527"/>
        <v>4.0000000000000001E-10</v>
      </c>
      <c r="W359" s="119">
        <f t="shared" si="528"/>
        <v>2.0000000000000001E-10</v>
      </c>
      <c r="X359" s="119">
        <f t="shared" si="529"/>
        <v>3E-10</v>
      </c>
      <c r="Y359" s="119">
        <f t="shared" si="530"/>
        <v>0</v>
      </c>
      <c r="Z359" s="119">
        <f t="shared" si="531"/>
        <v>0</v>
      </c>
      <c r="AA359" s="119">
        <f t="shared" si="532"/>
        <v>6E-10</v>
      </c>
      <c r="AB359" s="119">
        <f t="shared" si="533"/>
        <v>6.9999999999999996E-10</v>
      </c>
      <c r="AC359" s="119">
        <f t="shared" si="534"/>
        <v>8.0000000000000003E-10</v>
      </c>
      <c r="AD359" s="119">
        <f t="shared" si="535"/>
        <v>8.9999999999999999E-10</v>
      </c>
      <c r="AE359" s="119">
        <f t="shared" si="536"/>
        <v>9.5000000000000003E-10</v>
      </c>
      <c r="AF359" s="119" t="b">
        <f t="shared" si="537"/>
        <v>0</v>
      </c>
      <c r="AG359" s="119" t="b">
        <f t="shared" si="538"/>
        <v>0</v>
      </c>
      <c r="AH359" s="119" t="b">
        <f t="shared" si="539"/>
        <v>0</v>
      </c>
      <c r="AI359" s="119" t="b">
        <f t="shared" si="540"/>
        <v>0</v>
      </c>
      <c r="AJ359" s="119" t="b">
        <f t="shared" si="541"/>
        <v>0</v>
      </c>
      <c r="AK359" s="119" t="b">
        <f t="shared" si="542"/>
        <v>1</v>
      </c>
      <c r="AL359" s="119" t="b">
        <f t="shared" si="543"/>
        <v>1</v>
      </c>
      <c r="AM359" s="119" t="b">
        <f t="shared" si="544"/>
        <v>1</v>
      </c>
      <c r="AN359" s="119" t="b">
        <f t="shared" si="545"/>
        <v>1</v>
      </c>
      <c r="AO359" s="119" t="b">
        <f t="shared" si="546"/>
        <v>1</v>
      </c>
    </row>
    <row r="360" spans="1:41">
      <c r="A360" s="142" t="str">
        <f>'Reference Score Calculation'!A337</f>
        <v>JS9240</v>
      </c>
      <c r="B360" s="119" t="str">
        <f>'Reference Score Calculation'!A337</f>
        <v>JS9240</v>
      </c>
      <c r="C360" s="132" t="str">
        <f>'Reference Score Calculation'!D337</f>
        <v>環球商業及市場學榮譽工商管理學士</v>
      </c>
      <c r="D360" s="132"/>
      <c r="E360" s="472" t="str">
        <f>'Reference Score Calculation'!E337</f>
        <v>Best 5</v>
      </c>
      <c r="F360" s="119"/>
      <c r="G360" s="119" t="str">
        <f>入學要求!AB346</f>
        <v>v</v>
      </c>
      <c r="H360" s="119" t="str">
        <f>入學要求!AC346</f>
        <v>E</v>
      </c>
      <c r="I360" s="119" t="str">
        <f>入學要求!AD346</f>
        <v>v</v>
      </c>
      <c r="J360" s="119">
        <f t="shared" si="547"/>
        <v>3.9500000000000006E-9</v>
      </c>
      <c r="K360" s="119">
        <v>1</v>
      </c>
      <c r="L360" s="119">
        <v>1</v>
      </c>
      <c r="M360" s="119">
        <v>1</v>
      </c>
      <c r="N360" s="119">
        <v>0</v>
      </c>
      <c r="O360" s="119">
        <v>1</v>
      </c>
      <c r="P360" s="119">
        <v>1</v>
      </c>
      <c r="Q360" s="119">
        <v>1</v>
      </c>
      <c r="R360" s="119">
        <v>1</v>
      </c>
      <c r="S360" s="119">
        <v>1</v>
      </c>
      <c r="T360" s="119">
        <v>1</v>
      </c>
      <c r="V360" s="119">
        <f t="shared" si="527"/>
        <v>4.0000000000000001E-10</v>
      </c>
      <c r="W360" s="119">
        <f t="shared" si="528"/>
        <v>2.0000000000000001E-10</v>
      </c>
      <c r="X360" s="119">
        <f t="shared" si="529"/>
        <v>3E-10</v>
      </c>
      <c r="Y360" s="119">
        <f t="shared" si="530"/>
        <v>0</v>
      </c>
      <c r="Z360" s="119">
        <f t="shared" si="531"/>
        <v>0</v>
      </c>
      <c r="AA360" s="119">
        <f t="shared" si="532"/>
        <v>6E-10</v>
      </c>
      <c r="AB360" s="119">
        <f t="shared" si="533"/>
        <v>6.9999999999999996E-10</v>
      </c>
      <c r="AC360" s="119">
        <f t="shared" si="534"/>
        <v>8.0000000000000003E-10</v>
      </c>
      <c r="AD360" s="119">
        <f t="shared" si="535"/>
        <v>8.9999999999999999E-10</v>
      </c>
      <c r="AE360" s="119">
        <f t="shared" si="536"/>
        <v>9.5000000000000003E-10</v>
      </c>
      <c r="AF360" s="119" t="b">
        <f t="shared" si="537"/>
        <v>0</v>
      </c>
      <c r="AG360" s="119" t="b">
        <f t="shared" si="538"/>
        <v>0</v>
      </c>
      <c r="AH360" s="119" t="b">
        <f t="shared" si="539"/>
        <v>0</v>
      </c>
      <c r="AI360" s="119" t="b">
        <f t="shared" si="540"/>
        <v>0</v>
      </c>
      <c r="AJ360" s="119" t="b">
        <f t="shared" si="541"/>
        <v>0</v>
      </c>
      <c r="AK360" s="119" t="b">
        <f t="shared" si="542"/>
        <v>1</v>
      </c>
      <c r="AL360" s="119" t="b">
        <f t="shared" si="543"/>
        <v>1</v>
      </c>
      <c r="AM360" s="119" t="b">
        <f t="shared" si="544"/>
        <v>1</v>
      </c>
      <c r="AN360" s="119" t="b">
        <f t="shared" si="545"/>
        <v>1</v>
      </c>
      <c r="AO360" s="119" t="b">
        <f t="shared" si="546"/>
        <v>1</v>
      </c>
    </row>
    <row r="361" spans="1:41">
      <c r="A361" s="142" t="str">
        <f>'Reference Score Calculation'!A338</f>
        <v>JS9262</v>
      </c>
      <c r="B361" s="119" t="str">
        <f>'Reference Score Calculation'!A338</f>
        <v>JS9262</v>
      </c>
      <c r="C361" s="132" t="str">
        <f>'Reference Score Calculation'!D338</f>
        <v>人力資源管理學榮譽工商管理學士</v>
      </c>
      <c r="D361" s="132"/>
      <c r="E361" s="472" t="str">
        <f>'Reference Score Calculation'!E338</f>
        <v>Best 5</v>
      </c>
      <c r="F361" s="143"/>
      <c r="G361" s="119" t="str">
        <f>入學要求!AB348</f>
        <v>v</v>
      </c>
      <c r="H361" s="119" t="str">
        <f>入學要求!AC348</f>
        <v>E</v>
      </c>
      <c r="I361" s="119" t="str">
        <f>入學要求!AD348</f>
        <v>v</v>
      </c>
      <c r="J361" s="119">
        <f t="shared" ref="J361:J376" si="548">SUMIF(AF361:AO361,TRUE,V361:AE361)</f>
        <v>3.9500000000000006E-9</v>
      </c>
      <c r="K361" s="119">
        <v>1</v>
      </c>
      <c r="L361" s="119">
        <v>1</v>
      </c>
      <c r="M361" s="119">
        <v>1</v>
      </c>
      <c r="N361" s="119">
        <v>0</v>
      </c>
      <c r="O361" s="119">
        <v>1</v>
      </c>
      <c r="P361" s="119">
        <v>1</v>
      </c>
      <c r="Q361" s="119">
        <v>1</v>
      </c>
      <c r="R361" s="119">
        <v>1</v>
      </c>
      <c r="S361" s="119">
        <v>1</v>
      </c>
      <c r="T361" s="119">
        <v>1</v>
      </c>
      <c r="V361" s="119">
        <f t="shared" si="527"/>
        <v>4.0000000000000001E-10</v>
      </c>
      <c r="W361" s="119">
        <f t="shared" si="528"/>
        <v>2.0000000000000001E-10</v>
      </c>
      <c r="X361" s="119">
        <f t="shared" si="529"/>
        <v>3E-10</v>
      </c>
      <c r="Y361" s="119">
        <f t="shared" si="530"/>
        <v>0</v>
      </c>
      <c r="Z361" s="119">
        <f t="shared" si="531"/>
        <v>0</v>
      </c>
      <c r="AA361" s="119">
        <f t="shared" si="532"/>
        <v>6E-10</v>
      </c>
      <c r="AB361" s="119">
        <f t="shared" si="533"/>
        <v>6.9999999999999996E-10</v>
      </c>
      <c r="AC361" s="119">
        <f t="shared" si="534"/>
        <v>8.0000000000000003E-10</v>
      </c>
      <c r="AD361" s="119">
        <f t="shared" si="535"/>
        <v>8.9999999999999999E-10</v>
      </c>
      <c r="AE361" s="119">
        <f t="shared" si="536"/>
        <v>9.5000000000000003E-10</v>
      </c>
      <c r="AF361" s="119" t="b">
        <f t="shared" si="537"/>
        <v>0</v>
      </c>
      <c r="AG361" s="119" t="b">
        <f t="shared" si="538"/>
        <v>0</v>
      </c>
      <c r="AH361" s="119" t="b">
        <f t="shared" si="539"/>
        <v>0</v>
      </c>
      <c r="AI361" s="119" t="b">
        <f t="shared" si="540"/>
        <v>0</v>
      </c>
      <c r="AJ361" s="119" t="b">
        <f t="shared" si="541"/>
        <v>0</v>
      </c>
      <c r="AK361" s="119" t="b">
        <f t="shared" si="542"/>
        <v>1</v>
      </c>
      <c r="AL361" s="119" t="b">
        <f t="shared" si="543"/>
        <v>1</v>
      </c>
      <c r="AM361" s="119" t="b">
        <f t="shared" si="544"/>
        <v>1</v>
      </c>
      <c r="AN361" s="119" t="b">
        <f t="shared" si="545"/>
        <v>1</v>
      </c>
      <c r="AO361" s="119" t="b">
        <f t="shared" si="546"/>
        <v>1</v>
      </c>
    </row>
    <row r="362" spans="1:41">
      <c r="A362" s="142" t="str">
        <f>'Reference Score Calculation'!A339</f>
        <v>JS9266</v>
      </c>
      <c r="B362" s="119" t="str">
        <f>'Reference Score Calculation'!A339</f>
        <v>JS9266</v>
      </c>
      <c r="C362" s="132" t="str">
        <f>'Reference Score Calculation'!D339</f>
        <v>市場學榮譽工商管理學士</v>
      </c>
      <c r="D362" s="132"/>
      <c r="E362" s="472" t="str">
        <f>'Reference Score Calculation'!E339</f>
        <v>Best 5</v>
      </c>
      <c r="F362" s="143"/>
      <c r="G362" s="119" t="str">
        <f>入學要求!AB349</f>
        <v>v</v>
      </c>
      <c r="H362" s="119" t="str">
        <f>入學要求!AC349</f>
        <v>E</v>
      </c>
      <c r="I362" s="119" t="str">
        <f>入學要求!AD349</f>
        <v>v</v>
      </c>
      <c r="J362" s="119">
        <f t="shared" si="548"/>
        <v>3.9500000000000006E-9</v>
      </c>
      <c r="K362" s="119">
        <v>1</v>
      </c>
      <c r="L362" s="119">
        <v>1</v>
      </c>
      <c r="M362" s="119">
        <v>1</v>
      </c>
      <c r="N362" s="119">
        <v>0</v>
      </c>
      <c r="O362" s="119">
        <v>1</v>
      </c>
      <c r="P362" s="119">
        <v>1</v>
      </c>
      <c r="Q362" s="119">
        <v>1</v>
      </c>
      <c r="R362" s="119">
        <v>1</v>
      </c>
      <c r="S362" s="119">
        <v>1</v>
      </c>
      <c r="T362" s="119">
        <v>1</v>
      </c>
      <c r="V362" s="119">
        <f t="shared" si="527"/>
        <v>4.0000000000000001E-10</v>
      </c>
      <c r="W362" s="119">
        <f t="shared" si="528"/>
        <v>2.0000000000000001E-10</v>
      </c>
      <c r="X362" s="119">
        <f t="shared" si="529"/>
        <v>3E-10</v>
      </c>
      <c r="Y362" s="119">
        <f t="shared" si="530"/>
        <v>0</v>
      </c>
      <c r="Z362" s="119">
        <f t="shared" si="531"/>
        <v>0</v>
      </c>
      <c r="AA362" s="119">
        <f t="shared" si="532"/>
        <v>6E-10</v>
      </c>
      <c r="AB362" s="119">
        <f t="shared" si="533"/>
        <v>6.9999999999999996E-10</v>
      </c>
      <c r="AC362" s="119">
        <f t="shared" si="534"/>
        <v>8.0000000000000003E-10</v>
      </c>
      <c r="AD362" s="119">
        <f t="shared" si="535"/>
        <v>8.9999999999999999E-10</v>
      </c>
      <c r="AE362" s="119">
        <f t="shared" si="536"/>
        <v>9.5000000000000003E-10</v>
      </c>
      <c r="AF362" s="119" t="b">
        <f t="shared" si="537"/>
        <v>0</v>
      </c>
      <c r="AG362" s="119" t="b">
        <f t="shared" si="538"/>
        <v>0</v>
      </c>
      <c r="AH362" s="119" t="b">
        <f t="shared" si="539"/>
        <v>0</v>
      </c>
      <c r="AI362" s="119" t="b">
        <f t="shared" si="540"/>
        <v>0</v>
      </c>
      <c r="AJ362" s="119" t="b">
        <f t="shared" si="541"/>
        <v>0</v>
      </c>
      <c r="AK362" s="119" t="b">
        <f t="shared" si="542"/>
        <v>1</v>
      </c>
      <c r="AL362" s="119" t="b">
        <f t="shared" si="543"/>
        <v>1</v>
      </c>
      <c r="AM362" s="119" t="b">
        <f t="shared" si="544"/>
        <v>1</v>
      </c>
      <c r="AN362" s="119" t="b">
        <f t="shared" si="545"/>
        <v>1</v>
      </c>
      <c r="AO362" s="119" t="b">
        <f t="shared" si="546"/>
        <v>1</v>
      </c>
    </row>
    <row r="363" spans="1:41">
      <c r="A363" s="142" t="str">
        <f>'Reference Score Calculation'!A340</f>
        <v>JS9280</v>
      </c>
      <c r="B363" s="119" t="str">
        <f>'Reference Score Calculation'!A340</f>
        <v>JS9280</v>
      </c>
      <c r="C363" s="132" t="str">
        <f>'Reference Score Calculation'!D340</f>
        <v>應用心理學榮譽學士，商業管理榮譽學士</v>
      </c>
      <c r="D363" s="132"/>
      <c r="E363" s="472" t="str">
        <f>'Reference Score Calculation'!E340</f>
        <v>Best 5</v>
      </c>
      <c r="F363" s="119"/>
      <c r="G363" s="119" t="str">
        <f>入學要求!AB350</f>
        <v>v</v>
      </c>
      <c r="H363" s="119" t="str">
        <f>入學要求!AC350</f>
        <v>E</v>
      </c>
      <c r="I363" s="119" t="str">
        <f>入學要求!AD350</f>
        <v>v</v>
      </c>
      <c r="J363" s="119">
        <f t="shared" si="548"/>
        <v>3.9500000000000006E-9</v>
      </c>
      <c r="K363" s="119">
        <v>1</v>
      </c>
      <c r="L363" s="119">
        <v>1</v>
      </c>
      <c r="M363" s="119">
        <v>1</v>
      </c>
      <c r="N363" s="119">
        <v>0</v>
      </c>
      <c r="O363" s="119">
        <v>1</v>
      </c>
      <c r="P363" s="119">
        <v>1</v>
      </c>
      <c r="Q363" s="119">
        <v>1</v>
      </c>
      <c r="R363" s="119">
        <v>1</v>
      </c>
      <c r="S363" s="119">
        <v>1</v>
      </c>
      <c r="T363" s="119">
        <v>1</v>
      </c>
      <c r="V363" s="119">
        <f t="shared" si="527"/>
        <v>4.0000000000000001E-10</v>
      </c>
      <c r="W363" s="119">
        <f t="shared" si="528"/>
        <v>2.0000000000000001E-10</v>
      </c>
      <c r="X363" s="119">
        <f t="shared" si="529"/>
        <v>3E-10</v>
      </c>
      <c r="Y363" s="119">
        <f t="shared" si="530"/>
        <v>0</v>
      </c>
      <c r="Z363" s="119">
        <f t="shared" si="531"/>
        <v>0</v>
      </c>
      <c r="AA363" s="119">
        <f t="shared" si="532"/>
        <v>6E-10</v>
      </c>
      <c r="AB363" s="119">
        <f t="shared" si="533"/>
        <v>6.9999999999999996E-10</v>
      </c>
      <c r="AC363" s="119">
        <f t="shared" si="534"/>
        <v>8.0000000000000003E-10</v>
      </c>
      <c r="AD363" s="119">
        <f t="shared" si="535"/>
        <v>8.9999999999999999E-10</v>
      </c>
      <c r="AE363" s="119">
        <f t="shared" si="536"/>
        <v>9.5000000000000003E-10</v>
      </c>
      <c r="AF363" s="119" t="b">
        <f t="shared" si="537"/>
        <v>0</v>
      </c>
      <c r="AG363" s="119" t="b">
        <f t="shared" si="538"/>
        <v>0</v>
      </c>
      <c r="AH363" s="119" t="b">
        <f t="shared" si="539"/>
        <v>0</v>
      </c>
      <c r="AI363" s="119" t="b">
        <f t="shared" si="540"/>
        <v>0</v>
      </c>
      <c r="AJ363" s="119" t="b">
        <f t="shared" si="541"/>
        <v>0</v>
      </c>
      <c r="AK363" s="119" t="b">
        <f t="shared" si="542"/>
        <v>1</v>
      </c>
      <c r="AL363" s="119" t="b">
        <f t="shared" si="543"/>
        <v>1</v>
      </c>
      <c r="AM363" s="119" t="b">
        <f t="shared" si="544"/>
        <v>1</v>
      </c>
      <c r="AN363" s="119" t="b">
        <f t="shared" si="545"/>
        <v>1</v>
      </c>
      <c r="AO363" s="119" t="b">
        <f t="shared" si="546"/>
        <v>1</v>
      </c>
    </row>
    <row r="364" spans="1:41">
      <c r="A364" s="142" t="str">
        <f>'Reference Score Calculation'!A341</f>
        <v>JS9291</v>
      </c>
      <c r="B364" s="119" t="str">
        <f>'Reference Score Calculation'!A341</f>
        <v>JS9291</v>
      </c>
      <c r="C364" s="132" t="str">
        <f>'Reference Score Calculation'!D341</f>
        <v>酒店及可持續旅遊管理榮譽工商管理學士</v>
      </c>
      <c r="D364" s="132"/>
      <c r="E364" s="472" t="str">
        <f>'Reference Score Calculation'!E341</f>
        <v>Best 5</v>
      </c>
      <c r="F364" s="119"/>
      <c r="G364" s="119" t="str">
        <f>入學要求!AB351</f>
        <v>v</v>
      </c>
      <c r="H364" s="119" t="str">
        <f>入學要求!AC351</f>
        <v>E</v>
      </c>
      <c r="I364" s="119" t="str">
        <f>入學要求!AD351</f>
        <v>v</v>
      </c>
      <c r="J364" s="119">
        <f t="shared" si="548"/>
        <v>3.9500000000000006E-9</v>
      </c>
      <c r="K364" s="119">
        <v>1</v>
      </c>
      <c r="L364" s="119">
        <v>1</v>
      </c>
      <c r="M364" s="119">
        <v>1</v>
      </c>
      <c r="N364" s="119">
        <v>0</v>
      </c>
      <c r="O364" s="119">
        <v>1</v>
      </c>
      <c r="P364" s="119">
        <v>1</v>
      </c>
      <c r="Q364" s="119">
        <v>1</v>
      </c>
      <c r="R364" s="119">
        <v>1</v>
      </c>
      <c r="S364" s="119">
        <v>1</v>
      </c>
      <c r="T364" s="119">
        <v>1</v>
      </c>
      <c r="V364" s="119">
        <f t="shared" si="527"/>
        <v>4.0000000000000001E-10</v>
      </c>
      <c r="W364" s="119">
        <f t="shared" si="528"/>
        <v>2.0000000000000001E-10</v>
      </c>
      <c r="X364" s="119">
        <f t="shared" si="529"/>
        <v>3E-10</v>
      </c>
      <c r="Y364" s="119">
        <f t="shared" si="530"/>
        <v>0</v>
      </c>
      <c r="Z364" s="119">
        <f t="shared" si="531"/>
        <v>0</v>
      </c>
      <c r="AA364" s="119">
        <f t="shared" si="532"/>
        <v>6E-10</v>
      </c>
      <c r="AB364" s="119">
        <f t="shared" si="533"/>
        <v>6.9999999999999996E-10</v>
      </c>
      <c r="AC364" s="119">
        <f t="shared" si="534"/>
        <v>8.0000000000000003E-10</v>
      </c>
      <c r="AD364" s="119">
        <f t="shared" si="535"/>
        <v>8.9999999999999999E-10</v>
      </c>
      <c r="AE364" s="119">
        <f t="shared" si="536"/>
        <v>9.5000000000000003E-10</v>
      </c>
      <c r="AF364" s="119" t="b">
        <f t="shared" si="537"/>
        <v>0</v>
      </c>
      <c r="AG364" s="119" t="b">
        <f t="shared" si="538"/>
        <v>0</v>
      </c>
      <c r="AH364" s="119" t="b">
        <f t="shared" si="539"/>
        <v>0</v>
      </c>
      <c r="AI364" s="119" t="b">
        <f t="shared" si="540"/>
        <v>0</v>
      </c>
      <c r="AJ364" s="119" t="b">
        <f t="shared" si="541"/>
        <v>0</v>
      </c>
      <c r="AK364" s="119" t="b">
        <f t="shared" si="542"/>
        <v>1</v>
      </c>
      <c r="AL364" s="119" t="b">
        <f t="shared" si="543"/>
        <v>1</v>
      </c>
      <c r="AM364" s="119" t="b">
        <f t="shared" si="544"/>
        <v>1</v>
      </c>
      <c r="AN364" s="119" t="b">
        <f t="shared" si="545"/>
        <v>1</v>
      </c>
      <c r="AO364" s="119" t="b">
        <f t="shared" si="546"/>
        <v>1</v>
      </c>
    </row>
    <row r="365" spans="1:41">
      <c r="A365" s="142" t="str">
        <f>'Reference Score Calculation'!A342</f>
        <v>JS9294</v>
      </c>
      <c r="B365" s="119" t="str">
        <f>'Reference Score Calculation'!A342</f>
        <v>JS9294</v>
      </c>
      <c r="C365" s="132" t="str">
        <f>'Reference Score Calculation'!D342</f>
        <v>運動及電競運動管理榮譽工商管理學士</v>
      </c>
      <c r="D365" s="132"/>
      <c r="E365" s="472" t="str">
        <f>'Reference Score Calculation'!E342</f>
        <v>Best 5</v>
      </c>
      <c r="F365" s="119"/>
      <c r="G365" s="119" t="str">
        <f>入學要求!AB352</f>
        <v>v</v>
      </c>
      <c r="H365" s="119" t="str">
        <f>入學要求!AC352</f>
        <v>E</v>
      </c>
      <c r="I365" s="119" t="str">
        <f>入學要求!AD352</f>
        <v>v</v>
      </c>
      <c r="J365" s="119">
        <f t="shared" si="548"/>
        <v>3.9500000000000006E-9</v>
      </c>
      <c r="K365" s="119">
        <v>1</v>
      </c>
      <c r="L365" s="119">
        <v>1</v>
      </c>
      <c r="M365" s="119">
        <v>1</v>
      </c>
      <c r="N365" s="119">
        <v>0</v>
      </c>
      <c r="O365" s="119">
        <v>1</v>
      </c>
      <c r="P365" s="119">
        <v>1</v>
      </c>
      <c r="Q365" s="119">
        <v>1</v>
      </c>
      <c r="R365" s="119">
        <v>1</v>
      </c>
      <c r="S365" s="119">
        <v>1</v>
      </c>
      <c r="T365" s="119">
        <v>1</v>
      </c>
      <c r="V365" s="119">
        <f t="shared" si="527"/>
        <v>4.0000000000000001E-10</v>
      </c>
      <c r="W365" s="119">
        <f t="shared" si="528"/>
        <v>2.0000000000000001E-10</v>
      </c>
      <c r="X365" s="119">
        <f t="shared" si="529"/>
        <v>3E-10</v>
      </c>
      <c r="Y365" s="119">
        <f t="shared" si="530"/>
        <v>0</v>
      </c>
      <c r="Z365" s="119">
        <f t="shared" si="531"/>
        <v>0</v>
      </c>
      <c r="AA365" s="119">
        <f t="shared" si="532"/>
        <v>6E-10</v>
      </c>
      <c r="AB365" s="119">
        <f t="shared" si="533"/>
        <v>6.9999999999999996E-10</v>
      </c>
      <c r="AC365" s="119">
        <f t="shared" si="534"/>
        <v>8.0000000000000003E-10</v>
      </c>
      <c r="AD365" s="119">
        <f t="shared" si="535"/>
        <v>8.9999999999999999E-10</v>
      </c>
      <c r="AE365" s="119">
        <f t="shared" si="536"/>
        <v>9.5000000000000003E-10</v>
      </c>
      <c r="AF365" s="119" t="b">
        <f t="shared" si="537"/>
        <v>0</v>
      </c>
      <c r="AG365" s="119" t="b">
        <f t="shared" si="538"/>
        <v>0</v>
      </c>
      <c r="AH365" s="119" t="b">
        <f t="shared" si="539"/>
        <v>0</v>
      </c>
      <c r="AI365" s="119" t="b">
        <f t="shared" si="540"/>
        <v>0</v>
      </c>
      <c r="AJ365" s="119" t="b">
        <f t="shared" si="541"/>
        <v>0</v>
      </c>
      <c r="AK365" s="119" t="b">
        <f t="shared" si="542"/>
        <v>1</v>
      </c>
      <c r="AL365" s="119" t="b">
        <f t="shared" si="543"/>
        <v>1</v>
      </c>
      <c r="AM365" s="119" t="b">
        <f t="shared" si="544"/>
        <v>1</v>
      </c>
      <c r="AN365" s="119" t="b">
        <f t="shared" si="545"/>
        <v>1</v>
      </c>
      <c r="AO365" s="119" t="b">
        <f t="shared" si="546"/>
        <v>1</v>
      </c>
    </row>
    <row r="366" spans="1:41">
      <c r="A366" s="142" t="str">
        <f>'Reference Score Calculation'!A343</f>
        <v>JS9520</v>
      </c>
      <c r="B366" s="119" t="str">
        <f>'Reference Score Calculation'!A343</f>
        <v>JS9520</v>
      </c>
      <c r="C366" s="132" t="str">
        <f>'Reference Score Calculation'!D343</f>
        <v>教育榮譽學士（普通話及中文教育）及語言研究榮譽學士（漢語語言學研究）</v>
      </c>
      <c r="D366" s="132"/>
      <c r="E366" s="472" t="str">
        <f>'Reference Score Calculation'!E343</f>
        <v>24年新科目</v>
      </c>
      <c r="F366" s="119"/>
      <c r="G366" s="119" t="str">
        <f>入學要求!AB353</f>
        <v>v</v>
      </c>
      <c r="H366" s="119" t="str">
        <f>入學要求!AC353</f>
        <v>E</v>
      </c>
      <c r="I366" s="119" t="str">
        <f>入學要求!AD353</f>
        <v>v</v>
      </c>
      <c r="J366" s="119">
        <f t="shared" si="548"/>
        <v>3.9500000000000006E-9</v>
      </c>
      <c r="K366" s="119">
        <v>1</v>
      </c>
      <c r="L366" s="119">
        <v>1</v>
      </c>
      <c r="M366" s="119">
        <v>1</v>
      </c>
      <c r="N366" s="119">
        <v>0</v>
      </c>
      <c r="O366" s="119">
        <v>1</v>
      </c>
      <c r="P366" s="119">
        <v>1</v>
      </c>
      <c r="Q366" s="119">
        <v>1</v>
      </c>
      <c r="R366" s="119">
        <v>1</v>
      </c>
      <c r="S366" s="119">
        <v>1</v>
      </c>
      <c r="T366" s="119">
        <v>1</v>
      </c>
      <c r="V366" s="119">
        <f t="shared" si="527"/>
        <v>4.0000000000000001E-10</v>
      </c>
      <c r="W366" s="119">
        <f t="shared" si="528"/>
        <v>2.0000000000000001E-10</v>
      </c>
      <c r="X366" s="119">
        <f t="shared" si="529"/>
        <v>3E-10</v>
      </c>
      <c r="Y366" s="119">
        <f t="shared" si="530"/>
        <v>0</v>
      </c>
      <c r="Z366" s="119">
        <f t="shared" si="531"/>
        <v>0</v>
      </c>
      <c r="AA366" s="119">
        <f t="shared" si="532"/>
        <v>6E-10</v>
      </c>
      <c r="AB366" s="119">
        <f t="shared" si="533"/>
        <v>6.9999999999999996E-10</v>
      </c>
      <c r="AC366" s="119">
        <f t="shared" si="534"/>
        <v>8.0000000000000003E-10</v>
      </c>
      <c r="AD366" s="119">
        <f t="shared" si="535"/>
        <v>8.9999999999999999E-10</v>
      </c>
      <c r="AE366" s="119">
        <f t="shared" si="536"/>
        <v>9.5000000000000003E-10</v>
      </c>
      <c r="AF366" s="119" t="b">
        <f t="shared" si="537"/>
        <v>0</v>
      </c>
      <c r="AG366" s="119" t="b">
        <f t="shared" si="538"/>
        <v>0</v>
      </c>
      <c r="AH366" s="119" t="b">
        <f t="shared" si="539"/>
        <v>0</v>
      </c>
      <c r="AI366" s="119" t="b">
        <f t="shared" si="540"/>
        <v>0</v>
      </c>
      <c r="AJ366" s="119" t="b">
        <f t="shared" si="541"/>
        <v>0</v>
      </c>
      <c r="AK366" s="119" t="b">
        <f t="shared" si="542"/>
        <v>1</v>
      </c>
      <c r="AL366" s="119" t="b">
        <f t="shared" si="543"/>
        <v>1</v>
      </c>
      <c r="AM366" s="119" t="b">
        <f t="shared" si="544"/>
        <v>1</v>
      </c>
      <c r="AN366" s="119" t="b">
        <f t="shared" si="545"/>
        <v>1</v>
      </c>
      <c r="AO366" s="119" t="b">
        <f t="shared" si="546"/>
        <v>1</v>
      </c>
    </row>
    <row r="367" spans="1:41">
      <c r="A367" s="142" t="str">
        <f>'Reference Score Calculation'!A344</f>
        <v>JS9530</v>
      </c>
      <c r="B367" s="119" t="str">
        <f>'Reference Score Calculation'!A344</f>
        <v>JS9530</v>
      </c>
      <c r="C367" s="132" t="str">
        <f>'Reference Score Calculation'!D344</f>
        <v>英語教學榮譽教育學士及英語研究榮譽學士</v>
      </c>
      <c r="D367" s="132"/>
      <c r="E367" s="472" t="str">
        <f>'Reference Score Calculation'!E344</f>
        <v>Best 5</v>
      </c>
      <c r="F367" s="133"/>
      <c r="G367" s="119" t="str">
        <f>入學要求!AB353</f>
        <v>v</v>
      </c>
      <c r="H367" s="119" t="str">
        <f>入學要求!AC353</f>
        <v>E</v>
      </c>
      <c r="I367" s="119" t="str">
        <f>入學要求!AD353</f>
        <v>v</v>
      </c>
      <c r="J367" s="119">
        <f t="shared" si="548"/>
        <v>3.9500000000000006E-9</v>
      </c>
      <c r="K367" s="119">
        <v>1</v>
      </c>
      <c r="L367" s="119">
        <v>2</v>
      </c>
      <c r="M367" s="119">
        <v>1</v>
      </c>
      <c r="N367" s="119">
        <v>0</v>
      </c>
      <c r="O367" s="119">
        <v>1</v>
      </c>
      <c r="P367" s="119">
        <v>1</v>
      </c>
      <c r="Q367" s="119">
        <v>1</v>
      </c>
      <c r="R367" s="119">
        <v>1</v>
      </c>
      <c r="S367" s="119">
        <v>1</v>
      </c>
      <c r="T367" s="119">
        <v>1</v>
      </c>
      <c r="V367" s="119">
        <f t="shared" si="527"/>
        <v>4.0000000000000001E-10</v>
      </c>
      <c r="W367" s="119">
        <f t="shared" si="528"/>
        <v>4.0000000000000001E-10</v>
      </c>
      <c r="X367" s="119">
        <f t="shared" si="529"/>
        <v>3E-10</v>
      </c>
      <c r="Y367" s="119">
        <f t="shared" si="530"/>
        <v>0</v>
      </c>
      <c r="Z367" s="119">
        <f t="shared" si="531"/>
        <v>0</v>
      </c>
      <c r="AA367" s="119">
        <f t="shared" si="532"/>
        <v>6E-10</v>
      </c>
      <c r="AB367" s="119">
        <f t="shared" si="533"/>
        <v>6.9999999999999996E-10</v>
      </c>
      <c r="AC367" s="119">
        <f t="shared" si="534"/>
        <v>8.0000000000000003E-10</v>
      </c>
      <c r="AD367" s="119">
        <f t="shared" si="535"/>
        <v>8.9999999999999999E-10</v>
      </c>
      <c r="AE367" s="119">
        <f t="shared" si="536"/>
        <v>9.5000000000000003E-10</v>
      </c>
      <c r="AF367" s="119" t="b">
        <f t="shared" si="537"/>
        <v>0</v>
      </c>
      <c r="AG367" s="119" t="b">
        <f t="shared" si="538"/>
        <v>0</v>
      </c>
      <c r="AH367" s="119" t="b">
        <f t="shared" si="539"/>
        <v>0</v>
      </c>
      <c r="AI367" s="119" t="b">
        <f t="shared" si="540"/>
        <v>0</v>
      </c>
      <c r="AJ367" s="119" t="b">
        <f t="shared" si="541"/>
        <v>0</v>
      </c>
      <c r="AK367" s="119" t="b">
        <f t="shared" si="542"/>
        <v>1</v>
      </c>
      <c r="AL367" s="119" t="b">
        <f t="shared" si="543"/>
        <v>1</v>
      </c>
      <c r="AM367" s="119" t="b">
        <f t="shared" si="544"/>
        <v>1</v>
      </c>
      <c r="AN367" s="119" t="b">
        <f t="shared" si="545"/>
        <v>1</v>
      </c>
      <c r="AO367" s="119" t="b">
        <f t="shared" si="546"/>
        <v>1</v>
      </c>
    </row>
    <row r="368" spans="1:41">
      <c r="A368" s="142" t="str">
        <f>'Reference Score Calculation'!A345</f>
        <v>JS9540</v>
      </c>
      <c r="B368" s="119" t="str">
        <f>'Reference Score Calculation'!A345</f>
        <v>JS9540</v>
      </c>
      <c r="C368" s="132" t="str">
        <f>'Reference Score Calculation'!D345</f>
        <v>英語研究榮譽學士</v>
      </c>
      <c r="D368" s="132"/>
      <c r="E368" s="472" t="str">
        <f>'Reference Score Calculation'!E345</f>
        <v>Best 5</v>
      </c>
      <c r="F368" s="133"/>
      <c r="G368" s="119" t="str">
        <f>入學要求!AB354</f>
        <v>v</v>
      </c>
      <c r="H368" s="119" t="str">
        <f>入學要求!AC354</f>
        <v>E</v>
      </c>
      <c r="I368" s="119" t="str">
        <f>入學要求!AD354</f>
        <v>v</v>
      </c>
      <c r="J368" s="119">
        <f t="shared" si="548"/>
        <v>3.9500000000000006E-9</v>
      </c>
      <c r="K368" s="119">
        <v>1</v>
      </c>
      <c r="L368" s="119">
        <v>2</v>
      </c>
      <c r="M368" s="119">
        <v>1</v>
      </c>
      <c r="N368" s="119">
        <v>0</v>
      </c>
      <c r="O368" s="119">
        <v>1</v>
      </c>
      <c r="P368" s="119">
        <v>1</v>
      </c>
      <c r="Q368" s="119">
        <v>1</v>
      </c>
      <c r="R368" s="119">
        <v>1</v>
      </c>
      <c r="S368" s="119">
        <v>1</v>
      </c>
      <c r="T368" s="119">
        <v>1</v>
      </c>
      <c r="V368" s="119">
        <f t="shared" si="527"/>
        <v>4.0000000000000001E-10</v>
      </c>
      <c r="W368" s="119">
        <f t="shared" si="528"/>
        <v>4.0000000000000001E-10</v>
      </c>
      <c r="X368" s="119">
        <f t="shared" si="529"/>
        <v>3E-10</v>
      </c>
      <c r="Y368" s="119">
        <f t="shared" si="530"/>
        <v>0</v>
      </c>
      <c r="Z368" s="119">
        <f t="shared" si="531"/>
        <v>0</v>
      </c>
      <c r="AA368" s="119">
        <f t="shared" si="532"/>
        <v>6E-10</v>
      </c>
      <c r="AB368" s="119">
        <f t="shared" si="533"/>
        <v>6.9999999999999996E-10</v>
      </c>
      <c r="AC368" s="119">
        <f t="shared" si="534"/>
        <v>8.0000000000000003E-10</v>
      </c>
      <c r="AD368" s="119">
        <f t="shared" si="535"/>
        <v>8.9999999999999999E-10</v>
      </c>
      <c r="AE368" s="119">
        <f t="shared" si="536"/>
        <v>9.5000000000000003E-10</v>
      </c>
      <c r="AF368" s="119" t="b">
        <f t="shared" si="537"/>
        <v>0</v>
      </c>
      <c r="AG368" s="119" t="b">
        <f t="shared" si="538"/>
        <v>0</v>
      </c>
      <c r="AH368" s="119" t="b">
        <f t="shared" si="539"/>
        <v>0</v>
      </c>
      <c r="AI368" s="119" t="b">
        <f t="shared" si="540"/>
        <v>0</v>
      </c>
      <c r="AJ368" s="119" t="b">
        <f t="shared" si="541"/>
        <v>0</v>
      </c>
      <c r="AK368" s="119" t="b">
        <f t="shared" si="542"/>
        <v>1</v>
      </c>
      <c r="AL368" s="119" t="b">
        <f t="shared" si="543"/>
        <v>1</v>
      </c>
      <c r="AM368" s="119" t="b">
        <f t="shared" si="544"/>
        <v>1</v>
      </c>
      <c r="AN368" s="119" t="b">
        <f t="shared" si="545"/>
        <v>1</v>
      </c>
      <c r="AO368" s="119" t="b">
        <f t="shared" si="546"/>
        <v>1</v>
      </c>
    </row>
    <row r="369" spans="1:41">
      <c r="A369" s="142" t="str">
        <f>'Reference Score Calculation'!A346</f>
        <v>JS9550</v>
      </c>
      <c r="B369" s="119" t="str">
        <f>'Reference Score Calculation'!A346</f>
        <v>JS9550</v>
      </c>
      <c r="C369" s="132" t="str">
        <f>'Reference Score Calculation'!D346</f>
        <v>語言研究榮譽學士（應用中國語言）</v>
      </c>
      <c r="D369" s="132"/>
      <c r="E369" s="472" t="str">
        <f>'Reference Score Calculation'!E346</f>
        <v>Best 5</v>
      </c>
      <c r="F369" s="133"/>
      <c r="G369" s="119" t="str">
        <f>入學要求!AB355</f>
        <v>v</v>
      </c>
      <c r="H369" s="119" t="str">
        <f>入學要求!AC355</f>
        <v>E</v>
      </c>
      <c r="I369" s="119" t="str">
        <f>入學要求!AD355</f>
        <v>v</v>
      </c>
      <c r="J369" s="119">
        <f t="shared" si="548"/>
        <v>4.1499999999999999E-9</v>
      </c>
      <c r="K369" s="119">
        <v>2</v>
      </c>
      <c r="L369" s="119">
        <v>1</v>
      </c>
      <c r="M369" s="119">
        <v>1</v>
      </c>
      <c r="N369" s="119">
        <v>0</v>
      </c>
      <c r="O369" s="119">
        <v>1</v>
      </c>
      <c r="P369" s="119">
        <f t="shared" ref="P369:S370" si="549">IF(P$1="中國文學",2,1)</f>
        <v>1</v>
      </c>
      <c r="Q369" s="119">
        <f t="shared" si="549"/>
        <v>1</v>
      </c>
      <c r="R369" s="119">
        <f t="shared" si="549"/>
        <v>1</v>
      </c>
      <c r="S369" s="119">
        <f t="shared" si="549"/>
        <v>1</v>
      </c>
      <c r="T369" s="119">
        <v>1</v>
      </c>
      <c r="V369" s="119">
        <f t="shared" si="527"/>
        <v>8.0000000000000003E-10</v>
      </c>
      <c r="W369" s="119">
        <f t="shared" si="528"/>
        <v>2.0000000000000001E-10</v>
      </c>
      <c r="X369" s="119">
        <f t="shared" si="529"/>
        <v>3E-10</v>
      </c>
      <c r="Y369" s="119">
        <f t="shared" si="530"/>
        <v>0</v>
      </c>
      <c r="Z369" s="119">
        <f t="shared" si="531"/>
        <v>0</v>
      </c>
      <c r="AA369" s="119">
        <f t="shared" si="532"/>
        <v>6E-10</v>
      </c>
      <c r="AB369" s="119">
        <f t="shared" si="533"/>
        <v>6.9999999999999996E-10</v>
      </c>
      <c r="AC369" s="119">
        <f t="shared" si="534"/>
        <v>8.0000000000000003E-10</v>
      </c>
      <c r="AD369" s="119">
        <f t="shared" si="535"/>
        <v>8.9999999999999999E-10</v>
      </c>
      <c r="AE369" s="119">
        <f t="shared" si="536"/>
        <v>9.5000000000000003E-10</v>
      </c>
      <c r="AF369" s="119" t="b">
        <f t="shared" si="537"/>
        <v>1</v>
      </c>
      <c r="AG369" s="119" t="b">
        <f t="shared" si="538"/>
        <v>0</v>
      </c>
      <c r="AH369" s="119" t="b">
        <f t="shared" si="539"/>
        <v>0</v>
      </c>
      <c r="AI369" s="119" t="b">
        <f t="shared" si="540"/>
        <v>0</v>
      </c>
      <c r="AJ369" s="119" t="b">
        <f t="shared" si="541"/>
        <v>0</v>
      </c>
      <c r="AK369" s="119" t="b">
        <f t="shared" si="542"/>
        <v>0</v>
      </c>
      <c r="AL369" s="119" t="b">
        <f t="shared" si="543"/>
        <v>1</v>
      </c>
      <c r="AM369" s="119" t="b">
        <f t="shared" si="544"/>
        <v>1</v>
      </c>
      <c r="AN369" s="119" t="b">
        <f t="shared" si="545"/>
        <v>1</v>
      </c>
      <c r="AO369" s="119" t="b">
        <f t="shared" si="546"/>
        <v>1</v>
      </c>
    </row>
    <row r="370" spans="1:41">
      <c r="A370" s="142" t="str">
        <f>'Reference Score Calculation'!A347</f>
        <v>JS9560</v>
      </c>
      <c r="B370" s="119" t="str">
        <f>'Reference Score Calculation'!A347</f>
        <v>JS9560</v>
      </c>
      <c r="C370" s="132" t="str">
        <f>'Reference Score Calculation'!D347</f>
        <v>教育榮譽學士（中國語文教學）及語言研究榮譽學士（應用中國語言）</v>
      </c>
      <c r="D370" s="132"/>
      <c r="E370" s="472" t="str">
        <f>'Reference Score Calculation'!E347</f>
        <v>Best 5</v>
      </c>
      <c r="F370" s="133"/>
      <c r="G370" s="119" t="str">
        <f>入學要求!AB356</f>
        <v>v</v>
      </c>
      <c r="H370" s="119" t="str">
        <f>入學要求!AC356</f>
        <v>E</v>
      </c>
      <c r="I370" s="119" t="str">
        <f>入學要求!AD356</f>
        <v>v</v>
      </c>
      <c r="J370" s="119">
        <f t="shared" si="548"/>
        <v>4.1499999999999999E-9</v>
      </c>
      <c r="K370" s="119">
        <v>2</v>
      </c>
      <c r="L370" s="119">
        <v>1</v>
      </c>
      <c r="M370" s="119">
        <v>1</v>
      </c>
      <c r="N370" s="119">
        <v>0</v>
      </c>
      <c r="O370" s="119">
        <v>1</v>
      </c>
      <c r="P370" s="119">
        <f t="shared" si="549"/>
        <v>1</v>
      </c>
      <c r="Q370" s="119">
        <f t="shared" si="549"/>
        <v>1</v>
      </c>
      <c r="R370" s="119">
        <f t="shared" si="549"/>
        <v>1</v>
      </c>
      <c r="S370" s="119">
        <f t="shared" si="549"/>
        <v>1</v>
      </c>
      <c r="T370" s="119">
        <v>1</v>
      </c>
      <c r="V370" s="119">
        <f t="shared" si="527"/>
        <v>8.0000000000000003E-10</v>
      </c>
      <c r="W370" s="119">
        <f t="shared" si="528"/>
        <v>2.0000000000000001E-10</v>
      </c>
      <c r="X370" s="119">
        <f t="shared" si="529"/>
        <v>3E-10</v>
      </c>
      <c r="Y370" s="119">
        <f t="shared" si="530"/>
        <v>0</v>
      </c>
      <c r="Z370" s="119">
        <f t="shared" si="531"/>
        <v>0</v>
      </c>
      <c r="AA370" s="119">
        <f t="shared" si="532"/>
        <v>6E-10</v>
      </c>
      <c r="AB370" s="119">
        <f t="shared" si="533"/>
        <v>6.9999999999999996E-10</v>
      </c>
      <c r="AC370" s="119">
        <f t="shared" si="534"/>
        <v>8.0000000000000003E-10</v>
      </c>
      <c r="AD370" s="119">
        <f t="shared" si="535"/>
        <v>8.9999999999999999E-10</v>
      </c>
      <c r="AE370" s="119">
        <f t="shared" si="536"/>
        <v>9.5000000000000003E-10</v>
      </c>
      <c r="AF370" s="119" t="b">
        <f t="shared" si="537"/>
        <v>1</v>
      </c>
      <c r="AG370" s="119" t="b">
        <f t="shared" si="538"/>
        <v>0</v>
      </c>
      <c r="AH370" s="119" t="b">
        <f t="shared" si="539"/>
        <v>0</v>
      </c>
      <c r="AI370" s="119" t="b">
        <f t="shared" si="540"/>
        <v>0</v>
      </c>
      <c r="AJ370" s="119" t="b">
        <f t="shared" si="541"/>
        <v>0</v>
      </c>
      <c r="AK370" s="119" t="b">
        <f t="shared" si="542"/>
        <v>0</v>
      </c>
      <c r="AL370" s="119" t="b">
        <f t="shared" si="543"/>
        <v>1</v>
      </c>
      <c r="AM370" s="119" t="b">
        <f t="shared" si="544"/>
        <v>1</v>
      </c>
      <c r="AN370" s="119" t="b">
        <f t="shared" si="545"/>
        <v>1</v>
      </c>
      <c r="AO370" s="119" t="b">
        <f t="shared" si="546"/>
        <v>1</v>
      </c>
    </row>
    <row r="371" spans="1:41">
      <c r="A371" s="142" t="str">
        <f>'Reference Score Calculation'!A348</f>
        <v>JS9580</v>
      </c>
      <c r="B371" s="119" t="str">
        <f>'Reference Score Calculation'!A348</f>
        <v>JS9580</v>
      </c>
      <c r="C371" s="132" t="str">
        <f>'Reference Score Calculation'!D348</f>
        <v>教育榮譽學士（幼兒教育：領導及特殊教育需要）</v>
      </c>
      <c r="D371" s="132"/>
      <c r="E371" s="472" t="str">
        <f>'Reference Score Calculation'!E348</f>
        <v>Best 5</v>
      </c>
      <c r="F371" s="133"/>
      <c r="G371" s="119" t="str">
        <f>入學要求!AB357</f>
        <v>v</v>
      </c>
      <c r="H371" s="119" t="str">
        <f>入學要求!AC357</f>
        <v>E</v>
      </c>
      <c r="I371" s="119" t="str">
        <f>入學要求!AD357</f>
        <v>v</v>
      </c>
      <c r="J371" s="119">
        <f t="shared" si="548"/>
        <v>3.9500000000000006E-9</v>
      </c>
      <c r="K371" s="119">
        <v>1</v>
      </c>
      <c r="L371" s="119">
        <v>1</v>
      </c>
      <c r="M371" s="119">
        <v>1</v>
      </c>
      <c r="N371" s="119">
        <v>0</v>
      </c>
      <c r="O371" s="119">
        <v>1</v>
      </c>
      <c r="P371" s="119">
        <v>1</v>
      </c>
      <c r="Q371" s="119">
        <v>1</v>
      </c>
      <c r="R371" s="119">
        <v>1</v>
      </c>
      <c r="S371" s="119">
        <v>1</v>
      </c>
      <c r="T371" s="119">
        <v>1</v>
      </c>
      <c r="V371" s="119">
        <f t="shared" si="527"/>
        <v>4.0000000000000001E-10</v>
      </c>
      <c r="W371" s="119">
        <f t="shared" si="528"/>
        <v>2.0000000000000001E-10</v>
      </c>
      <c r="X371" s="119">
        <f t="shared" si="529"/>
        <v>3E-10</v>
      </c>
      <c r="Y371" s="119">
        <f t="shared" si="530"/>
        <v>0</v>
      </c>
      <c r="Z371" s="119">
        <f t="shared" si="531"/>
        <v>0</v>
      </c>
      <c r="AA371" s="119">
        <f t="shared" si="532"/>
        <v>6E-10</v>
      </c>
      <c r="AB371" s="119">
        <f t="shared" si="533"/>
        <v>6.9999999999999996E-10</v>
      </c>
      <c r="AC371" s="119">
        <f t="shared" si="534"/>
        <v>8.0000000000000003E-10</v>
      </c>
      <c r="AD371" s="119">
        <f t="shared" si="535"/>
        <v>8.9999999999999999E-10</v>
      </c>
      <c r="AE371" s="119">
        <f t="shared" si="536"/>
        <v>9.5000000000000003E-10</v>
      </c>
      <c r="AF371" s="119" t="b">
        <f t="shared" si="537"/>
        <v>0</v>
      </c>
      <c r="AG371" s="119" t="b">
        <f t="shared" si="538"/>
        <v>0</v>
      </c>
      <c r="AH371" s="119" t="b">
        <f t="shared" si="539"/>
        <v>0</v>
      </c>
      <c r="AI371" s="119" t="b">
        <f t="shared" si="540"/>
        <v>0</v>
      </c>
      <c r="AJ371" s="119" t="b">
        <f t="shared" si="541"/>
        <v>0</v>
      </c>
      <c r="AK371" s="119" t="b">
        <f t="shared" si="542"/>
        <v>1</v>
      </c>
      <c r="AL371" s="119" t="b">
        <f t="shared" si="543"/>
        <v>1</v>
      </c>
      <c r="AM371" s="119" t="b">
        <f t="shared" si="544"/>
        <v>1</v>
      </c>
      <c r="AN371" s="119" t="b">
        <f t="shared" si="545"/>
        <v>1</v>
      </c>
      <c r="AO371" s="119" t="b">
        <f t="shared" si="546"/>
        <v>1</v>
      </c>
    </row>
    <row r="372" spans="1:41">
      <c r="A372" s="142" t="str">
        <f>'Reference Score Calculation'!A349</f>
        <v>JS9719</v>
      </c>
      <c r="B372" s="119" t="str">
        <f>'Reference Score Calculation'!A349</f>
        <v>JS9719</v>
      </c>
      <c r="C372" s="132" t="str">
        <f>'Reference Score Calculation'!D349</f>
        <v>網路及電腦安全榮譽理學士</v>
      </c>
      <c r="D372" s="132"/>
      <c r="E372" s="472" t="str">
        <f>'Reference Score Calculation'!E349</f>
        <v>Best 5</v>
      </c>
      <c r="F372" s="119"/>
      <c r="G372" s="119" t="str">
        <f>入學要求!AB358</f>
        <v>v</v>
      </c>
      <c r="H372" s="119" t="str">
        <f>入學要求!AC358</f>
        <v>E</v>
      </c>
      <c r="I372" s="119" t="str">
        <f>入學要求!AD358</f>
        <v>v</v>
      </c>
      <c r="J372" s="119">
        <f t="shared" si="548"/>
        <v>3.9500000000000006E-9</v>
      </c>
      <c r="K372" s="119">
        <v>1</v>
      </c>
      <c r="L372" s="119">
        <v>1</v>
      </c>
      <c r="M372" s="119">
        <v>1</v>
      </c>
      <c r="N372" s="119">
        <v>0</v>
      </c>
      <c r="O372" s="119">
        <v>1</v>
      </c>
      <c r="P372" s="119">
        <v>1</v>
      </c>
      <c r="Q372" s="119">
        <v>1</v>
      </c>
      <c r="R372" s="119">
        <v>1</v>
      </c>
      <c r="S372" s="119">
        <v>1</v>
      </c>
      <c r="T372" s="119">
        <v>1</v>
      </c>
      <c r="V372" s="119">
        <f t="shared" si="527"/>
        <v>4.0000000000000001E-10</v>
      </c>
      <c r="W372" s="119">
        <f t="shared" si="528"/>
        <v>2.0000000000000001E-10</v>
      </c>
      <c r="X372" s="119">
        <f t="shared" si="529"/>
        <v>3E-10</v>
      </c>
      <c r="Y372" s="119">
        <f t="shared" si="530"/>
        <v>0</v>
      </c>
      <c r="Z372" s="119">
        <f t="shared" si="531"/>
        <v>0</v>
      </c>
      <c r="AA372" s="119">
        <f t="shared" si="532"/>
        <v>6E-10</v>
      </c>
      <c r="AB372" s="119">
        <f t="shared" si="533"/>
        <v>6.9999999999999996E-10</v>
      </c>
      <c r="AC372" s="119">
        <f t="shared" si="534"/>
        <v>8.0000000000000003E-10</v>
      </c>
      <c r="AD372" s="119">
        <f t="shared" si="535"/>
        <v>8.9999999999999999E-10</v>
      </c>
      <c r="AE372" s="119">
        <f t="shared" si="536"/>
        <v>9.5000000000000003E-10</v>
      </c>
      <c r="AF372" s="119" t="b">
        <f t="shared" si="537"/>
        <v>0</v>
      </c>
      <c r="AG372" s="119" t="b">
        <f t="shared" si="538"/>
        <v>0</v>
      </c>
      <c r="AH372" s="119" t="b">
        <f t="shared" si="539"/>
        <v>0</v>
      </c>
      <c r="AI372" s="119" t="b">
        <f t="shared" si="540"/>
        <v>0</v>
      </c>
      <c r="AJ372" s="119" t="b">
        <f t="shared" si="541"/>
        <v>0</v>
      </c>
      <c r="AK372" s="119" t="b">
        <f t="shared" si="542"/>
        <v>1</v>
      </c>
      <c r="AL372" s="119" t="b">
        <f t="shared" si="543"/>
        <v>1</v>
      </c>
      <c r="AM372" s="119" t="b">
        <f t="shared" si="544"/>
        <v>1</v>
      </c>
      <c r="AN372" s="119" t="b">
        <f t="shared" si="545"/>
        <v>1</v>
      </c>
      <c r="AO372" s="119" t="b">
        <f t="shared" si="546"/>
        <v>1</v>
      </c>
    </row>
    <row r="373" spans="1:41">
      <c r="A373" s="142" t="str">
        <f>'Reference Score Calculation'!A350</f>
        <v>JS9720</v>
      </c>
      <c r="B373" s="119" t="str">
        <f>'Reference Score Calculation'!A350</f>
        <v>JS9720</v>
      </c>
      <c r="C373" s="132" t="str">
        <f>'Reference Score Calculation'!D350</f>
        <v>電子及電腦工程學榮譽工學士</v>
      </c>
      <c r="D373" s="132"/>
      <c r="E373" s="472" t="str">
        <f>'Reference Score Calculation'!E350</f>
        <v>Best 5</v>
      </c>
      <c r="F373" s="119"/>
      <c r="G373" s="119" t="str">
        <f>入學要求!AB359</f>
        <v>v</v>
      </c>
      <c r="H373" s="119" t="str">
        <f>入學要求!AC359</f>
        <v>E</v>
      </c>
      <c r="I373" s="119" t="str">
        <f>入學要求!AD359</f>
        <v>v</v>
      </c>
      <c r="J373" s="119">
        <f t="shared" si="548"/>
        <v>3.9500000000000006E-9</v>
      </c>
      <c r="K373" s="119">
        <v>1</v>
      </c>
      <c r="L373" s="119">
        <v>1</v>
      </c>
      <c r="M373" s="119">
        <v>1</v>
      </c>
      <c r="N373" s="119">
        <v>0</v>
      </c>
      <c r="O373" s="119">
        <v>1</v>
      </c>
      <c r="P373" s="119">
        <v>1</v>
      </c>
      <c r="Q373" s="119">
        <v>1</v>
      </c>
      <c r="R373" s="119">
        <v>1</v>
      </c>
      <c r="S373" s="119">
        <v>1</v>
      </c>
      <c r="T373" s="119">
        <v>1</v>
      </c>
      <c r="V373" s="119">
        <f t="shared" si="527"/>
        <v>4.0000000000000001E-10</v>
      </c>
      <c r="W373" s="119">
        <f t="shared" si="528"/>
        <v>2.0000000000000001E-10</v>
      </c>
      <c r="X373" s="119">
        <f t="shared" si="529"/>
        <v>3E-10</v>
      </c>
      <c r="Y373" s="119">
        <f t="shared" si="530"/>
        <v>0</v>
      </c>
      <c r="Z373" s="119">
        <f t="shared" si="531"/>
        <v>0</v>
      </c>
      <c r="AA373" s="119">
        <f t="shared" si="532"/>
        <v>6E-10</v>
      </c>
      <c r="AB373" s="119">
        <f t="shared" si="533"/>
        <v>6.9999999999999996E-10</v>
      </c>
      <c r="AC373" s="119">
        <f t="shared" si="534"/>
        <v>8.0000000000000003E-10</v>
      </c>
      <c r="AD373" s="119">
        <f t="shared" si="535"/>
        <v>8.9999999999999999E-10</v>
      </c>
      <c r="AE373" s="119">
        <f t="shared" si="536"/>
        <v>9.5000000000000003E-10</v>
      </c>
      <c r="AF373" s="119" t="b">
        <f t="shared" si="537"/>
        <v>0</v>
      </c>
      <c r="AG373" s="119" t="b">
        <f t="shared" si="538"/>
        <v>0</v>
      </c>
      <c r="AH373" s="119" t="b">
        <f t="shared" si="539"/>
        <v>0</v>
      </c>
      <c r="AI373" s="119" t="b">
        <f t="shared" si="540"/>
        <v>0</v>
      </c>
      <c r="AJ373" s="119" t="b">
        <f t="shared" si="541"/>
        <v>0</v>
      </c>
      <c r="AK373" s="119" t="b">
        <f t="shared" si="542"/>
        <v>1</v>
      </c>
      <c r="AL373" s="119" t="b">
        <f t="shared" si="543"/>
        <v>1</v>
      </c>
      <c r="AM373" s="119" t="b">
        <f t="shared" si="544"/>
        <v>1</v>
      </c>
      <c r="AN373" s="119" t="b">
        <f t="shared" si="545"/>
        <v>1</v>
      </c>
      <c r="AO373" s="119" t="b">
        <f t="shared" si="546"/>
        <v>1</v>
      </c>
    </row>
    <row r="374" spans="1:41">
      <c r="A374" s="142" t="str">
        <f>'Reference Score Calculation'!A351</f>
        <v>JS9731</v>
      </c>
      <c r="B374" s="119" t="str">
        <f>'Reference Score Calculation'!A351</f>
        <v>JS9731</v>
      </c>
      <c r="C374" s="132" t="str">
        <f>'Reference Score Calculation'!D351</f>
        <v>環境科學與綠色管理榮譽理學士</v>
      </c>
      <c r="D374" s="132"/>
      <c r="E374" s="472" t="str">
        <f>'Reference Score Calculation'!E351</f>
        <v>Best 5</v>
      </c>
      <c r="F374" s="119"/>
      <c r="G374" s="119" t="str">
        <f>入學要求!AB360</f>
        <v>v</v>
      </c>
      <c r="H374" s="119" t="str">
        <f>入學要求!AC360</f>
        <v>E</v>
      </c>
      <c r="I374" s="119" t="str">
        <f>入學要求!AD360</f>
        <v>v</v>
      </c>
      <c r="J374" s="119">
        <f t="shared" si="548"/>
        <v>3.9500000000000006E-9</v>
      </c>
      <c r="K374" s="119">
        <v>1</v>
      </c>
      <c r="L374" s="119">
        <v>1</v>
      </c>
      <c r="M374" s="119">
        <v>1</v>
      </c>
      <c r="N374" s="119">
        <v>0</v>
      </c>
      <c r="O374" s="119">
        <v>1</v>
      </c>
      <c r="P374" s="119">
        <v>1</v>
      </c>
      <c r="Q374" s="119">
        <v>1</v>
      </c>
      <c r="R374" s="119">
        <v>1</v>
      </c>
      <c r="S374" s="119">
        <v>1</v>
      </c>
      <c r="T374" s="119">
        <v>1</v>
      </c>
      <c r="V374" s="119">
        <f t="shared" si="527"/>
        <v>4.0000000000000001E-10</v>
      </c>
      <c r="W374" s="119">
        <f t="shared" si="528"/>
        <v>2.0000000000000001E-10</v>
      </c>
      <c r="X374" s="119">
        <f t="shared" si="529"/>
        <v>3E-10</v>
      </c>
      <c r="Y374" s="119">
        <f t="shared" si="530"/>
        <v>0</v>
      </c>
      <c r="Z374" s="119">
        <f t="shared" si="531"/>
        <v>0</v>
      </c>
      <c r="AA374" s="119">
        <f t="shared" si="532"/>
        <v>6E-10</v>
      </c>
      <c r="AB374" s="119">
        <f t="shared" si="533"/>
        <v>6.9999999999999996E-10</v>
      </c>
      <c r="AC374" s="119">
        <f t="shared" si="534"/>
        <v>8.0000000000000003E-10</v>
      </c>
      <c r="AD374" s="119">
        <f t="shared" si="535"/>
        <v>8.9999999999999999E-10</v>
      </c>
      <c r="AE374" s="119">
        <f t="shared" si="536"/>
        <v>9.5000000000000003E-10</v>
      </c>
      <c r="AF374" s="119" t="b">
        <f t="shared" si="537"/>
        <v>0</v>
      </c>
      <c r="AG374" s="119" t="b">
        <f t="shared" si="538"/>
        <v>0</v>
      </c>
      <c r="AH374" s="119" t="b">
        <f t="shared" si="539"/>
        <v>0</v>
      </c>
      <c r="AI374" s="119" t="b">
        <f t="shared" si="540"/>
        <v>0</v>
      </c>
      <c r="AJ374" s="119" t="b">
        <f t="shared" si="541"/>
        <v>0</v>
      </c>
      <c r="AK374" s="119" t="b">
        <f t="shared" si="542"/>
        <v>1</v>
      </c>
      <c r="AL374" s="119" t="b">
        <f t="shared" si="543"/>
        <v>1</v>
      </c>
      <c r="AM374" s="119" t="b">
        <f t="shared" si="544"/>
        <v>1</v>
      </c>
      <c r="AN374" s="119" t="b">
        <f t="shared" si="545"/>
        <v>1</v>
      </c>
      <c r="AO374" s="119" t="b">
        <f t="shared" si="546"/>
        <v>1</v>
      </c>
    </row>
    <row r="375" spans="1:41">
      <c r="A375" s="142" t="str">
        <f>'Reference Score Calculation'!A352</f>
        <v>JS9732</v>
      </c>
      <c r="B375" s="119" t="str">
        <f>'Reference Score Calculation'!A352</f>
        <v>JS9732</v>
      </c>
      <c r="C375" s="132" t="str">
        <f>'Reference Score Calculation'!D352</f>
        <v>生命科學榮譽理學士</v>
      </c>
      <c r="D375" s="132"/>
      <c r="E375" s="472" t="str">
        <f>'Reference Score Calculation'!E352</f>
        <v>Best 5</v>
      </c>
      <c r="F375" s="119"/>
      <c r="G375" s="119" t="str">
        <f>入學要求!AB361</f>
        <v>v</v>
      </c>
      <c r="H375" s="119" t="str">
        <f>入學要求!AC361</f>
        <v>E</v>
      </c>
      <c r="I375" s="119" t="str">
        <f>入學要求!AD361</f>
        <v>v</v>
      </c>
      <c r="J375" s="119">
        <f t="shared" si="548"/>
        <v>3.9500000000000006E-9</v>
      </c>
      <c r="K375" s="119">
        <v>1</v>
      </c>
      <c r="L375" s="119">
        <v>1</v>
      </c>
      <c r="M375" s="119">
        <v>1</v>
      </c>
      <c r="N375" s="119">
        <v>0</v>
      </c>
      <c r="O375" s="119">
        <v>1</v>
      </c>
      <c r="P375" s="119">
        <v>1</v>
      </c>
      <c r="Q375" s="119">
        <v>1</v>
      </c>
      <c r="R375" s="119">
        <v>1</v>
      </c>
      <c r="S375" s="119">
        <v>1</v>
      </c>
      <c r="T375" s="119">
        <v>1</v>
      </c>
      <c r="V375" s="119">
        <f t="shared" si="527"/>
        <v>4.0000000000000001E-10</v>
      </c>
      <c r="W375" s="119">
        <f t="shared" si="528"/>
        <v>2.0000000000000001E-10</v>
      </c>
      <c r="X375" s="119">
        <f t="shared" si="529"/>
        <v>3E-10</v>
      </c>
      <c r="Y375" s="119">
        <f t="shared" si="530"/>
        <v>0</v>
      </c>
      <c r="Z375" s="119">
        <f t="shared" si="531"/>
        <v>0</v>
      </c>
      <c r="AA375" s="119">
        <f t="shared" si="532"/>
        <v>6E-10</v>
      </c>
      <c r="AB375" s="119">
        <f t="shared" si="533"/>
        <v>6.9999999999999996E-10</v>
      </c>
      <c r="AC375" s="119">
        <f t="shared" si="534"/>
        <v>8.0000000000000003E-10</v>
      </c>
      <c r="AD375" s="119">
        <f t="shared" si="535"/>
        <v>8.9999999999999999E-10</v>
      </c>
      <c r="AE375" s="119">
        <f t="shared" si="536"/>
        <v>9.5000000000000003E-10</v>
      </c>
      <c r="AF375" s="119" t="b">
        <f t="shared" si="537"/>
        <v>0</v>
      </c>
      <c r="AG375" s="119" t="b">
        <f t="shared" si="538"/>
        <v>0</v>
      </c>
      <c r="AH375" s="119" t="b">
        <f t="shared" si="539"/>
        <v>0</v>
      </c>
      <c r="AI375" s="119" t="b">
        <f t="shared" si="540"/>
        <v>0</v>
      </c>
      <c r="AJ375" s="119" t="b">
        <f t="shared" si="541"/>
        <v>0</v>
      </c>
      <c r="AK375" s="119" t="b">
        <f t="shared" si="542"/>
        <v>1</v>
      </c>
      <c r="AL375" s="119" t="b">
        <f t="shared" si="543"/>
        <v>1</v>
      </c>
      <c r="AM375" s="119" t="b">
        <f t="shared" si="544"/>
        <v>1</v>
      </c>
      <c r="AN375" s="119" t="b">
        <f t="shared" si="545"/>
        <v>1</v>
      </c>
      <c r="AO375" s="119" t="b">
        <f t="shared" si="546"/>
        <v>1</v>
      </c>
    </row>
    <row r="376" spans="1:41">
      <c r="A376" s="142" t="str">
        <f>'Reference Score Calculation'!A353</f>
        <v>JS9733</v>
      </c>
      <c r="B376" s="119" t="str">
        <f>'Reference Score Calculation'!A353</f>
        <v>JS9733</v>
      </c>
      <c r="C376" s="132" t="str">
        <f>'Reference Score Calculation'!D353</f>
        <v>科學（ＳＴＥＭ）榮譽理學士</v>
      </c>
      <c r="D376" s="132"/>
      <c r="E376" s="472" t="str">
        <f>'Reference Score Calculation'!E353</f>
        <v>Best 5</v>
      </c>
      <c r="F376" s="119"/>
      <c r="G376" s="119" t="str">
        <f>入學要求!AB362</f>
        <v>v</v>
      </c>
      <c r="H376" s="119" t="str">
        <f>入學要求!AC362</f>
        <v>E</v>
      </c>
      <c r="I376" s="119" t="str">
        <f>入學要求!AD362</f>
        <v>v</v>
      </c>
      <c r="J376" s="119">
        <f t="shared" si="548"/>
        <v>3.9500000000000006E-9</v>
      </c>
      <c r="K376" s="119">
        <v>1</v>
      </c>
      <c r="L376" s="119">
        <v>1</v>
      </c>
      <c r="M376" s="119">
        <v>1</v>
      </c>
      <c r="N376" s="119">
        <v>0</v>
      </c>
      <c r="O376" s="119">
        <v>1</v>
      </c>
      <c r="P376" s="119">
        <v>1</v>
      </c>
      <c r="Q376" s="119">
        <v>1</v>
      </c>
      <c r="R376" s="119">
        <v>1</v>
      </c>
      <c r="S376" s="119">
        <v>1</v>
      </c>
      <c r="T376" s="119">
        <v>1</v>
      </c>
      <c r="V376" s="119">
        <f t="shared" si="527"/>
        <v>4.0000000000000001E-10</v>
      </c>
      <c r="W376" s="119">
        <f t="shared" si="528"/>
        <v>2.0000000000000001E-10</v>
      </c>
      <c r="X376" s="119">
        <f t="shared" si="529"/>
        <v>3E-10</v>
      </c>
      <c r="Y376" s="119">
        <f t="shared" si="530"/>
        <v>0</v>
      </c>
      <c r="Z376" s="119">
        <f t="shared" si="531"/>
        <v>0</v>
      </c>
      <c r="AA376" s="119">
        <f t="shared" si="532"/>
        <v>6E-10</v>
      </c>
      <c r="AB376" s="119">
        <f t="shared" si="533"/>
        <v>6.9999999999999996E-10</v>
      </c>
      <c r="AC376" s="119">
        <f t="shared" si="534"/>
        <v>8.0000000000000003E-10</v>
      </c>
      <c r="AD376" s="119">
        <f t="shared" si="535"/>
        <v>8.9999999999999999E-10</v>
      </c>
      <c r="AE376" s="119">
        <f t="shared" si="536"/>
        <v>9.5000000000000003E-10</v>
      </c>
      <c r="AF376" s="119" t="b">
        <f t="shared" si="537"/>
        <v>0</v>
      </c>
      <c r="AG376" s="119" t="b">
        <f t="shared" si="538"/>
        <v>0</v>
      </c>
      <c r="AH376" s="119" t="b">
        <f t="shared" si="539"/>
        <v>0</v>
      </c>
      <c r="AI376" s="119" t="b">
        <f t="shared" si="540"/>
        <v>0</v>
      </c>
      <c r="AJ376" s="119" t="b">
        <f t="shared" si="541"/>
        <v>0</v>
      </c>
      <c r="AK376" s="119" t="b">
        <f t="shared" si="542"/>
        <v>1</v>
      </c>
      <c r="AL376" s="119" t="b">
        <f t="shared" si="543"/>
        <v>1</v>
      </c>
      <c r="AM376" s="119" t="b">
        <f t="shared" si="544"/>
        <v>1</v>
      </c>
      <c r="AN376" s="119" t="b">
        <f t="shared" si="545"/>
        <v>1</v>
      </c>
      <c r="AO376" s="119" t="b">
        <f t="shared" si="546"/>
        <v>1</v>
      </c>
    </row>
    <row r="377" spans="1:41">
      <c r="A377" s="142"/>
      <c r="C377" s="398" t="s">
        <v>3261</v>
      </c>
    </row>
    <row r="378" spans="1:41">
      <c r="A378" s="142"/>
      <c r="B378" s="144" t="s">
        <v>416</v>
      </c>
      <c r="C378" s="463" t="s">
        <v>2783</v>
      </c>
      <c r="D378" s="145"/>
      <c r="E378" s="146"/>
      <c r="F378" s="457"/>
      <c r="G378" s="19" t="s">
        <v>297</v>
      </c>
      <c r="H378" s="19" t="s">
        <v>298</v>
      </c>
      <c r="I378" s="19" t="s">
        <v>299</v>
      </c>
      <c r="J378" s="133" t="s">
        <v>245</v>
      </c>
      <c r="K378" s="133" t="s">
        <v>274</v>
      </c>
      <c r="L378" s="133" t="s">
        <v>275</v>
      </c>
      <c r="M378" s="133" t="s">
        <v>276</v>
      </c>
      <c r="N378" s="133" t="s">
        <v>277</v>
      </c>
      <c r="O378" s="133" t="s">
        <v>278</v>
      </c>
      <c r="P378" s="133" t="s">
        <v>279</v>
      </c>
      <c r="Q378" s="133" t="s">
        <v>280</v>
      </c>
      <c r="R378" s="133" t="s">
        <v>281</v>
      </c>
      <c r="S378" s="133" t="s">
        <v>282</v>
      </c>
      <c r="T378" s="133" t="s">
        <v>319</v>
      </c>
      <c r="U378" s="144"/>
      <c r="V378" s="133" t="str">
        <f t="shared" ref="V378:AE378" si="550">K$1</f>
        <v>中國語文</v>
      </c>
      <c r="W378" s="133" t="str">
        <f t="shared" si="550"/>
        <v>英國語文</v>
      </c>
      <c r="X378" s="133" t="str">
        <f t="shared" si="550"/>
        <v>數學</v>
      </c>
      <c r="Y378" s="133" t="str">
        <f t="shared" si="550"/>
        <v>通識教育</v>
      </c>
      <c r="Z378" s="133" t="str">
        <f t="shared" si="550"/>
        <v>數學延伸</v>
      </c>
      <c r="AA378" s="133" t="str">
        <f t="shared" si="550"/>
        <v>請選擇第一選修科</v>
      </c>
      <c r="AB378" s="133" t="str">
        <f t="shared" si="550"/>
        <v>請選擇第二選修科</v>
      </c>
      <c r="AC378" s="133" t="str">
        <f t="shared" si="550"/>
        <v>請選擇第三選修科</v>
      </c>
      <c r="AD378" s="133" t="str">
        <f t="shared" si="550"/>
        <v>請選擇第四選修科</v>
      </c>
      <c r="AE378" s="133" t="str">
        <f t="shared" si="550"/>
        <v>請選擇語言科目</v>
      </c>
      <c r="AF378" s="133" t="s">
        <v>284</v>
      </c>
      <c r="AG378" s="133" t="s">
        <v>285</v>
      </c>
      <c r="AH378" s="133" t="s">
        <v>286</v>
      </c>
      <c r="AI378" s="133" t="s">
        <v>287</v>
      </c>
      <c r="AJ378" s="133" t="s">
        <v>288</v>
      </c>
      <c r="AK378" s="133" t="s">
        <v>289</v>
      </c>
      <c r="AL378" s="133" t="s">
        <v>290</v>
      </c>
      <c r="AM378" s="133" t="s">
        <v>291</v>
      </c>
      <c r="AN378" s="133" t="s">
        <v>292</v>
      </c>
      <c r="AO378" s="133" t="s">
        <v>320</v>
      </c>
    </row>
    <row r="379" spans="1:41">
      <c r="A379" s="142" t="str">
        <f>'Reference Score Calculation'!A356</f>
        <v>JSSA01</v>
      </c>
      <c r="B379" s="119" t="str">
        <f>'Reference Score Calculation'!A356</f>
        <v>JSSA01</v>
      </c>
      <c r="C379" s="119" t="str">
        <f>'Reference Score Calculation'!D356</f>
        <v>護理學（榮譽）學士</v>
      </c>
      <c r="D379" s="119" t="str">
        <f>'Reference Score Calculation'!E356</f>
        <v>Best 5</v>
      </c>
      <c r="E379" s="119" t="str">
        <f>'Reference Score Calculation'!E356</f>
        <v>Best 5</v>
      </c>
      <c r="F379" s="119"/>
      <c r="G379" s="119" t="str">
        <f>入學要求!AB365</f>
        <v>NO</v>
      </c>
      <c r="H379" s="119" t="str">
        <f>入學要求!AC365</f>
        <v>NO</v>
      </c>
      <c r="I379" s="119" t="str">
        <f>入學要求!AD365</f>
        <v>NO</v>
      </c>
      <c r="J379" s="119">
        <f>SUMIF(AF379:AO379,TRUE,V379:AE379)</f>
        <v>3.3999999999999998E-9</v>
      </c>
      <c r="K379" s="119">
        <v>1</v>
      </c>
      <c r="L379" s="119">
        <v>1</v>
      </c>
      <c r="M379" s="119">
        <v>1</v>
      </c>
      <c r="N379" s="119">
        <v>0</v>
      </c>
      <c r="O379" s="119">
        <v>1</v>
      </c>
      <c r="P379" s="119">
        <v>1</v>
      </c>
      <c r="Q379" s="119">
        <v>1</v>
      </c>
      <c r="R379" s="119">
        <v>1</v>
      </c>
      <c r="S379" s="119">
        <v>1</v>
      </c>
      <c r="T379" s="119">
        <v>1</v>
      </c>
      <c r="V379" s="119">
        <f t="shared" ref="V379:V410" si="551">K$13*K379</f>
        <v>4.0000000000000001E-10</v>
      </c>
      <c r="W379" s="119">
        <f t="shared" ref="W379:W410" si="552">L$13*L379</f>
        <v>2.0000000000000001E-10</v>
      </c>
      <c r="X379" s="119">
        <f t="shared" ref="X379:X410" si="553">M$13*M379</f>
        <v>3E-10</v>
      </c>
      <c r="Y379" s="119">
        <f t="shared" ref="Y379:Y410" si="554">N$13*N379</f>
        <v>0</v>
      </c>
      <c r="Z379" s="119">
        <f t="shared" ref="Z379:Z410" si="555">IF(G379="v",O$13*O379,0)</f>
        <v>0</v>
      </c>
      <c r="AA379" s="119">
        <f t="shared" ref="AA379:AA410" si="556">P$13*P379</f>
        <v>6E-10</v>
      </c>
      <c r="AB379" s="119">
        <f t="shared" ref="AB379:AB410" si="557">Q$13*Q379</f>
        <v>6.9999999999999996E-10</v>
      </c>
      <c r="AC379" s="119">
        <f t="shared" ref="AC379:AC410" si="558">R$13*R379</f>
        <v>8.0000000000000003E-10</v>
      </c>
      <c r="AD379" s="119">
        <f t="shared" ref="AD379:AD410" si="559">S$13*S379</f>
        <v>8.9999999999999999E-10</v>
      </c>
      <c r="AF379" s="142" t="b">
        <f t="shared" ref="AF379:AF410" si="560">IF($E379="4C1X",TRUE,IF($E379="Best 5",IF(V379&gt;LARGE($V379:$AE379,6),TRUE)))</f>
        <v>1</v>
      </c>
      <c r="AG379" s="142" t="b">
        <f t="shared" ref="AG379:AG410" si="561">IF($E379="4C1X",TRUE,IF($E379="Best 5",IF(W379&gt;LARGE($V379:$AE379,6),TRUE)))</f>
        <v>0</v>
      </c>
      <c r="AH379" s="142" t="b">
        <f t="shared" ref="AH379:AH410" si="562">IF($E379="4C1X",TRUE,IF($E379="Best 5",IF(X379&gt;LARGE($V379:$AE379,6),TRUE)))</f>
        <v>0</v>
      </c>
      <c r="AI379" s="142" t="b">
        <f t="shared" ref="AI379:AI410" si="563">IF($E379="4C1X",TRUE,IF($E379="Best 5",IF(Y379&gt;LARGE($V379:$AE379,6),TRUE)))</f>
        <v>0</v>
      </c>
      <c r="AJ379" s="142" t="b">
        <f t="shared" ref="AJ379:AJ410" si="564">IF($E379="4C1X",IF(Z379&gt;LARGE($Z379:$AE379,2),TRUE),IF($E379="Best 5",IF(Z379&gt;LARGE($V379:$AE379,6),TRUE)))</f>
        <v>0</v>
      </c>
      <c r="AK379" s="142" t="b">
        <f t="shared" ref="AK379:AK410" si="565">IF($E379="4C1X",IF(AA379&gt;LARGE($Z379:$AE379,2),TRUE),IF($E379="Best 5",IF(AA379&gt;LARGE($V379:$AE379,6),TRUE)))</f>
        <v>1</v>
      </c>
      <c r="AL379" s="142" t="b">
        <f t="shared" ref="AL379:AL410" si="566">IF($E379="4C1X",IF(AB379&gt;LARGE($Z379:$AE379,2),TRUE),IF($E379="Best 5",IF(AB379&gt;LARGE($V379:$AE379,6),TRUE)))</f>
        <v>1</v>
      </c>
      <c r="AM379" s="142" t="b">
        <f t="shared" ref="AM379:AM410" si="567">IF($E379="4C1X",IF(AC379&gt;LARGE($Z379:$AE379,2),TRUE),IF($E379="Best 5",IF(AC379&gt;LARGE($V379:$AE379,6),TRUE)))</f>
        <v>1</v>
      </c>
      <c r="AN379" s="142" t="b">
        <f t="shared" ref="AN379:AN410" si="568">IF($E379="4C1X",IF(AD379&gt;LARGE($Z379:$AE379,2),TRUE),IF($E379="Best 5",IF(AD379&gt;LARGE($V379:$AE379,6),TRUE)))</f>
        <v>1</v>
      </c>
      <c r="AO379" s="142" t="b">
        <f t="shared" ref="AO379:AO410" si="569">IF($E379="4C1X",IF(AE379&gt;LARGE($Z379:$AE379,2),TRUE),IF($E379="Best 5",IF(AE379&gt;LARGE($V379:$AE379,6),TRUE)))</f>
        <v>0</v>
      </c>
    </row>
    <row r="380" spans="1:41">
      <c r="A380" s="142" t="str">
        <f>'Reference Score Calculation'!A357</f>
        <v>JSSA02</v>
      </c>
      <c r="B380" s="119" t="str">
        <f>'Reference Score Calculation'!A357</f>
        <v>JSSA02</v>
      </c>
      <c r="C380" s="119" t="str">
        <f>'Reference Score Calculation'!D357</f>
        <v>數碼娛樂科技（榮譽）理學士</v>
      </c>
      <c r="D380" s="119" t="str">
        <f>'Reference Score Calculation'!E357</f>
        <v>Best 5</v>
      </c>
      <c r="E380" s="119" t="str">
        <f>'Reference Score Calculation'!E357</f>
        <v>Best 5</v>
      </c>
      <c r="F380" s="119"/>
      <c r="G380" s="119" t="str">
        <f>入學要求!AB366</f>
        <v>v</v>
      </c>
      <c r="H380" s="119" t="str">
        <f>入學要求!AC366</f>
        <v>NO</v>
      </c>
      <c r="I380" s="119" t="str">
        <f>入學要求!AD366</f>
        <v>NO</v>
      </c>
      <c r="J380" s="119">
        <f t="shared" ref="J380:J430" si="570">SUMIF(AF380:AO380,TRUE,V380:AE380)</f>
        <v>3.4999999999999999E-9</v>
      </c>
      <c r="K380" s="119">
        <v>1</v>
      </c>
      <c r="L380" s="119">
        <v>1</v>
      </c>
      <c r="M380" s="119">
        <v>1</v>
      </c>
      <c r="N380" s="119">
        <v>0</v>
      </c>
      <c r="O380" s="119">
        <v>1</v>
      </c>
      <c r="P380" s="119">
        <v>1</v>
      </c>
      <c r="Q380" s="119">
        <v>1</v>
      </c>
      <c r="R380" s="119">
        <v>1</v>
      </c>
      <c r="S380" s="119">
        <v>1</v>
      </c>
      <c r="T380" s="119">
        <v>1</v>
      </c>
      <c r="V380" s="119">
        <f t="shared" si="551"/>
        <v>4.0000000000000001E-10</v>
      </c>
      <c r="W380" s="119">
        <f t="shared" si="552"/>
        <v>2.0000000000000001E-10</v>
      </c>
      <c r="X380" s="119">
        <f t="shared" si="553"/>
        <v>3E-10</v>
      </c>
      <c r="Y380" s="119">
        <f t="shared" si="554"/>
        <v>0</v>
      </c>
      <c r="Z380" s="119">
        <f t="shared" si="555"/>
        <v>5.0000000000000003E-10</v>
      </c>
      <c r="AA380" s="119">
        <f t="shared" si="556"/>
        <v>6E-10</v>
      </c>
      <c r="AB380" s="119">
        <f t="shared" si="557"/>
        <v>6.9999999999999996E-10</v>
      </c>
      <c r="AC380" s="119">
        <f t="shared" si="558"/>
        <v>8.0000000000000003E-10</v>
      </c>
      <c r="AD380" s="119">
        <f t="shared" si="559"/>
        <v>8.9999999999999999E-10</v>
      </c>
      <c r="AF380" s="142" t="b">
        <f t="shared" si="560"/>
        <v>0</v>
      </c>
      <c r="AG380" s="142" t="b">
        <f t="shared" si="561"/>
        <v>0</v>
      </c>
      <c r="AH380" s="142" t="b">
        <f t="shared" si="562"/>
        <v>0</v>
      </c>
      <c r="AI380" s="142" t="b">
        <f t="shared" si="563"/>
        <v>0</v>
      </c>
      <c r="AJ380" s="142" t="b">
        <f t="shared" si="564"/>
        <v>1</v>
      </c>
      <c r="AK380" s="142" t="b">
        <f t="shared" si="565"/>
        <v>1</v>
      </c>
      <c r="AL380" s="142" t="b">
        <f t="shared" si="566"/>
        <v>1</v>
      </c>
      <c r="AM380" s="142" t="b">
        <f t="shared" si="567"/>
        <v>1</v>
      </c>
      <c r="AN380" s="142" t="b">
        <f t="shared" si="568"/>
        <v>1</v>
      </c>
      <c r="AO380" s="142" t="b">
        <f t="shared" si="569"/>
        <v>0</v>
      </c>
    </row>
    <row r="381" spans="1:41">
      <c r="A381" s="142" t="str">
        <f>'Reference Score Calculation'!A358</f>
        <v>JSSA03</v>
      </c>
      <c r="B381" s="119" t="str">
        <f>'Reference Score Calculation'!A358</f>
        <v>JSSA03</v>
      </c>
      <c r="C381" s="119" t="str">
        <f>'Reference Score Calculation'!D358</f>
        <v>物理治療學（榮譽）理學士</v>
      </c>
      <c r="D381" s="119" t="str">
        <f>'Reference Score Calculation'!E358</f>
        <v>Best 5</v>
      </c>
      <c r="E381" s="119" t="str">
        <f>'Reference Score Calculation'!E358</f>
        <v>Best 5</v>
      </c>
      <c r="F381" s="119"/>
      <c r="G381" s="119" t="str">
        <f>入學要求!AB367</f>
        <v>NO</v>
      </c>
      <c r="H381" s="119" t="str">
        <f>入學要求!AC367</f>
        <v>NO</v>
      </c>
      <c r="I381" s="119" t="str">
        <f>入學要求!AD367</f>
        <v>NO</v>
      </c>
      <c r="J381" s="119">
        <f t="shared" si="570"/>
        <v>3.3999999999999998E-9</v>
      </c>
      <c r="K381" s="119">
        <v>1</v>
      </c>
      <c r="L381" s="119">
        <v>1</v>
      </c>
      <c r="M381" s="119">
        <v>1</v>
      </c>
      <c r="N381" s="119">
        <v>0</v>
      </c>
      <c r="O381" s="119">
        <v>1</v>
      </c>
      <c r="P381" s="119">
        <v>1</v>
      </c>
      <c r="Q381" s="119">
        <v>1</v>
      </c>
      <c r="R381" s="119">
        <v>1</v>
      </c>
      <c r="S381" s="119">
        <v>1</v>
      </c>
      <c r="T381" s="119">
        <v>1</v>
      </c>
      <c r="V381" s="119">
        <f t="shared" si="551"/>
        <v>4.0000000000000001E-10</v>
      </c>
      <c r="W381" s="119">
        <f t="shared" si="552"/>
        <v>2.0000000000000001E-10</v>
      </c>
      <c r="X381" s="119">
        <f t="shared" si="553"/>
        <v>3E-10</v>
      </c>
      <c r="Y381" s="119">
        <f t="shared" si="554"/>
        <v>0</v>
      </c>
      <c r="Z381" s="119">
        <f t="shared" si="555"/>
        <v>0</v>
      </c>
      <c r="AA381" s="119">
        <f t="shared" si="556"/>
        <v>6E-10</v>
      </c>
      <c r="AB381" s="119">
        <f t="shared" si="557"/>
        <v>6.9999999999999996E-10</v>
      </c>
      <c r="AC381" s="119">
        <f t="shared" si="558"/>
        <v>8.0000000000000003E-10</v>
      </c>
      <c r="AD381" s="119">
        <f t="shared" si="559"/>
        <v>8.9999999999999999E-10</v>
      </c>
      <c r="AF381" s="142" t="b">
        <f t="shared" si="560"/>
        <v>1</v>
      </c>
      <c r="AG381" s="142" t="b">
        <f t="shared" si="561"/>
        <v>0</v>
      </c>
      <c r="AH381" s="142" t="b">
        <f t="shared" si="562"/>
        <v>0</v>
      </c>
      <c r="AI381" s="142" t="b">
        <f t="shared" si="563"/>
        <v>0</v>
      </c>
      <c r="AJ381" s="142" t="b">
        <f t="shared" si="564"/>
        <v>0</v>
      </c>
      <c r="AK381" s="142" t="b">
        <f t="shared" si="565"/>
        <v>1</v>
      </c>
      <c r="AL381" s="142" t="b">
        <f t="shared" si="566"/>
        <v>1</v>
      </c>
      <c r="AM381" s="142" t="b">
        <f t="shared" si="567"/>
        <v>1</v>
      </c>
      <c r="AN381" s="142" t="b">
        <f t="shared" si="568"/>
        <v>1</v>
      </c>
      <c r="AO381" s="142" t="b">
        <f t="shared" si="569"/>
        <v>0</v>
      </c>
    </row>
    <row r="382" spans="1:41">
      <c r="A382" s="142" t="str">
        <f>'Reference Score Calculation'!A359</f>
        <v>JSSA04</v>
      </c>
      <c r="B382" s="119" t="str">
        <f>'Reference Score Calculation'!A359</f>
        <v>JSSA04</v>
      </c>
      <c r="C382" s="119" t="str">
        <f>'Reference Score Calculation'!D359</f>
        <v>人工智能（榮譽）理學士</v>
      </c>
      <c r="D382" s="119" t="str">
        <f>'Reference Score Calculation'!E359</f>
        <v>Best 5</v>
      </c>
      <c r="E382" s="119" t="str">
        <f>'Reference Score Calculation'!E359</f>
        <v>Best 5</v>
      </c>
      <c r="F382" s="119"/>
      <c r="G382" s="119" t="str">
        <f>入學要求!AB368</f>
        <v>v</v>
      </c>
      <c r="H382" s="119" t="str">
        <f>入學要求!AC368</f>
        <v>NO</v>
      </c>
      <c r="I382" s="119" t="str">
        <f>入學要求!AD368</f>
        <v>NO</v>
      </c>
      <c r="J382" s="119">
        <f t="shared" si="570"/>
        <v>3.4999999999999999E-9</v>
      </c>
      <c r="K382" s="119">
        <v>1</v>
      </c>
      <c r="L382" s="119">
        <v>1</v>
      </c>
      <c r="M382" s="119">
        <v>1</v>
      </c>
      <c r="N382" s="119">
        <v>0</v>
      </c>
      <c r="O382" s="119">
        <v>1</v>
      </c>
      <c r="P382" s="119">
        <v>1</v>
      </c>
      <c r="Q382" s="119">
        <v>1</v>
      </c>
      <c r="R382" s="119">
        <v>1</v>
      </c>
      <c r="S382" s="119">
        <v>1</v>
      </c>
      <c r="T382" s="119">
        <v>1</v>
      </c>
      <c r="V382" s="119">
        <f t="shared" si="551"/>
        <v>4.0000000000000001E-10</v>
      </c>
      <c r="W382" s="119">
        <f t="shared" si="552"/>
        <v>2.0000000000000001E-10</v>
      </c>
      <c r="X382" s="119">
        <f t="shared" si="553"/>
        <v>3E-10</v>
      </c>
      <c r="Y382" s="119">
        <f t="shared" si="554"/>
        <v>0</v>
      </c>
      <c r="Z382" s="119">
        <f t="shared" si="555"/>
        <v>5.0000000000000003E-10</v>
      </c>
      <c r="AA382" s="119">
        <f t="shared" si="556"/>
        <v>6E-10</v>
      </c>
      <c r="AB382" s="119">
        <f t="shared" si="557"/>
        <v>6.9999999999999996E-10</v>
      </c>
      <c r="AC382" s="119">
        <f t="shared" si="558"/>
        <v>8.0000000000000003E-10</v>
      </c>
      <c r="AD382" s="119">
        <f t="shared" si="559"/>
        <v>8.9999999999999999E-10</v>
      </c>
      <c r="AF382" s="142" t="b">
        <f t="shared" si="560"/>
        <v>0</v>
      </c>
      <c r="AG382" s="142" t="b">
        <f t="shared" si="561"/>
        <v>0</v>
      </c>
      <c r="AH382" s="142" t="b">
        <f t="shared" si="562"/>
        <v>0</v>
      </c>
      <c r="AI382" s="142" t="b">
        <f t="shared" si="563"/>
        <v>0</v>
      </c>
      <c r="AJ382" s="142" t="b">
        <f t="shared" si="564"/>
        <v>1</v>
      </c>
      <c r="AK382" s="142" t="b">
        <f t="shared" si="565"/>
        <v>1</v>
      </c>
      <c r="AL382" s="142" t="b">
        <f t="shared" si="566"/>
        <v>1</v>
      </c>
      <c r="AM382" s="142" t="b">
        <f t="shared" si="567"/>
        <v>1</v>
      </c>
      <c r="AN382" s="142" t="b">
        <f t="shared" si="568"/>
        <v>1</v>
      </c>
      <c r="AO382" s="142" t="b">
        <f t="shared" si="569"/>
        <v>0</v>
      </c>
    </row>
    <row r="383" spans="1:41">
      <c r="A383" s="142" t="str">
        <f>'Reference Score Calculation'!A360</f>
        <v>JSSA05</v>
      </c>
      <c r="B383" s="119" t="str">
        <f>'Reference Score Calculation'!A360</f>
        <v>JSSA05</v>
      </c>
      <c r="C383" s="119" t="str">
        <f>'Reference Score Calculation'!D360</f>
        <v>翻譯科技（榮譽）文學士</v>
      </c>
      <c r="D383" s="119" t="str">
        <f>'Reference Score Calculation'!E360</f>
        <v>Best 5</v>
      </c>
      <c r="E383" s="119" t="str">
        <f>'Reference Score Calculation'!E360</f>
        <v>Best 5</v>
      </c>
      <c r="F383" s="143"/>
      <c r="G383" s="119" t="str">
        <f>入學要求!AB369</f>
        <v>v</v>
      </c>
      <c r="H383" s="119" t="str">
        <f>入學要求!AC369</f>
        <v>NO</v>
      </c>
      <c r="I383" s="119" t="str">
        <f>入學要求!AD369</f>
        <v>NO</v>
      </c>
      <c r="J383" s="119">
        <f t="shared" si="570"/>
        <v>3.4999999999999999E-9</v>
      </c>
      <c r="K383" s="119">
        <v>1</v>
      </c>
      <c r="L383" s="119">
        <v>1</v>
      </c>
      <c r="M383" s="119">
        <v>1</v>
      </c>
      <c r="N383" s="119">
        <v>0</v>
      </c>
      <c r="O383" s="119">
        <v>1</v>
      </c>
      <c r="P383" s="119">
        <v>1</v>
      </c>
      <c r="Q383" s="119">
        <v>1</v>
      </c>
      <c r="R383" s="119">
        <v>1</v>
      </c>
      <c r="S383" s="119">
        <v>1</v>
      </c>
      <c r="T383" s="119">
        <v>1</v>
      </c>
      <c r="V383" s="119">
        <f t="shared" si="551"/>
        <v>4.0000000000000001E-10</v>
      </c>
      <c r="W383" s="119">
        <f t="shared" si="552"/>
        <v>2.0000000000000001E-10</v>
      </c>
      <c r="X383" s="119">
        <f t="shared" si="553"/>
        <v>3E-10</v>
      </c>
      <c r="Y383" s="119">
        <f t="shared" si="554"/>
        <v>0</v>
      </c>
      <c r="Z383" s="119">
        <f t="shared" si="555"/>
        <v>5.0000000000000003E-10</v>
      </c>
      <c r="AA383" s="119">
        <f t="shared" si="556"/>
        <v>6E-10</v>
      </c>
      <c r="AB383" s="119">
        <f t="shared" si="557"/>
        <v>6.9999999999999996E-10</v>
      </c>
      <c r="AC383" s="119">
        <f t="shared" si="558"/>
        <v>8.0000000000000003E-10</v>
      </c>
      <c r="AD383" s="119">
        <f t="shared" si="559"/>
        <v>8.9999999999999999E-10</v>
      </c>
      <c r="AF383" s="142" t="b">
        <f t="shared" si="560"/>
        <v>0</v>
      </c>
      <c r="AG383" s="142" t="b">
        <f t="shared" si="561"/>
        <v>0</v>
      </c>
      <c r="AH383" s="142" t="b">
        <f t="shared" si="562"/>
        <v>0</v>
      </c>
      <c r="AI383" s="142" t="b">
        <f t="shared" si="563"/>
        <v>0</v>
      </c>
      <c r="AJ383" s="142" t="b">
        <f t="shared" si="564"/>
        <v>1</v>
      </c>
      <c r="AK383" s="142" t="b">
        <f t="shared" si="565"/>
        <v>1</v>
      </c>
      <c r="AL383" s="142" t="b">
        <f t="shared" si="566"/>
        <v>1</v>
      </c>
      <c r="AM383" s="142" t="b">
        <f t="shared" si="567"/>
        <v>1</v>
      </c>
      <c r="AN383" s="142" t="b">
        <f t="shared" si="568"/>
        <v>1</v>
      </c>
      <c r="AO383" s="142" t="b">
        <f t="shared" si="569"/>
        <v>0</v>
      </c>
    </row>
    <row r="384" spans="1:41">
      <c r="A384" s="142" t="str">
        <f>'Reference Score Calculation'!A361</f>
        <v>JSSA06</v>
      </c>
      <c r="B384" s="119" t="str">
        <f>'Reference Score Calculation'!A361</f>
        <v>JSSA06</v>
      </c>
      <c r="C384" s="119" t="str">
        <f>'Reference Score Calculation'!D361</f>
        <v>工商管理（榮譽）酒店及旅遊管理應用學士</v>
      </c>
      <c r="E384" s="119" t="str">
        <f>'Reference Score Calculation'!E361</f>
        <v>24年新科目</v>
      </c>
      <c r="F384" s="143"/>
      <c r="G384" s="119" t="str">
        <f>入學要求!AB370</f>
        <v>v</v>
      </c>
      <c r="H384" s="119" t="str">
        <f>入學要求!AC370</f>
        <v>NO</v>
      </c>
      <c r="I384" s="119" t="str">
        <f>入學要求!AD370</f>
        <v>NO</v>
      </c>
      <c r="J384" s="119">
        <f t="shared" si="570"/>
        <v>0</v>
      </c>
      <c r="K384" s="119">
        <v>1</v>
      </c>
      <c r="L384" s="119">
        <v>1</v>
      </c>
      <c r="M384" s="119">
        <v>1</v>
      </c>
      <c r="N384" s="119">
        <v>0</v>
      </c>
      <c r="O384" s="119">
        <v>1</v>
      </c>
      <c r="P384" s="119">
        <v>1</v>
      </c>
      <c r="Q384" s="119">
        <v>1</v>
      </c>
      <c r="R384" s="119">
        <v>1</v>
      </c>
      <c r="S384" s="119">
        <v>1</v>
      </c>
      <c r="T384" s="119">
        <v>1</v>
      </c>
      <c r="V384" s="119">
        <f t="shared" si="551"/>
        <v>4.0000000000000001E-10</v>
      </c>
      <c r="W384" s="119">
        <f t="shared" si="552"/>
        <v>2.0000000000000001E-10</v>
      </c>
      <c r="X384" s="119">
        <f t="shared" si="553"/>
        <v>3E-10</v>
      </c>
      <c r="Y384" s="119">
        <f t="shared" si="554"/>
        <v>0</v>
      </c>
      <c r="Z384" s="119">
        <f t="shared" si="555"/>
        <v>5.0000000000000003E-10</v>
      </c>
      <c r="AA384" s="119">
        <f t="shared" si="556"/>
        <v>6E-10</v>
      </c>
      <c r="AB384" s="119">
        <f t="shared" si="557"/>
        <v>6.9999999999999996E-10</v>
      </c>
      <c r="AC384" s="119">
        <f t="shared" si="558"/>
        <v>8.0000000000000003E-10</v>
      </c>
      <c r="AD384" s="119">
        <f t="shared" si="559"/>
        <v>8.9999999999999999E-10</v>
      </c>
      <c r="AF384" s="142" t="b">
        <f t="shared" si="560"/>
        <v>0</v>
      </c>
      <c r="AG384" s="142" t="b">
        <f t="shared" si="561"/>
        <v>0</v>
      </c>
      <c r="AH384" s="142" t="b">
        <f t="shared" si="562"/>
        <v>0</v>
      </c>
      <c r="AI384" s="142" t="b">
        <f t="shared" si="563"/>
        <v>0</v>
      </c>
      <c r="AJ384" s="142" t="b">
        <f t="shared" si="564"/>
        <v>0</v>
      </c>
      <c r="AK384" s="142" t="b">
        <f t="shared" si="565"/>
        <v>0</v>
      </c>
      <c r="AL384" s="142" t="b">
        <f t="shared" si="566"/>
        <v>0</v>
      </c>
      <c r="AM384" s="142" t="b">
        <f t="shared" si="567"/>
        <v>0</v>
      </c>
      <c r="AN384" s="142" t="b">
        <f t="shared" si="568"/>
        <v>0</v>
      </c>
      <c r="AO384" s="142" t="b">
        <f t="shared" si="569"/>
        <v>0</v>
      </c>
    </row>
    <row r="385" spans="1:41">
      <c r="A385" s="142" t="str">
        <f>'Reference Score Calculation'!A362</f>
        <v>JSSC02</v>
      </c>
      <c r="B385" s="119" t="str">
        <f>'Reference Score Calculation'!A362</f>
        <v>JSSC02</v>
      </c>
      <c r="C385" s="119" t="str">
        <f>'Reference Score Calculation'!D362</f>
        <v>建築學（榮譽）理學士</v>
      </c>
      <c r="D385" s="119" t="str">
        <f>'Reference Score Calculation'!E362</f>
        <v>4C1X</v>
      </c>
      <c r="E385" s="119" t="str">
        <f>'Reference Score Calculation'!E362</f>
        <v>4C1X</v>
      </c>
      <c r="F385" s="119"/>
      <c r="G385" s="119" t="str">
        <f>入學要求!AB371</f>
        <v>v</v>
      </c>
      <c r="H385" s="119" t="str">
        <f>入學要求!AC371</f>
        <v>E</v>
      </c>
      <c r="I385" s="119" t="str">
        <f>入學要求!AD371</f>
        <v>NO</v>
      </c>
      <c r="J385" s="119">
        <f t="shared" si="570"/>
        <v>1.85E-9</v>
      </c>
      <c r="K385" s="119">
        <v>1</v>
      </c>
      <c r="L385" s="119">
        <v>1</v>
      </c>
      <c r="M385" s="119">
        <v>1</v>
      </c>
      <c r="N385" s="119">
        <v>1</v>
      </c>
      <c r="O385" s="119">
        <v>1</v>
      </c>
      <c r="P385" s="119">
        <v>1</v>
      </c>
      <c r="Q385" s="119">
        <v>1</v>
      </c>
      <c r="R385" s="119">
        <v>1</v>
      </c>
      <c r="S385" s="119">
        <v>1</v>
      </c>
      <c r="T385" s="119">
        <v>1</v>
      </c>
      <c r="V385" s="119">
        <f t="shared" si="551"/>
        <v>4.0000000000000001E-10</v>
      </c>
      <c r="W385" s="119">
        <f t="shared" si="552"/>
        <v>2.0000000000000001E-10</v>
      </c>
      <c r="X385" s="119">
        <f t="shared" si="553"/>
        <v>3E-10</v>
      </c>
      <c r="Y385" s="119">
        <f t="shared" si="554"/>
        <v>0</v>
      </c>
      <c r="Z385" s="119">
        <f t="shared" si="555"/>
        <v>5.0000000000000003E-10</v>
      </c>
      <c r="AA385" s="119">
        <f t="shared" si="556"/>
        <v>6E-10</v>
      </c>
      <c r="AB385" s="119">
        <f t="shared" si="557"/>
        <v>6.9999999999999996E-10</v>
      </c>
      <c r="AC385" s="119">
        <f t="shared" si="558"/>
        <v>8.0000000000000003E-10</v>
      </c>
      <c r="AD385" s="119">
        <f t="shared" si="559"/>
        <v>8.9999999999999999E-10</v>
      </c>
      <c r="AE385" s="119">
        <f>IF(H385="E",V$11*T385,0)</f>
        <v>9.5000000000000003E-10</v>
      </c>
      <c r="AF385" s="142" t="b">
        <f t="shared" si="560"/>
        <v>1</v>
      </c>
      <c r="AG385" s="142" t="b">
        <f t="shared" si="561"/>
        <v>1</v>
      </c>
      <c r="AH385" s="142" t="b">
        <f t="shared" si="562"/>
        <v>1</v>
      </c>
      <c r="AI385" s="142" t="b">
        <f t="shared" si="563"/>
        <v>1</v>
      </c>
      <c r="AJ385" s="142" t="b">
        <f t="shared" si="564"/>
        <v>0</v>
      </c>
      <c r="AK385" s="142" t="b">
        <f t="shared" si="565"/>
        <v>0</v>
      </c>
      <c r="AL385" s="142" t="b">
        <f t="shared" si="566"/>
        <v>0</v>
      </c>
      <c r="AM385" s="142" t="b">
        <f t="shared" si="567"/>
        <v>0</v>
      </c>
      <c r="AN385" s="142" t="b">
        <f t="shared" si="568"/>
        <v>0</v>
      </c>
      <c r="AO385" s="142" t="b">
        <f t="shared" si="569"/>
        <v>1</v>
      </c>
    </row>
    <row r="386" spans="1:41">
      <c r="A386" s="142" t="str">
        <f>'Reference Score Calculation'!A363</f>
        <v>JSSH01</v>
      </c>
      <c r="B386" s="119" t="str">
        <f>'Reference Score Calculation'!A363</f>
        <v>JSSH01</v>
      </c>
      <c r="C386" s="119" t="str">
        <f>'Reference Score Calculation'!D363</f>
        <v>供應鏈管理工商管理（榮譽）學士</v>
      </c>
      <c r="D386" s="132"/>
      <c r="E386" s="119" t="str">
        <f>'Reference Score Calculation'!E363</f>
        <v>4C1X</v>
      </c>
      <c r="F386" s="119"/>
      <c r="G386" s="119" t="str">
        <f>入學要求!AB372</f>
        <v>NO</v>
      </c>
      <c r="H386" s="119" t="str">
        <f>入學要求!AC372</f>
        <v>NO</v>
      </c>
      <c r="I386" s="119" t="str">
        <f>入學要求!AD372</f>
        <v>NO</v>
      </c>
      <c r="J386" s="119">
        <f t="shared" si="570"/>
        <v>1.8E-9</v>
      </c>
      <c r="K386" s="119">
        <v>1</v>
      </c>
      <c r="L386" s="119">
        <v>1</v>
      </c>
      <c r="M386" s="119">
        <v>1</v>
      </c>
      <c r="N386" s="119">
        <v>1</v>
      </c>
      <c r="O386" s="119">
        <v>1</v>
      </c>
      <c r="P386" s="119">
        <v>1</v>
      </c>
      <c r="Q386" s="119">
        <v>1</v>
      </c>
      <c r="R386" s="119">
        <v>1</v>
      </c>
      <c r="S386" s="119">
        <v>1</v>
      </c>
      <c r="T386" s="119">
        <v>1</v>
      </c>
      <c r="V386" s="119">
        <f t="shared" si="551"/>
        <v>4.0000000000000001E-10</v>
      </c>
      <c r="W386" s="119">
        <f t="shared" si="552"/>
        <v>2.0000000000000001E-10</v>
      </c>
      <c r="X386" s="119">
        <f t="shared" si="553"/>
        <v>3E-10</v>
      </c>
      <c r="Y386" s="119">
        <f t="shared" si="554"/>
        <v>0</v>
      </c>
      <c r="Z386" s="119">
        <f t="shared" si="555"/>
        <v>0</v>
      </c>
      <c r="AA386" s="119">
        <f t="shared" si="556"/>
        <v>6E-10</v>
      </c>
      <c r="AB386" s="119">
        <f t="shared" si="557"/>
        <v>6.9999999999999996E-10</v>
      </c>
      <c r="AC386" s="119">
        <f t="shared" si="558"/>
        <v>8.0000000000000003E-10</v>
      </c>
      <c r="AD386" s="119">
        <f t="shared" si="559"/>
        <v>8.9999999999999999E-10</v>
      </c>
      <c r="AF386" s="142" t="b">
        <f t="shared" si="560"/>
        <v>1</v>
      </c>
      <c r="AG386" s="142" t="b">
        <f t="shared" si="561"/>
        <v>1</v>
      </c>
      <c r="AH386" s="142" t="b">
        <f t="shared" si="562"/>
        <v>1</v>
      </c>
      <c r="AI386" s="142" t="b">
        <f t="shared" si="563"/>
        <v>1</v>
      </c>
      <c r="AJ386" s="142" t="b">
        <f t="shared" si="564"/>
        <v>0</v>
      </c>
      <c r="AK386" s="142" t="b">
        <f t="shared" si="565"/>
        <v>0</v>
      </c>
      <c r="AL386" s="142" t="b">
        <f t="shared" si="566"/>
        <v>0</v>
      </c>
      <c r="AM386" s="142" t="b">
        <f t="shared" si="567"/>
        <v>0</v>
      </c>
      <c r="AN386" s="142" t="b">
        <f t="shared" si="568"/>
        <v>1</v>
      </c>
      <c r="AO386" s="142" t="b">
        <f t="shared" si="569"/>
        <v>0</v>
      </c>
    </row>
    <row r="387" spans="1:41">
      <c r="A387" s="142" t="str">
        <f>'Reference Score Calculation'!A364</f>
        <v>JSSH02</v>
      </c>
      <c r="B387" s="119" t="str">
        <f>'Reference Score Calculation'!A364</f>
        <v>JSSH02</v>
      </c>
      <c r="C387" s="119" t="str">
        <f>'Reference Score Calculation'!D364</f>
        <v>精算及保險 （榮譽）理學士</v>
      </c>
      <c r="D387" s="132"/>
      <c r="E387" s="119" t="str">
        <f>'Reference Score Calculation'!E364</f>
        <v>4C1X</v>
      </c>
      <c r="F387" s="119"/>
      <c r="G387" s="119" t="str">
        <f>入學要求!AB373</f>
        <v>NO</v>
      </c>
      <c r="H387" s="119" t="str">
        <f>入學要求!AC373</f>
        <v>NO</v>
      </c>
      <c r="I387" s="119" t="str">
        <f>入學要求!AD373</f>
        <v>NO</v>
      </c>
      <c r="J387" s="119">
        <f t="shared" si="570"/>
        <v>1.8E-9</v>
      </c>
      <c r="K387" s="119">
        <v>1</v>
      </c>
      <c r="L387" s="119">
        <v>1</v>
      </c>
      <c r="M387" s="119">
        <v>1</v>
      </c>
      <c r="N387" s="119">
        <v>1</v>
      </c>
      <c r="O387" s="119">
        <v>1</v>
      </c>
      <c r="P387" s="119">
        <v>1</v>
      </c>
      <c r="Q387" s="119">
        <v>1</v>
      </c>
      <c r="R387" s="119">
        <v>1</v>
      </c>
      <c r="S387" s="119">
        <v>1</v>
      </c>
      <c r="T387" s="119">
        <v>1</v>
      </c>
      <c r="V387" s="119">
        <f t="shared" si="551"/>
        <v>4.0000000000000001E-10</v>
      </c>
      <c r="W387" s="119">
        <f t="shared" si="552"/>
        <v>2.0000000000000001E-10</v>
      </c>
      <c r="X387" s="119">
        <f t="shared" si="553"/>
        <v>3E-10</v>
      </c>
      <c r="Y387" s="119">
        <f t="shared" si="554"/>
        <v>0</v>
      </c>
      <c r="Z387" s="119">
        <f t="shared" si="555"/>
        <v>0</v>
      </c>
      <c r="AA387" s="119">
        <f t="shared" si="556"/>
        <v>6E-10</v>
      </c>
      <c r="AB387" s="119">
        <f t="shared" si="557"/>
        <v>6.9999999999999996E-10</v>
      </c>
      <c r="AC387" s="119">
        <f t="shared" si="558"/>
        <v>8.0000000000000003E-10</v>
      </c>
      <c r="AD387" s="119">
        <f t="shared" si="559"/>
        <v>8.9999999999999999E-10</v>
      </c>
      <c r="AF387" s="142" t="b">
        <f t="shared" si="560"/>
        <v>1</v>
      </c>
      <c r="AG387" s="142" t="b">
        <f t="shared" si="561"/>
        <v>1</v>
      </c>
      <c r="AH387" s="142" t="b">
        <f t="shared" si="562"/>
        <v>1</v>
      </c>
      <c r="AI387" s="142" t="b">
        <f t="shared" si="563"/>
        <v>1</v>
      </c>
      <c r="AJ387" s="142" t="b">
        <f t="shared" si="564"/>
        <v>0</v>
      </c>
      <c r="AK387" s="142" t="b">
        <f t="shared" si="565"/>
        <v>0</v>
      </c>
      <c r="AL387" s="142" t="b">
        <f t="shared" si="566"/>
        <v>0</v>
      </c>
      <c r="AM387" s="142" t="b">
        <f t="shared" si="567"/>
        <v>0</v>
      </c>
      <c r="AN387" s="142" t="b">
        <f t="shared" si="568"/>
        <v>1</v>
      </c>
      <c r="AO387" s="142" t="b">
        <f t="shared" si="569"/>
        <v>0</v>
      </c>
    </row>
    <row r="388" spans="1:41">
      <c r="A388" s="142" t="str">
        <f>'Reference Score Calculation'!A365</f>
        <v>JSSH03</v>
      </c>
      <c r="B388" s="119" t="str">
        <f>'Reference Score Calculation'!A365</f>
        <v>JSSH03</v>
      </c>
      <c r="C388" s="119" t="str">
        <f>'Reference Score Calculation'!D365</f>
        <v>計算機應用（榮譽）理學士</v>
      </c>
      <c r="D388" s="132"/>
      <c r="E388" s="119" t="str">
        <f>'Reference Score Calculation'!E365</f>
        <v>4C1X</v>
      </c>
      <c r="F388" s="119"/>
      <c r="G388" s="119" t="str">
        <f>入學要求!AB374</f>
        <v>NO</v>
      </c>
      <c r="H388" s="119" t="str">
        <f>入學要求!AC374</f>
        <v>NO</v>
      </c>
      <c r="I388" s="119" t="str">
        <f>入學要求!AD374</f>
        <v>NO</v>
      </c>
      <c r="J388" s="119">
        <f t="shared" si="570"/>
        <v>1.8E-9</v>
      </c>
      <c r="K388" s="119">
        <v>1</v>
      </c>
      <c r="L388" s="119">
        <v>1</v>
      </c>
      <c r="M388" s="119">
        <v>1</v>
      </c>
      <c r="N388" s="119">
        <v>1</v>
      </c>
      <c r="O388" s="119">
        <v>1</v>
      </c>
      <c r="P388" s="119">
        <v>1</v>
      </c>
      <c r="Q388" s="119">
        <v>1</v>
      </c>
      <c r="R388" s="119">
        <v>1</v>
      </c>
      <c r="S388" s="119">
        <v>1</v>
      </c>
      <c r="T388" s="119">
        <v>1</v>
      </c>
      <c r="V388" s="119">
        <f t="shared" si="551"/>
        <v>4.0000000000000001E-10</v>
      </c>
      <c r="W388" s="119">
        <f t="shared" si="552"/>
        <v>2.0000000000000001E-10</v>
      </c>
      <c r="X388" s="119">
        <f t="shared" si="553"/>
        <v>3E-10</v>
      </c>
      <c r="Y388" s="119">
        <f t="shared" si="554"/>
        <v>0</v>
      </c>
      <c r="Z388" s="119">
        <f t="shared" si="555"/>
        <v>0</v>
      </c>
      <c r="AA388" s="119">
        <f t="shared" si="556"/>
        <v>6E-10</v>
      </c>
      <c r="AB388" s="119">
        <f t="shared" si="557"/>
        <v>6.9999999999999996E-10</v>
      </c>
      <c r="AC388" s="119">
        <f t="shared" si="558"/>
        <v>8.0000000000000003E-10</v>
      </c>
      <c r="AD388" s="119">
        <f t="shared" si="559"/>
        <v>8.9999999999999999E-10</v>
      </c>
      <c r="AF388" s="142" t="b">
        <f t="shared" si="560"/>
        <v>1</v>
      </c>
      <c r="AG388" s="142" t="b">
        <f t="shared" si="561"/>
        <v>1</v>
      </c>
      <c r="AH388" s="142" t="b">
        <f t="shared" si="562"/>
        <v>1</v>
      </c>
      <c r="AI388" s="142" t="b">
        <f t="shared" si="563"/>
        <v>1</v>
      </c>
      <c r="AJ388" s="142" t="b">
        <f t="shared" si="564"/>
        <v>0</v>
      </c>
      <c r="AK388" s="142" t="b">
        <f t="shared" si="565"/>
        <v>0</v>
      </c>
      <c r="AL388" s="142" t="b">
        <f t="shared" si="566"/>
        <v>0</v>
      </c>
      <c r="AM388" s="142" t="b">
        <f t="shared" si="567"/>
        <v>0</v>
      </c>
      <c r="AN388" s="142" t="b">
        <f t="shared" si="568"/>
        <v>1</v>
      </c>
      <c r="AO388" s="142" t="b">
        <f t="shared" si="569"/>
        <v>0</v>
      </c>
    </row>
    <row r="389" spans="1:41">
      <c r="A389" s="142" t="str">
        <f>'Reference Score Calculation'!A366</f>
        <v>JSSH04</v>
      </c>
      <c r="B389" s="119" t="str">
        <f>'Reference Score Calculation'!A366</f>
        <v>JSSH04</v>
      </c>
      <c r="C389" s="119" t="str">
        <f>'Reference Score Calculation'!D366</f>
        <v>數據科學及商業智能學（榮譽）理學士</v>
      </c>
      <c r="D389" s="132"/>
      <c r="E389" s="119" t="str">
        <f>'Reference Score Calculation'!E366</f>
        <v>4C1X</v>
      </c>
      <c r="F389" s="119"/>
      <c r="G389" s="119" t="str">
        <f>入學要求!AB375</f>
        <v>NO</v>
      </c>
      <c r="H389" s="119" t="str">
        <f>入學要求!AC375</f>
        <v>NO</v>
      </c>
      <c r="I389" s="119" t="str">
        <f>入學要求!AD375</f>
        <v>NO</v>
      </c>
      <c r="J389" s="119">
        <f t="shared" si="570"/>
        <v>1.8E-9</v>
      </c>
      <c r="K389" s="119">
        <v>1</v>
      </c>
      <c r="L389" s="119">
        <v>1</v>
      </c>
      <c r="M389" s="119">
        <v>1</v>
      </c>
      <c r="N389" s="119">
        <v>1</v>
      </c>
      <c r="O389" s="119">
        <v>1</v>
      </c>
      <c r="P389" s="119">
        <v>1</v>
      </c>
      <c r="Q389" s="119">
        <v>1</v>
      </c>
      <c r="R389" s="119">
        <v>1</v>
      </c>
      <c r="S389" s="119">
        <v>1</v>
      </c>
      <c r="T389" s="119">
        <v>1</v>
      </c>
      <c r="V389" s="119">
        <f t="shared" si="551"/>
        <v>4.0000000000000001E-10</v>
      </c>
      <c r="W389" s="119">
        <f t="shared" si="552"/>
        <v>2.0000000000000001E-10</v>
      </c>
      <c r="X389" s="119">
        <f t="shared" si="553"/>
        <v>3E-10</v>
      </c>
      <c r="Y389" s="119">
        <f t="shared" si="554"/>
        <v>0</v>
      </c>
      <c r="Z389" s="119">
        <f t="shared" si="555"/>
        <v>0</v>
      </c>
      <c r="AA389" s="119">
        <f t="shared" si="556"/>
        <v>6E-10</v>
      </c>
      <c r="AB389" s="119">
        <f t="shared" si="557"/>
        <v>6.9999999999999996E-10</v>
      </c>
      <c r="AC389" s="119">
        <f t="shared" si="558"/>
        <v>8.0000000000000003E-10</v>
      </c>
      <c r="AD389" s="119">
        <f t="shared" si="559"/>
        <v>8.9999999999999999E-10</v>
      </c>
      <c r="AF389" s="142" t="b">
        <f t="shared" si="560"/>
        <v>1</v>
      </c>
      <c r="AG389" s="142" t="b">
        <f t="shared" si="561"/>
        <v>1</v>
      </c>
      <c r="AH389" s="142" t="b">
        <f t="shared" si="562"/>
        <v>1</v>
      </c>
      <c r="AI389" s="142" t="b">
        <f t="shared" si="563"/>
        <v>1</v>
      </c>
      <c r="AJ389" s="142" t="b">
        <f t="shared" si="564"/>
        <v>0</v>
      </c>
      <c r="AK389" s="142" t="b">
        <f t="shared" si="565"/>
        <v>0</v>
      </c>
      <c r="AL389" s="142" t="b">
        <f t="shared" si="566"/>
        <v>0</v>
      </c>
      <c r="AM389" s="142" t="b">
        <f t="shared" si="567"/>
        <v>0</v>
      </c>
      <c r="AN389" s="142" t="b">
        <f t="shared" si="568"/>
        <v>1</v>
      </c>
      <c r="AO389" s="142" t="b">
        <f t="shared" si="569"/>
        <v>0</v>
      </c>
    </row>
    <row r="390" spans="1:41">
      <c r="A390" s="142" t="str">
        <f>'Reference Score Calculation'!A367</f>
        <v>JSSH05</v>
      </c>
      <c r="B390" s="119" t="str">
        <f>'Reference Score Calculation'!A367</f>
        <v>JSSH05</v>
      </c>
      <c r="C390" s="119" t="str">
        <f>'Reference Score Calculation'!D367</f>
        <v>管理科學與資訊管理（榮譽）學士</v>
      </c>
      <c r="D390" s="132"/>
      <c r="E390" s="119" t="str">
        <f>'Reference Score Calculation'!E367</f>
        <v>4C1X</v>
      </c>
      <c r="F390" s="119"/>
      <c r="G390" s="119" t="str">
        <f>入學要求!AB376</f>
        <v>NO</v>
      </c>
      <c r="H390" s="119" t="str">
        <f>入學要求!AC376</f>
        <v>NO</v>
      </c>
      <c r="I390" s="119" t="str">
        <f>入學要求!AD376</f>
        <v>NO</v>
      </c>
      <c r="J390" s="119">
        <f t="shared" si="570"/>
        <v>1.8E-9</v>
      </c>
      <c r="K390" s="119">
        <v>1</v>
      </c>
      <c r="L390" s="119">
        <v>1</v>
      </c>
      <c r="M390" s="119">
        <v>1</v>
      </c>
      <c r="N390" s="119">
        <v>1</v>
      </c>
      <c r="O390" s="119">
        <v>1</v>
      </c>
      <c r="P390" s="119">
        <v>1</v>
      </c>
      <c r="Q390" s="119">
        <v>1</v>
      </c>
      <c r="R390" s="119">
        <v>1</v>
      </c>
      <c r="S390" s="119">
        <v>1</v>
      </c>
      <c r="T390" s="119">
        <v>1</v>
      </c>
      <c r="V390" s="119">
        <f t="shared" si="551"/>
        <v>4.0000000000000001E-10</v>
      </c>
      <c r="W390" s="119">
        <f t="shared" si="552"/>
        <v>2.0000000000000001E-10</v>
      </c>
      <c r="X390" s="119">
        <f t="shared" si="553"/>
        <v>3E-10</v>
      </c>
      <c r="Y390" s="119">
        <f t="shared" si="554"/>
        <v>0</v>
      </c>
      <c r="Z390" s="119">
        <f t="shared" si="555"/>
        <v>0</v>
      </c>
      <c r="AA390" s="119">
        <f t="shared" si="556"/>
        <v>6E-10</v>
      </c>
      <c r="AB390" s="119">
        <f t="shared" si="557"/>
        <v>6.9999999999999996E-10</v>
      </c>
      <c r="AC390" s="119">
        <f t="shared" si="558"/>
        <v>8.0000000000000003E-10</v>
      </c>
      <c r="AD390" s="119">
        <f t="shared" si="559"/>
        <v>8.9999999999999999E-10</v>
      </c>
      <c r="AF390" s="142" t="b">
        <f t="shared" si="560"/>
        <v>1</v>
      </c>
      <c r="AG390" s="142" t="b">
        <f t="shared" si="561"/>
        <v>1</v>
      </c>
      <c r="AH390" s="142" t="b">
        <f t="shared" si="562"/>
        <v>1</v>
      </c>
      <c r="AI390" s="142" t="b">
        <f t="shared" si="563"/>
        <v>1</v>
      </c>
      <c r="AJ390" s="142" t="b">
        <f t="shared" si="564"/>
        <v>0</v>
      </c>
      <c r="AK390" s="142" t="b">
        <f t="shared" si="565"/>
        <v>0</v>
      </c>
      <c r="AL390" s="142" t="b">
        <f t="shared" si="566"/>
        <v>0</v>
      </c>
      <c r="AM390" s="142" t="b">
        <f t="shared" si="567"/>
        <v>0</v>
      </c>
      <c r="AN390" s="142" t="b">
        <f t="shared" si="568"/>
        <v>1</v>
      </c>
      <c r="AO390" s="142" t="b">
        <f t="shared" si="569"/>
        <v>0</v>
      </c>
    </row>
    <row r="391" spans="1:41">
      <c r="A391" s="142" t="str">
        <f>'Reference Score Calculation'!A368</f>
        <v>JSSH06</v>
      </c>
      <c r="B391" s="119" t="str">
        <f>'Reference Score Calculation'!A368</f>
        <v>JSSH06</v>
      </c>
      <c r="C391" s="119" t="str">
        <f>'Reference Score Calculation'!D368</f>
        <v>藝術設計（榮譽）文學士</v>
      </c>
      <c r="D391" s="132"/>
      <c r="E391" s="119" t="str">
        <f>'Reference Score Calculation'!E368</f>
        <v>4C1X</v>
      </c>
      <c r="F391" s="119"/>
      <c r="G391" s="119" t="str">
        <f>入學要求!AB377</f>
        <v>NO</v>
      </c>
      <c r="H391" s="119" t="str">
        <f>入學要求!AC377</f>
        <v>NO</v>
      </c>
      <c r="I391" s="119" t="str">
        <f>入學要求!AD377</f>
        <v>NO</v>
      </c>
      <c r="J391" s="119">
        <f t="shared" si="570"/>
        <v>1.8E-9</v>
      </c>
      <c r="K391" s="119">
        <v>1</v>
      </c>
      <c r="L391" s="119">
        <v>1</v>
      </c>
      <c r="M391" s="119">
        <v>1</v>
      </c>
      <c r="N391" s="119">
        <v>1</v>
      </c>
      <c r="O391" s="119">
        <v>1</v>
      </c>
      <c r="P391" s="119">
        <v>1</v>
      </c>
      <c r="Q391" s="119">
        <v>1</v>
      </c>
      <c r="R391" s="119">
        <v>1</v>
      </c>
      <c r="S391" s="119">
        <v>1</v>
      </c>
      <c r="T391" s="119">
        <v>1</v>
      </c>
      <c r="V391" s="119">
        <f t="shared" si="551"/>
        <v>4.0000000000000001E-10</v>
      </c>
      <c r="W391" s="119">
        <f t="shared" si="552"/>
        <v>2.0000000000000001E-10</v>
      </c>
      <c r="X391" s="119">
        <f t="shared" si="553"/>
        <v>3E-10</v>
      </c>
      <c r="Y391" s="119">
        <f t="shared" si="554"/>
        <v>0</v>
      </c>
      <c r="Z391" s="119">
        <f t="shared" si="555"/>
        <v>0</v>
      </c>
      <c r="AA391" s="119">
        <f t="shared" si="556"/>
        <v>6E-10</v>
      </c>
      <c r="AB391" s="119">
        <f t="shared" si="557"/>
        <v>6.9999999999999996E-10</v>
      </c>
      <c r="AC391" s="119">
        <f t="shared" si="558"/>
        <v>8.0000000000000003E-10</v>
      </c>
      <c r="AD391" s="119">
        <f t="shared" si="559"/>
        <v>8.9999999999999999E-10</v>
      </c>
      <c r="AF391" s="142" t="b">
        <f t="shared" si="560"/>
        <v>1</v>
      </c>
      <c r="AG391" s="142" t="b">
        <f t="shared" si="561"/>
        <v>1</v>
      </c>
      <c r="AH391" s="142" t="b">
        <f t="shared" si="562"/>
        <v>1</v>
      </c>
      <c r="AI391" s="142" t="b">
        <f t="shared" si="563"/>
        <v>1</v>
      </c>
      <c r="AJ391" s="142" t="b">
        <f t="shared" si="564"/>
        <v>0</v>
      </c>
      <c r="AK391" s="142" t="b">
        <f t="shared" si="565"/>
        <v>0</v>
      </c>
      <c r="AL391" s="142" t="b">
        <f t="shared" si="566"/>
        <v>0</v>
      </c>
      <c r="AM391" s="142" t="b">
        <f t="shared" si="567"/>
        <v>0</v>
      </c>
      <c r="AN391" s="142" t="b">
        <f t="shared" si="568"/>
        <v>1</v>
      </c>
      <c r="AO391" s="142" t="b">
        <f t="shared" si="569"/>
        <v>0</v>
      </c>
    </row>
    <row r="392" spans="1:41">
      <c r="A392" s="142" t="str">
        <f>'Reference Score Calculation'!A369</f>
        <v>JSST01</v>
      </c>
      <c r="B392" s="119" t="str">
        <f>'Reference Score Calculation'!A369</f>
        <v>JSST01</v>
      </c>
      <c r="C392" s="119" t="str">
        <f>'Reference Score Calculation'!D369</f>
        <v>護理學（榮譽）健康科學學士</v>
      </c>
      <c r="D392" s="21"/>
      <c r="E392" s="119" t="str">
        <f>'Reference Score Calculation'!E369</f>
        <v>Best 5</v>
      </c>
      <c r="F392" s="119"/>
      <c r="G392" s="119" t="str">
        <f>入學要求!AB378</f>
        <v>NO</v>
      </c>
      <c r="H392" s="119" t="str">
        <f>入學要求!AC378</f>
        <v>NO</v>
      </c>
      <c r="I392" s="119" t="str">
        <f>入學要求!AD378</f>
        <v>NO</v>
      </c>
      <c r="J392" s="119">
        <f t="shared" si="570"/>
        <v>3.3999999999999998E-9</v>
      </c>
      <c r="K392" s="119">
        <v>1</v>
      </c>
      <c r="L392" s="119">
        <v>1</v>
      </c>
      <c r="M392" s="119">
        <v>1</v>
      </c>
      <c r="N392" s="119">
        <v>0</v>
      </c>
      <c r="O392" s="119">
        <v>1</v>
      </c>
      <c r="P392" s="119">
        <v>1</v>
      </c>
      <c r="Q392" s="119">
        <v>1</v>
      </c>
      <c r="R392" s="119">
        <v>1</v>
      </c>
      <c r="S392" s="119">
        <v>1</v>
      </c>
      <c r="T392" s="119">
        <v>1</v>
      </c>
      <c r="V392" s="119">
        <f t="shared" si="551"/>
        <v>4.0000000000000001E-10</v>
      </c>
      <c r="W392" s="119">
        <f t="shared" si="552"/>
        <v>2.0000000000000001E-10</v>
      </c>
      <c r="X392" s="119">
        <f t="shared" si="553"/>
        <v>3E-10</v>
      </c>
      <c r="Y392" s="119">
        <f t="shared" si="554"/>
        <v>0</v>
      </c>
      <c r="Z392" s="119">
        <f t="shared" si="555"/>
        <v>0</v>
      </c>
      <c r="AA392" s="119">
        <f t="shared" si="556"/>
        <v>6E-10</v>
      </c>
      <c r="AB392" s="119">
        <f t="shared" si="557"/>
        <v>6.9999999999999996E-10</v>
      </c>
      <c r="AC392" s="119">
        <f t="shared" si="558"/>
        <v>8.0000000000000003E-10</v>
      </c>
      <c r="AD392" s="119">
        <f t="shared" si="559"/>
        <v>8.9999999999999999E-10</v>
      </c>
      <c r="AF392" s="142" t="b">
        <f t="shared" si="560"/>
        <v>1</v>
      </c>
      <c r="AG392" s="142" t="b">
        <f t="shared" si="561"/>
        <v>0</v>
      </c>
      <c r="AH392" s="142" t="b">
        <f t="shared" si="562"/>
        <v>0</v>
      </c>
      <c r="AI392" s="142" t="b">
        <f t="shared" si="563"/>
        <v>0</v>
      </c>
      <c r="AJ392" s="142" t="b">
        <f t="shared" si="564"/>
        <v>0</v>
      </c>
      <c r="AK392" s="142" t="b">
        <f t="shared" si="565"/>
        <v>1</v>
      </c>
      <c r="AL392" s="142" t="b">
        <f t="shared" si="566"/>
        <v>1</v>
      </c>
      <c r="AM392" s="142" t="b">
        <f t="shared" si="567"/>
        <v>1</v>
      </c>
      <c r="AN392" s="142" t="b">
        <f t="shared" si="568"/>
        <v>1</v>
      </c>
      <c r="AO392" s="142" t="b">
        <f t="shared" si="569"/>
        <v>0</v>
      </c>
    </row>
    <row r="393" spans="1:41">
      <c r="A393" s="142" t="str">
        <f>'Reference Score Calculation'!A370</f>
        <v>JSST02</v>
      </c>
      <c r="B393" s="119" t="str">
        <f>'Reference Score Calculation'!A370</f>
        <v>JSST02</v>
      </c>
      <c r="C393" s="119" t="str">
        <f>'Reference Score Calculation'!D370</f>
        <v>醫療化驗科學（榮譽）理學士</v>
      </c>
      <c r="D393" s="21"/>
      <c r="E393" s="119" t="str">
        <f>'Reference Score Calculation'!E370</f>
        <v>Best 5</v>
      </c>
      <c r="F393" s="119"/>
      <c r="G393" s="119" t="str">
        <f>入學要求!AB379</f>
        <v>NO</v>
      </c>
      <c r="H393" s="119" t="str">
        <f>入學要求!AC379</f>
        <v>NO</v>
      </c>
      <c r="I393" s="119" t="str">
        <f>入學要求!AD379</f>
        <v>NO</v>
      </c>
      <c r="J393" s="119">
        <f t="shared" si="570"/>
        <v>3.3999999999999998E-9</v>
      </c>
      <c r="K393" s="119">
        <v>1</v>
      </c>
      <c r="L393" s="119">
        <v>1</v>
      </c>
      <c r="M393" s="119">
        <v>1</v>
      </c>
      <c r="N393" s="119">
        <v>0</v>
      </c>
      <c r="O393" s="119">
        <v>1</v>
      </c>
      <c r="P393" s="119">
        <v>1</v>
      </c>
      <c r="Q393" s="119">
        <v>1</v>
      </c>
      <c r="R393" s="119">
        <v>1</v>
      </c>
      <c r="S393" s="119">
        <v>1</v>
      </c>
      <c r="T393" s="119">
        <v>1</v>
      </c>
      <c r="V393" s="119">
        <f t="shared" si="551"/>
        <v>4.0000000000000001E-10</v>
      </c>
      <c r="W393" s="119">
        <f t="shared" si="552"/>
        <v>2.0000000000000001E-10</v>
      </c>
      <c r="X393" s="119">
        <f t="shared" si="553"/>
        <v>3E-10</v>
      </c>
      <c r="Y393" s="119">
        <f t="shared" si="554"/>
        <v>0</v>
      </c>
      <c r="Z393" s="119">
        <f t="shared" si="555"/>
        <v>0</v>
      </c>
      <c r="AA393" s="119">
        <f t="shared" si="556"/>
        <v>6E-10</v>
      </c>
      <c r="AB393" s="119">
        <f t="shared" si="557"/>
        <v>6.9999999999999996E-10</v>
      </c>
      <c r="AC393" s="119">
        <f t="shared" si="558"/>
        <v>8.0000000000000003E-10</v>
      </c>
      <c r="AD393" s="119">
        <f t="shared" si="559"/>
        <v>8.9999999999999999E-10</v>
      </c>
      <c r="AF393" s="142" t="b">
        <f t="shared" si="560"/>
        <v>1</v>
      </c>
      <c r="AG393" s="142" t="b">
        <f t="shared" si="561"/>
        <v>0</v>
      </c>
      <c r="AH393" s="142" t="b">
        <f t="shared" si="562"/>
        <v>0</v>
      </c>
      <c r="AI393" s="142" t="b">
        <f t="shared" si="563"/>
        <v>0</v>
      </c>
      <c r="AJ393" s="142" t="b">
        <f t="shared" si="564"/>
        <v>0</v>
      </c>
      <c r="AK393" s="142" t="b">
        <f t="shared" si="565"/>
        <v>1</v>
      </c>
      <c r="AL393" s="142" t="b">
        <f t="shared" si="566"/>
        <v>1</v>
      </c>
      <c r="AM393" s="142" t="b">
        <f t="shared" si="567"/>
        <v>1</v>
      </c>
      <c r="AN393" s="142" t="b">
        <f t="shared" si="568"/>
        <v>1</v>
      </c>
      <c r="AO393" s="142" t="b">
        <f t="shared" si="569"/>
        <v>0</v>
      </c>
    </row>
    <row r="394" spans="1:41">
      <c r="A394" s="142" t="str">
        <f>'Reference Score Calculation'!A371</f>
        <v>JSST03</v>
      </c>
      <c r="B394" s="119" t="str">
        <f>'Reference Score Calculation'!A371</f>
        <v>JSST03</v>
      </c>
      <c r="C394" s="119" t="str">
        <f>'Reference Score Calculation'!D371</f>
        <v>放射治療學（榮譽）理學士</v>
      </c>
      <c r="D394" s="21"/>
      <c r="E394" s="119" t="str">
        <f>'Reference Score Calculation'!E371</f>
        <v>Best 5</v>
      </c>
      <c r="F394" s="119"/>
      <c r="G394" s="119" t="str">
        <f>入學要求!AB380</f>
        <v>NO</v>
      </c>
      <c r="H394" s="119" t="str">
        <f>入學要求!AC380</f>
        <v>NO</v>
      </c>
      <c r="I394" s="119" t="str">
        <f>入學要求!AD380</f>
        <v>NO</v>
      </c>
      <c r="J394" s="119">
        <f t="shared" si="570"/>
        <v>3.3999999999999998E-9</v>
      </c>
      <c r="K394" s="119">
        <v>1</v>
      </c>
      <c r="L394" s="119">
        <v>1</v>
      </c>
      <c r="M394" s="119">
        <v>1</v>
      </c>
      <c r="N394" s="119">
        <v>0</v>
      </c>
      <c r="O394" s="119">
        <v>1</v>
      </c>
      <c r="P394" s="119">
        <v>1</v>
      </c>
      <c r="Q394" s="119">
        <v>1</v>
      </c>
      <c r="R394" s="119">
        <v>1</v>
      </c>
      <c r="S394" s="119">
        <v>1</v>
      </c>
      <c r="T394" s="119">
        <v>1</v>
      </c>
      <c r="V394" s="119">
        <f t="shared" si="551"/>
        <v>4.0000000000000001E-10</v>
      </c>
      <c r="W394" s="119">
        <f t="shared" si="552"/>
        <v>2.0000000000000001E-10</v>
      </c>
      <c r="X394" s="119">
        <f t="shared" si="553"/>
        <v>3E-10</v>
      </c>
      <c r="Y394" s="119">
        <f t="shared" si="554"/>
        <v>0</v>
      </c>
      <c r="Z394" s="119">
        <f t="shared" si="555"/>
        <v>0</v>
      </c>
      <c r="AA394" s="119">
        <f t="shared" si="556"/>
        <v>6E-10</v>
      </c>
      <c r="AB394" s="119">
        <f t="shared" si="557"/>
        <v>6.9999999999999996E-10</v>
      </c>
      <c r="AC394" s="119">
        <f t="shared" si="558"/>
        <v>8.0000000000000003E-10</v>
      </c>
      <c r="AD394" s="119">
        <f t="shared" si="559"/>
        <v>8.9999999999999999E-10</v>
      </c>
      <c r="AF394" s="142" t="b">
        <f t="shared" si="560"/>
        <v>1</v>
      </c>
      <c r="AG394" s="142" t="b">
        <f t="shared" si="561"/>
        <v>0</v>
      </c>
      <c r="AH394" s="142" t="b">
        <f t="shared" si="562"/>
        <v>0</v>
      </c>
      <c r="AI394" s="142" t="b">
        <f t="shared" si="563"/>
        <v>0</v>
      </c>
      <c r="AJ394" s="142" t="b">
        <f t="shared" si="564"/>
        <v>0</v>
      </c>
      <c r="AK394" s="142" t="b">
        <f t="shared" si="565"/>
        <v>1</v>
      </c>
      <c r="AL394" s="142" t="b">
        <f t="shared" si="566"/>
        <v>1</v>
      </c>
      <c r="AM394" s="142" t="b">
        <f t="shared" si="567"/>
        <v>1</v>
      </c>
      <c r="AN394" s="142" t="b">
        <f t="shared" si="568"/>
        <v>1</v>
      </c>
      <c r="AO394" s="142" t="b">
        <f t="shared" si="569"/>
        <v>0</v>
      </c>
    </row>
    <row r="395" spans="1:41">
      <c r="A395" s="142" t="str">
        <f>'Reference Score Calculation'!A372</f>
        <v>JSST04</v>
      </c>
      <c r="B395" s="119" t="str">
        <f>'Reference Score Calculation'!A372</f>
        <v>JSST04</v>
      </c>
      <c r="C395" s="119" t="str">
        <f>'Reference Score Calculation'!D372</f>
        <v>職業治療學（榮譽）理學士</v>
      </c>
      <c r="D395" s="21"/>
      <c r="E395" s="119" t="str">
        <f>'Reference Score Calculation'!E372</f>
        <v>Best 5</v>
      </c>
      <c r="F395" s="119"/>
      <c r="G395" s="119" t="str">
        <f>入學要求!AB381</f>
        <v>NO</v>
      </c>
      <c r="H395" s="119" t="str">
        <f>入學要求!AC381</f>
        <v>NO</v>
      </c>
      <c r="I395" s="119" t="str">
        <f>入學要求!AD381</f>
        <v>NO</v>
      </c>
      <c r="J395" s="119">
        <f t="shared" si="570"/>
        <v>3.3999999999999998E-9</v>
      </c>
      <c r="K395" s="119">
        <v>1</v>
      </c>
      <c r="L395" s="119">
        <v>1</v>
      </c>
      <c r="M395" s="119">
        <v>1</v>
      </c>
      <c r="N395" s="119">
        <v>0</v>
      </c>
      <c r="O395" s="119">
        <v>1</v>
      </c>
      <c r="P395" s="119">
        <v>1</v>
      </c>
      <c r="Q395" s="119">
        <v>1</v>
      </c>
      <c r="R395" s="119">
        <v>1</v>
      </c>
      <c r="S395" s="119">
        <v>1</v>
      </c>
      <c r="T395" s="119">
        <v>1</v>
      </c>
      <c r="V395" s="119">
        <f t="shared" si="551"/>
        <v>4.0000000000000001E-10</v>
      </c>
      <c r="W395" s="119">
        <f t="shared" si="552"/>
        <v>2.0000000000000001E-10</v>
      </c>
      <c r="X395" s="119">
        <f t="shared" si="553"/>
        <v>3E-10</v>
      </c>
      <c r="Y395" s="119">
        <f t="shared" si="554"/>
        <v>0</v>
      </c>
      <c r="Z395" s="119">
        <f t="shared" si="555"/>
        <v>0</v>
      </c>
      <c r="AA395" s="119">
        <f t="shared" si="556"/>
        <v>6E-10</v>
      </c>
      <c r="AB395" s="119">
        <f t="shared" si="557"/>
        <v>6.9999999999999996E-10</v>
      </c>
      <c r="AC395" s="119">
        <f t="shared" si="558"/>
        <v>8.0000000000000003E-10</v>
      </c>
      <c r="AD395" s="119">
        <f t="shared" si="559"/>
        <v>8.9999999999999999E-10</v>
      </c>
      <c r="AF395" s="142" t="b">
        <f t="shared" si="560"/>
        <v>1</v>
      </c>
      <c r="AG395" s="142" t="b">
        <f t="shared" si="561"/>
        <v>0</v>
      </c>
      <c r="AH395" s="142" t="b">
        <f t="shared" si="562"/>
        <v>0</v>
      </c>
      <c r="AI395" s="142" t="b">
        <f t="shared" si="563"/>
        <v>0</v>
      </c>
      <c r="AJ395" s="142" t="b">
        <f t="shared" si="564"/>
        <v>0</v>
      </c>
      <c r="AK395" s="142" t="b">
        <f t="shared" si="565"/>
        <v>1</v>
      </c>
      <c r="AL395" s="142" t="b">
        <f t="shared" si="566"/>
        <v>1</v>
      </c>
      <c r="AM395" s="142" t="b">
        <f t="shared" si="567"/>
        <v>1</v>
      </c>
      <c r="AN395" s="142" t="b">
        <f t="shared" si="568"/>
        <v>1</v>
      </c>
      <c r="AO395" s="142" t="b">
        <f t="shared" si="569"/>
        <v>0</v>
      </c>
    </row>
    <row r="396" spans="1:41">
      <c r="A396" s="142" t="str">
        <f>'Reference Score Calculation'!A373</f>
        <v>JSST05</v>
      </c>
      <c r="B396" s="119" t="str">
        <f>'Reference Score Calculation'!A373</f>
        <v>JSST05</v>
      </c>
      <c r="C396" s="119" t="str">
        <f>'Reference Score Calculation'!D373</f>
        <v>物理治療學（榮譽）理學士</v>
      </c>
      <c r="D396" s="21"/>
      <c r="E396" s="119" t="str">
        <f>'Reference Score Calculation'!E373</f>
        <v>Best 5</v>
      </c>
      <c r="F396" s="119"/>
      <c r="G396" s="119" t="str">
        <f>入學要求!AB382</f>
        <v>NO</v>
      </c>
      <c r="H396" s="119" t="str">
        <f>入學要求!AC382</f>
        <v>NO</v>
      </c>
      <c r="I396" s="119" t="str">
        <f>入學要求!AD382</f>
        <v>NO</v>
      </c>
      <c r="J396" s="119">
        <f t="shared" si="570"/>
        <v>3.3999999999999998E-9</v>
      </c>
      <c r="K396" s="119">
        <v>1</v>
      </c>
      <c r="L396" s="119">
        <v>1</v>
      </c>
      <c r="M396" s="119">
        <v>1</v>
      </c>
      <c r="N396" s="119">
        <v>0</v>
      </c>
      <c r="O396" s="119">
        <v>1</v>
      </c>
      <c r="P396" s="119">
        <v>1</v>
      </c>
      <c r="Q396" s="119">
        <v>1</v>
      </c>
      <c r="R396" s="119">
        <v>1</v>
      </c>
      <c r="S396" s="119">
        <v>1</v>
      </c>
      <c r="T396" s="119">
        <v>1</v>
      </c>
      <c r="V396" s="119">
        <f t="shared" si="551"/>
        <v>4.0000000000000001E-10</v>
      </c>
      <c r="W396" s="119">
        <f t="shared" si="552"/>
        <v>2.0000000000000001E-10</v>
      </c>
      <c r="X396" s="119">
        <f t="shared" si="553"/>
        <v>3E-10</v>
      </c>
      <c r="Y396" s="119">
        <f t="shared" si="554"/>
        <v>0</v>
      </c>
      <c r="Z396" s="119">
        <f t="shared" si="555"/>
        <v>0</v>
      </c>
      <c r="AA396" s="119">
        <f t="shared" si="556"/>
        <v>6E-10</v>
      </c>
      <c r="AB396" s="119">
        <f t="shared" si="557"/>
        <v>6.9999999999999996E-10</v>
      </c>
      <c r="AC396" s="119">
        <f t="shared" si="558"/>
        <v>8.0000000000000003E-10</v>
      </c>
      <c r="AD396" s="119">
        <f t="shared" si="559"/>
        <v>8.9999999999999999E-10</v>
      </c>
      <c r="AF396" s="142" t="b">
        <f t="shared" si="560"/>
        <v>1</v>
      </c>
      <c r="AG396" s="142" t="b">
        <f t="shared" si="561"/>
        <v>0</v>
      </c>
      <c r="AH396" s="142" t="b">
        <f t="shared" si="562"/>
        <v>0</v>
      </c>
      <c r="AI396" s="142" t="b">
        <f t="shared" si="563"/>
        <v>0</v>
      </c>
      <c r="AJ396" s="142" t="b">
        <f t="shared" si="564"/>
        <v>0</v>
      </c>
      <c r="AK396" s="142" t="b">
        <f t="shared" si="565"/>
        <v>1</v>
      </c>
      <c r="AL396" s="142" t="b">
        <f t="shared" si="566"/>
        <v>1</v>
      </c>
      <c r="AM396" s="142" t="b">
        <f t="shared" si="567"/>
        <v>1</v>
      </c>
      <c r="AN396" s="142" t="b">
        <f t="shared" si="568"/>
        <v>1</v>
      </c>
      <c r="AO396" s="142" t="b">
        <f t="shared" si="569"/>
        <v>0</v>
      </c>
    </row>
    <row r="397" spans="1:41">
      <c r="A397" s="142" t="str">
        <f>'Reference Score Calculation'!A374</f>
        <v>JSST06</v>
      </c>
      <c r="B397" s="119" t="str">
        <f>'Reference Score Calculation'!A374</f>
        <v>JSST06</v>
      </c>
      <c r="C397" s="119" t="str">
        <f>'Reference Score Calculation'!D374</f>
        <v>應用老年學（榮譽）理學士</v>
      </c>
      <c r="D397" s="132"/>
      <c r="E397" s="119" t="str">
        <f>'Reference Score Calculation'!E374</f>
        <v>Best 5</v>
      </c>
      <c r="F397" s="119"/>
      <c r="G397" s="119" t="str">
        <f>入學要求!AB383</f>
        <v>NO</v>
      </c>
      <c r="H397" s="119" t="str">
        <f>入學要求!AC383</f>
        <v>NO</v>
      </c>
      <c r="I397" s="119" t="str">
        <f>入學要求!AD383</f>
        <v>NO</v>
      </c>
      <c r="J397" s="119">
        <f t="shared" si="570"/>
        <v>3.3999999999999998E-9</v>
      </c>
      <c r="K397" s="119">
        <v>1</v>
      </c>
      <c r="L397" s="119">
        <v>1</v>
      </c>
      <c r="M397" s="119">
        <v>1</v>
      </c>
      <c r="N397" s="119">
        <v>0</v>
      </c>
      <c r="O397" s="119">
        <v>1</v>
      </c>
      <c r="P397" s="119">
        <v>1</v>
      </c>
      <c r="Q397" s="119">
        <v>1</v>
      </c>
      <c r="R397" s="119">
        <v>1</v>
      </c>
      <c r="S397" s="119">
        <v>1</v>
      </c>
      <c r="T397" s="119">
        <v>1</v>
      </c>
      <c r="V397" s="119">
        <f t="shared" si="551"/>
        <v>4.0000000000000001E-10</v>
      </c>
      <c r="W397" s="119">
        <f t="shared" si="552"/>
        <v>2.0000000000000001E-10</v>
      </c>
      <c r="X397" s="119">
        <f t="shared" si="553"/>
        <v>3E-10</v>
      </c>
      <c r="Y397" s="119">
        <f t="shared" si="554"/>
        <v>0</v>
      </c>
      <c r="Z397" s="119">
        <f t="shared" si="555"/>
        <v>0</v>
      </c>
      <c r="AA397" s="119">
        <f t="shared" si="556"/>
        <v>6E-10</v>
      </c>
      <c r="AB397" s="119">
        <f t="shared" si="557"/>
        <v>6.9999999999999996E-10</v>
      </c>
      <c r="AC397" s="119">
        <f t="shared" si="558"/>
        <v>8.0000000000000003E-10</v>
      </c>
      <c r="AD397" s="119">
        <f t="shared" si="559"/>
        <v>8.9999999999999999E-10</v>
      </c>
      <c r="AF397" s="142" t="b">
        <f t="shared" si="560"/>
        <v>1</v>
      </c>
      <c r="AG397" s="142" t="b">
        <f t="shared" si="561"/>
        <v>0</v>
      </c>
      <c r="AH397" s="142" t="b">
        <f t="shared" si="562"/>
        <v>0</v>
      </c>
      <c r="AI397" s="142" t="b">
        <f t="shared" si="563"/>
        <v>0</v>
      </c>
      <c r="AJ397" s="142" t="b">
        <f t="shared" si="564"/>
        <v>0</v>
      </c>
      <c r="AK397" s="142" t="b">
        <f t="shared" si="565"/>
        <v>1</v>
      </c>
      <c r="AL397" s="142" t="b">
        <f t="shared" si="566"/>
        <v>1</v>
      </c>
      <c r="AM397" s="142" t="b">
        <f t="shared" si="567"/>
        <v>1</v>
      </c>
      <c r="AN397" s="142" t="b">
        <f t="shared" si="568"/>
        <v>1</v>
      </c>
      <c r="AO397" s="142" t="b">
        <f t="shared" si="569"/>
        <v>0</v>
      </c>
    </row>
    <row r="398" spans="1:41">
      <c r="A398" s="142" t="str">
        <f>'Reference Score Calculation'!A375</f>
        <v>JSST07</v>
      </c>
      <c r="B398" s="119" t="str">
        <f>'Reference Score Calculation'!A375</f>
        <v>JSST07</v>
      </c>
      <c r="C398" s="119" t="str">
        <f>'Reference Score Calculation'!D375</f>
        <v>醫療資訊及服務管理（榮譽）學士</v>
      </c>
      <c r="D398" s="132"/>
      <c r="E398" s="119" t="str">
        <f>'Reference Score Calculation'!E375</f>
        <v>24年新科目</v>
      </c>
      <c r="F398" s="119"/>
      <c r="G398" s="119" t="str">
        <f>入學要求!AB384</f>
        <v>NO</v>
      </c>
      <c r="H398" s="119" t="str">
        <f>入學要求!AC384</f>
        <v>NO</v>
      </c>
      <c r="I398" s="119" t="str">
        <f>入學要求!AD384</f>
        <v>NO</v>
      </c>
      <c r="J398" s="119">
        <f t="shared" si="570"/>
        <v>0</v>
      </c>
      <c r="K398" s="119">
        <v>1</v>
      </c>
      <c r="L398" s="119">
        <v>1</v>
      </c>
      <c r="M398" s="119">
        <v>1</v>
      </c>
      <c r="N398" s="119">
        <v>0</v>
      </c>
      <c r="O398" s="119">
        <v>1</v>
      </c>
      <c r="P398" s="119">
        <v>1</v>
      </c>
      <c r="Q398" s="119">
        <v>1</v>
      </c>
      <c r="R398" s="119">
        <v>1</v>
      </c>
      <c r="S398" s="119">
        <v>1</v>
      </c>
      <c r="T398" s="119">
        <v>1</v>
      </c>
      <c r="V398" s="119">
        <f t="shared" si="551"/>
        <v>4.0000000000000001E-10</v>
      </c>
      <c r="W398" s="119">
        <f t="shared" si="552"/>
        <v>2.0000000000000001E-10</v>
      </c>
      <c r="X398" s="119">
        <f t="shared" si="553"/>
        <v>3E-10</v>
      </c>
      <c r="Y398" s="119">
        <f t="shared" si="554"/>
        <v>0</v>
      </c>
      <c r="Z398" s="119">
        <f t="shared" si="555"/>
        <v>0</v>
      </c>
      <c r="AA398" s="119">
        <f t="shared" si="556"/>
        <v>6E-10</v>
      </c>
      <c r="AB398" s="119">
        <f t="shared" si="557"/>
        <v>6.9999999999999996E-10</v>
      </c>
      <c r="AC398" s="119">
        <f t="shared" si="558"/>
        <v>8.0000000000000003E-10</v>
      </c>
      <c r="AD398" s="119">
        <f t="shared" si="559"/>
        <v>8.9999999999999999E-10</v>
      </c>
      <c r="AF398" s="142" t="b">
        <f t="shared" si="560"/>
        <v>0</v>
      </c>
      <c r="AG398" s="142" t="b">
        <f t="shared" si="561"/>
        <v>0</v>
      </c>
      <c r="AH398" s="142" t="b">
        <f t="shared" si="562"/>
        <v>0</v>
      </c>
      <c r="AI398" s="142" t="b">
        <f t="shared" si="563"/>
        <v>0</v>
      </c>
      <c r="AJ398" s="142" t="b">
        <f t="shared" si="564"/>
        <v>0</v>
      </c>
      <c r="AK398" s="142" t="b">
        <f t="shared" si="565"/>
        <v>0</v>
      </c>
      <c r="AL398" s="142" t="b">
        <f t="shared" si="566"/>
        <v>0</v>
      </c>
      <c r="AM398" s="142" t="b">
        <f t="shared" si="567"/>
        <v>0</v>
      </c>
      <c r="AN398" s="142" t="b">
        <f t="shared" si="568"/>
        <v>0</v>
      </c>
      <c r="AO398" s="142" t="b">
        <f t="shared" si="569"/>
        <v>0</v>
      </c>
    </row>
    <row r="399" spans="1:41">
      <c r="A399" s="142" t="str">
        <f>'Reference Score Calculation'!A376</f>
        <v>JSSU12</v>
      </c>
      <c r="B399" s="119" t="str">
        <f>'Reference Score Calculation'!A376</f>
        <v>JSSU12</v>
      </c>
      <c r="C399" s="119" t="str">
        <f>'Reference Score Calculation'!D376</f>
        <v>創意寫作與電影藝術榮譽文學士</v>
      </c>
      <c r="D399" s="132"/>
      <c r="E399" s="119" t="str">
        <f>'Reference Score Calculation'!E376</f>
        <v>Best 5</v>
      </c>
      <c r="F399" s="133"/>
      <c r="G399" s="119" t="str">
        <f>入學要求!AB385</f>
        <v>v</v>
      </c>
      <c r="H399" s="119" t="str">
        <f>入學要求!AC385</f>
        <v>E</v>
      </c>
      <c r="I399" s="119" t="str">
        <f>入學要求!AD385</f>
        <v>v</v>
      </c>
      <c r="J399" s="119">
        <f t="shared" si="570"/>
        <v>3.3500000000000002E-9</v>
      </c>
      <c r="K399" s="119">
        <v>1.5</v>
      </c>
      <c r="L399" s="119">
        <v>1.5</v>
      </c>
      <c r="M399" s="119">
        <v>1</v>
      </c>
      <c r="N399" s="119">
        <v>0</v>
      </c>
      <c r="O399" s="119">
        <v>1</v>
      </c>
      <c r="P399" s="119">
        <v>1</v>
      </c>
      <c r="Q399" s="119">
        <v>1</v>
      </c>
      <c r="R399" s="119">
        <v>1</v>
      </c>
      <c r="S399" s="119">
        <v>1</v>
      </c>
      <c r="T399" s="119">
        <v>1</v>
      </c>
      <c r="V399" s="119">
        <f t="shared" si="551"/>
        <v>6E-10</v>
      </c>
      <c r="W399" s="119">
        <f t="shared" si="552"/>
        <v>3E-10</v>
      </c>
      <c r="X399" s="119">
        <f t="shared" si="553"/>
        <v>3E-10</v>
      </c>
      <c r="Y399" s="119">
        <f t="shared" si="554"/>
        <v>0</v>
      </c>
      <c r="Z399" s="119">
        <f t="shared" si="555"/>
        <v>5.0000000000000003E-10</v>
      </c>
      <c r="AA399" s="119">
        <f t="shared" si="556"/>
        <v>6E-10</v>
      </c>
      <c r="AB399" s="119">
        <f t="shared" si="557"/>
        <v>6.9999999999999996E-10</v>
      </c>
      <c r="AC399" s="119">
        <f t="shared" si="558"/>
        <v>8.0000000000000003E-10</v>
      </c>
      <c r="AD399" s="119">
        <f t="shared" si="559"/>
        <v>8.9999999999999999E-10</v>
      </c>
      <c r="AE399" s="119">
        <f t="shared" ref="AE399:AE418" si="571">IF(H399="E",T$11*T399,0)</f>
        <v>9.5000000000000003E-10</v>
      </c>
      <c r="AF399" s="142" t="b">
        <f t="shared" si="560"/>
        <v>0</v>
      </c>
      <c r="AG399" s="142" t="b">
        <f t="shared" si="561"/>
        <v>0</v>
      </c>
      <c r="AH399" s="142" t="b">
        <f t="shared" si="562"/>
        <v>0</v>
      </c>
      <c r="AI399" s="142" t="b">
        <f t="shared" si="563"/>
        <v>0</v>
      </c>
      <c r="AJ399" s="142" t="b">
        <f t="shared" si="564"/>
        <v>0</v>
      </c>
      <c r="AK399" s="142" t="b">
        <f t="shared" si="565"/>
        <v>0</v>
      </c>
      <c r="AL399" s="142" t="b">
        <f t="shared" si="566"/>
        <v>1</v>
      </c>
      <c r="AM399" s="142" t="b">
        <f t="shared" si="567"/>
        <v>1</v>
      </c>
      <c r="AN399" s="142" t="b">
        <f t="shared" si="568"/>
        <v>1</v>
      </c>
      <c r="AO399" s="142" t="b">
        <f t="shared" si="569"/>
        <v>1</v>
      </c>
    </row>
    <row r="400" spans="1:41">
      <c r="A400" s="142" t="str">
        <f>'Reference Score Calculation'!A377</f>
        <v>JSSU14</v>
      </c>
      <c r="B400" s="119" t="str">
        <f>'Reference Score Calculation'!A377</f>
        <v>JSSU14</v>
      </c>
      <c r="C400" s="119" t="str">
        <f>'Reference Score Calculation'!D377</f>
        <v>動畫及視覺特效榮譽藝術學士</v>
      </c>
      <c r="D400" s="132"/>
      <c r="E400" s="119" t="str">
        <f>'Reference Score Calculation'!E377</f>
        <v>Best 5</v>
      </c>
      <c r="F400" s="119"/>
      <c r="G400" s="119" t="str">
        <f>入學要求!AB386</f>
        <v>v</v>
      </c>
      <c r="H400" s="119" t="str">
        <f>入學要求!AC386</f>
        <v>E</v>
      </c>
      <c r="I400" s="119" t="str">
        <f>入學要求!AD386</f>
        <v>v</v>
      </c>
      <c r="J400" s="119">
        <f t="shared" si="570"/>
        <v>3.9500000000000006E-9</v>
      </c>
      <c r="K400" s="119">
        <v>1</v>
      </c>
      <c r="L400" s="119">
        <v>1</v>
      </c>
      <c r="M400" s="119">
        <v>1</v>
      </c>
      <c r="N400" s="119">
        <v>0</v>
      </c>
      <c r="O400" s="119">
        <v>1</v>
      </c>
      <c r="P400" s="119">
        <v>1</v>
      </c>
      <c r="Q400" s="119">
        <v>1</v>
      </c>
      <c r="R400" s="119">
        <v>1</v>
      </c>
      <c r="S400" s="119">
        <v>1</v>
      </c>
      <c r="T400" s="119">
        <v>1</v>
      </c>
      <c r="V400" s="119">
        <f t="shared" si="551"/>
        <v>4.0000000000000001E-10</v>
      </c>
      <c r="W400" s="119">
        <f t="shared" si="552"/>
        <v>2.0000000000000001E-10</v>
      </c>
      <c r="X400" s="119">
        <f t="shared" si="553"/>
        <v>3E-10</v>
      </c>
      <c r="Y400" s="119">
        <f t="shared" si="554"/>
        <v>0</v>
      </c>
      <c r="Z400" s="119">
        <f t="shared" si="555"/>
        <v>5.0000000000000003E-10</v>
      </c>
      <c r="AA400" s="119">
        <f t="shared" si="556"/>
        <v>6E-10</v>
      </c>
      <c r="AB400" s="119">
        <f t="shared" si="557"/>
        <v>6.9999999999999996E-10</v>
      </c>
      <c r="AC400" s="119">
        <f t="shared" si="558"/>
        <v>8.0000000000000003E-10</v>
      </c>
      <c r="AD400" s="119">
        <f t="shared" si="559"/>
        <v>8.9999999999999999E-10</v>
      </c>
      <c r="AE400" s="119">
        <f t="shared" si="571"/>
        <v>9.5000000000000003E-10</v>
      </c>
      <c r="AF400" s="142" t="b">
        <f t="shared" si="560"/>
        <v>0</v>
      </c>
      <c r="AG400" s="142" t="b">
        <f t="shared" si="561"/>
        <v>0</v>
      </c>
      <c r="AH400" s="142" t="b">
        <f t="shared" si="562"/>
        <v>0</v>
      </c>
      <c r="AI400" s="142" t="b">
        <f t="shared" si="563"/>
        <v>0</v>
      </c>
      <c r="AJ400" s="142" t="b">
        <f t="shared" si="564"/>
        <v>0</v>
      </c>
      <c r="AK400" s="142" t="b">
        <f t="shared" si="565"/>
        <v>1</v>
      </c>
      <c r="AL400" s="142" t="b">
        <f t="shared" si="566"/>
        <v>1</v>
      </c>
      <c r="AM400" s="142" t="b">
        <f t="shared" si="567"/>
        <v>1</v>
      </c>
      <c r="AN400" s="142" t="b">
        <f t="shared" si="568"/>
        <v>1</v>
      </c>
      <c r="AO400" s="142" t="b">
        <f t="shared" si="569"/>
        <v>1</v>
      </c>
    </row>
    <row r="401" spans="1:41">
      <c r="A401" s="142" t="str">
        <f>'Reference Score Calculation'!A378</f>
        <v>JSSU15</v>
      </c>
      <c r="B401" s="119" t="str">
        <f>'Reference Score Calculation'!A378</f>
        <v>JSSU15</v>
      </c>
      <c r="C401" s="119" t="str">
        <f>'Reference Score Calculation'!D378</f>
        <v>影像設計及數碼藝術榮譽藝術學士</v>
      </c>
      <c r="D401" s="132"/>
      <c r="E401" s="119" t="str">
        <f>'Reference Score Calculation'!E378</f>
        <v>Best 5</v>
      </c>
      <c r="F401" s="119"/>
      <c r="G401" s="119" t="str">
        <f>入學要求!AB387</f>
        <v>v</v>
      </c>
      <c r="H401" s="119" t="str">
        <f>入學要求!AC387</f>
        <v>E</v>
      </c>
      <c r="I401" s="119" t="str">
        <f>入學要求!AD387</f>
        <v>v</v>
      </c>
      <c r="J401" s="119">
        <f t="shared" si="570"/>
        <v>3.9500000000000006E-9</v>
      </c>
      <c r="K401" s="119">
        <v>1</v>
      </c>
      <c r="L401" s="119">
        <v>1</v>
      </c>
      <c r="M401" s="119">
        <v>1</v>
      </c>
      <c r="N401" s="119">
        <v>0</v>
      </c>
      <c r="O401" s="119">
        <v>1</v>
      </c>
      <c r="P401" s="119">
        <v>1</v>
      </c>
      <c r="Q401" s="119">
        <v>1</v>
      </c>
      <c r="R401" s="119">
        <v>1</v>
      </c>
      <c r="S401" s="119">
        <v>1</v>
      </c>
      <c r="T401" s="119">
        <v>1</v>
      </c>
      <c r="V401" s="119">
        <f t="shared" si="551"/>
        <v>4.0000000000000001E-10</v>
      </c>
      <c r="W401" s="119">
        <f t="shared" si="552"/>
        <v>2.0000000000000001E-10</v>
      </c>
      <c r="X401" s="119">
        <f t="shared" si="553"/>
        <v>3E-10</v>
      </c>
      <c r="Y401" s="119">
        <f t="shared" si="554"/>
        <v>0</v>
      </c>
      <c r="Z401" s="119">
        <f t="shared" si="555"/>
        <v>5.0000000000000003E-10</v>
      </c>
      <c r="AA401" s="119">
        <f t="shared" si="556"/>
        <v>6E-10</v>
      </c>
      <c r="AB401" s="119">
        <f t="shared" si="557"/>
        <v>6.9999999999999996E-10</v>
      </c>
      <c r="AC401" s="119">
        <f t="shared" si="558"/>
        <v>8.0000000000000003E-10</v>
      </c>
      <c r="AD401" s="119">
        <f t="shared" si="559"/>
        <v>8.9999999999999999E-10</v>
      </c>
      <c r="AE401" s="119">
        <f t="shared" si="571"/>
        <v>9.5000000000000003E-10</v>
      </c>
      <c r="AF401" s="142" t="b">
        <f t="shared" si="560"/>
        <v>0</v>
      </c>
      <c r="AG401" s="142" t="b">
        <f t="shared" si="561"/>
        <v>0</v>
      </c>
      <c r="AH401" s="142" t="b">
        <f t="shared" si="562"/>
        <v>0</v>
      </c>
      <c r="AI401" s="142" t="b">
        <f t="shared" si="563"/>
        <v>0</v>
      </c>
      <c r="AJ401" s="142" t="b">
        <f t="shared" si="564"/>
        <v>0</v>
      </c>
      <c r="AK401" s="142" t="b">
        <f t="shared" si="565"/>
        <v>1</v>
      </c>
      <c r="AL401" s="142" t="b">
        <f t="shared" si="566"/>
        <v>1</v>
      </c>
      <c r="AM401" s="142" t="b">
        <f t="shared" si="567"/>
        <v>1</v>
      </c>
      <c r="AN401" s="142" t="b">
        <f t="shared" si="568"/>
        <v>1</v>
      </c>
      <c r="AO401" s="142" t="b">
        <f t="shared" si="569"/>
        <v>1</v>
      </c>
    </row>
    <row r="402" spans="1:41">
      <c r="A402" s="142" t="str">
        <f>'Reference Score Calculation'!A379</f>
        <v>JSSU18</v>
      </c>
      <c r="B402" s="119" t="str">
        <f>'Reference Score Calculation'!A379</f>
        <v>JSSU18</v>
      </c>
      <c r="C402" s="119" t="str">
        <f>'Reference Score Calculation'!D379</f>
        <v>新音樂及互動娛樂榮譽文學士</v>
      </c>
      <c r="D402" s="132"/>
      <c r="E402" s="119" t="str">
        <f>'Reference Score Calculation'!E379</f>
        <v>24年新科目</v>
      </c>
      <c r="F402" s="119"/>
      <c r="G402" s="119" t="str">
        <f>入學要求!AB388</f>
        <v>v</v>
      </c>
      <c r="H402" s="119" t="str">
        <f>入學要求!AC388</f>
        <v>E</v>
      </c>
      <c r="I402" s="119" t="str">
        <f>入學要求!AD388</f>
        <v>v</v>
      </c>
      <c r="J402" s="119">
        <f t="shared" si="570"/>
        <v>0</v>
      </c>
      <c r="K402" s="119">
        <v>1</v>
      </c>
      <c r="L402" s="119">
        <v>1</v>
      </c>
      <c r="M402" s="119">
        <v>1</v>
      </c>
      <c r="N402" s="119">
        <v>0</v>
      </c>
      <c r="O402" s="119">
        <v>1</v>
      </c>
      <c r="P402" s="119">
        <v>1</v>
      </c>
      <c r="Q402" s="119">
        <v>1</v>
      </c>
      <c r="R402" s="119">
        <v>1</v>
      </c>
      <c r="S402" s="119">
        <v>1</v>
      </c>
      <c r="T402" s="119">
        <v>1</v>
      </c>
      <c r="V402" s="119">
        <f t="shared" si="551"/>
        <v>4.0000000000000001E-10</v>
      </c>
      <c r="W402" s="119">
        <f t="shared" si="552"/>
        <v>2.0000000000000001E-10</v>
      </c>
      <c r="X402" s="119">
        <f t="shared" si="553"/>
        <v>3E-10</v>
      </c>
      <c r="Y402" s="119">
        <f t="shared" si="554"/>
        <v>0</v>
      </c>
      <c r="Z402" s="119">
        <f t="shared" si="555"/>
        <v>5.0000000000000003E-10</v>
      </c>
      <c r="AA402" s="119">
        <f t="shared" si="556"/>
        <v>6E-10</v>
      </c>
      <c r="AB402" s="119">
        <f t="shared" si="557"/>
        <v>6.9999999999999996E-10</v>
      </c>
      <c r="AC402" s="119">
        <f t="shared" si="558"/>
        <v>8.0000000000000003E-10</v>
      </c>
      <c r="AD402" s="119">
        <f t="shared" si="559"/>
        <v>8.9999999999999999E-10</v>
      </c>
      <c r="AE402" s="119">
        <f t="shared" si="571"/>
        <v>9.5000000000000003E-10</v>
      </c>
      <c r="AF402" s="142" t="b">
        <f t="shared" si="560"/>
        <v>0</v>
      </c>
      <c r="AG402" s="142" t="b">
        <f t="shared" si="561"/>
        <v>0</v>
      </c>
      <c r="AH402" s="142" t="b">
        <f t="shared" si="562"/>
        <v>0</v>
      </c>
      <c r="AI402" s="142" t="b">
        <f t="shared" si="563"/>
        <v>0</v>
      </c>
      <c r="AJ402" s="142" t="b">
        <f t="shared" si="564"/>
        <v>0</v>
      </c>
      <c r="AK402" s="142" t="b">
        <f t="shared" si="565"/>
        <v>0</v>
      </c>
      <c r="AL402" s="142" t="b">
        <f t="shared" si="566"/>
        <v>0</v>
      </c>
      <c r="AM402" s="142" t="b">
        <f t="shared" si="567"/>
        <v>0</v>
      </c>
      <c r="AN402" s="142" t="b">
        <f t="shared" si="568"/>
        <v>0</v>
      </c>
      <c r="AO402" s="142" t="b">
        <f t="shared" si="569"/>
        <v>0</v>
      </c>
    </row>
    <row r="403" spans="1:41">
      <c r="A403" s="142" t="str">
        <f>'Reference Score Calculation'!A380</f>
        <v>JSSU40</v>
      </c>
      <c r="B403" s="119" t="str">
        <f>'Reference Score Calculation'!A380</f>
        <v>JSSU40</v>
      </c>
      <c r="C403" s="119" t="str">
        <f>'Reference Score Calculation'!D380</f>
        <v>護理學榮譽學士（普通科）</v>
      </c>
      <c r="D403" s="132"/>
      <c r="E403" s="119" t="str">
        <f>'Reference Score Calculation'!E380</f>
        <v>Best 5</v>
      </c>
      <c r="F403" s="133"/>
      <c r="G403" s="119" t="str">
        <f>入學要求!AB389</f>
        <v>v</v>
      </c>
      <c r="H403" s="119" t="str">
        <f>入學要求!AC389</f>
        <v>NO</v>
      </c>
      <c r="I403" s="119" t="str">
        <f>入學要求!AD389</f>
        <v>NO</v>
      </c>
      <c r="J403" s="119">
        <f t="shared" si="570"/>
        <v>3.4999999999999999E-9</v>
      </c>
      <c r="K403" s="119">
        <v>1</v>
      </c>
      <c r="L403" s="119">
        <v>1</v>
      </c>
      <c r="M403" s="119">
        <v>1</v>
      </c>
      <c r="N403" s="119">
        <v>0</v>
      </c>
      <c r="O403" s="119">
        <v>1</v>
      </c>
      <c r="P403" s="119">
        <f t="shared" ref="P403:S404" si="572">IF(OR(P$1="生物",P$1="化學",P$1="物理",P$1="組合科學(物理、化學)",P$1="組合科學(生物、化學)",P$1="組合科學(物理、生物)",P$1="綜合科學",P$1="健康管理及社會關懷"),1.2,1)</f>
        <v>1</v>
      </c>
      <c r="Q403" s="119">
        <f t="shared" si="572"/>
        <v>1</v>
      </c>
      <c r="R403" s="119">
        <f t="shared" si="572"/>
        <v>1</v>
      </c>
      <c r="S403" s="119">
        <f t="shared" si="572"/>
        <v>1</v>
      </c>
      <c r="T403" s="119">
        <v>1</v>
      </c>
      <c r="V403" s="119">
        <f t="shared" si="551"/>
        <v>4.0000000000000001E-10</v>
      </c>
      <c r="W403" s="119">
        <f t="shared" si="552"/>
        <v>2.0000000000000001E-10</v>
      </c>
      <c r="X403" s="119">
        <f t="shared" si="553"/>
        <v>3E-10</v>
      </c>
      <c r="Y403" s="119">
        <f t="shared" si="554"/>
        <v>0</v>
      </c>
      <c r="Z403" s="119">
        <f t="shared" si="555"/>
        <v>5.0000000000000003E-10</v>
      </c>
      <c r="AA403" s="119">
        <f t="shared" si="556"/>
        <v>6E-10</v>
      </c>
      <c r="AB403" s="119">
        <f t="shared" si="557"/>
        <v>6.9999999999999996E-10</v>
      </c>
      <c r="AC403" s="119">
        <f t="shared" si="558"/>
        <v>8.0000000000000003E-10</v>
      </c>
      <c r="AD403" s="119">
        <f t="shared" si="559"/>
        <v>8.9999999999999999E-10</v>
      </c>
      <c r="AE403" s="119">
        <f t="shared" si="571"/>
        <v>0</v>
      </c>
      <c r="AF403" s="142" t="b">
        <f t="shared" si="560"/>
        <v>0</v>
      </c>
      <c r="AG403" s="142" t="b">
        <f t="shared" si="561"/>
        <v>0</v>
      </c>
      <c r="AH403" s="142" t="b">
        <f t="shared" si="562"/>
        <v>0</v>
      </c>
      <c r="AI403" s="142" t="b">
        <f t="shared" si="563"/>
        <v>0</v>
      </c>
      <c r="AJ403" s="142" t="b">
        <f t="shared" si="564"/>
        <v>1</v>
      </c>
      <c r="AK403" s="142" t="b">
        <f t="shared" si="565"/>
        <v>1</v>
      </c>
      <c r="AL403" s="142" t="b">
        <f t="shared" si="566"/>
        <v>1</v>
      </c>
      <c r="AM403" s="142" t="b">
        <f t="shared" si="567"/>
        <v>1</v>
      </c>
      <c r="AN403" s="142" t="b">
        <f t="shared" si="568"/>
        <v>1</v>
      </c>
      <c r="AO403" s="142" t="b">
        <f t="shared" si="569"/>
        <v>0</v>
      </c>
    </row>
    <row r="404" spans="1:41">
      <c r="A404" s="142" t="str">
        <f>'Reference Score Calculation'!A381</f>
        <v>JSSU50</v>
      </c>
      <c r="B404" s="119" t="str">
        <f>'Reference Score Calculation'!A381</f>
        <v>JSSU50</v>
      </c>
      <c r="C404" s="119" t="str">
        <f>'Reference Score Calculation'!D381</f>
        <v>護理學榮譽學士（精神科）</v>
      </c>
      <c r="D404" s="132"/>
      <c r="E404" s="119" t="str">
        <f>'Reference Score Calculation'!E381</f>
        <v>Best 5</v>
      </c>
      <c r="F404" s="133"/>
      <c r="G404" s="119" t="str">
        <f>入學要求!AB390</f>
        <v>v</v>
      </c>
      <c r="H404" s="119" t="str">
        <f>入學要求!AC390</f>
        <v>NO</v>
      </c>
      <c r="I404" s="119" t="str">
        <f>入學要求!AD390</f>
        <v>NO</v>
      </c>
      <c r="J404" s="119">
        <f t="shared" si="570"/>
        <v>3.4999999999999999E-9</v>
      </c>
      <c r="K404" s="119">
        <v>1</v>
      </c>
      <c r="L404" s="119">
        <v>1</v>
      </c>
      <c r="M404" s="119">
        <v>1</v>
      </c>
      <c r="N404" s="119">
        <v>0</v>
      </c>
      <c r="O404" s="119">
        <v>1</v>
      </c>
      <c r="P404" s="119">
        <f t="shared" si="572"/>
        <v>1</v>
      </c>
      <c r="Q404" s="119">
        <f t="shared" si="572"/>
        <v>1</v>
      </c>
      <c r="R404" s="119">
        <f t="shared" si="572"/>
        <v>1</v>
      </c>
      <c r="S404" s="119">
        <f t="shared" si="572"/>
        <v>1</v>
      </c>
      <c r="T404" s="119">
        <f>IF(OR(T$1="生物",T$1="化學",T$1="物理",T$1="組合科學(物理、化學)",T$1="組合科學(生物、化學)",T$1="組合科學(物理、生物)",T$1="綜合科學"),1.2,1)</f>
        <v>1</v>
      </c>
      <c r="V404" s="119">
        <f t="shared" si="551"/>
        <v>4.0000000000000001E-10</v>
      </c>
      <c r="W404" s="119">
        <f t="shared" si="552"/>
        <v>2.0000000000000001E-10</v>
      </c>
      <c r="X404" s="119">
        <f t="shared" si="553"/>
        <v>3E-10</v>
      </c>
      <c r="Y404" s="119">
        <f t="shared" si="554"/>
        <v>0</v>
      </c>
      <c r="Z404" s="119">
        <f t="shared" si="555"/>
        <v>5.0000000000000003E-10</v>
      </c>
      <c r="AA404" s="119">
        <f t="shared" si="556"/>
        <v>6E-10</v>
      </c>
      <c r="AB404" s="119">
        <f t="shared" si="557"/>
        <v>6.9999999999999996E-10</v>
      </c>
      <c r="AC404" s="119">
        <f t="shared" si="558"/>
        <v>8.0000000000000003E-10</v>
      </c>
      <c r="AD404" s="119">
        <f t="shared" si="559"/>
        <v>8.9999999999999999E-10</v>
      </c>
      <c r="AE404" s="119">
        <f t="shared" si="571"/>
        <v>0</v>
      </c>
      <c r="AF404" s="142" t="b">
        <f t="shared" si="560"/>
        <v>0</v>
      </c>
      <c r="AG404" s="142" t="b">
        <f t="shared" si="561"/>
        <v>0</v>
      </c>
      <c r="AH404" s="142" t="b">
        <f t="shared" si="562"/>
        <v>0</v>
      </c>
      <c r="AI404" s="142" t="b">
        <f t="shared" si="563"/>
        <v>0</v>
      </c>
      <c r="AJ404" s="142" t="b">
        <f t="shared" si="564"/>
        <v>1</v>
      </c>
      <c r="AK404" s="142" t="b">
        <f t="shared" si="565"/>
        <v>1</v>
      </c>
      <c r="AL404" s="142" t="b">
        <f t="shared" si="566"/>
        <v>1</v>
      </c>
      <c r="AM404" s="142" t="b">
        <f t="shared" si="567"/>
        <v>1</v>
      </c>
      <c r="AN404" s="142" t="b">
        <f t="shared" si="568"/>
        <v>1</v>
      </c>
      <c r="AO404" s="142" t="b">
        <f t="shared" si="569"/>
        <v>0</v>
      </c>
    </row>
    <row r="405" spans="1:41">
      <c r="A405" s="142" t="str">
        <f>'Reference Score Calculation'!A382</f>
        <v>JSSU55</v>
      </c>
      <c r="B405" s="119" t="str">
        <f>'Reference Score Calculation'!A382</f>
        <v>JSSU55</v>
      </c>
      <c r="C405" s="119" t="str">
        <f>'Reference Score Calculation'!D382</f>
        <v>物理治療學榮譽理學士</v>
      </c>
      <c r="D405" s="132"/>
      <c r="E405" s="119" t="str">
        <f>'Reference Score Calculation'!E382</f>
        <v>Best 5</v>
      </c>
      <c r="F405" s="133"/>
      <c r="G405" s="119" t="str">
        <f>入學要求!AB391</f>
        <v>v</v>
      </c>
      <c r="H405" s="119" t="str">
        <f>入學要求!AC391</f>
        <v>E</v>
      </c>
      <c r="I405" s="119" t="str">
        <f>入學要求!AD391</f>
        <v>v</v>
      </c>
      <c r="J405" s="119">
        <f t="shared" si="570"/>
        <v>3.9500000000000006E-9</v>
      </c>
      <c r="K405" s="119">
        <v>1</v>
      </c>
      <c r="L405" s="119">
        <v>1</v>
      </c>
      <c r="M405" s="119">
        <v>1</v>
      </c>
      <c r="N405" s="119">
        <v>0</v>
      </c>
      <c r="O405" s="119">
        <v>1</v>
      </c>
      <c r="P405" s="119">
        <v>1</v>
      </c>
      <c r="Q405" s="119">
        <f>IF(OR(Q$1="生物",Q$1="物理",Q$1="組合科學(物理、生物)"),2,1)</f>
        <v>1</v>
      </c>
      <c r="R405" s="119">
        <f>IF(OR(R$1="生物",R$1="物理",R$1="組合科學(物理、生物)"),2,1)</f>
        <v>1</v>
      </c>
      <c r="S405" s="119">
        <f>IF(OR(S$1="生物",S$1="物理",S$1="組合科學(物理、生物)"),2,1)</f>
        <v>1</v>
      </c>
      <c r="T405" s="119">
        <v>1</v>
      </c>
      <c r="V405" s="119">
        <f t="shared" si="551"/>
        <v>4.0000000000000001E-10</v>
      </c>
      <c r="W405" s="119">
        <f t="shared" si="552"/>
        <v>2.0000000000000001E-10</v>
      </c>
      <c r="X405" s="119">
        <f t="shared" si="553"/>
        <v>3E-10</v>
      </c>
      <c r="Y405" s="119">
        <f t="shared" si="554"/>
        <v>0</v>
      </c>
      <c r="Z405" s="119">
        <f t="shared" si="555"/>
        <v>5.0000000000000003E-10</v>
      </c>
      <c r="AA405" s="119">
        <f t="shared" si="556"/>
        <v>6E-10</v>
      </c>
      <c r="AB405" s="119">
        <f t="shared" si="557"/>
        <v>6.9999999999999996E-10</v>
      </c>
      <c r="AC405" s="119">
        <f t="shared" si="558"/>
        <v>8.0000000000000003E-10</v>
      </c>
      <c r="AD405" s="119">
        <f t="shared" si="559"/>
        <v>8.9999999999999999E-10</v>
      </c>
      <c r="AE405" s="119">
        <f t="shared" si="571"/>
        <v>9.5000000000000003E-10</v>
      </c>
      <c r="AF405" s="142" t="b">
        <f t="shared" si="560"/>
        <v>0</v>
      </c>
      <c r="AG405" s="142" t="b">
        <f t="shared" si="561"/>
        <v>0</v>
      </c>
      <c r="AH405" s="142" t="b">
        <f t="shared" si="562"/>
        <v>0</v>
      </c>
      <c r="AI405" s="142" t="b">
        <f t="shared" si="563"/>
        <v>0</v>
      </c>
      <c r="AJ405" s="142" t="b">
        <f t="shared" si="564"/>
        <v>0</v>
      </c>
      <c r="AK405" s="142" t="b">
        <f t="shared" si="565"/>
        <v>1</v>
      </c>
      <c r="AL405" s="142" t="b">
        <f t="shared" si="566"/>
        <v>1</v>
      </c>
      <c r="AM405" s="142" t="b">
        <f t="shared" si="567"/>
        <v>1</v>
      </c>
      <c r="AN405" s="142" t="b">
        <f t="shared" si="568"/>
        <v>1</v>
      </c>
      <c r="AO405" s="142" t="b">
        <f t="shared" si="569"/>
        <v>1</v>
      </c>
    </row>
    <row r="406" spans="1:41">
      <c r="A406" s="142" t="str">
        <f>'Reference Score Calculation'!A383</f>
        <v>JSSU61</v>
      </c>
      <c r="B406" s="119" t="str">
        <f>'Reference Score Calculation'!A383</f>
        <v>JSSU61</v>
      </c>
      <c r="C406" s="119" t="str">
        <f>'Reference Score Calculation'!D383</f>
        <v>綜合檢測和認證榮譽應用理學士</v>
      </c>
      <c r="D406" s="132"/>
      <c r="E406" s="119" t="str">
        <f>'Reference Score Calculation'!E383</f>
        <v>Best 5</v>
      </c>
      <c r="F406" s="119"/>
      <c r="G406" s="119" t="str">
        <f>入學要求!AB392</f>
        <v>v</v>
      </c>
      <c r="H406" s="119" t="str">
        <f>入學要求!AC392</f>
        <v>E</v>
      </c>
      <c r="I406" s="119" t="str">
        <f>入學要求!AD392</f>
        <v>v</v>
      </c>
      <c r="J406" s="119">
        <f t="shared" si="570"/>
        <v>3.9500000000000006E-9</v>
      </c>
      <c r="K406" s="119">
        <v>1</v>
      </c>
      <c r="L406" s="119">
        <v>1</v>
      </c>
      <c r="M406" s="119">
        <v>1</v>
      </c>
      <c r="N406" s="119">
        <v>0</v>
      </c>
      <c r="O406" s="119">
        <v>1</v>
      </c>
      <c r="P406" s="119">
        <v>1</v>
      </c>
      <c r="Q406" s="119">
        <v>1</v>
      </c>
      <c r="R406" s="119">
        <v>1</v>
      </c>
      <c r="S406" s="119">
        <v>1</v>
      </c>
      <c r="T406" s="119">
        <v>1</v>
      </c>
      <c r="V406" s="119">
        <f t="shared" si="551"/>
        <v>4.0000000000000001E-10</v>
      </c>
      <c r="W406" s="119">
        <f t="shared" si="552"/>
        <v>2.0000000000000001E-10</v>
      </c>
      <c r="X406" s="119">
        <f t="shared" si="553"/>
        <v>3E-10</v>
      </c>
      <c r="Y406" s="119">
        <f t="shared" si="554"/>
        <v>0</v>
      </c>
      <c r="Z406" s="119">
        <f t="shared" si="555"/>
        <v>5.0000000000000003E-10</v>
      </c>
      <c r="AA406" s="119">
        <f t="shared" si="556"/>
        <v>6E-10</v>
      </c>
      <c r="AB406" s="119">
        <f t="shared" si="557"/>
        <v>6.9999999999999996E-10</v>
      </c>
      <c r="AC406" s="119">
        <f t="shared" si="558"/>
        <v>8.0000000000000003E-10</v>
      </c>
      <c r="AD406" s="119">
        <f t="shared" si="559"/>
        <v>8.9999999999999999E-10</v>
      </c>
      <c r="AE406" s="119">
        <f t="shared" si="571"/>
        <v>9.5000000000000003E-10</v>
      </c>
      <c r="AF406" s="142" t="b">
        <f t="shared" si="560"/>
        <v>0</v>
      </c>
      <c r="AG406" s="142" t="b">
        <f t="shared" si="561"/>
        <v>0</v>
      </c>
      <c r="AH406" s="142" t="b">
        <f t="shared" si="562"/>
        <v>0</v>
      </c>
      <c r="AI406" s="142" t="b">
        <f t="shared" si="563"/>
        <v>0</v>
      </c>
      <c r="AJ406" s="142" t="b">
        <f t="shared" si="564"/>
        <v>0</v>
      </c>
      <c r="AK406" s="142" t="b">
        <f t="shared" si="565"/>
        <v>1</v>
      </c>
      <c r="AL406" s="142" t="b">
        <f t="shared" si="566"/>
        <v>1</v>
      </c>
      <c r="AM406" s="142" t="b">
        <f t="shared" si="567"/>
        <v>1</v>
      </c>
      <c r="AN406" s="142" t="b">
        <f t="shared" si="568"/>
        <v>1</v>
      </c>
      <c r="AO406" s="142" t="b">
        <f t="shared" si="569"/>
        <v>1</v>
      </c>
    </row>
    <row r="407" spans="1:41">
      <c r="A407" s="142" t="str">
        <f>'Reference Score Calculation'!A384</f>
        <v>JSSU67</v>
      </c>
      <c r="B407" s="119" t="str">
        <f>'Reference Score Calculation'!A384</f>
        <v>JSSU67</v>
      </c>
      <c r="C407" s="119" t="str">
        <f>'Reference Score Calculation'!D384</f>
        <v>醫療化驗科學榮譽理學士</v>
      </c>
      <c r="E407" s="119" t="str">
        <f>'Reference Score Calculation'!E384</f>
        <v>Best 5</v>
      </c>
      <c r="F407" s="143"/>
      <c r="G407" s="119" t="str">
        <f>入學要求!AB393</f>
        <v>v</v>
      </c>
      <c r="H407" s="119" t="str">
        <f>入學要求!AC393</f>
        <v>E</v>
      </c>
      <c r="I407" s="119" t="str">
        <f>入學要求!AD393</f>
        <v>v</v>
      </c>
      <c r="J407" s="119">
        <f t="shared" si="570"/>
        <v>3.9500000000000006E-9</v>
      </c>
      <c r="K407" s="119">
        <v>1</v>
      </c>
      <c r="L407" s="119">
        <v>1</v>
      </c>
      <c r="M407" s="119">
        <v>1</v>
      </c>
      <c r="N407" s="119">
        <v>0</v>
      </c>
      <c r="O407" s="119">
        <v>1</v>
      </c>
      <c r="P407" s="119">
        <v>1</v>
      </c>
      <c r="Q407" s="119">
        <v>1</v>
      </c>
      <c r="R407" s="119">
        <v>1</v>
      </c>
      <c r="S407" s="119">
        <v>1</v>
      </c>
      <c r="T407" s="119">
        <v>1</v>
      </c>
      <c r="V407" s="119">
        <f t="shared" si="551"/>
        <v>4.0000000000000001E-10</v>
      </c>
      <c r="W407" s="119">
        <f t="shared" si="552"/>
        <v>2.0000000000000001E-10</v>
      </c>
      <c r="X407" s="119">
        <f t="shared" si="553"/>
        <v>3E-10</v>
      </c>
      <c r="Y407" s="119">
        <f t="shared" si="554"/>
        <v>0</v>
      </c>
      <c r="Z407" s="119">
        <f t="shared" si="555"/>
        <v>5.0000000000000003E-10</v>
      </c>
      <c r="AA407" s="119">
        <f t="shared" si="556"/>
        <v>6E-10</v>
      </c>
      <c r="AB407" s="119">
        <f t="shared" si="557"/>
        <v>6.9999999999999996E-10</v>
      </c>
      <c r="AC407" s="119">
        <f t="shared" si="558"/>
        <v>8.0000000000000003E-10</v>
      </c>
      <c r="AD407" s="119">
        <f t="shared" si="559"/>
        <v>8.9999999999999999E-10</v>
      </c>
      <c r="AE407" s="119">
        <f t="shared" si="571"/>
        <v>9.5000000000000003E-10</v>
      </c>
      <c r="AF407" s="142" t="b">
        <f t="shared" si="560"/>
        <v>0</v>
      </c>
      <c r="AG407" s="142" t="b">
        <f t="shared" si="561"/>
        <v>0</v>
      </c>
      <c r="AH407" s="142" t="b">
        <f t="shared" si="562"/>
        <v>0</v>
      </c>
      <c r="AI407" s="142" t="b">
        <f t="shared" si="563"/>
        <v>0</v>
      </c>
      <c r="AJ407" s="142" t="b">
        <f t="shared" si="564"/>
        <v>0</v>
      </c>
      <c r="AK407" s="142" t="b">
        <f t="shared" si="565"/>
        <v>1</v>
      </c>
      <c r="AL407" s="142" t="b">
        <f t="shared" si="566"/>
        <v>1</v>
      </c>
      <c r="AM407" s="142" t="b">
        <f t="shared" si="567"/>
        <v>1</v>
      </c>
      <c r="AN407" s="142" t="b">
        <f t="shared" si="568"/>
        <v>1</v>
      </c>
      <c r="AO407" s="142" t="b">
        <f t="shared" si="569"/>
        <v>1</v>
      </c>
    </row>
    <row r="408" spans="1:41">
      <c r="A408" s="142" t="str">
        <f>'Reference Score Calculation'!A385</f>
        <v>JSSU68</v>
      </c>
      <c r="B408" s="119" t="str">
        <f>'Reference Score Calculation'!A385</f>
        <v>JSSU68</v>
      </c>
      <c r="C408" s="119" t="str">
        <f>'Reference Score Calculation'!D385</f>
        <v>分析檢測科學榮譽理學士</v>
      </c>
      <c r="D408" s="132"/>
      <c r="E408" s="119" t="str">
        <f>'Reference Score Calculation'!E385</f>
        <v>Best 5</v>
      </c>
      <c r="F408" s="119"/>
      <c r="G408" s="119" t="str">
        <f>入學要求!AB394</f>
        <v>v</v>
      </c>
      <c r="H408" s="119" t="str">
        <f>入學要求!AC394</f>
        <v>E</v>
      </c>
      <c r="I408" s="119" t="str">
        <f>入學要求!AD394</f>
        <v>v</v>
      </c>
      <c r="J408" s="119">
        <f t="shared" si="570"/>
        <v>3.9500000000000006E-9</v>
      </c>
      <c r="K408" s="119">
        <v>1</v>
      </c>
      <c r="L408" s="119">
        <v>1</v>
      </c>
      <c r="M408" s="119">
        <v>1</v>
      </c>
      <c r="N408" s="119">
        <v>0</v>
      </c>
      <c r="O408" s="119">
        <v>1</v>
      </c>
      <c r="P408" s="119">
        <v>1</v>
      </c>
      <c r="Q408" s="119">
        <v>1</v>
      </c>
      <c r="R408" s="119">
        <v>1</v>
      </c>
      <c r="S408" s="119">
        <v>1</v>
      </c>
      <c r="T408" s="119">
        <v>1</v>
      </c>
      <c r="V408" s="119">
        <f t="shared" si="551"/>
        <v>4.0000000000000001E-10</v>
      </c>
      <c r="W408" s="119">
        <f t="shared" si="552"/>
        <v>2.0000000000000001E-10</v>
      </c>
      <c r="X408" s="119">
        <f t="shared" si="553"/>
        <v>3E-10</v>
      </c>
      <c r="Y408" s="119">
        <f t="shared" si="554"/>
        <v>0</v>
      </c>
      <c r="Z408" s="119">
        <f t="shared" si="555"/>
        <v>5.0000000000000003E-10</v>
      </c>
      <c r="AA408" s="119">
        <f t="shared" si="556"/>
        <v>6E-10</v>
      </c>
      <c r="AB408" s="119">
        <f t="shared" si="557"/>
        <v>6.9999999999999996E-10</v>
      </c>
      <c r="AC408" s="119">
        <f t="shared" si="558"/>
        <v>8.0000000000000003E-10</v>
      </c>
      <c r="AD408" s="119">
        <f t="shared" si="559"/>
        <v>8.9999999999999999E-10</v>
      </c>
      <c r="AE408" s="119">
        <f t="shared" si="571"/>
        <v>9.5000000000000003E-10</v>
      </c>
      <c r="AF408" s="142" t="b">
        <f t="shared" si="560"/>
        <v>0</v>
      </c>
      <c r="AG408" s="142" t="b">
        <f t="shared" si="561"/>
        <v>0</v>
      </c>
      <c r="AH408" s="142" t="b">
        <f t="shared" si="562"/>
        <v>0</v>
      </c>
      <c r="AI408" s="142" t="b">
        <f t="shared" si="563"/>
        <v>0</v>
      </c>
      <c r="AJ408" s="142" t="b">
        <f t="shared" si="564"/>
        <v>0</v>
      </c>
      <c r="AK408" s="142" t="b">
        <f t="shared" si="565"/>
        <v>1</v>
      </c>
      <c r="AL408" s="142" t="b">
        <f t="shared" si="566"/>
        <v>1</v>
      </c>
      <c r="AM408" s="142" t="b">
        <f t="shared" si="567"/>
        <v>1</v>
      </c>
      <c r="AN408" s="142" t="b">
        <f t="shared" si="568"/>
        <v>1</v>
      </c>
      <c r="AO408" s="142" t="b">
        <f t="shared" si="569"/>
        <v>1</v>
      </c>
    </row>
    <row r="409" spans="1:41">
      <c r="A409" s="142" t="str">
        <f>'Reference Score Calculation'!A386</f>
        <v>JSSU69</v>
      </c>
      <c r="B409" s="119" t="str">
        <f>'Reference Score Calculation'!A386</f>
        <v>JSSU69</v>
      </c>
      <c r="C409" s="119" t="str">
        <f>'Reference Score Calculation'!D386</f>
        <v>食品測試科學榮譽理學士</v>
      </c>
      <c r="D409" s="132"/>
      <c r="E409" s="119" t="str">
        <f>'Reference Score Calculation'!E386</f>
        <v>Best 5</v>
      </c>
      <c r="F409" s="119"/>
      <c r="G409" s="119" t="str">
        <f>入學要求!AB395</f>
        <v>v</v>
      </c>
      <c r="H409" s="119" t="str">
        <f>入學要求!AC395</f>
        <v>E</v>
      </c>
      <c r="I409" s="119" t="str">
        <f>入學要求!AD395</f>
        <v>v</v>
      </c>
      <c r="J409" s="119">
        <f t="shared" si="570"/>
        <v>3.9500000000000006E-9</v>
      </c>
      <c r="K409" s="119">
        <v>1</v>
      </c>
      <c r="L409" s="119">
        <v>1</v>
      </c>
      <c r="M409" s="119">
        <v>1</v>
      </c>
      <c r="N409" s="119">
        <v>0</v>
      </c>
      <c r="O409" s="119">
        <v>1</v>
      </c>
      <c r="P409" s="119">
        <v>1</v>
      </c>
      <c r="Q409" s="119">
        <v>1</v>
      </c>
      <c r="R409" s="119">
        <v>1</v>
      </c>
      <c r="S409" s="119">
        <v>1</v>
      </c>
      <c r="T409" s="119">
        <v>1</v>
      </c>
      <c r="V409" s="119">
        <f t="shared" si="551"/>
        <v>4.0000000000000001E-10</v>
      </c>
      <c r="W409" s="119">
        <f t="shared" si="552"/>
        <v>2.0000000000000001E-10</v>
      </c>
      <c r="X409" s="119">
        <f t="shared" si="553"/>
        <v>3E-10</v>
      </c>
      <c r="Y409" s="119">
        <f t="shared" si="554"/>
        <v>0</v>
      </c>
      <c r="Z409" s="119">
        <f t="shared" si="555"/>
        <v>5.0000000000000003E-10</v>
      </c>
      <c r="AA409" s="119">
        <f t="shared" si="556"/>
        <v>6E-10</v>
      </c>
      <c r="AB409" s="119">
        <f t="shared" si="557"/>
        <v>6.9999999999999996E-10</v>
      </c>
      <c r="AC409" s="119">
        <f t="shared" si="558"/>
        <v>8.0000000000000003E-10</v>
      </c>
      <c r="AD409" s="119">
        <f t="shared" si="559"/>
        <v>8.9999999999999999E-10</v>
      </c>
      <c r="AE409" s="119">
        <f t="shared" si="571"/>
        <v>9.5000000000000003E-10</v>
      </c>
      <c r="AF409" s="142" t="b">
        <f t="shared" si="560"/>
        <v>0</v>
      </c>
      <c r="AG409" s="142" t="b">
        <f t="shared" si="561"/>
        <v>0</v>
      </c>
      <c r="AH409" s="142" t="b">
        <f t="shared" si="562"/>
        <v>0</v>
      </c>
      <c r="AI409" s="142" t="b">
        <f t="shared" si="563"/>
        <v>0</v>
      </c>
      <c r="AJ409" s="142" t="b">
        <f t="shared" si="564"/>
        <v>0</v>
      </c>
      <c r="AK409" s="142" t="b">
        <f t="shared" si="565"/>
        <v>1</v>
      </c>
      <c r="AL409" s="142" t="b">
        <f t="shared" si="566"/>
        <v>1</v>
      </c>
      <c r="AM409" s="142" t="b">
        <f t="shared" si="567"/>
        <v>1</v>
      </c>
      <c r="AN409" s="142" t="b">
        <f t="shared" si="568"/>
        <v>1</v>
      </c>
      <c r="AO409" s="142" t="b">
        <f t="shared" si="569"/>
        <v>1</v>
      </c>
    </row>
    <row r="410" spans="1:41">
      <c r="A410" s="142" t="str">
        <f>'Reference Score Calculation'!A387</f>
        <v>JSSU70</v>
      </c>
      <c r="B410" s="119" t="str">
        <f>'Reference Score Calculation'!A387</f>
        <v>JSSU70</v>
      </c>
      <c r="C410" s="119" t="str">
        <f>'Reference Score Calculation'!D387</f>
        <v>數據科學及人工智能榮譽理學士</v>
      </c>
      <c r="D410" s="132"/>
      <c r="E410" s="119" t="str">
        <f>'Reference Score Calculation'!E387</f>
        <v>Best 5</v>
      </c>
      <c r="F410" s="119"/>
      <c r="G410" s="119" t="str">
        <f>入學要求!AB396</f>
        <v>v</v>
      </c>
      <c r="H410" s="119" t="str">
        <f>入學要求!AC396</f>
        <v>E</v>
      </c>
      <c r="I410" s="119" t="str">
        <f>入學要求!AD396</f>
        <v>v</v>
      </c>
      <c r="J410" s="119">
        <f t="shared" si="570"/>
        <v>3.9500000000000006E-9</v>
      </c>
      <c r="K410" s="119">
        <v>1</v>
      </c>
      <c r="L410" s="119">
        <v>1</v>
      </c>
      <c r="M410" s="119">
        <v>1</v>
      </c>
      <c r="N410" s="119">
        <v>0</v>
      </c>
      <c r="O410" s="119">
        <v>1</v>
      </c>
      <c r="P410" s="119">
        <v>1</v>
      </c>
      <c r="Q410" s="119">
        <v>1</v>
      </c>
      <c r="R410" s="119">
        <v>1</v>
      </c>
      <c r="S410" s="119">
        <v>1</v>
      </c>
      <c r="T410" s="119">
        <v>1</v>
      </c>
      <c r="V410" s="119">
        <f t="shared" si="551"/>
        <v>4.0000000000000001E-10</v>
      </c>
      <c r="W410" s="119">
        <f t="shared" si="552"/>
        <v>2.0000000000000001E-10</v>
      </c>
      <c r="X410" s="119">
        <f t="shared" si="553"/>
        <v>3E-10</v>
      </c>
      <c r="Y410" s="119">
        <f t="shared" si="554"/>
        <v>0</v>
      </c>
      <c r="Z410" s="119">
        <f t="shared" si="555"/>
        <v>5.0000000000000003E-10</v>
      </c>
      <c r="AA410" s="119">
        <f t="shared" si="556"/>
        <v>6E-10</v>
      </c>
      <c r="AB410" s="119">
        <f t="shared" si="557"/>
        <v>6.9999999999999996E-10</v>
      </c>
      <c r="AC410" s="119">
        <f t="shared" si="558"/>
        <v>8.0000000000000003E-10</v>
      </c>
      <c r="AD410" s="119">
        <f t="shared" si="559"/>
        <v>8.9999999999999999E-10</v>
      </c>
      <c r="AE410" s="119">
        <f t="shared" si="571"/>
        <v>9.5000000000000003E-10</v>
      </c>
      <c r="AF410" s="142" t="b">
        <f t="shared" si="560"/>
        <v>0</v>
      </c>
      <c r="AG410" s="142" t="b">
        <f t="shared" si="561"/>
        <v>0</v>
      </c>
      <c r="AH410" s="142" t="b">
        <f t="shared" si="562"/>
        <v>0</v>
      </c>
      <c r="AI410" s="142" t="b">
        <f t="shared" si="563"/>
        <v>0</v>
      </c>
      <c r="AJ410" s="142" t="b">
        <f t="shared" si="564"/>
        <v>0</v>
      </c>
      <c r="AK410" s="142" t="b">
        <f t="shared" si="565"/>
        <v>1</v>
      </c>
      <c r="AL410" s="142" t="b">
        <f t="shared" si="566"/>
        <v>1</v>
      </c>
      <c r="AM410" s="142" t="b">
        <f t="shared" si="567"/>
        <v>1</v>
      </c>
      <c r="AN410" s="142" t="b">
        <f t="shared" si="568"/>
        <v>1</v>
      </c>
      <c r="AO410" s="142" t="b">
        <f t="shared" si="569"/>
        <v>1</v>
      </c>
    </row>
    <row r="411" spans="1:41">
      <c r="A411" s="142" t="str">
        <f>'Reference Score Calculation'!A388</f>
        <v>JSSU72</v>
      </c>
      <c r="B411" s="119" t="str">
        <f>'Reference Score Calculation'!A388</f>
        <v>JSSU72</v>
      </c>
      <c r="C411" s="119" t="str">
        <f>'Reference Score Calculation'!D388</f>
        <v>電腦科學榮譽理學士</v>
      </c>
      <c r="D411" s="132"/>
      <c r="E411" s="119" t="str">
        <f>'Reference Score Calculation'!E388</f>
        <v>Best 5</v>
      </c>
      <c r="F411" s="143"/>
      <c r="G411" s="119" t="str">
        <f>入學要求!AB397</f>
        <v>v</v>
      </c>
      <c r="H411" s="119" t="str">
        <f>入學要求!AC397</f>
        <v>E</v>
      </c>
      <c r="I411" s="119" t="str">
        <f>入學要求!AD397</f>
        <v>v</v>
      </c>
      <c r="J411" s="119">
        <f t="shared" si="570"/>
        <v>3.9500000000000006E-9</v>
      </c>
      <c r="K411" s="119">
        <v>1</v>
      </c>
      <c r="L411" s="119">
        <v>1</v>
      </c>
      <c r="M411" s="119">
        <v>1</v>
      </c>
      <c r="N411" s="119">
        <v>0</v>
      </c>
      <c r="O411" s="119">
        <v>1</v>
      </c>
      <c r="P411" s="119">
        <v>1</v>
      </c>
      <c r="Q411" s="119">
        <v>1</v>
      </c>
      <c r="R411" s="119">
        <v>1</v>
      </c>
      <c r="S411" s="119">
        <v>1</v>
      </c>
      <c r="T411" s="119">
        <v>1</v>
      </c>
      <c r="V411" s="119">
        <f t="shared" ref="V411:V430" si="573">K$13*K411</f>
        <v>4.0000000000000001E-10</v>
      </c>
      <c r="W411" s="119">
        <f t="shared" ref="W411:W430" si="574">L$13*L411</f>
        <v>2.0000000000000001E-10</v>
      </c>
      <c r="X411" s="119">
        <f t="shared" ref="X411:X430" si="575">M$13*M411</f>
        <v>3E-10</v>
      </c>
      <c r="Y411" s="119">
        <f t="shared" ref="Y411:Y430" si="576">N$13*N411</f>
        <v>0</v>
      </c>
      <c r="Z411" s="119">
        <f t="shared" ref="Z411:Z430" si="577">IF(G411="v",O$13*O411,0)</f>
        <v>5.0000000000000003E-10</v>
      </c>
      <c r="AA411" s="119">
        <f t="shared" ref="AA411:AA430" si="578">P$13*P411</f>
        <v>6E-10</v>
      </c>
      <c r="AB411" s="119">
        <f t="shared" ref="AB411:AB430" si="579">Q$13*Q411</f>
        <v>6.9999999999999996E-10</v>
      </c>
      <c r="AC411" s="119">
        <f t="shared" ref="AC411:AC430" si="580">R$13*R411</f>
        <v>8.0000000000000003E-10</v>
      </c>
      <c r="AD411" s="119">
        <f t="shared" ref="AD411:AD430" si="581">S$13*S411</f>
        <v>8.9999999999999999E-10</v>
      </c>
      <c r="AE411" s="119">
        <f t="shared" si="571"/>
        <v>9.5000000000000003E-10</v>
      </c>
      <c r="AF411" s="142" t="b">
        <f t="shared" ref="AF411:AF430" si="582">IF($E411="4C1X",TRUE,IF($E411="Best 5",IF(V411&gt;LARGE($V411:$AE411,6),TRUE)))</f>
        <v>0</v>
      </c>
      <c r="AG411" s="142" t="b">
        <f t="shared" ref="AG411:AG430" si="583">IF($E411="4C1X",TRUE,IF($E411="Best 5",IF(W411&gt;LARGE($V411:$AE411,6),TRUE)))</f>
        <v>0</v>
      </c>
      <c r="AH411" s="142" t="b">
        <f t="shared" ref="AH411:AH430" si="584">IF($E411="4C1X",TRUE,IF($E411="Best 5",IF(X411&gt;LARGE($V411:$AE411,6),TRUE)))</f>
        <v>0</v>
      </c>
      <c r="AI411" s="142" t="b">
        <f t="shared" ref="AI411:AI430" si="585">IF($E411="4C1X",TRUE,IF($E411="Best 5",IF(Y411&gt;LARGE($V411:$AE411,6),TRUE)))</f>
        <v>0</v>
      </c>
      <c r="AJ411" s="142" t="b">
        <f t="shared" ref="AJ411:AJ430" si="586">IF($E411="4C1X",IF(Z411&gt;LARGE($Z411:$AE411,2),TRUE),IF($E411="Best 5",IF(Z411&gt;LARGE($V411:$AE411,6),TRUE)))</f>
        <v>0</v>
      </c>
      <c r="AK411" s="142" t="b">
        <f t="shared" ref="AK411:AK430" si="587">IF($E411="4C1X",IF(AA411&gt;LARGE($Z411:$AE411,2),TRUE),IF($E411="Best 5",IF(AA411&gt;LARGE($V411:$AE411,6),TRUE)))</f>
        <v>1</v>
      </c>
      <c r="AL411" s="142" t="b">
        <f t="shared" ref="AL411:AL430" si="588">IF($E411="4C1X",IF(AB411&gt;LARGE($Z411:$AE411,2),TRUE),IF($E411="Best 5",IF(AB411&gt;LARGE($V411:$AE411,6),TRUE)))</f>
        <v>1</v>
      </c>
      <c r="AM411" s="142" t="b">
        <f t="shared" ref="AM411:AM430" si="589">IF($E411="4C1X",IF(AC411&gt;LARGE($Z411:$AE411,2),TRUE),IF($E411="Best 5",IF(AC411&gt;LARGE($V411:$AE411,6),TRUE)))</f>
        <v>1</v>
      </c>
      <c r="AN411" s="142" t="b">
        <f t="shared" ref="AN411:AN430" si="590">IF($E411="4C1X",IF(AD411&gt;LARGE($Z411:$AE411,2),TRUE),IF($E411="Best 5",IF(AD411&gt;LARGE($V411:$AE411,6),TRUE)))</f>
        <v>1</v>
      </c>
      <c r="AO411" s="142" t="b">
        <f t="shared" ref="AO411:AO430" si="591">IF($E411="4C1X",IF(AE411&gt;LARGE($Z411:$AE411,2),TRUE),IF($E411="Best 5",IF(AE411&gt;LARGE($V411:$AE411,6),TRUE)))</f>
        <v>1</v>
      </c>
    </row>
    <row r="412" spans="1:41">
      <c r="A412" s="142" t="str">
        <f>'Reference Score Calculation'!A389</f>
        <v>JSSU77</v>
      </c>
      <c r="B412" s="119" t="str">
        <f>'Reference Score Calculation'!A389</f>
        <v>JSSU77</v>
      </c>
      <c r="C412" s="119" t="str">
        <f>'Reference Score Calculation'!D389</f>
        <v>建築管理及工料測量學榮譽理學士</v>
      </c>
      <c r="D412" s="132"/>
      <c r="E412" s="119" t="str">
        <f>'Reference Score Calculation'!E389</f>
        <v>24年新科目</v>
      </c>
      <c r="F412" s="143"/>
      <c r="G412" s="119" t="str">
        <f>入學要求!AB398</f>
        <v>v</v>
      </c>
      <c r="H412" s="119" t="str">
        <f>入學要求!AC398</f>
        <v>E</v>
      </c>
      <c r="I412" s="119" t="str">
        <f>入學要求!AD398</f>
        <v>v</v>
      </c>
      <c r="J412" s="119">
        <f t="shared" si="570"/>
        <v>0</v>
      </c>
      <c r="K412" s="119">
        <v>1</v>
      </c>
      <c r="L412" s="119">
        <v>1</v>
      </c>
      <c r="M412" s="119">
        <v>1</v>
      </c>
      <c r="N412" s="119">
        <v>0</v>
      </c>
      <c r="O412" s="119">
        <v>1</v>
      </c>
      <c r="P412" s="119">
        <v>1</v>
      </c>
      <c r="Q412" s="119">
        <v>1</v>
      </c>
      <c r="R412" s="119">
        <v>1</v>
      </c>
      <c r="S412" s="119">
        <v>1</v>
      </c>
      <c r="T412" s="119">
        <v>1</v>
      </c>
      <c r="V412" s="119">
        <f t="shared" si="573"/>
        <v>4.0000000000000001E-10</v>
      </c>
      <c r="W412" s="119">
        <f t="shared" si="574"/>
        <v>2.0000000000000001E-10</v>
      </c>
      <c r="X412" s="119">
        <f t="shared" si="575"/>
        <v>3E-10</v>
      </c>
      <c r="Y412" s="119">
        <f t="shared" si="576"/>
        <v>0</v>
      </c>
      <c r="Z412" s="119">
        <f t="shared" si="577"/>
        <v>5.0000000000000003E-10</v>
      </c>
      <c r="AA412" s="119">
        <f t="shared" si="578"/>
        <v>6E-10</v>
      </c>
      <c r="AB412" s="119">
        <f t="shared" si="579"/>
        <v>6.9999999999999996E-10</v>
      </c>
      <c r="AC412" s="119">
        <f t="shared" si="580"/>
        <v>8.0000000000000003E-10</v>
      </c>
      <c r="AD412" s="119">
        <f t="shared" si="581"/>
        <v>8.9999999999999999E-10</v>
      </c>
      <c r="AE412" s="119">
        <f t="shared" si="571"/>
        <v>9.5000000000000003E-10</v>
      </c>
      <c r="AF412" s="142" t="b">
        <f t="shared" si="582"/>
        <v>0</v>
      </c>
      <c r="AG412" s="142" t="b">
        <f t="shared" si="583"/>
        <v>0</v>
      </c>
      <c r="AH412" s="142" t="b">
        <f t="shared" si="584"/>
        <v>0</v>
      </c>
      <c r="AI412" s="142" t="b">
        <f t="shared" si="585"/>
        <v>0</v>
      </c>
      <c r="AJ412" s="142" t="b">
        <f t="shared" si="586"/>
        <v>0</v>
      </c>
      <c r="AK412" s="142" t="b">
        <f t="shared" si="587"/>
        <v>0</v>
      </c>
      <c r="AL412" s="142" t="b">
        <f t="shared" si="588"/>
        <v>0</v>
      </c>
      <c r="AM412" s="142" t="b">
        <f t="shared" si="589"/>
        <v>0</v>
      </c>
      <c r="AN412" s="142" t="b">
        <f t="shared" si="590"/>
        <v>0</v>
      </c>
      <c r="AO412" s="142" t="b">
        <f t="shared" si="591"/>
        <v>0</v>
      </c>
    </row>
    <row r="413" spans="1:41">
      <c r="A413" s="142" t="str">
        <f>'Reference Score Calculation'!A390</f>
        <v>JSSU78</v>
      </c>
      <c r="B413" s="119" t="str">
        <f>'Reference Score Calculation'!A390</f>
        <v>JSSU78</v>
      </c>
      <c r="C413" s="119" t="str">
        <f>'Reference Score Calculation'!D390</f>
        <v>屋宇設備工程及可持續發展榮譽工學士</v>
      </c>
      <c r="E413" s="119" t="str">
        <f>'Reference Score Calculation'!E390</f>
        <v>Best 5</v>
      </c>
      <c r="F413" s="143"/>
      <c r="G413" s="119" t="str">
        <f>入學要求!AB399</f>
        <v>v</v>
      </c>
      <c r="H413" s="119" t="str">
        <f>入學要求!AC399</f>
        <v>E</v>
      </c>
      <c r="I413" s="119" t="str">
        <f>入學要求!AD399</f>
        <v>v</v>
      </c>
      <c r="J413" s="119">
        <f t="shared" si="570"/>
        <v>3.9500000000000006E-9</v>
      </c>
      <c r="K413" s="119">
        <v>1</v>
      </c>
      <c r="L413" s="119">
        <v>1</v>
      </c>
      <c r="M413" s="119">
        <v>1</v>
      </c>
      <c r="N413" s="119">
        <v>0</v>
      </c>
      <c r="O413" s="119">
        <v>1</v>
      </c>
      <c r="P413" s="119">
        <v>1</v>
      </c>
      <c r="Q413" s="119">
        <v>1</v>
      </c>
      <c r="R413" s="119">
        <v>1</v>
      </c>
      <c r="S413" s="119">
        <v>1</v>
      </c>
      <c r="T413" s="119">
        <v>1</v>
      </c>
      <c r="V413" s="119">
        <f t="shared" si="573"/>
        <v>4.0000000000000001E-10</v>
      </c>
      <c r="W413" s="119">
        <f t="shared" si="574"/>
        <v>2.0000000000000001E-10</v>
      </c>
      <c r="X413" s="119">
        <f t="shared" si="575"/>
        <v>3E-10</v>
      </c>
      <c r="Y413" s="119">
        <f t="shared" si="576"/>
        <v>0</v>
      </c>
      <c r="Z413" s="119">
        <f t="shared" si="577"/>
        <v>5.0000000000000003E-10</v>
      </c>
      <c r="AA413" s="119">
        <f t="shared" si="578"/>
        <v>6E-10</v>
      </c>
      <c r="AB413" s="119">
        <f t="shared" si="579"/>
        <v>6.9999999999999996E-10</v>
      </c>
      <c r="AC413" s="119">
        <f t="shared" si="580"/>
        <v>8.0000000000000003E-10</v>
      </c>
      <c r="AD413" s="119">
        <f t="shared" si="581"/>
        <v>8.9999999999999999E-10</v>
      </c>
      <c r="AE413" s="119">
        <f t="shared" si="571"/>
        <v>9.5000000000000003E-10</v>
      </c>
      <c r="AF413" s="142" t="b">
        <f t="shared" si="582"/>
        <v>0</v>
      </c>
      <c r="AG413" s="142" t="b">
        <f t="shared" si="583"/>
        <v>0</v>
      </c>
      <c r="AH413" s="142" t="b">
        <f t="shared" si="584"/>
        <v>0</v>
      </c>
      <c r="AI413" s="142" t="b">
        <f t="shared" si="585"/>
        <v>0</v>
      </c>
      <c r="AJ413" s="142" t="b">
        <f t="shared" si="586"/>
        <v>0</v>
      </c>
      <c r="AK413" s="142" t="b">
        <f t="shared" si="587"/>
        <v>1</v>
      </c>
      <c r="AL413" s="142" t="b">
        <f t="shared" si="588"/>
        <v>1</v>
      </c>
      <c r="AM413" s="142" t="b">
        <f t="shared" si="589"/>
        <v>1</v>
      </c>
      <c r="AN413" s="142" t="b">
        <f t="shared" si="590"/>
        <v>1</v>
      </c>
      <c r="AO413" s="142" t="b">
        <f t="shared" si="591"/>
        <v>1</v>
      </c>
    </row>
    <row r="414" spans="1:41">
      <c r="A414" s="142" t="str">
        <f>'Reference Score Calculation'!A391</f>
        <v>JSSU79</v>
      </c>
      <c r="B414" s="119" t="str">
        <f>'Reference Score Calculation'!A391</f>
        <v>JSSU79</v>
      </c>
      <c r="C414" s="119" t="str">
        <f>'Reference Score Calculation'!D391</f>
        <v>土木工程榮譽工學士</v>
      </c>
      <c r="E414" s="119" t="str">
        <f>'Reference Score Calculation'!E391</f>
        <v>Best 5</v>
      </c>
      <c r="F414" s="143"/>
      <c r="G414" s="119" t="str">
        <f>入學要求!AB400</f>
        <v>v</v>
      </c>
      <c r="H414" s="119" t="str">
        <f>入學要求!AC400</f>
        <v>E</v>
      </c>
      <c r="I414" s="119" t="str">
        <f>入學要求!AD400</f>
        <v>v</v>
      </c>
      <c r="J414" s="119">
        <f t="shared" si="570"/>
        <v>3.9500000000000006E-9</v>
      </c>
      <c r="K414" s="119">
        <v>1</v>
      </c>
      <c r="L414" s="119">
        <v>1</v>
      </c>
      <c r="M414" s="119">
        <v>1</v>
      </c>
      <c r="N414" s="119">
        <v>0</v>
      </c>
      <c r="O414" s="119">
        <v>1</v>
      </c>
      <c r="P414" s="119">
        <v>1</v>
      </c>
      <c r="Q414" s="119">
        <v>1</v>
      </c>
      <c r="R414" s="119">
        <v>1</v>
      </c>
      <c r="S414" s="119">
        <v>1</v>
      </c>
      <c r="T414" s="119">
        <v>1</v>
      </c>
      <c r="V414" s="119">
        <f t="shared" si="573"/>
        <v>4.0000000000000001E-10</v>
      </c>
      <c r="W414" s="119">
        <f t="shared" si="574"/>
        <v>2.0000000000000001E-10</v>
      </c>
      <c r="X414" s="119">
        <f t="shared" si="575"/>
        <v>3E-10</v>
      </c>
      <c r="Y414" s="119">
        <f t="shared" si="576"/>
        <v>0</v>
      </c>
      <c r="Z414" s="119">
        <f t="shared" si="577"/>
        <v>5.0000000000000003E-10</v>
      </c>
      <c r="AA414" s="119">
        <f t="shared" si="578"/>
        <v>6E-10</v>
      </c>
      <c r="AB414" s="119">
        <f t="shared" si="579"/>
        <v>6.9999999999999996E-10</v>
      </c>
      <c r="AC414" s="119">
        <f t="shared" si="580"/>
        <v>8.0000000000000003E-10</v>
      </c>
      <c r="AD414" s="119">
        <f t="shared" si="581"/>
        <v>8.9999999999999999E-10</v>
      </c>
      <c r="AE414" s="119">
        <f t="shared" si="571"/>
        <v>9.5000000000000003E-10</v>
      </c>
      <c r="AF414" s="142" t="b">
        <f t="shared" si="582"/>
        <v>0</v>
      </c>
      <c r="AG414" s="142" t="b">
        <f t="shared" si="583"/>
        <v>0</v>
      </c>
      <c r="AH414" s="142" t="b">
        <f t="shared" si="584"/>
        <v>0</v>
      </c>
      <c r="AI414" s="142" t="b">
        <f t="shared" si="585"/>
        <v>0</v>
      </c>
      <c r="AJ414" s="142" t="b">
        <f t="shared" si="586"/>
        <v>0</v>
      </c>
      <c r="AK414" s="142" t="b">
        <f t="shared" si="587"/>
        <v>1</v>
      </c>
      <c r="AL414" s="142" t="b">
        <f t="shared" si="588"/>
        <v>1</v>
      </c>
      <c r="AM414" s="142" t="b">
        <f t="shared" si="589"/>
        <v>1</v>
      </c>
      <c r="AN414" s="142" t="b">
        <f t="shared" si="590"/>
        <v>1</v>
      </c>
      <c r="AO414" s="142" t="b">
        <f t="shared" si="591"/>
        <v>1</v>
      </c>
    </row>
    <row r="415" spans="1:41">
      <c r="A415" s="142" t="str">
        <f>'Reference Score Calculation'!A392</f>
        <v>JSSU90</v>
      </c>
      <c r="B415" s="119" t="str">
        <f>'Reference Score Calculation'!A392</f>
        <v>JSSU90</v>
      </c>
      <c r="C415" s="119" t="str">
        <f>'Reference Score Calculation'!D392</f>
        <v>國際款待及景區管理榮譽工商管理學士</v>
      </c>
      <c r="D415" s="132"/>
      <c r="E415" s="119" t="str">
        <f>'Reference Score Calculation'!E392</f>
        <v>Best 5</v>
      </c>
      <c r="F415" s="119"/>
      <c r="G415" s="119" t="str">
        <f>入學要求!AB401</f>
        <v>v</v>
      </c>
      <c r="H415" s="119" t="str">
        <f>入學要求!AC401</f>
        <v>E</v>
      </c>
      <c r="I415" s="119" t="str">
        <f>入學要求!AD401</f>
        <v>v</v>
      </c>
      <c r="J415" s="119">
        <f t="shared" si="570"/>
        <v>3.9500000000000006E-9</v>
      </c>
      <c r="K415" s="119">
        <v>1</v>
      </c>
      <c r="L415" s="119">
        <v>1</v>
      </c>
      <c r="M415" s="119">
        <v>1</v>
      </c>
      <c r="N415" s="119">
        <v>0</v>
      </c>
      <c r="O415" s="119">
        <v>1</v>
      </c>
      <c r="P415" s="119">
        <v>1</v>
      </c>
      <c r="Q415" s="119">
        <v>1</v>
      </c>
      <c r="R415" s="119">
        <v>1</v>
      </c>
      <c r="S415" s="119">
        <v>1</v>
      </c>
      <c r="T415" s="119">
        <v>1</v>
      </c>
      <c r="V415" s="119">
        <f t="shared" si="573"/>
        <v>4.0000000000000001E-10</v>
      </c>
      <c r="W415" s="119">
        <f t="shared" si="574"/>
        <v>2.0000000000000001E-10</v>
      </c>
      <c r="X415" s="119">
        <f t="shared" si="575"/>
        <v>3E-10</v>
      </c>
      <c r="Y415" s="119">
        <f t="shared" si="576"/>
        <v>0</v>
      </c>
      <c r="Z415" s="119">
        <f t="shared" si="577"/>
        <v>5.0000000000000003E-10</v>
      </c>
      <c r="AA415" s="119">
        <f t="shared" si="578"/>
        <v>6E-10</v>
      </c>
      <c r="AB415" s="119">
        <f t="shared" si="579"/>
        <v>6.9999999999999996E-10</v>
      </c>
      <c r="AC415" s="119">
        <f t="shared" si="580"/>
        <v>8.0000000000000003E-10</v>
      </c>
      <c r="AD415" s="119">
        <f t="shared" si="581"/>
        <v>8.9999999999999999E-10</v>
      </c>
      <c r="AE415" s="119">
        <f t="shared" si="571"/>
        <v>9.5000000000000003E-10</v>
      </c>
      <c r="AF415" s="142" t="b">
        <f t="shared" si="582"/>
        <v>0</v>
      </c>
      <c r="AG415" s="142" t="b">
        <f t="shared" si="583"/>
        <v>0</v>
      </c>
      <c r="AH415" s="142" t="b">
        <f t="shared" si="584"/>
        <v>0</v>
      </c>
      <c r="AI415" s="142" t="b">
        <f t="shared" si="585"/>
        <v>0</v>
      </c>
      <c r="AJ415" s="142" t="b">
        <f t="shared" si="586"/>
        <v>0</v>
      </c>
      <c r="AK415" s="142" t="b">
        <f t="shared" si="587"/>
        <v>1</v>
      </c>
      <c r="AL415" s="142" t="b">
        <f t="shared" si="588"/>
        <v>1</v>
      </c>
      <c r="AM415" s="142" t="b">
        <f t="shared" si="589"/>
        <v>1</v>
      </c>
      <c r="AN415" s="142" t="b">
        <f t="shared" si="590"/>
        <v>1</v>
      </c>
      <c r="AO415" s="142" t="b">
        <f t="shared" si="591"/>
        <v>1</v>
      </c>
    </row>
    <row r="416" spans="1:41">
      <c r="A416" s="142" t="str">
        <f>'Reference Score Calculation'!A393</f>
        <v>JSSU95</v>
      </c>
      <c r="B416" s="119" t="str">
        <f>'Reference Score Calculation'!A393</f>
        <v>JSSU95</v>
      </c>
      <c r="C416" s="119" t="str">
        <f>'Reference Score Calculation'!D393</f>
        <v>運動及康樂管理榮譽工商管理學士</v>
      </c>
      <c r="D416" s="132"/>
      <c r="E416" s="119" t="str">
        <f>'Reference Score Calculation'!E393</f>
        <v>Best 5</v>
      </c>
      <c r="F416" s="119"/>
      <c r="G416" s="119" t="str">
        <f>入學要求!AB402</f>
        <v>v</v>
      </c>
      <c r="H416" s="119" t="str">
        <f>入學要求!AC402</f>
        <v>E</v>
      </c>
      <c r="I416" s="119" t="str">
        <f>入學要求!AD402</f>
        <v>v</v>
      </c>
      <c r="J416" s="119">
        <f t="shared" si="570"/>
        <v>3.9500000000000006E-9</v>
      </c>
      <c r="K416" s="119">
        <v>1</v>
      </c>
      <c r="L416" s="119">
        <v>1</v>
      </c>
      <c r="M416" s="119">
        <v>1</v>
      </c>
      <c r="N416" s="119">
        <v>0</v>
      </c>
      <c r="O416" s="119">
        <v>1</v>
      </c>
      <c r="P416" s="119">
        <v>1</v>
      </c>
      <c r="Q416" s="119">
        <v>1</v>
      </c>
      <c r="R416" s="119">
        <v>1</v>
      </c>
      <c r="S416" s="119">
        <v>1</v>
      </c>
      <c r="T416" s="119">
        <v>1</v>
      </c>
      <c r="V416" s="119">
        <f t="shared" si="573"/>
        <v>4.0000000000000001E-10</v>
      </c>
      <c r="W416" s="119">
        <f t="shared" si="574"/>
        <v>2.0000000000000001E-10</v>
      </c>
      <c r="X416" s="119">
        <f t="shared" si="575"/>
        <v>3E-10</v>
      </c>
      <c r="Y416" s="119">
        <f t="shared" si="576"/>
        <v>0</v>
      </c>
      <c r="Z416" s="119">
        <f t="shared" si="577"/>
        <v>5.0000000000000003E-10</v>
      </c>
      <c r="AA416" s="119">
        <f t="shared" si="578"/>
        <v>6E-10</v>
      </c>
      <c r="AB416" s="119">
        <f t="shared" si="579"/>
        <v>6.9999999999999996E-10</v>
      </c>
      <c r="AC416" s="119">
        <f t="shared" si="580"/>
        <v>8.0000000000000003E-10</v>
      </c>
      <c r="AD416" s="119">
        <f t="shared" si="581"/>
        <v>8.9999999999999999E-10</v>
      </c>
      <c r="AE416" s="119">
        <f t="shared" si="571"/>
        <v>9.5000000000000003E-10</v>
      </c>
      <c r="AF416" s="142" t="b">
        <f t="shared" si="582"/>
        <v>0</v>
      </c>
      <c r="AG416" s="142" t="b">
        <f t="shared" si="583"/>
        <v>0</v>
      </c>
      <c r="AH416" s="142" t="b">
        <f t="shared" si="584"/>
        <v>0</v>
      </c>
      <c r="AI416" s="142" t="b">
        <f t="shared" si="585"/>
        <v>0</v>
      </c>
      <c r="AJ416" s="142" t="b">
        <f t="shared" si="586"/>
        <v>0</v>
      </c>
      <c r="AK416" s="142" t="b">
        <f t="shared" si="587"/>
        <v>1</v>
      </c>
      <c r="AL416" s="142" t="b">
        <f t="shared" si="588"/>
        <v>1</v>
      </c>
      <c r="AM416" s="142" t="b">
        <f t="shared" si="589"/>
        <v>1</v>
      </c>
      <c r="AN416" s="142" t="b">
        <f t="shared" si="590"/>
        <v>1</v>
      </c>
      <c r="AO416" s="142" t="b">
        <f t="shared" si="591"/>
        <v>1</v>
      </c>
    </row>
    <row r="417" spans="1:41">
      <c r="A417" s="142" t="str">
        <f>'Reference Score Calculation'!A394</f>
        <v>JSSU96</v>
      </c>
      <c r="B417" s="119" t="str">
        <f>'Reference Score Calculation'!A394</f>
        <v>JSSU96</v>
      </c>
      <c r="C417" s="119" t="str">
        <f>'Reference Score Calculation'!D394</f>
        <v>財務及金融科技榮譽工商管理學士</v>
      </c>
      <c r="D417" s="132"/>
      <c r="E417" s="119" t="str">
        <f>'Reference Score Calculation'!E394</f>
        <v>Best 5</v>
      </c>
      <c r="F417" s="119"/>
      <c r="G417" s="119" t="str">
        <f>入學要求!AB403</f>
        <v>v</v>
      </c>
      <c r="H417" s="119" t="str">
        <f>入學要求!AC403</f>
        <v>E</v>
      </c>
      <c r="I417" s="119" t="str">
        <f>入學要求!AD403</f>
        <v>v</v>
      </c>
      <c r="J417" s="119">
        <f t="shared" si="570"/>
        <v>3.9500000000000006E-9</v>
      </c>
      <c r="K417" s="119">
        <v>1</v>
      </c>
      <c r="L417" s="119">
        <v>1</v>
      </c>
      <c r="M417" s="119">
        <v>1</v>
      </c>
      <c r="N417" s="119">
        <v>0</v>
      </c>
      <c r="O417" s="119">
        <v>1</v>
      </c>
      <c r="P417" s="119">
        <v>1</v>
      </c>
      <c r="Q417" s="119">
        <v>1</v>
      </c>
      <c r="R417" s="119">
        <v>1</v>
      </c>
      <c r="S417" s="119">
        <v>1</v>
      </c>
      <c r="T417" s="119">
        <v>1</v>
      </c>
      <c r="V417" s="119">
        <f t="shared" si="573"/>
        <v>4.0000000000000001E-10</v>
      </c>
      <c r="W417" s="119">
        <f t="shared" si="574"/>
        <v>2.0000000000000001E-10</v>
      </c>
      <c r="X417" s="119">
        <f t="shared" si="575"/>
        <v>3E-10</v>
      </c>
      <c r="Y417" s="119">
        <f t="shared" si="576"/>
        <v>0</v>
      </c>
      <c r="Z417" s="119">
        <f t="shared" si="577"/>
        <v>5.0000000000000003E-10</v>
      </c>
      <c r="AA417" s="119">
        <f t="shared" si="578"/>
        <v>6E-10</v>
      </c>
      <c r="AB417" s="119">
        <f t="shared" si="579"/>
        <v>6.9999999999999996E-10</v>
      </c>
      <c r="AC417" s="119">
        <f t="shared" si="580"/>
        <v>8.0000000000000003E-10</v>
      </c>
      <c r="AD417" s="119">
        <f t="shared" si="581"/>
        <v>8.9999999999999999E-10</v>
      </c>
      <c r="AE417" s="119">
        <f t="shared" si="571"/>
        <v>9.5000000000000003E-10</v>
      </c>
      <c r="AF417" s="142" t="b">
        <f t="shared" si="582"/>
        <v>0</v>
      </c>
      <c r="AG417" s="142" t="b">
        <f t="shared" si="583"/>
        <v>0</v>
      </c>
      <c r="AH417" s="142" t="b">
        <f t="shared" si="584"/>
        <v>0</v>
      </c>
      <c r="AI417" s="142" t="b">
        <f t="shared" si="585"/>
        <v>0</v>
      </c>
      <c r="AJ417" s="142" t="b">
        <f t="shared" si="586"/>
        <v>0</v>
      </c>
      <c r="AK417" s="142" t="b">
        <f t="shared" si="587"/>
        <v>1</v>
      </c>
      <c r="AL417" s="142" t="b">
        <f t="shared" si="588"/>
        <v>1</v>
      </c>
      <c r="AM417" s="142" t="b">
        <f t="shared" si="589"/>
        <v>1</v>
      </c>
      <c r="AN417" s="142" t="b">
        <f t="shared" si="590"/>
        <v>1</v>
      </c>
      <c r="AO417" s="142" t="b">
        <f t="shared" si="591"/>
        <v>1</v>
      </c>
    </row>
    <row r="418" spans="1:41">
      <c r="A418" s="142" t="str">
        <f>'Reference Score Calculation'!A395</f>
        <v>JSSU97</v>
      </c>
      <c r="B418" s="119" t="str">
        <f>'Reference Score Calculation'!A395</f>
        <v>JSSU97</v>
      </c>
      <c r="C418" s="119" t="str">
        <f>'Reference Score Calculation'!D395</f>
        <v>環球市場及供應鏈管理榮譽工商管理學士</v>
      </c>
      <c r="D418" s="132"/>
      <c r="E418" s="119" t="str">
        <f>'Reference Score Calculation'!E395</f>
        <v>Best 5</v>
      </c>
      <c r="F418" s="119"/>
      <c r="G418" s="119" t="str">
        <f>入學要求!AB404</f>
        <v>v</v>
      </c>
      <c r="H418" s="119" t="str">
        <f>入學要求!AC404</f>
        <v>E</v>
      </c>
      <c r="I418" s="119" t="str">
        <f>入學要求!AD404</f>
        <v>v</v>
      </c>
      <c r="J418" s="119">
        <f t="shared" si="570"/>
        <v>3.9500000000000006E-9</v>
      </c>
      <c r="K418" s="119">
        <v>1</v>
      </c>
      <c r="L418" s="119">
        <v>1</v>
      </c>
      <c r="M418" s="119">
        <v>1</v>
      </c>
      <c r="N418" s="119">
        <v>0</v>
      </c>
      <c r="O418" s="119">
        <v>1</v>
      </c>
      <c r="P418" s="119">
        <v>1</v>
      </c>
      <c r="Q418" s="119">
        <v>1</v>
      </c>
      <c r="R418" s="119">
        <v>1</v>
      </c>
      <c r="S418" s="119">
        <v>1</v>
      </c>
      <c r="T418" s="119">
        <v>1</v>
      </c>
      <c r="V418" s="119">
        <f t="shared" si="573"/>
        <v>4.0000000000000001E-10</v>
      </c>
      <c r="W418" s="119">
        <f t="shared" si="574"/>
        <v>2.0000000000000001E-10</v>
      </c>
      <c r="X418" s="119">
        <f t="shared" si="575"/>
        <v>3E-10</v>
      </c>
      <c r="Y418" s="119">
        <f t="shared" si="576"/>
        <v>0</v>
      </c>
      <c r="Z418" s="119">
        <f t="shared" si="577"/>
        <v>5.0000000000000003E-10</v>
      </c>
      <c r="AA418" s="119">
        <f t="shared" si="578"/>
        <v>6E-10</v>
      </c>
      <c r="AB418" s="119">
        <f t="shared" si="579"/>
        <v>6.9999999999999996E-10</v>
      </c>
      <c r="AC418" s="119">
        <f t="shared" si="580"/>
        <v>8.0000000000000003E-10</v>
      </c>
      <c r="AD418" s="119">
        <f t="shared" si="581"/>
        <v>8.9999999999999999E-10</v>
      </c>
      <c r="AE418" s="119">
        <f t="shared" si="571"/>
        <v>9.5000000000000003E-10</v>
      </c>
      <c r="AF418" s="142" t="b">
        <f t="shared" si="582"/>
        <v>0</v>
      </c>
      <c r="AG418" s="142" t="b">
        <f t="shared" si="583"/>
        <v>0</v>
      </c>
      <c r="AH418" s="142" t="b">
        <f t="shared" si="584"/>
        <v>0</v>
      </c>
      <c r="AI418" s="142" t="b">
        <f t="shared" si="585"/>
        <v>0</v>
      </c>
      <c r="AJ418" s="142" t="b">
        <f t="shared" si="586"/>
        <v>0</v>
      </c>
      <c r="AK418" s="142" t="b">
        <f t="shared" si="587"/>
        <v>1</v>
      </c>
      <c r="AL418" s="142" t="b">
        <f t="shared" si="588"/>
        <v>1</v>
      </c>
      <c r="AM418" s="142" t="b">
        <f t="shared" si="589"/>
        <v>1</v>
      </c>
      <c r="AN418" s="142" t="b">
        <f t="shared" si="590"/>
        <v>1</v>
      </c>
      <c r="AO418" s="142" t="b">
        <f t="shared" si="591"/>
        <v>1</v>
      </c>
    </row>
    <row r="419" spans="1:41">
      <c r="A419" s="142" t="str">
        <f>'Reference Score Calculation'!A396</f>
        <v>JSSV01</v>
      </c>
      <c r="B419" s="119" t="str">
        <f>'Reference Score Calculation'!A396</f>
        <v>JSSV01</v>
      </c>
      <c r="C419" s="119" t="str">
        <f>'Reference Score Calculation'!D396</f>
        <v>時裝設計（榮譽）文學士</v>
      </c>
      <c r="D419" s="132"/>
      <c r="E419" s="119" t="str">
        <f>'Reference Score Calculation'!E396</f>
        <v>Best 5</v>
      </c>
      <c r="F419" s="119"/>
      <c r="G419" s="119" t="str">
        <f>入學要求!AB405</f>
        <v>NO</v>
      </c>
      <c r="H419" s="119" t="str">
        <f>入學要求!AC405</f>
        <v>NO</v>
      </c>
      <c r="I419" s="119" t="str">
        <f>入學要求!AD405</f>
        <v>v</v>
      </c>
      <c r="J419" s="119">
        <f t="shared" si="570"/>
        <v>3.3999999999999998E-9</v>
      </c>
      <c r="K419" s="119">
        <v>1</v>
      </c>
      <c r="L419" s="119">
        <v>1</v>
      </c>
      <c r="M419" s="119">
        <v>1</v>
      </c>
      <c r="N419" s="119">
        <v>0</v>
      </c>
      <c r="O419" s="119">
        <v>1</v>
      </c>
      <c r="P419" s="119">
        <v>1</v>
      </c>
      <c r="Q419" s="119">
        <v>1</v>
      </c>
      <c r="R419" s="119">
        <v>1</v>
      </c>
      <c r="S419" s="119">
        <v>1</v>
      </c>
      <c r="T419" s="119">
        <v>1</v>
      </c>
      <c r="V419" s="119">
        <f t="shared" si="573"/>
        <v>4.0000000000000001E-10</v>
      </c>
      <c r="W419" s="119">
        <f t="shared" si="574"/>
        <v>2.0000000000000001E-10</v>
      </c>
      <c r="X419" s="119">
        <f t="shared" si="575"/>
        <v>3E-10</v>
      </c>
      <c r="Y419" s="119">
        <f t="shared" si="576"/>
        <v>0</v>
      </c>
      <c r="Z419" s="119">
        <f t="shared" si="577"/>
        <v>0</v>
      </c>
      <c r="AA419" s="119">
        <f t="shared" si="578"/>
        <v>6E-10</v>
      </c>
      <c r="AB419" s="119">
        <f t="shared" si="579"/>
        <v>6.9999999999999996E-10</v>
      </c>
      <c r="AC419" s="119">
        <f t="shared" si="580"/>
        <v>8.0000000000000003E-10</v>
      </c>
      <c r="AD419" s="119">
        <f t="shared" si="581"/>
        <v>8.9999999999999999E-10</v>
      </c>
      <c r="AE419" s="119">
        <f t="shared" ref="AE419:AE426" si="592">IF(H419="E",U$11*T419,0)</f>
        <v>0</v>
      </c>
      <c r="AF419" s="142" t="b">
        <f t="shared" si="582"/>
        <v>1</v>
      </c>
      <c r="AG419" s="142" t="b">
        <f t="shared" si="583"/>
        <v>0</v>
      </c>
      <c r="AH419" s="142" t="b">
        <f t="shared" si="584"/>
        <v>0</v>
      </c>
      <c r="AI419" s="142" t="b">
        <f t="shared" si="585"/>
        <v>0</v>
      </c>
      <c r="AJ419" s="142" t="b">
        <f t="shared" si="586"/>
        <v>0</v>
      </c>
      <c r="AK419" s="142" t="b">
        <f t="shared" si="587"/>
        <v>1</v>
      </c>
      <c r="AL419" s="142" t="b">
        <f t="shared" si="588"/>
        <v>1</v>
      </c>
      <c r="AM419" s="142" t="b">
        <f t="shared" si="589"/>
        <v>1</v>
      </c>
      <c r="AN419" s="142" t="b">
        <f t="shared" si="590"/>
        <v>1</v>
      </c>
      <c r="AO419" s="142" t="b">
        <f t="shared" si="591"/>
        <v>0</v>
      </c>
    </row>
    <row r="420" spans="1:41">
      <c r="A420" s="142" t="str">
        <f>'Reference Score Calculation'!A397</f>
        <v>JSSV02</v>
      </c>
      <c r="B420" s="119" t="str">
        <f>'Reference Score Calculation'!A397</f>
        <v>JSSV02</v>
      </c>
      <c r="C420" s="119" t="str">
        <f>'Reference Score Calculation'!D397</f>
        <v>產品設計（榮譽）文學士</v>
      </c>
      <c r="D420" s="132"/>
      <c r="E420" s="119" t="str">
        <f>'Reference Score Calculation'!E397</f>
        <v>Best 5</v>
      </c>
      <c r="F420" s="119"/>
      <c r="G420" s="119" t="str">
        <f>入學要求!AB406</f>
        <v>NO</v>
      </c>
      <c r="H420" s="119" t="str">
        <f>入學要求!AC406</f>
        <v>NO</v>
      </c>
      <c r="I420" s="119" t="str">
        <f>入學要求!AD406</f>
        <v>v</v>
      </c>
      <c r="J420" s="119">
        <f t="shared" si="570"/>
        <v>3.3999999999999998E-9</v>
      </c>
      <c r="K420" s="119">
        <v>1</v>
      </c>
      <c r="L420" s="119">
        <v>1</v>
      </c>
      <c r="M420" s="119">
        <v>1</v>
      </c>
      <c r="N420" s="119">
        <v>0</v>
      </c>
      <c r="O420" s="119">
        <v>1</v>
      </c>
      <c r="P420" s="119">
        <v>1</v>
      </c>
      <c r="Q420" s="119">
        <v>1</v>
      </c>
      <c r="R420" s="119">
        <v>1</v>
      </c>
      <c r="S420" s="119">
        <v>1</v>
      </c>
      <c r="T420" s="119">
        <v>1</v>
      </c>
      <c r="V420" s="119">
        <f t="shared" si="573"/>
        <v>4.0000000000000001E-10</v>
      </c>
      <c r="W420" s="119">
        <f t="shared" si="574"/>
        <v>2.0000000000000001E-10</v>
      </c>
      <c r="X420" s="119">
        <f t="shared" si="575"/>
        <v>3E-10</v>
      </c>
      <c r="Y420" s="119">
        <f t="shared" si="576"/>
        <v>0</v>
      </c>
      <c r="Z420" s="119">
        <f t="shared" si="577"/>
        <v>0</v>
      </c>
      <c r="AA420" s="119">
        <f t="shared" si="578"/>
        <v>6E-10</v>
      </c>
      <c r="AB420" s="119">
        <f t="shared" si="579"/>
        <v>6.9999999999999996E-10</v>
      </c>
      <c r="AC420" s="119">
        <f t="shared" si="580"/>
        <v>8.0000000000000003E-10</v>
      </c>
      <c r="AD420" s="119">
        <f t="shared" si="581"/>
        <v>8.9999999999999999E-10</v>
      </c>
      <c r="AE420" s="119">
        <f t="shared" si="592"/>
        <v>0</v>
      </c>
      <c r="AF420" s="142" t="b">
        <f t="shared" si="582"/>
        <v>1</v>
      </c>
      <c r="AG420" s="142" t="b">
        <f t="shared" si="583"/>
        <v>0</v>
      </c>
      <c r="AH420" s="142" t="b">
        <f t="shared" si="584"/>
        <v>0</v>
      </c>
      <c r="AI420" s="142" t="b">
        <f t="shared" si="585"/>
        <v>0</v>
      </c>
      <c r="AJ420" s="142" t="b">
        <f t="shared" si="586"/>
        <v>0</v>
      </c>
      <c r="AK420" s="142" t="b">
        <f t="shared" si="587"/>
        <v>1</v>
      </c>
      <c r="AL420" s="142" t="b">
        <f t="shared" si="588"/>
        <v>1</v>
      </c>
      <c r="AM420" s="142" t="b">
        <f t="shared" si="589"/>
        <v>1</v>
      </c>
      <c r="AN420" s="142" t="b">
        <f t="shared" si="590"/>
        <v>1</v>
      </c>
      <c r="AO420" s="142" t="b">
        <f t="shared" si="591"/>
        <v>0</v>
      </c>
    </row>
    <row r="421" spans="1:41">
      <c r="A421" s="142" t="str">
        <f>'Reference Score Calculation'!A398</f>
        <v>JSSV03</v>
      </c>
      <c r="B421" s="119" t="str">
        <f>'Reference Score Calculation'!A398</f>
        <v>JSSV03</v>
      </c>
      <c r="C421" s="119" t="str">
        <f>'Reference Score Calculation'!D398</f>
        <v>園境建築（榮譽）文學士</v>
      </c>
      <c r="D421" s="132"/>
      <c r="E421" s="119" t="str">
        <f>'Reference Score Calculation'!E398</f>
        <v>Best 5</v>
      </c>
      <c r="F421" s="119"/>
      <c r="G421" s="119" t="str">
        <f>入學要求!AB407</f>
        <v>NO</v>
      </c>
      <c r="H421" s="119" t="str">
        <f>入學要求!AC407</f>
        <v>NO</v>
      </c>
      <c r="I421" s="119" t="str">
        <f>入學要求!AD407</f>
        <v>v</v>
      </c>
      <c r="J421" s="119">
        <f t="shared" si="570"/>
        <v>3.3999999999999998E-9</v>
      </c>
      <c r="K421" s="119">
        <v>1</v>
      </c>
      <c r="L421" s="119">
        <v>1</v>
      </c>
      <c r="M421" s="119">
        <v>1</v>
      </c>
      <c r="N421" s="119">
        <v>0</v>
      </c>
      <c r="O421" s="119">
        <v>1</v>
      </c>
      <c r="P421" s="119">
        <v>1</v>
      </c>
      <c r="Q421" s="119">
        <v>1</v>
      </c>
      <c r="R421" s="119">
        <v>1</v>
      </c>
      <c r="S421" s="119">
        <v>1</v>
      </c>
      <c r="T421" s="119">
        <v>1</v>
      </c>
      <c r="V421" s="119">
        <f t="shared" si="573"/>
        <v>4.0000000000000001E-10</v>
      </c>
      <c r="W421" s="119">
        <f t="shared" si="574"/>
        <v>2.0000000000000001E-10</v>
      </c>
      <c r="X421" s="119">
        <f t="shared" si="575"/>
        <v>3E-10</v>
      </c>
      <c r="Y421" s="119">
        <f t="shared" si="576"/>
        <v>0</v>
      </c>
      <c r="Z421" s="119">
        <f t="shared" si="577"/>
        <v>0</v>
      </c>
      <c r="AA421" s="119">
        <f t="shared" si="578"/>
        <v>6E-10</v>
      </c>
      <c r="AB421" s="119">
        <f t="shared" si="579"/>
        <v>6.9999999999999996E-10</v>
      </c>
      <c r="AC421" s="119">
        <f t="shared" si="580"/>
        <v>8.0000000000000003E-10</v>
      </c>
      <c r="AD421" s="119">
        <f t="shared" si="581"/>
        <v>8.9999999999999999E-10</v>
      </c>
      <c r="AE421" s="119">
        <f t="shared" si="592"/>
        <v>0</v>
      </c>
      <c r="AF421" s="142" t="b">
        <f t="shared" si="582"/>
        <v>1</v>
      </c>
      <c r="AG421" s="142" t="b">
        <f t="shared" si="583"/>
        <v>0</v>
      </c>
      <c r="AH421" s="142" t="b">
        <f t="shared" si="584"/>
        <v>0</v>
      </c>
      <c r="AI421" s="142" t="b">
        <f t="shared" si="585"/>
        <v>0</v>
      </c>
      <c r="AJ421" s="142" t="b">
        <f t="shared" si="586"/>
        <v>0</v>
      </c>
      <c r="AK421" s="142" t="b">
        <f t="shared" si="587"/>
        <v>1</v>
      </c>
      <c r="AL421" s="142" t="b">
        <f t="shared" si="588"/>
        <v>1</v>
      </c>
      <c r="AM421" s="142" t="b">
        <f t="shared" si="589"/>
        <v>1</v>
      </c>
      <c r="AN421" s="142" t="b">
        <f t="shared" si="590"/>
        <v>1</v>
      </c>
      <c r="AO421" s="142" t="b">
        <f t="shared" si="591"/>
        <v>0</v>
      </c>
    </row>
    <row r="422" spans="1:41">
      <c r="A422" s="142" t="str">
        <f>'Reference Score Calculation'!A399</f>
        <v>JSSV04</v>
      </c>
      <c r="B422" s="119" t="str">
        <f>'Reference Score Calculation'!A399</f>
        <v>JSSV04</v>
      </c>
      <c r="C422" s="119" t="str">
        <f>'Reference Score Calculation'!D399</f>
        <v>廚藝及管理（榮譽）文學士</v>
      </c>
      <c r="D422" s="132"/>
      <c r="E422" s="119" t="str">
        <f>'Reference Score Calculation'!E399</f>
        <v>Best 5</v>
      </c>
      <c r="F422" s="119"/>
      <c r="G422" s="119" t="str">
        <f>入學要求!AB408</f>
        <v>NO</v>
      </c>
      <c r="H422" s="119" t="str">
        <f>入學要求!AC408</f>
        <v>NO</v>
      </c>
      <c r="I422" s="119" t="str">
        <f>入學要求!AD408</f>
        <v>v</v>
      </c>
      <c r="J422" s="119">
        <f t="shared" si="570"/>
        <v>3.3999999999999998E-9</v>
      </c>
      <c r="K422" s="119">
        <v>1</v>
      </c>
      <c r="L422" s="119">
        <v>1</v>
      </c>
      <c r="M422" s="119">
        <v>1</v>
      </c>
      <c r="N422" s="119">
        <v>0</v>
      </c>
      <c r="O422" s="119">
        <v>1</v>
      </c>
      <c r="P422" s="119">
        <v>1</v>
      </c>
      <c r="Q422" s="119">
        <v>1</v>
      </c>
      <c r="R422" s="119">
        <v>1</v>
      </c>
      <c r="S422" s="119">
        <v>1</v>
      </c>
      <c r="T422" s="119">
        <v>1</v>
      </c>
      <c r="V422" s="119">
        <f t="shared" si="573"/>
        <v>4.0000000000000001E-10</v>
      </c>
      <c r="W422" s="119">
        <f t="shared" si="574"/>
        <v>2.0000000000000001E-10</v>
      </c>
      <c r="X422" s="119">
        <f t="shared" si="575"/>
        <v>3E-10</v>
      </c>
      <c r="Y422" s="119">
        <f t="shared" si="576"/>
        <v>0</v>
      </c>
      <c r="Z422" s="119">
        <f t="shared" si="577"/>
        <v>0</v>
      </c>
      <c r="AA422" s="119">
        <f t="shared" si="578"/>
        <v>6E-10</v>
      </c>
      <c r="AB422" s="119">
        <f t="shared" si="579"/>
        <v>6.9999999999999996E-10</v>
      </c>
      <c r="AC422" s="119">
        <f t="shared" si="580"/>
        <v>8.0000000000000003E-10</v>
      </c>
      <c r="AD422" s="119">
        <f t="shared" si="581"/>
        <v>8.9999999999999999E-10</v>
      </c>
      <c r="AE422" s="119">
        <f t="shared" si="592"/>
        <v>0</v>
      </c>
      <c r="AF422" s="142" t="b">
        <f t="shared" si="582"/>
        <v>1</v>
      </c>
      <c r="AG422" s="142" t="b">
        <f t="shared" si="583"/>
        <v>0</v>
      </c>
      <c r="AH422" s="142" t="b">
        <f t="shared" si="584"/>
        <v>0</v>
      </c>
      <c r="AI422" s="142" t="b">
        <f t="shared" si="585"/>
        <v>0</v>
      </c>
      <c r="AJ422" s="142" t="b">
        <f t="shared" si="586"/>
        <v>0</v>
      </c>
      <c r="AK422" s="142" t="b">
        <f t="shared" si="587"/>
        <v>1</v>
      </c>
      <c r="AL422" s="142" t="b">
        <f t="shared" si="588"/>
        <v>1</v>
      </c>
      <c r="AM422" s="142" t="b">
        <f t="shared" si="589"/>
        <v>1</v>
      </c>
      <c r="AN422" s="142" t="b">
        <f t="shared" si="590"/>
        <v>1</v>
      </c>
      <c r="AO422" s="142" t="b">
        <f t="shared" si="591"/>
        <v>0</v>
      </c>
    </row>
    <row r="423" spans="1:41">
      <c r="A423" s="142" t="str">
        <f>'Reference Score Calculation'!A400</f>
        <v>JSSV05</v>
      </c>
      <c r="B423" s="119" t="str">
        <f>'Reference Score Calculation'!A400</f>
        <v>JSSV05</v>
      </c>
      <c r="C423" s="119" t="str">
        <f>'Reference Score Calculation'!D400</f>
        <v>土木工程（榮譽）工學士</v>
      </c>
      <c r="D423" s="132"/>
      <c r="E423" s="119" t="str">
        <f>'Reference Score Calculation'!E400</f>
        <v>Best 5</v>
      </c>
      <c r="F423" s="119"/>
      <c r="G423" s="119" t="str">
        <f>入學要求!AB409</f>
        <v>v</v>
      </c>
      <c r="H423" s="119" t="str">
        <f>入學要求!AC409</f>
        <v>NO</v>
      </c>
      <c r="I423" s="119" t="str">
        <f>入學要求!AD409</f>
        <v>v</v>
      </c>
      <c r="J423" s="119">
        <f t="shared" si="570"/>
        <v>3.4999999999999999E-9</v>
      </c>
      <c r="K423" s="119">
        <v>1</v>
      </c>
      <c r="L423" s="119">
        <v>1</v>
      </c>
      <c r="M423" s="119">
        <v>1</v>
      </c>
      <c r="N423" s="119">
        <v>0</v>
      </c>
      <c r="O423" s="119">
        <v>1</v>
      </c>
      <c r="P423" s="119">
        <v>1</v>
      </c>
      <c r="Q423" s="119">
        <v>1</v>
      </c>
      <c r="R423" s="119">
        <v>1</v>
      </c>
      <c r="S423" s="119">
        <v>1</v>
      </c>
      <c r="T423" s="119">
        <v>1</v>
      </c>
      <c r="V423" s="119">
        <f t="shared" si="573"/>
        <v>4.0000000000000001E-10</v>
      </c>
      <c r="W423" s="119">
        <f t="shared" si="574"/>
        <v>2.0000000000000001E-10</v>
      </c>
      <c r="X423" s="119">
        <f t="shared" si="575"/>
        <v>3E-10</v>
      </c>
      <c r="Y423" s="119">
        <f t="shared" si="576"/>
        <v>0</v>
      </c>
      <c r="Z423" s="119">
        <f t="shared" si="577"/>
        <v>5.0000000000000003E-10</v>
      </c>
      <c r="AA423" s="119">
        <f t="shared" si="578"/>
        <v>6E-10</v>
      </c>
      <c r="AB423" s="119">
        <f t="shared" si="579"/>
        <v>6.9999999999999996E-10</v>
      </c>
      <c r="AC423" s="119">
        <f t="shared" si="580"/>
        <v>8.0000000000000003E-10</v>
      </c>
      <c r="AD423" s="119">
        <f t="shared" si="581"/>
        <v>8.9999999999999999E-10</v>
      </c>
      <c r="AE423" s="119">
        <f t="shared" si="592"/>
        <v>0</v>
      </c>
      <c r="AF423" s="142" t="b">
        <f t="shared" si="582"/>
        <v>0</v>
      </c>
      <c r="AG423" s="142" t="b">
        <f t="shared" si="583"/>
        <v>0</v>
      </c>
      <c r="AH423" s="142" t="b">
        <f t="shared" si="584"/>
        <v>0</v>
      </c>
      <c r="AI423" s="142" t="b">
        <f t="shared" si="585"/>
        <v>0</v>
      </c>
      <c r="AJ423" s="142" t="b">
        <f t="shared" si="586"/>
        <v>1</v>
      </c>
      <c r="AK423" s="142" t="b">
        <f t="shared" si="587"/>
        <v>1</v>
      </c>
      <c r="AL423" s="142" t="b">
        <f t="shared" si="588"/>
        <v>1</v>
      </c>
      <c r="AM423" s="142" t="b">
        <f t="shared" si="589"/>
        <v>1</v>
      </c>
      <c r="AN423" s="142" t="b">
        <f t="shared" si="590"/>
        <v>1</v>
      </c>
      <c r="AO423" s="142" t="b">
        <f t="shared" si="591"/>
        <v>0</v>
      </c>
    </row>
    <row r="424" spans="1:41">
      <c r="A424" s="142" t="str">
        <f>'Reference Score Calculation'!A401</f>
        <v>JSSV07</v>
      </c>
      <c r="B424" s="119" t="str">
        <f>'Reference Score Calculation'!A401</f>
        <v>JSSV07</v>
      </c>
      <c r="C424" s="119" t="str">
        <f>'Reference Score Calculation'!D401</f>
        <v>園藝樹藝及園境管理（榮譽）理學士</v>
      </c>
      <c r="D424" s="132"/>
      <c r="E424" s="119" t="str">
        <f>'Reference Score Calculation'!E401</f>
        <v>Best 5</v>
      </c>
      <c r="F424" s="119"/>
      <c r="G424" s="119" t="str">
        <f>入學要求!AB410</f>
        <v>NO</v>
      </c>
      <c r="H424" s="119" t="str">
        <f>入學要求!AC410</f>
        <v>NO</v>
      </c>
      <c r="I424" s="119" t="str">
        <f>入學要求!AD410</f>
        <v>v</v>
      </c>
      <c r="J424" s="119">
        <f t="shared" si="570"/>
        <v>3.3999999999999998E-9</v>
      </c>
      <c r="K424" s="119">
        <v>1</v>
      </c>
      <c r="L424" s="119">
        <v>1</v>
      </c>
      <c r="M424" s="119">
        <v>1</v>
      </c>
      <c r="N424" s="119">
        <v>0</v>
      </c>
      <c r="O424" s="119">
        <v>1</v>
      </c>
      <c r="P424" s="119">
        <v>1</v>
      </c>
      <c r="Q424" s="119">
        <v>1</v>
      </c>
      <c r="R424" s="119">
        <v>1</v>
      </c>
      <c r="S424" s="119">
        <v>1</v>
      </c>
      <c r="T424" s="119">
        <v>1</v>
      </c>
      <c r="V424" s="119">
        <f t="shared" si="573"/>
        <v>4.0000000000000001E-10</v>
      </c>
      <c r="W424" s="119">
        <f t="shared" si="574"/>
        <v>2.0000000000000001E-10</v>
      </c>
      <c r="X424" s="119">
        <f t="shared" si="575"/>
        <v>3E-10</v>
      </c>
      <c r="Y424" s="119">
        <f t="shared" si="576"/>
        <v>0</v>
      </c>
      <c r="Z424" s="119">
        <f t="shared" si="577"/>
        <v>0</v>
      </c>
      <c r="AA424" s="119">
        <f t="shared" si="578"/>
        <v>6E-10</v>
      </c>
      <c r="AB424" s="119">
        <f t="shared" si="579"/>
        <v>6.9999999999999996E-10</v>
      </c>
      <c r="AC424" s="119">
        <f t="shared" si="580"/>
        <v>8.0000000000000003E-10</v>
      </c>
      <c r="AD424" s="119">
        <f t="shared" si="581"/>
        <v>8.9999999999999999E-10</v>
      </c>
      <c r="AE424" s="119">
        <f t="shared" si="592"/>
        <v>0</v>
      </c>
      <c r="AF424" s="142" t="b">
        <f t="shared" si="582"/>
        <v>1</v>
      </c>
      <c r="AG424" s="142" t="b">
        <f t="shared" si="583"/>
        <v>0</v>
      </c>
      <c r="AH424" s="142" t="b">
        <f t="shared" si="584"/>
        <v>0</v>
      </c>
      <c r="AI424" s="142" t="b">
        <f t="shared" si="585"/>
        <v>0</v>
      </c>
      <c r="AJ424" s="142" t="b">
        <f t="shared" si="586"/>
        <v>0</v>
      </c>
      <c r="AK424" s="142" t="b">
        <f t="shared" si="587"/>
        <v>1</v>
      </c>
      <c r="AL424" s="142" t="b">
        <f t="shared" si="588"/>
        <v>1</v>
      </c>
      <c r="AM424" s="142" t="b">
        <f t="shared" si="589"/>
        <v>1</v>
      </c>
      <c r="AN424" s="142" t="b">
        <f t="shared" si="590"/>
        <v>1</v>
      </c>
      <c r="AO424" s="142" t="b">
        <f t="shared" si="591"/>
        <v>0</v>
      </c>
    </row>
    <row r="425" spans="1:41">
      <c r="A425" s="142" t="str">
        <f>'Reference Score Calculation'!A402</f>
        <v>JSSV08</v>
      </c>
      <c r="B425" s="119" t="str">
        <f>'Reference Score Calculation'!A402</f>
        <v>JSSV08</v>
      </c>
      <c r="C425" s="119" t="str">
        <f>'Reference Score Calculation'!D402</f>
        <v>測量學（榮譽）理學士</v>
      </c>
      <c r="D425" s="132"/>
      <c r="E425" s="119" t="str">
        <f>'Reference Score Calculation'!E402</f>
        <v>Best 5</v>
      </c>
      <c r="F425" s="119"/>
      <c r="G425" s="119" t="str">
        <f>入學要求!AB411</f>
        <v>NO</v>
      </c>
      <c r="H425" s="119" t="str">
        <f>入學要求!AC411</f>
        <v>NO</v>
      </c>
      <c r="I425" s="119" t="str">
        <f>入學要求!AD411</f>
        <v>v</v>
      </c>
      <c r="J425" s="119">
        <f t="shared" si="570"/>
        <v>3.3999999999999998E-9</v>
      </c>
      <c r="K425" s="119">
        <v>1</v>
      </c>
      <c r="L425" s="119">
        <v>1</v>
      </c>
      <c r="M425" s="119">
        <v>1</v>
      </c>
      <c r="N425" s="119">
        <v>0</v>
      </c>
      <c r="O425" s="119">
        <v>1</v>
      </c>
      <c r="P425" s="119">
        <v>1</v>
      </c>
      <c r="Q425" s="119">
        <v>1</v>
      </c>
      <c r="R425" s="119">
        <v>1</v>
      </c>
      <c r="S425" s="119">
        <v>1</v>
      </c>
      <c r="T425" s="119">
        <v>1</v>
      </c>
      <c r="V425" s="119">
        <f t="shared" si="573"/>
        <v>4.0000000000000001E-10</v>
      </c>
      <c r="W425" s="119">
        <f t="shared" si="574"/>
        <v>2.0000000000000001E-10</v>
      </c>
      <c r="X425" s="119">
        <f t="shared" si="575"/>
        <v>3E-10</v>
      </c>
      <c r="Y425" s="119">
        <f t="shared" si="576"/>
        <v>0</v>
      </c>
      <c r="Z425" s="119">
        <f t="shared" si="577"/>
        <v>0</v>
      </c>
      <c r="AA425" s="119">
        <f t="shared" si="578"/>
        <v>6E-10</v>
      </c>
      <c r="AB425" s="119">
        <f t="shared" si="579"/>
        <v>6.9999999999999996E-10</v>
      </c>
      <c r="AC425" s="119">
        <f t="shared" si="580"/>
        <v>8.0000000000000003E-10</v>
      </c>
      <c r="AD425" s="119">
        <f t="shared" si="581"/>
        <v>8.9999999999999999E-10</v>
      </c>
      <c r="AE425" s="119">
        <f t="shared" si="592"/>
        <v>0</v>
      </c>
      <c r="AF425" s="142" t="b">
        <f t="shared" si="582"/>
        <v>1</v>
      </c>
      <c r="AG425" s="142" t="b">
        <f t="shared" si="583"/>
        <v>0</v>
      </c>
      <c r="AH425" s="142" t="b">
        <f t="shared" si="584"/>
        <v>0</v>
      </c>
      <c r="AI425" s="142" t="b">
        <f t="shared" si="585"/>
        <v>0</v>
      </c>
      <c r="AJ425" s="142" t="b">
        <f t="shared" si="586"/>
        <v>0</v>
      </c>
      <c r="AK425" s="142" t="b">
        <f t="shared" si="587"/>
        <v>1</v>
      </c>
      <c r="AL425" s="142" t="b">
        <f t="shared" si="588"/>
        <v>1</v>
      </c>
      <c r="AM425" s="142" t="b">
        <f t="shared" si="589"/>
        <v>1</v>
      </c>
      <c r="AN425" s="142" t="b">
        <f t="shared" si="590"/>
        <v>1</v>
      </c>
      <c r="AO425" s="142" t="b">
        <f t="shared" si="591"/>
        <v>0</v>
      </c>
    </row>
    <row r="426" spans="1:41">
      <c r="A426" s="142" t="str">
        <f>'Reference Score Calculation'!A403</f>
        <v>JSSV09</v>
      </c>
      <c r="B426" s="119" t="str">
        <f>'Reference Score Calculation'!A403</f>
        <v>JSSV09</v>
      </c>
      <c r="C426" s="119" t="str">
        <f>'Reference Score Calculation'!D403</f>
        <v>運動及康樂管理（榮譽）社會科學學士</v>
      </c>
      <c r="D426" s="132"/>
      <c r="E426" s="119" t="str">
        <f>'Reference Score Calculation'!E403</f>
        <v>Best 5</v>
      </c>
      <c r="F426" s="119"/>
      <c r="G426" s="119" t="str">
        <f>入學要求!AB412</f>
        <v>NO</v>
      </c>
      <c r="H426" s="119" t="str">
        <f>入學要求!AC412</f>
        <v>NO</v>
      </c>
      <c r="I426" s="119" t="str">
        <f>入學要求!AD412</f>
        <v>v</v>
      </c>
      <c r="J426" s="119">
        <f t="shared" si="570"/>
        <v>3.3999999999999998E-9</v>
      </c>
      <c r="K426" s="119">
        <v>1</v>
      </c>
      <c r="L426" s="119">
        <v>1</v>
      </c>
      <c r="M426" s="119">
        <v>1</v>
      </c>
      <c r="N426" s="119">
        <v>0</v>
      </c>
      <c r="O426" s="119">
        <v>1</v>
      </c>
      <c r="P426" s="119">
        <v>1</v>
      </c>
      <c r="Q426" s="119">
        <v>1</v>
      </c>
      <c r="R426" s="119">
        <v>1</v>
      </c>
      <c r="S426" s="119">
        <v>1</v>
      </c>
      <c r="T426" s="119">
        <v>1</v>
      </c>
      <c r="V426" s="119">
        <f t="shared" si="573"/>
        <v>4.0000000000000001E-10</v>
      </c>
      <c r="W426" s="119">
        <f t="shared" si="574"/>
        <v>2.0000000000000001E-10</v>
      </c>
      <c r="X426" s="119">
        <f t="shared" si="575"/>
        <v>3E-10</v>
      </c>
      <c r="Y426" s="119">
        <f t="shared" si="576"/>
        <v>0</v>
      </c>
      <c r="Z426" s="119">
        <f t="shared" si="577"/>
        <v>0</v>
      </c>
      <c r="AA426" s="119">
        <f t="shared" si="578"/>
        <v>6E-10</v>
      </c>
      <c r="AB426" s="119">
        <f t="shared" si="579"/>
        <v>6.9999999999999996E-10</v>
      </c>
      <c r="AC426" s="119">
        <f t="shared" si="580"/>
        <v>8.0000000000000003E-10</v>
      </c>
      <c r="AD426" s="119">
        <f t="shared" si="581"/>
        <v>8.9999999999999999E-10</v>
      </c>
      <c r="AE426" s="119">
        <f t="shared" si="592"/>
        <v>0</v>
      </c>
      <c r="AF426" s="142" t="b">
        <f t="shared" si="582"/>
        <v>1</v>
      </c>
      <c r="AG426" s="142" t="b">
        <f t="shared" si="583"/>
        <v>0</v>
      </c>
      <c r="AH426" s="142" t="b">
        <f t="shared" si="584"/>
        <v>0</v>
      </c>
      <c r="AI426" s="142" t="b">
        <f t="shared" si="585"/>
        <v>0</v>
      </c>
      <c r="AJ426" s="142" t="b">
        <f t="shared" si="586"/>
        <v>0</v>
      </c>
      <c r="AK426" s="142" t="b">
        <f t="shared" si="587"/>
        <v>1</v>
      </c>
      <c r="AL426" s="142" t="b">
        <f t="shared" si="588"/>
        <v>1</v>
      </c>
      <c r="AM426" s="142" t="b">
        <f t="shared" si="589"/>
        <v>1</v>
      </c>
      <c r="AN426" s="142" t="b">
        <f t="shared" si="590"/>
        <v>1</v>
      </c>
      <c r="AO426" s="142" t="b">
        <f t="shared" si="591"/>
        <v>0</v>
      </c>
    </row>
    <row r="427" spans="1:41">
      <c r="A427" s="142" t="str">
        <f>'Reference Score Calculation'!A404</f>
        <v>JSSV10</v>
      </c>
      <c r="B427" s="119" t="str">
        <f>'Reference Score Calculation'!A404</f>
        <v>JSSV10</v>
      </c>
      <c r="C427" s="119" t="str">
        <f>'Reference Score Calculation'!D404</f>
        <v>屋宇設備工程（榮譽）工學士</v>
      </c>
      <c r="D427" s="132"/>
      <c r="E427" s="119" t="str">
        <f>'Reference Score Calculation'!E404</f>
        <v>Best 5</v>
      </c>
      <c r="F427" s="119"/>
      <c r="G427" s="119" t="str">
        <f>入學要求!AB413</f>
        <v>v</v>
      </c>
      <c r="H427" s="119" t="str">
        <f>入學要求!AC413</f>
        <v>NO</v>
      </c>
      <c r="I427" s="119" t="str">
        <f>入學要求!AD413</f>
        <v>v</v>
      </c>
      <c r="J427" s="119">
        <f t="shared" si="570"/>
        <v>3.4999999999999999E-9</v>
      </c>
      <c r="K427" s="119">
        <v>1</v>
      </c>
      <c r="L427" s="119">
        <v>1</v>
      </c>
      <c r="M427" s="119">
        <v>1</v>
      </c>
      <c r="N427" s="119">
        <v>0</v>
      </c>
      <c r="O427" s="119">
        <v>1</v>
      </c>
      <c r="P427" s="119">
        <v>1</v>
      </c>
      <c r="Q427" s="119">
        <v>1</v>
      </c>
      <c r="R427" s="119">
        <v>1</v>
      </c>
      <c r="S427" s="119">
        <v>1</v>
      </c>
      <c r="T427" s="119">
        <v>1</v>
      </c>
      <c r="V427" s="119">
        <f t="shared" si="573"/>
        <v>4.0000000000000001E-10</v>
      </c>
      <c r="W427" s="119">
        <f t="shared" si="574"/>
        <v>2.0000000000000001E-10</v>
      </c>
      <c r="X427" s="119">
        <f t="shared" si="575"/>
        <v>3E-10</v>
      </c>
      <c r="Y427" s="119">
        <f t="shared" si="576"/>
        <v>0</v>
      </c>
      <c r="Z427" s="119">
        <f t="shared" si="577"/>
        <v>5.0000000000000003E-10</v>
      </c>
      <c r="AA427" s="119">
        <f t="shared" si="578"/>
        <v>6E-10</v>
      </c>
      <c r="AB427" s="119">
        <f t="shared" si="579"/>
        <v>6.9999999999999996E-10</v>
      </c>
      <c r="AC427" s="119">
        <f t="shared" si="580"/>
        <v>8.0000000000000003E-10</v>
      </c>
      <c r="AD427" s="119">
        <f t="shared" si="581"/>
        <v>8.9999999999999999E-10</v>
      </c>
      <c r="AE427" s="119">
        <f>IF(H427="E",T$11*T427,0)</f>
        <v>0</v>
      </c>
      <c r="AF427" s="142" t="b">
        <f t="shared" si="582"/>
        <v>0</v>
      </c>
      <c r="AG427" s="142" t="b">
        <f t="shared" si="583"/>
        <v>0</v>
      </c>
      <c r="AH427" s="142" t="b">
        <f t="shared" si="584"/>
        <v>0</v>
      </c>
      <c r="AI427" s="142" t="b">
        <f t="shared" si="585"/>
        <v>0</v>
      </c>
      <c r="AJ427" s="142" t="b">
        <f t="shared" si="586"/>
        <v>1</v>
      </c>
      <c r="AK427" s="142" t="b">
        <f t="shared" si="587"/>
        <v>1</v>
      </c>
      <c r="AL427" s="142" t="b">
        <f t="shared" si="588"/>
        <v>1</v>
      </c>
      <c r="AM427" s="142" t="b">
        <f t="shared" si="589"/>
        <v>1</v>
      </c>
      <c r="AN427" s="142" t="b">
        <f t="shared" si="590"/>
        <v>1</v>
      </c>
      <c r="AO427" s="142" t="b">
        <f t="shared" si="591"/>
        <v>0</v>
      </c>
    </row>
    <row r="428" spans="1:41">
      <c r="A428" s="142" t="str">
        <f>'Reference Score Calculation'!A405</f>
        <v>JSSW01</v>
      </c>
      <c r="B428" s="119" t="str">
        <f>'Reference Score Calculation'!A405</f>
        <v>JSSW01</v>
      </c>
      <c r="C428" s="119" t="str">
        <f>'Reference Score Calculation'!D405</f>
        <v>營運及管理（榮譽）航空學士</v>
      </c>
      <c r="E428" s="119" t="str">
        <f>'Reference Score Calculation'!E405</f>
        <v>Best 5</v>
      </c>
      <c r="F428" s="119"/>
      <c r="G428" s="119" t="str">
        <f>入學要求!AB414</f>
        <v>NO</v>
      </c>
      <c r="H428" s="119" t="str">
        <f>入學要求!AC414</f>
        <v>NO</v>
      </c>
      <c r="I428" s="119" t="str">
        <f>入學要求!AD414</f>
        <v>NO</v>
      </c>
      <c r="J428" s="119">
        <f t="shared" si="570"/>
        <v>3.3999999999999998E-9</v>
      </c>
      <c r="K428" s="119">
        <v>1</v>
      </c>
      <c r="L428" s="119">
        <v>1</v>
      </c>
      <c r="M428" s="119">
        <v>1</v>
      </c>
      <c r="N428" s="119">
        <v>0</v>
      </c>
      <c r="O428" s="119">
        <v>1</v>
      </c>
      <c r="P428" s="119">
        <v>1</v>
      </c>
      <c r="Q428" s="119">
        <v>1</v>
      </c>
      <c r="R428" s="119">
        <v>1</v>
      </c>
      <c r="S428" s="119">
        <v>1</v>
      </c>
      <c r="T428" s="119">
        <v>1</v>
      </c>
      <c r="V428" s="119">
        <f t="shared" si="573"/>
        <v>4.0000000000000001E-10</v>
      </c>
      <c r="W428" s="119">
        <f t="shared" si="574"/>
        <v>2.0000000000000001E-10</v>
      </c>
      <c r="X428" s="119">
        <f t="shared" si="575"/>
        <v>3E-10</v>
      </c>
      <c r="Y428" s="119">
        <f t="shared" si="576"/>
        <v>0</v>
      </c>
      <c r="Z428" s="119">
        <f t="shared" si="577"/>
        <v>0</v>
      </c>
      <c r="AA428" s="119">
        <f t="shared" si="578"/>
        <v>6E-10</v>
      </c>
      <c r="AB428" s="119">
        <f t="shared" si="579"/>
        <v>6.9999999999999996E-10</v>
      </c>
      <c r="AC428" s="119">
        <f t="shared" si="580"/>
        <v>8.0000000000000003E-10</v>
      </c>
      <c r="AD428" s="119">
        <f t="shared" si="581"/>
        <v>8.9999999999999999E-10</v>
      </c>
      <c r="AE428" s="119">
        <f>IF(H428="E",T$11*T428,0)</f>
        <v>0</v>
      </c>
      <c r="AF428" s="142" t="b">
        <f t="shared" si="582"/>
        <v>1</v>
      </c>
      <c r="AG428" s="142" t="b">
        <f t="shared" si="583"/>
        <v>0</v>
      </c>
      <c r="AH428" s="142" t="b">
        <f t="shared" si="584"/>
        <v>0</v>
      </c>
      <c r="AI428" s="142" t="b">
        <f t="shared" si="585"/>
        <v>0</v>
      </c>
      <c r="AJ428" s="142" t="b">
        <f t="shared" si="586"/>
        <v>0</v>
      </c>
      <c r="AK428" s="142" t="b">
        <f t="shared" si="587"/>
        <v>1</v>
      </c>
      <c r="AL428" s="142" t="b">
        <f t="shared" si="588"/>
        <v>1</v>
      </c>
      <c r="AM428" s="142" t="b">
        <f t="shared" si="589"/>
        <v>1</v>
      </c>
      <c r="AN428" s="142" t="b">
        <f t="shared" si="590"/>
        <v>1</v>
      </c>
      <c r="AO428" s="142" t="b">
        <f t="shared" si="591"/>
        <v>0</v>
      </c>
    </row>
    <row r="429" spans="1:41">
      <c r="A429" s="142" t="str">
        <f>'Reference Score Calculation'!A406</f>
        <v>JSSW02</v>
      </c>
      <c r="B429" s="119" t="str">
        <f>'Reference Score Calculation'!A406</f>
        <v>JSSW02</v>
      </c>
      <c r="C429" s="119" t="str">
        <f>'Reference Score Calculation'!D406</f>
        <v>航運服務及營運管理學士（榮譽）</v>
      </c>
      <c r="E429" s="119" t="str">
        <f>'Reference Score Calculation'!E406</f>
        <v>24年新科目</v>
      </c>
      <c r="F429" s="119"/>
      <c r="G429" s="119" t="str">
        <f>入學要求!AB415</f>
        <v>NO</v>
      </c>
      <c r="H429" s="119" t="str">
        <f>入學要求!AC415</f>
        <v>NO</v>
      </c>
      <c r="I429" s="119" t="str">
        <f>入學要求!AD415</f>
        <v>NO</v>
      </c>
      <c r="J429" s="119">
        <f t="shared" si="570"/>
        <v>0</v>
      </c>
      <c r="K429" s="119">
        <v>1</v>
      </c>
      <c r="L429" s="119">
        <v>1</v>
      </c>
      <c r="M429" s="119">
        <v>1</v>
      </c>
      <c r="N429" s="119">
        <v>0</v>
      </c>
      <c r="O429" s="119">
        <v>1</v>
      </c>
      <c r="P429" s="119">
        <v>1</v>
      </c>
      <c r="Q429" s="119">
        <v>1</v>
      </c>
      <c r="R429" s="119">
        <v>1</v>
      </c>
      <c r="S429" s="119">
        <v>1</v>
      </c>
      <c r="T429" s="119">
        <v>1</v>
      </c>
      <c r="V429" s="119">
        <f t="shared" si="573"/>
        <v>4.0000000000000001E-10</v>
      </c>
      <c r="W429" s="119">
        <f t="shared" si="574"/>
        <v>2.0000000000000001E-10</v>
      </c>
      <c r="X429" s="119">
        <f t="shared" si="575"/>
        <v>3E-10</v>
      </c>
      <c r="Y429" s="119">
        <f t="shared" si="576"/>
        <v>0</v>
      </c>
      <c r="Z429" s="119">
        <f t="shared" si="577"/>
        <v>0</v>
      </c>
      <c r="AA429" s="119">
        <f t="shared" si="578"/>
        <v>6E-10</v>
      </c>
      <c r="AB429" s="119">
        <f t="shared" si="579"/>
        <v>6.9999999999999996E-10</v>
      </c>
      <c r="AC429" s="119">
        <f t="shared" si="580"/>
        <v>8.0000000000000003E-10</v>
      </c>
      <c r="AD429" s="119">
        <f t="shared" si="581"/>
        <v>8.9999999999999999E-10</v>
      </c>
      <c r="AE429" s="119">
        <f>IF(H429="E",T$11*T429,0)</f>
        <v>0</v>
      </c>
      <c r="AF429" s="142" t="b">
        <f t="shared" si="582"/>
        <v>0</v>
      </c>
      <c r="AG429" s="142" t="b">
        <f t="shared" si="583"/>
        <v>0</v>
      </c>
      <c r="AH429" s="142" t="b">
        <f t="shared" si="584"/>
        <v>0</v>
      </c>
      <c r="AI429" s="142" t="b">
        <f t="shared" si="585"/>
        <v>0</v>
      </c>
      <c r="AJ429" s="142" t="b">
        <f t="shared" si="586"/>
        <v>0</v>
      </c>
      <c r="AK429" s="142" t="b">
        <f t="shared" si="587"/>
        <v>0</v>
      </c>
      <c r="AL429" s="142" t="b">
        <f t="shared" si="588"/>
        <v>0</v>
      </c>
      <c r="AM429" s="142" t="b">
        <f t="shared" si="589"/>
        <v>0</v>
      </c>
      <c r="AN429" s="142" t="b">
        <f t="shared" si="590"/>
        <v>0</v>
      </c>
      <c r="AO429" s="142" t="b">
        <f t="shared" si="591"/>
        <v>0</v>
      </c>
    </row>
    <row r="430" spans="1:41">
      <c r="A430" s="142" t="str">
        <f>'Reference Score Calculation'!A407</f>
        <v>JSSY01</v>
      </c>
      <c r="B430" s="119" t="str">
        <f>'Reference Score Calculation'!A407</f>
        <v>JSSY01</v>
      </c>
      <c r="C430" s="119" t="str">
        <f>'Reference Score Calculation'!D407</f>
        <v>金融科技（榮譽）商學士</v>
      </c>
      <c r="D430" s="132"/>
      <c r="E430" s="119" t="str">
        <f>'Reference Score Calculation'!E407</f>
        <v>Best 5</v>
      </c>
      <c r="F430" s="119"/>
      <c r="G430" s="119" t="str">
        <f>入學要求!AB416</f>
        <v>NO</v>
      </c>
      <c r="H430" s="119" t="str">
        <f>入學要求!AC416</f>
        <v>E</v>
      </c>
      <c r="I430" s="119" t="str">
        <f>入學要求!AD416</f>
        <v>v</v>
      </c>
      <c r="J430" s="119">
        <f t="shared" si="570"/>
        <v>3.9500000000000006E-9</v>
      </c>
      <c r="K430" s="119">
        <v>1</v>
      </c>
      <c r="L430" s="119">
        <v>1</v>
      </c>
      <c r="M430" s="119">
        <v>1</v>
      </c>
      <c r="N430" s="119">
        <v>0</v>
      </c>
      <c r="O430" s="119">
        <v>1</v>
      </c>
      <c r="P430" s="119">
        <v>1</v>
      </c>
      <c r="Q430" s="119">
        <v>1</v>
      </c>
      <c r="R430" s="119">
        <v>1</v>
      </c>
      <c r="S430" s="119">
        <v>1</v>
      </c>
      <c r="T430" s="119">
        <v>1</v>
      </c>
      <c r="V430" s="119">
        <f t="shared" si="573"/>
        <v>4.0000000000000001E-10</v>
      </c>
      <c r="W430" s="119">
        <f t="shared" si="574"/>
        <v>2.0000000000000001E-10</v>
      </c>
      <c r="X430" s="119">
        <f t="shared" si="575"/>
        <v>3E-10</v>
      </c>
      <c r="Y430" s="119">
        <f t="shared" si="576"/>
        <v>0</v>
      </c>
      <c r="Z430" s="119">
        <f t="shared" si="577"/>
        <v>0</v>
      </c>
      <c r="AA430" s="119">
        <f t="shared" si="578"/>
        <v>6E-10</v>
      </c>
      <c r="AB430" s="119">
        <f t="shared" si="579"/>
        <v>6.9999999999999996E-10</v>
      </c>
      <c r="AC430" s="119">
        <f t="shared" si="580"/>
        <v>8.0000000000000003E-10</v>
      </c>
      <c r="AD430" s="119">
        <f t="shared" si="581"/>
        <v>8.9999999999999999E-10</v>
      </c>
      <c r="AE430" s="119">
        <f>IF(H430="E",T$11*T430,0)</f>
        <v>9.5000000000000003E-10</v>
      </c>
      <c r="AF430" s="142" t="b">
        <f t="shared" si="582"/>
        <v>0</v>
      </c>
      <c r="AG430" s="142" t="b">
        <f t="shared" si="583"/>
        <v>0</v>
      </c>
      <c r="AH430" s="142" t="b">
        <f t="shared" si="584"/>
        <v>0</v>
      </c>
      <c r="AI430" s="142" t="b">
        <f t="shared" si="585"/>
        <v>0</v>
      </c>
      <c r="AJ430" s="142" t="b">
        <f t="shared" si="586"/>
        <v>0</v>
      </c>
      <c r="AK430" s="142" t="b">
        <f t="shared" si="587"/>
        <v>1</v>
      </c>
      <c r="AL430" s="142" t="b">
        <f t="shared" si="588"/>
        <v>1</v>
      </c>
      <c r="AM430" s="142" t="b">
        <f t="shared" si="589"/>
        <v>1</v>
      </c>
      <c r="AN430" s="142" t="b">
        <f t="shared" si="590"/>
        <v>1</v>
      </c>
      <c r="AO430" s="142" t="b">
        <f t="shared" si="591"/>
        <v>1</v>
      </c>
    </row>
    <row r="431" spans="1:41">
      <c r="E431" s="119"/>
      <c r="F431" s="119"/>
    </row>
    <row r="437" spans="1:1">
      <c r="A437" s="142"/>
    </row>
    <row r="438" spans="1:1">
      <c r="A438" s="142"/>
    </row>
  </sheetData>
  <phoneticPr fontId="3" type="noConversion"/>
  <conditionalFormatting sqref="B379:U379 D380:D406 B380:C430 E380:U430 D408:D412 D415:D427 D430">
    <cfRule type="expression" dxfId="81" priority="102">
      <formula>MOD(ROW(),2)=0</formula>
    </cfRule>
  </conditionalFormatting>
  <conditionalFormatting sqref="B93:AO113">
    <cfRule type="expression" dxfId="80" priority="72">
      <formula>MOD(ROW(),2)=0</formula>
    </cfRule>
  </conditionalFormatting>
  <conditionalFormatting sqref="B116:AO116 E117:AO148 B117:D144 B145:C148">
    <cfRule type="expression" dxfId="79" priority="101">
      <formula>MOD(ROW(),2)=0</formula>
    </cfRule>
  </conditionalFormatting>
  <conditionalFormatting sqref="B151:AO220">
    <cfRule type="expression" dxfId="78" priority="54">
      <formula>MOD(ROW(),2)=0</formula>
    </cfRule>
  </conditionalFormatting>
  <conditionalFormatting sqref="B223:AO248">
    <cfRule type="expression" dxfId="77" priority="100">
      <formula>MOD(ROW(),2)=0</formula>
    </cfRule>
  </conditionalFormatting>
  <conditionalFormatting sqref="B302:AO319">
    <cfRule type="expression" dxfId="76" priority="97">
      <formula>MOD(ROW(),2)=0</formula>
    </cfRule>
  </conditionalFormatting>
  <conditionalFormatting sqref="B351:AO376 B322:J348">
    <cfRule type="expression" dxfId="75" priority="98">
      <formula>MOD(ROW(),2)=0</formula>
    </cfRule>
  </conditionalFormatting>
  <conditionalFormatting sqref="E36:F90 G36:I91">
    <cfRule type="expression" dxfId="74" priority="68">
      <formula>MOD(ROW(),2)=0</formula>
    </cfRule>
  </conditionalFormatting>
  <conditionalFormatting sqref="G36:AO91 B36:D91">
    <cfRule type="expression" dxfId="73" priority="99">
      <formula>MOD(ROW(),2)=0</formula>
    </cfRule>
  </conditionalFormatting>
  <conditionalFormatting sqref="K53:T53">
    <cfRule type="cellIs" dxfId="72" priority="71" operator="greaterThan">
      <formula>1</formula>
    </cfRule>
  </conditionalFormatting>
  <conditionalFormatting sqref="K36:U91 K93:T113">
    <cfRule type="cellIs" dxfId="71" priority="57" operator="greaterThan">
      <formula>1</formula>
    </cfRule>
  </conditionalFormatting>
  <conditionalFormatting sqref="V36:AE91 V223:AE248">
    <cfRule type="expression" dxfId="70" priority="66">
      <formula>AF36=TRUE</formula>
    </cfRule>
  </conditionalFormatting>
  <conditionalFormatting sqref="V93:AE113">
    <cfRule type="expression" dxfId="69" priority="58">
      <formula>AF93=TRUE</formula>
    </cfRule>
  </conditionalFormatting>
  <conditionalFormatting sqref="V116:AE148 V251:AE299">
    <cfRule type="expression" dxfId="68" priority="35">
      <formula>AF116=TRUE</formula>
    </cfRule>
  </conditionalFormatting>
  <conditionalFormatting sqref="V151:AE220">
    <cfRule type="expression" dxfId="67" priority="49">
      <formula>AF151=TRUE</formula>
    </cfRule>
  </conditionalFormatting>
  <conditionalFormatting sqref="AE251:AO298 K299:AO299 B251:AD251 K252:AD298 Z252:Z299 B252:J299">
    <cfRule type="expression" dxfId="66" priority="87">
      <formula>MOD(ROW(),2)=0</formula>
    </cfRule>
  </conditionalFormatting>
  <conditionalFormatting sqref="AF36:AO91 AU47 AY47:BD47 AU58 AW58:BB58 AU65:BD65 AU82:BD82 AF116:AO148 AF223:AO248 AF351:AO376">
    <cfRule type="expression" dxfId="65" priority="67">
      <formula>AF36=TRUE</formula>
    </cfRule>
  </conditionalFormatting>
  <conditionalFormatting sqref="AF93:AO113">
    <cfRule type="expression" dxfId="64" priority="59">
      <formula>AF93=TRUE</formula>
    </cfRule>
  </conditionalFormatting>
  <conditionalFormatting sqref="AF151:AO220">
    <cfRule type="expression" dxfId="63" priority="53">
      <formula>AF151=TRUE</formula>
    </cfRule>
  </conditionalFormatting>
  <conditionalFormatting sqref="AF251:AO299">
    <cfRule type="expression" dxfId="62" priority="36">
      <formula>AF251=TRUE</formula>
    </cfRule>
  </conditionalFormatting>
  <conditionalFormatting sqref="AF302:AO319">
    <cfRule type="expression" dxfId="61" priority="20">
      <formula>AF302=TRUE</formula>
    </cfRule>
  </conditionalFormatting>
  <conditionalFormatting sqref="AF379:AO430">
    <cfRule type="expression" dxfId="60" priority="3">
      <formula>AF379=TRUE</formula>
    </cfRule>
    <cfRule type="expression" dxfId="59" priority="4">
      <formula>MOD(ROW(),2)=0</formula>
    </cfRule>
  </conditionalFormatting>
  <conditionalFormatting sqref="AJ36:AJ91 AK39:AO39 AK54:AO55 AJ55:AO55 AK61:AO62 AK76:AO76 AK81:AN81">
    <cfRule type="expression" dxfId="58" priority="65">
      <formula>IF($G36="v",FALSE,TRUE)</formula>
    </cfRule>
  </conditionalFormatting>
  <conditionalFormatting sqref="AO36:AO91">
    <cfRule type="expression" dxfId="57" priority="64">
      <formula>IF($H36="E",FALSE,TRUE)</formula>
    </cfRule>
  </conditionalFormatting>
  <conditionalFormatting sqref="AU171">
    <cfRule type="expression" dxfId="56" priority="8">
      <formula>AU171</formula>
    </cfRule>
  </conditionalFormatting>
  <conditionalFormatting sqref="AU72:AW72 AY72:BD72">
    <cfRule type="expression" dxfId="55" priority="62">
      <formula>AU72=TRUE</formula>
    </cfRule>
  </conditionalFormatting>
  <conditionalFormatting sqref="AU159:BD159">
    <cfRule type="expression" dxfId="54" priority="51">
      <formula>AU159</formula>
    </cfRule>
  </conditionalFormatting>
  <conditionalFormatting sqref="AX187:AX188 AU189:BD189">
    <cfRule type="expression" dxfId="53" priority="50">
      <formula>AU187</formula>
    </cfRule>
  </conditionalFormatting>
  <conditionalFormatting sqref="BA287:BF287 BH287:BM287">
    <cfRule type="expression" dxfId="52" priority="15">
      <formula>BA287</formula>
    </cfRule>
  </conditionalFormatting>
  <conditionalFormatting sqref="BA255:BL255">
    <cfRule type="expression" dxfId="51" priority="19">
      <formula>BA255</formula>
    </cfRule>
  </conditionalFormatting>
  <conditionalFormatting sqref="BD260:BF260 BH260:BL260">
    <cfRule type="expression" dxfId="50" priority="7">
      <formula>BD260</formula>
    </cfRule>
  </conditionalFormatting>
  <conditionalFormatting sqref="BD267:BF267 BH267:BL267">
    <cfRule type="expression" dxfId="49" priority="33">
      <formula>BD267</formula>
    </cfRule>
  </conditionalFormatting>
  <conditionalFormatting sqref="BD271:BF271 BH271:BM271">
    <cfRule type="expression" dxfId="48" priority="28">
      <formula>BD271</formula>
    </cfRule>
  </conditionalFormatting>
  <conditionalFormatting sqref="BD279:BF279 BH279:BM279">
    <cfRule type="expression" dxfId="47" priority="27">
      <formula>BD279</formula>
    </cfRule>
  </conditionalFormatting>
  <conditionalFormatting sqref="BD283:BF283 BH283:BM283">
    <cfRule type="expression" dxfId="46" priority="21">
      <formula>BD283</formula>
    </cfRule>
  </conditionalFormatting>
  <conditionalFormatting sqref="BF275:BH275 BJ275:BN275">
    <cfRule type="expression" dxfId="45" priority="31">
      <formula>BF275</formula>
    </cfRule>
  </conditionalFormatting>
  <conditionalFormatting sqref="BF219:BO219">
    <cfRule type="expression" dxfId="44" priority="46">
      <formula>BF219</formula>
    </cfRule>
  </conditionalFormatting>
  <conditionalFormatting sqref="BF230:BO231">
    <cfRule type="expression" dxfId="43" priority="38">
      <formula>BF230</formula>
    </cfRule>
  </conditionalFormatting>
  <conditionalFormatting sqref="BF235:BO235">
    <cfRule type="expression" dxfId="42" priority="42">
      <formula>BF235</formula>
    </cfRule>
  </conditionalFormatting>
  <conditionalFormatting sqref="BF239:BO239">
    <cfRule type="expression" dxfId="41" priority="41">
      <formula>BF239</formula>
    </cfRule>
  </conditionalFormatting>
  <conditionalFormatting sqref="BF244:BO244">
    <cfRule type="expression" dxfId="40" priority="40">
      <formula>BF244</formula>
    </cfRule>
  </conditionalFormatting>
  <conditionalFormatting sqref="BF248:BO248">
    <cfRule type="expression" dxfId="39" priority="1">
      <formula>BF248</formula>
    </cfRule>
  </conditionalFormatting>
  <conditionalFormatting sqref="BI223:BR223">
    <cfRule type="expression" dxfId="38" priority="45">
      <formula>BI223</formula>
    </cfRule>
  </conditionalFormatting>
  <conditionalFormatting sqref="BI227:BR227">
    <cfRule type="expression" dxfId="37" priority="44">
      <formula>BI227</formula>
    </cfRule>
  </conditionalFormatting>
  <pageMargins left="0.7" right="0.7" top="0.75" bottom="0.75" header="0.3" footer="0.3"/>
  <pageSetup paperSize="9" orientation="portrait" horizontalDpi="1200" verticalDpi="1200"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工作表18"/>
  <dimension ref="A1:Q444"/>
  <sheetViews>
    <sheetView topLeftCell="A351" workbookViewId="0"/>
    <sheetView workbookViewId="1"/>
  </sheetViews>
  <sheetFormatPr defaultColWidth="9" defaultRowHeight="16.2" customHeight="1"/>
  <cols>
    <col min="1" max="3" width="9" style="58"/>
    <col min="4" max="4" width="14.09765625" style="58" customWidth="1"/>
    <col min="5" max="16384" width="9" style="58"/>
  </cols>
  <sheetData>
    <row r="1" spans="1:14" ht="16.2" customHeight="1">
      <c r="A1" s="58">
        <v>2023</v>
      </c>
      <c r="B1" s="58" t="s">
        <v>2148</v>
      </c>
      <c r="C1" s="58" t="s">
        <v>812</v>
      </c>
      <c r="D1" s="58" t="s">
        <v>814</v>
      </c>
      <c r="E1" s="58" t="s">
        <v>816</v>
      </c>
      <c r="G1" s="58">
        <v>2024</v>
      </c>
      <c r="H1" t="s">
        <v>2148</v>
      </c>
      <c r="I1" t="s">
        <v>812</v>
      </c>
      <c r="J1" t="s">
        <v>2149</v>
      </c>
      <c r="K1" t="s">
        <v>816</v>
      </c>
      <c r="L1" t="s">
        <v>2150</v>
      </c>
      <c r="M1" t="s">
        <v>814</v>
      </c>
      <c r="N1"/>
    </row>
    <row r="2" spans="1:14" ht="16.2" customHeight="1">
      <c r="A2" s="58">
        <v>2023</v>
      </c>
      <c r="B2" s="58" t="s">
        <v>2148</v>
      </c>
      <c r="C2" s="58" t="s">
        <v>821</v>
      </c>
      <c r="D2" s="58" t="s">
        <v>822</v>
      </c>
      <c r="E2" s="58" t="s">
        <v>823</v>
      </c>
      <c r="G2" s="58">
        <v>2024</v>
      </c>
      <c r="H2" t="s">
        <v>2148</v>
      </c>
      <c r="I2" t="s">
        <v>821</v>
      </c>
      <c r="J2" t="s">
        <v>2149</v>
      </c>
      <c r="K2" t="s">
        <v>823</v>
      </c>
      <c r="L2" t="s">
        <v>2151</v>
      </c>
      <c r="M2" t="s">
        <v>822</v>
      </c>
      <c r="N2"/>
    </row>
    <row r="3" spans="1:14" ht="16.2" customHeight="1">
      <c r="A3" s="58">
        <v>2023</v>
      </c>
      <c r="B3" s="58" t="s">
        <v>2148</v>
      </c>
      <c r="C3" s="58" t="s">
        <v>825</v>
      </c>
      <c r="D3" s="58" t="s">
        <v>826</v>
      </c>
      <c r="E3" s="58" t="s">
        <v>827</v>
      </c>
      <c r="G3" s="58">
        <v>2024</v>
      </c>
      <c r="H3" t="s">
        <v>2148</v>
      </c>
      <c r="I3" t="s">
        <v>825</v>
      </c>
      <c r="J3" t="s">
        <v>2149</v>
      </c>
      <c r="K3" t="s">
        <v>827</v>
      </c>
      <c r="L3" t="s">
        <v>2152</v>
      </c>
      <c r="M3" t="s">
        <v>826</v>
      </c>
      <c r="N3"/>
    </row>
    <row r="4" spans="1:14" ht="16.2" customHeight="1">
      <c r="A4" s="58">
        <v>2023</v>
      </c>
      <c r="B4" s="58" t="s">
        <v>2148</v>
      </c>
      <c r="C4" s="58" t="s">
        <v>830</v>
      </c>
      <c r="D4" s="58" t="s">
        <v>831</v>
      </c>
      <c r="E4" s="58" t="s">
        <v>832</v>
      </c>
      <c r="G4" s="58">
        <v>2024</v>
      </c>
      <c r="H4" t="s">
        <v>2148</v>
      </c>
      <c r="I4" t="s">
        <v>830</v>
      </c>
      <c r="J4" t="s">
        <v>2149</v>
      </c>
      <c r="K4" t="s">
        <v>832</v>
      </c>
      <c r="L4" t="s">
        <v>2153</v>
      </c>
      <c r="M4" t="s">
        <v>831</v>
      </c>
      <c r="N4"/>
    </row>
    <row r="5" spans="1:14" ht="16.2" customHeight="1">
      <c r="A5" s="58">
        <v>2023</v>
      </c>
      <c r="B5" s="58" t="s">
        <v>2148</v>
      </c>
      <c r="C5" s="58" t="s">
        <v>834</v>
      </c>
      <c r="D5" s="58" t="s">
        <v>835</v>
      </c>
      <c r="E5" s="58" t="s">
        <v>837</v>
      </c>
      <c r="G5" s="58">
        <v>2024</v>
      </c>
      <c r="H5" t="s">
        <v>2148</v>
      </c>
      <c r="I5" t="s">
        <v>834</v>
      </c>
      <c r="J5" t="s">
        <v>2149</v>
      </c>
      <c r="K5" t="s">
        <v>837</v>
      </c>
      <c r="L5" t="s">
        <v>2154</v>
      </c>
      <c r="M5" t="s">
        <v>835</v>
      </c>
      <c r="N5"/>
    </row>
    <row r="6" spans="1:14" ht="16.2" customHeight="1">
      <c r="A6" s="58">
        <v>2023</v>
      </c>
      <c r="B6" s="58" t="s">
        <v>2148</v>
      </c>
      <c r="C6" s="58" t="s">
        <v>840</v>
      </c>
      <c r="D6" s="58" t="s">
        <v>841</v>
      </c>
      <c r="E6" s="58" t="s">
        <v>842</v>
      </c>
      <c r="G6" s="58">
        <v>2024</v>
      </c>
      <c r="H6" t="s">
        <v>2148</v>
      </c>
      <c r="I6" t="s">
        <v>840</v>
      </c>
      <c r="J6" t="s">
        <v>2149</v>
      </c>
      <c r="K6" t="s">
        <v>842</v>
      </c>
      <c r="L6" t="s">
        <v>2522</v>
      </c>
      <c r="M6" t="s">
        <v>841</v>
      </c>
      <c r="N6"/>
    </row>
    <row r="7" spans="1:14" ht="16.2" customHeight="1">
      <c r="A7" s="58">
        <v>2023</v>
      </c>
      <c r="B7" s="58" t="s">
        <v>2148</v>
      </c>
      <c r="C7" s="58" t="s">
        <v>845</v>
      </c>
      <c r="D7" s="58" t="s">
        <v>846</v>
      </c>
      <c r="E7" s="58" t="s">
        <v>847</v>
      </c>
      <c r="G7" s="58">
        <v>2024</v>
      </c>
      <c r="H7" t="s">
        <v>2148</v>
      </c>
      <c r="I7" t="s">
        <v>845</v>
      </c>
      <c r="J7" t="s">
        <v>2149</v>
      </c>
      <c r="K7" t="s">
        <v>847</v>
      </c>
      <c r="L7" t="s">
        <v>2523</v>
      </c>
      <c r="M7" t="s">
        <v>846</v>
      </c>
      <c r="N7"/>
    </row>
    <row r="8" spans="1:14" ht="16.2" customHeight="1">
      <c r="A8" s="58">
        <v>2023</v>
      </c>
      <c r="B8" s="58" t="s">
        <v>2148</v>
      </c>
      <c r="C8" s="58" t="s">
        <v>848</v>
      </c>
      <c r="D8" s="58" t="s">
        <v>849</v>
      </c>
      <c r="E8" s="58" t="s">
        <v>850</v>
      </c>
      <c r="G8" s="58">
        <v>2024</v>
      </c>
      <c r="H8" t="s">
        <v>2148</v>
      </c>
      <c r="I8" t="s">
        <v>848</v>
      </c>
      <c r="J8" t="s">
        <v>2149</v>
      </c>
      <c r="K8" t="s">
        <v>850</v>
      </c>
      <c r="L8" t="s">
        <v>2524</v>
      </c>
      <c r="M8" t="s">
        <v>849</v>
      </c>
      <c r="N8"/>
    </row>
    <row r="9" spans="1:14" ht="16.2" customHeight="1">
      <c r="A9" s="58">
        <v>2023</v>
      </c>
      <c r="B9" s="58" t="s">
        <v>2148</v>
      </c>
      <c r="C9" s="58" t="s">
        <v>851</v>
      </c>
      <c r="D9" s="58" t="s">
        <v>852</v>
      </c>
      <c r="E9" s="58" t="s">
        <v>181</v>
      </c>
      <c r="G9" s="58">
        <v>2024</v>
      </c>
      <c r="H9" t="s">
        <v>2148</v>
      </c>
      <c r="I9" t="s">
        <v>851</v>
      </c>
      <c r="J9" t="s">
        <v>2149</v>
      </c>
      <c r="K9" t="s">
        <v>181</v>
      </c>
      <c r="L9" t="s">
        <v>2525</v>
      </c>
      <c r="M9" t="s">
        <v>852</v>
      </c>
      <c r="N9"/>
    </row>
    <row r="10" spans="1:14" ht="16.2" customHeight="1">
      <c r="A10" s="58">
        <v>2023</v>
      </c>
      <c r="B10" s="58" t="s">
        <v>2148</v>
      </c>
      <c r="C10" s="58" t="s">
        <v>853</v>
      </c>
      <c r="D10" s="58" t="s">
        <v>854</v>
      </c>
      <c r="E10" s="58" t="s">
        <v>855</v>
      </c>
      <c r="G10" s="58">
        <v>2024</v>
      </c>
      <c r="H10" t="s">
        <v>2148</v>
      </c>
      <c r="I10" t="s">
        <v>853</v>
      </c>
      <c r="J10" t="s">
        <v>2149</v>
      </c>
      <c r="K10" t="s">
        <v>855</v>
      </c>
      <c r="L10" t="s">
        <v>2526</v>
      </c>
      <c r="M10" t="s">
        <v>854</v>
      </c>
      <c r="N10"/>
    </row>
    <row r="11" spans="1:14" ht="16.2" customHeight="1">
      <c r="A11" s="58">
        <v>2023</v>
      </c>
      <c r="B11" s="58" t="s">
        <v>2148</v>
      </c>
      <c r="C11" s="58" t="s">
        <v>856</v>
      </c>
      <c r="D11" s="58" t="s">
        <v>857</v>
      </c>
      <c r="E11" s="58" t="s">
        <v>858</v>
      </c>
      <c r="G11" s="58">
        <v>2024</v>
      </c>
      <c r="H11" t="s">
        <v>2148</v>
      </c>
      <c r="I11" t="s">
        <v>856</v>
      </c>
      <c r="J11" t="s">
        <v>2149</v>
      </c>
      <c r="K11" t="s">
        <v>858</v>
      </c>
      <c r="L11" t="s">
        <v>2527</v>
      </c>
      <c r="M11" t="s">
        <v>857</v>
      </c>
      <c r="N11"/>
    </row>
    <row r="12" spans="1:14" ht="16.2" customHeight="1">
      <c r="A12" s="58">
        <v>2023</v>
      </c>
      <c r="B12" s="58" t="s">
        <v>2148</v>
      </c>
      <c r="C12" s="58" t="s">
        <v>859</v>
      </c>
      <c r="D12" s="58" t="s">
        <v>860</v>
      </c>
      <c r="E12" s="58" t="s">
        <v>861</v>
      </c>
      <c r="G12" s="58">
        <v>2024</v>
      </c>
      <c r="H12" t="s">
        <v>2148</v>
      </c>
      <c r="I12" t="s">
        <v>859</v>
      </c>
      <c r="J12" t="s">
        <v>2149</v>
      </c>
      <c r="K12" t="s">
        <v>861</v>
      </c>
      <c r="L12" t="s">
        <v>2528</v>
      </c>
      <c r="M12" t="s">
        <v>860</v>
      </c>
      <c r="N12"/>
    </row>
    <row r="13" spans="1:14" ht="16.2" customHeight="1">
      <c r="A13" s="58">
        <v>2023</v>
      </c>
      <c r="B13" s="58" t="s">
        <v>2148</v>
      </c>
      <c r="C13" s="58" t="s">
        <v>863</v>
      </c>
      <c r="D13" s="58" t="s">
        <v>864</v>
      </c>
      <c r="E13" s="58" t="s">
        <v>865</v>
      </c>
      <c r="G13" s="58">
        <v>2024</v>
      </c>
      <c r="H13" t="s">
        <v>2148</v>
      </c>
      <c r="I13" t="s">
        <v>863</v>
      </c>
      <c r="J13" t="s">
        <v>2149</v>
      </c>
      <c r="K13" t="s">
        <v>2529</v>
      </c>
      <c r="L13" t="s">
        <v>2530</v>
      </c>
      <c r="M13" t="s">
        <v>864</v>
      </c>
      <c r="N13"/>
    </row>
    <row r="14" spans="1:14" ht="16.2" customHeight="1">
      <c r="A14" s="58">
        <v>2023</v>
      </c>
      <c r="B14" s="58" t="s">
        <v>2148</v>
      </c>
      <c r="C14" s="58" t="s">
        <v>866</v>
      </c>
      <c r="D14" s="58" t="s">
        <v>867</v>
      </c>
      <c r="E14" s="58" t="s">
        <v>868</v>
      </c>
      <c r="G14" s="58">
        <v>2024</v>
      </c>
      <c r="H14" t="s">
        <v>2148</v>
      </c>
      <c r="I14" t="s">
        <v>866</v>
      </c>
      <c r="J14" t="s">
        <v>2149</v>
      </c>
      <c r="K14" t="s">
        <v>2531</v>
      </c>
      <c r="L14" t="s">
        <v>2532</v>
      </c>
      <c r="M14" t="s">
        <v>867</v>
      </c>
      <c r="N14"/>
    </row>
    <row r="15" spans="1:14" ht="16.2" customHeight="1">
      <c r="A15" s="58">
        <v>2023</v>
      </c>
      <c r="B15" s="58" t="s">
        <v>2148</v>
      </c>
      <c r="C15" s="58" t="s">
        <v>869</v>
      </c>
      <c r="D15" s="58" t="s">
        <v>871</v>
      </c>
      <c r="E15" s="58" t="s">
        <v>873</v>
      </c>
      <c r="G15" s="58">
        <v>2024</v>
      </c>
      <c r="H15" t="s">
        <v>2148</v>
      </c>
      <c r="I15" t="s">
        <v>869</v>
      </c>
      <c r="J15" t="s">
        <v>2149</v>
      </c>
      <c r="K15" t="s">
        <v>873</v>
      </c>
      <c r="L15" t="s">
        <v>2155</v>
      </c>
      <c r="M15" t="s">
        <v>871</v>
      </c>
      <c r="N15"/>
    </row>
    <row r="16" spans="1:14" ht="16.2" customHeight="1">
      <c r="A16" s="58">
        <v>2023</v>
      </c>
      <c r="B16" s="58" t="s">
        <v>2148</v>
      </c>
      <c r="C16" s="58" t="s">
        <v>877</v>
      </c>
      <c r="D16" s="58" t="s">
        <v>878</v>
      </c>
      <c r="E16" s="58" t="s">
        <v>879</v>
      </c>
      <c r="G16" s="58">
        <v>2024</v>
      </c>
      <c r="H16" t="s">
        <v>2148</v>
      </c>
      <c r="I16" t="s">
        <v>877</v>
      </c>
      <c r="J16" t="s">
        <v>2149</v>
      </c>
      <c r="K16" t="s">
        <v>879</v>
      </c>
      <c r="L16" t="s">
        <v>2156</v>
      </c>
      <c r="M16" t="s">
        <v>878</v>
      </c>
      <c r="N16"/>
    </row>
    <row r="17" spans="1:17" ht="16.2" customHeight="1">
      <c r="A17" s="58">
        <v>2023</v>
      </c>
      <c r="B17" s="58" t="s">
        <v>2148</v>
      </c>
      <c r="C17" s="58" t="s">
        <v>880</v>
      </c>
      <c r="D17" s="58" t="s">
        <v>881</v>
      </c>
      <c r="E17" s="58" t="s">
        <v>883</v>
      </c>
      <c r="G17" s="58">
        <v>2024</v>
      </c>
      <c r="H17" t="s">
        <v>2148</v>
      </c>
      <c r="I17" t="s">
        <v>880</v>
      </c>
      <c r="J17" t="s">
        <v>2149</v>
      </c>
      <c r="K17" t="s">
        <v>883</v>
      </c>
      <c r="L17" t="s">
        <v>2157</v>
      </c>
      <c r="M17" t="s">
        <v>881</v>
      </c>
      <c r="N17"/>
    </row>
    <row r="18" spans="1:17" ht="16.2" customHeight="1">
      <c r="A18" s="58">
        <v>2023</v>
      </c>
      <c r="B18" s="58" t="s">
        <v>2148</v>
      </c>
      <c r="C18" s="58" t="s">
        <v>885</v>
      </c>
      <c r="D18" s="58" t="s">
        <v>886</v>
      </c>
      <c r="E18" s="58" t="s">
        <v>888</v>
      </c>
      <c r="G18" s="58">
        <v>2024</v>
      </c>
      <c r="H18" t="s">
        <v>2148</v>
      </c>
      <c r="I18" t="s">
        <v>885</v>
      </c>
      <c r="J18" t="s">
        <v>2149</v>
      </c>
      <c r="K18" t="s">
        <v>888</v>
      </c>
      <c r="L18" t="s">
        <v>2158</v>
      </c>
      <c r="M18" t="s">
        <v>886</v>
      </c>
      <c r="N18"/>
    </row>
    <row r="19" spans="1:17" ht="16.2" customHeight="1">
      <c r="A19" s="58">
        <v>2023</v>
      </c>
      <c r="B19" s="58" t="s">
        <v>2148</v>
      </c>
      <c r="C19" s="58" t="s">
        <v>891</v>
      </c>
      <c r="D19" s="58" t="s">
        <v>893</v>
      </c>
      <c r="E19" s="58" t="s">
        <v>895</v>
      </c>
      <c r="G19" s="58">
        <v>2024</v>
      </c>
      <c r="H19" t="s">
        <v>2148</v>
      </c>
      <c r="I19" t="s">
        <v>891</v>
      </c>
      <c r="J19" t="s">
        <v>2149</v>
      </c>
      <c r="K19" t="s">
        <v>895</v>
      </c>
      <c r="L19" t="s">
        <v>2159</v>
      </c>
      <c r="M19" t="s">
        <v>893</v>
      </c>
      <c r="N19"/>
    </row>
    <row r="20" spans="1:17" ht="16.2" customHeight="1">
      <c r="G20" s="357">
        <v>2024</v>
      </c>
      <c r="H20" s="358" t="s">
        <v>2148</v>
      </c>
      <c r="I20" s="358" t="s">
        <v>2533</v>
      </c>
      <c r="J20" s="358" t="s">
        <v>2149</v>
      </c>
      <c r="K20" s="358" t="s">
        <v>2534</v>
      </c>
      <c r="L20" s="358" t="s">
        <v>2535</v>
      </c>
      <c r="M20" s="358" t="s">
        <v>2536</v>
      </c>
      <c r="N20" s="358"/>
      <c r="O20" s="357"/>
      <c r="P20" s="357"/>
      <c r="Q20" s="357"/>
    </row>
    <row r="21" spans="1:17" ht="16.2" customHeight="1">
      <c r="A21" s="58">
        <v>2023</v>
      </c>
      <c r="B21" s="58" t="s">
        <v>2148</v>
      </c>
      <c r="C21" s="58" t="s">
        <v>901</v>
      </c>
      <c r="D21" s="58" t="s">
        <v>903</v>
      </c>
      <c r="E21" s="58" t="s">
        <v>905</v>
      </c>
      <c r="G21" s="58">
        <v>2024</v>
      </c>
      <c r="H21" t="s">
        <v>2148</v>
      </c>
      <c r="I21" t="s">
        <v>901</v>
      </c>
      <c r="J21" t="s">
        <v>2149</v>
      </c>
      <c r="K21" t="s">
        <v>905</v>
      </c>
      <c r="L21" t="s">
        <v>2160</v>
      </c>
      <c r="M21" t="s">
        <v>903</v>
      </c>
      <c r="N21"/>
    </row>
    <row r="22" spans="1:17" ht="16.2" customHeight="1">
      <c r="A22" s="58">
        <v>2023</v>
      </c>
      <c r="B22" s="58" t="s">
        <v>2148</v>
      </c>
      <c r="C22" s="58" t="s">
        <v>908</v>
      </c>
      <c r="D22" s="58" t="s">
        <v>910</v>
      </c>
      <c r="E22" s="58" t="s">
        <v>911</v>
      </c>
      <c r="G22" s="58">
        <v>2024</v>
      </c>
      <c r="H22" t="s">
        <v>2148</v>
      </c>
      <c r="I22" t="s">
        <v>908</v>
      </c>
      <c r="J22" t="s">
        <v>2149</v>
      </c>
      <c r="K22" t="s">
        <v>911</v>
      </c>
      <c r="L22" t="s">
        <v>2537</v>
      </c>
      <c r="M22" t="s">
        <v>910</v>
      </c>
      <c r="N22"/>
    </row>
    <row r="23" spans="1:17" ht="16.2" customHeight="1">
      <c r="A23" s="58">
        <v>2023</v>
      </c>
      <c r="B23" s="58" t="s">
        <v>2148</v>
      </c>
      <c r="C23" s="58" t="s">
        <v>912</v>
      </c>
      <c r="D23" s="58" t="s">
        <v>914</v>
      </c>
      <c r="E23" s="58" t="s">
        <v>916</v>
      </c>
      <c r="G23" s="58">
        <v>2024</v>
      </c>
      <c r="H23" t="s">
        <v>2148</v>
      </c>
      <c r="I23" t="s">
        <v>912</v>
      </c>
      <c r="J23" t="s">
        <v>2149</v>
      </c>
      <c r="K23" t="s">
        <v>916</v>
      </c>
      <c r="L23" t="s">
        <v>2538</v>
      </c>
      <c r="M23" t="s">
        <v>914</v>
      </c>
      <c r="N23"/>
    </row>
    <row r="24" spans="1:17" ht="16.2" customHeight="1">
      <c r="A24" s="58">
        <v>2023</v>
      </c>
      <c r="B24" s="58" t="s">
        <v>2148</v>
      </c>
      <c r="C24" s="58" t="s">
        <v>919</v>
      </c>
      <c r="D24" s="58" t="s">
        <v>920</v>
      </c>
      <c r="E24" s="58" t="s">
        <v>921</v>
      </c>
      <c r="G24" s="58">
        <v>2024</v>
      </c>
      <c r="H24" t="s">
        <v>2148</v>
      </c>
      <c r="I24" t="s">
        <v>919</v>
      </c>
      <c r="J24" t="s">
        <v>2149</v>
      </c>
      <c r="K24" t="s">
        <v>921</v>
      </c>
      <c r="L24" t="s">
        <v>2161</v>
      </c>
      <c r="M24" t="s">
        <v>920</v>
      </c>
      <c r="N24"/>
    </row>
    <row r="25" spans="1:17" ht="16.2" customHeight="1">
      <c r="A25" s="58">
        <v>2023</v>
      </c>
      <c r="B25" s="58" t="s">
        <v>2148</v>
      </c>
      <c r="C25" s="58" t="s">
        <v>922</v>
      </c>
      <c r="D25" s="58" t="s">
        <v>923</v>
      </c>
      <c r="E25" s="58" t="s">
        <v>924</v>
      </c>
      <c r="G25" s="58">
        <v>2024</v>
      </c>
      <c r="H25" t="s">
        <v>2148</v>
      </c>
      <c r="I25" t="s">
        <v>922</v>
      </c>
      <c r="J25" t="s">
        <v>2149</v>
      </c>
      <c r="K25" t="s">
        <v>2162</v>
      </c>
      <c r="L25" t="s">
        <v>2539</v>
      </c>
      <c r="M25" t="s">
        <v>923</v>
      </c>
      <c r="N25"/>
    </row>
    <row r="26" spans="1:17" ht="16.2" customHeight="1">
      <c r="A26" s="58">
        <v>2023</v>
      </c>
      <c r="B26" s="58" t="s">
        <v>2148</v>
      </c>
      <c r="C26" s="58" t="s">
        <v>925</v>
      </c>
      <c r="D26" s="58" t="s">
        <v>927</v>
      </c>
      <c r="E26" s="58" t="s">
        <v>928</v>
      </c>
      <c r="G26" s="58">
        <v>2024</v>
      </c>
      <c r="H26" t="s">
        <v>2148</v>
      </c>
      <c r="I26" t="s">
        <v>925</v>
      </c>
      <c r="J26" t="s">
        <v>2149</v>
      </c>
      <c r="K26" t="s">
        <v>2540</v>
      </c>
      <c r="L26" t="s">
        <v>2541</v>
      </c>
      <c r="M26" t="s">
        <v>927</v>
      </c>
      <c r="N26"/>
    </row>
    <row r="27" spans="1:17" ht="16.2" customHeight="1">
      <c r="A27" s="58">
        <v>2023</v>
      </c>
      <c r="B27" s="58" t="s">
        <v>2148</v>
      </c>
      <c r="C27" s="58" t="s">
        <v>930</v>
      </c>
      <c r="D27" s="58" t="s">
        <v>931</v>
      </c>
      <c r="E27" s="58" t="s">
        <v>932</v>
      </c>
      <c r="G27" s="58">
        <v>2024</v>
      </c>
      <c r="H27" t="s">
        <v>2148</v>
      </c>
      <c r="I27" t="s">
        <v>930</v>
      </c>
      <c r="J27" t="s">
        <v>2149</v>
      </c>
      <c r="K27" t="s">
        <v>932</v>
      </c>
      <c r="L27" t="s">
        <v>2163</v>
      </c>
      <c r="M27" t="s">
        <v>931</v>
      </c>
      <c r="N27"/>
    </row>
    <row r="28" spans="1:17" ht="16.2" customHeight="1">
      <c r="A28" s="58">
        <v>2023</v>
      </c>
      <c r="B28" s="58" t="s">
        <v>2148</v>
      </c>
      <c r="C28" s="58" t="s">
        <v>935</v>
      </c>
      <c r="D28" s="58" t="s">
        <v>936</v>
      </c>
      <c r="E28" s="58" t="s">
        <v>938</v>
      </c>
      <c r="G28" s="58">
        <v>2024</v>
      </c>
      <c r="H28" t="s">
        <v>2148</v>
      </c>
      <c r="I28" t="s">
        <v>935</v>
      </c>
      <c r="J28" t="s">
        <v>2149</v>
      </c>
      <c r="K28" t="s">
        <v>938</v>
      </c>
      <c r="L28" t="s">
        <v>2164</v>
      </c>
      <c r="M28" t="s">
        <v>936</v>
      </c>
      <c r="N28"/>
    </row>
    <row r="29" spans="1:17" ht="16.2" customHeight="1">
      <c r="A29" s="58">
        <v>2023</v>
      </c>
      <c r="B29" s="58" t="s">
        <v>2148</v>
      </c>
      <c r="C29" s="58" t="s">
        <v>940</v>
      </c>
      <c r="D29" s="58" t="s">
        <v>941</v>
      </c>
      <c r="E29" s="58" t="s">
        <v>943</v>
      </c>
      <c r="G29" s="58">
        <v>2024</v>
      </c>
      <c r="H29" t="s">
        <v>2148</v>
      </c>
      <c r="I29" t="s">
        <v>940</v>
      </c>
      <c r="J29" t="s">
        <v>2149</v>
      </c>
      <c r="K29" t="s">
        <v>943</v>
      </c>
      <c r="L29" t="s">
        <v>2165</v>
      </c>
      <c r="M29" t="s">
        <v>941</v>
      </c>
      <c r="N29"/>
    </row>
    <row r="30" spans="1:17" ht="16.2" customHeight="1">
      <c r="A30" s="58">
        <v>2023</v>
      </c>
      <c r="B30" s="58" t="s">
        <v>2148</v>
      </c>
      <c r="C30" s="58" t="s">
        <v>946</v>
      </c>
      <c r="D30" s="58" t="s">
        <v>947</v>
      </c>
      <c r="E30" s="58" t="s">
        <v>948</v>
      </c>
      <c r="G30" s="58">
        <v>2024</v>
      </c>
      <c r="H30" t="s">
        <v>2148</v>
      </c>
      <c r="I30" t="s">
        <v>946</v>
      </c>
      <c r="J30" t="s">
        <v>2149</v>
      </c>
      <c r="K30" t="s">
        <v>2542</v>
      </c>
      <c r="L30" t="s">
        <v>2556</v>
      </c>
      <c r="M30" t="s">
        <v>2543</v>
      </c>
      <c r="N30"/>
    </row>
    <row r="31" spans="1:17" ht="16.2" customHeight="1">
      <c r="A31" s="58">
        <v>2023</v>
      </c>
      <c r="B31" s="58" t="s">
        <v>2148</v>
      </c>
      <c r="C31" s="58" t="s">
        <v>949</v>
      </c>
      <c r="D31" s="58" t="s">
        <v>950</v>
      </c>
      <c r="E31" s="58" t="s">
        <v>951</v>
      </c>
      <c r="G31" s="58">
        <v>2024</v>
      </c>
      <c r="H31" t="s">
        <v>2148</v>
      </c>
      <c r="I31" t="s">
        <v>949</v>
      </c>
      <c r="J31" t="s">
        <v>2149</v>
      </c>
      <c r="K31" t="s">
        <v>951</v>
      </c>
      <c r="L31" t="s">
        <v>2544</v>
      </c>
      <c r="M31" t="s">
        <v>950</v>
      </c>
      <c r="N31"/>
    </row>
    <row r="32" spans="1:17" ht="16.2" customHeight="1">
      <c r="A32" s="58">
        <v>2023</v>
      </c>
      <c r="B32" s="58" t="s">
        <v>2148</v>
      </c>
      <c r="C32" s="58" t="s">
        <v>955</v>
      </c>
      <c r="D32" s="58" t="s">
        <v>956</v>
      </c>
      <c r="E32" s="58" t="s">
        <v>957</v>
      </c>
      <c r="G32" s="58">
        <v>2024</v>
      </c>
      <c r="H32" t="s">
        <v>2148</v>
      </c>
      <c r="I32" t="s">
        <v>955</v>
      </c>
      <c r="J32" t="s">
        <v>2149</v>
      </c>
      <c r="K32" t="s">
        <v>957</v>
      </c>
      <c r="L32" t="s">
        <v>2167</v>
      </c>
      <c r="M32" t="s">
        <v>956</v>
      </c>
      <c r="N32"/>
    </row>
    <row r="33" spans="1:14" ht="16.2" customHeight="1">
      <c r="A33" s="58">
        <v>2023</v>
      </c>
      <c r="B33" s="58" t="s">
        <v>2148</v>
      </c>
      <c r="C33" s="58" t="s">
        <v>959</v>
      </c>
      <c r="D33" s="58" t="s">
        <v>960</v>
      </c>
      <c r="E33" s="58" t="s">
        <v>961</v>
      </c>
      <c r="G33" s="58">
        <v>2024</v>
      </c>
      <c r="H33" t="s">
        <v>2148</v>
      </c>
      <c r="I33" t="s">
        <v>959</v>
      </c>
      <c r="J33" t="s">
        <v>2149</v>
      </c>
      <c r="K33" t="s">
        <v>961</v>
      </c>
      <c r="L33" t="s">
        <v>2168</v>
      </c>
      <c r="M33" t="s">
        <v>960</v>
      </c>
      <c r="N33"/>
    </row>
    <row r="34" spans="1:14" ht="16.2" customHeight="1">
      <c r="A34" s="58">
        <v>2023</v>
      </c>
      <c r="B34" s="58" t="s">
        <v>2148</v>
      </c>
      <c r="C34" s="58" t="s">
        <v>962</v>
      </c>
      <c r="D34" s="58" t="s">
        <v>963</v>
      </c>
      <c r="E34" s="58" t="s">
        <v>964</v>
      </c>
      <c r="G34" s="58">
        <v>2024</v>
      </c>
      <c r="H34" t="s">
        <v>2148</v>
      </c>
      <c r="I34" t="s">
        <v>962</v>
      </c>
      <c r="J34" t="s">
        <v>2149</v>
      </c>
      <c r="K34" t="s">
        <v>964</v>
      </c>
      <c r="L34" t="s">
        <v>2169</v>
      </c>
      <c r="M34" t="s">
        <v>963</v>
      </c>
      <c r="N34"/>
    </row>
    <row r="35" spans="1:14" ht="16.2" customHeight="1">
      <c r="A35" s="58">
        <v>2023</v>
      </c>
      <c r="B35" s="58" t="s">
        <v>2148</v>
      </c>
      <c r="C35" s="58" t="s">
        <v>965</v>
      </c>
      <c r="D35" s="58" t="s">
        <v>966</v>
      </c>
      <c r="E35" s="58" t="s">
        <v>967</v>
      </c>
      <c r="G35" s="58">
        <v>2024</v>
      </c>
      <c r="H35" t="s">
        <v>2148</v>
      </c>
      <c r="I35" t="s">
        <v>965</v>
      </c>
      <c r="J35" t="s">
        <v>2149</v>
      </c>
      <c r="K35" t="s">
        <v>967</v>
      </c>
      <c r="L35" t="s">
        <v>2170</v>
      </c>
      <c r="M35" t="s">
        <v>966</v>
      </c>
      <c r="N35"/>
    </row>
    <row r="36" spans="1:14" ht="16.2" customHeight="1">
      <c r="A36" s="58">
        <v>2023</v>
      </c>
      <c r="B36" s="58" t="s">
        <v>2148</v>
      </c>
      <c r="C36" s="58" t="s">
        <v>968</v>
      </c>
      <c r="D36" s="58" t="s">
        <v>969</v>
      </c>
      <c r="E36" s="58" t="s">
        <v>970</v>
      </c>
      <c r="G36" s="58">
        <v>2024</v>
      </c>
      <c r="H36" t="s">
        <v>2148</v>
      </c>
      <c r="I36" t="s">
        <v>968</v>
      </c>
      <c r="J36" t="s">
        <v>2149</v>
      </c>
      <c r="K36" t="s">
        <v>970</v>
      </c>
      <c r="L36" t="s">
        <v>2545</v>
      </c>
      <c r="M36" t="s">
        <v>969</v>
      </c>
      <c r="N36"/>
    </row>
    <row r="37" spans="1:14" ht="16.2" customHeight="1">
      <c r="A37" s="58">
        <v>2023</v>
      </c>
      <c r="B37" s="58" t="s">
        <v>2148</v>
      </c>
      <c r="C37" s="58" t="s">
        <v>971</v>
      </c>
      <c r="D37" s="58" t="s">
        <v>972</v>
      </c>
      <c r="E37" s="58" t="s">
        <v>973</v>
      </c>
      <c r="G37" s="58">
        <v>2024</v>
      </c>
      <c r="H37" t="s">
        <v>2148</v>
      </c>
      <c r="I37" t="s">
        <v>971</v>
      </c>
      <c r="J37" t="s">
        <v>2149</v>
      </c>
      <c r="K37" t="s">
        <v>973</v>
      </c>
      <c r="L37" t="s">
        <v>2546</v>
      </c>
      <c r="M37" t="s">
        <v>972</v>
      </c>
      <c r="N37"/>
    </row>
    <row r="38" spans="1:14" ht="16.2" customHeight="1">
      <c r="A38" s="58">
        <v>2023</v>
      </c>
      <c r="B38" s="58" t="s">
        <v>2148</v>
      </c>
      <c r="C38" s="58" t="s">
        <v>974</v>
      </c>
      <c r="D38" s="58" t="s">
        <v>976</v>
      </c>
      <c r="E38" s="58" t="s">
        <v>977</v>
      </c>
      <c r="G38" s="58">
        <v>2024</v>
      </c>
      <c r="H38" t="s">
        <v>2148</v>
      </c>
      <c r="I38" t="s">
        <v>974</v>
      </c>
      <c r="J38" t="s">
        <v>2149</v>
      </c>
      <c r="K38" t="s">
        <v>977</v>
      </c>
      <c r="L38" t="s">
        <v>2171</v>
      </c>
      <c r="M38" t="s">
        <v>976</v>
      </c>
      <c r="N38"/>
    </row>
    <row r="39" spans="1:14" ht="16.2" customHeight="1">
      <c r="A39" s="58">
        <v>2023</v>
      </c>
      <c r="B39" s="58" t="s">
        <v>2148</v>
      </c>
      <c r="C39" s="58" t="s">
        <v>979</v>
      </c>
      <c r="D39" s="58" t="s">
        <v>981</v>
      </c>
      <c r="E39" s="58" t="s">
        <v>983</v>
      </c>
      <c r="G39" s="58">
        <v>2024</v>
      </c>
      <c r="H39" t="s">
        <v>2148</v>
      </c>
      <c r="I39" t="s">
        <v>979</v>
      </c>
      <c r="J39" t="s">
        <v>2149</v>
      </c>
      <c r="K39" t="s">
        <v>983</v>
      </c>
      <c r="L39" t="s">
        <v>2547</v>
      </c>
      <c r="M39" t="s">
        <v>981</v>
      </c>
      <c r="N39"/>
    </row>
    <row r="40" spans="1:14" ht="16.2" customHeight="1">
      <c r="A40" s="58">
        <v>2023</v>
      </c>
      <c r="B40" s="58" t="s">
        <v>2148</v>
      </c>
      <c r="C40" s="58" t="s">
        <v>985</v>
      </c>
      <c r="D40" s="58" t="s">
        <v>986</v>
      </c>
      <c r="E40" s="58" t="s">
        <v>987</v>
      </c>
      <c r="G40" s="58">
        <v>2024</v>
      </c>
      <c r="H40" t="s">
        <v>2148</v>
      </c>
      <c r="I40" t="s">
        <v>985</v>
      </c>
      <c r="J40" t="s">
        <v>2149</v>
      </c>
      <c r="K40" t="s">
        <v>987</v>
      </c>
      <c r="L40" t="s">
        <v>2172</v>
      </c>
      <c r="M40" t="s">
        <v>986</v>
      </c>
      <c r="N40"/>
    </row>
    <row r="41" spans="1:14" ht="16.2" customHeight="1">
      <c r="A41" s="58">
        <v>2023</v>
      </c>
      <c r="B41" s="58" t="s">
        <v>2148</v>
      </c>
      <c r="C41" s="58" t="s">
        <v>989</v>
      </c>
      <c r="D41" s="58" t="s">
        <v>990</v>
      </c>
      <c r="E41" s="58" t="s">
        <v>991</v>
      </c>
      <c r="G41" s="58">
        <v>2024</v>
      </c>
      <c r="H41" t="s">
        <v>2148</v>
      </c>
      <c r="I41" t="s">
        <v>989</v>
      </c>
      <c r="J41" t="s">
        <v>2149</v>
      </c>
      <c r="K41" t="s">
        <v>2174</v>
      </c>
      <c r="L41" t="s">
        <v>2173</v>
      </c>
      <c r="M41" t="s">
        <v>990</v>
      </c>
      <c r="N41"/>
    </row>
    <row r="42" spans="1:14" ht="16.2" customHeight="1">
      <c r="A42" s="58">
        <v>2023</v>
      </c>
      <c r="B42" s="58" t="s">
        <v>2148</v>
      </c>
      <c r="C42" s="58" t="s">
        <v>994</v>
      </c>
      <c r="D42" s="58" t="s">
        <v>995</v>
      </c>
      <c r="E42" s="58" t="s">
        <v>997</v>
      </c>
      <c r="G42" s="58">
        <v>2024</v>
      </c>
      <c r="H42" t="s">
        <v>2148</v>
      </c>
      <c r="I42" t="s">
        <v>994</v>
      </c>
      <c r="J42" t="s">
        <v>2149</v>
      </c>
      <c r="K42" t="s">
        <v>997</v>
      </c>
      <c r="L42" t="s">
        <v>2548</v>
      </c>
      <c r="M42" t="s">
        <v>995</v>
      </c>
      <c r="N42"/>
    </row>
    <row r="43" spans="1:14" ht="16.2" customHeight="1">
      <c r="A43" s="58">
        <v>2023</v>
      </c>
      <c r="B43" s="58" t="s">
        <v>2148</v>
      </c>
      <c r="C43" s="58" t="s">
        <v>1002</v>
      </c>
      <c r="D43" s="58" t="s">
        <v>1003</v>
      </c>
      <c r="E43" s="58" t="s">
        <v>883</v>
      </c>
      <c r="G43" s="58">
        <v>2024</v>
      </c>
      <c r="H43" t="s">
        <v>2148</v>
      </c>
      <c r="I43" t="s">
        <v>1002</v>
      </c>
      <c r="J43" t="s">
        <v>2149</v>
      </c>
      <c r="K43" t="s">
        <v>883</v>
      </c>
      <c r="L43" t="s">
        <v>2175</v>
      </c>
      <c r="M43" t="s">
        <v>1003</v>
      </c>
      <c r="N43"/>
    </row>
    <row r="44" spans="1:14" ht="16.2" customHeight="1">
      <c r="A44" s="58">
        <v>2023</v>
      </c>
      <c r="B44" s="58" t="s">
        <v>2148</v>
      </c>
      <c r="C44" s="58" t="s">
        <v>1007</v>
      </c>
      <c r="D44" s="58" t="s">
        <v>1008</v>
      </c>
      <c r="E44" s="58" t="s">
        <v>1009</v>
      </c>
      <c r="G44" s="58">
        <v>2024</v>
      </c>
      <c r="H44" t="s">
        <v>2148</v>
      </c>
      <c r="I44" t="s">
        <v>1007</v>
      </c>
      <c r="J44" t="s">
        <v>2149</v>
      </c>
      <c r="K44" t="s">
        <v>1009</v>
      </c>
      <c r="L44" t="s">
        <v>2549</v>
      </c>
      <c r="M44" t="s">
        <v>1008</v>
      </c>
      <c r="N44"/>
    </row>
    <row r="45" spans="1:14" ht="16.2" customHeight="1">
      <c r="A45" s="58">
        <v>2023</v>
      </c>
      <c r="B45" s="58" t="s">
        <v>2148</v>
      </c>
      <c r="C45" s="58" t="s">
        <v>1013</v>
      </c>
      <c r="D45" s="58" t="s">
        <v>1014</v>
      </c>
      <c r="E45" s="58" t="s">
        <v>1015</v>
      </c>
      <c r="G45" s="58">
        <v>2024</v>
      </c>
      <c r="H45" t="s">
        <v>2148</v>
      </c>
      <c r="I45" t="s">
        <v>1013</v>
      </c>
      <c r="J45" t="s">
        <v>2149</v>
      </c>
      <c r="K45" t="s">
        <v>1015</v>
      </c>
      <c r="L45" t="s">
        <v>2176</v>
      </c>
      <c r="M45" t="s">
        <v>1014</v>
      </c>
      <c r="N45"/>
    </row>
    <row r="46" spans="1:14" ht="16.2" customHeight="1">
      <c r="A46" s="58">
        <v>2023</v>
      </c>
      <c r="B46" s="58" t="s">
        <v>2148</v>
      </c>
      <c r="C46" s="58" t="s">
        <v>1018</v>
      </c>
      <c r="D46" s="58" t="s">
        <v>1019</v>
      </c>
      <c r="E46" s="58" t="s">
        <v>1020</v>
      </c>
      <c r="G46" s="58">
        <v>2024</v>
      </c>
      <c r="H46" t="s">
        <v>2148</v>
      </c>
      <c r="I46" t="s">
        <v>1018</v>
      </c>
      <c r="J46" t="s">
        <v>2149</v>
      </c>
      <c r="K46" t="s">
        <v>1020</v>
      </c>
      <c r="L46" t="s">
        <v>2177</v>
      </c>
      <c r="M46" t="s">
        <v>1019</v>
      </c>
      <c r="N46"/>
    </row>
    <row r="47" spans="1:14" ht="16.2" customHeight="1">
      <c r="A47" s="58">
        <v>2023</v>
      </c>
      <c r="B47" s="58" t="s">
        <v>2148</v>
      </c>
      <c r="C47" s="58" t="s">
        <v>1024</v>
      </c>
      <c r="D47" s="58" t="s">
        <v>1025</v>
      </c>
      <c r="E47" s="58" t="s">
        <v>1026</v>
      </c>
      <c r="G47" s="58">
        <v>2024</v>
      </c>
      <c r="H47" t="s">
        <v>2148</v>
      </c>
      <c r="I47" t="s">
        <v>1024</v>
      </c>
      <c r="J47" t="s">
        <v>2149</v>
      </c>
      <c r="K47" t="s">
        <v>1026</v>
      </c>
      <c r="L47" t="s">
        <v>2178</v>
      </c>
      <c r="M47" t="s">
        <v>1025</v>
      </c>
      <c r="N47"/>
    </row>
    <row r="48" spans="1:14" ht="16.2" customHeight="1">
      <c r="A48" s="58">
        <v>2023</v>
      </c>
      <c r="B48" s="58" t="s">
        <v>2148</v>
      </c>
      <c r="C48" s="58" t="s">
        <v>1029</v>
      </c>
      <c r="D48" s="58" t="s">
        <v>1030</v>
      </c>
      <c r="E48" s="58" t="s">
        <v>1031</v>
      </c>
      <c r="G48" s="58">
        <v>2024</v>
      </c>
      <c r="H48" t="s">
        <v>2148</v>
      </c>
      <c r="I48" t="s">
        <v>1029</v>
      </c>
      <c r="J48" t="s">
        <v>2149</v>
      </c>
      <c r="K48" t="s">
        <v>2179</v>
      </c>
      <c r="L48" t="s">
        <v>2550</v>
      </c>
      <c r="M48" t="s">
        <v>1030</v>
      </c>
      <c r="N48"/>
    </row>
    <row r="49" spans="1:14" ht="16.2" customHeight="1">
      <c r="A49" s="58">
        <v>2023</v>
      </c>
      <c r="B49" s="58" t="s">
        <v>2148</v>
      </c>
      <c r="C49" s="58" t="s">
        <v>1033</v>
      </c>
      <c r="D49" s="58" t="s">
        <v>1034</v>
      </c>
      <c r="E49" s="58" t="s">
        <v>1036</v>
      </c>
      <c r="G49" s="58">
        <v>2024</v>
      </c>
      <c r="H49" t="s">
        <v>2148</v>
      </c>
      <c r="I49" t="s">
        <v>1033</v>
      </c>
      <c r="J49" t="s">
        <v>2149</v>
      </c>
      <c r="K49" t="s">
        <v>2551</v>
      </c>
      <c r="L49" t="s">
        <v>2552</v>
      </c>
      <c r="M49" t="s">
        <v>2553</v>
      </c>
      <c r="N49"/>
    </row>
    <row r="50" spans="1:14" ht="16.2" customHeight="1">
      <c r="A50" s="58">
        <v>2023</v>
      </c>
      <c r="B50" s="58" t="s">
        <v>2148</v>
      </c>
      <c r="C50" s="58" t="s">
        <v>1037</v>
      </c>
      <c r="D50" s="58" t="s">
        <v>1039</v>
      </c>
      <c r="E50" s="58" t="s">
        <v>1040</v>
      </c>
      <c r="G50" s="58">
        <v>2024</v>
      </c>
      <c r="H50" t="s">
        <v>2148</v>
      </c>
      <c r="I50" t="s">
        <v>1037</v>
      </c>
      <c r="J50" t="s">
        <v>2149</v>
      </c>
      <c r="K50" t="s">
        <v>1040</v>
      </c>
      <c r="L50" t="s">
        <v>2554</v>
      </c>
      <c r="M50" t="s">
        <v>1039</v>
      </c>
      <c r="N50"/>
    </row>
    <row r="51" spans="1:14" ht="16.2" customHeight="1">
      <c r="A51" s="58">
        <v>2023</v>
      </c>
      <c r="B51" s="58" t="s">
        <v>2148</v>
      </c>
      <c r="C51" s="58" t="s">
        <v>1043</v>
      </c>
      <c r="D51" s="58" t="s">
        <v>1044</v>
      </c>
      <c r="E51" s="58" t="s">
        <v>1045</v>
      </c>
      <c r="G51" s="58">
        <v>2024</v>
      </c>
      <c r="H51" t="s">
        <v>2148</v>
      </c>
      <c r="I51" t="s">
        <v>1043</v>
      </c>
      <c r="J51" t="s">
        <v>2149</v>
      </c>
      <c r="K51" t="s">
        <v>1045</v>
      </c>
      <c r="L51" t="s">
        <v>2555</v>
      </c>
      <c r="M51" t="s">
        <v>1044</v>
      </c>
      <c r="N51"/>
    </row>
    <row r="52" spans="1:14" ht="16.2" customHeight="1">
      <c r="A52" s="58">
        <v>2023</v>
      </c>
      <c r="B52" s="58" t="s">
        <v>2148</v>
      </c>
      <c r="C52" s="58" t="s">
        <v>1046</v>
      </c>
      <c r="D52" s="58" t="s">
        <v>1048</v>
      </c>
      <c r="E52" s="58" t="s">
        <v>1050</v>
      </c>
      <c r="G52" s="58">
        <v>2024</v>
      </c>
      <c r="H52" t="s">
        <v>2148</v>
      </c>
      <c r="I52" t="s">
        <v>1046</v>
      </c>
      <c r="J52" t="s">
        <v>2149</v>
      </c>
      <c r="K52" t="s">
        <v>1050</v>
      </c>
      <c r="L52" t="s">
        <v>2180</v>
      </c>
      <c r="M52" t="s">
        <v>1048</v>
      </c>
      <c r="N52"/>
    </row>
    <row r="53" spans="1:14" ht="16.2" customHeight="1">
      <c r="A53" s="58">
        <v>2023</v>
      </c>
      <c r="B53" s="58" t="s">
        <v>2148</v>
      </c>
      <c r="C53" s="58" t="s">
        <v>76</v>
      </c>
      <c r="D53" s="58" t="s">
        <v>1053</v>
      </c>
      <c r="E53" s="58" t="s">
        <v>1054</v>
      </c>
      <c r="G53" s="58">
        <v>2024</v>
      </c>
      <c r="H53" t="s">
        <v>2148</v>
      </c>
      <c r="I53" t="s">
        <v>76</v>
      </c>
      <c r="J53" t="s">
        <v>2149</v>
      </c>
      <c r="K53" t="s">
        <v>1054</v>
      </c>
      <c r="L53" t="s">
        <v>2181</v>
      </c>
      <c r="M53" t="s">
        <v>1053</v>
      </c>
      <c r="N53"/>
    </row>
    <row r="54" spans="1:14" ht="16.2" customHeight="1">
      <c r="A54" s="58">
        <v>2023</v>
      </c>
      <c r="B54" s="58" t="s">
        <v>2148</v>
      </c>
      <c r="C54" s="58" t="s">
        <v>1057</v>
      </c>
      <c r="D54" s="58" t="s">
        <v>1058</v>
      </c>
      <c r="E54" s="58" t="s">
        <v>1059</v>
      </c>
      <c r="G54" s="58">
        <v>2024</v>
      </c>
      <c r="H54" t="s">
        <v>2148</v>
      </c>
      <c r="I54" t="s">
        <v>1057</v>
      </c>
      <c r="J54" t="s">
        <v>2149</v>
      </c>
      <c r="K54" t="s">
        <v>1059</v>
      </c>
      <c r="L54" t="s">
        <v>2182</v>
      </c>
      <c r="M54" t="s">
        <v>1058</v>
      </c>
      <c r="N54"/>
    </row>
    <row r="55" spans="1:14" ht="16.2" customHeight="1">
      <c r="A55" s="58">
        <v>2023</v>
      </c>
      <c r="B55" s="58" t="s">
        <v>2148</v>
      </c>
      <c r="C55" s="58" t="s">
        <v>162</v>
      </c>
      <c r="D55" s="58" t="s">
        <v>1060</v>
      </c>
      <c r="E55" s="58" t="s">
        <v>1061</v>
      </c>
      <c r="G55" s="58">
        <v>2024</v>
      </c>
      <c r="H55" t="s">
        <v>2148</v>
      </c>
      <c r="I55" t="s">
        <v>162</v>
      </c>
      <c r="J55" t="s">
        <v>2149</v>
      </c>
      <c r="K55" t="s">
        <v>1061</v>
      </c>
      <c r="L55" t="s">
        <v>2183</v>
      </c>
      <c r="M55" t="s">
        <v>1060</v>
      </c>
      <c r="N55"/>
    </row>
    <row r="59" spans="1:14" ht="16.2" customHeight="1">
      <c r="A59" s="58">
        <v>2023</v>
      </c>
      <c r="B59" s="58" t="s">
        <v>250</v>
      </c>
      <c r="C59" s="58" t="s">
        <v>1063</v>
      </c>
      <c r="D59" s="58" t="s">
        <v>1065</v>
      </c>
      <c r="E59" s="58" t="s">
        <v>1066</v>
      </c>
      <c r="G59" s="58">
        <v>2024</v>
      </c>
      <c r="H59" s="58" t="s">
        <v>250</v>
      </c>
      <c r="I59" s="58" t="s">
        <v>1063</v>
      </c>
    </row>
    <row r="60" spans="1:14" ht="16.2" customHeight="1">
      <c r="A60" s="58">
        <v>2023</v>
      </c>
      <c r="B60" s="58" t="s">
        <v>250</v>
      </c>
      <c r="C60" s="58" t="s">
        <v>1071</v>
      </c>
      <c r="D60" s="58" t="s">
        <v>1073</v>
      </c>
      <c r="E60" s="58" t="s">
        <v>1074</v>
      </c>
      <c r="G60" s="58">
        <v>2024</v>
      </c>
      <c r="H60" s="58" t="s">
        <v>250</v>
      </c>
      <c r="I60" s="58" t="s">
        <v>1071</v>
      </c>
    </row>
    <row r="61" spans="1:14" ht="16.2" customHeight="1">
      <c r="A61" s="58">
        <v>2023</v>
      </c>
      <c r="B61" s="58" t="s">
        <v>250</v>
      </c>
      <c r="C61" s="58" t="s">
        <v>1076</v>
      </c>
      <c r="D61" s="58" t="s">
        <v>1077</v>
      </c>
      <c r="E61" s="58" t="s">
        <v>1078</v>
      </c>
      <c r="G61" s="58">
        <v>2024</v>
      </c>
      <c r="H61" s="58" t="s">
        <v>250</v>
      </c>
      <c r="I61" s="58" t="s">
        <v>1076</v>
      </c>
    </row>
    <row r="62" spans="1:14" ht="16.2" customHeight="1">
      <c r="A62" s="58">
        <v>2023</v>
      </c>
      <c r="B62" s="58" t="s">
        <v>250</v>
      </c>
      <c r="C62" s="58" t="s">
        <v>1082</v>
      </c>
      <c r="D62" s="58" t="s">
        <v>1083</v>
      </c>
      <c r="E62" s="58" t="s">
        <v>1085</v>
      </c>
      <c r="G62" s="58">
        <v>2024</v>
      </c>
      <c r="H62" s="58" t="s">
        <v>250</v>
      </c>
      <c r="I62" s="58" t="s">
        <v>1082</v>
      </c>
    </row>
    <row r="63" spans="1:14" ht="16.2" customHeight="1">
      <c r="A63" s="58">
        <v>2023</v>
      </c>
      <c r="B63" s="58" t="s">
        <v>250</v>
      </c>
      <c r="C63" s="58" t="s">
        <v>1087</v>
      </c>
      <c r="D63" s="58" t="s">
        <v>1088</v>
      </c>
      <c r="E63" s="58" t="s">
        <v>1089</v>
      </c>
      <c r="G63" s="58">
        <v>2024</v>
      </c>
      <c r="H63" s="58" t="s">
        <v>250</v>
      </c>
      <c r="I63" s="58" t="s">
        <v>1087</v>
      </c>
    </row>
    <row r="64" spans="1:14" ht="16.2" customHeight="1">
      <c r="A64" s="58">
        <v>2023</v>
      </c>
      <c r="B64" s="58" t="s">
        <v>250</v>
      </c>
      <c r="C64" s="58" t="s">
        <v>1090</v>
      </c>
      <c r="D64" s="58" t="s">
        <v>1092</v>
      </c>
      <c r="E64" s="58" t="s">
        <v>1094</v>
      </c>
      <c r="G64" s="58">
        <v>2024</v>
      </c>
      <c r="H64" s="58" t="s">
        <v>250</v>
      </c>
      <c r="I64" s="58" t="s">
        <v>1090</v>
      </c>
    </row>
    <row r="65" spans="1:9" ht="16.2" customHeight="1">
      <c r="A65" s="58">
        <v>2023</v>
      </c>
      <c r="B65" s="58" t="s">
        <v>250</v>
      </c>
      <c r="C65" s="58" t="s">
        <v>1096</v>
      </c>
      <c r="D65" s="58" t="s">
        <v>1097</v>
      </c>
      <c r="E65" s="58" t="s">
        <v>1098</v>
      </c>
      <c r="G65" s="58">
        <v>2024</v>
      </c>
      <c r="H65" s="58" t="s">
        <v>250</v>
      </c>
      <c r="I65" s="58" t="s">
        <v>1096</v>
      </c>
    </row>
    <row r="66" spans="1:9" ht="16.2" customHeight="1">
      <c r="A66" s="58">
        <v>2023</v>
      </c>
      <c r="B66" s="58" t="s">
        <v>250</v>
      </c>
      <c r="C66" s="58" t="s">
        <v>1103</v>
      </c>
      <c r="D66" s="58" t="s">
        <v>1104</v>
      </c>
      <c r="E66" s="58" t="s">
        <v>1105</v>
      </c>
      <c r="G66" s="58">
        <v>2024</v>
      </c>
      <c r="H66" s="58" t="s">
        <v>250</v>
      </c>
      <c r="I66" s="58" t="s">
        <v>1103</v>
      </c>
    </row>
    <row r="67" spans="1:9" ht="16.2" customHeight="1">
      <c r="A67" s="58">
        <v>2023</v>
      </c>
      <c r="B67" s="58" t="s">
        <v>250</v>
      </c>
      <c r="C67" s="58" t="s">
        <v>1109</v>
      </c>
      <c r="D67" s="58" t="s">
        <v>1110</v>
      </c>
      <c r="E67" s="58" t="s">
        <v>1111</v>
      </c>
      <c r="G67" s="58">
        <v>2024</v>
      </c>
      <c r="H67" s="58" t="s">
        <v>250</v>
      </c>
      <c r="I67" s="58" t="s">
        <v>1109</v>
      </c>
    </row>
    <row r="68" spans="1:9" ht="16.2" customHeight="1">
      <c r="A68" s="58">
        <v>2023</v>
      </c>
      <c r="B68" s="58" t="s">
        <v>250</v>
      </c>
      <c r="C68" s="58" t="s">
        <v>1119</v>
      </c>
      <c r="D68" s="58" t="s">
        <v>1121</v>
      </c>
      <c r="E68" s="58" t="s">
        <v>1124</v>
      </c>
      <c r="G68" s="58">
        <v>2024</v>
      </c>
      <c r="H68" s="58" t="s">
        <v>250</v>
      </c>
      <c r="I68" s="58" t="s">
        <v>1119</v>
      </c>
    </row>
    <row r="69" spans="1:9" ht="16.2" customHeight="1">
      <c r="A69" s="58">
        <v>2023</v>
      </c>
      <c r="B69" s="58" t="s">
        <v>250</v>
      </c>
      <c r="C69" s="58" t="s">
        <v>1125</v>
      </c>
      <c r="D69" s="58" t="s">
        <v>1126</v>
      </c>
      <c r="E69" s="58" t="s">
        <v>1129</v>
      </c>
      <c r="G69" s="58">
        <v>2024</v>
      </c>
      <c r="H69" s="58" t="s">
        <v>250</v>
      </c>
      <c r="I69" s="58" t="s">
        <v>1125</v>
      </c>
    </row>
    <row r="70" spans="1:9" ht="16.2" customHeight="1">
      <c r="A70" s="58">
        <v>2023</v>
      </c>
      <c r="B70" s="58" t="s">
        <v>250</v>
      </c>
      <c r="C70" s="58" t="s">
        <v>1130</v>
      </c>
      <c r="D70" s="58" t="s">
        <v>1131</v>
      </c>
      <c r="E70" s="58" t="s">
        <v>1133</v>
      </c>
      <c r="G70" s="58">
        <v>2024</v>
      </c>
      <c r="H70" s="58" t="s">
        <v>250</v>
      </c>
      <c r="I70" s="58" t="s">
        <v>1130</v>
      </c>
    </row>
    <row r="71" spans="1:9" ht="16.2" customHeight="1">
      <c r="A71" s="58">
        <v>2023</v>
      </c>
      <c r="B71" s="58" t="s">
        <v>250</v>
      </c>
      <c r="C71" s="58" t="s">
        <v>1136</v>
      </c>
      <c r="D71" s="58" t="s">
        <v>1138</v>
      </c>
      <c r="E71" s="58" t="s">
        <v>1139</v>
      </c>
      <c r="G71" s="58">
        <v>2024</v>
      </c>
      <c r="H71" s="58" t="s">
        <v>250</v>
      </c>
      <c r="I71" s="58" t="s">
        <v>1136</v>
      </c>
    </row>
    <row r="72" spans="1:9" ht="16.2" customHeight="1">
      <c r="A72" s="58">
        <v>2023</v>
      </c>
      <c r="B72" s="58" t="s">
        <v>250</v>
      </c>
      <c r="C72" s="58" t="s">
        <v>1141</v>
      </c>
      <c r="D72" s="58" t="s">
        <v>1142</v>
      </c>
      <c r="E72" s="58" t="s">
        <v>1143</v>
      </c>
      <c r="G72" s="58">
        <v>2024</v>
      </c>
      <c r="H72" s="58" t="s">
        <v>250</v>
      </c>
      <c r="I72" s="58" t="s">
        <v>1141</v>
      </c>
    </row>
    <row r="73" spans="1:9" ht="16.2" customHeight="1">
      <c r="A73" s="58">
        <v>2023</v>
      </c>
      <c r="B73" s="58" t="s">
        <v>250</v>
      </c>
      <c r="C73" s="58" t="s">
        <v>1144</v>
      </c>
      <c r="D73" s="58" t="s">
        <v>1145</v>
      </c>
      <c r="E73" s="58" t="s">
        <v>1147</v>
      </c>
      <c r="G73" s="58">
        <v>2024</v>
      </c>
      <c r="H73" s="58" t="s">
        <v>250</v>
      </c>
      <c r="I73" s="58" t="s">
        <v>1144</v>
      </c>
    </row>
    <row r="74" spans="1:9" ht="16.2" customHeight="1">
      <c r="A74" s="58">
        <v>2023</v>
      </c>
      <c r="B74" s="58" t="s">
        <v>250</v>
      </c>
      <c r="C74" s="58" t="s">
        <v>1148</v>
      </c>
      <c r="D74" s="58" t="s">
        <v>1150</v>
      </c>
      <c r="E74" s="58" t="s">
        <v>1151</v>
      </c>
      <c r="G74" s="58">
        <v>2024</v>
      </c>
      <c r="H74" s="58" t="s">
        <v>250</v>
      </c>
      <c r="I74" s="58" t="s">
        <v>1148</v>
      </c>
    </row>
    <row r="75" spans="1:9" ht="16.2" customHeight="1">
      <c r="A75" s="58">
        <v>2023</v>
      </c>
      <c r="B75" s="58" t="s">
        <v>250</v>
      </c>
      <c r="C75" s="58" t="s">
        <v>1154</v>
      </c>
      <c r="D75" s="58" t="s">
        <v>1156</v>
      </c>
      <c r="E75" s="58" t="s">
        <v>1157</v>
      </c>
      <c r="G75" s="58">
        <v>2024</v>
      </c>
      <c r="H75" s="58" t="s">
        <v>250</v>
      </c>
      <c r="I75" s="58" t="s">
        <v>1154</v>
      </c>
    </row>
    <row r="76" spans="1:9" ht="16.2" customHeight="1">
      <c r="A76" s="58">
        <v>2023</v>
      </c>
      <c r="B76" s="58" t="s">
        <v>250</v>
      </c>
      <c r="C76" s="58" t="s">
        <v>1158</v>
      </c>
      <c r="D76" s="58" t="s">
        <v>1159</v>
      </c>
      <c r="E76" s="58" t="s">
        <v>1161</v>
      </c>
      <c r="G76" s="58">
        <v>2024</v>
      </c>
      <c r="H76" s="58" t="s">
        <v>250</v>
      </c>
      <c r="I76" s="58" t="s">
        <v>1158</v>
      </c>
    </row>
    <row r="77" spans="1:9" ht="16.2" customHeight="1">
      <c r="A77" s="58">
        <v>2023</v>
      </c>
      <c r="B77" s="58" t="s">
        <v>250</v>
      </c>
      <c r="C77" s="58" t="s">
        <v>1163</v>
      </c>
      <c r="D77" s="58" t="s">
        <v>1164</v>
      </c>
      <c r="E77" s="58" t="s">
        <v>1165</v>
      </c>
      <c r="G77" s="58">
        <v>2024</v>
      </c>
      <c r="H77" s="58" t="s">
        <v>250</v>
      </c>
      <c r="I77" s="58" t="s">
        <v>1163</v>
      </c>
    </row>
    <row r="78" spans="1:9" ht="16.2" customHeight="1">
      <c r="A78" s="58">
        <v>2023</v>
      </c>
      <c r="B78" s="58" t="s">
        <v>250</v>
      </c>
      <c r="C78" s="58" t="s">
        <v>1166</v>
      </c>
      <c r="D78" s="58" t="s">
        <v>1167</v>
      </c>
      <c r="E78" s="58" t="s">
        <v>1168</v>
      </c>
      <c r="G78" s="58">
        <v>2024</v>
      </c>
      <c r="H78" s="58" t="s">
        <v>250</v>
      </c>
      <c r="I78" s="58" t="s">
        <v>1166</v>
      </c>
    </row>
    <row r="79" spans="1:9" ht="16.2" customHeight="1">
      <c r="A79" s="58">
        <v>2023</v>
      </c>
      <c r="B79" s="58" t="s">
        <v>250</v>
      </c>
      <c r="C79" s="58" t="s">
        <v>1170</v>
      </c>
      <c r="D79" s="58" t="s">
        <v>1171</v>
      </c>
      <c r="E79" s="58" t="s">
        <v>1172</v>
      </c>
      <c r="G79" s="58">
        <v>2024</v>
      </c>
      <c r="H79" s="58" t="s">
        <v>250</v>
      </c>
      <c r="I79" s="58" t="s">
        <v>1170</v>
      </c>
    </row>
    <row r="82" spans="1:11" ht="16.2" customHeight="1">
      <c r="A82" s="58">
        <v>2023</v>
      </c>
      <c r="B82" s="58" t="s">
        <v>2201</v>
      </c>
      <c r="C82" s="58" t="s">
        <v>1173</v>
      </c>
      <c r="D82" s="58" t="s">
        <v>1174</v>
      </c>
      <c r="E82" s="58" t="s">
        <v>1176</v>
      </c>
      <c r="G82" s="357">
        <v>2024</v>
      </c>
      <c r="H82" s="357" t="s">
        <v>2201</v>
      </c>
      <c r="I82" s="357" t="s">
        <v>2557</v>
      </c>
      <c r="J82" s="357" t="s">
        <v>2559</v>
      </c>
      <c r="K82" s="357" t="s">
        <v>1173</v>
      </c>
    </row>
    <row r="83" spans="1:11" ht="16.2" customHeight="1">
      <c r="A83" s="58">
        <v>2023</v>
      </c>
      <c r="B83" s="58" t="s">
        <v>2201</v>
      </c>
      <c r="C83" s="58" t="s">
        <v>1178</v>
      </c>
      <c r="D83" s="58" t="s">
        <v>1179</v>
      </c>
      <c r="E83" s="58" t="s">
        <v>1180</v>
      </c>
      <c r="G83" s="58">
        <v>2024</v>
      </c>
      <c r="H83" s="58" t="s">
        <v>2201</v>
      </c>
      <c r="I83" s="58" t="s">
        <v>1178</v>
      </c>
    </row>
    <row r="84" spans="1:11" ht="16.2" customHeight="1">
      <c r="A84" s="58">
        <v>2023</v>
      </c>
      <c r="B84" s="58" t="s">
        <v>2201</v>
      </c>
      <c r="C84" s="58" t="s">
        <v>1181</v>
      </c>
      <c r="D84" s="58" t="s">
        <v>1182</v>
      </c>
      <c r="E84" s="58" t="s">
        <v>1184</v>
      </c>
      <c r="G84" s="58">
        <v>2024</v>
      </c>
      <c r="H84" s="58" t="s">
        <v>2201</v>
      </c>
      <c r="I84" s="58" t="s">
        <v>1181</v>
      </c>
    </row>
    <row r="85" spans="1:11" ht="16.2" customHeight="1">
      <c r="A85" s="58">
        <v>2023</v>
      </c>
      <c r="B85" s="58" t="s">
        <v>2201</v>
      </c>
      <c r="C85" s="58" t="s">
        <v>1185</v>
      </c>
      <c r="D85" s="58" t="s">
        <v>1187</v>
      </c>
      <c r="E85" s="58" t="s">
        <v>1188</v>
      </c>
      <c r="G85" s="58">
        <v>2024</v>
      </c>
      <c r="H85" s="58" t="s">
        <v>2201</v>
      </c>
      <c r="I85" s="58" t="s">
        <v>1185</v>
      </c>
    </row>
    <row r="86" spans="1:11" ht="16.2" customHeight="1">
      <c r="A86" s="58">
        <v>2023</v>
      </c>
      <c r="B86" s="58" t="s">
        <v>2201</v>
      </c>
      <c r="C86" s="58" t="s">
        <v>1190</v>
      </c>
      <c r="D86" s="58" t="s">
        <v>1192</v>
      </c>
      <c r="E86" s="58" t="s">
        <v>1193</v>
      </c>
      <c r="G86" s="58">
        <v>2024</v>
      </c>
      <c r="H86" s="58" t="s">
        <v>2201</v>
      </c>
      <c r="I86" s="58" t="s">
        <v>1190</v>
      </c>
    </row>
    <row r="87" spans="1:11" ht="16.2" customHeight="1">
      <c r="A87" s="58">
        <v>2023</v>
      </c>
      <c r="B87" s="58" t="s">
        <v>2201</v>
      </c>
      <c r="C87" s="58" t="s">
        <v>1194</v>
      </c>
      <c r="D87" s="58" t="s">
        <v>1195</v>
      </c>
      <c r="E87" s="58" t="s">
        <v>1196</v>
      </c>
      <c r="G87" s="58">
        <v>2024</v>
      </c>
      <c r="H87" s="58" t="s">
        <v>2201</v>
      </c>
      <c r="I87" s="58" t="s">
        <v>1194</v>
      </c>
    </row>
    <row r="88" spans="1:11" ht="16.2" customHeight="1">
      <c r="A88" s="58">
        <v>2023</v>
      </c>
      <c r="B88" s="58" t="s">
        <v>2201</v>
      </c>
      <c r="C88" s="58" t="s">
        <v>1197</v>
      </c>
      <c r="D88" s="58" t="s">
        <v>1198</v>
      </c>
      <c r="E88" s="58" t="s">
        <v>1199</v>
      </c>
      <c r="G88" s="58">
        <v>2024</v>
      </c>
      <c r="H88" s="58" t="s">
        <v>2201</v>
      </c>
      <c r="I88" s="58" t="s">
        <v>1197</v>
      </c>
    </row>
    <row r="89" spans="1:11" ht="16.2" customHeight="1">
      <c r="A89" s="58">
        <v>2023</v>
      </c>
      <c r="B89" s="58" t="s">
        <v>2201</v>
      </c>
      <c r="C89" s="58" t="s">
        <v>1200</v>
      </c>
      <c r="D89" s="58" t="s">
        <v>1202</v>
      </c>
      <c r="E89" s="58" t="s">
        <v>1203</v>
      </c>
      <c r="G89" s="58">
        <v>2024</v>
      </c>
      <c r="H89" s="58" t="s">
        <v>2201</v>
      </c>
      <c r="I89" s="58" t="s">
        <v>1200</v>
      </c>
    </row>
    <row r="90" spans="1:11" ht="16.2" customHeight="1">
      <c r="A90" s="58">
        <v>2023</v>
      </c>
      <c r="B90" s="58" t="s">
        <v>2201</v>
      </c>
      <c r="C90" s="58" t="s">
        <v>1204</v>
      </c>
      <c r="D90" s="58" t="s">
        <v>1205</v>
      </c>
      <c r="E90" s="58" t="s">
        <v>1206</v>
      </c>
      <c r="G90" s="58">
        <v>2024</v>
      </c>
      <c r="H90" s="58" t="s">
        <v>2201</v>
      </c>
      <c r="I90" s="58" t="s">
        <v>1204</v>
      </c>
    </row>
    <row r="91" spans="1:11" ht="16.2" customHeight="1">
      <c r="A91" s="58">
        <v>2023</v>
      </c>
      <c r="B91" s="58" t="s">
        <v>2201</v>
      </c>
      <c r="C91" s="58" t="s">
        <v>1207</v>
      </c>
      <c r="D91" s="58" t="s">
        <v>1208</v>
      </c>
      <c r="E91" s="58" t="s">
        <v>1209</v>
      </c>
      <c r="G91" s="58">
        <v>2024</v>
      </c>
      <c r="H91" s="58" t="s">
        <v>2201</v>
      </c>
      <c r="I91" s="58" t="s">
        <v>1207</v>
      </c>
    </row>
    <row r="92" spans="1:11" ht="16.2" customHeight="1">
      <c r="A92" s="58">
        <v>2023</v>
      </c>
      <c r="B92" s="58" t="s">
        <v>2201</v>
      </c>
      <c r="C92" s="58" t="s">
        <v>1210</v>
      </c>
      <c r="D92" s="58" t="s">
        <v>1211</v>
      </c>
      <c r="E92" s="58" t="s">
        <v>1212</v>
      </c>
      <c r="G92" s="58">
        <v>2024</v>
      </c>
      <c r="H92" s="58" t="s">
        <v>2201</v>
      </c>
      <c r="I92" s="58" t="s">
        <v>1210</v>
      </c>
    </row>
    <row r="93" spans="1:11" ht="16.2" customHeight="1">
      <c r="A93" s="58">
        <v>2023</v>
      </c>
      <c r="B93" s="58" t="s">
        <v>2201</v>
      </c>
      <c r="C93" s="58" t="s">
        <v>1213</v>
      </c>
      <c r="D93" s="58" t="s">
        <v>1215</v>
      </c>
      <c r="E93" s="58" t="s">
        <v>1216</v>
      </c>
      <c r="G93" s="58">
        <v>2024</v>
      </c>
      <c r="H93" s="58" t="s">
        <v>2201</v>
      </c>
      <c r="I93" s="58" t="s">
        <v>1213</v>
      </c>
    </row>
    <row r="94" spans="1:11" ht="16.2" customHeight="1">
      <c r="A94" s="58">
        <v>2023</v>
      </c>
      <c r="B94" s="58" t="s">
        <v>2201</v>
      </c>
      <c r="C94" s="58" t="s">
        <v>1217</v>
      </c>
      <c r="D94" s="58" t="s">
        <v>1218</v>
      </c>
      <c r="E94" s="58" t="s">
        <v>1220</v>
      </c>
      <c r="G94" s="58">
        <v>2024</v>
      </c>
      <c r="H94" s="58" t="s">
        <v>2201</v>
      </c>
      <c r="I94" s="58" t="s">
        <v>1217</v>
      </c>
    </row>
    <row r="95" spans="1:11" ht="16.2" customHeight="1">
      <c r="A95" s="58">
        <v>2023</v>
      </c>
      <c r="B95" s="58" t="s">
        <v>2201</v>
      </c>
      <c r="C95" s="58" t="s">
        <v>1221</v>
      </c>
      <c r="D95" s="58" t="s">
        <v>1222</v>
      </c>
      <c r="E95" s="58" t="s">
        <v>1224</v>
      </c>
      <c r="G95" s="58">
        <v>2024</v>
      </c>
      <c r="H95" s="58" t="s">
        <v>2201</v>
      </c>
      <c r="I95" s="58" t="s">
        <v>1221</v>
      </c>
    </row>
    <row r="96" spans="1:11" ht="16.2" customHeight="1">
      <c r="A96" s="58">
        <v>2023</v>
      </c>
      <c r="B96" s="58" t="s">
        <v>2201</v>
      </c>
      <c r="C96" s="58" t="s">
        <v>1225</v>
      </c>
      <c r="D96" s="58" t="s">
        <v>1226</v>
      </c>
      <c r="E96" s="58" t="s">
        <v>1228</v>
      </c>
      <c r="G96" s="58">
        <v>2024</v>
      </c>
      <c r="H96" s="58" t="s">
        <v>2201</v>
      </c>
      <c r="I96" s="58" t="s">
        <v>1225</v>
      </c>
    </row>
    <row r="97" spans="1:9" ht="16.2" customHeight="1">
      <c r="A97" s="58">
        <v>2023</v>
      </c>
      <c r="B97" s="58" t="s">
        <v>2201</v>
      </c>
      <c r="C97" s="58" t="s">
        <v>1229</v>
      </c>
      <c r="D97" s="58" t="s">
        <v>1231</v>
      </c>
      <c r="E97" s="58" t="s">
        <v>1233</v>
      </c>
      <c r="G97" s="58">
        <v>2024</v>
      </c>
      <c r="H97" s="58" t="s">
        <v>2201</v>
      </c>
      <c r="I97" s="58" t="s">
        <v>1229</v>
      </c>
    </row>
    <row r="98" spans="1:9" ht="16.2" customHeight="1">
      <c r="A98" s="58">
        <v>2023</v>
      </c>
      <c r="B98" s="58" t="s">
        <v>2201</v>
      </c>
      <c r="C98" s="58" t="s">
        <v>1234</v>
      </c>
      <c r="D98" s="58" t="s">
        <v>1235</v>
      </c>
      <c r="E98" s="58" t="s">
        <v>1236</v>
      </c>
      <c r="G98" s="58">
        <v>2024</v>
      </c>
      <c r="H98" s="58" t="s">
        <v>2201</v>
      </c>
      <c r="I98" s="58" t="s">
        <v>1234</v>
      </c>
    </row>
    <row r="99" spans="1:9" ht="16.2" customHeight="1">
      <c r="A99" s="58">
        <v>2023</v>
      </c>
      <c r="B99" s="58" t="s">
        <v>2201</v>
      </c>
      <c r="C99" s="58" t="s">
        <v>1237</v>
      </c>
      <c r="D99" s="58" t="s">
        <v>1238</v>
      </c>
      <c r="E99" s="58" t="s">
        <v>1239</v>
      </c>
      <c r="G99" s="58">
        <v>2024</v>
      </c>
      <c r="H99" s="58" t="s">
        <v>2201</v>
      </c>
      <c r="I99" s="58" t="s">
        <v>1237</v>
      </c>
    </row>
    <row r="100" spans="1:9" ht="16.2" customHeight="1">
      <c r="A100" s="58">
        <v>2023</v>
      </c>
      <c r="B100" s="58" t="s">
        <v>2201</v>
      </c>
      <c r="C100" s="58" t="s">
        <v>1240</v>
      </c>
      <c r="D100" s="58" t="s">
        <v>1242</v>
      </c>
      <c r="E100" s="58" t="s">
        <v>1245</v>
      </c>
      <c r="G100" s="58">
        <v>2024</v>
      </c>
      <c r="H100" s="58" t="s">
        <v>2201</v>
      </c>
      <c r="I100" s="58" t="s">
        <v>1240</v>
      </c>
    </row>
    <row r="101" spans="1:9" ht="16.2" customHeight="1">
      <c r="A101" s="58">
        <v>2023</v>
      </c>
      <c r="B101" s="58" t="s">
        <v>2201</v>
      </c>
      <c r="C101" s="58" t="s">
        <v>1246</v>
      </c>
      <c r="D101" s="58" t="s">
        <v>1248</v>
      </c>
      <c r="E101" s="58" t="s">
        <v>1250</v>
      </c>
      <c r="G101" s="58">
        <v>2024</v>
      </c>
      <c r="H101" s="58" t="s">
        <v>2201</v>
      </c>
      <c r="I101" s="58" t="s">
        <v>1246</v>
      </c>
    </row>
    <row r="102" spans="1:9" ht="16.2" customHeight="1">
      <c r="A102" s="58">
        <v>2023</v>
      </c>
      <c r="B102" s="58" t="s">
        <v>2201</v>
      </c>
      <c r="C102" s="58" t="s">
        <v>1252</v>
      </c>
      <c r="D102" s="58" t="s">
        <v>1253</v>
      </c>
      <c r="E102" s="58" t="s">
        <v>1254</v>
      </c>
      <c r="G102" s="58">
        <v>2024</v>
      </c>
      <c r="H102" s="58" t="s">
        <v>2201</v>
      </c>
      <c r="I102" s="58" t="s">
        <v>1252</v>
      </c>
    </row>
    <row r="103" spans="1:9" ht="16.2" customHeight="1">
      <c r="A103" s="58">
        <v>2023</v>
      </c>
      <c r="B103" s="58" t="s">
        <v>2201</v>
      </c>
      <c r="C103" s="58" t="s">
        <v>1255</v>
      </c>
      <c r="D103" s="58" t="s">
        <v>1256</v>
      </c>
      <c r="E103" s="58" t="s">
        <v>1257</v>
      </c>
      <c r="G103" s="58">
        <v>2024</v>
      </c>
      <c r="H103" s="58" t="s">
        <v>2201</v>
      </c>
      <c r="I103" s="58" t="s">
        <v>1255</v>
      </c>
    </row>
    <row r="104" spans="1:9" ht="16.2" customHeight="1">
      <c r="A104" s="58">
        <v>2023</v>
      </c>
      <c r="B104" s="58" t="s">
        <v>2201</v>
      </c>
      <c r="C104" s="58" t="s">
        <v>1258</v>
      </c>
      <c r="D104" s="58" t="s">
        <v>1259</v>
      </c>
      <c r="E104" s="58" t="s">
        <v>1260</v>
      </c>
      <c r="G104" s="58">
        <v>2024</v>
      </c>
      <c r="H104" s="58" t="s">
        <v>2201</v>
      </c>
      <c r="I104" s="58" t="s">
        <v>1258</v>
      </c>
    </row>
    <row r="105" spans="1:9" ht="16.2" customHeight="1">
      <c r="A105" s="58">
        <v>2023</v>
      </c>
      <c r="B105" s="58" t="s">
        <v>2201</v>
      </c>
      <c r="C105" s="58" t="s">
        <v>1261</v>
      </c>
      <c r="D105" s="58" t="s">
        <v>1262</v>
      </c>
      <c r="E105" s="58" t="s">
        <v>1263</v>
      </c>
      <c r="G105" s="58">
        <v>2024</v>
      </c>
      <c r="H105" s="58" t="s">
        <v>2201</v>
      </c>
      <c r="I105" s="58" t="s">
        <v>1261</v>
      </c>
    </row>
    <row r="106" spans="1:9" ht="16.2" customHeight="1">
      <c r="A106" s="58">
        <v>2023</v>
      </c>
      <c r="B106" s="58" t="s">
        <v>2201</v>
      </c>
      <c r="C106" s="58" t="s">
        <v>1264</v>
      </c>
      <c r="D106" s="58" t="s">
        <v>1266</v>
      </c>
      <c r="E106" s="58" t="s">
        <v>1267</v>
      </c>
      <c r="G106" s="58">
        <v>2024</v>
      </c>
      <c r="H106" s="58" t="s">
        <v>2201</v>
      </c>
      <c r="I106" s="58" t="s">
        <v>1264</v>
      </c>
    </row>
    <row r="107" spans="1:9" ht="16.2" customHeight="1">
      <c r="A107" s="58">
        <v>2023</v>
      </c>
      <c r="B107" s="58" t="s">
        <v>2201</v>
      </c>
      <c r="C107" s="58" t="s">
        <v>1269</v>
      </c>
      <c r="D107" s="58" t="s">
        <v>1270</v>
      </c>
      <c r="E107" s="58" t="s">
        <v>1271</v>
      </c>
      <c r="G107" s="58">
        <v>2024</v>
      </c>
      <c r="H107" s="58" t="s">
        <v>2201</v>
      </c>
      <c r="I107" s="58" t="s">
        <v>1269</v>
      </c>
    </row>
    <row r="108" spans="1:9" ht="16.2" customHeight="1">
      <c r="A108" s="58">
        <v>2023</v>
      </c>
      <c r="B108" s="58" t="s">
        <v>2201</v>
      </c>
      <c r="C108" s="58" t="s">
        <v>1272</v>
      </c>
      <c r="D108" s="58" t="s">
        <v>1273</v>
      </c>
      <c r="E108" s="58" t="s">
        <v>1275</v>
      </c>
      <c r="G108" s="58">
        <v>2024</v>
      </c>
      <c r="H108" s="58" t="s">
        <v>2201</v>
      </c>
      <c r="I108" s="58" t="s">
        <v>1272</v>
      </c>
    </row>
    <row r="109" spans="1:9" ht="16.2" customHeight="1">
      <c r="A109" s="58">
        <v>2023</v>
      </c>
      <c r="B109" s="58" t="s">
        <v>2201</v>
      </c>
      <c r="C109" s="58" t="s">
        <v>1276</v>
      </c>
      <c r="D109" s="58" t="s">
        <v>1277</v>
      </c>
      <c r="E109" s="58" t="s">
        <v>1278</v>
      </c>
      <c r="G109" s="58">
        <v>2024</v>
      </c>
      <c r="H109" s="58" t="s">
        <v>2201</v>
      </c>
      <c r="I109" s="58" t="s">
        <v>1276</v>
      </c>
    </row>
    <row r="110" spans="1:9" ht="16.2" customHeight="1">
      <c r="A110" s="58">
        <v>2023</v>
      </c>
      <c r="B110" s="58" t="s">
        <v>2201</v>
      </c>
      <c r="C110" s="58" t="s">
        <v>1279</v>
      </c>
      <c r="D110" s="58" t="s">
        <v>1280</v>
      </c>
      <c r="E110" s="58" t="s">
        <v>1281</v>
      </c>
      <c r="G110" s="58">
        <v>2024</v>
      </c>
      <c r="H110" s="58" t="s">
        <v>2201</v>
      </c>
      <c r="I110" s="58" t="s">
        <v>1279</v>
      </c>
    </row>
    <row r="111" spans="1:9" ht="16.2" customHeight="1">
      <c r="A111" s="58">
        <v>2023</v>
      </c>
      <c r="B111" s="58" t="s">
        <v>2201</v>
      </c>
      <c r="C111" s="58" t="s">
        <v>1282</v>
      </c>
      <c r="D111" s="58" t="s">
        <v>1283</v>
      </c>
      <c r="E111" s="58" t="s">
        <v>1284</v>
      </c>
      <c r="G111" s="58">
        <v>2024</v>
      </c>
      <c r="H111" s="58" t="s">
        <v>2201</v>
      </c>
      <c r="I111" s="58" t="s">
        <v>1282</v>
      </c>
    </row>
    <row r="112" spans="1:9" ht="16.2" customHeight="1">
      <c r="A112" s="58">
        <v>2023</v>
      </c>
      <c r="B112" s="58" t="s">
        <v>2201</v>
      </c>
      <c r="C112" s="58" t="s">
        <v>1285</v>
      </c>
      <c r="D112" s="58" t="s">
        <v>1286</v>
      </c>
      <c r="E112" s="58" t="s">
        <v>1288</v>
      </c>
      <c r="G112" s="58">
        <v>2024</v>
      </c>
      <c r="H112" s="58" t="s">
        <v>2201</v>
      </c>
      <c r="I112" s="58" t="s">
        <v>1285</v>
      </c>
    </row>
    <row r="113" spans="1:11" ht="16.2" customHeight="1">
      <c r="A113" s="58">
        <v>2023</v>
      </c>
      <c r="B113" s="58" t="s">
        <v>2201</v>
      </c>
      <c r="C113" s="58" t="s">
        <v>1289</v>
      </c>
      <c r="D113" s="58" t="s">
        <v>1290</v>
      </c>
      <c r="E113" s="58" t="s">
        <v>1291</v>
      </c>
      <c r="G113" s="58">
        <v>2024</v>
      </c>
      <c r="H113" s="58" t="s">
        <v>2201</v>
      </c>
      <c r="I113" s="58" t="s">
        <v>1289</v>
      </c>
    </row>
    <row r="114" spans="1:11" ht="16.2" customHeight="1">
      <c r="G114" s="357">
        <v>2024</v>
      </c>
      <c r="H114" s="357" t="s">
        <v>2201</v>
      </c>
      <c r="I114" s="357" t="s">
        <v>2558</v>
      </c>
      <c r="J114" s="357" t="s">
        <v>2560</v>
      </c>
      <c r="K114" s="357" t="s">
        <v>1173</v>
      </c>
    </row>
    <row r="119" spans="1:11" ht="16.2" customHeight="1">
      <c r="A119" s="58">
        <v>2023</v>
      </c>
      <c r="B119" s="58" t="s">
        <v>2141</v>
      </c>
      <c r="C119" s="58" t="s">
        <v>1292</v>
      </c>
      <c r="D119" s="58" t="s">
        <v>1293</v>
      </c>
      <c r="E119" s="58" t="s">
        <v>1294</v>
      </c>
      <c r="G119" s="58">
        <v>2024</v>
      </c>
      <c r="H119" s="58" t="s">
        <v>2141</v>
      </c>
      <c r="I119" s="58" t="s">
        <v>1292</v>
      </c>
      <c r="J119" s="58" t="s">
        <v>1293</v>
      </c>
      <c r="K119" s="58" t="s">
        <v>1294</v>
      </c>
    </row>
    <row r="120" spans="1:11" ht="16.2" customHeight="1">
      <c r="A120" s="58">
        <v>2023</v>
      </c>
      <c r="B120" s="58" t="s">
        <v>2141</v>
      </c>
      <c r="C120" s="58" t="s">
        <v>1295</v>
      </c>
      <c r="D120" s="58" t="s">
        <v>1296</v>
      </c>
      <c r="E120" s="58" t="s">
        <v>1298</v>
      </c>
      <c r="G120" s="58">
        <v>2024</v>
      </c>
      <c r="H120" s="58" t="s">
        <v>2141</v>
      </c>
      <c r="I120" s="58" t="s">
        <v>1295</v>
      </c>
      <c r="J120" s="58" t="s">
        <v>1296</v>
      </c>
      <c r="K120" s="58" t="s">
        <v>1298</v>
      </c>
    </row>
    <row r="121" spans="1:11" ht="16.2" customHeight="1">
      <c r="A121" s="58">
        <v>2023</v>
      </c>
      <c r="B121" s="58" t="s">
        <v>2141</v>
      </c>
      <c r="C121" s="58" t="s">
        <v>1299</v>
      </c>
      <c r="D121" s="58" t="s">
        <v>1300</v>
      </c>
      <c r="E121" s="58" t="s">
        <v>1301</v>
      </c>
      <c r="G121" s="58">
        <v>2024</v>
      </c>
      <c r="H121" s="58" t="s">
        <v>2141</v>
      </c>
      <c r="I121" s="58" t="s">
        <v>1299</v>
      </c>
      <c r="J121" s="58" t="s">
        <v>1300</v>
      </c>
      <c r="K121" s="58" t="s">
        <v>1301</v>
      </c>
    </row>
    <row r="122" spans="1:11" ht="16.2" customHeight="1">
      <c r="A122" s="58">
        <v>2023</v>
      </c>
      <c r="B122" s="58" t="s">
        <v>2141</v>
      </c>
      <c r="C122" s="58" t="s">
        <v>1302</v>
      </c>
      <c r="D122" s="58" t="s">
        <v>1303</v>
      </c>
      <c r="E122" s="58" t="s">
        <v>1304</v>
      </c>
      <c r="G122" s="58">
        <v>2024</v>
      </c>
      <c r="H122" s="58" t="s">
        <v>2141</v>
      </c>
      <c r="I122" s="58" t="s">
        <v>1302</v>
      </c>
      <c r="J122" s="58" t="s">
        <v>1303</v>
      </c>
      <c r="K122" s="58" t="s">
        <v>1304</v>
      </c>
    </row>
    <row r="123" spans="1:11" ht="16.2" customHeight="1">
      <c r="A123" s="58">
        <v>2023</v>
      </c>
      <c r="B123" s="58" t="s">
        <v>2141</v>
      </c>
      <c r="C123" s="58" t="s">
        <v>1305</v>
      </c>
      <c r="D123" s="58" t="s">
        <v>78</v>
      </c>
      <c r="E123" s="58" t="s">
        <v>1306</v>
      </c>
      <c r="G123" s="58">
        <v>2024</v>
      </c>
      <c r="H123" s="58" t="s">
        <v>2141</v>
      </c>
      <c r="I123" s="58" t="s">
        <v>1305</v>
      </c>
      <c r="J123" s="58" t="s">
        <v>78</v>
      </c>
      <c r="K123" s="58" t="s">
        <v>1306</v>
      </c>
    </row>
    <row r="124" spans="1:11" ht="16.2" customHeight="1">
      <c r="A124" s="58">
        <v>2023</v>
      </c>
      <c r="B124" s="58" t="s">
        <v>2141</v>
      </c>
      <c r="C124" s="58" t="s">
        <v>1308</v>
      </c>
      <c r="D124" s="58" t="s">
        <v>1309</v>
      </c>
      <c r="E124" s="58" t="s">
        <v>1310</v>
      </c>
      <c r="G124" s="58">
        <v>2024</v>
      </c>
      <c r="H124" s="58" t="s">
        <v>2141</v>
      </c>
      <c r="I124" s="58" t="s">
        <v>1308</v>
      </c>
      <c r="J124" s="58" t="s">
        <v>1309</v>
      </c>
      <c r="K124" s="58" t="s">
        <v>1310</v>
      </c>
    </row>
    <row r="125" spans="1:11" ht="16.2" customHeight="1">
      <c r="A125" s="58">
        <v>2023</v>
      </c>
      <c r="B125" s="58" t="s">
        <v>2141</v>
      </c>
      <c r="C125" s="58" t="s">
        <v>1312</v>
      </c>
      <c r="D125" s="58" t="s">
        <v>333</v>
      </c>
      <c r="E125" s="58" t="s">
        <v>1313</v>
      </c>
      <c r="G125" s="58">
        <v>2024</v>
      </c>
      <c r="H125" s="58" t="s">
        <v>2141</v>
      </c>
      <c r="I125" s="58" t="s">
        <v>1312</v>
      </c>
      <c r="J125" s="58" t="s">
        <v>333</v>
      </c>
      <c r="K125" s="58" t="s">
        <v>1313</v>
      </c>
    </row>
    <row r="126" spans="1:11" ht="16.2" customHeight="1">
      <c r="A126" s="58">
        <v>2023</v>
      </c>
      <c r="B126" s="58" t="s">
        <v>2141</v>
      </c>
      <c r="C126" s="58" t="s">
        <v>1314</v>
      </c>
      <c r="D126" s="58" t="s">
        <v>1315</v>
      </c>
      <c r="E126" s="58" t="s">
        <v>1316</v>
      </c>
      <c r="G126" s="58">
        <v>2024</v>
      </c>
      <c r="H126" s="58" t="s">
        <v>2141</v>
      </c>
      <c r="I126" s="58" t="s">
        <v>1314</v>
      </c>
      <c r="J126" s="58" t="s">
        <v>1315</v>
      </c>
      <c r="K126" s="58" t="s">
        <v>1316</v>
      </c>
    </row>
    <row r="127" spans="1:11" ht="16.2" customHeight="1">
      <c r="A127" s="58">
        <v>2023</v>
      </c>
      <c r="B127" s="58" t="s">
        <v>2141</v>
      </c>
      <c r="C127" s="58" t="s">
        <v>1317</v>
      </c>
      <c r="D127" s="58" t="s">
        <v>1318</v>
      </c>
      <c r="E127" s="58" t="s">
        <v>1319</v>
      </c>
      <c r="G127" s="58">
        <v>2024</v>
      </c>
      <c r="H127" s="58" t="s">
        <v>2141</v>
      </c>
      <c r="I127" s="58" t="s">
        <v>1317</v>
      </c>
      <c r="J127" s="58" t="s">
        <v>1318</v>
      </c>
      <c r="K127" s="58" t="s">
        <v>1319</v>
      </c>
    </row>
    <row r="128" spans="1:11" ht="16.2" customHeight="1">
      <c r="A128" s="58">
        <v>2023</v>
      </c>
      <c r="B128" s="58" t="s">
        <v>2141</v>
      </c>
      <c r="C128" s="58" t="s">
        <v>1320</v>
      </c>
      <c r="D128" s="58" t="s">
        <v>331</v>
      </c>
      <c r="E128" s="58" t="s">
        <v>1321</v>
      </c>
      <c r="G128" s="58">
        <v>2024</v>
      </c>
      <c r="H128" s="58" t="s">
        <v>2141</v>
      </c>
      <c r="I128" s="58" t="s">
        <v>1320</v>
      </c>
      <c r="J128" s="58" t="s">
        <v>331</v>
      </c>
      <c r="K128" s="58" t="s">
        <v>1321</v>
      </c>
    </row>
    <row r="129" spans="1:11" ht="16.2" customHeight="1">
      <c r="A129" s="58">
        <v>2023</v>
      </c>
      <c r="B129" s="58" t="s">
        <v>2141</v>
      </c>
      <c r="C129" s="58" t="s">
        <v>1323</v>
      </c>
      <c r="D129" s="58" t="s">
        <v>1324</v>
      </c>
      <c r="E129" s="58" t="s">
        <v>1325</v>
      </c>
      <c r="G129" s="58">
        <v>2024</v>
      </c>
      <c r="H129" s="58" t="s">
        <v>2141</v>
      </c>
      <c r="I129" s="58" t="s">
        <v>1323</v>
      </c>
      <c r="J129" s="58" t="s">
        <v>1324</v>
      </c>
      <c r="K129" s="58" t="s">
        <v>1325</v>
      </c>
    </row>
    <row r="130" spans="1:11" ht="16.2" customHeight="1">
      <c r="A130" s="58">
        <v>2023</v>
      </c>
      <c r="B130" s="58" t="s">
        <v>2141</v>
      </c>
      <c r="C130" s="58" t="s">
        <v>1326</v>
      </c>
      <c r="D130" s="58" t="s">
        <v>1327</v>
      </c>
      <c r="E130" s="58" t="s">
        <v>1328</v>
      </c>
      <c r="G130" s="58">
        <v>2024</v>
      </c>
      <c r="H130" s="58" t="s">
        <v>2141</v>
      </c>
      <c r="I130" s="58" t="s">
        <v>1326</v>
      </c>
      <c r="J130" s="58" t="s">
        <v>1327</v>
      </c>
      <c r="K130" s="58" t="s">
        <v>1328</v>
      </c>
    </row>
    <row r="131" spans="1:11" ht="16.2" customHeight="1">
      <c r="A131" s="58">
        <v>2023</v>
      </c>
      <c r="B131" s="58" t="s">
        <v>2141</v>
      </c>
      <c r="C131" s="58" t="s">
        <v>1329</v>
      </c>
      <c r="D131" s="58" t="s">
        <v>1330</v>
      </c>
      <c r="E131" s="58" t="s">
        <v>1331</v>
      </c>
      <c r="G131" s="58">
        <v>2024</v>
      </c>
      <c r="H131" s="58" t="s">
        <v>2141</v>
      </c>
      <c r="I131" s="58" t="s">
        <v>1329</v>
      </c>
      <c r="J131" s="58" t="s">
        <v>1330</v>
      </c>
      <c r="K131" s="58" t="s">
        <v>1331</v>
      </c>
    </row>
    <row r="132" spans="1:11" ht="16.2" customHeight="1">
      <c r="A132" s="58">
        <v>2023</v>
      </c>
      <c r="B132" s="58" t="s">
        <v>2141</v>
      </c>
      <c r="C132" s="58" t="s">
        <v>1333</v>
      </c>
      <c r="D132" s="58" t="s">
        <v>1334</v>
      </c>
      <c r="E132" s="58" t="s">
        <v>1335</v>
      </c>
      <c r="G132" s="58">
        <v>2024</v>
      </c>
      <c r="H132" s="58" t="s">
        <v>2141</v>
      </c>
      <c r="I132" s="58" t="s">
        <v>1333</v>
      </c>
      <c r="J132" s="58" t="s">
        <v>1334</v>
      </c>
      <c r="K132" s="58" t="s">
        <v>1335</v>
      </c>
    </row>
    <row r="133" spans="1:11" ht="16.2" customHeight="1">
      <c r="A133" s="58">
        <v>2023</v>
      </c>
      <c r="B133" s="58" t="s">
        <v>2141</v>
      </c>
      <c r="C133" s="58" t="s">
        <v>1337</v>
      </c>
      <c r="D133" s="58" t="s">
        <v>1338</v>
      </c>
      <c r="E133" s="58" t="s">
        <v>1339</v>
      </c>
      <c r="G133" s="58">
        <v>2024</v>
      </c>
      <c r="H133" s="58" t="s">
        <v>2141</v>
      </c>
      <c r="I133" s="58" t="s">
        <v>1337</v>
      </c>
      <c r="J133" s="58" t="s">
        <v>1338</v>
      </c>
      <c r="K133" s="58" t="s">
        <v>1339</v>
      </c>
    </row>
    <row r="134" spans="1:11" ht="16.2" customHeight="1">
      <c r="A134" s="58">
        <v>2023</v>
      </c>
      <c r="B134" s="58" t="s">
        <v>2141</v>
      </c>
      <c r="C134" s="58" t="s">
        <v>1341</v>
      </c>
      <c r="D134" s="58" t="s">
        <v>1342</v>
      </c>
      <c r="E134" s="58" t="s">
        <v>1343</v>
      </c>
      <c r="G134" s="58">
        <v>2024</v>
      </c>
      <c r="H134" s="58" t="s">
        <v>2141</v>
      </c>
      <c r="I134" s="58" t="s">
        <v>1341</v>
      </c>
      <c r="J134" s="58" t="s">
        <v>1342</v>
      </c>
      <c r="K134" s="58" t="s">
        <v>1343</v>
      </c>
    </row>
    <row r="135" spans="1:11" ht="16.2" customHeight="1">
      <c r="A135" s="58">
        <v>2023</v>
      </c>
      <c r="B135" s="58" t="s">
        <v>2141</v>
      </c>
      <c r="C135" s="58" t="s">
        <v>1344</v>
      </c>
      <c r="D135" s="58" t="s">
        <v>1345</v>
      </c>
      <c r="E135" s="58" t="s">
        <v>1346</v>
      </c>
      <c r="G135" s="58">
        <v>2024</v>
      </c>
      <c r="H135" s="58" t="s">
        <v>2141</v>
      </c>
      <c r="I135" s="58" t="s">
        <v>1344</v>
      </c>
      <c r="J135" s="58" t="s">
        <v>1345</v>
      </c>
      <c r="K135" s="58" t="s">
        <v>1346</v>
      </c>
    </row>
    <row r="136" spans="1:11" ht="16.2" customHeight="1">
      <c r="A136" s="58">
        <v>2023</v>
      </c>
      <c r="B136" s="58" t="s">
        <v>2141</v>
      </c>
      <c r="C136" s="58" t="s">
        <v>1347</v>
      </c>
      <c r="D136" s="58" t="s">
        <v>1348</v>
      </c>
      <c r="E136" s="58" t="s">
        <v>1349</v>
      </c>
      <c r="G136" s="58">
        <v>2024</v>
      </c>
      <c r="H136" s="58" t="s">
        <v>2141</v>
      </c>
      <c r="I136" s="58" t="s">
        <v>1347</v>
      </c>
      <c r="J136" s="58" t="s">
        <v>1348</v>
      </c>
      <c r="K136" s="58" t="s">
        <v>1349</v>
      </c>
    </row>
    <row r="137" spans="1:11" ht="16.2" customHeight="1">
      <c r="A137" s="58">
        <v>2023</v>
      </c>
      <c r="B137" s="58" t="s">
        <v>2141</v>
      </c>
      <c r="C137" s="58" t="s">
        <v>1350</v>
      </c>
      <c r="D137" s="58" t="s">
        <v>1351</v>
      </c>
      <c r="E137" s="58" t="s">
        <v>1352</v>
      </c>
      <c r="G137" s="58">
        <v>2024</v>
      </c>
      <c r="H137" s="58" t="s">
        <v>2141</v>
      </c>
      <c r="I137" s="58" t="s">
        <v>1350</v>
      </c>
      <c r="J137" s="58" t="s">
        <v>1351</v>
      </c>
      <c r="K137" s="58" t="s">
        <v>1352</v>
      </c>
    </row>
    <row r="138" spans="1:11" ht="16.2" customHeight="1">
      <c r="A138" s="58">
        <v>2023</v>
      </c>
      <c r="B138" s="58" t="s">
        <v>2141</v>
      </c>
      <c r="C138" s="58" t="s">
        <v>1356</v>
      </c>
      <c r="D138" s="58" t="s">
        <v>1357</v>
      </c>
      <c r="E138" s="58" t="s">
        <v>1358</v>
      </c>
      <c r="G138" s="58">
        <v>2024</v>
      </c>
      <c r="H138" s="58" t="s">
        <v>2141</v>
      </c>
      <c r="I138" s="58" t="s">
        <v>1356</v>
      </c>
      <c r="J138" s="58" t="s">
        <v>1357</v>
      </c>
      <c r="K138" s="58" t="s">
        <v>1358</v>
      </c>
    </row>
    <row r="139" spans="1:11" ht="16.2" customHeight="1">
      <c r="A139" s="58">
        <v>2023</v>
      </c>
      <c r="B139" s="58" t="s">
        <v>2141</v>
      </c>
      <c r="C139" s="58" t="s">
        <v>1359</v>
      </c>
      <c r="D139" s="58" t="s">
        <v>1360</v>
      </c>
      <c r="E139" s="58" t="s">
        <v>187</v>
      </c>
      <c r="G139" s="58">
        <v>2024</v>
      </c>
      <c r="H139" s="58" t="s">
        <v>2141</v>
      </c>
      <c r="I139" s="58" t="s">
        <v>1359</v>
      </c>
      <c r="J139" s="58" t="s">
        <v>1360</v>
      </c>
      <c r="K139" s="58" t="s">
        <v>187</v>
      </c>
    </row>
    <row r="140" spans="1:11" ht="16.2" customHeight="1">
      <c r="A140" s="58">
        <v>2023</v>
      </c>
      <c r="B140" s="58" t="s">
        <v>2141</v>
      </c>
      <c r="C140" s="58" t="s">
        <v>1362</v>
      </c>
      <c r="D140" s="58" t="s">
        <v>1364</v>
      </c>
      <c r="E140" s="58" t="s">
        <v>1365</v>
      </c>
      <c r="G140" s="58">
        <v>2024</v>
      </c>
      <c r="H140" s="58" t="s">
        <v>2141</v>
      </c>
      <c r="I140" s="58" t="s">
        <v>1362</v>
      </c>
      <c r="J140" s="58" t="s">
        <v>1364</v>
      </c>
      <c r="K140" s="58" t="s">
        <v>1365</v>
      </c>
    </row>
    <row r="141" spans="1:11" ht="16.2" customHeight="1">
      <c r="A141" s="58">
        <v>2023</v>
      </c>
      <c r="B141" s="58" t="s">
        <v>2141</v>
      </c>
      <c r="C141" s="58" t="s">
        <v>1367</v>
      </c>
      <c r="D141" s="58" t="s">
        <v>1369</v>
      </c>
      <c r="E141" s="58" t="s">
        <v>1370</v>
      </c>
      <c r="G141" s="58">
        <v>2024</v>
      </c>
      <c r="H141" s="58" t="s">
        <v>2141</v>
      </c>
      <c r="I141" s="58" t="s">
        <v>1367</v>
      </c>
      <c r="J141" s="58" t="s">
        <v>1369</v>
      </c>
      <c r="K141" s="58" t="s">
        <v>1370</v>
      </c>
    </row>
    <row r="142" spans="1:11" ht="16.2" customHeight="1">
      <c r="A142" s="58">
        <v>2023</v>
      </c>
      <c r="B142" s="58" t="s">
        <v>2141</v>
      </c>
      <c r="C142" s="58" t="s">
        <v>1372</v>
      </c>
      <c r="D142" s="58" t="s">
        <v>1374</v>
      </c>
      <c r="E142" s="58" t="s">
        <v>1375</v>
      </c>
      <c r="G142" s="58">
        <v>2024</v>
      </c>
      <c r="H142" s="58" t="s">
        <v>2141</v>
      </c>
      <c r="I142" s="58" t="s">
        <v>1372</v>
      </c>
      <c r="J142" s="58" t="s">
        <v>1374</v>
      </c>
      <c r="K142" s="58" t="s">
        <v>1375</v>
      </c>
    </row>
    <row r="143" spans="1:11" ht="16.2" customHeight="1">
      <c r="A143" s="58">
        <v>2023</v>
      </c>
      <c r="B143" s="58" t="s">
        <v>2141</v>
      </c>
      <c r="C143" s="58" t="s">
        <v>1376</v>
      </c>
      <c r="D143" s="58" t="s">
        <v>1378</v>
      </c>
      <c r="E143" s="58" t="s">
        <v>1379</v>
      </c>
      <c r="G143" s="58">
        <v>2024</v>
      </c>
      <c r="H143" s="58" t="s">
        <v>2141</v>
      </c>
      <c r="I143" s="58" t="s">
        <v>1376</v>
      </c>
      <c r="J143" s="58" t="s">
        <v>1378</v>
      </c>
      <c r="K143" s="58" t="s">
        <v>1379</v>
      </c>
    </row>
    <row r="144" spans="1:11" ht="16.2" customHeight="1">
      <c r="A144" s="58">
        <v>2023</v>
      </c>
      <c r="B144" s="58" t="s">
        <v>2141</v>
      </c>
      <c r="C144" s="58" t="s">
        <v>1380</v>
      </c>
      <c r="D144" s="58" t="s">
        <v>1381</v>
      </c>
      <c r="E144" s="58" t="s">
        <v>1383</v>
      </c>
      <c r="G144" s="58">
        <v>2024</v>
      </c>
      <c r="H144" s="58" t="s">
        <v>2141</v>
      </c>
      <c r="I144" s="58" t="s">
        <v>1380</v>
      </c>
      <c r="J144" s="58" t="s">
        <v>1381</v>
      </c>
      <c r="K144" s="58" t="s">
        <v>1383</v>
      </c>
    </row>
    <row r="145" spans="1:11" ht="16.2" customHeight="1">
      <c r="A145" s="58">
        <v>2023</v>
      </c>
      <c r="B145" s="58" t="s">
        <v>2141</v>
      </c>
      <c r="C145" s="58" t="s">
        <v>1385</v>
      </c>
      <c r="D145" s="58" t="s">
        <v>1386</v>
      </c>
      <c r="E145" s="58" t="s">
        <v>1387</v>
      </c>
      <c r="G145" s="58">
        <v>2024</v>
      </c>
      <c r="H145" s="58" t="s">
        <v>2141</v>
      </c>
      <c r="I145" s="58" t="s">
        <v>1385</v>
      </c>
      <c r="J145" s="58" t="s">
        <v>1386</v>
      </c>
      <c r="K145" s="58" t="s">
        <v>1387</v>
      </c>
    </row>
    <row r="146" spans="1:11" ht="16.2" customHeight="1">
      <c r="A146" s="58">
        <v>2023</v>
      </c>
      <c r="B146" s="58" t="s">
        <v>2141</v>
      </c>
      <c r="C146" s="58" t="s">
        <v>362</v>
      </c>
      <c r="D146" s="58" t="s">
        <v>1388</v>
      </c>
      <c r="E146" s="58" t="s">
        <v>1391</v>
      </c>
      <c r="G146" s="58">
        <v>2024</v>
      </c>
      <c r="H146" s="58" t="s">
        <v>2141</v>
      </c>
      <c r="I146" s="58" t="s">
        <v>362</v>
      </c>
      <c r="J146" s="58" t="s">
        <v>1388</v>
      </c>
      <c r="K146" s="58" t="s">
        <v>1391</v>
      </c>
    </row>
    <row r="147" spans="1:11" ht="16.2" customHeight="1">
      <c r="A147" s="58">
        <v>2023</v>
      </c>
      <c r="B147" s="58" t="s">
        <v>2141</v>
      </c>
      <c r="C147" s="58" t="s">
        <v>1394</v>
      </c>
      <c r="D147" s="58" t="s">
        <v>1395</v>
      </c>
      <c r="E147" s="58" t="s">
        <v>1396</v>
      </c>
      <c r="G147" s="58">
        <v>2024</v>
      </c>
      <c r="H147" s="58" t="s">
        <v>2141</v>
      </c>
      <c r="I147" s="58" t="s">
        <v>1394</v>
      </c>
      <c r="J147" s="58" t="s">
        <v>1395</v>
      </c>
      <c r="K147" s="58" t="s">
        <v>1396</v>
      </c>
    </row>
    <row r="148" spans="1:11" ht="16.2" customHeight="1">
      <c r="A148" s="58">
        <v>2023</v>
      </c>
      <c r="B148" s="58" t="s">
        <v>2141</v>
      </c>
      <c r="C148" s="58" t="s">
        <v>470</v>
      </c>
      <c r="D148" s="58" t="s">
        <v>1398</v>
      </c>
      <c r="E148" s="58" t="s">
        <v>1399</v>
      </c>
      <c r="G148" s="58">
        <v>2024</v>
      </c>
      <c r="H148" s="58" t="s">
        <v>2141</v>
      </c>
      <c r="I148" s="58" t="s">
        <v>470</v>
      </c>
      <c r="J148" s="58" t="s">
        <v>1398</v>
      </c>
      <c r="K148" s="58" t="s">
        <v>1399</v>
      </c>
    </row>
    <row r="149" spans="1:11" ht="16.2" customHeight="1">
      <c r="A149" s="58">
        <v>2023</v>
      </c>
      <c r="B149" s="58" t="s">
        <v>2141</v>
      </c>
      <c r="C149" s="58" t="s">
        <v>1404</v>
      </c>
      <c r="D149" s="58" t="s">
        <v>1405</v>
      </c>
      <c r="E149" s="58" t="s">
        <v>1406</v>
      </c>
      <c r="G149" s="58">
        <v>2024</v>
      </c>
      <c r="H149" s="58" t="s">
        <v>2141</v>
      </c>
      <c r="I149" s="58" t="s">
        <v>1404</v>
      </c>
      <c r="J149" s="58" t="s">
        <v>1405</v>
      </c>
      <c r="K149" s="58" t="s">
        <v>1406</v>
      </c>
    </row>
    <row r="150" spans="1:11" ht="16.2" customHeight="1">
      <c r="A150" s="58">
        <v>2023</v>
      </c>
      <c r="B150" s="58" t="s">
        <v>2141</v>
      </c>
      <c r="C150" s="58" t="s">
        <v>472</v>
      </c>
      <c r="D150" s="58" t="s">
        <v>1410</v>
      </c>
      <c r="E150" s="58" t="s">
        <v>1411</v>
      </c>
      <c r="G150" s="58">
        <v>2024</v>
      </c>
      <c r="H150" s="58" t="s">
        <v>2141</v>
      </c>
      <c r="I150" s="58" t="s">
        <v>472</v>
      </c>
      <c r="J150" s="58" t="s">
        <v>1410</v>
      </c>
      <c r="K150" s="58" t="s">
        <v>1411</v>
      </c>
    </row>
    <row r="151" spans="1:11" ht="16.2" customHeight="1">
      <c r="A151" s="58">
        <v>2023</v>
      </c>
      <c r="B151" s="58" t="s">
        <v>2141</v>
      </c>
      <c r="C151" s="58" t="s">
        <v>1412</v>
      </c>
      <c r="D151" s="58" t="s">
        <v>1414</v>
      </c>
      <c r="E151" s="58" t="s">
        <v>1415</v>
      </c>
      <c r="G151" s="58">
        <v>2024</v>
      </c>
      <c r="H151" s="58" t="s">
        <v>2141</v>
      </c>
      <c r="I151" s="58" t="s">
        <v>1412</v>
      </c>
      <c r="J151" s="58" t="s">
        <v>1414</v>
      </c>
      <c r="K151" s="58" t="s">
        <v>1415</v>
      </c>
    </row>
    <row r="152" spans="1:11" ht="16.2" customHeight="1">
      <c r="A152" s="58">
        <v>2023</v>
      </c>
      <c r="B152" s="58" t="s">
        <v>2141</v>
      </c>
      <c r="C152" s="58" t="s">
        <v>1418</v>
      </c>
      <c r="D152" s="58" t="s">
        <v>1419</v>
      </c>
      <c r="E152" s="58" t="s">
        <v>1420</v>
      </c>
      <c r="G152" s="58">
        <v>2024</v>
      </c>
      <c r="H152" s="58" t="s">
        <v>2141</v>
      </c>
      <c r="I152" s="58" t="s">
        <v>1418</v>
      </c>
      <c r="J152" s="58" t="s">
        <v>1419</v>
      </c>
      <c r="K152" s="58" t="s">
        <v>1420</v>
      </c>
    </row>
    <row r="153" spans="1:11" ht="16.2" customHeight="1">
      <c r="A153" s="58">
        <v>2023</v>
      </c>
      <c r="B153" s="58" t="s">
        <v>2141</v>
      </c>
      <c r="C153" s="58" t="s">
        <v>1424</v>
      </c>
      <c r="D153" s="58" t="s">
        <v>1425</v>
      </c>
      <c r="E153" s="58" t="s">
        <v>1426</v>
      </c>
      <c r="G153" s="58">
        <v>2024</v>
      </c>
      <c r="H153" s="58" t="s">
        <v>2141</v>
      </c>
      <c r="I153" s="58" t="s">
        <v>1424</v>
      </c>
      <c r="J153" s="58" t="s">
        <v>1425</v>
      </c>
      <c r="K153" s="58" t="s">
        <v>1426</v>
      </c>
    </row>
    <row r="154" spans="1:11" ht="16.2" customHeight="1">
      <c r="A154" s="58">
        <v>2023</v>
      </c>
      <c r="B154" s="58" t="s">
        <v>2141</v>
      </c>
      <c r="C154" s="58" t="s">
        <v>473</v>
      </c>
      <c r="D154" s="58" t="s">
        <v>1428</v>
      </c>
      <c r="E154" s="58" t="s">
        <v>1429</v>
      </c>
      <c r="G154" s="58">
        <v>2024</v>
      </c>
      <c r="H154" s="58" t="s">
        <v>2141</v>
      </c>
      <c r="I154" s="58" t="s">
        <v>473</v>
      </c>
      <c r="J154" s="58" t="s">
        <v>1428</v>
      </c>
      <c r="K154" s="58" t="s">
        <v>1429</v>
      </c>
    </row>
    <row r="155" spans="1:11" ht="16.2" customHeight="1">
      <c r="A155" s="58">
        <v>2023</v>
      </c>
      <c r="B155" s="58" t="s">
        <v>2141</v>
      </c>
      <c r="C155" s="58" t="s">
        <v>1432</v>
      </c>
      <c r="D155" s="58" t="s">
        <v>1433</v>
      </c>
      <c r="E155" s="58" t="s">
        <v>1434</v>
      </c>
      <c r="G155" s="58">
        <v>2024</v>
      </c>
      <c r="H155" s="58" t="s">
        <v>2141</v>
      </c>
      <c r="I155" s="58" t="s">
        <v>1432</v>
      </c>
      <c r="J155" s="58" t="s">
        <v>1433</v>
      </c>
      <c r="K155" s="58" t="s">
        <v>1434</v>
      </c>
    </row>
    <row r="156" spans="1:11" ht="16.2" customHeight="1">
      <c r="A156" s="58">
        <v>2023</v>
      </c>
      <c r="B156" s="58" t="s">
        <v>2141</v>
      </c>
      <c r="C156" s="58" t="s">
        <v>474</v>
      </c>
      <c r="D156" s="58" t="s">
        <v>1436</v>
      </c>
      <c r="E156" s="58" t="s">
        <v>1437</v>
      </c>
      <c r="G156" s="58">
        <v>2024</v>
      </c>
      <c r="H156" s="58" t="s">
        <v>2141</v>
      </c>
      <c r="I156" s="58" t="s">
        <v>474</v>
      </c>
      <c r="J156" s="58" t="s">
        <v>1436</v>
      </c>
      <c r="K156" s="58" t="s">
        <v>1437</v>
      </c>
    </row>
    <row r="157" spans="1:11" ht="16.2" customHeight="1">
      <c r="A157" s="58">
        <v>2023</v>
      </c>
      <c r="B157" s="58" t="s">
        <v>2141</v>
      </c>
      <c r="C157" s="58" t="s">
        <v>1440</v>
      </c>
      <c r="D157" s="58" t="s">
        <v>1441</v>
      </c>
      <c r="E157" s="58" t="s">
        <v>1442</v>
      </c>
      <c r="G157" s="58">
        <v>2024</v>
      </c>
      <c r="H157" s="58" t="s">
        <v>2141</v>
      </c>
      <c r="I157" s="58" t="s">
        <v>1440</v>
      </c>
      <c r="J157" s="58" t="s">
        <v>1441</v>
      </c>
      <c r="K157" s="58" t="s">
        <v>1442</v>
      </c>
    </row>
    <row r="158" spans="1:11" ht="16.2" customHeight="1">
      <c r="A158" s="58">
        <v>2023</v>
      </c>
      <c r="B158" s="58" t="s">
        <v>2141</v>
      </c>
      <c r="C158" s="58" t="s">
        <v>1445</v>
      </c>
      <c r="D158" s="58" t="s">
        <v>1446</v>
      </c>
      <c r="E158" s="58" t="s">
        <v>1447</v>
      </c>
      <c r="G158" s="58">
        <v>2024</v>
      </c>
      <c r="H158" s="58" t="s">
        <v>2141</v>
      </c>
      <c r="I158" s="58" t="s">
        <v>1445</v>
      </c>
      <c r="J158" s="58" t="s">
        <v>1446</v>
      </c>
      <c r="K158" s="58" t="s">
        <v>1447</v>
      </c>
    </row>
    <row r="159" spans="1:11" ht="16.2" customHeight="1">
      <c r="A159" s="58">
        <v>2023</v>
      </c>
      <c r="B159" s="58" t="s">
        <v>2141</v>
      </c>
      <c r="C159" s="58" t="s">
        <v>1449</v>
      </c>
      <c r="D159" s="58" t="s">
        <v>1451</v>
      </c>
      <c r="E159" s="58" t="s">
        <v>1453</v>
      </c>
      <c r="G159" s="58">
        <v>2024</v>
      </c>
      <c r="H159" s="58" t="s">
        <v>2141</v>
      </c>
      <c r="I159" s="58" t="s">
        <v>1449</v>
      </c>
      <c r="J159" s="58" t="s">
        <v>1451</v>
      </c>
      <c r="K159" s="58" t="s">
        <v>1453</v>
      </c>
    </row>
    <row r="160" spans="1:11" ht="16.2" customHeight="1">
      <c r="A160" s="58">
        <v>2023</v>
      </c>
      <c r="B160" s="58" t="s">
        <v>2141</v>
      </c>
      <c r="C160" s="58" t="s">
        <v>487</v>
      </c>
      <c r="D160" s="58" t="s">
        <v>1456</v>
      </c>
      <c r="E160" s="58" t="s">
        <v>1457</v>
      </c>
      <c r="G160" s="58">
        <v>2024</v>
      </c>
      <c r="H160" s="58" t="s">
        <v>2141</v>
      </c>
      <c r="I160" s="58" t="s">
        <v>487</v>
      </c>
      <c r="J160" s="58" t="s">
        <v>1456</v>
      </c>
      <c r="K160" s="58" t="s">
        <v>1457</v>
      </c>
    </row>
    <row r="161" spans="1:12" ht="16.2" customHeight="1">
      <c r="A161" s="58">
        <v>2023</v>
      </c>
      <c r="B161" s="58" t="s">
        <v>2141</v>
      </c>
      <c r="C161" s="58" t="s">
        <v>1458</v>
      </c>
      <c r="D161" s="58" t="s">
        <v>1459</v>
      </c>
      <c r="E161" s="58" t="s">
        <v>1284</v>
      </c>
      <c r="G161" s="58">
        <v>2024</v>
      </c>
      <c r="H161" s="58" t="s">
        <v>2141</v>
      </c>
      <c r="I161" s="58" t="s">
        <v>1458</v>
      </c>
      <c r="J161" s="58" t="s">
        <v>1459</v>
      </c>
      <c r="K161" s="58" t="s">
        <v>1284</v>
      </c>
    </row>
    <row r="162" spans="1:12" ht="16.2" customHeight="1">
      <c r="A162" s="58">
        <v>2023</v>
      </c>
      <c r="B162" s="58" t="s">
        <v>2141</v>
      </c>
      <c r="C162" s="58" t="s">
        <v>1461</v>
      </c>
      <c r="D162" s="58" t="s">
        <v>1462</v>
      </c>
      <c r="E162" s="58" t="s">
        <v>1463</v>
      </c>
      <c r="G162" s="58">
        <v>2024</v>
      </c>
      <c r="H162" s="58" t="s">
        <v>2141</v>
      </c>
      <c r="I162" s="58" t="s">
        <v>1461</v>
      </c>
      <c r="J162" s="58" t="s">
        <v>1462</v>
      </c>
      <c r="K162" s="58" t="s">
        <v>1463</v>
      </c>
    </row>
    <row r="163" spans="1:12" ht="16.2" customHeight="1">
      <c r="A163" s="58">
        <v>2023</v>
      </c>
      <c r="B163" s="58" t="s">
        <v>2141</v>
      </c>
      <c r="C163" s="58" t="s">
        <v>1464</v>
      </c>
      <c r="D163" s="58" t="s">
        <v>1465</v>
      </c>
      <c r="E163" s="58" t="s">
        <v>1466</v>
      </c>
      <c r="G163" s="58">
        <v>2024</v>
      </c>
      <c r="H163" s="58" t="s">
        <v>2141</v>
      </c>
      <c r="I163" s="58" t="s">
        <v>1464</v>
      </c>
      <c r="J163" s="58" t="s">
        <v>1465</v>
      </c>
      <c r="K163" s="58" t="s">
        <v>1466</v>
      </c>
    </row>
    <row r="164" spans="1:12" ht="16.2" customHeight="1">
      <c r="A164" s="58">
        <v>2023</v>
      </c>
      <c r="B164" s="58" t="s">
        <v>2141</v>
      </c>
      <c r="C164" s="58" t="s">
        <v>1467</v>
      </c>
      <c r="D164" s="58" t="s">
        <v>1468</v>
      </c>
      <c r="E164" s="58" t="s">
        <v>1469</v>
      </c>
      <c r="G164" s="58">
        <v>2024</v>
      </c>
      <c r="H164" s="58" t="s">
        <v>2141</v>
      </c>
      <c r="I164" s="58" t="s">
        <v>1467</v>
      </c>
      <c r="J164" s="58" t="s">
        <v>1468</v>
      </c>
      <c r="K164" s="58" t="s">
        <v>1469</v>
      </c>
    </row>
    <row r="165" spans="1:12" ht="16.2" customHeight="1">
      <c r="A165" s="58">
        <v>2023</v>
      </c>
      <c r="B165" s="58" t="s">
        <v>2141</v>
      </c>
      <c r="C165" s="58" t="s">
        <v>1470</v>
      </c>
      <c r="D165" s="58" t="s">
        <v>1471</v>
      </c>
      <c r="E165" s="58" t="s">
        <v>1472</v>
      </c>
      <c r="G165" s="58">
        <v>2024</v>
      </c>
      <c r="H165" s="58" t="s">
        <v>2141</v>
      </c>
      <c r="I165" s="58" t="s">
        <v>1470</v>
      </c>
      <c r="J165" s="58" t="s">
        <v>1471</v>
      </c>
      <c r="K165" s="58" t="s">
        <v>1472</v>
      </c>
    </row>
    <row r="166" spans="1:12" ht="16.2" customHeight="1">
      <c r="A166" s="58">
        <v>2023</v>
      </c>
      <c r="B166" s="58" t="s">
        <v>2141</v>
      </c>
      <c r="C166" s="58" t="s">
        <v>1473</v>
      </c>
      <c r="D166" s="58" t="s">
        <v>1474</v>
      </c>
      <c r="E166" s="58" t="s">
        <v>1475</v>
      </c>
      <c r="G166" s="58">
        <v>2024</v>
      </c>
      <c r="H166" s="58" t="s">
        <v>2141</v>
      </c>
      <c r="I166" s="58" t="s">
        <v>1473</v>
      </c>
      <c r="J166" s="58" t="s">
        <v>1474</v>
      </c>
      <c r="K166" s="58" t="s">
        <v>1475</v>
      </c>
    </row>
    <row r="167" spans="1:12" ht="16.2" customHeight="1">
      <c r="A167" s="58">
        <v>2023</v>
      </c>
      <c r="B167" s="58" t="s">
        <v>2141</v>
      </c>
      <c r="C167" s="58" t="s">
        <v>2249</v>
      </c>
      <c r="D167" s="58" t="s">
        <v>1480</v>
      </c>
      <c r="E167" s="58" t="s">
        <v>1482</v>
      </c>
      <c r="G167" s="58">
        <v>2024</v>
      </c>
      <c r="H167" s="58" t="s">
        <v>2141</v>
      </c>
      <c r="I167" s="58" t="s">
        <v>2249</v>
      </c>
      <c r="J167" s="58" t="s">
        <v>1480</v>
      </c>
      <c r="K167" s="58" t="s">
        <v>1482</v>
      </c>
    </row>
    <row r="168" spans="1:12" ht="16.2" customHeight="1">
      <c r="A168" s="58">
        <v>2023</v>
      </c>
      <c r="B168" s="58" t="s">
        <v>2141</v>
      </c>
      <c r="C168" s="58" t="s">
        <v>1483</v>
      </c>
      <c r="D168" s="58" t="s">
        <v>1484</v>
      </c>
      <c r="E168" s="58" t="s">
        <v>1486</v>
      </c>
      <c r="G168" s="58">
        <v>2024</v>
      </c>
      <c r="H168" s="58" t="s">
        <v>2141</v>
      </c>
      <c r="I168" s="58" t="s">
        <v>1483</v>
      </c>
      <c r="J168" s="58" t="s">
        <v>1484</v>
      </c>
      <c r="K168" s="58" t="s">
        <v>1486</v>
      </c>
    </row>
    <row r="169" spans="1:12" ht="16.2" customHeight="1">
      <c r="A169" s="58">
        <v>2023</v>
      </c>
      <c r="B169" s="58" t="s">
        <v>2141</v>
      </c>
      <c r="C169" s="58" t="s">
        <v>1488</v>
      </c>
      <c r="D169" s="58" t="s">
        <v>1489</v>
      </c>
      <c r="E169" s="58" t="s">
        <v>1492</v>
      </c>
      <c r="G169" s="58">
        <v>2024</v>
      </c>
      <c r="H169" s="58" t="s">
        <v>2141</v>
      </c>
      <c r="I169" s="58" t="s">
        <v>1488</v>
      </c>
      <c r="J169" s="58" t="s">
        <v>1489</v>
      </c>
      <c r="K169" s="58" t="s">
        <v>1492</v>
      </c>
    </row>
    <row r="170" spans="1:12" ht="16.2" customHeight="1">
      <c r="A170" s="58">
        <v>2023</v>
      </c>
      <c r="B170" s="58" t="s">
        <v>2141</v>
      </c>
      <c r="C170" s="58" t="s">
        <v>1494</v>
      </c>
      <c r="D170" s="58" t="s">
        <v>1495</v>
      </c>
      <c r="E170" s="58" t="s">
        <v>1496</v>
      </c>
      <c r="G170" s="58">
        <v>2024</v>
      </c>
      <c r="H170" s="58" t="s">
        <v>2141</v>
      </c>
      <c r="I170" s="58" t="s">
        <v>1494</v>
      </c>
      <c r="J170" s="58" t="s">
        <v>1495</v>
      </c>
      <c r="K170" s="58" t="s">
        <v>1496</v>
      </c>
    </row>
    <row r="171" spans="1:12" ht="16.2" customHeight="1">
      <c r="A171" s="58">
        <v>2023</v>
      </c>
      <c r="B171" s="58" t="s">
        <v>2141</v>
      </c>
      <c r="C171" s="58" t="s">
        <v>1498</v>
      </c>
      <c r="D171" s="58" t="s">
        <v>1500</v>
      </c>
      <c r="E171" s="58" t="s">
        <v>1501</v>
      </c>
      <c r="G171" s="58">
        <v>2024</v>
      </c>
      <c r="H171" s="58" t="s">
        <v>2141</v>
      </c>
      <c r="I171" s="58" t="s">
        <v>1498</v>
      </c>
      <c r="J171" s="58" t="s">
        <v>1500</v>
      </c>
      <c r="K171" s="58" t="s">
        <v>1501</v>
      </c>
    </row>
    <row r="172" spans="1:12" ht="16.2" customHeight="1">
      <c r="A172" s="58">
        <v>2023</v>
      </c>
      <c r="B172" s="58" t="s">
        <v>2141</v>
      </c>
      <c r="C172" s="58" t="s">
        <v>1502</v>
      </c>
      <c r="D172" s="58" t="s">
        <v>1504</v>
      </c>
      <c r="E172" s="58" t="s">
        <v>1505</v>
      </c>
      <c r="G172" s="58">
        <v>2024</v>
      </c>
      <c r="H172" s="58" t="s">
        <v>2141</v>
      </c>
      <c r="I172" s="58" t="s">
        <v>1502</v>
      </c>
      <c r="J172" s="58" t="s">
        <v>1504</v>
      </c>
      <c r="K172" s="58" t="s">
        <v>1505</v>
      </c>
    </row>
    <row r="173" spans="1:12" ht="16.2" customHeight="1">
      <c r="G173" s="357">
        <v>2024</v>
      </c>
      <c r="H173" s="357" t="s">
        <v>2141</v>
      </c>
      <c r="I173" s="357" t="s">
        <v>2562</v>
      </c>
      <c r="J173" s="357" t="s">
        <v>2563</v>
      </c>
      <c r="K173" s="357"/>
      <c r="L173" s="357"/>
    </row>
    <row r="174" spans="1:12" ht="16.2" customHeight="1">
      <c r="A174" s="58">
        <v>2023</v>
      </c>
      <c r="B174" s="58" t="s">
        <v>2141</v>
      </c>
      <c r="C174" s="58" t="s">
        <v>2473</v>
      </c>
      <c r="D174" s="58" t="s">
        <v>1509</v>
      </c>
      <c r="E174" s="58" t="s">
        <v>2561</v>
      </c>
      <c r="G174" s="58">
        <v>2024</v>
      </c>
      <c r="H174" s="58" t="s">
        <v>2141</v>
      </c>
      <c r="I174" s="58" t="s">
        <v>2473</v>
      </c>
      <c r="J174" s="58" t="s">
        <v>1509</v>
      </c>
      <c r="K174" s="58" t="s">
        <v>2561</v>
      </c>
    </row>
    <row r="175" spans="1:12" ht="16.2" customHeight="1">
      <c r="A175" s="58">
        <v>2023</v>
      </c>
      <c r="B175" s="58" t="s">
        <v>2141</v>
      </c>
      <c r="C175" s="58" t="s">
        <v>1511</v>
      </c>
      <c r="D175" s="58" t="s">
        <v>1512</v>
      </c>
      <c r="E175" s="58" t="s">
        <v>1513</v>
      </c>
      <c r="G175" s="58">
        <v>2024</v>
      </c>
      <c r="H175" s="58" t="s">
        <v>2141</v>
      </c>
      <c r="I175" s="58" t="s">
        <v>1511</v>
      </c>
      <c r="J175" s="58" t="s">
        <v>1512</v>
      </c>
      <c r="K175" s="58" t="s">
        <v>1513</v>
      </c>
    </row>
    <row r="176" spans="1:12" ht="16.2" customHeight="1">
      <c r="A176" s="58">
        <v>2023</v>
      </c>
      <c r="B176" s="58" t="s">
        <v>2141</v>
      </c>
      <c r="C176" s="58" t="s">
        <v>1515</v>
      </c>
      <c r="D176" s="58" t="s">
        <v>1516</v>
      </c>
      <c r="E176" s="58" t="s">
        <v>1517</v>
      </c>
      <c r="G176" s="58">
        <v>2024</v>
      </c>
      <c r="H176" s="58" t="s">
        <v>2141</v>
      </c>
      <c r="I176" s="58" t="s">
        <v>1515</v>
      </c>
      <c r="J176" s="58" t="s">
        <v>1516</v>
      </c>
      <c r="K176" s="58" t="s">
        <v>1517</v>
      </c>
    </row>
    <row r="177" spans="1:12" ht="16.2" customHeight="1">
      <c r="A177" s="58">
        <v>2023</v>
      </c>
      <c r="B177" s="58" t="s">
        <v>2141</v>
      </c>
      <c r="C177" s="58" t="s">
        <v>1520</v>
      </c>
      <c r="D177" s="58" t="s">
        <v>1521</v>
      </c>
      <c r="E177" s="58" t="s">
        <v>1522</v>
      </c>
      <c r="G177" s="58">
        <v>2024</v>
      </c>
      <c r="H177" s="58" t="s">
        <v>2141</v>
      </c>
      <c r="I177" s="58" t="s">
        <v>1520</v>
      </c>
      <c r="J177" s="58" t="s">
        <v>1521</v>
      </c>
      <c r="K177" s="58" t="s">
        <v>1522</v>
      </c>
    </row>
    <row r="178" spans="1:12" ht="16.2" customHeight="1">
      <c r="A178" s="58">
        <v>2023</v>
      </c>
      <c r="B178" s="58" t="s">
        <v>2141</v>
      </c>
      <c r="C178" s="58" t="s">
        <v>1523</v>
      </c>
      <c r="D178" s="58" t="s">
        <v>1524</v>
      </c>
      <c r="E178" s="58" t="s">
        <v>1525</v>
      </c>
      <c r="G178" s="58">
        <v>2024</v>
      </c>
      <c r="H178" s="58" t="s">
        <v>2141</v>
      </c>
      <c r="I178" s="58" t="s">
        <v>1523</v>
      </c>
      <c r="J178" s="58" t="s">
        <v>1524</v>
      </c>
      <c r="K178" s="58" t="s">
        <v>1525</v>
      </c>
    </row>
    <row r="179" spans="1:12" ht="16.2" customHeight="1">
      <c r="A179" s="58">
        <v>2023</v>
      </c>
      <c r="B179" s="58" t="s">
        <v>2141</v>
      </c>
      <c r="C179" s="58" t="s">
        <v>1527</v>
      </c>
      <c r="D179" s="58" t="s">
        <v>1528</v>
      </c>
      <c r="E179" s="58" t="s">
        <v>1529</v>
      </c>
      <c r="G179" s="58">
        <v>2024</v>
      </c>
      <c r="H179" s="58" t="s">
        <v>2141</v>
      </c>
      <c r="I179" s="58" t="s">
        <v>1527</v>
      </c>
      <c r="J179" s="58" t="s">
        <v>1528</v>
      </c>
      <c r="K179" s="58" t="s">
        <v>1529</v>
      </c>
    </row>
    <row r="180" spans="1:12" ht="16.2" customHeight="1">
      <c r="A180" s="58">
        <v>2023</v>
      </c>
      <c r="B180" s="58" t="s">
        <v>2141</v>
      </c>
      <c r="C180" s="58" t="s">
        <v>1530</v>
      </c>
      <c r="D180" s="58" t="s">
        <v>1531</v>
      </c>
      <c r="E180" s="58" t="s">
        <v>1532</v>
      </c>
      <c r="G180" s="58">
        <v>2024</v>
      </c>
      <c r="H180" s="58" t="s">
        <v>2141</v>
      </c>
      <c r="I180" s="58" t="s">
        <v>1530</v>
      </c>
      <c r="J180" s="58" t="s">
        <v>1531</v>
      </c>
      <c r="K180" s="58" t="s">
        <v>1532</v>
      </c>
    </row>
    <row r="181" spans="1:12" ht="16.2" customHeight="1">
      <c r="A181" s="58">
        <v>2023</v>
      </c>
      <c r="B181" s="58" t="s">
        <v>2141</v>
      </c>
      <c r="C181" s="58" t="s">
        <v>1534</v>
      </c>
      <c r="D181" s="58" t="s">
        <v>1535</v>
      </c>
      <c r="E181" s="58" t="s">
        <v>1536</v>
      </c>
      <c r="G181" s="58">
        <v>2024</v>
      </c>
      <c r="H181" s="58" t="s">
        <v>2141</v>
      </c>
      <c r="I181" s="58" t="s">
        <v>1534</v>
      </c>
      <c r="J181" s="58" t="s">
        <v>1535</v>
      </c>
      <c r="K181" s="58" t="s">
        <v>1536</v>
      </c>
    </row>
    <row r="182" spans="1:12" ht="16.2" customHeight="1">
      <c r="A182" s="58">
        <v>2023</v>
      </c>
      <c r="B182" s="58" t="s">
        <v>2141</v>
      </c>
      <c r="C182" s="58" t="s">
        <v>1538</v>
      </c>
      <c r="D182" s="58" t="s">
        <v>1539</v>
      </c>
      <c r="E182" s="58" t="s">
        <v>1540</v>
      </c>
      <c r="G182" s="58">
        <v>2024</v>
      </c>
      <c r="H182" s="58" t="s">
        <v>2141</v>
      </c>
      <c r="I182" s="58" t="s">
        <v>1538</v>
      </c>
      <c r="J182" s="58" t="s">
        <v>1539</v>
      </c>
      <c r="K182" s="58" t="s">
        <v>1540</v>
      </c>
    </row>
    <row r="183" spans="1:12" ht="16.2" customHeight="1">
      <c r="A183" s="58">
        <v>2023</v>
      </c>
      <c r="B183" s="58" t="s">
        <v>2141</v>
      </c>
      <c r="C183" s="58" t="s">
        <v>43</v>
      </c>
      <c r="D183" s="58" t="s">
        <v>1541</v>
      </c>
      <c r="E183" s="58" t="s">
        <v>1543</v>
      </c>
      <c r="G183" s="58">
        <v>2024</v>
      </c>
      <c r="H183" s="58" t="s">
        <v>2141</v>
      </c>
      <c r="I183" s="58" t="s">
        <v>43</v>
      </c>
      <c r="J183" s="58" t="s">
        <v>1541</v>
      </c>
      <c r="K183" s="58" t="s">
        <v>1543</v>
      </c>
    </row>
    <row r="184" spans="1:12" ht="16.2" customHeight="1">
      <c r="A184" s="58">
        <v>2023</v>
      </c>
      <c r="B184" s="58" t="s">
        <v>2141</v>
      </c>
      <c r="C184" s="58" t="s">
        <v>1545</v>
      </c>
      <c r="D184" s="58" t="s">
        <v>1546</v>
      </c>
      <c r="E184" s="58" t="s">
        <v>1547</v>
      </c>
      <c r="G184" s="58">
        <v>2024</v>
      </c>
      <c r="H184" s="58" t="s">
        <v>2141</v>
      </c>
      <c r="I184" s="58" t="s">
        <v>1545</v>
      </c>
      <c r="J184" s="58" t="s">
        <v>1546</v>
      </c>
      <c r="K184" s="58" t="s">
        <v>1547</v>
      </c>
    </row>
    <row r="185" spans="1:12" ht="16.2" customHeight="1">
      <c r="A185" s="58">
        <v>2023</v>
      </c>
      <c r="B185" s="58" t="s">
        <v>2141</v>
      </c>
      <c r="C185" s="58" t="s">
        <v>1548</v>
      </c>
      <c r="D185" s="58" t="s">
        <v>1549</v>
      </c>
      <c r="E185" s="58" t="s">
        <v>1550</v>
      </c>
      <c r="G185" s="58">
        <v>2024</v>
      </c>
      <c r="H185" s="58" t="s">
        <v>2141</v>
      </c>
      <c r="I185" s="58" t="s">
        <v>1548</v>
      </c>
      <c r="J185" s="58" t="s">
        <v>1549</v>
      </c>
      <c r="K185" s="58" t="s">
        <v>1550</v>
      </c>
    </row>
    <row r="186" spans="1:12" ht="16.2" customHeight="1">
      <c r="A186" s="58">
        <v>2023</v>
      </c>
      <c r="B186" s="58" t="s">
        <v>2141</v>
      </c>
      <c r="C186" s="58" t="s">
        <v>1552</v>
      </c>
      <c r="D186" s="58" t="s">
        <v>1553</v>
      </c>
      <c r="E186" s="58" t="s">
        <v>1554</v>
      </c>
      <c r="G186" s="58">
        <v>2024</v>
      </c>
      <c r="H186" s="58" t="s">
        <v>2141</v>
      </c>
      <c r="I186" s="58" t="s">
        <v>1552</v>
      </c>
      <c r="J186" s="58" t="s">
        <v>1553</v>
      </c>
      <c r="K186" s="58" t="s">
        <v>1554</v>
      </c>
    </row>
    <row r="187" spans="1:12" ht="16.2" customHeight="1">
      <c r="A187" s="58">
        <v>2023</v>
      </c>
      <c r="B187" s="58" t="s">
        <v>2141</v>
      </c>
      <c r="C187" s="58" t="s">
        <v>1555</v>
      </c>
      <c r="D187" s="58" t="s">
        <v>1556</v>
      </c>
      <c r="E187" s="58" t="s">
        <v>1557</v>
      </c>
      <c r="G187" s="58">
        <v>2024</v>
      </c>
      <c r="H187" s="58" t="s">
        <v>2141</v>
      </c>
      <c r="I187" s="58" t="s">
        <v>1555</v>
      </c>
      <c r="J187" s="58" t="s">
        <v>1556</v>
      </c>
      <c r="K187" s="58" t="s">
        <v>1557</v>
      </c>
    </row>
    <row r="188" spans="1:12" ht="16.2" customHeight="1">
      <c r="A188" s="58">
        <v>2023</v>
      </c>
      <c r="B188" s="58" t="s">
        <v>2141</v>
      </c>
      <c r="C188" s="58" t="s">
        <v>1558</v>
      </c>
      <c r="D188" s="58" t="s">
        <v>596</v>
      </c>
      <c r="E188" s="58" t="s">
        <v>905</v>
      </c>
      <c r="G188" s="58">
        <v>2024</v>
      </c>
      <c r="H188" s="58" t="s">
        <v>2141</v>
      </c>
      <c r="I188" s="58" t="s">
        <v>1558</v>
      </c>
      <c r="J188" s="58" t="s">
        <v>596</v>
      </c>
      <c r="K188" s="58" t="s">
        <v>905</v>
      </c>
    </row>
    <row r="191" spans="1:12" ht="16.2" customHeight="1">
      <c r="A191" s="58">
        <v>2023</v>
      </c>
      <c r="B191" s="58" t="s">
        <v>2250</v>
      </c>
      <c r="C191" s="58" t="s">
        <v>515</v>
      </c>
      <c r="D191" s="58" t="s">
        <v>1562</v>
      </c>
      <c r="E191" s="58" t="s">
        <v>170</v>
      </c>
      <c r="G191" s="58">
        <v>2024</v>
      </c>
      <c r="H191" s="58" t="s">
        <v>2250</v>
      </c>
      <c r="I191" t="s">
        <v>515</v>
      </c>
      <c r="J191" t="s">
        <v>170</v>
      </c>
      <c r="K191" t="s">
        <v>2251</v>
      </c>
      <c r="L191" t="s">
        <v>1562</v>
      </c>
    </row>
    <row r="192" spans="1:12" ht="16.2" customHeight="1">
      <c r="A192" s="58">
        <v>2023</v>
      </c>
      <c r="B192" s="58" t="s">
        <v>2250</v>
      </c>
      <c r="C192" s="58" t="s">
        <v>516</v>
      </c>
      <c r="D192" s="58" t="s">
        <v>1572</v>
      </c>
      <c r="E192" s="58" t="s">
        <v>171</v>
      </c>
      <c r="G192" s="58">
        <v>2024</v>
      </c>
      <c r="H192" s="58" t="s">
        <v>2250</v>
      </c>
      <c r="I192" t="s">
        <v>516</v>
      </c>
      <c r="J192" t="s">
        <v>171</v>
      </c>
      <c r="K192" t="s">
        <v>2564</v>
      </c>
      <c r="L192" t="s">
        <v>1572</v>
      </c>
    </row>
    <row r="193" spans="1:12" ht="16.2" customHeight="1">
      <c r="A193" s="58">
        <v>2023</v>
      </c>
      <c r="B193" s="58" t="s">
        <v>2250</v>
      </c>
      <c r="C193" s="58" t="s">
        <v>517</v>
      </c>
      <c r="D193" s="58" t="s">
        <v>1578</v>
      </c>
      <c r="E193" s="58" t="s">
        <v>172</v>
      </c>
      <c r="G193" s="58">
        <v>2024</v>
      </c>
      <c r="H193" s="58" t="s">
        <v>2250</v>
      </c>
      <c r="I193" t="s">
        <v>517</v>
      </c>
      <c r="J193" t="s">
        <v>172</v>
      </c>
      <c r="K193" t="s">
        <v>2565</v>
      </c>
      <c r="L193" t="s">
        <v>1578</v>
      </c>
    </row>
    <row r="194" spans="1:12" ht="16.2" customHeight="1">
      <c r="A194" s="58">
        <v>2023</v>
      </c>
      <c r="B194" s="58" t="s">
        <v>2250</v>
      </c>
      <c r="C194" s="58" t="s">
        <v>519</v>
      </c>
      <c r="D194" s="58" t="s">
        <v>1582</v>
      </c>
      <c r="E194" s="58" t="s">
        <v>173</v>
      </c>
      <c r="G194" s="58">
        <v>2024</v>
      </c>
      <c r="H194" s="58" t="s">
        <v>2250</v>
      </c>
      <c r="I194" t="s">
        <v>519</v>
      </c>
      <c r="J194" t="s">
        <v>173</v>
      </c>
      <c r="K194" t="s">
        <v>2566</v>
      </c>
      <c r="L194" t="s">
        <v>1582</v>
      </c>
    </row>
    <row r="195" spans="1:12" ht="16.2" customHeight="1">
      <c r="A195" s="58">
        <v>2023</v>
      </c>
      <c r="B195" s="58" t="s">
        <v>2250</v>
      </c>
      <c r="C195" s="58" t="s">
        <v>1585</v>
      </c>
      <c r="D195" s="58" t="s">
        <v>1586</v>
      </c>
      <c r="E195" s="58" t="s">
        <v>174</v>
      </c>
      <c r="G195" s="58">
        <v>2024</v>
      </c>
      <c r="H195" s="58" t="s">
        <v>2250</v>
      </c>
      <c r="I195" t="s">
        <v>1585</v>
      </c>
      <c r="J195" t="s">
        <v>174</v>
      </c>
      <c r="K195" t="s">
        <v>2247</v>
      </c>
      <c r="L195" t="s">
        <v>1586</v>
      </c>
    </row>
    <row r="196" spans="1:12" ht="16.2" customHeight="1">
      <c r="A196" s="357">
        <v>2023</v>
      </c>
      <c r="B196" s="357" t="s">
        <v>2250</v>
      </c>
      <c r="C196" s="357" t="s">
        <v>1592</v>
      </c>
      <c r="D196" s="357" t="s">
        <v>1593</v>
      </c>
      <c r="E196" s="357" t="s">
        <v>175</v>
      </c>
      <c r="F196" s="357"/>
    </row>
    <row r="197" spans="1:12" ht="16.2" customHeight="1">
      <c r="A197" s="58">
        <v>2023</v>
      </c>
      <c r="B197" s="58" t="s">
        <v>2250</v>
      </c>
      <c r="C197" s="58" t="s">
        <v>1599</v>
      </c>
      <c r="D197" s="58" t="s">
        <v>1600</v>
      </c>
      <c r="E197" s="58" t="s">
        <v>176</v>
      </c>
      <c r="G197" s="58">
        <v>2024</v>
      </c>
      <c r="H197" s="58" t="s">
        <v>2250</v>
      </c>
      <c r="I197" t="s">
        <v>1599</v>
      </c>
      <c r="J197" t="s">
        <v>176</v>
      </c>
      <c r="K197" t="s">
        <v>2567</v>
      </c>
      <c r="L197" t="s">
        <v>1600</v>
      </c>
    </row>
    <row r="198" spans="1:12" ht="16.2" customHeight="1">
      <c r="A198" s="58">
        <v>2023</v>
      </c>
      <c r="B198" s="58" t="s">
        <v>2250</v>
      </c>
      <c r="C198" s="58" t="s">
        <v>1601</v>
      </c>
      <c r="D198" s="58" t="s">
        <v>1602</v>
      </c>
      <c r="E198" s="58" t="s">
        <v>177</v>
      </c>
      <c r="G198" s="58">
        <v>2024</v>
      </c>
      <c r="H198" s="58" t="s">
        <v>2250</v>
      </c>
      <c r="I198" t="s">
        <v>1601</v>
      </c>
      <c r="J198" t="s">
        <v>177</v>
      </c>
      <c r="K198" t="s">
        <v>2253</v>
      </c>
      <c r="L198" t="s">
        <v>1602</v>
      </c>
    </row>
    <row r="199" spans="1:12" ht="16.2" customHeight="1">
      <c r="A199" s="58">
        <v>2023</v>
      </c>
      <c r="B199" s="58" t="s">
        <v>2250</v>
      </c>
      <c r="C199" s="58" t="s">
        <v>1606</v>
      </c>
      <c r="D199" s="58" t="s">
        <v>1607</v>
      </c>
      <c r="E199" s="58" t="s">
        <v>178</v>
      </c>
      <c r="G199" s="58">
        <v>2024</v>
      </c>
      <c r="H199" s="58" t="s">
        <v>2250</v>
      </c>
      <c r="I199" t="s">
        <v>1606</v>
      </c>
      <c r="J199" t="s">
        <v>178</v>
      </c>
      <c r="K199" t="s">
        <v>2254</v>
      </c>
      <c r="L199" t="s">
        <v>1607</v>
      </c>
    </row>
    <row r="200" spans="1:12" ht="16.2" customHeight="1">
      <c r="A200" s="58">
        <v>2023</v>
      </c>
      <c r="B200" s="58" t="s">
        <v>2250</v>
      </c>
      <c r="C200" s="58" t="s">
        <v>1608</v>
      </c>
      <c r="D200" s="58" t="s">
        <v>1609</v>
      </c>
      <c r="E200" s="58" t="s">
        <v>179</v>
      </c>
      <c r="G200" s="58">
        <v>2024</v>
      </c>
      <c r="H200" s="58" t="s">
        <v>2250</v>
      </c>
      <c r="I200" t="s">
        <v>1608</v>
      </c>
      <c r="J200" t="s">
        <v>179</v>
      </c>
      <c r="K200" t="s">
        <v>2255</v>
      </c>
      <c r="L200" t="s">
        <v>1609</v>
      </c>
    </row>
    <row r="201" spans="1:12" ht="16.2" customHeight="1">
      <c r="A201" s="58">
        <v>2023</v>
      </c>
      <c r="B201" s="58" t="s">
        <v>2250</v>
      </c>
      <c r="C201" s="58" t="s">
        <v>1613</v>
      </c>
      <c r="D201" s="58" t="s">
        <v>1614</v>
      </c>
      <c r="E201" s="58" t="s">
        <v>180</v>
      </c>
      <c r="G201" s="58">
        <v>2024</v>
      </c>
      <c r="H201" s="58" t="s">
        <v>2250</v>
      </c>
      <c r="I201" t="s">
        <v>1613</v>
      </c>
      <c r="J201" t="s">
        <v>180</v>
      </c>
      <c r="K201" t="s">
        <v>2256</v>
      </c>
      <c r="L201" t="s">
        <v>1614</v>
      </c>
    </row>
    <row r="202" spans="1:12" ht="16.2" customHeight="1">
      <c r="A202" s="58">
        <v>2023</v>
      </c>
      <c r="B202" s="58" t="s">
        <v>2250</v>
      </c>
      <c r="C202" s="58" t="s">
        <v>1617</v>
      </c>
      <c r="D202" s="58" t="s">
        <v>1618</v>
      </c>
      <c r="E202" s="58" t="s">
        <v>181</v>
      </c>
      <c r="G202" s="58">
        <v>2024</v>
      </c>
      <c r="H202" s="58" t="s">
        <v>2250</v>
      </c>
      <c r="I202" t="s">
        <v>1617</v>
      </c>
      <c r="J202" t="s">
        <v>181</v>
      </c>
      <c r="K202" t="s">
        <v>2257</v>
      </c>
      <c r="L202" t="s">
        <v>1618</v>
      </c>
    </row>
    <row r="203" spans="1:12" ht="16.2" customHeight="1">
      <c r="A203" s="58">
        <v>2023</v>
      </c>
      <c r="B203" s="58" t="s">
        <v>2250</v>
      </c>
      <c r="C203" s="58" t="s">
        <v>1619</v>
      </c>
      <c r="D203" s="58" t="s">
        <v>1620</v>
      </c>
      <c r="E203" s="58" t="s">
        <v>182</v>
      </c>
      <c r="G203" s="58">
        <v>2024</v>
      </c>
      <c r="H203" s="58" t="s">
        <v>2250</v>
      </c>
      <c r="I203" t="s">
        <v>1619</v>
      </c>
      <c r="J203" t="s">
        <v>182</v>
      </c>
      <c r="K203" t="s">
        <v>2258</v>
      </c>
      <c r="L203" t="s">
        <v>1620</v>
      </c>
    </row>
    <row r="204" spans="1:12" ht="16.2" customHeight="1">
      <c r="A204" s="58">
        <v>2023</v>
      </c>
      <c r="B204" s="58" t="s">
        <v>2250</v>
      </c>
      <c r="C204" s="58" t="s">
        <v>1621</v>
      </c>
      <c r="D204" s="58" t="s">
        <v>1622</v>
      </c>
      <c r="E204" s="58" t="s">
        <v>183</v>
      </c>
      <c r="G204" s="58">
        <v>2024</v>
      </c>
      <c r="H204" s="58" t="s">
        <v>2250</v>
      </c>
      <c r="I204" t="s">
        <v>1621</v>
      </c>
      <c r="J204" t="s">
        <v>183</v>
      </c>
      <c r="K204" t="s">
        <v>2259</v>
      </c>
      <c r="L204" t="s">
        <v>1622</v>
      </c>
    </row>
    <row r="205" spans="1:12" ht="16.2" customHeight="1">
      <c r="A205" s="58">
        <v>2023</v>
      </c>
      <c r="B205" s="58" t="s">
        <v>2250</v>
      </c>
      <c r="C205" s="58" t="s">
        <v>1623</v>
      </c>
      <c r="D205" s="58" t="s">
        <v>1624</v>
      </c>
      <c r="E205" s="58" t="s">
        <v>184</v>
      </c>
      <c r="G205" s="58">
        <v>2024</v>
      </c>
      <c r="H205" s="58" t="s">
        <v>2250</v>
      </c>
      <c r="I205" t="s">
        <v>1623</v>
      </c>
      <c r="J205" t="s">
        <v>184</v>
      </c>
      <c r="K205" t="s">
        <v>2260</v>
      </c>
      <c r="L205" t="s">
        <v>1624</v>
      </c>
    </row>
    <row r="206" spans="1:12" ht="16.2" customHeight="1">
      <c r="A206" s="58">
        <v>2023</v>
      </c>
      <c r="B206" s="58" t="s">
        <v>2250</v>
      </c>
      <c r="C206" s="58" t="s">
        <v>1625</v>
      </c>
      <c r="D206" s="58" t="s">
        <v>1626</v>
      </c>
      <c r="E206" s="58" t="s">
        <v>185</v>
      </c>
      <c r="G206" s="58">
        <v>2024</v>
      </c>
      <c r="H206" s="58" t="s">
        <v>2250</v>
      </c>
      <c r="I206" t="s">
        <v>1625</v>
      </c>
      <c r="J206" t="s">
        <v>185</v>
      </c>
      <c r="K206" t="s">
        <v>2261</v>
      </c>
      <c r="L206" t="s">
        <v>1626</v>
      </c>
    </row>
    <row r="207" spans="1:12" ht="16.2" customHeight="1">
      <c r="A207" s="58">
        <v>2023</v>
      </c>
      <c r="B207" s="58" t="s">
        <v>2250</v>
      </c>
      <c r="C207" s="58" t="s">
        <v>1627</v>
      </c>
      <c r="D207" s="58" t="s">
        <v>1628</v>
      </c>
      <c r="E207" s="58" t="s">
        <v>186</v>
      </c>
      <c r="G207" s="58">
        <v>2024</v>
      </c>
      <c r="H207" s="58" t="s">
        <v>2250</v>
      </c>
      <c r="I207" t="s">
        <v>1627</v>
      </c>
      <c r="J207" t="s">
        <v>186</v>
      </c>
      <c r="K207" t="s">
        <v>2262</v>
      </c>
      <c r="L207" t="s">
        <v>1628</v>
      </c>
    </row>
    <row r="208" spans="1:12" ht="16.2" customHeight="1">
      <c r="A208" s="58">
        <v>2023</v>
      </c>
      <c r="B208" s="58" t="s">
        <v>2250</v>
      </c>
      <c r="C208" s="58" t="s">
        <v>1629</v>
      </c>
      <c r="D208" s="58" t="s">
        <v>1630</v>
      </c>
      <c r="E208" s="58" t="s">
        <v>187</v>
      </c>
      <c r="G208" s="58">
        <v>2024</v>
      </c>
      <c r="H208" s="58" t="s">
        <v>2250</v>
      </c>
      <c r="I208" t="s">
        <v>1629</v>
      </c>
      <c r="J208" t="s">
        <v>187</v>
      </c>
      <c r="K208" t="s">
        <v>2263</v>
      </c>
      <c r="L208" t="s">
        <v>1630</v>
      </c>
    </row>
    <row r="209" spans="1:15" ht="16.2" customHeight="1">
      <c r="A209" s="58">
        <v>2023</v>
      </c>
      <c r="B209" s="58" t="s">
        <v>2250</v>
      </c>
      <c r="C209" s="58" t="s">
        <v>1631</v>
      </c>
      <c r="D209" s="58" t="s">
        <v>1633</v>
      </c>
      <c r="E209" s="58" t="s">
        <v>188</v>
      </c>
      <c r="G209" s="58">
        <v>2024</v>
      </c>
      <c r="H209" s="58" t="s">
        <v>2250</v>
      </c>
      <c r="I209" t="s">
        <v>1631</v>
      </c>
      <c r="J209" t="s">
        <v>188</v>
      </c>
      <c r="K209" t="s">
        <v>2264</v>
      </c>
      <c r="L209" t="s">
        <v>1633</v>
      </c>
    </row>
    <row r="210" spans="1:15" ht="16.2" customHeight="1">
      <c r="A210" s="58">
        <v>2023</v>
      </c>
      <c r="B210" s="58" t="s">
        <v>2250</v>
      </c>
      <c r="C210" s="58" t="s">
        <v>1637</v>
      </c>
      <c r="D210" s="58" t="s">
        <v>1638</v>
      </c>
      <c r="E210" s="58" t="s">
        <v>189</v>
      </c>
      <c r="G210" s="58">
        <v>2024</v>
      </c>
      <c r="H210" s="58" t="s">
        <v>2250</v>
      </c>
      <c r="I210" t="s">
        <v>1637</v>
      </c>
      <c r="J210" t="s">
        <v>189</v>
      </c>
      <c r="K210" t="s">
        <v>2265</v>
      </c>
      <c r="L210" t="s">
        <v>1638</v>
      </c>
    </row>
    <row r="211" spans="1:15" ht="16.2" customHeight="1">
      <c r="G211" s="357">
        <v>2024</v>
      </c>
      <c r="H211" s="357" t="s">
        <v>2250</v>
      </c>
      <c r="I211" s="358" t="s">
        <v>2568</v>
      </c>
      <c r="J211" s="358" t="s">
        <v>175</v>
      </c>
      <c r="K211" s="358" t="s">
        <v>2252</v>
      </c>
      <c r="L211" s="358" t="s">
        <v>1593</v>
      </c>
      <c r="M211" s="357"/>
      <c r="N211" s="357"/>
      <c r="O211" s="357" t="s">
        <v>2570</v>
      </c>
    </row>
    <row r="212" spans="1:15" ht="16.2" customHeight="1">
      <c r="A212" s="58">
        <v>2023</v>
      </c>
      <c r="B212" s="58" t="s">
        <v>2250</v>
      </c>
      <c r="C212" s="58" t="s">
        <v>1643</v>
      </c>
      <c r="D212" s="58" t="s">
        <v>1645</v>
      </c>
      <c r="E212" s="58" t="s">
        <v>190</v>
      </c>
      <c r="G212" s="58">
        <v>2024</v>
      </c>
      <c r="H212" s="58" t="s">
        <v>2250</v>
      </c>
      <c r="I212" t="s">
        <v>1643</v>
      </c>
      <c r="J212" t="s">
        <v>190</v>
      </c>
      <c r="K212" t="s">
        <v>2266</v>
      </c>
      <c r="L212" t="s">
        <v>1645</v>
      </c>
    </row>
    <row r="213" spans="1:15" ht="16.2" customHeight="1">
      <c r="A213" s="58">
        <v>2023</v>
      </c>
      <c r="B213" s="58" t="s">
        <v>2250</v>
      </c>
      <c r="C213" s="58" t="s">
        <v>1648</v>
      </c>
      <c r="D213" s="58" t="s">
        <v>1649</v>
      </c>
      <c r="E213" s="58" t="s">
        <v>191</v>
      </c>
      <c r="G213" s="58">
        <v>2024</v>
      </c>
      <c r="H213" s="58" t="s">
        <v>2250</v>
      </c>
      <c r="I213" t="s">
        <v>1648</v>
      </c>
      <c r="J213" t="s">
        <v>191</v>
      </c>
      <c r="K213" t="s">
        <v>2267</v>
      </c>
      <c r="L213" t="s">
        <v>1649</v>
      </c>
    </row>
    <row r="214" spans="1:15" ht="16.2" customHeight="1">
      <c r="A214" s="58">
        <v>2023</v>
      </c>
      <c r="B214" s="58" t="s">
        <v>2250</v>
      </c>
      <c r="C214" s="58" t="s">
        <v>1650</v>
      </c>
      <c r="D214" s="58" t="s">
        <v>1651</v>
      </c>
      <c r="E214" s="58" t="s">
        <v>192</v>
      </c>
      <c r="G214" s="58">
        <v>2024</v>
      </c>
      <c r="H214" s="58" t="s">
        <v>2250</v>
      </c>
      <c r="I214" t="s">
        <v>1650</v>
      </c>
      <c r="J214" t="s">
        <v>192</v>
      </c>
      <c r="K214" t="s">
        <v>2569</v>
      </c>
      <c r="L214" t="s">
        <v>1651</v>
      </c>
    </row>
    <row r="215" spans="1:15" ht="16.2" customHeight="1">
      <c r="A215" s="58">
        <v>2023</v>
      </c>
      <c r="B215" s="58" t="s">
        <v>2250</v>
      </c>
      <c r="C215" s="58" t="s">
        <v>1655</v>
      </c>
      <c r="D215" s="58" t="s">
        <v>1656</v>
      </c>
      <c r="E215" s="58" t="s">
        <v>193</v>
      </c>
      <c r="G215" s="58">
        <v>2024</v>
      </c>
      <c r="H215" s="58" t="s">
        <v>2250</v>
      </c>
      <c r="I215" t="s">
        <v>1655</v>
      </c>
      <c r="J215" t="s">
        <v>193</v>
      </c>
      <c r="K215" t="s">
        <v>2268</v>
      </c>
      <c r="L215" t="s">
        <v>1656</v>
      </c>
    </row>
    <row r="216" spans="1:15" ht="16.2" customHeight="1">
      <c r="A216" s="58">
        <v>2023</v>
      </c>
      <c r="B216" s="58" t="s">
        <v>2250</v>
      </c>
      <c r="C216" s="58" t="s">
        <v>1657</v>
      </c>
      <c r="D216" s="58" t="s">
        <v>1658</v>
      </c>
      <c r="E216" s="58" t="s">
        <v>1659</v>
      </c>
      <c r="G216" s="58">
        <v>2024</v>
      </c>
      <c r="H216" s="58" t="s">
        <v>2250</v>
      </c>
      <c r="I216" t="s">
        <v>1657</v>
      </c>
      <c r="J216" t="s">
        <v>1659</v>
      </c>
      <c r="K216" t="s">
        <v>2269</v>
      </c>
      <c r="L216" t="s">
        <v>1658</v>
      </c>
    </row>
    <row r="217" spans="1:15" ht="16.2" customHeight="1">
      <c r="A217" s="58">
        <v>2023</v>
      </c>
      <c r="B217" s="58" t="s">
        <v>2250</v>
      </c>
      <c r="C217" s="58" t="s">
        <v>1661</v>
      </c>
      <c r="D217" s="58" t="s">
        <v>1662</v>
      </c>
      <c r="E217" s="58" t="s">
        <v>194</v>
      </c>
      <c r="G217" s="58">
        <v>2024</v>
      </c>
      <c r="H217" s="58" t="s">
        <v>2250</v>
      </c>
      <c r="I217" t="s">
        <v>1661</v>
      </c>
      <c r="J217" t="s">
        <v>194</v>
      </c>
      <c r="K217" t="s">
        <v>2270</v>
      </c>
      <c r="L217" t="s">
        <v>1662</v>
      </c>
    </row>
    <row r="218" spans="1:15" ht="16.2" customHeight="1">
      <c r="I218"/>
      <c r="J218"/>
      <c r="K218"/>
      <c r="L218"/>
    </row>
    <row r="220" spans="1:15" ht="16.2" customHeight="1">
      <c r="A220" s="58">
        <v>2023</v>
      </c>
      <c r="B220" s="58" t="s">
        <v>1666</v>
      </c>
      <c r="C220" s="58" t="s">
        <v>530</v>
      </c>
      <c r="D220" s="58" t="s">
        <v>531</v>
      </c>
      <c r="E220" s="58" t="s">
        <v>1669</v>
      </c>
      <c r="G220" s="58">
        <v>2024</v>
      </c>
      <c r="H220" s="58" t="s">
        <v>1666</v>
      </c>
      <c r="I220" t="s">
        <v>530</v>
      </c>
      <c r="J220" t="s">
        <v>1669</v>
      </c>
      <c r="K220" t="s">
        <v>2271</v>
      </c>
      <c r="L220" t="s">
        <v>531</v>
      </c>
    </row>
    <row r="221" spans="1:15" ht="16.2" customHeight="1">
      <c r="A221" s="58">
        <v>2023</v>
      </c>
      <c r="B221" s="58" t="s">
        <v>1666</v>
      </c>
      <c r="C221" s="58" t="s">
        <v>532</v>
      </c>
      <c r="D221" s="58" t="s">
        <v>533</v>
      </c>
      <c r="E221" s="58" t="s">
        <v>1673</v>
      </c>
      <c r="G221" s="58">
        <v>2024</v>
      </c>
      <c r="H221" s="58" t="s">
        <v>1666</v>
      </c>
      <c r="I221" t="s">
        <v>532</v>
      </c>
      <c r="J221" t="s">
        <v>2572</v>
      </c>
      <c r="K221" t="s">
        <v>2272</v>
      </c>
      <c r="L221" t="s">
        <v>533</v>
      </c>
    </row>
    <row r="222" spans="1:15" ht="16.2" customHeight="1">
      <c r="A222" s="58">
        <v>2023</v>
      </c>
      <c r="B222" s="58" t="s">
        <v>1666</v>
      </c>
      <c r="C222" s="58" t="s">
        <v>535</v>
      </c>
      <c r="D222" s="58" t="s">
        <v>536</v>
      </c>
      <c r="E222" s="58" t="s">
        <v>1676</v>
      </c>
      <c r="G222" s="58">
        <v>2024</v>
      </c>
      <c r="H222" s="58" t="s">
        <v>1666</v>
      </c>
      <c r="I222" t="s">
        <v>535</v>
      </c>
      <c r="J222" t="s">
        <v>2273</v>
      </c>
      <c r="K222" t="s">
        <v>2274</v>
      </c>
      <c r="L222" t="s">
        <v>536</v>
      </c>
    </row>
    <row r="223" spans="1:15" ht="16.2" customHeight="1">
      <c r="A223" s="58">
        <v>2023</v>
      </c>
      <c r="B223" s="58" t="s">
        <v>1666</v>
      </c>
      <c r="C223" s="58" t="s">
        <v>538</v>
      </c>
      <c r="D223" s="58" t="s">
        <v>539</v>
      </c>
      <c r="E223" s="58" t="s">
        <v>1679</v>
      </c>
      <c r="G223" s="58">
        <v>2024</v>
      </c>
      <c r="H223" s="58" t="s">
        <v>1666</v>
      </c>
      <c r="I223" t="s">
        <v>538</v>
      </c>
      <c r="J223" t="s">
        <v>2275</v>
      </c>
      <c r="K223" t="s">
        <v>2276</v>
      </c>
      <c r="L223" t="s">
        <v>539</v>
      </c>
    </row>
    <row r="224" spans="1:15" ht="16.2" customHeight="1">
      <c r="A224" s="58">
        <v>2023</v>
      </c>
      <c r="B224" s="58" t="s">
        <v>1666</v>
      </c>
      <c r="C224" s="58" t="s">
        <v>540</v>
      </c>
      <c r="D224" s="58" t="s">
        <v>541</v>
      </c>
      <c r="E224" s="58" t="s">
        <v>1681</v>
      </c>
      <c r="G224" s="58">
        <v>2024</v>
      </c>
      <c r="H224" s="58" t="s">
        <v>1666</v>
      </c>
      <c r="I224" t="s">
        <v>540</v>
      </c>
      <c r="J224" t="s">
        <v>1066</v>
      </c>
      <c r="K224" t="s">
        <v>2580</v>
      </c>
      <c r="L224" t="s">
        <v>541</v>
      </c>
    </row>
    <row r="225" spans="1:12" ht="16.2" customHeight="1">
      <c r="A225" s="58">
        <v>2023</v>
      </c>
      <c r="B225" s="58" t="s">
        <v>1666</v>
      </c>
      <c r="C225" s="58" t="s">
        <v>542</v>
      </c>
      <c r="D225" s="58" t="s">
        <v>543</v>
      </c>
      <c r="E225" s="58" t="s">
        <v>1684</v>
      </c>
      <c r="G225" s="58">
        <v>2024</v>
      </c>
      <c r="H225" s="58" t="s">
        <v>1666</v>
      </c>
      <c r="I225" t="s">
        <v>569</v>
      </c>
      <c r="J225" t="s">
        <v>2573</v>
      </c>
      <c r="K225" t="s">
        <v>2277</v>
      </c>
      <c r="L225" t="s">
        <v>570</v>
      </c>
    </row>
    <row r="226" spans="1:12" ht="16.2" customHeight="1">
      <c r="A226" s="58">
        <v>2023</v>
      </c>
      <c r="B226" s="58" t="s">
        <v>1666</v>
      </c>
      <c r="C226" s="58" t="s">
        <v>386</v>
      </c>
      <c r="D226" s="58" t="s">
        <v>2571</v>
      </c>
      <c r="E226" s="58" t="s">
        <v>1089</v>
      </c>
      <c r="G226" s="58">
        <v>2024</v>
      </c>
      <c r="H226" s="58" t="s">
        <v>1666</v>
      </c>
      <c r="I226" t="s">
        <v>592</v>
      </c>
      <c r="J226" t="s">
        <v>2278</v>
      </c>
      <c r="K226" t="s">
        <v>2279</v>
      </c>
      <c r="L226" t="s">
        <v>593</v>
      </c>
    </row>
    <row r="227" spans="1:12" ht="16.2" customHeight="1">
      <c r="A227" s="58">
        <v>2023</v>
      </c>
      <c r="B227" s="58" t="s">
        <v>1666</v>
      </c>
      <c r="C227" s="58" t="s">
        <v>389</v>
      </c>
      <c r="D227" s="58" t="s">
        <v>544</v>
      </c>
      <c r="E227" s="58" t="s">
        <v>1691</v>
      </c>
      <c r="G227" s="58">
        <v>2024</v>
      </c>
      <c r="H227" s="58" t="s">
        <v>1666</v>
      </c>
      <c r="I227" t="s">
        <v>571</v>
      </c>
      <c r="J227" t="s">
        <v>2574</v>
      </c>
      <c r="K227" t="s">
        <v>2280</v>
      </c>
      <c r="L227" t="s">
        <v>572</v>
      </c>
    </row>
    <row r="228" spans="1:12" ht="16.2" customHeight="1">
      <c r="A228" s="58">
        <v>2023</v>
      </c>
      <c r="B228" s="58" t="s">
        <v>1666</v>
      </c>
      <c r="C228" s="58" t="s">
        <v>390</v>
      </c>
      <c r="D228" s="58" t="s">
        <v>547</v>
      </c>
      <c r="E228" s="58" t="s">
        <v>1692</v>
      </c>
      <c r="G228" s="58">
        <v>2024</v>
      </c>
      <c r="H228" s="58" t="s">
        <v>1666</v>
      </c>
      <c r="I228" t="s">
        <v>574</v>
      </c>
      <c r="J228" t="s">
        <v>2575</v>
      </c>
      <c r="K228" t="s">
        <v>2281</v>
      </c>
      <c r="L228" t="s">
        <v>575</v>
      </c>
    </row>
    <row r="229" spans="1:12" ht="16.2" customHeight="1">
      <c r="A229" s="58">
        <v>2023</v>
      </c>
      <c r="B229" s="58" t="s">
        <v>1666</v>
      </c>
      <c r="C229" s="58" t="s">
        <v>391</v>
      </c>
      <c r="D229" s="58" t="s">
        <v>550</v>
      </c>
      <c r="E229" s="58" t="s">
        <v>1693</v>
      </c>
      <c r="G229" s="58">
        <v>2024</v>
      </c>
      <c r="H229" s="58" t="s">
        <v>1666</v>
      </c>
      <c r="I229" t="s">
        <v>565</v>
      </c>
      <c r="J229" t="s">
        <v>1704</v>
      </c>
      <c r="K229" t="s">
        <v>2282</v>
      </c>
      <c r="L229" t="s">
        <v>566</v>
      </c>
    </row>
    <row r="230" spans="1:12" ht="16.2" customHeight="1">
      <c r="A230" s="58">
        <v>2023</v>
      </c>
      <c r="B230" s="58" t="s">
        <v>1666</v>
      </c>
      <c r="C230" s="58" t="s">
        <v>393</v>
      </c>
      <c r="D230" s="58" t="s">
        <v>553</v>
      </c>
      <c r="E230" s="58" t="s">
        <v>1694</v>
      </c>
      <c r="G230" s="58">
        <v>2024</v>
      </c>
      <c r="H230" s="58" t="s">
        <v>1666</v>
      </c>
      <c r="I230" t="s">
        <v>578</v>
      </c>
      <c r="J230" t="s">
        <v>2576</v>
      </c>
      <c r="K230" t="s">
        <v>2283</v>
      </c>
      <c r="L230" t="s">
        <v>579</v>
      </c>
    </row>
    <row r="231" spans="1:12" ht="16.2" customHeight="1">
      <c r="A231" s="58">
        <v>2023</v>
      </c>
      <c r="B231" s="58" t="s">
        <v>1666</v>
      </c>
      <c r="C231" s="58" t="s">
        <v>392</v>
      </c>
      <c r="D231" s="58" t="s">
        <v>555</v>
      </c>
      <c r="E231" s="58" t="s">
        <v>1695</v>
      </c>
      <c r="G231" s="58">
        <v>2024</v>
      </c>
      <c r="H231" s="58" t="s">
        <v>1666</v>
      </c>
      <c r="I231" t="s">
        <v>582</v>
      </c>
      <c r="J231" t="s">
        <v>2577</v>
      </c>
      <c r="K231" t="s">
        <v>2578</v>
      </c>
      <c r="L231" t="s">
        <v>2579</v>
      </c>
    </row>
    <row r="232" spans="1:12" ht="16.2" customHeight="1">
      <c r="A232" s="58">
        <v>2023</v>
      </c>
      <c r="B232" s="58" t="s">
        <v>1666</v>
      </c>
      <c r="C232" s="58" t="s">
        <v>395</v>
      </c>
      <c r="D232" s="58" t="s">
        <v>557</v>
      </c>
      <c r="E232" s="58" t="s">
        <v>1698</v>
      </c>
      <c r="G232" s="58">
        <v>2024</v>
      </c>
      <c r="H232" s="58" t="s">
        <v>1666</v>
      </c>
      <c r="I232" t="s">
        <v>626</v>
      </c>
      <c r="J232" t="s">
        <v>2285</v>
      </c>
      <c r="K232" t="s">
        <v>2286</v>
      </c>
      <c r="L232" t="s">
        <v>627</v>
      </c>
    </row>
    <row r="233" spans="1:12" ht="16.2" customHeight="1">
      <c r="A233" s="58">
        <v>2023</v>
      </c>
      <c r="B233" s="58" t="s">
        <v>1666</v>
      </c>
      <c r="C233" s="58" t="s">
        <v>396</v>
      </c>
      <c r="D233" s="58" t="s">
        <v>561</v>
      </c>
      <c r="E233" s="58" t="s">
        <v>1699</v>
      </c>
      <c r="G233" s="58">
        <v>2024</v>
      </c>
      <c r="H233" s="58" t="s">
        <v>1666</v>
      </c>
      <c r="I233" t="s">
        <v>628</v>
      </c>
      <c r="J233" t="s">
        <v>1763</v>
      </c>
      <c r="K233" t="s">
        <v>2287</v>
      </c>
      <c r="L233" t="s">
        <v>629</v>
      </c>
    </row>
    <row r="234" spans="1:12" ht="16.2" customHeight="1">
      <c r="A234" s="58">
        <v>2023</v>
      </c>
      <c r="B234" s="58" t="s">
        <v>1666</v>
      </c>
      <c r="C234" s="58" t="s">
        <v>394</v>
      </c>
      <c r="D234" s="58" t="s">
        <v>563</v>
      </c>
      <c r="E234" s="58" t="s">
        <v>1700</v>
      </c>
      <c r="G234" s="58">
        <v>2024</v>
      </c>
      <c r="H234" s="58" t="s">
        <v>1666</v>
      </c>
      <c r="I234" t="s">
        <v>632</v>
      </c>
      <c r="J234" t="s">
        <v>2288</v>
      </c>
      <c r="K234" t="s">
        <v>2289</v>
      </c>
      <c r="L234" t="s">
        <v>633</v>
      </c>
    </row>
    <row r="235" spans="1:12" ht="16.2" customHeight="1">
      <c r="A235" s="58">
        <v>2023</v>
      </c>
      <c r="B235" s="58" t="s">
        <v>1666</v>
      </c>
      <c r="C235" s="58" t="s">
        <v>565</v>
      </c>
      <c r="D235" s="58" t="s">
        <v>566</v>
      </c>
      <c r="E235" s="58" t="s">
        <v>1704</v>
      </c>
      <c r="G235" s="58">
        <v>2024</v>
      </c>
      <c r="H235" s="58" t="s">
        <v>1666</v>
      </c>
      <c r="I235" t="s">
        <v>634</v>
      </c>
      <c r="J235" t="s">
        <v>2290</v>
      </c>
      <c r="K235" t="s">
        <v>2291</v>
      </c>
      <c r="L235" t="s">
        <v>635</v>
      </c>
    </row>
    <row r="236" spans="1:12" ht="16.2" customHeight="1">
      <c r="A236" s="58">
        <v>2023</v>
      </c>
      <c r="B236" s="58" t="s">
        <v>1666</v>
      </c>
      <c r="C236" s="58" t="s">
        <v>569</v>
      </c>
      <c r="D236" s="58" t="s">
        <v>570</v>
      </c>
      <c r="E236" s="58" t="s">
        <v>1707</v>
      </c>
      <c r="G236" s="58">
        <v>2024</v>
      </c>
      <c r="H236" s="58" t="s">
        <v>1666</v>
      </c>
      <c r="I236" t="s">
        <v>636</v>
      </c>
      <c r="J236" t="s">
        <v>2292</v>
      </c>
      <c r="K236" t="s">
        <v>2293</v>
      </c>
      <c r="L236" t="s">
        <v>637</v>
      </c>
    </row>
    <row r="237" spans="1:12" ht="16.2" customHeight="1">
      <c r="A237" s="58">
        <v>2023</v>
      </c>
      <c r="B237" s="58" t="s">
        <v>1666</v>
      </c>
      <c r="C237" s="58" t="s">
        <v>571</v>
      </c>
      <c r="D237" s="58" t="s">
        <v>572</v>
      </c>
      <c r="E237" s="58" t="s">
        <v>1711</v>
      </c>
      <c r="G237" s="58">
        <v>2024</v>
      </c>
      <c r="H237" s="58" t="s">
        <v>1666</v>
      </c>
      <c r="I237" t="s">
        <v>2294</v>
      </c>
      <c r="J237" t="s">
        <v>2295</v>
      </c>
      <c r="K237" t="s">
        <v>2296</v>
      </c>
      <c r="L237" t="s">
        <v>2297</v>
      </c>
    </row>
    <row r="238" spans="1:12" ht="16.2" customHeight="1">
      <c r="A238" s="58">
        <v>2023</v>
      </c>
      <c r="B238" s="58" t="s">
        <v>1666</v>
      </c>
      <c r="C238" s="58" t="s">
        <v>574</v>
      </c>
      <c r="D238" s="58" t="s">
        <v>575</v>
      </c>
      <c r="E238" s="58" t="s">
        <v>1712</v>
      </c>
      <c r="G238" s="58">
        <v>2024</v>
      </c>
      <c r="H238" s="58" t="s">
        <v>1666</v>
      </c>
      <c r="I238" t="s">
        <v>542</v>
      </c>
      <c r="J238" t="s">
        <v>1684</v>
      </c>
      <c r="K238" t="s">
        <v>2298</v>
      </c>
      <c r="L238" t="s">
        <v>543</v>
      </c>
    </row>
    <row r="239" spans="1:12" ht="16.2" customHeight="1">
      <c r="A239" s="58">
        <v>2023</v>
      </c>
      <c r="B239" s="58" t="s">
        <v>1666</v>
      </c>
      <c r="C239" s="58" t="s">
        <v>578</v>
      </c>
      <c r="D239" s="58" t="s">
        <v>579</v>
      </c>
      <c r="E239" s="58" t="s">
        <v>1714</v>
      </c>
      <c r="G239" s="58">
        <v>2024</v>
      </c>
      <c r="H239" s="58" t="s">
        <v>1666</v>
      </c>
      <c r="I239" t="s">
        <v>595</v>
      </c>
      <c r="J239" t="s">
        <v>905</v>
      </c>
      <c r="K239" t="s">
        <v>2160</v>
      </c>
      <c r="L239" t="s">
        <v>596</v>
      </c>
    </row>
    <row r="240" spans="1:12" ht="16.2" customHeight="1">
      <c r="A240" s="58">
        <v>2023</v>
      </c>
      <c r="B240" s="58" t="s">
        <v>1666</v>
      </c>
      <c r="C240" s="58" t="s">
        <v>582</v>
      </c>
      <c r="D240" s="58" t="s">
        <v>583</v>
      </c>
      <c r="E240" s="58" t="s">
        <v>1716</v>
      </c>
      <c r="G240" s="58">
        <v>2024</v>
      </c>
      <c r="H240" s="58" t="s">
        <v>1666</v>
      </c>
      <c r="I240" t="s">
        <v>406</v>
      </c>
      <c r="J240" t="s">
        <v>2581</v>
      </c>
      <c r="K240" t="s">
        <v>2299</v>
      </c>
      <c r="L240" t="s">
        <v>598</v>
      </c>
    </row>
    <row r="241" spans="1:12" ht="16.2" customHeight="1">
      <c r="A241" s="58">
        <v>2023</v>
      </c>
      <c r="B241" s="58" t="s">
        <v>1666</v>
      </c>
      <c r="C241" s="58" t="s">
        <v>2294</v>
      </c>
      <c r="D241" s="58" t="s">
        <v>2297</v>
      </c>
      <c r="E241" s="58" t="s">
        <v>2295</v>
      </c>
      <c r="G241" s="58">
        <v>2024</v>
      </c>
      <c r="H241" s="58" t="s">
        <v>1666</v>
      </c>
      <c r="I241" t="s">
        <v>564</v>
      </c>
      <c r="J241" t="s">
        <v>2300</v>
      </c>
      <c r="K241" t="s">
        <v>2301</v>
      </c>
      <c r="L241" t="s">
        <v>600</v>
      </c>
    </row>
    <row r="242" spans="1:12" ht="16.2" customHeight="1">
      <c r="A242" s="58">
        <v>2023</v>
      </c>
      <c r="B242" s="58" t="s">
        <v>1666</v>
      </c>
      <c r="C242" s="58" t="s">
        <v>554</v>
      </c>
      <c r="D242" s="58" t="s">
        <v>584</v>
      </c>
      <c r="E242" s="58" t="s">
        <v>1722</v>
      </c>
      <c r="G242" s="58">
        <v>2024</v>
      </c>
      <c r="H242" s="58" t="s">
        <v>1666</v>
      </c>
      <c r="I242" t="s">
        <v>409</v>
      </c>
      <c r="J242" t="s">
        <v>2582</v>
      </c>
      <c r="K242" t="s">
        <v>2302</v>
      </c>
      <c r="L242" t="s">
        <v>603</v>
      </c>
    </row>
    <row r="243" spans="1:12" ht="16.2" customHeight="1">
      <c r="A243" s="58">
        <v>2023</v>
      </c>
      <c r="B243" s="58" t="s">
        <v>1666</v>
      </c>
      <c r="C243" s="58" t="s">
        <v>585</v>
      </c>
      <c r="D243" s="58" t="s">
        <v>586</v>
      </c>
      <c r="E243" s="58" t="s">
        <v>1724</v>
      </c>
      <c r="G243" s="58">
        <v>2024</v>
      </c>
      <c r="H243" s="58" t="s">
        <v>1666</v>
      </c>
      <c r="I243" t="s">
        <v>605</v>
      </c>
      <c r="J243" t="s">
        <v>1735</v>
      </c>
      <c r="K243" t="s">
        <v>2303</v>
      </c>
      <c r="L243" t="s">
        <v>606</v>
      </c>
    </row>
    <row r="244" spans="1:12" ht="16.2" customHeight="1">
      <c r="A244" s="58">
        <v>2023</v>
      </c>
      <c r="B244" s="58" t="s">
        <v>1666</v>
      </c>
      <c r="C244" s="58" t="s">
        <v>588</v>
      </c>
      <c r="D244" s="58" t="s">
        <v>589</v>
      </c>
      <c r="E244" s="58" t="s">
        <v>1725</v>
      </c>
      <c r="G244" s="58">
        <v>2024</v>
      </c>
      <c r="H244" s="58" t="s">
        <v>1666</v>
      </c>
      <c r="I244" t="s">
        <v>410</v>
      </c>
      <c r="J244" t="s">
        <v>1738</v>
      </c>
      <c r="K244" t="s">
        <v>2304</v>
      </c>
      <c r="L244" t="s">
        <v>604</v>
      </c>
    </row>
    <row r="245" spans="1:12" ht="16.2" customHeight="1">
      <c r="A245" s="58">
        <v>2023</v>
      </c>
      <c r="B245" s="58" t="s">
        <v>1666</v>
      </c>
      <c r="C245" s="58" t="s">
        <v>590</v>
      </c>
      <c r="D245" s="58" t="s">
        <v>591</v>
      </c>
      <c r="E245" s="58" t="s">
        <v>1726</v>
      </c>
      <c r="G245" s="58">
        <v>2024</v>
      </c>
      <c r="H245" s="58" t="s">
        <v>1666</v>
      </c>
      <c r="I245" t="s">
        <v>601</v>
      </c>
      <c r="J245" t="s">
        <v>1129</v>
      </c>
      <c r="K245" t="s">
        <v>2305</v>
      </c>
      <c r="L245" t="s">
        <v>602</v>
      </c>
    </row>
    <row r="246" spans="1:12" ht="16.2" customHeight="1">
      <c r="A246" s="58">
        <v>2023</v>
      </c>
      <c r="B246" s="58" t="s">
        <v>1666</v>
      </c>
      <c r="C246" s="58" t="s">
        <v>592</v>
      </c>
      <c r="D246" s="58" t="s">
        <v>593</v>
      </c>
      <c r="E246" s="58" t="s">
        <v>1727</v>
      </c>
      <c r="G246" s="58">
        <v>2024</v>
      </c>
      <c r="H246" s="58" t="s">
        <v>1666</v>
      </c>
      <c r="I246" t="s">
        <v>611</v>
      </c>
      <c r="J246" t="s">
        <v>1740</v>
      </c>
      <c r="K246" t="s">
        <v>2306</v>
      </c>
      <c r="L246" t="s">
        <v>2307</v>
      </c>
    </row>
    <row r="247" spans="1:12" ht="16.2" customHeight="1">
      <c r="A247" s="58">
        <v>2023</v>
      </c>
      <c r="B247" s="58" t="s">
        <v>1666</v>
      </c>
      <c r="C247" s="58" t="s">
        <v>595</v>
      </c>
      <c r="D247" s="58" t="s">
        <v>596</v>
      </c>
      <c r="E247" s="58" t="s">
        <v>1728</v>
      </c>
      <c r="G247" s="58">
        <v>2024</v>
      </c>
      <c r="H247" s="58" t="s">
        <v>1666</v>
      </c>
      <c r="I247" t="s">
        <v>1753</v>
      </c>
      <c r="J247" t="s">
        <v>1755</v>
      </c>
      <c r="K247" t="s">
        <v>2308</v>
      </c>
      <c r="L247" t="s">
        <v>1754</v>
      </c>
    </row>
    <row r="248" spans="1:12" ht="16.2" customHeight="1">
      <c r="A248" s="58">
        <v>2023</v>
      </c>
      <c r="B248" s="58" t="s">
        <v>1666</v>
      </c>
      <c r="C248" s="58" t="s">
        <v>406</v>
      </c>
      <c r="D248" s="58" t="s">
        <v>598</v>
      </c>
      <c r="E248" s="58" t="s">
        <v>1731</v>
      </c>
      <c r="G248" s="58">
        <v>2024</v>
      </c>
      <c r="H248" s="58" t="s">
        <v>1666</v>
      </c>
      <c r="I248" t="s">
        <v>617</v>
      </c>
      <c r="J248" t="s">
        <v>2309</v>
      </c>
      <c r="K248" t="s">
        <v>2310</v>
      </c>
      <c r="L248" t="s">
        <v>618</v>
      </c>
    </row>
    <row r="249" spans="1:12" ht="16.2" customHeight="1">
      <c r="A249" s="58">
        <v>2023</v>
      </c>
      <c r="B249" s="58" t="s">
        <v>1666</v>
      </c>
      <c r="C249" s="58" t="s">
        <v>564</v>
      </c>
      <c r="D249" s="58" t="s">
        <v>600</v>
      </c>
      <c r="E249" s="58" t="s">
        <v>1733</v>
      </c>
      <c r="G249" s="58">
        <v>2024</v>
      </c>
      <c r="H249" s="58" t="s">
        <v>1666</v>
      </c>
      <c r="I249" t="s">
        <v>613</v>
      </c>
      <c r="J249" t="s">
        <v>2583</v>
      </c>
      <c r="K249" t="s">
        <v>2311</v>
      </c>
      <c r="L249" t="s">
        <v>614</v>
      </c>
    </row>
    <row r="250" spans="1:12" ht="16.2" customHeight="1">
      <c r="A250" s="58">
        <v>2023</v>
      </c>
      <c r="B250" s="58" t="s">
        <v>1666</v>
      </c>
      <c r="C250" s="58" t="s">
        <v>409</v>
      </c>
      <c r="D250" s="58" t="s">
        <v>603</v>
      </c>
      <c r="E250" s="58" t="s">
        <v>1734</v>
      </c>
      <c r="G250" s="58">
        <v>2024</v>
      </c>
      <c r="H250" s="58" t="s">
        <v>1666</v>
      </c>
      <c r="I250" t="s">
        <v>619</v>
      </c>
      <c r="J250" t="s">
        <v>1147</v>
      </c>
      <c r="K250" t="s">
        <v>2312</v>
      </c>
      <c r="L250" t="s">
        <v>620</v>
      </c>
    </row>
    <row r="251" spans="1:12" ht="16.2" customHeight="1">
      <c r="A251" s="58">
        <v>2023</v>
      </c>
      <c r="B251" s="58" t="s">
        <v>1666</v>
      </c>
      <c r="C251" s="58" t="s">
        <v>605</v>
      </c>
      <c r="D251" s="58" t="s">
        <v>606</v>
      </c>
      <c r="E251" s="58" t="s">
        <v>1735</v>
      </c>
      <c r="G251" s="58">
        <v>2024</v>
      </c>
      <c r="H251" s="58" t="s">
        <v>1666</v>
      </c>
      <c r="I251" t="s">
        <v>386</v>
      </c>
      <c r="J251" t="s">
        <v>1089</v>
      </c>
      <c r="K251" t="s">
        <v>2192</v>
      </c>
      <c r="L251" t="s">
        <v>2571</v>
      </c>
    </row>
    <row r="252" spans="1:12" ht="16.2" customHeight="1">
      <c r="A252" s="58">
        <v>2023</v>
      </c>
      <c r="B252" s="58" t="s">
        <v>1666</v>
      </c>
      <c r="C252" s="58" t="s">
        <v>410</v>
      </c>
      <c r="D252" s="58" t="s">
        <v>604</v>
      </c>
      <c r="E252" s="58" t="s">
        <v>1738</v>
      </c>
      <c r="G252" s="58">
        <v>2024</v>
      </c>
      <c r="H252" s="58" t="s">
        <v>1666</v>
      </c>
      <c r="I252" t="s">
        <v>389</v>
      </c>
      <c r="J252" t="s">
        <v>2313</v>
      </c>
      <c r="K252" t="s">
        <v>2314</v>
      </c>
      <c r="L252" t="s">
        <v>544</v>
      </c>
    </row>
    <row r="253" spans="1:12" ht="16.2" customHeight="1">
      <c r="A253" s="58">
        <v>2023</v>
      </c>
      <c r="B253" s="58" t="s">
        <v>1666</v>
      </c>
      <c r="C253" s="58" t="s">
        <v>601</v>
      </c>
      <c r="D253" s="58" t="s">
        <v>602</v>
      </c>
      <c r="E253" s="58" t="s">
        <v>1129</v>
      </c>
      <c r="G253" s="58">
        <v>2024</v>
      </c>
      <c r="H253" s="58" t="s">
        <v>1666</v>
      </c>
      <c r="I253" t="s">
        <v>390</v>
      </c>
      <c r="J253" t="s">
        <v>2584</v>
      </c>
      <c r="K253" t="s">
        <v>2585</v>
      </c>
      <c r="L253" t="s">
        <v>2586</v>
      </c>
    </row>
    <row r="254" spans="1:12" ht="16.2" customHeight="1">
      <c r="A254" s="58">
        <v>2023</v>
      </c>
      <c r="B254" s="58" t="s">
        <v>1666</v>
      </c>
      <c r="C254" s="58" t="s">
        <v>608</v>
      </c>
      <c r="D254" s="58" t="s">
        <v>609</v>
      </c>
      <c r="E254" s="58" t="s">
        <v>1739</v>
      </c>
      <c r="G254" s="58">
        <v>2024</v>
      </c>
      <c r="H254" s="58" t="s">
        <v>1666</v>
      </c>
      <c r="I254" t="s">
        <v>393</v>
      </c>
      <c r="J254" t="s">
        <v>2315</v>
      </c>
      <c r="K254" t="s">
        <v>2316</v>
      </c>
      <c r="L254" t="s">
        <v>2317</v>
      </c>
    </row>
    <row r="255" spans="1:12" ht="16.2" customHeight="1">
      <c r="A255" s="58">
        <v>2023</v>
      </c>
      <c r="B255" s="58" t="s">
        <v>1666</v>
      </c>
      <c r="C255" s="58" t="s">
        <v>611</v>
      </c>
      <c r="D255" s="58" t="s">
        <v>612</v>
      </c>
      <c r="E255" s="58" t="s">
        <v>1740</v>
      </c>
      <c r="G255" s="58">
        <v>2024</v>
      </c>
      <c r="H255" s="58" t="s">
        <v>1666</v>
      </c>
      <c r="I255" t="s">
        <v>392</v>
      </c>
      <c r="J255" t="s">
        <v>2318</v>
      </c>
      <c r="K255" t="s">
        <v>2319</v>
      </c>
      <c r="L255" t="s">
        <v>555</v>
      </c>
    </row>
    <row r="256" spans="1:12" ht="16.2" customHeight="1">
      <c r="A256" s="58">
        <v>2023</v>
      </c>
      <c r="B256" s="58" t="s">
        <v>1666</v>
      </c>
      <c r="C256" s="58" t="s">
        <v>613</v>
      </c>
      <c r="D256" s="58" t="s">
        <v>614</v>
      </c>
      <c r="E256" s="58" t="s">
        <v>1746</v>
      </c>
      <c r="G256" s="58">
        <v>2024</v>
      </c>
      <c r="H256" s="58" t="s">
        <v>1666</v>
      </c>
      <c r="I256" t="s">
        <v>621</v>
      </c>
      <c r="J256" t="s">
        <v>2320</v>
      </c>
      <c r="K256" t="s">
        <v>2321</v>
      </c>
      <c r="L256" t="s">
        <v>622</v>
      </c>
    </row>
    <row r="257" spans="1:12" ht="16.2" customHeight="1">
      <c r="A257" s="58">
        <v>2023</v>
      </c>
      <c r="B257" s="58" t="s">
        <v>1666</v>
      </c>
      <c r="C257" s="58" t="s">
        <v>549</v>
      </c>
      <c r="D257" s="58" t="s">
        <v>560</v>
      </c>
      <c r="E257" s="58" t="s">
        <v>1749</v>
      </c>
      <c r="G257" s="58">
        <v>2024</v>
      </c>
      <c r="H257" s="58" t="s">
        <v>1666</v>
      </c>
      <c r="I257" t="s">
        <v>623</v>
      </c>
      <c r="J257" t="s">
        <v>2322</v>
      </c>
      <c r="K257" t="s">
        <v>2323</v>
      </c>
      <c r="L257" t="s">
        <v>624</v>
      </c>
    </row>
    <row r="258" spans="1:12" ht="16.2" customHeight="1">
      <c r="A258" s="58">
        <v>2023</v>
      </c>
      <c r="B258" s="58" t="s">
        <v>1666</v>
      </c>
      <c r="C258" s="58" t="s">
        <v>615</v>
      </c>
      <c r="D258" s="58" t="s">
        <v>616</v>
      </c>
      <c r="E258" s="58" t="s">
        <v>1751</v>
      </c>
      <c r="G258" s="58">
        <v>2024</v>
      </c>
      <c r="H258" s="58" t="s">
        <v>1666</v>
      </c>
      <c r="I258" t="s">
        <v>395</v>
      </c>
      <c r="J258" t="s">
        <v>1698</v>
      </c>
      <c r="K258" t="s">
        <v>2324</v>
      </c>
      <c r="L258" t="s">
        <v>557</v>
      </c>
    </row>
    <row r="259" spans="1:12" ht="16.2" customHeight="1">
      <c r="A259" s="58">
        <v>2023</v>
      </c>
      <c r="B259" s="58" t="s">
        <v>1666</v>
      </c>
      <c r="C259" s="58" t="s">
        <v>1753</v>
      </c>
      <c r="D259" s="58" t="s">
        <v>1754</v>
      </c>
      <c r="E259" s="58" t="s">
        <v>1755</v>
      </c>
      <c r="G259" s="58">
        <v>2024</v>
      </c>
      <c r="H259" s="58" t="s">
        <v>1666</v>
      </c>
      <c r="I259" t="s">
        <v>549</v>
      </c>
      <c r="J259" t="s">
        <v>1749</v>
      </c>
      <c r="K259" t="s">
        <v>2325</v>
      </c>
      <c r="L259" t="s">
        <v>560</v>
      </c>
    </row>
    <row r="260" spans="1:12" ht="16.2" customHeight="1">
      <c r="A260" s="58">
        <v>2023</v>
      </c>
      <c r="B260" s="58" t="s">
        <v>1666</v>
      </c>
      <c r="C260" s="58" t="s">
        <v>617</v>
      </c>
      <c r="D260" s="58" t="s">
        <v>618</v>
      </c>
      <c r="E260" s="58" t="s">
        <v>1756</v>
      </c>
      <c r="G260" s="58">
        <v>2024</v>
      </c>
      <c r="H260" s="58" t="s">
        <v>1666</v>
      </c>
      <c r="I260" t="s">
        <v>391</v>
      </c>
      <c r="J260" t="s">
        <v>2326</v>
      </c>
      <c r="K260" t="s">
        <v>2327</v>
      </c>
      <c r="L260" t="s">
        <v>550</v>
      </c>
    </row>
    <row r="261" spans="1:12" ht="16.2" customHeight="1">
      <c r="A261" s="58">
        <v>2023</v>
      </c>
      <c r="B261" s="58" t="s">
        <v>1666</v>
      </c>
      <c r="C261" s="58" t="s">
        <v>619</v>
      </c>
      <c r="D261" s="58" t="s">
        <v>620</v>
      </c>
      <c r="E261" s="58" t="s">
        <v>1147</v>
      </c>
      <c r="G261" s="58">
        <v>2024</v>
      </c>
      <c r="H261" s="58" t="s">
        <v>1666</v>
      </c>
      <c r="I261" t="s">
        <v>396</v>
      </c>
      <c r="J261" t="s">
        <v>2328</v>
      </c>
      <c r="K261" t="s">
        <v>2329</v>
      </c>
      <c r="L261" t="s">
        <v>561</v>
      </c>
    </row>
    <row r="262" spans="1:12" ht="16.2" customHeight="1">
      <c r="A262" s="58">
        <v>2023</v>
      </c>
      <c r="B262" s="58" t="s">
        <v>1666</v>
      </c>
      <c r="C262" s="58" t="s">
        <v>621</v>
      </c>
      <c r="D262" s="58" t="s">
        <v>622</v>
      </c>
      <c r="E262" s="58" t="s">
        <v>1757</v>
      </c>
      <c r="G262" s="58">
        <v>2024</v>
      </c>
      <c r="H262" s="58" t="s">
        <v>1666</v>
      </c>
      <c r="I262" t="s">
        <v>394</v>
      </c>
      <c r="J262" t="s">
        <v>1700</v>
      </c>
      <c r="K262" t="s">
        <v>2330</v>
      </c>
      <c r="L262" t="s">
        <v>563</v>
      </c>
    </row>
    <row r="263" spans="1:12" ht="16.2" customHeight="1">
      <c r="A263" s="58">
        <v>2023</v>
      </c>
      <c r="B263" s="58" t="s">
        <v>1666</v>
      </c>
      <c r="C263" s="58" t="s">
        <v>623</v>
      </c>
      <c r="D263" s="58" t="s">
        <v>624</v>
      </c>
      <c r="E263" s="58" t="s">
        <v>1758</v>
      </c>
      <c r="G263" s="58">
        <v>2024</v>
      </c>
      <c r="H263" s="58" t="s">
        <v>1666</v>
      </c>
      <c r="I263" t="s">
        <v>615</v>
      </c>
      <c r="J263" t="s">
        <v>1133</v>
      </c>
      <c r="K263" t="s">
        <v>2196</v>
      </c>
      <c r="L263" t="s">
        <v>616</v>
      </c>
    </row>
    <row r="264" spans="1:12" ht="16.2" customHeight="1">
      <c r="A264" s="58">
        <v>2023</v>
      </c>
      <c r="B264" s="58" t="s">
        <v>1666</v>
      </c>
      <c r="C264" s="58" t="s">
        <v>626</v>
      </c>
      <c r="D264" s="58" t="s">
        <v>627</v>
      </c>
      <c r="E264" s="58" t="s">
        <v>1760</v>
      </c>
      <c r="G264" s="58">
        <v>2024</v>
      </c>
      <c r="H264" s="58" t="s">
        <v>1666</v>
      </c>
      <c r="I264" t="s">
        <v>554</v>
      </c>
      <c r="J264" t="s">
        <v>2587</v>
      </c>
      <c r="K264" t="s">
        <v>2588</v>
      </c>
      <c r="L264" t="s">
        <v>584</v>
      </c>
    </row>
    <row r="265" spans="1:12" ht="16.2" customHeight="1">
      <c r="A265" s="58">
        <v>2023</v>
      </c>
      <c r="B265" s="58" t="s">
        <v>1666</v>
      </c>
      <c r="C265" s="58" t="s">
        <v>628</v>
      </c>
      <c r="D265" s="58" t="s">
        <v>629</v>
      </c>
      <c r="E265" s="58" t="s">
        <v>1763</v>
      </c>
      <c r="G265" s="58">
        <v>2024</v>
      </c>
      <c r="H265" s="58" t="s">
        <v>1666</v>
      </c>
      <c r="I265" t="s">
        <v>585</v>
      </c>
      <c r="J265" t="s">
        <v>1724</v>
      </c>
      <c r="K265" t="s">
        <v>2589</v>
      </c>
      <c r="L265" t="s">
        <v>2331</v>
      </c>
    </row>
    <row r="266" spans="1:12" ht="16.2" customHeight="1">
      <c r="A266" s="58">
        <v>2023</v>
      </c>
      <c r="B266" s="58" t="s">
        <v>1666</v>
      </c>
      <c r="C266" s="58" t="s">
        <v>632</v>
      </c>
      <c r="D266" s="58" t="s">
        <v>633</v>
      </c>
      <c r="E266" s="58" t="s">
        <v>1764</v>
      </c>
      <c r="G266" s="58">
        <v>2024</v>
      </c>
      <c r="H266" s="58" t="s">
        <v>1666</v>
      </c>
      <c r="I266" t="s">
        <v>608</v>
      </c>
      <c r="J266" t="s">
        <v>2332</v>
      </c>
      <c r="K266" t="s">
        <v>2333</v>
      </c>
      <c r="L266" t="s">
        <v>609</v>
      </c>
    </row>
    <row r="267" spans="1:12" ht="16.2" customHeight="1">
      <c r="A267" s="58">
        <v>2023</v>
      </c>
      <c r="B267" s="58" t="s">
        <v>1666</v>
      </c>
      <c r="C267" s="58" t="s">
        <v>634</v>
      </c>
      <c r="D267" s="58" t="s">
        <v>635</v>
      </c>
      <c r="E267" s="58" t="s">
        <v>1765</v>
      </c>
      <c r="G267" s="58">
        <v>2024</v>
      </c>
      <c r="H267" s="58" t="s">
        <v>1666</v>
      </c>
      <c r="I267" t="s">
        <v>588</v>
      </c>
      <c r="J267" t="s">
        <v>2335</v>
      </c>
      <c r="K267" t="s">
        <v>2334</v>
      </c>
      <c r="L267" t="s">
        <v>589</v>
      </c>
    </row>
    <row r="268" spans="1:12" ht="16.2" customHeight="1">
      <c r="A268" s="58">
        <v>2023</v>
      </c>
      <c r="B268" s="58" t="s">
        <v>1666</v>
      </c>
      <c r="C268" s="58" t="s">
        <v>636</v>
      </c>
      <c r="D268" s="58" t="s">
        <v>637</v>
      </c>
      <c r="E268" s="58" t="s">
        <v>1766</v>
      </c>
      <c r="G268" s="58">
        <v>2024</v>
      </c>
      <c r="H268" s="58" t="s">
        <v>1666</v>
      </c>
      <c r="I268" t="s">
        <v>590</v>
      </c>
      <c r="J268" t="s">
        <v>2590</v>
      </c>
      <c r="K268" t="s">
        <v>2591</v>
      </c>
      <c r="L268" t="s">
        <v>591</v>
      </c>
    </row>
    <row r="273" spans="1:13" ht="16.2" customHeight="1">
      <c r="A273" s="58">
        <v>2023</v>
      </c>
      <c r="B273" s="58" t="s">
        <v>2336</v>
      </c>
      <c r="C273" s="58" t="s">
        <v>412</v>
      </c>
      <c r="D273" s="58" t="s">
        <v>2338</v>
      </c>
      <c r="E273" s="58" t="s">
        <v>1770</v>
      </c>
      <c r="G273" s="58">
        <v>2024</v>
      </c>
      <c r="H273" s="58" t="s">
        <v>2336</v>
      </c>
      <c r="I273" s="58" t="s">
        <v>412</v>
      </c>
      <c r="J273" s="58" t="s">
        <v>1770</v>
      </c>
      <c r="K273" t="s">
        <v>2337</v>
      </c>
      <c r="L273" t="s">
        <v>2338</v>
      </c>
      <c r="M273" s="58" t="s">
        <v>2338</v>
      </c>
    </row>
    <row r="274" spans="1:13" ht="16.2" customHeight="1">
      <c r="A274" s="58">
        <v>2023</v>
      </c>
      <c r="B274" s="58" t="s">
        <v>2336</v>
      </c>
      <c r="C274" s="58" t="s">
        <v>1772</v>
      </c>
      <c r="D274" s="58" t="s">
        <v>1774</v>
      </c>
      <c r="E274" s="58" t="s">
        <v>1775</v>
      </c>
      <c r="G274" s="58">
        <v>2024</v>
      </c>
      <c r="H274" s="58" t="s">
        <v>2336</v>
      </c>
      <c r="I274" s="58" t="s">
        <v>1772</v>
      </c>
      <c r="J274" s="58" t="s">
        <v>1775</v>
      </c>
      <c r="K274" t="s">
        <v>2592</v>
      </c>
      <c r="L274" t="s">
        <v>1774</v>
      </c>
      <c r="M274" s="58" t="s">
        <v>1774</v>
      </c>
    </row>
    <row r="275" spans="1:13" ht="16.2" customHeight="1">
      <c r="A275" s="58">
        <v>2023</v>
      </c>
      <c r="B275" s="58" t="s">
        <v>2336</v>
      </c>
      <c r="C275" s="58" t="s">
        <v>1778</v>
      </c>
      <c r="D275" s="58" t="s">
        <v>1779</v>
      </c>
      <c r="E275" s="58" t="s">
        <v>1781</v>
      </c>
      <c r="G275" s="58">
        <v>2024</v>
      </c>
      <c r="H275" s="58" t="s">
        <v>2336</v>
      </c>
      <c r="I275" s="58" t="s">
        <v>1778</v>
      </c>
      <c r="J275" s="58" t="s">
        <v>1781</v>
      </c>
      <c r="K275" t="s">
        <v>2339</v>
      </c>
      <c r="L275" t="s">
        <v>1779</v>
      </c>
      <c r="M275" s="58" t="s">
        <v>1779</v>
      </c>
    </row>
    <row r="276" spans="1:13" ht="16.2" customHeight="1">
      <c r="A276" s="58">
        <v>2023</v>
      </c>
      <c r="B276" s="58" t="s">
        <v>2336</v>
      </c>
      <c r="C276" s="58" t="s">
        <v>1783</v>
      </c>
      <c r="D276" s="58" t="s">
        <v>1784</v>
      </c>
      <c r="E276" s="58" t="s">
        <v>1785</v>
      </c>
      <c r="G276" s="58">
        <v>2024</v>
      </c>
      <c r="H276" s="58" t="s">
        <v>2336</v>
      </c>
      <c r="I276" s="58" t="s">
        <v>1783</v>
      </c>
      <c r="J276" s="58" t="s">
        <v>1785</v>
      </c>
      <c r="K276" t="s">
        <v>2340</v>
      </c>
      <c r="L276" t="s">
        <v>1784</v>
      </c>
      <c r="M276" s="58" t="s">
        <v>1784</v>
      </c>
    </row>
    <row r="277" spans="1:13" ht="16.2" customHeight="1">
      <c r="A277" s="58">
        <v>2023</v>
      </c>
      <c r="B277" s="58" t="s">
        <v>2336</v>
      </c>
      <c r="C277" s="58" t="s">
        <v>1786</v>
      </c>
      <c r="D277" s="58" t="s">
        <v>1787</v>
      </c>
      <c r="E277" s="58" t="s">
        <v>1788</v>
      </c>
      <c r="G277" s="58">
        <v>2024</v>
      </c>
      <c r="H277" s="58" t="s">
        <v>2336</v>
      </c>
      <c r="I277" s="58" t="s">
        <v>1786</v>
      </c>
      <c r="J277" s="58" t="s">
        <v>1788</v>
      </c>
      <c r="K277" t="s">
        <v>2593</v>
      </c>
      <c r="L277" t="s">
        <v>1787</v>
      </c>
      <c r="M277" s="58" t="s">
        <v>1787</v>
      </c>
    </row>
    <row r="278" spans="1:13" ht="16.2" customHeight="1">
      <c r="A278" s="58">
        <v>2023</v>
      </c>
      <c r="B278" s="58" t="s">
        <v>2336</v>
      </c>
      <c r="C278" s="58" t="s">
        <v>1791</v>
      </c>
      <c r="D278" s="58" t="s">
        <v>1792</v>
      </c>
      <c r="E278" s="58" t="s">
        <v>1793</v>
      </c>
      <c r="G278" s="58">
        <v>2024</v>
      </c>
      <c r="H278" s="58" t="s">
        <v>2336</v>
      </c>
      <c r="I278" s="58" t="s">
        <v>1791</v>
      </c>
      <c r="J278" s="58" t="s">
        <v>1793</v>
      </c>
      <c r="K278" t="s">
        <v>2341</v>
      </c>
      <c r="L278" t="s">
        <v>1792</v>
      </c>
      <c r="M278" s="58" t="s">
        <v>1792</v>
      </c>
    </row>
    <row r="279" spans="1:13" ht="16.2" customHeight="1">
      <c r="A279" s="58">
        <v>2023</v>
      </c>
      <c r="B279" s="58" t="s">
        <v>2336</v>
      </c>
      <c r="C279" s="58" t="s">
        <v>1794</v>
      </c>
      <c r="D279" s="58" t="s">
        <v>1795</v>
      </c>
      <c r="E279" s="58" t="s">
        <v>1796</v>
      </c>
      <c r="G279" s="58">
        <v>2024</v>
      </c>
      <c r="H279" s="58" t="s">
        <v>2336</v>
      </c>
      <c r="I279" s="58" t="s">
        <v>1794</v>
      </c>
      <c r="J279" s="58" t="s">
        <v>1796</v>
      </c>
      <c r="K279" t="s">
        <v>2342</v>
      </c>
      <c r="L279" t="s">
        <v>1795</v>
      </c>
      <c r="M279" s="58" t="s">
        <v>1795</v>
      </c>
    </row>
    <row r="280" spans="1:13" ht="16.2" customHeight="1">
      <c r="A280" s="58">
        <v>2023</v>
      </c>
      <c r="B280" s="58" t="s">
        <v>2336</v>
      </c>
      <c r="C280" s="58" t="s">
        <v>1799</v>
      </c>
      <c r="D280" s="58" t="s">
        <v>1800</v>
      </c>
      <c r="E280" s="58" t="s">
        <v>1801</v>
      </c>
      <c r="G280" s="58">
        <v>2024</v>
      </c>
      <c r="H280" s="58" t="s">
        <v>2336</v>
      </c>
      <c r="I280" s="58" t="s">
        <v>1799</v>
      </c>
      <c r="J280" s="58" t="s">
        <v>1801</v>
      </c>
      <c r="K280" t="s">
        <v>2344</v>
      </c>
      <c r="L280" t="s">
        <v>1800</v>
      </c>
    </row>
    <row r="281" spans="1:13" ht="16.2" customHeight="1">
      <c r="A281" s="58">
        <v>2023</v>
      </c>
      <c r="B281" s="58" t="s">
        <v>2336</v>
      </c>
      <c r="C281" s="58" t="s">
        <v>1803</v>
      </c>
      <c r="D281" s="58" t="s">
        <v>1804</v>
      </c>
      <c r="E281" s="58" t="s">
        <v>1806</v>
      </c>
      <c r="G281" s="58">
        <v>2024</v>
      </c>
      <c r="H281" s="58" t="s">
        <v>2336</v>
      </c>
      <c r="I281" s="58" t="s">
        <v>1803</v>
      </c>
      <c r="J281" s="58" t="s">
        <v>1806</v>
      </c>
      <c r="K281" t="s">
        <v>2594</v>
      </c>
      <c r="L281" t="s">
        <v>1804</v>
      </c>
      <c r="M281" s="58" t="s">
        <v>1800</v>
      </c>
    </row>
    <row r="282" spans="1:13" ht="16.2" customHeight="1">
      <c r="A282" s="58">
        <v>2023</v>
      </c>
      <c r="B282" s="58" t="s">
        <v>2336</v>
      </c>
      <c r="C282" s="58" t="s">
        <v>1809</v>
      </c>
      <c r="D282" s="58" t="s">
        <v>1810</v>
      </c>
      <c r="E282" s="58" t="s">
        <v>1811</v>
      </c>
      <c r="G282" s="58">
        <v>2024</v>
      </c>
      <c r="H282" s="58" t="s">
        <v>2336</v>
      </c>
      <c r="I282" s="58" t="s">
        <v>1809</v>
      </c>
      <c r="J282" s="58" t="s">
        <v>1811</v>
      </c>
      <c r="K282" t="s">
        <v>2595</v>
      </c>
      <c r="L282" t="s">
        <v>1810</v>
      </c>
      <c r="M282" s="58" t="s">
        <v>1804</v>
      </c>
    </row>
    <row r="283" spans="1:13" ht="16.2" customHeight="1">
      <c r="A283" s="58">
        <v>2023</v>
      </c>
      <c r="B283" s="58" t="s">
        <v>2336</v>
      </c>
      <c r="C283" s="58" t="s">
        <v>1813</v>
      </c>
      <c r="D283" s="58" t="s">
        <v>1814</v>
      </c>
      <c r="E283" s="58" t="s">
        <v>1815</v>
      </c>
      <c r="G283" s="58">
        <v>2024</v>
      </c>
      <c r="H283" s="58" t="s">
        <v>2336</v>
      </c>
      <c r="I283" s="58" t="s">
        <v>1813</v>
      </c>
      <c r="J283" s="58" t="s">
        <v>1815</v>
      </c>
      <c r="K283" t="s">
        <v>2596</v>
      </c>
      <c r="L283" t="s">
        <v>1814</v>
      </c>
      <c r="M283" s="58" t="s">
        <v>1810</v>
      </c>
    </row>
    <row r="284" spans="1:13" ht="16.2" customHeight="1">
      <c r="A284" s="58">
        <v>2023</v>
      </c>
      <c r="B284" s="58" t="s">
        <v>2336</v>
      </c>
      <c r="C284" s="58" t="s">
        <v>1816</v>
      </c>
      <c r="D284" s="58" t="s">
        <v>1817</v>
      </c>
      <c r="E284" s="58" t="s">
        <v>1819</v>
      </c>
      <c r="G284" s="58">
        <v>2024</v>
      </c>
      <c r="H284" s="58" t="s">
        <v>2336</v>
      </c>
      <c r="I284" s="58" t="s">
        <v>1816</v>
      </c>
      <c r="J284" s="58" t="s">
        <v>1819</v>
      </c>
      <c r="K284" t="s">
        <v>2597</v>
      </c>
      <c r="L284" t="s">
        <v>1817</v>
      </c>
      <c r="M284" s="58" t="s">
        <v>1814</v>
      </c>
    </row>
    <row r="285" spans="1:13" ht="16.2" customHeight="1">
      <c r="A285" s="58">
        <v>2023</v>
      </c>
      <c r="B285" s="58" t="s">
        <v>2336</v>
      </c>
      <c r="C285" s="58" t="s">
        <v>1820</v>
      </c>
      <c r="D285" s="58" t="s">
        <v>1821</v>
      </c>
      <c r="E285" s="58" t="s">
        <v>1822</v>
      </c>
      <c r="G285" s="58">
        <v>2024</v>
      </c>
      <c r="H285" s="58" t="s">
        <v>2336</v>
      </c>
      <c r="I285" s="58" t="s">
        <v>1820</v>
      </c>
      <c r="J285" s="58" t="s">
        <v>1822</v>
      </c>
      <c r="K285" t="s">
        <v>2598</v>
      </c>
      <c r="L285" t="s">
        <v>1821</v>
      </c>
      <c r="M285" s="58" t="s">
        <v>1817</v>
      </c>
    </row>
    <row r="286" spans="1:13" ht="16.2" customHeight="1">
      <c r="A286" s="58">
        <v>2023</v>
      </c>
      <c r="B286" s="58" t="s">
        <v>2336</v>
      </c>
      <c r="C286" s="58" t="s">
        <v>1824</v>
      </c>
      <c r="D286" s="58" t="s">
        <v>1825</v>
      </c>
      <c r="E286" s="58" t="s">
        <v>1826</v>
      </c>
      <c r="G286" s="58">
        <v>2024</v>
      </c>
      <c r="H286" s="58" t="s">
        <v>2336</v>
      </c>
      <c r="I286" s="58" t="s">
        <v>1824</v>
      </c>
      <c r="J286" s="58" t="s">
        <v>1826</v>
      </c>
      <c r="K286" t="s">
        <v>2345</v>
      </c>
      <c r="L286" t="s">
        <v>1825</v>
      </c>
      <c r="M286" s="58" t="s">
        <v>1821</v>
      </c>
    </row>
    <row r="287" spans="1:13" ht="16.2" customHeight="1">
      <c r="A287" s="58">
        <v>2023</v>
      </c>
      <c r="B287" s="58" t="s">
        <v>2336</v>
      </c>
      <c r="C287" s="58" t="s">
        <v>1828</v>
      </c>
      <c r="D287" s="58" t="s">
        <v>1829</v>
      </c>
      <c r="E287" s="58" t="s">
        <v>1830</v>
      </c>
      <c r="G287" s="58">
        <v>2024</v>
      </c>
      <c r="H287" s="58" t="s">
        <v>2336</v>
      </c>
      <c r="I287" s="58" t="s">
        <v>1828</v>
      </c>
      <c r="J287" s="58" t="s">
        <v>1830</v>
      </c>
      <c r="K287" t="s">
        <v>2346</v>
      </c>
      <c r="L287" t="s">
        <v>1829</v>
      </c>
      <c r="M287" s="58" t="s">
        <v>1825</v>
      </c>
    </row>
    <row r="288" spans="1:13" ht="16.2" customHeight="1">
      <c r="A288" s="58">
        <v>2023</v>
      </c>
      <c r="B288" s="58" t="s">
        <v>2336</v>
      </c>
      <c r="C288" s="58" t="s">
        <v>1831</v>
      </c>
      <c r="D288" s="58" t="s">
        <v>1832</v>
      </c>
      <c r="E288" s="58" t="s">
        <v>1833</v>
      </c>
      <c r="G288" s="58">
        <v>2024</v>
      </c>
      <c r="H288" s="58" t="s">
        <v>2336</v>
      </c>
      <c r="I288" s="58" t="s">
        <v>1831</v>
      </c>
      <c r="J288" s="58" t="s">
        <v>1833</v>
      </c>
      <c r="K288" t="s">
        <v>2347</v>
      </c>
      <c r="L288" t="s">
        <v>1832</v>
      </c>
      <c r="M288" s="58" t="s">
        <v>1829</v>
      </c>
    </row>
    <row r="289" spans="1:15" ht="16.2" customHeight="1">
      <c r="A289" s="58">
        <v>2023</v>
      </c>
      <c r="B289" s="58" t="s">
        <v>2336</v>
      </c>
      <c r="C289" s="58" t="s">
        <v>1835</v>
      </c>
      <c r="D289" s="58" t="s">
        <v>1836</v>
      </c>
      <c r="E289" s="58" t="s">
        <v>1837</v>
      </c>
      <c r="G289" s="58">
        <v>2024</v>
      </c>
      <c r="H289" s="58" t="s">
        <v>2336</v>
      </c>
      <c r="I289" s="58" t="s">
        <v>1835</v>
      </c>
      <c r="J289" s="58" t="s">
        <v>1837</v>
      </c>
      <c r="K289" t="s">
        <v>2348</v>
      </c>
      <c r="L289" t="s">
        <v>1836</v>
      </c>
      <c r="M289" s="58" t="s">
        <v>1832</v>
      </c>
    </row>
    <row r="290" spans="1:15" ht="16.2" customHeight="1">
      <c r="A290" s="58">
        <v>2023</v>
      </c>
      <c r="B290" s="58" t="s">
        <v>2336</v>
      </c>
      <c r="C290" s="58" t="s">
        <v>1839</v>
      </c>
      <c r="D290" s="58" t="s">
        <v>1840</v>
      </c>
      <c r="E290" s="58" t="s">
        <v>1841</v>
      </c>
      <c r="G290" s="58">
        <v>2024</v>
      </c>
      <c r="H290" s="58" t="s">
        <v>2336</v>
      </c>
      <c r="I290" s="58" t="s">
        <v>1839</v>
      </c>
      <c r="J290" s="58" t="s">
        <v>2599</v>
      </c>
      <c r="K290" t="s">
        <v>2601</v>
      </c>
      <c r="L290" t="s">
        <v>2600</v>
      </c>
      <c r="M290" s="58" t="s">
        <v>1836</v>
      </c>
    </row>
    <row r="294" spans="1:15" ht="16.2" customHeight="1">
      <c r="A294" s="58">
        <v>2023</v>
      </c>
      <c r="B294" s="58" t="s">
        <v>261</v>
      </c>
      <c r="C294" s="58" t="s">
        <v>1843</v>
      </c>
      <c r="D294" s="58" t="s">
        <v>1844</v>
      </c>
      <c r="E294" s="58" t="s">
        <v>1846</v>
      </c>
      <c r="G294" s="58">
        <v>2024</v>
      </c>
      <c r="H294" s="58" t="s">
        <v>261</v>
      </c>
      <c r="I294" s="58" t="s">
        <v>1843</v>
      </c>
      <c r="J294" s="58" t="s">
        <v>1846</v>
      </c>
      <c r="K294" s="58" t="s">
        <v>2349</v>
      </c>
      <c r="L294" s="58" t="s">
        <v>1844</v>
      </c>
    </row>
    <row r="295" spans="1:15" ht="16.2" customHeight="1">
      <c r="A295" s="58">
        <v>2023</v>
      </c>
      <c r="B295" s="58" t="s">
        <v>261</v>
      </c>
      <c r="C295" s="58" t="s">
        <v>1848</v>
      </c>
      <c r="D295" s="58" t="s">
        <v>1849</v>
      </c>
      <c r="E295" s="58" t="s">
        <v>1851</v>
      </c>
      <c r="G295" s="58">
        <v>2024</v>
      </c>
      <c r="H295" s="58" t="s">
        <v>261</v>
      </c>
      <c r="I295" s="58" t="s">
        <v>1848</v>
      </c>
      <c r="J295" s="58" t="s">
        <v>1851</v>
      </c>
      <c r="K295" s="58" t="s">
        <v>2350</v>
      </c>
      <c r="L295" s="58" t="s">
        <v>1849</v>
      </c>
    </row>
    <row r="296" spans="1:15" ht="16.2" customHeight="1">
      <c r="A296" s="58">
        <v>2023</v>
      </c>
      <c r="B296" s="58" t="s">
        <v>261</v>
      </c>
      <c r="C296" s="58" t="s">
        <v>1852</v>
      </c>
      <c r="D296" s="58" t="s">
        <v>1854</v>
      </c>
      <c r="E296" s="58" t="s">
        <v>1855</v>
      </c>
      <c r="G296" s="58">
        <v>2024</v>
      </c>
      <c r="H296" s="58" t="s">
        <v>261</v>
      </c>
      <c r="I296" s="58" t="s">
        <v>1852</v>
      </c>
      <c r="J296" s="58" t="s">
        <v>2604</v>
      </c>
      <c r="K296" s="58" t="s">
        <v>2605</v>
      </c>
      <c r="L296" s="58" t="s">
        <v>2606</v>
      </c>
    </row>
    <row r="297" spans="1:15" ht="16.2" customHeight="1">
      <c r="A297" s="58">
        <v>2023</v>
      </c>
      <c r="B297" s="58" t="s">
        <v>261</v>
      </c>
      <c r="C297" s="58" t="s">
        <v>1856</v>
      </c>
      <c r="D297" s="58" t="s">
        <v>1857</v>
      </c>
      <c r="E297" s="58" t="s">
        <v>1860</v>
      </c>
      <c r="G297" s="58">
        <v>2024</v>
      </c>
      <c r="H297" s="58" t="s">
        <v>261</v>
      </c>
      <c r="I297" s="58" t="s">
        <v>1856</v>
      </c>
      <c r="J297" s="58" t="s">
        <v>1860</v>
      </c>
      <c r="K297" s="58" t="s">
        <v>2351</v>
      </c>
      <c r="L297" s="58" t="s">
        <v>1857</v>
      </c>
    </row>
    <row r="298" spans="1:15" ht="16.2" customHeight="1">
      <c r="A298" s="58">
        <v>2023</v>
      </c>
      <c r="B298" s="58" t="s">
        <v>261</v>
      </c>
      <c r="C298" s="58" t="s">
        <v>1861</v>
      </c>
      <c r="D298" s="58" t="s">
        <v>1862</v>
      </c>
      <c r="E298" s="58" t="s">
        <v>1864</v>
      </c>
      <c r="G298" s="58">
        <v>2024</v>
      </c>
      <c r="H298" s="58" t="s">
        <v>261</v>
      </c>
      <c r="I298" s="58" t="s">
        <v>1861</v>
      </c>
      <c r="J298" s="58" t="s">
        <v>1864</v>
      </c>
      <c r="K298" s="58" t="s">
        <v>2352</v>
      </c>
      <c r="L298" s="58" t="s">
        <v>1862</v>
      </c>
    </row>
    <row r="299" spans="1:15" ht="16.2" customHeight="1">
      <c r="A299" s="58">
        <v>2023</v>
      </c>
      <c r="B299" s="58" t="s">
        <v>261</v>
      </c>
      <c r="C299" s="58" t="s">
        <v>1865</v>
      </c>
      <c r="D299" s="58" t="s">
        <v>1866</v>
      </c>
      <c r="E299" s="58" t="s">
        <v>1868</v>
      </c>
      <c r="G299" s="58">
        <v>2024</v>
      </c>
      <c r="H299" s="58" t="s">
        <v>261</v>
      </c>
      <c r="I299" s="58" t="s">
        <v>1865</v>
      </c>
      <c r="J299" s="58" t="s">
        <v>1868</v>
      </c>
      <c r="K299" s="58" t="s">
        <v>2353</v>
      </c>
      <c r="L299" s="58" t="s">
        <v>1866</v>
      </c>
    </row>
    <row r="300" spans="1:15" ht="16.2" customHeight="1">
      <c r="A300" s="58">
        <v>2023</v>
      </c>
      <c r="B300" s="58" t="s">
        <v>261</v>
      </c>
      <c r="C300" s="58" t="s">
        <v>1869</v>
      </c>
      <c r="D300" s="58" t="s">
        <v>1870</v>
      </c>
      <c r="E300" s="58" t="s">
        <v>1872</v>
      </c>
      <c r="G300" s="58">
        <v>2024</v>
      </c>
      <c r="H300" s="58" t="s">
        <v>261</v>
      </c>
      <c r="I300" s="58" t="s">
        <v>1869</v>
      </c>
      <c r="J300" s="58" t="s">
        <v>1872</v>
      </c>
      <c r="K300" s="58" t="s">
        <v>2354</v>
      </c>
      <c r="L300" s="58" t="s">
        <v>1870</v>
      </c>
    </row>
    <row r="301" spans="1:15" ht="16.2" customHeight="1">
      <c r="A301" s="58">
        <v>2023</v>
      </c>
      <c r="B301" s="58" t="s">
        <v>261</v>
      </c>
      <c r="C301" s="58" t="s">
        <v>1873</v>
      </c>
      <c r="D301" s="58" t="s">
        <v>2357</v>
      </c>
      <c r="E301" s="58" t="s">
        <v>1881</v>
      </c>
      <c r="G301" s="58">
        <v>2024</v>
      </c>
      <c r="H301" s="58" t="s">
        <v>261</v>
      </c>
      <c r="I301" s="58" t="s">
        <v>1873</v>
      </c>
      <c r="J301" s="58" t="s">
        <v>1881</v>
      </c>
      <c r="K301" s="58" t="s">
        <v>2356</v>
      </c>
      <c r="L301" s="58" t="s">
        <v>2357</v>
      </c>
    </row>
    <row r="302" spans="1:15" ht="16.2" customHeight="1">
      <c r="A302" s="58">
        <v>2023</v>
      </c>
      <c r="B302" s="58" t="s">
        <v>261</v>
      </c>
      <c r="C302" s="58" t="s">
        <v>1883</v>
      </c>
      <c r="D302" s="58" t="s">
        <v>1885</v>
      </c>
      <c r="E302" s="58" t="s">
        <v>1886</v>
      </c>
      <c r="G302" s="58">
        <v>2024</v>
      </c>
      <c r="H302" s="58" t="s">
        <v>261</v>
      </c>
      <c r="I302" s="58" t="s">
        <v>1883</v>
      </c>
      <c r="J302" s="58" t="s">
        <v>1886</v>
      </c>
      <c r="K302" s="58" t="s">
        <v>2358</v>
      </c>
      <c r="L302" s="58" t="s">
        <v>1885</v>
      </c>
    </row>
    <row r="303" spans="1:15" ht="16.2" customHeight="1">
      <c r="A303" s="58">
        <v>2023</v>
      </c>
      <c r="B303" s="58" t="s">
        <v>261</v>
      </c>
      <c r="C303" s="58" t="s">
        <v>2359</v>
      </c>
      <c r="D303" s="58" t="s">
        <v>2361</v>
      </c>
      <c r="E303" s="58" t="s">
        <v>2360</v>
      </c>
      <c r="G303" s="58">
        <v>2023</v>
      </c>
      <c r="H303" s="357" t="s">
        <v>261</v>
      </c>
      <c r="I303" s="357" t="s">
        <v>2359</v>
      </c>
      <c r="J303" s="357" t="s">
        <v>2360</v>
      </c>
      <c r="K303" s="357"/>
      <c r="L303" s="357" t="s">
        <v>2361</v>
      </c>
      <c r="M303" s="357"/>
      <c r="N303" s="357"/>
      <c r="O303" s="357" t="s">
        <v>1876</v>
      </c>
    </row>
    <row r="304" spans="1:15" ht="16.2" customHeight="1">
      <c r="A304" s="58">
        <v>2023</v>
      </c>
      <c r="B304" s="58" t="s">
        <v>261</v>
      </c>
      <c r="C304" s="58" t="s">
        <v>1890</v>
      </c>
      <c r="D304" s="58" t="s">
        <v>1891</v>
      </c>
      <c r="E304" s="58" t="s">
        <v>1893</v>
      </c>
      <c r="G304" s="58">
        <v>2024</v>
      </c>
      <c r="H304" s="58" t="s">
        <v>261</v>
      </c>
      <c r="I304" s="58" t="s">
        <v>1890</v>
      </c>
      <c r="J304" s="58" t="s">
        <v>1893</v>
      </c>
      <c r="K304" s="58" t="s">
        <v>2362</v>
      </c>
      <c r="L304" s="58" t="s">
        <v>1891</v>
      </c>
    </row>
    <row r="305" spans="1:13" ht="16.2" customHeight="1">
      <c r="A305" s="58">
        <v>2023</v>
      </c>
      <c r="B305" s="58" t="s">
        <v>261</v>
      </c>
      <c r="C305" s="58" t="s">
        <v>1894</v>
      </c>
      <c r="D305" s="58" t="s">
        <v>1895</v>
      </c>
      <c r="E305" s="58" t="s">
        <v>1896</v>
      </c>
      <c r="G305" s="58">
        <v>2024</v>
      </c>
      <c r="H305" s="58" t="s">
        <v>261</v>
      </c>
      <c r="I305" s="58" t="s">
        <v>1894</v>
      </c>
      <c r="J305" s="58" t="s">
        <v>1896</v>
      </c>
      <c r="K305" s="58" t="s">
        <v>2363</v>
      </c>
      <c r="L305" s="58" t="s">
        <v>1895</v>
      </c>
    </row>
    <row r="306" spans="1:13" ht="16.2" customHeight="1">
      <c r="A306" s="58">
        <v>2023</v>
      </c>
      <c r="B306" s="58" t="s">
        <v>261</v>
      </c>
      <c r="C306" s="58" t="s">
        <v>1897</v>
      </c>
      <c r="D306" s="58" t="s">
        <v>1898</v>
      </c>
      <c r="E306" s="58" t="s">
        <v>1899</v>
      </c>
      <c r="G306" s="58">
        <v>2024</v>
      </c>
      <c r="H306" s="58" t="s">
        <v>261</v>
      </c>
      <c r="I306" s="58" t="s">
        <v>1897</v>
      </c>
      <c r="J306" s="58" t="s">
        <v>1899</v>
      </c>
      <c r="K306" s="58" t="s">
        <v>2364</v>
      </c>
      <c r="L306" s="58" t="s">
        <v>1898</v>
      </c>
    </row>
    <row r="307" spans="1:13" ht="16.2" customHeight="1">
      <c r="A307" s="58">
        <v>2023</v>
      </c>
      <c r="B307" s="58" t="s">
        <v>261</v>
      </c>
      <c r="C307" s="58" t="s">
        <v>1900</v>
      </c>
      <c r="D307" s="58" t="s">
        <v>1901</v>
      </c>
      <c r="E307" s="58" t="s">
        <v>1903</v>
      </c>
      <c r="G307" s="58">
        <v>2024</v>
      </c>
      <c r="H307" s="58" t="s">
        <v>261</v>
      </c>
      <c r="I307" s="58" t="s">
        <v>1900</v>
      </c>
      <c r="J307" s="58" t="s">
        <v>1903</v>
      </c>
      <c r="K307" s="58" t="s">
        <v>2365</v>
      </c>
      <c r="L307" s="58" t="s">
        <v>1901</v>
      </c>
    </row>
    <row r="308" spans="1:13" ht="16.2" customHeight="1">
      <c r="A308" s="58">
        <v>2023</v>
      </c>
      <c r="B308" s="58" t="s">
        <v>261</v>
      </c>
      <c r="C308" s="58" t="s">
        <v>1904</v>
      </c>
      <c r="D308" s="58" t="s">
        <v>1905</v>
      </c>
      <c r="E308" s="58" t="s">
        <v>1907</v>
      </c>
      <c r="G308" s="58">
        <v>2024</v>
      </c>
      <c r="H308" s="58" t="s">
        <v>261</v>
      </c>
      <c r="I308" s="58" t="s">
        <v>1904</v>
      </c>
      <c r="J308" s="58" t="s">
        <v>1907</v>
      </c>
      <c r="K308" s="58" t="s">
        <v>2366</v>
      </c>
      <c r="L308" s="58" t="s">
        <v>1905</v>
      </c>
    </row>
    <row r="309" spans="1:13" ht="16.2" customHeight="1">
      <c r="A309" s="58">
        <v>2023</v>
      </c>
      <c r="B309" s="58" t="s">
        <v>261</v>
      </c>
      <c r="C309" s="58" t="s">
        <v>1908</v>
      </c>
      <c r="D309" s="58" t="s">
        <v>1909</v>
      </c>
      <c r="E309" s="58" t="s">
        <v>1910</v>
      </c>
      <c r="G309" s="58">
        <v>2024</v>
      </c>
      <c r="H309" s="58" t="s">
        <v>261</v>
      </c>
      <c r="I309" s="58" t="s">
        <v>1908</v>
      </c>
      <c r="J309" s="58" t="s">
        <v>1910</v>
      </c>
      <c r="K309" s="58" t="s">
        <v>2368</v>
      </c>
      <c r="L309" s="58" t="s">
        <v>1909</v>
      </c>
    </row>
    <row r="310" spans="1:13" ht="16.2" customHeight="1">
      <c r="A310" s="58">
        <v>2023</v>
      </c>
      <c r="B310" s="58" t="s">
        <v>261</v>
      </c>
      <c r="C310" s="58" t="s">
        <v>1911</v>
      </c>
      <c r="D310" s="58" t="s">
        <v>1912</v>
      </c>
      <c r="E310" s="58" t="s">
        <v>1913</v>
      </c>
      <c r="G310" s="58">
        <v>2024</v>
      </c>
      <c r="H310" s="58" t="s">
        <v>261</v>
      </c>
      <c r="I310" s="58" t="s">
        <v>1911</v>
      </c>
      <c r="J310" s="58" t="s">
        <v>1913</v>
      </c>
      <c r="K310" s="58" t="s">
        <v>2369</v>
      </c>
      <c r="L310" s="58" t="s">
        <v>1912</v>
      </c>
    </row>
    <row r="311" spans="1:13" ht="16.2" customHeight="1">
      <c r="A311" s="58">
        <v>2023</v>
      </c>
      <c r="B311" s="58" t="s">
        <v>261</v>
      </c>
      <c r="C311" s="58" t="s">
        <v>1914</v>
      </c>
      <c r="D311" s="58" t="s">
        <v>1915</v>
      </c>
      <c r="E311" s="58" t="s">
        <v>1916</v>
      </c>
      <c r="G311" s="58">
        <v>2024</v>
      </c>
      <c r="H311" s="58" t="s">
        <v>261</v>
      </c>
      <c r="I311" s="58" t="s">
        <v>1914</v>
      </c>
      <c r="J311" s="58" t="s">
        <v>1916</v>
      </c>
      <c r="K311" s="58" t="s">
        <v>2370</v>
      </c>
      <c r="L311" s="58" t="s">
        <v>1915</v>
      </c>
    </row>
    <row r="312" spans="1:13" ht="16.2" customHeight="1">
      <c r="A312" s="58">
        <v>2023</v>
      </c>
      <c r="B312" s="58" t="s">
        <v>261</v>
      </c>
      <c r="C312" s="58" t="s">
        <v>1917</v>
      </c>
      <c r="D312" s="58" t="s">
        <v>1918</v>
      </c>
      <c r="E312" s="58" t="s">
        <v>1919</v>
      </c>
      <c r="G312" s="58">
        <v>2024</v>
      </c>
      <c r="H312" s="58" t="s">
        <v>261</v>
      </c>
      <c r="I312" s="58" t="s">
        <v>1917</v>
      </c>
      <c r="J312" s="58" t="s">
        <v>1919</v>
      </c>
      <c r="K312" s="58" t="s">
        <v>2371</v>
      </c>
      <c r="L312" s="58" t="s">
        <v>1918</v>
      </c>
    </row>
    <row r="313" spans="1:13" ht="16.2" customHeight="1">
      <c r="G313" s="58">
        <v>2024</v>
      </c>
      <c r="H313" s="357" t="s">
        <v>261</v>
      </c>
      <c r="I313" s="357" t="s">
        <v>2607</v>
      </c>
      <c r="J313" s="357" t="s">
        <v>2608</v>
      </c>
      <c r="K313" s="357" t="s">
        <v>2609</v>
      </c>
      <c r="L313" s="357" t="s">
        <v>2610</v>
      </c>
      <c r="M313" s="357"/>
    </row>
    <row r="314" spans="1:13" ht="16.2" customHeight="1">
      <c r="A314" s="58">
        <v>2023</v>
      </c>
      <c r="B314" s="58" t="s">
        <v>261</v>
      </c>
      <c r="C314" s="58" t="s">
        <v>2602</v>
      </c>
      <c r="D314" s="58" t="s">
        <v>1920</v>
      </c>
      <c r="E314" s="58" t="s">
        <v>2603</v>
      </c>
      <c r="G314" s="58">
        <v>2024</v>
      </c>
      <c r="H314" s="58" t="s">
        <v>261</v>
      </c>
      <c r="I314" s="58" t="s">
        <v>2602</v>
      </c>
      <c r="J314" s="58" t="s">
        <v>2603</v>
      </c>
      <c r="K314" s="58" t="s">
        <v>2611</v>
      </c>
      <c r="L314" s="58" t="s">
        <v>1920</v>
      </c>
    </row>
    <row r="315" spans="1:13" ht="16.2" customHeight="1">
      <c r="A315" s="58">
        <v>2023</v>
      </c>
      <c r="B315" s="58" t="s">
        <v>261</v>
      </c>
      <c r="C315" s="58" t="s">
        <v>1922</v>
      </c>
      <c r="D315" s="58" t="s">
        <v>1923</v>
      </c>
      <c r="E315" s="58" t="s">
        <v>1924</v>
      </c>
      <c r="G315" s="58">
        <v>2024</v>
      </c>
      <c r="H315" s="58" t="s">
        <v>261</v>
      </c>
      <c r="I315" s="58" t="s">
        <v>1922</v>
      </c>
      <c r="J315" s="58" t="s">
        <v>1924</v>
      </c>
      <c r="K315" s="58" t="s">
        <v>2612</v>
      </c>
      <c r="L315" s="58" t="s">
        <v>1923</v>
      </c>
    </row>
    <row r="316" spans="1:13" ht="16.2" customHeight="1">
      <c r="A316" s="58">
        <v>2023</v>
      </c>
      <c r="B316" s="58" t="s">
        <v>261</v>
      </c>
      <c r="C316" s="58" t="s">
        <v>1925</v>
      </c>
      <c r="D316" s="58" t="s">
        <v>1926</v>
      </c>
      <c r="E316" s="58" t="s">
        <v>1927</v>
      </c>
      <c r="G316" s="58">
        <v>2024</v>
      </c>
      <c r="H316" s="58" t="s">
        <v>261</v>
      </c>
      <c r="I316" s="58" t="s">
        <v>1925</v>
      </c>
      <c r="J316" s="58" t="s">
        <v>1927</v>
      </c>
      <c r="K316" s="58" t="s">
        <v>2613</v>
      </c>
      <c r="L316" s="58" t="s">
        <v>1926</v>
      </c>
    </row>
    <row r="317" spans="1:13" ht="16.2" customHeight="1">
      <c r="A317" s="58">
        <v>2023</v>
      </c>
      <c r="B317" s="58" t="s">
        <v>261</v>
      </c>
      <c r="C317" s="58" t="s">
        <v>1928</v>
      </c>
      <c r="D317" s="58" t="s">
        <v>1929</v>
      </c>
      <c r="E317" s="58" t="s">
        <v>1931</v>
      </c>
      <c r="G317" s="58">
        <v>2024</v>
      </c>
      <c r="H317" s="58" t="s">
        <v>261</v>
      </c>
      <c r="I317" s="58" t="s">
        <v>1928</v>
      </c>
      <c r="J317" s="58" t="s">
        <v>1931</v>
      </c>
      <c r="K317" s="58" t="s">
        <v>2614</v>
      </c>
      <c r="L317" s="58" t="s">
        <v>1929</v>
      </c>
    </row>
    <row r="318" spans="1:13" ht="16.2" customHeight="1">
      <c r="A318" s="58">
        <v>2023</v>
      </c>
      <c r="B318" s="58" t="s">
        <v>261</v>
      </c>
      <c r="C318" s="58" t="s">
        <v>1932</v>
      </c>
      <c r="D318" s="58" t="s">
        <v>1933</v>
      </c>
      <c r="E318" s="58" t="s">
        <v>1935</v>
      </c>
      <c r="G318" s="58">
        <v>2024</v>
      </c>
      <c r="H318" s="58" t="s">
        <v>261</v>
      </c>
      <c r="I318" s="58" t="s">
        <v>1932</v>
      </c>
      <c r="J318" s="58" t="s">
        <v>1935</v>
      </c>
      <c r="K318" s="58" t="s">
        <v>2372</v>
      </c>
      <c r="L318" s="58" t="s">
        <v>1933</v>
      </c>
    </row>
    <row r="319" spans="1:13" ht="16.2" customHeight="1">
      <c r="A319" s="58">
        <v>2023</v>
      </c>
      <c r="B319" s="58" t="s">
        <v>261</v>
      </c>
      <c r="C319" s="58" t="s">
        <v>1936</v>
      </c>
      <c r="D319" s="58" t="s">
        <v>1937</v>
      </c>
      <c r="E319" s="58" t="s">
        <v>1938</v>
      </c>
      <c r="G319" s="58">
        <v>2024</v>
      </c>
      <c r="H319" s="58" t="s">
        <v>261</v>
      </c>
      <c r="I319" s="58" t="s">
        <v>1936</v>
      </c>
      <c r="J319" s="58" t="s">
        <v>1938</v>
      </c>
      <c r="K319" s="58" t="s">
        <v>2373</v>
      </c>
      <c r="L319" s="58" t="s">
        <v>1937</v>
      </c>
    </row>
    <row r="320" spans="1:13" ht="16.2" customHeight="1">
      <c r="A320" s="58">
        <v>2023</v>
      </c>
      <c r="B320" s="58" t="s">
        <v>261</v>
      </c>
      <c r="C320" s="58" t="s">
        <v>1939</v>
      </c>
      <c r="D320" s="58" t="s">
        <v>1940</v>
      </c>
      <c r="E320" s="58" t="s">
        <v>1941</v>
      </c>
      <c r="G320" s="58">
        <v>2024</v>
      </c>
      <c r="H320" s="58" t="s">
        <v>261</v>
      </c>
      <c r="I320" s="58" t="s">
        <v>1939</v>
      </c>
      <c r="J320" s="58" t="s">
        <v>1941</v>
      </c>
      <c r="K320" s="58" t="s">
        <v>2374</v>
      </c>
      <c r="L320" s="58" t="s">
        <v>1940</v>
      </c>
    </row>
    <row r="325" spans="1:12" ht="16.2" customHeight="1">
      <c r="A325" s="58">
        <v>2023</v>
      </c>
      <c r="B325" s="58" t="s">
        <v>265</v>
      </c>
      <c r="C325" s="58" t="s">
        <v>2615</v>
      </c>
      <c r="D325" s="58" t="s">
        <v>1943</v>
      </c>
      <c r="E325" s="58" t="s">
        <v>1944</v>
      </c>
      <c r="G325" s="58">
        <v>2024</v>
      </c>
      <c r="H325" s="58" t="s">
        <v>265</v>
      </c>
      <c r="I325" t="s">
        <v>2615</v>
      </c>
      <c r="J325" t="s">
        <v>1944</v>
      </c>
      <c r="K325" t="s">
        <v>2619</v>
      </c>
      <c r="L325" t="s">
        <v>1943</v>
      </c>
    </row>
    <row r="326" spans="1:12" ht="16.2" customHeight="1">
      <c r="A326" s="58">
        <v>2023</v>
      </c>
      <c r="B326" s="58" t="s">
        <v>265</v>
      </c>
      <c r="C326" s="58" t="s">
        <v>2616</v>
      </c>
      <c r="D326" s="58" t="s">
        <v>1915</v>
      </c>
      <c r="E326" s="58" t="s">
        <v>1952</v>
      </c>
      <c r="G326" s="58">
        <v>2024</v>
      </c>
      <c r="H326" s="58" t="s">
        <v>265</v>
      </c>
      <c r="I326" t="s">
        <v>2616</v>
      </c>
      <c r="J326" t="s">
        <v>1952</v>
      </c>
      <c r="K326" t="s">
        <v>2377</v>
      </c>
      <c r="L326" t="s">
        <v>1915</v>
      </c>
    </row>
    <row r="327" spans="1:12" ht="16.2" customHeight="1">
      <c r="A327" s="58">
        <v>2023</v>
      </c>
      <c r="B327" s="58" t="s">
        <v>265</v>
      </c>
      <c r="C327" s="58" t="s">
        <v>1955</v>
      </c>
      <c r="D327" s="58" t="s">
        <v>1956</v>
      </c>
      <c r="E327" s="58" t="s">
        <v>1958</v>
      </c>
      <c r="G327" s="58">
        <v>2024</v>
      </c>
      <c r="H327" s="58" t="s">
        <v>265</v>
      </c>
      <c r="I327" t="s">
        <v>1955</v>
      </c>
      <c r="J327" t="s">
        <v>2620</v>
      </c>
      <c r="K327" t="s">
        <v>2384</v>
      </c>
      <c r="L327" t="s">
        <v>1956</v>
      </c>
    </row>
    <row r="328" spans="1:12" ht="16.2" customHeight="1">
      <c r="A328" s="58">
        <v>2023</v>
      </c>
      <c r="B328" s="58" t="s">
        <v>265</v>
      </c>
      <c r="C328" s="58" t="s">
        <v>1959</v>
      </c>
      <c r="D328" s="58" t="s">
        <v>1960</v>
      </c>
      <c r="E328" s="58" t="s">
        <v>1961</v>
      </c>
      <c r="G328" s="58">
        <v>2024</v>
      </c>
      <c r="H328" s="58" t="s">
        <v>265</v>
      </c>
      <c r="I328" t="s">
        <v>1959</v>
      </c>
      <c r="J328" t="s">
        <v>1961</v>
      </c>
      <c r="K328" t="s">
        <v>2385</v>
      </c>
      <c r="L328" t="s">
        <v>1960</v>
      </c>
    </row>
    <row r="329" spans="1:12" ht="16.2" customHeight="1">
      <c r="A329" s="58">
        <v>2023</v>
      </c>
      <c r="B329" s="58" t="s">
        <v>265</v>
      </c>
      <c r="C329" s="58" t="s">
        <v>1962</v>
      </c>
      <c r="D329" s="58" t="s">
        <v>1963</v>
      </c>
      <c r="E329" s="58" t="s">
        <v>1964</v>
      </c>
      <c r="G329" s="58">
        <v>2024</v>
      </c>
      <c r="H329" s="58" t="s">
        <v>265</v>
      </c>
      <c r="I329" t="s">
        <v>1962</v>
      </c>
      <c r="J329" t="s">
        <v>1964</v>
      </c>
      <c r="K329" t="s">
        <v>2386</v>
      </c>
      <c r="L329" t="s">
        <v>1963</v>
      </c>
    </row>
    <row r="330" spans="1:12" ht="16.2" customHeight="1">
      <c r="A330" s="58">
        <v>2023</v>
      </c>
      <c r="B330" s="58" t="s">
        <v>265</v>
      </c>
      <c r="C330" s="58" t="s">
        <v>1965</v>
      </c>
      <c r="D330" s="58" t="s">
        <v>1966</v>
      </c>
      <c r="E330" s="58" t="s">
        <v>1967</v>
      </c>
      <c r="G330" s="58">
        <v>2024</v>
      </c>
      <c r="H330" s="58" t="s">
        <v>265</v>
      </c>
      <c r="I330" s="58" t="s">
        <v>1965</v>
      </c>
      <c r="J330" t="s">
        <v>1967</v>
      </c>
      <c r="K330" t="s">
        <v>2387</v>
      </c>
      <c r="L330" t="s">
        <v>1966</v>
      </c>
    </row>
    <row r="331" spans="1:12" ht="16.2" customHeight="1">
      <c r="A331" s="58">
        <v>2023</v>
      </c>
      <c r="B331" s="58" t="s">
        <v>265</v>
      </c>
      <c r="C331" s="58" t="s">
        <v>1968</v>
      </c>
      <c r="D331" s="58" t="s">
        <v>1970</v>
      </c>
      <c r="E331" s="58" t="s">
        <v>1971</v>
      </c>
      <c r="G331" s="58">
        <v>2024</v>
      </c>
      <c r="H331" s="58" t="s">
        <v>265</v>
      </c>
      <c r="I331" s="58" t="s">
        <v>1968</v>
      </c>
      <c r="J331" t="s">
        <v>2621</v>
      </c>
      <c r="K331" t="s">
        <v>2388</v>
      </c>
      <c r="L331" t="s">
        <v>1970</v>
      </c>
    </row>
    <row r="332" spans="1:12" ht="16.2" customHeight="1">
      <c r="A332" s="58">
        <v>2023</v>
      </c>
      <c r="B332" s="58" t="s">
        <v>265</v>
      </c>
      <c r="C332" s="58" t="s">
        <v>2617</v>
      </c>
      <c r="D332" s="58" t="s">
        <v>2618</v>
      </c>
      <c r="E332" s="58" t="s">
        <v>1974</v>
      </c>
      <c r="G332" s="58">
        <v>2024</v>
      </c>
      <c r="H332" s="58" t="s">
        <v>265</v>
      </c>
      <c r="I332" s="58" t="s">
        <v>2617</v>
      </c>
      <c r="J332" t="s">
        <v>1974</v>
      </c>
      <c r="K332" t="s">
        <v>2622</v>
      </c>
      <c r="L332" t="s">
        <v>2618</v>
      </c>
    </row>
    <row r="333" spans="1:12" ht="16.2" customHeight="1">
      <c r="A333" s="58">
        <v>2023</v>
      </c>
      <c r="B333" s="58" t="s">
        <v>265</v>
      </c>
      <c r="C333" s="58" t="s">
        <v>1975</v>
      </c>
      <c r="D333" s="58" t="s">
        <v>1976</v>
      </c>
      <c r="E333" s="58" t="s">
        <v>1977</v>
      </c>
      <c r="G333" s="58">
        <v>2024</v>
      </c>
      <c r="H333" s="58" t="s">
        <v>265</v>
      </c>
      <c r="I333" s="58" t="s">
        <v>1975</v>
      </c>
      <c r="J333" t="s">
        <v>2623</v>
      </c>
      <c r="K333" t="s">
        <v>2390</v>
      </c>
      <c r="L333" t="s">
        <v>1976</v>
      </c>
    </row>
    <row r="334" spans="1:12" ht="16.2" customHeight="1">
      <c r="A334" s="58">
        <v>2023</v>
      </c>
      <c r="B334" s="58" t="s">
        <v>265</v>
      </c>
      <c r="C334" s="58" t="s">
        <v>1978</v>
      </c>
      <c r="D334" s="58" t="s">
        <v>1979</v>
      </c>
      <c r="E334" s="58" t="s">
        <v>1980</v>
      </c>
      <c r="G334" s="58">
        <v>2024</v>
      </c>
      <c r="H334" s="58" t="s">
        <v>265</v>
      </c>
      <c r="I334" s="58" t="s">
        <v>1978</v>
      </c>
      <c r="J334" t="s">
        <v>2624</v>
      </c>
      <c r="K334" t="s">
        <v>2625</v>
      </c>
      <c r="L334" t="s">
        <v>2626</v>
      </c>
    </row>
    <row r="335" spans="1:12" ht="16.2" customHeight="1">
      <c r="A335" s="58">
        <v>2023</v>
      </c>
      <c r="B335" s="58" t="s">
        <v>265</v>
      </c>
      <c r="C335" s="58" t="s">
        <v>1981</v>
      </c>
      <c r="D335" s="58" t="s">
        <v>1982</v>
      </c>
      <c r="E335" s="58" t="s">
        <v>1983</v>
      </c>
      <c r="G335" s="58">
        <v>2024</v>
      </c>
    </row>
    <row r="336" spans="1:12" ht="16.2" customHeight="1">
      <c r="A336" s="58">
        <v>2023</v>
      </c>
      <c r="B336" s="58" t="s">
        <v>265</v>
      </c>
      <c r="C336" s="58" t="s">
        <v>1984</v>
      </c>
      <c r="D336" s="58" t="s">
        <v>1985</v>
      </c>
      <c r="E336" s="58" t="s">
        <v>1986</v>
      </c>
      <c r="G336" s="58">
        <v>2024</v>
      </c>
      <c r="H336" s="58" t="s">
        <v>265</v>
      </c>
      <c r="I336" s="58" t="s">
        <v>1984</v>
      </c>
      <c r="J336" t="s">
        <v>1986</v>
      </c>
      <c r="K336" t="s">
        <v>2627</v>
      </c>
      <c r="L336" t="s">
        <v>1985</v>
      </c>
    </row>
    <row r="337" spans="1:16" ht="16.2" customHeight="1">
      <c r="A337" s="58">
        <v>2023</v>
      </c>
      <c r="B337" s="58" t="s">
        <v>265</v>
      </c>
      <c r="C337" s="58" t="s">
        <v>1987</v>
      </c>
      <c r="D337" s="58" t="s">
        <v>1988</v>
      </c>
      <c r="E337" s="58" t="s">
        <v>1989</v>
      </c>
      <c r="G337" s="58">
        <v>2024</v>
      </c>
      <c r="H337" s="58" t="s">
        <v>265</v>
      </c>
      <c r="I337" s="58" t="s">
        <v>1987</v>
      </c>
      <c r="J337" t="s">
        <v>1989</v>
      </c>
      <c r="K337" t="s">
        <v>2628</v>
      </c>
      <c r="L337" t="s">
        <v>1988</v>
      </c>
    </row>
    <row r="338" spans="1:16" ht="16.2" customHeight="1">
      <c r="A338" s="58">
        <v>2023</v>
      </c>
      <c r="B338" s="58" t="s">
        <v>265</v>
      </c>
      <c r="C338" s="58" t="s">
        <v>1990</v>
      </c>
      <c r="D338" s="58" t="s">
        <v>1991</v>
      </c>
      <c r="E338" s="58" t="s">
        <v>1992</v>
      </c>
      <c r="G338" s="58">
        <v>2024</v>
      </c>
      <c r="H338" s="58" t="s">
        <v>265</v>
      </c>
      <c r="I338" s="58" t="s">
        <v>1990</v>
      </c>
      <c r="J338" t="s">
        <v>1992</v>
      </c>
      <c r="K338" t="s">
        <v>2394</v>
      </c>
      <c r="L338" t="s">
        <v>1991</v>
      </c>
    </row>
    <row r="339" spans="1:16" ht="16.2" customHeight="1">
      <c r="A339" s="58">
        <v>2023</v>
      </c>
      <c r="B339" s="58" t="s">
        <v>265</v>
      </c>
      <c r="C339" s="58" t="s">
        <v>1993</v>
      </c>
      <c r="D339" s="58" t="s">
        <v>1994</v>
      </c>
      <c r="E339" s="58" t="s">
        <v>1995</v>
      </c>
      <c r="G339" s="58">
        <v>2024</v>
      </c>
      <c r="H339" s="58" t="s">
        <v>265</v>
      </c>
      <c r="I339" t="s">
        <v>1993</v>
      </c>
      <c r="J339" t="s">
        <v>2629</v>
      </c>
      <c r="K339" t="s">
        <v>2630</v>
      </c>
      <c r="L339" t="s">
        <v>2631</v>
      </c>
    </row>
    <row r="340" spans="1:16" ht="16.2" customHeight="1">
      <c r="A340" s="58">
        <v>2023</v>
      </c>
      <c r="B340" s="58" t="s">
        <v>265</v>
      </c>
      <c r="C340" s="58" t="s">
        <v>1996</v>
      </c>
      <c r="D340" s="58" t="s">
        <v>1997</v>
      </c>
      <c r="E340" s="58" t="s">
        <v>1998</v>
      </c>
      <c r="G340" s="58">
        <v>2024</v>
      </c>
      <c r="H340" s="58" t="s">
        <v>265</v>
      </c>
      <c r="I340" t="s">
        <v>1996</v>
      </c>
      <c r="J340" t="s">
        <v>2632</v>
      </c>
      <c r="K340" t="s">
        <v>2395</v>
      </c>
      <c r="L340" t="s">
        <v>1997</v>
      </c>
    </row>
    <row r="341" spans="1:16" ht="16.2" customHeight="1">
      <c r="H341" s="357" t="s">
        <v>265</v>
      </c>
      <c r="I341" s="358" t="s">
        <v>2633</v>
      </c>
      <c r="J341" s="358" t="s">
        <v>2634</v>
      </c>
      <c r="K341" s="358" t="s">
        <v>2635</v>
      </c>
      <c r="L341" s="358" t="s">
        <v>2636</v>
      </c>
      <c r="M341" s="357"/>
      <c r="N341" s="357"/>
      <c r="O341" s="357"/>
      <c r="P341" s="357"/>
    </row>
    <row r="342" spans="1:16" ht="16.2" customHeight="1">
      <c r="A342" s="58">
        <v>2023</v>
      </c>
      <c r="B342" s="58" t="s">
        <v>265</v>
      </c>
      <c r="C342" s="58" t="s">
        <v>1999</v>
      </c>
      <c r="D342" s="58" t="s">
        <v>2001</v>
      </c>
      <c r="E342" s="58" t="s">
        <v>2002</v>
      </c>
      <c r="G342" s="58">
        <v>2024</v>
      </c>
      <c r="H342" s="58" t="s">
        <v>265</v>
      </c>
      <c r="I342" t="s">
        <v>1999</v>
      </c>
      <c r="J342" t="s">
        <v>2002</v>
      </c>
      <c r="K342" t="s">
        <v>2396</v>
      </c>
      <c r="L342" t="s">
        <v>2001</v>
      </c>
    </row>
    <row r="343" spans="1:16" ht="16.2" customHeight="1">
      <c r="A343" s="58">
        <v>2023</v>
      </c>
      <c r="B343" s="58" t="s">
        <v>265</v>
      </c>
      <c r="C343" s="58" t="s">
        <v>2003</v>
      </c>
      <c r="D343" s="58" t="s">
        <v>2004</v>
      </c>
      <c r="E343" s="58" t="s">
        <v>2005</v>
      </c>
      <c r="G343" s="58">
        <v>2024</v>
      </c>
      <c r="H343" s="58" t="s">
        <v>265</v>
      </c>
      <c r="I343" t="s">
        <v>2003</v>
      </c>
      <c r="J343" t="s">
        <v>2005</v>
      </c>
      <c r="K343" t="s">
        <v>2397</v>
      </c>
      <c r="L343" t="s">
        <v>2004</v>
      </c>
    </row>
    <row r="344" spans="1:16" ht="16.2" customHeight="1">
      <c r="A344" s="58">
        <v>2023</v>
      </c>
      <c r="B344" s="58" t="s">
        <v>265</v>
      </c>
      <c r="C344" s="58" t="s">
        <v>2006</v>
      </c>
      <c r="D344" s="58" t="s">
        <v>2007</v>
      </c>
      <c r="E344" s="58" t="s">
        <v>2009</v>
      </c>
      <c r="G344" s="58">
        <v>2024</v>
      </c>
      <c r="H344" s="58" t="s">
        <v>265</v>
      </c>
      <c r="I344" s="58" t="s">
        <v>2006</v>
      </c>
      <c r="J344" t="s">
        <v>2009</v>
      </c>
      <c r="K344" t="s">
        <v>2398</v>
      </c>
      <c r="L344" t="s">
        <v>2007</v>
      </c>
    </row>
    <row r="345" spans="1:16" ht="16.2" customHeight="1">
      <c r="A345" s="58">
        <v>2023</v>
      </c>
      <c r="B345" s="58" t="s">
        <v>265</v>
      </c>
      <c r="C345" s="58" t="s">
        <v>2010</v>
      </c>
      <c r="D345" s="58" t="s">
        <v>2011</v>
      </c>
      <c r="E345" s="58" t="s">
        <v>2012</v>
      </c>
      <c r="G345" s="58">
        <v>2024</v>
      </c>
      <c r="H345" s="58" t="s">
        <v>265</v>
      </c>
      <c r="I345" s="58" t="s">
        <v>2010</v>
      </c>
      <c r="J345" t="s">
        <v>2012</v>
      </c>
      <c r="K345" t="s">
        <v>2399</v>
      </c>
      <c r="L345" t="s">
        <v>2011</v>
      </c>
    </row>
    <row r="346" spans="1:16" ht="16.2" customHeight="1">
      <c r="A346" s="58">
        <v>2023</v>
      </c>
      <c r="B346" s="58" t="s">
        <v>265</v>
      </c>
      <c r="C346" s="58" t="s">
        <v>2013</v>
      </c>
      <c r="D346" s="58" t="s">
        <v>2014</v>
      </c>
      <c r="E346" s="58" t="s">
        <v>2016</v>
      </c>
      <c r="G346" s="58">
        <v>2024</v>
      </c>
      <c r="H346" s="58" t="s">
        <v>265</v>
      </c>
      <c r="I346" s="58" t="s">
        <v>2013</v>
      </c>
      <c r="J346" t="s">
        <v>2016</v>
      </c>
      <c r="K346" t="s">
        <v>2401</v>
      </c>
      <c r="L346" t="s">
        <v>2014</v>
      </c>
    </row>
    <row r="347" spans="1:16" ht="16.2" customHeight="1">
      <c r="A347" s="58">
        <v>2023</v>
      </c>
      <c r="B347" s="58" t="s">
        <v>265</v>
      </c>
      <c r="C347" s="58" t="s">
        <v>2017</v>
      </c>
      <c r="D347" s="58" t="s">
        <v>2019</v>
      </c>
      <c r="E347" s="58" t="s">
        <v>2020</v>
      </c>
      <c r="G347" s="58">
        <v>2024</v>
      </c>
      <c r="H347" s="58" t="s">
        <v>265</v>
      </c>
      <c r="I347" s="58" t="s">
        <v>2017</v>
      </c>
      <c r="J347" t="s">
        <v>2020</v>
      </c>
      <c r="K347" t="s">
        <v>2404</v>
      </c>
      <c r="L347" t="s">
        <v>2019</v>
      </c>
    </row>
    <row r="348" spans="1:16" ht="16.2" customHeight="1">
      <c r="A348" s="58">
        <v>2023</v>
      </c>
      <c r="B348" s="58" t="s">
        <v>265</v>
      </c>
      <c r="C348" s="58" t="s">
        <v>2021</v>
      </c>
      <c r="D348" s="58" t="s">
        <v>2022</v>
      </c>
      <c r="E348" s="58" t="s">
        <v>2023</v>
      </c>
      <c r="G348" s="58">
        <v>2024</v>
      </c>
      <c r="H348" s="58" t="s">
        <v>265</v>
      </c>
      <c r="I348" s="58" t="s">
        <v>2021</v>
      </c>
      <c r="J348" t="s">
        <v>2023</v>
      </c>
      <c r="K348" t="s">
        <v>2405</v>
      </c>
      <c r="L348" t="s">
        <v>2022</v>
      </c>
    </row>
    <row r="349" spans="1:16" ht="16.2" customHeight="1">
      <c r="A349" s="58">
        <v>2023</v>
      </c>
      <c r="B349" s="58" t="s">
        <v>265</v>
      </c>
      <c r="C349" s="58" t="s">
        <v>2024</v>
      </c>
      <c r="D349" s="58" t="s">
        <v>2025</v>
      </c>
      <c r="E349" s="58" t="s">
        <v>2026</v>
      </c>
      <c r="G349" s="58">
        <v>2024</v>
      </c>
      <c r="H349" s="58" t="s">
        <v>265</v>
      </c>
      <c r="I349" s="58" t="s">
        <v>2024</v>
      </c>
      <c r="J349" t="s">
        <v>2026</v>
      </c>
      <c r="K349" t="s">
        <v>2409</v>
      </c>
      <c r="L349" t="s">
        <v>2025</v>
      </c>
    </row>
    <row r="350" spans="1:16" ht="16.2" customHeight="1">
      <c r="A350" s="58">
        <v>2023</v>
      </c>
      <c r="B350" s="58" t="s">
        <v>265</v>
      </c>
      <c r="C350" s="58" t="s">
        <v>2027</v>
      </c>
      <c r="D350" s="58" t="s">
        <v>2028</v>
      </c>
      <c r="E350" s="58" t="s">
        <v>2029</v>
      </c>
      <c r="G350" s="58">
        <v>2024</v>
      </c>
      <c r="H350" s="58" t="s">
        <v>265</v>
      </c>
      <c r="I350" s="58" t="s">
        <v>2027</v>
      </c>
      <c r="J350" t="s">
        <v>2637</v>
      </c>
      <c r="K350" t="s">
        <v>2638</v>
      </c>
      <c r="L350" t="s">
        <v>2639</v>
      </c>
    </row>
    <row r="351" spans="1:16" ht="16.2" customHeight="1">
      <c r="A351" s="58">
        <v>2023</v>
      </c>
      <c r="B351" s="58" t="s">
        <v>265</v>
      </c>
      <c r="C351" s="58" t="s">
        <v>2030</v>
      </c>
      <c r="D351" s="58" t="s">
        <v>2031</v>
      </c>
      <c r="E351" s="58" t="s">
        <v>2032</v>
      </c>
      <c r="G351" s="58">
        <v>2024</v>
      </c>
      <c r="H351" s="58" t="s">
        <v>265</v>
      </c>
      <c r="I351" t="s">
        <v>2030</v>
      </c>
      <c r="J351" t="s">
        <v>2640</v>
      </c>
      <c r="K351" t="s">
        <v>2641</v>
      </c>
      <c r="L351" t="s">
        <v>2642</v>
      </c>
    </row>
    <row r="355" spans="1:14" ht="16.2" customHeight="1">
      <c r="A355" s="58">
        <v>2023</v>
      </c>
      <c r="B355" s="58" t="s">
        <v>660</v>
      </c>
      <c r="C355" s="58" t="s">
        <v>2033</v>
      </c>
      <c r="D355" s="58" t="s">
        <v>2034</v>
      </c>
      <c r="E355" s="58" t="s">
        <v>2643</v>
      </c>
      <c r="F355" s="58" t="s">
        <v>2410</v>
      </c>
      <c r="G355" s="58">
        <v>2024</v>
      </c>
      <c r="H355" s="58" t="s">
        <v>660</v>
      </c>
      <c r="I355" t="s">
        <v>2033</v>
      </c>
      <c r="J355" t="s">
        <v>2410</v>
      </c>
      <c r="K355" s="58" t="s">
        <v>2719</v>
      </c>
      <c r="L355"/>
      <c r="N355" t="s">
        <v>2751</v>
      </c>
    </row>
    <row r="356" spans="1:14" ht="16.2" customHeight="1">
      <c r="A356" s="58">
        <v>2023</v>
      </c>
      <c r="B356" s="58" t="s">
        <v>660</v>
      </c>
      <c r="C356" s="58" t="s">
        <v>2036</v>
      </c>
      <c r="D356" s="58" t="s">
        <v>2034</v>
      </c>
      <c r="E356" s="58" t="s">
        <v>2644</v>
      </c>
      <c r="F356" s="58" t="s">
        <v>2037</v>
      </c>
      <c r="G356" s="58">
        <v>2024</v>
      </c>
      <c r="H356" s="58" t="s">
        <v>660</v>
      </c>
      <c r="I356" t="s">
        <v>2036</v>
      </c>
      <c r="J356" t="s">
        <v>2037</v>
      </c>
      <c r="K356" t="s">
        <v>2764</v>
      </c>
      <c r="N356" t="s">
        <v>2644</v>
      </c>
    </row>
    <row r="357" spans="1:14" ht="16.2" customHeight="1">
      <c r="A357" s="58">
        <v>2023</v>
      </c>
      <c r="B357" s="58" t="s">
        <v>660</v>
      </c>
      <c r="C357" s="58" t="s">
        <v>2038</v>
      </c>
      <c r="D357" s="58" t="s">
        <v>2034</v>
      </c>
      <c r="E357" s="58" t="s">
        <v>2645</v>
      </c>
      <c r="F357" s="58" t="s">
        <v>2040</v>
      </c>
      <c r="G357" s="58">
        <v>2024</v>
      </c>
      <c r="H357" s="58" t="s">
        <v>660</v>
      </c>
      <c r="I357" t="s">
        <v>2038</v>
      </c>
      <c r="J357" t="s">
        <v>2040</v>
      </c>
      <c r="K357" t="s">
        <v>2725</v>
      </c>
      <c r="N357" t="s">
        <v>2645</v>
      </c>
    </row>
    <row r="358" spans="1:14" ht="16.2" customHeight="1">
      <c r="A358" s="58">
        <v>2023</v>
      </c>
      <c r="B358" s="58" t="s">
        <v>660</v>
      </c>
      <c r="C358" s="58" t="s">
        <v>2041</v>
      </c>
      <c r="D358" s="58" t="s">
        <v>2034</v>
      </c>
      <c r="E358" s="58" t="s">
        <v>2646</v>
      </c>
      <c r="F358" s="58" t="s">
        <v>2042</v>
      </c>
      <c r="G358" s="58">
        <v>2024</v>
      </c>
      <c r="H358" s="58" t="s">
        <v>660</v>
      </c>
      <c r="I358" s="58" t="s">
        <v>2041</v>
      </c>
      <c r="J358" t="s">
        <v>2042</v>
      </c>
      <c r="K358" t="s">
        <v>2765</v>
      </c>
      <c r="N358" t="s">
        <v>2646</v>
      </c>
    </row>
    <row r="359" spans="1:14" ht="16.2" customHeight="1">
      <c r="A359" s="58">
        <v>2023</v>
      </c>
      <c r="B359" s="58" t="s">
        <v>660</v>
      </c>
      <c r="C359" s="58" t="s">
        <v>2043</v>
      </c>
      <c r="D359" s="58" t="s">
        <v>2034</v>
      </c>
      <c r="E359" s="58" t="s">
        <v>2647</v>
      </c>
      <c r="F359" s="58" t="s">
        <v>2648</v>
      </c>
      <c r="G359" s="58">
        <v>2024</v>
      </c>
      <c r="H359" s="58" t="s">
        <v>660</v>
      </c>
      <c r="I359" s="58" t="s">
        <v>2043</v>
      </c>
      <c r="J359" t="s">
        <v>2648</v>
      </c>
      <c r="K359" t="s">
        <v>2766</v>
      </c>
      <c r="N359" t="s">
        <v>2752</v>
      </c>
    </row>
    <row r="360" spans="1:14" ht="16.2" customHeight="1">
      <c r="G360" s="357">
        <v>2024</v>
      </c>
      <c r="H360" s="357" t="s">
        <v>660</v>
      </c>
      <c r="I360" s="357" t="s">
        <v>2695</v>
      </c>
      <c r="J360" s="358" t="s">
        <v>2696</v>
      </c>
      <c r="K360" s="358" t="s">
        <v>2767</v>
      </c>
      <c r="M360" s="357"/>
      <c r="N360" s="358" t="s">
        <v>2753</v>
      </c>
    </row>
    <row r="361" spans="1:14" ht="16.2" customHeight="1">
      <c r="A361" s="58">
        <v>2023</v>
      </c>
      <c r="B361" s="58" t="s">
        <v>660</v>
      </c>
      <c r="C361" s="58" t="s">
        <v>2044</v>
      </c>
      <c r="D361" s="58" t="s">
        <v>2045</v>
      </c>
      <c r="E361" s="58" t="s">
        <v>2649</v>
      </c>
      <c r="F361" s="58" t="s">
        <v>2046</v>
      </c>
      <c r="G361" s="58">
        <v>2024</v>
      </c>
      <c r="H361" s="58" t="s">
        <v>660</v>
      </c>
      <c r="I361" s="58" t="s">
        <v>2044</v>
      </c>
      <c r="J361" t="s">
        <v>2046</v>
      </c>
      <c r="K361" t="s">
        <v>2720</v>
      </c>
      <c r="N361" t="s">
        <v>2649</v>
      </c>
    </row>
    <row r="362" spans="1:14" ht="16.2" customHeight="1">
      <c r="A362" s="58">
        <v>2023</v>
      </c>
      <c r="B362" s="58" t="s">
        <v>660</v>
      </c>
      <c r="C362" s="58" t="s">
        <v>2047</v>
      </c>
      <c r="D362" s="58" t="s">
        <v>2048</v>
      </c>
      <c r="E362" s="58" t="s">
        <v>2650</v>
      </c>
      <c r="F362" s="58" t="s">
        <v>2049</v>
      </c>
      <c r="G362" s="58">
        <v>2024</v>
      </c>
      <c r="H362" s="58" t="s">
        <v>660</v>
      </c>
      <c r="I362" t="s">
        <v>2047</v>
      </c>
      <c r="J362" t="s">
        <v>2049</v>
      </c>
      <c r="K362" t="s">
        <v>2768</v>
      </c>
      <c r="N362" t="s">
        <v>2650</v>
      </c>
    </row>
    <row r="363" spans="1:14" ht="16.2" customHeight="1">
      <c r="A363" s="58">
        <v>2023</v>
      </c>
      <c r="B363" s="58" t="s">
        <v>660</v>
      </c>
      <c r="C363" s="58" t="s">
        <v>2050</v>
      </c>
      <c r="D363" s="58" t="s">
        <v>2048</v>
      </c>
      <c r="E363" s="58" t="s">
        <v>2651</v>
      </c>
      <c r="F363" s="58" t="s">
        <v>2051</v>
      </c>
      <c r="G363" s="58">
        <v>2024</v>
      </c>
      <c r="H363" s="58" t="s">
        <v>660</v>
      </c>
      <c r="I363" t="s">
        <v>2050</v>
      </c>
      <c r="J363" t="s">
        <v>2697</v>
      </c>
      <c r="K363" t="s">
        <v>2769</v>
      </c>
      <c r="N363" t="s">
        <v>2651</v>
      </c>
    </row>
    <row r="364" spans="1:14" ht="16.2" customHeight="1">
      <c r="A364" s="58">
        <v>2023</v>
      </c>
      <c r="B364" s="58" t="s">
        <v>660</v>
      </c>
      <c r="C364" s="58" t="s">
        <v>2052</v>
      </c>
      <c r="D364" s="58" t="s">
        <v>2048</v>
      </c>
      <c r="E364" s="58" t="s">
        <v>2652</v>
      </c>
      <c r="F364" s="58" t="s">
        <v>2053</v>
      </c>
      <c r="G364" s="58">
        <v>2024</v>
      </c>
      <c r="H364" s="58" t="s">
        <v>660</v>
      </c>
      <c r="I364" s="58" t="s">
        <v>2052</v>
      </c>
      <c r="J364" t="s">
        <v>2698</v>
      </c>
      <c r="K364" t="s">
        <v>2770</v>
      </c>
      <c r="N364" t="s">
        <v>2652</v>
      </c>
    </row>
    <row r="365" spans="1:14" ht="16.2" customHeight="1">
      <c r="A365" s="58">
        <v>2023</v>
      </c>
      <c r="B365" s="58" t="s">
        <v>660</v>
      </c>
      <c r="C365" s="58" t="s">
        <v>2054</v>
      </c>
      <c r="D365" s="58" t="s">
        <v>2048</v>
      </c>
      <c r="E365" s="58" t="s">
        <v>2653</v>
      </c>
      <c r="F365" s="58" t="s">
        <v>2055</v>
      </c>
      <c r="G365" s="58">
        <v>2024</v>
      </c>
      <c r="H365" s="58" t="s">
        <v>660</v>
      </c>
      <c r="I365" s="58" t="s">
        <v>2054</v>
      </c>
      <c r="J365" t="s">
        <v>2699</v>
      </c>
      <c r="K365" t="s">
        <v>2771</v>
      </c>
      <c r="N365" t="s">
        <v>2653</v>
      </c>
    </row>
    <row r="366" spans="1:14" ht="16.2" customHeight="1">
      <c r="A366" s="58">
        <v>2023</v>
      </c>
      <c r="B366" s="58" t="s">
        <v>660</v>
      </c>
      <c r="C366" s="58" t="s">
        <v>2056</v>
      </c>
      <c r="D366" s="58" t="s">
        <v>2048</v>
      </c>
      <c r="E366" s="58" t="s">
        <v>2654</v>
      </c>
      <c r="F366" s="58" t="s">
        <v>2057</v>
      </c>
      <c r="G366" s="58">
        <v>2024</v>
      </c>
      <c r="H366" s="58" t="s">
        <v>660</v>
      </c>
      <c r="I366" s="58" t="s">
        <v>2056</v>
      </c>
      <c r="J366" t="s">
        <v>2057</v>
      </c>
      <c r="K366" t="s">
        <v>2772</v>
      </c>
      <c r="N366" t="s">
        <v>2654</v>
      </c>
    </row>
    <row r="367" spans="1:14" ht="16.2" customHeight="1">
      <c r="A367" s="58">
        <v>2023</v>
      </c>
      <c r="B367" s="58" t="s">
        <v>660</v>
      </c>
      <c r="C367" s="58" t="s">
        <v>2058</v>
      </c>
      <c r="D367" s="58" t="s">
        <v>2048</v>
      </c>
      <c r="E367" s="58" t="s">
        <v>2655</v>
      </c>
      <c r="F367" s="58" t="s">
        <v>2059</v>
      </c>
      <c r="G367" s="58">
        <v>2024</v>
      </c>
      <c r="H367" s="58" t="s">
        <v>660</v>
      </c>
      <c r="I367" s="58" t="s">
        <v>2058</v>
      </c>
      <c r="J367" t="s">
        <v>2059</v>
      </c>
      <c r="K367" t="s">
        <v>2721</v>
      </c>
      <c r="N367" t="s">
        <v>2655</v>
      </c>
    </row>
    <row r="368" spans="1:14" ht="16.2" customHeight="1">
      <c r="A368" s="58">
        <v>2023</v>
      </c>
      <c r="B368" s="58" t="s">
        <v>660</v>
      </c>
      <c r="C368" s="58" t="s">
        <v>2060</v>
      </c>
      <c r="D368" s="58" t="s">
        <v>2061</v>
      </c>
      <c r="E368" s="58" t="s">
        <v>2656</v>
      </c>
      <c r="F368" s="58" t="s">
        <v>2062</v>
      </c>
      <c r="G368" s="58">
        <v>2024</v>
      </c>
      <c r="H368" s="58" t="s">
        <v>660</v>
      </c>
      <c r="I368" t="s">
        <v>2060</v>
      </c>
      <c r="J368" t="s">
        <v>2062</v>
      </c>
      <c r="K368" t="s">
        <v>2722</v>
      </c>
      <c r="N368" t="s">
        <v>2656</v>
      </c>
    </row>
    <row r="369" spans="1:15" ht="16.2" customHeight="1">
      <c r="A369" s="58">
        <v>2023</v>
      </c>
      <c r="B369" s="58" t="s">
        <v>660</v>
      </c>
      <c r="C369" s="58" t="s">
        <v>2063</v>
      </c>
      <c r="D369" s="58" t="s">
        <v>2061</v>
      </c>
      <c r="E369" s="58" t="s">
        <v>2657</v>
      </c>
      <c r="F369" s="58" t="s">
        <v>2064</v>
      </c>
      <c r="G369" s="58">
        <v>2024</v>
      </c>
      <c r="H369" s="58" t="s">
        <v>660</v>
      </c>
      <c r="I369" t="s">
        <v>2063</v>
      </c>
      <c r="J369" t="s">
        <v>2064</v>
      </c>
      <c r="K369" t="s">
        <v>2723</v>
      </c>
      <c r="N369" t="s">
        <v>2657</v>
      </c>
    </row>
    <row r="370" spans="1:15" ht="16.2" customHeight="1">
      <c r="A370" s="58">
        <v>2023</v>
      </c>
      <c r="B370" s="58" t="s">
        <v>660</v>
      </c>
      <c r="C370" s="58" t="s">
        <v>2065</v>
      </c>
      <c r="D370" s="58" t="s">
        <v>2061</v>
      </c>
      <c r="E370" s="58" t="s">
        <v>2658</v>
      </c>
      <c r="F370" s="58" t="s">
        <v>2066</v>
      </c>
      <c r="G370" s="58">
        <v>2024</v>
      </c>
      <c r="H370" s="58" t="s">
        <v>660</v>
      </c>
      <c r="I370" s="58" t="s">
        <v>2065</v>
      </c>
      <c r="J370" t="s">
        <v>2066</v>
      </c>
      <c r="K370" t="s">
        <v>2773</v>
      </c>
      <c r="N370" t="s">
        <v>2658</v>
      </c>
    </row>
    <row r="371" spans="1:15" ht="16.2" customHeight="1">
      <c r="A371" s="58">
        <v>2023</v>
      </c>
      <c r="B371" s="58" t="s">
        <v>660</v>
      </c>
      <c r="C371" s="58" t="s">
        <v>2067</v>
      </c>
      <c r="D371" s="58" t="s">
        <v>2061</v>
      </c>
      <c r="E371" s="58" t="s">
        <v>2659</v>
      </c>
      <c r="F371" s="58" t="s">
        <v>2068</v>
      </c>
      <c r="G371" s="58">
        <v>2024</v>
      </c>
      <c r="H371" s="58" t="s">
        <v>660</v>
      </c>
      <c r="I371" s="58" t="s">
        <v>2067</v>
      </c>
      <c r="J371" t="s">
        <v>2068</v>
      </c>
      <c r="K371" t="s">
        <v>2724</v>
      </c>
      <c r="N371" t="s">
        <v>2659</v>
      </c>
    </row>
    <row r="372" spans="1:15" ht="16.2" customHeight="1">
      <c r="A372" s="58">
        <v>2023</v>
      </c>
      <c r="B372" s="58" t="s">
        <v>660</v>
      </c>
      <c r="C372" s="58" t="s">
        <v>2069</v>
      </c>
      <c r="D372" s="58" t="s">
        <v>2061</v>
      </c>
      <c r="E372" s="58" t="s">
        <v>2660</v>
      </c>
      <c r="F372" s="58" t="s">
        <v>2070</v>
      </c>
      <c r="G372" s="58">
        <v>2024</v>
      </c>
      <c r="H372" s="58" t="s">
        <v>660</v>
      </c>
      <c r="I372" s="58" t="s">
        <v>2069</v>
      </c>
      <c r="J372" t="s">
        <v>2070</v>
      </c>
      <c r="K372" t="s">
        <v>2725</v>
      </c>
      <c r="N372" t="s">
        <v>2645</v>
      </c>
    </row>
    <row r="373" spans="1:15" ht="16.2" customHeight="1">
      <c r="A373" s="58">
        <v>2023</v>
      </c>
      <c r="B373" s="58" t="s">
        <v>660</v>
      </c>
      <c r="C373" s="58" t="s">
        <v>2413</v>
      </c>
      <c r="D373" s="58" t="s">
        <v>2061</v>
      </c>
      <c r="E373" s="58" t="s">
        <v>2661</v>
      </c>
      <c r="F373" s="58" t="s">
        <v>2071</v>
      </c>
      <c r="G373" s="58">
        <v>2024</v>
      </c>
      <c r="H373" s="58" t="s">
        <v>660</v>
      </c>
      <c r="I373" s="58" t="s">
        <v>2413</v>
      </c>
      <c r="J373" t="s">
        <v>2071</v>
      </c>
      <c r="K373" t="s">
        <v>2774</v>
      </c>
      <c r="N373" t="s">
        <v>2754</v>
      </c>
    </row>
    <row r="374" spans="1:15" ht="16.2" customHeight="1">
      <c r="G374" s="357">
        <v>2024</v>
      </c>
      <c r="H374" s="357" t="s">
        <v>660</v>
      </c>
      <c r="I374" s="358" t="s">
        <v>2700</v>
      </c>
      <c r="J374" s="358" t="s">
        <v>2701</v>
      </c>
      <c r="K374" s="358" t="s">
        <v>2775</v>
      </c>
      <c r="N374" s="358" t="s">
        <v>2755</v>
      </c>
    </row>
    <row r="375" spans="1:15" ht="16.2" customHeight="1">
      <c r="A375" s="58">
        <v>2023</v>
      </c>
      <c r="B375" s="58" t="s">
        <v>660</v>
      </c>
      <c r="C375" s="58" t="s">
        <v>2072</v>
      </c>
      <c r="D375" s="58" t="s">
        <v>2662</v>
      </c>
      <c r="E375" s="58" t="s">
        <v>2663</v>
      </c>
      <c r="F375" s="58" t="s">
        <v>2074</v>
      </c>
      <c r="G375" s="58">
        <v>2024</v>
      </c>
      <c r="H375" s="58" t="s">
        <v>660</v>
      </c>
      <c r="I375" t="s">
        <v>2072</v>
      </c>
      <c r="J375" t="s">
        <v>2702</v>
      </c>
      <c r="K375" t="s">
        <v>2726</v>
      </c>
      <c r="N375" t="s">
        <v>2663</v>
      </c>
    </row>
    <row r="376" spans="1:15" ht="16.2" customHeight="1">
      <c r="A376" s="58">
        <v>2023</v>
      </c>
      <c r="B376" s="58" t="s">
        <v>660</v>
      </c>
      <c r="C376" s="58" t="s">
        <v>2075</v>
      </c>
      <c r="D376" s="58" t="s">
        <v>2662</v>
      </c>
      <c r="E376" s="58" t="s">
        <v>2664</v>
      </c>
      <c r="F376" s="58" t="s">
        <v>2076</v>
      </c>
      <c r="G376" s="58">
        <v>2024</v>
      </c>
      <c r="H376" s="58" t="s">
        <v>660</v>
      </c>
      <c r="I376" t="s">
        <v>2075</v>
      </c>
      <c r="J376" t="s">
        <v>2703</v>
      </c>
      <c r="K376" t="s">
        <v>2727</v>
      </c>
      <c r="N376" t="s">
        <v>2664</v>
      </c>
    </row>
    <row r="377" spans="1:15" ht="16.2" customHeight="1">
      <c r="A377" s="58">
        <v>2023</v>
      </c>
      <c r="B377" s="58" t="s">
        <v>660</v>
      </c>
      <c r="C377" s="58" t="s">
        <v>2077</v>
      </c>
      <c r="D377" s="58" t="s">
        <v>2662</v>
      </c>
      <c r="E377" s="58" t="s">
        <v>2665</v>
      </c>
      <c r="F377" s="58" t="s">
        <v>2078</v>
      </c>
      <c r="G377" s="58">
        <v>2024</v>
      </c>
      <c r="H377" s="58" t="s">
        <v>660</v>
      </c>
      <c r="I377" s="58" t="s">
        <v>2077</v>
      </c>
      <c r="J377" t="s">
        <v>2704</v>
      </c>
      <c r="K377" t="s">
        <v>2728</v>
      </c>
      <c r="N377" t="s">
        <v>2665</v>
      </c>
    </row>
    <row r="378" spans="1:15" ht="16.2" customHeight="1">
      <c r="G378" s="357">
        <v>2024</v>
      </c>
      <c r="H378" s="357" t="s">
        <v>660</v>
      </c>
      <c r="I378" s="357" t="s">
        <v>2705</v>
      </c>
      <c r="J378" s="358" t="s">
        <v>2706</v>
      </c>
      <c r="K378" s="358" t="s">
        <v>2729</v>
      </c>
      <c r="L378" s="357"/>
      <c r="M378" s="357"/>
      <c r="N378" s="358" t="s">
        <v>2756</v>
      </c>
      <c r="O378" s="357"/>
    </row>
    <row r="379" spans="1:15" ht="16.2" customHeight="1">
      <c r="A379" s="58">
        <v>2023</v>
      </c>
      <c r="B379" s="58" t="s">
        <v>660</v>
      </c>
      <c r="C379" s="58" t="s">
        <v>2079</v>
      </c>
      <c r="D379" s="58" t="s">
        <v>2662</v>
      </c>
      <c r="E379" s="58" t="s">
        <v>2666</v>
      </c>
      <c r="F379" s="58" t="s">
        <v>2081</v>
      </c>
      <c r="G379" s="58">
        <v>2024</v>
      </c>
      <c r="H379" s="58" t="s">
        <v>660</v>
      </c>
      <c r="I379" s="58" t="s">
        <v>2079</v>
      </c>
      <c r="J379" t="s">
        <v>2707</v>
      </c>
      <c r="K379" t="s">
        <v>2730</v>
      </c>
      <c r="N379" t="s">
        <v>2666</v>
      </c>
    </row>
    <row r="380" spans="1:15" ht="16.2" customHeight="1">
      <c r="A380" s="58">
        <v>2023</v>
      </c>
      <c r="B380" s="58" t="s">
        <v>660</v>
      </c>
      <c r="C380" s="58" t="s">
        <v>2082</v>
      </c>
      <c r="D380" s="58" t="s">
        <v>2662</v>
      </c>
      <c r="E380" s="58" t="s">
        <v>2667</v>
      </c>
      <c r="F380" s="58" t="s">
        <v>2084</v>
      </c>
      <c r="G380" s="58">
        <v>2024</v>
      </c>
      <c r="H380" s="58" t="s">
        <v>660</v>
      </c>
      <c r="I380" s="58" t="s">
        <v>2082</v>
      </c>
      <c r="J380" t="s">
        <v>2708</v>
      </c>
      <c r="K380" t="s">
        <v>2731</v>
      </c>
      <c r="N380" t="s">
        <v>2667</v>
      </c>
    </row>
    <row r="381" spans="1:15" ht="16.2" customHeight="1">
      <c r="A381" s="58">
        <v>2023</v>
      </c>
      <c r="B381" s="58" t="s">
        <v>660</v>
      </c>
      <c r="C381" s="58" t="s">
        <v>2085</v>
      </c>
      <c r="D381" s="58" t="s">
        <v>2662</v>
      </c>
      <c r="E381" s="58" t="s">
        <v>2668</v>
      </c>
      <c r="F381" s="58" t="s">
        <v>2086</v>
      </c>
      <c r="G381" s="58">
        <v>2024</v>
      </c>
      <c r="H381" s="58" t="s">
        <v>660</v>
      </c>
      <c r="I381" t="s">
        <v>2085</v>
      </c>
      <c r="J381" t="s">
        <v>2709</v>
      </c>
      <c r="K381" t="s">
        <v>2732</v>
      </c>
      <c r="N381" t="s">
        <v>2668</v>
      </c>
    </row>
    <row r="382" spans="1:15" ht="16.2" customHeight="1">
      <c r="A382" s="58">
        <v>2023</v>
      </c>
      <c r="B382" s="58" t="s">
        <v>660</v>
      </c>
      <c r="C382" s="58" t="s">
        <v>2087</v>
      </c>
      <c r="D382" s="58" t="s">
        <v>2662</v>
      </c>
      <c r="E382" s="58" t="s">
        <v>2669</v>
      </c>
      <c r="F382" s="58" t="s">
        <v>2090</v>
      </c>
      <c r="G382" s="58">
        <v>2024</v>
      </c>
      <c r="H382" s="58" t="s">
        <v>660</v>
      </c>
      <c r="I382" t="s">
        <v>2087</v>
      </c>
      <c r="J382" t="s">
        <v>2710</v>
      </c>
      <c r="K382" t="s">
        <v>2776</v>
      </c>
      <c r="N382" t="s">
        <v>2669</v>
      </c>
    </row>
    <row r="383" spans="1:15" ht="16.2" customHeight="1">
      <c r="A383" s="58">
        <v>2023</v>
      </c>
      <c r="B383" s="58" t="s">
        <v>660</v>
      </c>
      <c r="C383" s="58" t="s">
        <v>685</v>
      </c>
      <c r="D383" s="58" t="s">
        <v>2662</v>
      </c>
      <c r="E383" s="58" t="s">
        <v>2670</v>
      </c>
      <c r="F383" s="58" t="s">
        <v>2671</v>
      </c>
      <c r="G383" s="58">
        <v>2024</v>
      </c>
      <c r="H383" s="58" t="s">
        <v>660</v>
      </c>
      <c r="I383" t="s">
        <v>685</v>
      </c>
      <c r="J383" t="s">
        <v>2671</v>
      </c>
      <c r="K383" t="s">
        <v>2733</v>
      </c>
      <c r="N383" t="s">
        <v>2670</v>
      </c>
    </row>
    <row r="384" spans="1:15" ht="16.2" customHeight="1">
      <c r="A384" s="58">
        <v>2023</v>
      </c>
      <c r="B384" s="58" t="s">
        <v>660</v>
      </c>
      <c r="C384" s="58" t="s">
        <v>2091</v>
      </c>
      <c r="D384" s="58" t="s">
        <v>2662</v>
      </c>
      <c r="E384" s="58" t="s">
        <v>2672</v>
      </c>
      <c r="F384" s="58" t="s">
        <v>2092</v>
      </c>
      <c r="G384" s="58">
        <v>2024</v>
      </c>
      <c r="H384" s="58" t="s">
        <v>660</v>
      </c>
      <c r="I384" t="s">
        <v>2091</v>
      </c>
      <c r="J384" t="s">
        <v>2711</v>
      </c>
      <c r="K384" t="s">
        <v>2734</v>
      </c>
      <c r="N384" t="s">
        <v>2757</v>
      </c>
    </row>
    <row r="385" spans="1:14" ht="16.2" customHeight="1">
      <c r="A385" s="58">
        <v>2023</v>
      </c>
      <c r="B385" s="58" t="s">
        <v>660</v>
      </c>
      <c r="C385" s="58" t="s">
        <v>2093</v>
      </c>
      <c r="D385" s="58" t="s">
        <v>2662</v>
      </c>
      <c r="E385" s="58" t="s">
        <v>2673</v>
      </c>
      <c r="F385" s="58" t="s">
        <v>2094</v>
      </c>
      <c r="G385" s="58">
        <v>2024</v>
      </c>
      <c r="H385" s="58" t="s">
        <v>660</v>
      </c>
      <c r="I385" t="s">
        <v>2093</v>
      </c>
      <c r="J385" t="s">
        <v>2094</v>
      </c>
      <c r="K385" t="s">
        <v>2735</v>
      </c>
      <c r="N385" t="s">
        <v>2673</v>
      </c>
    </row>
    <row r="386" spans="1:14" ht="16.2" customHeight="1">
      <c r="A386" s="58">
        <v>2023</v>
      </c>
      <c r="B386" s="58" t="s">
        <v>660</v>
      </c>
      <c r="C386" s="58" t="s">
        <v>2095</v>
      </c>
      <c r="D386" s="58" t="s">
        <v>2662</v>
      </c>
      <c r="E386" s="58" t="s">
        <v>2674</v>
      </c>
      <c r="F386" s="58" t="s">
        <v>2096</v>
      </c>
      <c r="G386" s="58">
        <v>2024</v>
      </c>
      <c r="H386" s="58" t="s">
        <v>660</v>
      </c>
      <c r="I386" t="s">
        <v>2095</v>
      </c>
      <c r="J386" t="s">
        <v>2712</v>
      </c>
      <c r="K386" t="s">
        <v>2736</v>
      </c>
      <c r="N386" t="s">
        <v>2674</v>
      </c>
    </row>
    <row r="387" spans="1:14" ht="16.2" customHeight="1">
      <c r="A387" s="58">
        <v>2023</v>
      </c>
      <c r="B387" s="58" t="s">
        <v>660</v>
      </c>
      <c r="C387" s="58" t="s">
        <v>2097</v>
      </c>
      <c r="D387" s="58" t="s">
        <v>2662</v>
      </c>
      <c r="E387" s="58" t="s">
        <v>2403</v>
      </c>
      <c r="F387" s="58" t="s">
        <v>2675</v>
      </c>
      <c r="G387" s="58">
        <v>2024</v>
      </c>
      <c r="H387" s="58" t="s">
        <v>660</v>
      </c>
      <c r="I387" t="s">
        <v>2097</v>
      </c>
      <c r="J387" t="s">
        <v>2675</v>
      </c>
      <c r="K387" t="s">
        <v>2737</v>
      </c>
      <c r="N387" t="s">
        <v>2403</v>
      </c>
    </row>
    <row r="388" spans="1:14" ht="16.2" customHeight="1">
      <c r="G388" s="357">
        <v>2024</v>
      </c>
      <c r="H388" s="357" t="s">
        <v>660</v>
      </c>
      <c r="I388" s="358" t="s">
        <v>2713</v>
      </c>
      <c r="J388" s="358" t="s">
        <v>2714</v>
      </c>
      <c r="K388" s="358" t="s">
        <v>2738</v>
      </c>
      <c r="N388" s="358" t="s">
        <v>2758</v>
      </c>
    </row>
    <row r="389" spans="1:14" ht="16.2" customHeight="1">
      <c r="A389" s="58">
        <v>2023</v>
      </c>
      <c r="B389" s="58" t="s">
        <v>660</v>
      </c>
      <c r="C389" s="58" t="s">
        <v>2676</v>
      </c>
      <c r="D389" s="58" t="s">
        <v>2662</v>
      </c>
      <c r="E389" s="58" t="s">
        <v>2407</v>
      </c>
      <c r="F389" s="58" t="s">
        <v>2102</v>
      </c>
      <c r="G389" s="58">
        <v>2024</v>
      </c>
      <c r="H389" s="58" t="s">
        <v>660</v>
      </c>
      <c r="I389" t="s">
        <v>2676</v>
      </c>
      <c r="J389" t="s">
        <v>2102</v>
      </c>
      <c r="K389" t="s">
        <v>2739</v>
      </c>
      <c r="N389" t="s">
        <v>2407</v>
      </c>
    </row>
    <row r="390" spans="1:14" ht="16.2" customHeight="1">
      <c r="A390" s="58">
        <v>2023</v>
      </c>
      <c r="B390" s="58" t="s">
        <v>660</v>
      </c>
      <c r="C390" s="58" t="s">
        <v>2677</v>
      </c>
      <c r="D390" s="58" t="s">
        <v>2662</v>
      </c>
      <c r="E390" s="58" t="s">
        <v>2678</v>
      </c>
      <c r="F390" s="58" t="s">
        <v>2105</v>
      </c>
      <c r="G390" s="58">
        <v>2024</v>
      </c>
      <c r="H390" s="58" t="s">
        <v>660</v>
      </c>
      <c r="I390" t="s">
        <v>2677</v>
      </c>
      <c r="J390" t="s">
        <v>2105</v>
      </c>
      <c r="K390" t="s">
        <v>2740</v>
      </c>
      <c r="N390" t="s">
        <v>2678</v>
      </c>
    </row>
    <row r="391" spans="1:14" ht="16.2" customHeight="1">
      <c r="A391" s="58">
        <v>2023</v>
      </c>
      <c r="B391" s="58" t="s">
        <v>660</v>
      </c>
      <c r="C391" s="58" t="s">
        <v>2106</v>
      </c>
      <c r="D391" s="58" t="s">
        <v>2662</v>
      </c>
      <c r="E391" s="58" t="s">
        <v>2679</v>
      </c>
      <c r="F391" s="58" t="s">
        <v>2680</v>
      </c>
      <c r="G391" s="58">
        <v>2024</v>
      </c>
      <c r="H391" s="58" t="s">
        <v>660</v>
      </c>
      <c r="I391" t="s">
        <v>2106</v>
      </c>
      <c r="J391" t="s">
        <v>2680</v>
      </c>
      <c r="K391" t="s">
        <v>2741</v>
      </c>
      <c r="N391" t="s">
        <v>2759</v>
      </c>
    </row>
    <row r="392" spans="1:14" ht="16.2" customHeight="1">
      <c r="A392" s="58">
        <v>2023</v>
      </c>
      <c r="B392" s="58" t="s">
        <v>660</v>
      </c>
      <c r="C392" s="58" t="s">
        <v>2107</v>
      </c>
      <c r="D392" s="58" t="s">
        <v>2662</v>
      </c>
      <c r="E392" s="58" t="s">
        <v>2681</v>
      </c>
      <c r="F392" s="58" t="s">
        <v>2682</v>
      </c>
      <c r="G392" s="58">
        <v>2024</v>
      </c>
      <c r="H392" s="58" t="s">
        <v>660</v>
      </c>
      <c r="I392" t="s">
        <v>2107</v>
      </c>
      <c r="J392" t="s">
        <v>2682</v>
      </c>
      <c r="K392" t="s">
        <v>2742</v>
      </c>
      <c r="N392" t="s">
        <v>2760</v>
      </c>
    </row>
    <row r="393" spans="1:14" ht="16.2" customHeight="1">
      <c r="A393" s="58">
        <v>2023</v>
      </c>
      <c r="B393" s="58" t="s">
        <v>660</v>
      </c>
      <c r="C393" s="58" t="s">
        <v>2108</v>
      </c>
      <c r="D393" s="58" t="s">
        <v>2662</v>
      </c>
      <c r="E393" s="58" t="s">
        <v>2683</v>
      </c>
      <c r="F393" s="58" t="s">
        <v>2109</v>
      </c>
      <c r="G393" s="58">
        <v>2024</v>
      </c>
      <c r="H393" s="58" t="s">
        <v>660</v>
      </c>
      <c r="I393" t="s">
        <v>2108</v>
      </c>
      <c r="J393" t="s">
        <v>2715</v>
      </c>
      <c r="K393" t="s">
        <v>2743</v>
      </c>
      <c r="N393" t="s">
        <v>2761</v>
      </c>
    </row>
    <row r="394" spans="1:14" ht="16.2" customHeight="1">
      <c r="A394" s="58">
        <v>2023</v>
      </c>
      <c r="B394" s="58" t="s">
        <v>660</v>
      </c>
      <c r="C394" s="58" t="s">
        <v>2110</v>
      </c>
      <c r="D394" s="58" t="s">
        <v>2662</v>
      </c>
      <c r="E394" s="58" t="s">
        <v>2684</v>
      </c>
      <c r="F394" s="58" t="s">
        <v>2111</v>
      </c>
      <c r="G394" s="58">
        <v>2024</v>
      </c>
      <c r="H394" s="58" t="s">
        <v>660</v>
      </c>
      <c r="I394" t="s">
        <v>2110</v>
      </c>
      <c r="J394" t="s">
        <v>2716</v>
      </c>
      <c r="K394" t="s">
        <v>2744</v>
      </c>
      <c r="N394" t="s">
        <v>2762</v>
      </c>
    </row>
    <row r="395" spans="1:14" ht="16.2" customHeight="1">
      <c r="A395" s="58">
        <v>2023</v>
      </c>
      <c r="B395" s="58" t="s">
        <v>660</v>
      </c>
      <c r="C395" s="58" t="s">
        <v>2112</v>
      </c>
      <c r="D395" s="58" t="s">
        <v>2113</v>
      </c>
      <c r="E395" s="58" t="s">
        <v>2685</v>
      </c>
      <c r="F395" s="58" t="s">
        <v>2114</v>
      </c>
      <c r="G395" s="58">
        <v>2024</v>
      </c>
      <c r="H395" s="58" t="s">
        <v>660</v>
      </c>
      <c r="I395" t="s">
        <v>2112</v>
      </c>
      <c r="J395" t="s">
        <v>2114</v>
      </c>
      <c r="K395" t="s">
        <v>2745</v>
      </c>
      <c r="N395" t="s">
        <v>2685</v>
      </c>
    </row>
    <row r="396" spans="1:14" ht="16.2" customHeight="1">
      <c r="A396" s="58">
        <v>2023</v>
      </c>
      <c r="B396" s="58" t="s">
        <v>660</v>
      </c>
      <c r="C396" s="58" t="s">
        <v>2115</v>
      </c>
      <c r="D396" s="58" t="s">
        <v>2113</v>
      </c>
      <c r="E396" s="58" t="s">
        <v>2686</v>
      </c>
      <c r="F396" s="58" t="s">
        <v>2116</v>
      </c>
      <c r="G396" s="58">
        <v>2024</v>
      </c>
      <c r="H396" s="58" t="s">
        <v>660</v>
      </c>
      <c r="I396" t="s">
        <v>2115</v>
      </c>
      <c r="J396" t="s">
        <v>2116</v>
      </c>
      <c r="K396" t="s">
        <v>2746</v>
      </c>
      <c r="N396" t="s">
        <v>2686</v>
      </c>
    </row>
    <row r="397" spans="1:14" ht="16.2" customHeight="1">
      <c r="A397" s="58">
        <v>2023</v>
      </c>
      <c r="B397" s="58" t="s">
        <v>660</v>
      </c>
      <c r="C397" s="58" t="s">
        <v>2117</v>
      </c>
      <c r="D397" s="58" t="s">
        <v>2113</v>
      </c>
      <c r="E397" s="58" t="s">
        <v>2687</v>
      </c>
      <c r="F397" s="58" t="s">
        <v>2118</v>
      </c>
      <c r="G397" s="58">
        <v>2024</v>
      </c>
      <c r="H397" s="58" t="s">
        <v>660</v>
      </c>
      <c r="I397" t="s">
        <v>2117</v>
      </c>
      <c r="J397" t="s">
        <v>2118</v>
      </c>
      <c r="K397" t="s">
        <v>2747</v>
      </c>
      <c r="N397" t="s">
        <v>2687</v>
      </c>
    </row>
    <row r="398" spans="1:14" ht="16.2" customHeight="1">
      <c r="A398" s="58">
        <v>2023</v>
      </c>
      <c r="B398" s="58" t="s">
        <v>660</v>
      </c>
      <c r="C398" s="58" t="s">
        <v>2119</v>
      </c>
      <c r="D398" s="58" t="s">
        <v>2113</v>
      </c>
      <c r="E398" s="58" t="s">
        <v>2688</v>
      </c>
      <c r="F398" s="58" t="s">
        <v>2120</v>
      </c>
      <c r="G398" s="58">
        <v>2024</v>
      </c>
      <c r="H398" s="58" t="s">
        <v>660</v>
      </c>
      <c r="I398" t="s">
        <v>2119</v>
      </c>
      <c r="J398" t="s">
        <v>2120</v>
      </c>
      <c r="K398" t="s">
        <v>2748</v>
      </c>
      <c r="N398" t="s">
        <v>2688</v>
      </c>
    </row>
    <row r="399" spans="1:14" ht="16.2" customHeight="1">
      <c r="A399" s="58">
        <v>2023</v>
      </c>
      <c r="B399" s="58" t="s">
        <v>660</v>
      </c>
      <c r="C399" s="58" t="s">
        <v>2121</v>
      </c>
      <c r="D399" s="58" t="s">
        <v>2113</v>
      </c>
      <c r="E399" s="58" t="s">
        <v>2689</v>
      </c>
      <c r="F399" s="58" t="s">
        <v>2122</v>
      </c>
      <c r="G399" s="58">
        <v>2024</v>
      </c>
      <c r="H399" s="58" t="s">
        <v>660</v>
      </c>
      <c r="I399" t="s">
        <v>2121</v>
      </c>
      <c r="J399" t="s">
        <v>2122</v>
      </c>
      <c r="K399" t="s">
        <v>2749</v>
      </c>
      <c r="N399" t="s">
        <v>2689</v>
      </c>
    </row>
    <row r="400" spans="1:14" ht="16.2" customHeight="1">
      <c r="A400" s="58">
        <v>2023</v>
      </c>
      <c r="B400" s="58" t="s">
        <v>660</v>
      </c>
      <c r="C400" s="58" t="s">
        <v>2123</v>
      </c>
      <c r="D400" s="58" t="s">
        <v>2113</v>
      </c>
      <c r="E400" s="58" t="s">
        <v>2690</v>
      </c>
      <c r="F400" s="58" t="s">
        <v>2124</v>
      </c>
      <c r="G400" s="58">
        <v>2024</v>
      </c>
      <c r="H400" s="58" t="s">
        <v>660</v>
      </c>
      <c r="I400" t="s">
        <v>2123</v>
      </c>
      <c r="J400" t="s">
        <v>2124</v>
      </c>
      <c r="K400" t="s">
        <v>2777</v>
      </c>
      <c r="N400" t="s">
        <v>2690</v>
      </c>
    </row>
    <row r="401" spans="1:14" ht="16.2" customHeight="1">
      <c r="A401" s="58">
        <v>2023</v>
      </c>
      <c r="B401" s="58" t="s">
        <v>660</v>
      </c>
      <c r="C401" s="58" t="s">
        <v>2125</v>
      </c>
      <c r="D401" s="58" t="s">
        <v>2113</v>
      </c>
      <c r="E401" s="58" t="s">
        <v>2691</v>
      </c>
      <c r="F401" s="58" t="s">
        <v>2126</v>
      </c>
      <c r="G401" s="58">
        <v>2024</v>
      </c>
      <c r="H401" s="58" t="s">
        <v>660</v>
      </c>
      <c r="I401" t="s">
        <v>2125</v>
      </c>
      <c r="J401" t="s">
        <v>2126</v>
      </c>
      <c r="K401" t="s">
        <v>2750</v>
      </c>
      <c r="N401" t="s">
        <v>2691</v>
      </c>
    </row>
    <row r="402" spans="1:14" ht="16.2" customHeight="1">
      <c r="A402" s="58">
        <v>2023</v>
      </c>
      <c r="B402" s="58" t="s">
        <v>660</v>
      </c>
      <c r="C402" s="58" t="s">
        <v>2127</v>
      </c>
      <c r="D402" s="58" t="s">
        <v>2113</v>
      </c>
      <c r="E402" s="58" t="s">
        <v>2692</v>
      </c>
      <c r="F402" s="58" t="s">
        <v>2128</v>
      </c>
      <c r="G402" s="58">
        <v>2024</v>
      </c>
      <c r="H402" s="58" t="s">
        <v>660</v>
      </c>
      <c r="I402" t="s">
        <v>2127</v>
      </c>
      <c r="J402" t="s">
        <v>2128</v>
      </c>
      <c r="K402" t="s">
        <v>2778</v>
      </c>
      <c r="N402" t="s">
        <v>2692</v>
      </c>
    </row>
    <row r="403" spans="1:14" ht="16.2" customHeight="1">
      <c r="A403" s="58">
        <v>2023</v>
      </c>
      <c r="B403" s="58" t="s">
        <v>660</v>
      </c>
      <c r="C403" s="58" t="s">
        <v>680</v>
      </c>
      <c r="D403" s="58" t="s">
        <v>2113</v>
      </c>
      <c r="E403" s="58" t="s">
        <v>2693</v>
      </c>
      <c r="F403" s="58" t="s">
        <v>2694</v>
      </c>
      <c r="G403" s="58">
        <v>2024</v>
      </c>
      <c r="H403" s="58" t="s">
        <v>660</v>
      </c>
      <c r="I403" t="s">
        <v>680</v>
      </c>
      <c r="J403" t="s">
        <v>2694</v>
      </c>
      <c r="K403" t="s">
        <v>2779</v>
      </c>
      <c r="N403" t="s">
        <v>2693</v>
      </c>
    </row>
    <row r="404" spans="1:14" ht="16.2" customHeight="1">
      <c r="A404" s="58">
        <v>2023</v>
      </c>
      <c r="B404" s="58" t="s">
        <v>660</v>
      </c>
      <c r="C404" s="58" t="s">
        <v>2129</v>
      </c>
      <c r="D404" s="58" t="s">
        <v>2130</v>
      </c>
      <c r="E404" s="58" t="s">
        <v>2131</v>
      </c>
      <c r="F404" s="58" t="s">
        <v>2133</v>
      </c>
      <c r="G404" s="58">
        <v>2024</v>
      </c>
      <c r="H404" s="58" t="s">
        <v>660</v>
      </c>
      <c r="I404" t="s">
        <v>2129</v>
      </c>
      <c r="J404" t="s">
        <v>2133</v>
      </c>
      <c r="K404" t="s">
        <v>2780</v>
      </c>
      <c r="N404" t="s">
        <v>2131</v>
      </c>
    </row>
    <row r="405" spans="1:14" ht="16.2" customHeight="1">
      <c r="G405" s="357">
        <v>2024</v>
      </c>
      <c r="H405" s="357" t="s">
        <v>660</v>
      </c>
      <c r="I405" s="358" t="s">
        <v>2717</v>
      </c>
      <c r="J405" s="358" t="s">
        <v>2718</v>
      </c>
      <c r="K405" s="358" t="s">
        <v>2781</v>
      </c>
      <c r="N405" s="358" t="s">
        <v>2763</v>
      </c>
    </row>
    <row r="406" spans="1:14" ht="16.2" customHeight="1">
      <c r="A406" s="58">
        <v>2023</v>
      </c>
      <c r="B406" s="58" t="s">
        <v>660</v>
      </c>
      <c r="C406" s="58" t="s">
        <v>2134</v>
      </c>
      <c r="D406" s="58" t="s">
        <v>2135</v>
      </c>
      <c r="E406" s="58" t="s">
        <v>2136</v>
      </c>
      <c r="F406" s="58" t="s">
        <v>2137</v>
      </c>
      <c r="G406" s="58">
        <v>2024</v>
      </c>
      <c r="H406" s="58" t="s">
        <v>660</v>
      </c>
      <c r="I406" t="s">
        <v>2134</v>
      </c>
      <c r="J406" t="s">
        <v>2137</v>
      </c>
      <c r="K406" t="s">
        <v>2782</v>
      </c>
      <c r="N406" t="s">
        <v>2136</v>
      </c>
    </row>
    <row r="420" spans="2:2" ht="16.2" customHeight="1">
      <c r="B420" s="21"/>
    </row>
    <row r="421" spans="2:2" ht="16.2" customHeight="1">
      <c r="B421" s="21"/>
    </row>
    <row r="422" spans="2:2" ht="16.2" customHeight="1">
      <c r="B422" s="21"/>
    </row>
    <row r="423" spans="2:2" ht="16.2" customHeight="1">
      <c r="B423" s="21"/>
    </row>
    <row r="424" spans="2:2" ht="16.2" customHeight="1">
      <c r="B424" s="21"/>
    </row>
    <row r="425" spans="2:2" ht="16.2" customHeight="1">
      <c r="B425" s="21"/>
    </row>
    <row r="426" spans="2:2" ht="16.2" customHeight="1">
      <c r="B426" s="21"/>
    </row>
    <row r="427" spans="2:2" ht="16.2" customHeight="1">
      <c r="B427" s="21"/>
    </row>
    <row r="428" spans="2:2" ht="16.2" customHeight="1">
      <c r="B428" s="21"/>
    </row>
    <row r="429" spans="2:2" ht="16.2" customHeight="1">
      <c r="B429" s="21"/>
    </row>
    <row r="430" spans="2:2" ht="16.2" customHeight="1">
      <c r="B430" s="21"/>
    </row>
    <row r="431" spans="2:2" ht="16.2" customHeight="1">
      <c r="B431" s="21"/>
    </row>
    <row r="432" spans="2:2" ht="16.2" customHeight="1">
      <c r="B432" s="21"/>
    </row>
    <row r="433" spans="2:2" ht="16.2" customHeight="1">
      <c r="B433" s="21"/>
    </row>
    <row r="434" spans="2:2" ht="16.2" customHeight="1">
      <c r="B434" s="21"/>
    </row>
    <row r="435" spans="2:2" ht="16.2" customHeight="1">
      <c r="B435" s="21"/>
    </row>
    <row r="436" spans="2:2" ht="16.2" customHeight="1">
      <c r="B436" s="21"/>
    </row>
    <row r="437" spans="2:2" ht="16.2" customHeight="1">
      <c r="B437" s="21"/>
    </row>
    <row r="438" spans="2:2" ht="16.2" customHeight="1">
      <c r="B438" s="21"/>
    </row>
    <row r="439" spans="2:2" ht="16.2" customHeight="1">
      <c r="B439" s="21"/>
    </row>
    <row r="440" spans="2:2" ht="16.2" customHeight="1">
      <c r="B440" s="21"/>
    </row>
    <row r="441" spans="2:2" ht="16.2" customHeight="1">
      <c r="B441" s="21"/>
    </row>
    <row r="442" spans="2:2" ht="16.2" customHeight="1">
      <c r="B442" s="21"/>
    </row>
    <row r="443" spans="2:2" ht="16.2" customHeight="1">
      <c r="B443" s="21"/>
    </row>
    <row r="444" spans="2:2" ht="16.2" customHeight="1">
      <c r="B444" s="21"/>
    </row>
  </sheetData>
  <sortState xmlns:xlrd2="http://schemas.microsoft.com/office/spreadsheetml/2017/richdata2" ref="R220:R268">
    <sortCondition ref="R220:R268"/>
  </sortState>
  <phoneticPr fontId="3"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3E621-BDDB-4E5C-B000-C3733274C514}">
  <sheetPr codeName="Sheet2"/>
  <dimension ref="A1:IC408"/>
  <sheetViews>
    <sheetView zoomScaleNormal="100" workbookViewId="0">
      <pane xSplit="1" ySplit="2" topLeftCell="Q323" activePane="bottomRight" state="frozen"/>
      <selection pane="topRight" activeCell="B1" sqref="B1"/>
      <selection pane="bottomLeft" activeCell="A3" sqref="A3"/>
      <selection pane="bottomRight" activeCell="T303" sqref="T303"/>
    </sheetView>
    <sheetView workbookViewId="1"/>
  </sheetViews>
  <sheetFormatPr defaultColWidth="8.69921875" defaultRowHeight="13.8"/>
  <cols>
    <col min="1" max="1" width="7.5" style="2" customWidth="1"/>
    <col min="2" max="2" width="6.5" style="2" customWidth="1"/>
    <col min="3" max="3" width="5.5" style="2" customWidth="1"/>
    <col min="4" max="4" width="14" style="2" customWidth="1"/>
    <col min="5" max="6" width="6.69921875" style="2" customWidth="1"/>
    <col min="7" max="7" width="8.8984375" style="2" customWidth="1"/>
    <col min="8" max="8" width="8.796875" style="2" customWidth="1"/>
    <col min="9" max="9" width="7.19921875" style="2" customWidth="1"/>
    <col min="10" max="10" width="4.19921875" style="2" customWidth="1"/>
    <col min="11" max="11" width="6.19921875" style="2" customWidth="1"/>
    <col min="12" max="12" width="6" style="2" customWidth="1"/>
    <col min="13" max="13" width="10.19921875" style="2" customWidth="1"/>
    <col min="14" max="14" width="15.296875" style="2" customWidth="1"/>
    <col min="15" max="15" width="33.59765625" style="2" customWidth="1"/>
    <col min="16" max="16" width="13.796875" style="2" customWidth="1"/>
    <col min="17" max="17" width="18.5" style="2" customWidth="1"/>
    <col min="18" max="18" width="6.69921875" style="2" customWidth="1"/>
    <col min="19" max="19" width="8.59765625" style="2" customWidth="1"/>
    <col min="20" max="25" width="6.69921875" style="2" customWidth="1"/>
    <col min="26" max="26" width="8.19921875" style="2" customWidth="1"/>
    <col min="27" max="27" width="7.19921875" style="2" customWidth="1"/>
    <col min="28" max="28" width="8.69921875" style="2" customWidth="1"/>
    <col min="29" max="30" width="10.19921875" style="2" customWidth="1"/>
    <col min="31" max="31" width="11.796875" style="2" customWidth="1"/>
    <col min="32" max="32" width="12.3984375" style="2" customWidth="1"/>
    <col min="33" max="33" width="55" style="2" customWidth="1"/>
    <col min="34" max="34" width="46" style="2" customWidth="1"/>
    <col min="35" max="35" width="48.8984375" style="2" customWidth="1"/>
    <col min="36" max="36" width="20.8984375" style="2" customWidth="1"/>
    <col min="37" max="37" width="21.296875" style="2" customWidth="1"/>
    <col min="38" max="38" width="16.5" style="2" customWidth="1"/>
    <col min="39" max="39" width="6.69921875" style="2" customWidth="1"/>
    <col min="40" max="40" width="9.19921875" style="2" customWidth="1"/>
    <col min="41" max="41" width="6.69921875" style="2" customWidth="1"/>
    <col min="42" max="42" width="44.09765625" style="2" customWidth="1"/>
    <col min="43" max="46" width="10.19921875" style="2" customWidth="1"/>
    <col min="47" max="58" width="6.69921875" style="2" customWidth="1"/>
    <col min="59" max="59" width="8.69921875" style="2" customWidth="1"/>
    <col min="60" max="67" width="6.69921875" style="2" customWidth="1"/>
    <col min="68" max="75" width="6.69921875" style="206" customWidth="1"/>
    <col min="76" max="98" width="6.69921875" style="2" customWidth="1"/>
    <col min="99" max="100" width="8.69921875" style="2" customWidth="1"/>
    <col min="101" max="108" width="6.69921875" style="2" customWidth="1"/>
    <col min="109" max="116" width="6.69921875" style="206" customWidth="1"/>
    <col min="117" max="123" width="6.69921875" style="2" customWidth="1"/>
    <col min="124" max="124" width="8" style="2" customWidth="1"/>
    <col min="125" max="174" width="6.69921875" style="2" customWidth="1"/>
    <col min="175" max="16384" width="8.69921875" style="2"/>
  </cols>
  <sheetData>
    <row r="1" spans="1:237">
      <c r="A1" s="2" t="s">
        <v>272</v>
      </c>
      <c r="EC1" s="11"/>
      <c r="ED1" s="11"/>
      <c r="FQ1" s="11"/>
      <c r="GW1" s="11"/>
      <c r="IC1" s="11"/>
    </row>
    <row r="2" spans="1:237" s="11" customFormat="1" ht="13.95" customHeight="1">
      <c r="A2" s="11" t="s">
        <v>110</v>
      </c>
      <c r="B2" s="11" t="s">
        <v>31</v>
      </c>
      <c r="C2" s="11" t="s">
        <v>111</v>
      </c>
      <c r="D2" s="11" t="s">
        <v>74</v>
      </c>
      <c r="E2" s="11" t="s">
        <v>113</v>
      </c>
      <c r="F2" s="11" t="s">
        <v>689</v>
      </c>
      <c r="G2" s="11" t="s">
        <v>109</v>
      </c>
      <c r="H2" s="11" t="s">
        <v>108</v>
      </c>
      <c r="I2" s="11" t="s">
        <v>106</v>
      </c>
      <c r="M2" s="11" t="s">
        <v>694</v>
      </c>
      <c r="N2" s="11" t="s">
        <v>695</v>
      </c>
      <c r="O2" s="11" t="s">
        <v>696</v>
      </c>
      <c r="P2" s="11" t="s">
        <v>697</v>
      </c>
      <c r="Q2" s="11" t="s">
        <v>698</v>
      </c>
      <c r="R2" s="11" t="s">
        <v>356</v>
      </c>
      <c r="S2" s="11" t="s">
        <v>693</v>
      </c>
      <c r="T2" s="11" t="s">
        <v>38</v>
      </c>
      <c r="U2" s="11" t="s">
        <v>690</v>
      </c>
      <c r="V2" s="11" t="s">
        <v>691</v>
      </c>
      <c r="W2" s="11" t="s">
        <v>692</v>
      </c>
      <c r="X2" s="11" t="s">
        <v>28</v>
      </c>
      <c r="Y2" s="11" t="s">
        <v>2793</v>
      </c>
      <c r="Z2" s="11" t="s">
        <v>2794</v>
      </c>
      <c r="AA2" s="11" t="s">
        <v>2795</v>
      </c>
      <c r="AB2" s="11" t="s">
        <v>2796</v>
      </c>
      <c r="AC2" s="11" t="s">
        <v>2797</v>
      </c>
      <c r="AD2" s="11" t="s">
        <v>2798</v>
      </c>
      <c r="AE2" s="11" t="s">
        <v>2799</v>
      </c>
      <c r="AF2" s="11" t="s">
        <v>2800</v>
      </c>
      <c r="AG2" s="11" t="s">
        <v>2801</v>
      </c>
      <c r="AH2" s="11" t="s">
        <v>2802</v>
      </c>
      <c r="AI2" s="11" t="s">
        <v>2803</v>
      </c>
      <c r="AJ2" s="11" t="s">
        <v>699</v>
      </c>
      <c r="AK2" s="11" t="s">
        <v>700</v>
      </c>
      <c r="AL2" s="11" t="s">
        <v>701</v>
      </c>
      <c r="AM2" s="11" t="s">
        <v>702</v>
      </c>
      <c r="AN2" s="11" t="s">
        <v>703</v>
      </c>
      <c r="AO2" s="11" t="s">
        <v>704</v>
      </c>
      <c r="AP2" s="11" t="s">
        <v>705</v>
      </c>
      <c r="AQ2" s="11" t="s">
        <v>706</v>
      </c>
      <c r="AR2" s="11" t="s">
        <v>707</v>
      </c>
      <c r="AS2" s="11" t="s">
        <v>708</v>
      </c>
      <c r="AT2" s="11" t="s">
        <v>709</v>
      </c>
      <c r="AU2" s="11" t="s">
        <v>710</v>
      </c>
      <c r="AV2" s="11" t="s">
        <v>711</v>
      </c>
      <c r="AW2" s="11" t="s">
        <v>712</v>
      </c>
      <c r="AX2" s="11" t="s">
        <v>713</v>
      </c>
      <c r="AY2" s="11" t="s">
        <v>714</v>
      </c>
      <c r="AZ2" s="11" t="s">
        <v>715</v>
      </c>
      <c r="BA2" s="11" t="s">
        <v>716</v>
      </c>
      <c r="BB2" s="11" t="s">
        <v>717</v>
      </c>
      <c r="BC2" s="11" t="s">
        <v>718</v>
      </c>
      <c r="BD2" s="11" t="s">
        <v>719</v>
      </c>
      <c r="BE2" s="11" t="s">
        <v>720</v>
      </c>
      <c r="BF2" s="11" t="s">
        <v>721</v>
      </c>
      <c r="BH2" s="11" t="s">
        <v>722</v>
      </c>
      <c r="BI2" s="11" t="s">
        <v>723</v>
      </c>
      <c r="BJ2" s="11" t="s">
        <v>724</v>
      </c>
      <c r="BK2" s="11" t="s">
        <v>725</v>
      </c>
      <c r="BL2" s="11" t="s">
        <v>726</v>
      </c>
      <c r="BM2" s="11" t="s">
        <v>727</v>
      </c>
      <c r="BN2" s="11" t="s">
        <v>728</v>
      </c>
      <c r="BO2" s="11" t="s">
        <v>729</v>
      </c>
      <c r="BP2" s="207"/>
      <c r="BQ2" s="207"/>
      <c r="BR2" s="207"/>
      <c r="BS2" s="207"/>
      <c r="BT2" s="207"/>
      <c r="BU2" s="207"/>
      <c r="BV2" s="207"/>
      <c r="BW2" s="207"/>
      <c r="BX2" s="11" t="s">
        <v>730</v>
      </c>
      <c r="BY2" s="11" t="s">
        <v>731</v>
      </c>
      <c r="BZ2" s="11" t="s">
        <v>732</v>
      </c>
      <c r="CA2" s="11" t="s">
        <v>733</v>
      </c>
      <c r="CB2" s="11" t="s">
        <v>734</v>
      </c>
      <c r="CC2" s="11" t="s">
        <v>735</v>
      </c>
      <c r="CD2" s="11" t="s">
        <v>736</v>
      </c>
      <c r="CE2" s="11" t="s">
        <v>737</v>
      </c>
      <c r="CF2" s="11" t="s">
        <v>738</v>
      </c>
      <c r="CG2" s="11" t="s">
        <v>739</v>
      </c>
      <c r="CH2" s="11" t="s">
        <v>740</v>
      </c>
      <c r="CI2" s="11" t="s">
        <v>741</v>
      </c>
      <c r="CJ2" s="11" t="s">
        <v>742</v>
      </c>
      <c r="CK2" s="11" t="s">
        <v>743</v>
      </c>
      <c r="CL2" s="11" t="s">
        <v>744</v>
      </c>
      <c r="CM2" s="11" t="s">
        <v>745</v>
      </c>
      <c r="CN2" s="11" t="s">
        <v>746</v>
      </c>
      <c r="CO2" s="11" t="s">
        <v>747</v>
      </c>
      <c r="CP2" s="11" t="s">
        <v>748</v>
      </c>
      <c r="CQ2" s="11" t="s">
        <v>749</v>
      </c>
      <c r="CR2" s="11" t="s">
        <v>750</v>
      </c>
      <c r="CS2" s="11" t="s">
        <v>751</v>
      </c>
      <c r="CT2" s="11" t="s">
        <v>752</v>
      </c>
      <c r="CU2" s="11" t="s">
        <v>753</v>
      </c>
      <c r="CW2" s="11" t="s">
        <v>754</v>
      </c>
      <c r="CX2" s="11" t="s">
        <v>755</v>
      </c>
      <c r="CY2" s="11" t="s">
        <v>756</v>
      </c>
      <c r="CZ2" s="11" t="s">
        <v>757</v>
      </c>
      <c r="DA2" s="11" t="s">
        <v>758</v>
      </c>
      <c r="DB2" s="11" t="s">
        <v>759</v>
      </c>
      <c r="DC2" s="11" t="s">
        <v>760</v>
      </c>
      <c r="DD2" s="11" t="s">
        <v>761</v>
      </c>
      <c r="DE2" s="207"/>
      <c r="DF2" s="207"/>
      <c r="DG2" s="207"/>
      <c r="DH2" s="207"/>
      <c r="DI2" s="207"/>
      <c r="DJ2" s="207"/>
      <c r="DK2" s="207"/>
      <c r="DL2" s="207"/>
      <c r="DM2" s="11" t="s">
        <v>762</v>
      </c>
      <c r="DN2" s="11" t="s">
        <v>763</v>
      </c>
      <c r="DO2" s="11" t="s">
        <v>764</v>
      </c>
      <c r="DP2" s="11" t="s">
        <v>765</v>
      </c>
      <c r="DQ2" s="11" t="s">
        <v>766</v>
      </c>
      <c r="DR2" s="11" t="s">
        <v>767</v>
      </c>
      <c r="DS2" s="11" t="s">
        <v>768</v>
      </c>
      <c r="DT2" s="11" t="s">
        <v>769</v>
      </c>
      <c r="DU2" s="11" t="s">
        <v>770</v>
      </c>
      <c r="DV2" s="11" t="s">
        <v>771</v>
      </c>
      <c r="DW2" s="11" t="s">
        <v>772</v>
      </c>
      <c r="DX2" s="11" t="s">
        <v>773</v>
      </c>
      <c r="DY2" s="11" t="s">
        <v>774</v>
      </c>
      <c r="DZ2" s="11" t="s">
        <v>775</v>
      </c>
      <c r="EA2" s="11" t="s">
        <v>776</v>
      </c>
      <c r="EB2" s="11" t="s">
        <v>777</v>
      </c>
      <c r="EC2" s="11" t="s">
        <v>778</v>
      </c>
      <c r="ED2" s="11" t="s">
        <v>779</v>
      </c>
      <c r="EE2" s="11" t="s">
        <v>780</v>
      </c>
      <c r="EF2" s="11" t="s">
        <v>781</v>
      </c>
      <c r="EG2" s="11" t="s">
        <v>782</v>
      </c>
      <c r="EH2" s="11" t="s">
        <v>783</v>
      </c>
      <c r="EI2" s="11" t="s">
        <v>784</v>
      </c>
      <c r="EJ2" s="11" t="s">
        <v>785</v>
      </c>
      <c r="EK2" s="11" t="s">
        <v>786</v>
      </c>
      <c r="EL2" s="11" t="s">
        <v>787</v>
      </c>
      <c r="EM2" s="11" t="s">
        <v>788</v>
      </c>
      <c r="EN2" s="11" t="s">
        <v>789</v>
      </c>
      <c r="EO2" s="11" t="s">
        <v>790</v>
      </c>
      <c r="EP2" s="11" t="s">
        <v>791</v>
      </c>
      <c r="EQ2" s="11" t="s">
        <v>792</v>
      </c>
      <c r="ER2" s="11" t="s">
        <v>793</v>
      </c>
      <c r="FA2" s="11" t="s">
        <v>794</v>
      </c>
      <c r="FB2" s="11" t="s">
        <v>795</v>
      </c>
      <c r="FC2" s="11" t="s">
        <v>796</v>
      </c>
      <c r="FD2" s="11" t="s">
        <v>797</v>
      </c>
      <c r="FE2" s="11" t="s">
        <v>798</v>
      </c>
      <c r="FF2" s="11" t="s">
        <v>799</v>
      </c>
      <c r="FG2" s="11" t="s">
        <v>800</v>
      </c>
      <c r="FH2" s="11" t="s">
        <v>801</v>
      </c>
      <c r="FI2" s="11" t="s">
        <v>802</v>
      </c>
      <c r="FJ2" s="11" t="s">
        <v>803</v>
      </c>
      <c r="FK2" s="11" t="s">
        <v>804</v>
      </c>
      <c r="FL2" s="11" t="s">
        <v>805</v>
      </c>
      <c r="FM2" s="11" t="s">
        <v>806</v>
      </c>
      <c r="FN2" s="11" t="s">
        <v>807</v>
      </c>
      <c r="FO2" s="11" t="s">
        <v>808</v>
      </c>
      <c r="FP2" s="11" t="s">
        <v>809</v>
      </c>
    </row>
    <row r="3" spans="1:237" s="128" customFormat="1">
      <c r="A3" s="128" t="str">
        <f>'All in One'!C8</f>
        <v>JS4458</v>
      </c>
      <c r="B3" s="128" t="str">
        <f>IFERROR(INDEX(B$13:B$548,MATCH($A4,$A$13:$A$548,0)),"")</f>
        <v>CUHK</v>
      </c>
      <c r="C3" s="128" t="str">
        <f>IFERROR(INDEX(C$13:C$548,MATCH($A4,$A$13:$A$548,0)),"")</f>
        <v>工程學院</v>
      </c>
      <c r="D3" s="128" t="str">
        <f>IFERROR(INDEX(D$13:D$548,MATCH($A4,$A$13:$A$548,0)),"")</f>
        <v>系統工程與工程管理</v>
      </c>
      <c r="E3" s="128" t="str">
        <f>IFERROR(INDEX(E$13:E$548,MATCH($A4,$A$13:$A$548,0)),"")</f>
        <v>Best 5</v>
      </c>
      <c r="G3" s="128">
        <f>IFERROR(INDEX(G$13:G$548,MATCH($A4,$A$13:$A$548,0)),"")</f>
        <v>30.25</v>
      </c>
      <c r="H3" s="128">
        <f>IFERROR(INDEX(H$13:H$548,MATCH($A4,$A$13:$A$548,0)),"")</f>
        <v>28</v>
      </c>
      <c r="I3" s="128">
        <f>IFERROR(INDEX(I$13:I$548,MATCH($A4,$A$13:$A$548,0)),"")</f>
        <v>26.75</v>
      </c>
      <c r="M3" s="128" t="str">
        <f t="shared" ref="M3:BF3" si="0">IFERROR(INDEX(M$13:M$548,MATCH($A4,$A$13:$A$548,0)),"")</f>
        <v>優先考慮修讀以下科目者︰</v>
      </c>
      <c r="N3" s="128" t="str">
        <f t="shared" si="0"/>
        <v>M1/2、生物、BAFS、化學、組合科學、經濟、ICT、物理</v>
      </c>
      <c r="O3" s="128" t="str">
        <f t="shared" si="0"/>
        <v>x1.5: 數學、M1/2、生物、BAFS、化學、組合科學、經濟、ICT、物理</v>
      </c>
      <c r="P3" s="128" t="str">
        <f t="shared" si="0"/>
        <v>x0.5: 通識</v>
      </c>
      <c r="Q3" s="128" t="str">
        <f t="shared" si="0"/>
        <v>/</v>
      </c>
      <c r="R3" s="128" t="str">
        <f t="shared" si="0"/>
        <v>SEEM</v>
      </c>
      <c r="S3" s="128" t="str">
        <f t="shared" si="0"/>
        <v>有</v>
      </c>
      <c r="T3" s="128">
        <f t="shared" si="0"/>
        <v>53</v>
      </c>
      <c r="U3" s="128">
        <f t="shared" si="0"/>
        <v>42</v>
      </c>
      <c r="V3" s="128">
        <f t="shared" si="0"/>
        <v>182</v>
      </c>
      <c r="W3" s="128">
        <f t="shared" si="0"/>
        <v>42</v>
      </c>
      <c r="X3" s="128">
        <f t="shared" si="0"/>
        <v>4.333333333333333</v>
      </c>
      <c r="Y3" s="128" t="str">
        <f t="shared" si="0"/>
        <v>有</v>
      </c>
      <c r="Z3" s="128" t="str">
        <f t="shared" si="0"/>
        <v>/</v>
      </c>
      <c r="AA3" s="128" t="str">
        <f t="shared" si="0"/>
        <v>/</v>
      </c>
      <c r="AB3" s="128" t="str">
        <f t="shared" si="0"/>
        <v>Best 5</v>
      </c>
      <c r="AC3" s="128" t="str">
        <f t="shared" si="0"/>
        <v>由於本年CUHK不再為 組合科學 及 綜合科學計算比重，此處的估算分數亦不會為其計算比重。</v>
      </c>
      <c r="AD3" s="128">
        <f t="shared" si="0"/>
        <v>0</v>
      </c>
      <c r="AE3" s="128" t="str">
        <f t="shared" si="0"/>
        <v>優先考慮修讀以下科目者︰</v>
      </c>
      <c r="AF3" s="128" t="str">
        <f t="shared" si="0"/>
        <v>M1/2、生物、BAFS、化學、經濟、ICT、物理</v>
      </c>
      <c r="AG3" s="128" t="str">
        <f t="shared" si="0"/>
        <v>x1.5: 數學、M1/2</v>
      </c>
      <c r="AH3" s="128" t="str">
        <f t="shared" si="0"/>
        <v>x1.5: 生物、化學、物理、BAFS、經濟、ICT</v>
      </c>
      <c r="AI3" s="128" t="str">
        <f t="shared" si="0"/>
        <v>/</v>
      </c>
      <c r="AJ3" s="128" t="str">
        <f t="shared" si="0"/>
        <v>/</v>
      </c>
      <c r="AK3" s="128" t="str">
        <f t="shared" si="0"/>
        <v>/</v>
      </c>
      <c r="AL3" s="128" t="str">
        <f t="shared" si="0"/>
        <v>/</v>
      </c>
      <c r="AM3" s="128" t="str">
        <f t="shared" si="0"/>
        <v>/</v>
      </c>
      <c r="AN3" s="128" t="str">
        <f t="shared" si="0"/>
        <v>/</v>
      </c>
      <c r="AO3" s="128" t="str">
        <f t="shared" si="0"/>
        <v>/</v>
      </c>
      <c r="AP3" s="128" t="str">
        <f t="shared" si="0"/>
        <v>/</v>
      </c>
      <c r="AQ3" s="128" t="str">
        <f t="shared" si="0"/>
        <v>/</v>
      </c>
      <c r="AR3" s="128">
        <f t="shared" si="0"/>
        <v>0</v>
      </c>
      <c r="AS3" s="128" t="str">
        <f t="shared" si="0"/>
        <v>此參考分數為院校公佈的 已計比重分數，沒有估算成份。</v>
      </c>
      <c r="AT3" s="128">
        <f t="shared" si="0"/>
        <v>0</v>
      </c>
      <c r="AU3" s="128" t="str">
        <f t="shared" si="0"/>
        <v>無</v>
      </c>
      <c r="AV3" s="128">
        <f t="shared" si="0"/>
        <v>0</v>
      </c>
      <c r="AW3" s="128">
        <f t="shared" si="0"/>
        <v>0</v>
      </c>
      <c r="AX3" s="128">
        <f t="shared" si="0"/>
        <v>0</v>
      </c>
      <c r="AY3" s="128">
        <f t="shared" si="0"/>
        <v>1</v>
      </c>
      <c r="AZ3" s="128">
        <f t="shared" si="0"/>
        <v>1</v>
      </c>
      <c r="BA3" s="128">
        <f t="shared" si="0"/>
        <v>1.5</v>
      </c>
      <c r="BB3" s="128">
        <f t="shared" si="0"/>
        <v>0.5</v>
      </c>
      <c r="BC3" s="128">
        <f t="shared" si="0"/>
        <v>1.5</v>
      </c>
      <c r="BD3" s="128">
        <f t="shared" si="0"/>
        <v>1.5</v>
      </c>
      <c r="BE3" s="128">
        <f t="shared" si="0"/>
        <v>1.5</v>
      </c>
      <c r="BF3" s="128">
        <f t="shared" si="0"/>
        <v>1.5</v>
      </c>
      <c r="BH3" s="128">
        <f t="shared" ref="BH3:BO3" si="1">IFERROR(INDEX(BH$13:BH$548,MATCH($A4,$A$13:$A$548,0)),"")</f>
        <v>4</v>
      </c>
      <c r="BI3" s="128">
        <f t="shared" si="1"/>
        <v>4</v>
      </c>
      <c r="BJ3" s="128">
        <f t="shared" si="1"/>
        <v>3</v>
      </c>
      <c r="BK3" s="128">
        <f t="shared" si="1"/>
        <v>4</v>
      </c>
      <c r="BL3" s="128" t="str">
        <f t="shared" si="1"/>
        <v>/</v>
      </c>
      <c r="BM3" s="128">
        <f t="shared" si="1"/>
        <v>5.5</v>
      </c>
      <c r="BN3" s="128">
        <f t="shared" si="1"/>
        <v>4</v>
      </c>
      <c r="BO3" s="128">
        <f t="shared" si="1"/>
        <v>2</v>
      </c>
      <c r="BP3" s="206"/>
      <c r="BQ3" s="206"/>
      <c r="BR3" s="206"/>
      <c r="BS3" s="206"/>
      <c r="BT3" s="206"/>
      <c r="BU3" s="206"/>
      <c r="BV3" s="206"/>
      <c r="BW3" s="206"/>
      <c r="BX3" s="128">
        <f t="shared" ref="BX3:CU3" si="2">IFERROR(INDEX(BX$13:BX$548,MATCH($A4,$A$13:$A$548,0)),"")</f>
        <v>4.00000000004</v>
      </c>
      <c r="BY3" s="128">
        <f t="shared" si="2"/>
        <v>4.00000000002</v>
      </c>
      <c r="BZ3" s="128">
        <f t="shared" si="2"/>
        <v>4.5000000000450004</v>
      </c>
      <c r="CA3" s="128">
        <f t="shared" si="2"/>
        <v>2.000000000005</v>
      </c>
      <c r="CB3" s="128">
        <f t="shared" si="2"/>
        <v>0</v>
      </c>
      <c r="CC3" s="128">
        <f t="shared" si="2"/>
        <v>8.2500000000900009</v>
      </c>
      <c r="CD3" s="128">
        <f t="shared" si="2"/>
        <v>6.0000000001050005</v>
      </c>
      <c r="CE3" s="128">
        <f t="shared" si="2"/>
        <v>3.00000000012</v>
      </c>
      <c r="CF3" s="128" t="b">
        <f t="shared" si="2"/>
        <v>1</v>
      </c>
      <c r="CG3" s="128" t="b">
        <f t="shared" si="2"/>
        <v>1</v>
      </c>
      <c r="CH3" s="128" t="b">
        <f t="shared" si="2"/>
        <v>1</v>
      </c>
      <c r="CI3" s="128" t="b">
        <f t="shared" si="2"/>
        <v>0</v>
      </c>
      <c r="CJ3" s="128" t="b">
        <f t="shared" si="2"/>
        <v>0</v>
      </c>
      <c r="CK3" s="128" t="b">
        <f t="shared" si="2"/>
        <v>1</v>
      </c>
      <c r="CL3" s="128" t="b">
        <f t="shared" si="2"/>
        <v>1</v>
      </c>
      <c r="CM3" s="128" t="b">
        <f t="shared" si="2"/>
        <v>0</v>
      </c>
      <c r="CN3" s="128">
        <f t="shared" si="2"/>
        <v>1</v>
      </c>
      <c r="CO3" s="128">
        <f t="shared" si="2"/>
        <v>1</v>
      </c>
      <c r="CP3" s="128">
        <f t="shared" si="2"/>
        <v>1.5</v>
      </c>
      <c r="CQ3" s="128">
        <f t="shared" si="2"/>
        <v>0.5</v>
      </c>
      <c r="CR3" s="128">
        <f t="shared" si="2"/>
        <v>1.5</v>
      </c>
      <c r="CS3" s="128">
        <f t="shared" si="2"/>
        <v>1.5</v>
      </c>
      <c r="CT3" s="128">
        <f t="shared" si="2"/>
        <v>1.5</v>
      </c>
      <c r="CU3" s="128">
        <f t="shared" si="2"/>
        <v>1.5</v>
      </c>
      <c r="CW3" s="128">
        <f t="shared" ref="CW3:DD3" si="3">IFERROR(INDEX(CW$13:CW$548,MATCH($A4,$A$13:$A$548,0)),"")</f>
        <v>4</v>
      </c>
      <c r="CX3" s="128">
        <f t="shared" si="3"/>
        <v>3</v>
      </c>
      <c r="CY3" s="128">
        <f t="shared" si="3"/>
        <v>4</v>
      </c>
      <c r="CZ3" s="128">
        <f t="shared" si="3"/>
        <v>4</v>
      </c>
      <c r="DA3" s="128" t="str">
        <f t="shared" si="3"/>
        <v>/</v>
      </c>
      <c r="DB3" s="128">
        <f t="shared" si="3"/>
        <v>4</v>
      </c>
      <c r="DC3" s="128">
        <f t="shared" si="3"/>
        <v>4</v>
      </c>
      <c r="DD3" s="128">
        <f t="shared" si="3"/>
        <v>4</v>
      </c>
      <c r="DE3" s="206"/>
      <c r="DF3" s="206"/>
      <c r="DG3" s="206"/>
      <c r="DH3" s="206"/>
      <c r="DI3" s="206"/>
      <c r="DJ3" s="206"/>
      <c r="DK3" s="206"/>
      <c r="DL3" s="206"/>
      <c r="DM3" s="128">
        <f t="shared" ref="DM3:ER3" si="4">IFERROR(INDEX(DM$13:DM$548,MATCH($A4,$A$13:$A$548,0)),"")</f>
        <v>4.00000000004</v>
      </c>
      <c r="DN3" s="128">
        <f t="shared" si="4"/>
        <v>3.00000000002</v>
      </c>
      <c r="DO3" s="128">
        <f t="shared" si="4"/>
        <v>6.0000000000450004</v>
      </c>
      <c r="DP3" s="128">
        <f t="shared" si="4"/>
        <v>2.000000000005</v>
      </c>
      <c r="DQ3" s="128">
        <f t="shared" si="4"/>
        <v>0</v>
      </c>
      <c r="DR3" s="128">
        <f t="shared" si="4"/>
        <v>6.00000000009</v>
      </c>
      <c r="DS3" s="128">
        <f t="shared" si="4"/>
        <v>6.0000000001050005</v>
      </c>
      <c r="DT3" s="128">
        <f t="shared" si="4"/>
        <v>6.00000000012</v>
      </c>
      <c r="DU3" s="128" t="b">
        <f t="shared" si="4"/>
        <v>1</v>
      </c>
      <c r="DV3" s="128" t="b">
        <f t="shared" si="4"/>
        <v>0</v>
      </c>
      <c r="DW3" s="128" t="b">
        <f t="shared" si="4"/>
        <v>1</v>
      </c>
      <c r="DX3" s="128" t="b">
        <f t="shared" si="4"/>
        <v>0</v>
      </c>
      <c r="DY3" s="128" t="b">
        <f t="shared" si="4"/>
        <v>0</v>
      </c>
      <c r="DZ3" s="128" t="b">
        <f t="shared" si="4"/>
        <v>1</v>
      </c>
      <c r="EA3" s="128" t="b">
        <f t="shared" si="4"/>
        <v>1</v>
      </c>
      <c r="EB3" s="128" t="b">
        <f t="shared" si="4"/>
        <v>1</v>
      </c>
      <c r="EC3" s="128">
        <f t="shared" si="4"/>
        <v>1</v>
      </c>
      <c r="ED3" s="128">
        <f t="shared" si="4"/>
        <v>1</v>
      </c>
      <c r="EE3" s="128">
        <f t="shared" si="4"/>
        <v>1.5</v>
      </c>
      <c r="EF3" s="128">
        <f t="shared" si="4"/>
        <v>0.5</v>
      </c>
      <c r="EG3" s="128">
        <f t="shared" si="4"/>
        <v>1.5</v>
      </c>
      <c r="EH3" s="128">
        <f t="shared" si="4"/>
        <v>1.5</v>
      </c>
      <c r="EI3" s="128">
        <f t="shared" si="4"/>
        <v>1.5</v>
      </c>
      <c r="EJ3" s="128">
        <f t="shared" si="4"/>
        <v>1.5</v>
      </c>
      <c r="EK3" s="128">
        <f t="shared" si="4"/>
        <v>3</v>
      </c>
      <c r="EL3" s="128">
        <f t="shared" si="4"/>
        <v>4</v>
      </c>
      <c r="EM3" s="128">
        <f t="shared" si="4"/>
        <v>4</v>
      </c>
      <c r="EN3" s="128">
        <f t="shared" si="4"/>
        <v>4</v>
      </c>
      <c r="EO3" s="128">
        <f t="shared" si="4"/>
        <v>2</v>
      </c>
      <c r="EP3" s="128">
        <f t="shared" si="4"/>
        <v>5.5</v>
      </c>
      <c r="EQ3" s="128">
        <f t="shared" si="4"/>
        <v>4</v>
      </c>
      <c r="ER3" s="128">
        <f t="shared" si="4"/>
        <v>4</v>
      </c>
      <c r="FA3" s="128">
        <f t="shared" ref="FA3:FP3" si="5">IFERROR(INDEX(FA$13:FA$548,MATCH($A4,$A$13:$A$548,0)),"")</f>
        <v>3.00000000004</v>
      </c>
      <c r="FB3" s="128">
        <f t="shared" si="5"/>
        <v>4.00000000002</v>
      </c>
      <c r="FC3" s="128">
        <f t="shared" si="5"/>
        <v>6.0000000000450004</v>
      </c>
      <c r="FD3" s="128">
        <f t="shared" si="5"/>
        <v>2.000000000005</v>
      </c>
      <c r="FE3" s="128">
        <f t="shared" si="5"/>
        <v>3.000000000075</v>
      </c>
      <c r="FF3" s="128">
        <f t="shared" si="5"/>
        <v>8.2500000000900009</v>
      </c>
      <c r="FG3" s="128">
        <f t="shared" si="5"/>
        <v>6.0000000001050005</v>
      </c>
      <c r="FH3" s="128">
        <f t="shared" si="5"/>
        <v>6.00000000012</v>
      </c>
      <c r="FI3" s="128" t="b">
        <f t="shared" si="5"/>
        <v>0</v>
      </c>
      <c r="FJ3" s="128" t="b">
        <f t="shared" si="5"/>
        <v>1</v>
      </c>
      <c r="FK3" s="128" t="b">
        <f t="shared" si="5"/>
        <v>1</v>
      </c>
      <c r="FL3" s="128" t="b">
        <f t="shared" si="5"/>
        <v>0</v>
      </c>
      <c r="FM3" s="128" t="b">
        <f t="shared" si="5"/>
        <v>0</v>
      </c>
      <c r="FN3" s="128" t="b">
        <f t="shared" si="5"/>
        <v>1</v>
      </c>
      <c r="FO3" s="128" t="b">
        <f t="shared" si="5"/>
        <v>1</v>
      </c>
      <c r="FP3" s="128" t="b">
        <f t="shared" si="5"/>
        <v>1</v>
      </c>
    </row>
    <row r="4" spans="1:237">
      <c r="A4" s="2" t="str">
        <f>A3</f>
        <v>JS4458</v>
      </c>
      <c r="B4" s="2" t="str">
        <f>IF(OR(B3="/",B3=0),"",IF(ISNUMBER(B3),ROUND(B3,2),B3))</f>
        <v>CUHK</v>
      </c>
      <c r="C4" s="2" t="str">
        <f t="shared" ref="C4:BZ4" si="6">IF(OR(C3="/",C3=0),"",IF(ISNUMBER(C3),ROUND(C3,2),C3))</f>
        <v>工程學院</v>
      </c>
      <c r="D4" s="2" t="str">
        <f t="shared" si="6"/>
        <v>系統工程與工程管理</v>
      </c>
      <c r="E4" s="2" t="str">
        <f t="shared" si="6"/>
        <v>Best 5</v>
      </c>
      <c r="F4" s="2" t="str">
        <f>IF(OR(F3="/",F3=0),"",IF(ISNUMBER(F3),ROUND(F3,2),F3))</f>
        <v/>
      </c>
      <c r="G4" s="2">
        <f t="shared" si="6"/>
        <v>30.25</v>
      </c>
      <c r="H4" s="2">
        <f t="shared" si="6"/>
        <v>28</v>
      </c>
      <c r="I4" s="2">
        <f t="shared" si="6"/>
        <v>26.75</v>
      </c>
      <c r="M4" s="2" t="str">
        <f t="shared" si="6"/>
        <v>優先考慮修讀以下科目者︰</v>
      </c>
      <c r="N4" s="2" t="str">
        <f t="shared" si="6"/>
        <v>M1/2、生物、BAFS、化學、組合科學、經濟、ICT、物理</v>
      </c>
      <c r="O4" s="2" t="str">
        <f t="shared" si="6"/>
        <v>x1.5: 數學、M1/2、生物、BAFS、化學、組合科學、經濟、ICT、物理</v>
      </c>
      <c r="P4" s="2" t="str">
        <f t="shared" si="6"/>
        <v>x0.5: 通識</v>
      </c>
      <c r="Q4" s="2" t="str">
        <f t="shared" si="6"/>
        <v/>
      </c>
      <c r="R4" s="2" t="str">
        <f t="shared" si="6"/>
        <v>SEEM</v>
      </c>
      <c r="S4" s="2" t="str">
        <f t="shared" si="6"/>
        <v>有</v>
      </c>
      <c r="T4" s="2">
        <f t="shared" si="6"/>
        <v>53</v>
      </c>
      <c r="U4" s="2">
        <f t="shared" si="6"/>
        <v>42</v>
      </c>
      <c r="V4" s="2">
        <f t="shared" si="6"/>
        <v>182</v>
      </c>
      <c r="W4" s="2">
        <f t="shared" si="6"/>
        <v>42</v>
      </c>
      <c r="X4" s="2">
        <f t="shared" si="6"/>
        <v>4.33</v>
      </c>
      <c r="Y4" s="2" t="str">
        <f t="shared" si="6"/>
        <v>有</v>
      </c>
      <c r="Z4" s="2" t="str">
        <f t="shared" si="6"/>
        <v/>
      </c>
      <c r="AA4" s="2" t="str">
        <f t="shared" si="6"/>
        <v/>
      </c>
      <c r="AB4" s="2" t="str">
        <f t="shared" si="6"/>
        <v>Best 5</v>
      </c>
      <c r="AC4" s="2" t="str">
        <f t="shared" si="6"/>
        <v>由於本年CUHK不再為 組合科學 及 綜合科學計算比重，此處的估算分數亦不會為其計算比重。</v>
      </c>
      <c r="AD4" s="2" t="str">
        <f t="shared" si="6"/>
        <v/>
      </c>
      <c r="AE4" s="2" t="str">
        <f t="shared" si="6"/>
        <v>優先考慮修讀以下科目者︰</v>
      </c>
      <c r="AF4" s="2" t="str">
        <f t="shared" si="6"/>
        <v>M1/2、生物、BAFS、化學、經濟、ICT、物理</v>
      </c>
      <c r="AG4" s="2" t="str">
        <f t="shared" si="6"/>
        <v>x1.5: 數學、M1/2</v>
      </c>
      <c r="AH4" s="2" t="str">
        <f t="shared" si="6"/>
        <v>x1.5: 生物、化學、物理、BAFS、經濟、ICT</v>
      </c>
      <c r="AI4" s="2" t="str">
        <f t="shared" si="6"/>
        <v/>
      </c>
      <c r="AJ4" s="2" t="str">
        <f t="shared" si="6"/>
        <v/>
      </c>
      <c r="AK4" s="2" t="str">
        <f t="shared" si="6"/>
        <v/>
      </c>
      <c r="AL4" s="2" t="str">
        <f t="shared" si="6"/>
        <v/>
      </c>
      <c r="AM4" s="2" t="str">
        <f t="shared" si="6"/>
        <v/>
      </c>
      <c r="AN4" s="2" t="str">
        <f t="shared" si="6"/>
        <v/>
      </c>
      <c r="AO4" s="2" t="str">
        <f t="shared" si="6"/>
        <v/>
      </c>
      <c r="AP4" s="2" t="str">
        <f t="shared" si="6"/>
        <v/>
      </c>
      <c r="AQ4" s="2" t="str">
        <f t="shared" si="6"/>
        <v/>
      </c>
      <c r="AR4" s="2" t="str">
        <f t="shared" si="6"/>
        <v/>
      </c>
      <c r="AS4" s="2" t="str">
        <f t="shared" si="6"/>
        <v>此參考分數為院校公佈的 已計比重分數，沒有估算成份。</v>
      </c>
      <c r="AT4" s="2" t="str">
        <f t="shared" si="6"/>
        <v/>
      </c>
      <c r="AU4" s="2" t="str">
        <f t="shared" si="6"/>
        <v>無</v>
      </c>
      <c r="AV4" s="2" t="str">
        <f t="shared" si="6"/>
        <v/>
      </c>
      <c r="AW4" s="2" t="str">
        <f t="shared" si="6"/>
        <v/>
      </c>
      <c r="AX4" s="2" t="str">
        <f t="shared" si="6"/>
        <v/>
      </c>
      <c r="AY4" s="2">
        <f t="shared" si="6"/>
        <v>1</v>
      </c>
      <c r="AZ4" s="2">
        <f t="shared" si="6"/>
        <v>1</v>
      </c>
      <c r="BA4" s="2">
        <f t="shared" si="6"/>
        <v>1.5</v>
      </c>
      <c r="BB4" s="2">
        <f t="shared" si="6"/>
        <v>0.5</v>
      </c>
      <c r="BC4" s="2">
        <f t="shared" si="6"/>
        <v>1.5</v>
      </c>
      <c r="BD4" s="2">
        <f t="shared" si="6"/>
        <v>1.5</v>
      </c>
      <c r="BE4" s="2">
        <f t="shared" si="6"/>
        <v>1.5</v>
      </c>
      <c r="BF4" s="2">
        <f t="shared" si="6"/>
        <v>1.5</v>
      </c>
      <c r="BH4" s="2">
        <f t="shared" si="6"/>
        <v>4</v>
      </c>
      <c r="BI4" s="2">
        <f t="shared" si="6"/>
        <v>4</v>
      </c>
      <c r="BJ4" s="2">
        <f t="shared" si="6"/>
        <v>3</v>
      </c>
      <c r="BK4" s="2">
        <f t="shared" si="6"/>
        <v>4</v>
      </c>
      <c r="BL4" s="2" t="str">
        <f t="shared" si="6"/>
        <v/>
      </c>
      <c r="BM4" s="2">
        <f t="shared" si="6"/>
        <v>5.5</v>
      </c>
      <c r="BN4" s="2">
        <f t="shared" si="6"/>
        <v>4</v>
      </c>
      <c r="BO4" s="2">
        <f t="shared" si="6"/>
        <v>2</v>
      </c>
      <c r="BX4" s="2">
        <f t="shared" si="6"/>
        <v>4</v>
      </c>
      <c r="BY4" s="2">
        <f t="shared" si="6"/>
        <v>4</v>
      </c>
      <c r="BZ4" s="2">
        <f t="shared" si="6"/>
        <v>4.5</v>
      </c>
      <c r="CA4" s="2">
        <f t="shared" ref="CA4:FC4" si="7">IF(OR(CA3="/",CA3=0),"",IF(ISNUMBER(CA3),ROUND(CA3,2),CA3))</f>
        <v>2</v>
      </c>
      <c r="CB4" s="2" t="str">
        <f t="shared" si="7"/>
        <v/>
      </c>
      <c r="CC4" s="2">
        <f t="shared" si="7"/>
        <v>8.25</v>
      </c>
      <c r="CD4" s="2">
        <f t="shared" si="7"/>
        <v>6</v>
      </c>
      <c r="CE4" s="2">
        <f t="shared" si="7"/>
        <v>3</v>
      </c>
      <c r="CF4" s="2" t="b">
        <f t="shared" si="7"/>
        <v>1</v>
      </c>
      <c r="CG4" s="2" t="b">
        <f t="shared" si="7"/>
        <v>1</v>
      </c>
      <c r="CH4" s="2" t="b">
        <f t="shared" si="7"/>
        <v>1</v>
      </c>
      <c r="CI4" s="2" t="b">
        <f t="shared" si="7"/>
        <v>0</v>
      </c>
      <c r="CJ4" s="2" t="b">
        <f t="shared" si="7"/>
        <v>0</v>
      </c>
      <c r="CK4" s="2" t="b">
        <f t="shared" si="7"/>
        <v>1</v>
      </c>
      <c r="CL4" s="2" t="b">
        <f t="shared" si="7"/>
        <v>1</v>
      </c>
      <c r="CM4" s="2" t="b">
        <f t="shared" si="7"/>
        <v>0</v>
      </c>
      <c r="CN4" s="2">
        <f t="shared" si="7"/>
        <v>1</v>
      </c>
      <c r="CO4" s="2">
        <f t="shared" si="7"/>
        <v>1</v>
      </c>
      <c r="CP4" s="2">
        <f t="shared" si="7"/>
        <v>1.5</v>
      </c>
      <c r="CQ4" s="2">
        <f t="shared" si="7"/>
        <v>0.5</v>
      </c>
      <c r="CR4" s="2">
        <f t="shared" si="7"/>
        <v>1.5</v>
      </c>
      <c r="CS4" s="2">
        <f t="shared" si="7"/>
        <v>1.5</v>
      </c>
      <c r="CT4" s="2">
        <f t="shared" si="7"/>
        <v>1.5</v>
      </c>
      <c r="CU4" s="2">
        <f t="shared" si="7"/>
        <v>1.5</v>
      </c>
      <c r="CW4" s="2">
        <f t="shared" si="7"/>
        <v>4</v>
      </c>
      <c r="CX4" s="2">
        <f t="shared" si="7"/>
        <v>3</v>
      </c>
      <c r="CY4" s="2">
        <f t="shared" si="7"/>
        <v>4</v>
      </c>
      <c r="CZ4" s="2">
        <f t="shared" si="7"/>
        <v>4</v>
      </c>
      <c r="DA4" s="2" t="str">
        <f t="shared" si="7"/>
        <v/>
      </c>
      <c r="DB4" s="2">
        <f t="shared" si="7"/>
        <v>4</v>
      </c>
      <c r="DC4" s="2">
        <f t="shared" si="7"/>
        <v>4</v>
      </c>
      <c r="DD4" s="2">
        <f t="shared" si="7"/>
        <v>4</v>
      </c>
      <c r="DM4" s="2">
        <f t="shared" si="7"/>
        <v>4</v>
      </c>
      <c r="DN4" s="2">
        <f t="shared" si="7"/>
        <v>3</v>
      </c>
      <c r="DO4" s="2">
        <f t="shared" si="7"/>
        <v>6</v>
      </c>
      <c r="DP4" s="2">
        <f t="shared" si="7"/>
        <v>2</v>
      </c>
      <c r="DQ4" s="2" t="str">
        <f t="shared" si="7"/>
        <v/>
      </c>
      <c r="DR4" s="2">
        <f t="shared" si="7"/>
        <v>6</v>
      </c>
      <c r="DS4" s="2">
        <f t="shared" si="7"/>
        <v>6</v>
      </c>
      <c r="DT4" s="2">
        <f t="shared" si="7"/>
        <v>6</v>
      </c>
      <c r="DU4" s="2" t="b">
        <f t="shared" si="7"/>
        <v>1</v>
      </c>
      <c r="DV4" s="2" t="b">
        <f t="shared" si="7"/>
        <v>0</v>
      </c>
      <c r="DW4" s="2" t="b">
        <f t="shared" si="7"/>
        <v>1</v>
      </c>
      <c r="DX4" s="2" t="b">
        <f t="shared" si="7"/>
        <v>0</v>
      </c>
      <c r="DY4" s="2" t="b">
        <f t="shared" si="7"/>
        <v>0</v>
      </c>
      <c r="DZ4" s="2" t="b">
        <f t="shared" si="7"/>
        <v>1</v>
      </c>
      <c r="EA4" s="2" t="b">
        <f t="shared" si="7"/>
        <v>1</v>
      </c>
      <c r="EB4" s="2" t="b">
        <f t="shared" si="7"/>
        <v>1</v>
      </c>
      <c r="EC4" s="2">
        <f t="shared" si="7"/>
        <v>1</v>
      </c>
      <c r="ED4" s="2">
        <f t="shared" si="7"/>
        <v>1</v>
      </c>
      <c r="EE4" s="2">
        <f t="shared" si="7"/>
        <v>1.5</v>
      </c>
      <c r="EF4" s="2">
        <f t="shared" si="7"/>
        <v>0.5</v>
      </c>
      <c r="EG4" s="2">
        <f t="shared" si="7"/>
        <v>1.5</v>
      </c>
      <c r="EH4" s="2">
        <f t="shared" si="7"/>
        <v>1.5</v>
      </c>
      <c r="EI4" s="2">
        <f t="shared" si="7"/>
        <v>1.5</v>
      </c>
      <c r="EJ4" s="2">
        <f t="shared" si="7"/>
        <v>1.5</v>
      </c>
      <c r="EK4" s="2">
        <f t="shared" si="7"/>
        <v>3</v>
      </c>
      <c r="EL4" s="2">
        <f t="shared" si="7"/>
        <v>4</v>
      </c>
      <c r="EM4" s="2">
        <f t="shared" si="7"/>
        <v>4</v>
      </c>
      <c r="EN4" s="2">
        <f t="shared" si="7"/>
        <v>4</v>
      </c>
      <c r="EO4" s="2">
        <f t="shared" si="7"/>
        <v>2</v>
      </c>
      <c r="EP4" s="2">
        <f t="shared" si="7"/>
        <v>5.5</v>
      </c>
      <c r="EQ4" s="2">
        <f t="shared" si="7"/>
        <v>4</v>
      </c>
      <c r="ER4" s="2">
        <f t="shared" si="7"/>
        <v>4</v>
      </c>
      <c r="FA4" s="2">
        <f t="shared" si="7"/>
        <v>3</v>
      </c>
      <c r="FB4" s="2">
        <f t="shared" si="7"/>
        <v>4</v>
      </c>
      <c r="FC4" s="2">
        <f t="shared" si="7"/>
        <v>6</v>
      </c>
      <c r="FD4" s="2">
        <f t="shared" ref="FD4:FP4" si="8">IF(OR(FD3="/",FD3=0),"",IF(ISNUMBER(FD3),ROUND(FD3,2),FD3))</f>
        <v>2</v>
      </c>
      <c r="FE4" s="2">
        <f t="shared" si="8"/>
        <v>3</v>
      </c>
      <c r="FF4" s="2">
        <f t="shared" si="8"/>
        <v>8.25</v>
      </c>
      <c r="FG4" s="2">
        <f t="shared" si="8"/>
        <v>6</v>
      </c>
      <c r="FH4" s="2">
        <f t="shared" si="8"/>
        <v>6</v>
      </c>
      <c r="FI4" s="2" t="b">
        <f t="shared" si="8"/>
        <v>0</v>
      </c>
      <c r="FJ4" s="2" t="b">
        <f t="shared" si="8"/>
        <v>1</v>
      </c>
      <c r="FK4" s="2" t="b">
        <f t="shared" si="8"/>
        <v>1</v>
      </c>
      <c r="FL4" s="2" t="b">
        <f t="shared" si="8"/>
        <v>0</v>
      </c>
      <c r="FM4" s="2" t="b">
        <f t="shared" si="8"/>
        <v>0</v>
      </c>
      <c r="FN4" s="2" t="b">
        <f t="shared" si="8"/>
        <v>1</v>
      </c>
      <c r="FO4" s="2" t="b">
        <f t="shared" si="8"/>
        <v>1</v>
      </c>
      <c r="FP4" s="2" t="b">
        <f t="shared" si="8"/>
        <v>1</v>
      </c>
    </row>
    <row r="6" spans="1:237" s="128" customFormat="1">
      <c r="A6" s="128" t="s">
        <v>810</v>
      </c>
      <c r="B6" s="128" t="str">
        <f t="shared" ref="B6:I6" si="9">IFERROR(INDEX(B$13:B$548,MATCH($A7,$A$13:$A$548,0)),"")</f>
        <v/>
      </c>
      <c r="C6" s="128" t="str">
        <f t="shared" si="9"/>
        <v/>
      </c>
      <c r="D6" s="128" t="str">
        <f t="shared" si="9"/>
        <v/>
      </c>
      <c r="E6" s="128" t="str">
        <f t="shared" si="9"/>
        <v/>
      </c>
      <c r="F6" s="128" t="str">
        <f t="shared" si="9"/>
        <v/>
      </c>
      <c r="G6" s="128" t="str">
        <f t="shared" si="9"/>
        <v/>
      </c>
      <c r="H6" s="128" t="str">
        <f t="shared" si="9"/>
        <v/>
      </c>
      <c r="I6" s="128" t="str">
        <f t="shared" si="9"/>
        <v/>
      </c>
      <c r="M6" s="128" t="str">
        <f t="shared" ref="M6:U6" si="10">IFERROR(INDEX(M$13:M$548,MATCH($A7,$A$13:$A$548,0)),"")</f>
        <v/>
      </c>
      <c r="N6" s="128" t="str">
        <f t="shared" si="10"/>
        <v/>
      </c>
      <c r="O6" s="128" t="str">
        <f t="shared" si="10"/>
        <v/>
      </c>
      <c r="P6" s="128" t="str">
        <f t="shared" si="10"/>
        <v/>
      </c>
      <c r="Q6" s="128" t="str">
        <f t="shared" si="10"/>
        <v/>
      </c>
      <c r="R6" s="128" t="str">
        <f t="shared" si="10"/>
        <v/>
      </c>
      <c r="S6" s="128" t="str">
        <f t="shared" si="10"/>
        <v/>
      </c>
      <c r="T6" s="128" t="str">
        <f t="shared" si="10"/>
        <v/>
      </c>
      <c r="U6" s="128" t="str">
        <f t="shared" si="10"/>
        <v/>
      </c>
      <c r="X6" s="128" t="str">
        <f>IFERROR(INDEX(X$13:X$548,MATCH($A7,$A$13:$A$548,0)),"")</f>
        <v/>
      </c>
      <c r="Y6" s="128" t="str">
        <f>IFERROR(INDEX(Y$13:Y$548,MATCH($A7,$A$13:$A$548,0)),"")</f>
        <v/>
      </c>
      <c r="Z6" s="128" t="str">
        <f>IFERROR(INDEX(Z$13:Z$548,MATCH($A7,$A$13:$A$548,0)),"")</f>
        <v/>
      </c>
      <c r="AA6" s="128" t="str">
        <f>IFERROR(INDEX(AA$13:AA$548,MATCH($A7,$A$13:$A$548,0)),"")</f>
        <v/>
      </c>
      <c r="AB6" s="128" t="str">
        <f>IFERROR(INDEX(AB$13:AB$548,MATCH($A7,$A$13:$A$548,0)),"")</f>
        <v/>
      </c>
      <c r="AE6" s="128" t="str">
        <f t="shared" ref="AE6:AQ6" si="11">IFERROR(INDEX(AE$13:AE$548,MATCH($A7,$A$13:$A$548,0)),"")</f>
        <v/>
      </c>
      <c r="AF6" s="128" t="str">
        <f t="shared" si="11"/>
        <v/>
      </c>
      <c r="AG6" s="128" t="str">
        <f t="shared" si="11"/>
        <v/>
      </c>
      <c r="AH6" s="128" t="str">
        <f t="shared" si="11"/>
        <v/>
      </c>
      <c r="AI6" s="128" t="str">
        <f t="shared" si="11"/>
        <v/>
      </c>
      <c r="AJ6" s="128" t="str">
        <f t="shared" si="11"/>
        <v/>
      </c>
      <c r="AK6" s="128" t="str">
        <f t="shared" si="11"/>
        <v/>
      </c>
      <c r="AL6" s="128" t="str">
        <f t="shared" si="11"/>
        <v/>
      </c>
      <c r="AM6" s="128" t="str">
        <f t="shared" si="11"/>
        <v/>
      </c>
      <c r="AN6" s="128" t="str">
        <f t="shared" si="11"/>
        <v/>
      </c>
      <c r="AO6" s="128" t="str">
        <f t="shared" si="11"/>
        <v/>
      </c>
      <c r="AP6" s="128" t="str">
        <f t="shared" si="11"/>
        <v/>
      </c>
      <c r="AQ6" s="128" t="str">
        <f t="shared" si="11"/>
        <v/>
      </c>
      <c r="AU6" s="128" t="str">
        <f t="shared" ref="AU6:BF6" si="12">IFERROR(INDEX(AU$13:AU$548,MATCH($A7,$A$13:$A$548,0)),"")</f>
        <v/>
      </c>
      <c r="AV6" s="128" t="str">
        <f t="shared" si="12"/>
        <v/>
      </c>
      <c r="AW6" s="128" t="str">
        <f t="shared" si="12"/>
        <v/>
      </c>
      <c r="AX6" s="128" t="str">
        <f t="shared" si="12"/>
        <v/>
      </c>
      <c r="AY6" s="128" t="str">
        <f t="shared" si="12"/>
        <v/>
      </c>
      <c r="AZ6" s="128" t="str">
        <f t="shared" si="12"/>
        <v/>
      </c>
      <c r="BA6" s="128" t="str">
        <f t="shared" si="12"/>
        <v/>
      </c>
      <c r="BB6" s="128" t="str">
        <f t="shared" si="12"/>
        <v/>
      </c>
      <c r="BC6" s="128" t="str">
        <f t="shared" si="12"/>
        <v/>
      </c>
      <c r="BD6" s="128" t="str">
        <f t="shared" si="12"/>
        <v/>
      </c>
      <c r="BE6" s="128" t="str">
        <f t="shared" si="12"/>
        <v/>
      </c>
      <c r="BF6" s="128" t="str">
        <f t="shared" si="12"/>
        <v/>
      </c>
      <c r="BH6" s="128" t="str">
        <f t="shared" ref="BH6:BO6" si="13">IFERROR(INDEX(BH$13:BH$548,MATCH($A7,$A$13:$A$548,0)),"")</f>
        <v/>
      </c>
      <c r="BI6" s="128" t="str">
        <f t="shared" si="13"/>
        <v/>
      </c>
      <c r="BJ6" s="128" t="str">
        <f t="shared" si="13"/>
        <v/>
      </c>
      <c r="BK6" s="128" t="str">
        <f t="shared" si="13"/>
        <v/>
      </c>
      <c r="BL6" s="128" t="str">
        <f t="shared" si="13"/>
        <v/>
      </c>
      <c r="BM6" s="128" t="str">
        <f t="shared" si="13"/>
        <v/>
      </c>
      <c r="BN6" s="128" t="str">
        <f t="shared" si="13"/>
        <v/>
      </c>
      <c r="BO6" s="128" t="str">
        <f t="shared" si="13"/>
        <v/>
      </c>
      <c r="BP6" s="206"/>
      <c r="BQ6" s="206"/>
      <c r="BR6" s="206"/>
      <c r="BS6" s="206"/>
      <c r="BT6" s="206"/>
      <c r="BU6" s="206"/>
      <c r="BV6" s="206"/>
      <c r="BW6" s="206"/>
      <c r="BX6" s="128" t="str">
        <f t="shared" ref="BX6:CU6" si="14">IFERROR(INDEX(BX$13:BX$548,MATCH($A7,$A$13:$A$548,0)),"")</f>
        <v/>
      </c>
      <c r="BY6" s="128" t="str">
        <f t="shared" si="14"/>
        <v/>
      </c>
      <c r="BZ6" s="128" t="str">
        <f t="shared" si="14"/>
        <v/>
      </c>
      <c r="CA6" s="128" t="str">
        <f t="shared" si="14"/>
        <v/>
      </c>
      <c r="CB6" s="128" t="str">
        <f t="shared" si="14"/>
        <v/>
      </c>
      <c r="CC6" s="128" t="str">
        <f t="shared" si="14"/>
        <v/>
      </c>
      <c r="CD6" s="128" t="str">
        <f t="shared" si="14"/>
        <v/>
      </c>
      <c r="CE6" s="128" t="str">
        <f t="shared" si="14"/>
        <v/>
      </c>
      <c r="CF6" s="128" t="str">
        <f t="shared" si="14"/>
        <v/>
      </c>
      <c r="CG6" s="128" t="str">
        <f t="shared" si="14"/>
        <v/>
      </c>
      <c r="CH6" s="128" t="str">
        <f t="shared" si="14"/>
        <v/>
      </c>
      <c r="CI6" s="128" t="str">
        <f t="shared" si="14"/>
        <v/>
      </c>
      <c r="CJ6" s="128" t="str">
        <f t="shared" si="14"/>
        <v/>
      </c>
      <c r="CK6" s="128" t="str">
        <f t="shared" si="14"/>
        <v/>
      </c>
      <c r="CL6" s="128" t="str">
        <f t="shared" si="14"/>
        <v/>
      </c>
      <c r="CM6" s="128" t="str">
        <f t="shared" si="14"/>
        <v/>
      </c>
      <c r="CN6" s="128" t="str">
        <f t="shared" si="14"/>
        <v/>
      </c>
      <c r="CO6" s="128" t="str">
        <f t="shared" si="14"/>
        <v/>
      </c>
      <c r="CP6" s="128" t="str">
        <f t="shared" si="14"/>
        <v/>
      </c>
      <c r="CQ6" s="128" t="str">
        <f t="shared" si="14"/>
        <v/>
      </c>
      <c r="CR6" s="128" t="str">
        <f t="shared" si="14"/>
        <v/>
      </c>
      <c r="CS6" s="128" t="str">
        <f t="shared" si="14"/>
        <v/>
      </c>
      <c r="CT6" s="128" t="str">
        <f t="shared" si="14"/>
        <v/>
      </c>
      <c r="CU6" s="128" t="str">
        <f t="shared" si="14"/>
        <v/>
      </c>
      <c r="CW6" s="128" t="str">
        <f t="shared" ref="CW6:DD6" si="15">IFERROR(INDEX(CW$13:CW$548,MATCH($A7,$A$13:$A$548,0)),"")</f>
        <v/>
      </c>
      <c r="CX6" s="128" t="str">
        <f t="shared" si="15"/>
        <v/>
      </c>
      <c r="CY6" s="128" t="str">
        <f t="shared" si="15"/>
        <v/>
      </c>
      <c r="CZ6" s="128" t="str">
        <f t="shared" si="15"/>
        <v/>
      </c>
      <c r="DA6" s="128" t="str">
        <f t="shared" si="15"/>
        <v/>
      </c>
      <c r="DB6" s="128" t="str">
        <f t="shared" si="15"/>
        <v/>
      </c>
      <c r="DC6" s="128" t="str">
        <f t="shared" si="15"/>
        <v/>
      </c>
      <c r="DD6" s="128" t="str">
        <f t="shared" si="15"/>
        <v/>
      </c>
      <c r="DE6" s="206"/>
      <c r="DF6" s="206"/>
      <c r="DG6" s="206"/>
      <c r="DH6" s="206"/>
      <c r="DI6" s="206"/>
      <c r="DJ6" s="206"/>
      <c r="DK6" s="206"/>
      <c r="DL6" s="206"/>
      <c r="DM6" s="128" t="str">
        <f t="shared" ref="DM6:ER6" si="16">IFERROR(INDEX(DM$13:DM$548,MATCH($A7,$A$13:$A$548,0)),"")</f>
        <v/>
      </c>
      <c r="DN6" s="128" t="str">
        <f t="shared" si="16"/>
        <v/>
      </c>
      <c r="DO6" s="128" t="str">
        <f t="shared" si="16"/>
        <v/>
      </c>
      <c r="DP6" s="128" t="str">
        <f t="shared" si="16"/>
        <v/>
      </c>
      <c r="DQ6" s="128" t="str">
        <f t="shared" si="16"/>
        <v/>
      </c>
      <c r="DR6" s="128" t="str">
        <f t="shared" si="16"/>
        <v/>
      </c>
      <c r="DS6" s="128" t="str">
        <f t="shared" si="16"/>
        <v/>
      </c>
      <c r="DT6" s="128" t="str">
        <f t="shared" si="16"/>
        <v/>
      </c>
      <c r="DU6" s="128" t="str">
        <f t="shared" si="16"/>
        <v/>
      </c>
      <c r="DV6" s="128" t="str">
        <f t="shared" si="16"/>
        <v/>
      </c>
      <c r="DW6" s="128" t="str">
        <f t="shared" si="16"/>
        <v/>
      </c>
      <c r="DX6" s="128" t="str">
        <f t="shared" si="16"/>
        <v/>
      </c>
      <c r="DY6" s="128" t="str">
        <f t="shared" si="16"/>
        <v/>
      </c>
      <c r="DZ6" s="128" t="str">
        <f t="shared" si="16"/>
        <v/>
      </c>
      <c r="EA6" s="128" t="str">
        <f t="shared" si="16"/>
        <v/>
      </c>
      <c r="EB6" s="128" t="str">
        <f t="shared" si="16"/>
        <v/>
      </c>
      <c r="EC6" s="128" t="str">
        <f t="shared" si="16"/>
        <v/>
      </c>
      <c r="ED6" s="128" t="str">
        <f t="shared" si="16"/>
        <v/>
      </c>
      <c r="EE6" s="128" t="str">
        <f t="shared" si="16"/>
        <v/>
      </c>
      <c r="EF6" s="128" t="str">
        <f t="shared" si="16"/>
        <v/>
      </c>
      <c r="EG6" s="128" t="str">
        <f t="shared" si="16"/>
        <v/>
      </c>
      <c r="EH6" s="128" t="str">
        <f t="shared" si="16"/>
        <v/>
      </c>
      <c r="EI6" s="128" t="str">
        <f t="shared" si="16"/>
        <v/>
      </c>
      <c r="EJ6" s="128" t="str">
        <f t="shared" si="16"/>
        <v/>
      </c>
      <c r="EK6" s="128" t="str">
        <f t="shared" si="16"/>
        <v/>
      </c>
      <c r="EL6" s="128" t="str">
        <f t="shared" si="16"/>
        <v/>
      </c>
      <c r="EM6" s="128" t="str">
        <f t="shared" si="16"/>
        <v/>
      </c>
      <c r="EN6" s="128" t="str">
        <f t="shared" si="16"/>
        <v/>
      </c>
      <c r="EO6" s="128" t="str">
        <f t="shared" si="16"/>
        <v/>
      </c>
      <c r="EP6" s="128" t="str">
        <f t="shared" si="16"/>
        <v/>
      </c>
      <c r="EQ6" s="128" t="str">
        <f t="shared" si="16"/>
        <v/>
      </c>
      <c r="ER6" s="128" t="str">
        <f t="shared" si="16"/>
        <v/>
      </c>
      <c r="FA6" s="128" t="str">
        <f t="shared" ref="FA6:FP6" si="17">IFERROR(INDEX(FA$13:FA$548,MATCH($A7,$A$13:$A$548,0)),"")</f>
        <v/>
      </c>
      <c r="FB6" s="128" t="str">
        <f t="shared" si="17"/>
        <v/>
      </c>
      <c r="FC6" s="128" t="str">
        <f t="shared" si="17"/>
        <v/>
      </c>
      <c r="FD6" s="128" t="str">
        <f t="shared" si="17"/>
        <v/>
      </c>
      <c r="FE6" s="128" t="str">
        <f t="shared" si="17"/>
        <v/>
      </c>
      <c r="FF6" s="128" t="str">
        <f t="shared" si="17"/>
        <v/>
      </c>
      <c r="FG6" s="128" t="str">
        <f t="shared" si="17"/>
        <v/>
      </c>
      <c r="FH6" s="128" t="str">
        <f t="shared" si="17"/>
        <v/>
      </c>
      <c r="FI6" s="128" t="str">
        <f t="shared" si="17"/>
        <v/>
      </c>
      <c r="FJ6" s="128" t="str">
        <f t="shared" si="17"/>
        <v/>
      </c>
      <c r="FK6" s="128" t="str">
        <f t="shared" si="17"/>
        <v/>
      </c>
      <c r="FL6" s="128" t="str">
        <f t="shared" si="17"/>
        <v/>
      </c>
      <c r="FM6" s="128" t="str">
        <f t="shared" si="17"/>
        <v/>
      </c>
      <c r="FN6" s="128" t="str">
        <f t="shared" si="17"/>
        <v/>
      </c>
      <c r="FO6" s="128" t="str">
        <f t="shared" si="17"/>
        <v/>
      </c>
      <c r="FP6" s="128" t="str">
        <f t="shared" si="17"/>
        <v/>
      </c>
    </row>
    <row r="7" spans="1:237">
      <c r="A7" s="2" t="str">
        <f>_xlfn.CONCAT(A4,"-2")</f>
        <v>JS4458-2</v>
      </c>
      <c r="B7" s="2" t="str">
        <f t="shared" ref="B7:B9" si="18">IF(OR(B6="/",B6=0),"",IF(ISNUMBER(B6),ROUND(B6,2),B6))</f>
        <v/>
      </c>
      <c r="C7" s="2" t="str">
        <f t="shared" ref="C7" si="19">IF(OR(C6="/",C6=0),"",IF(ISNUMBER(C6),ROUND(C6,2),C6))</f>
        <v/>
      </c>
      <c r="D7" s="2" t="str">
        <f t="shared" ref="D7" si="20">IF(OR(D6="/",D6=0),"",IF(ISNUMBER(D6),ROUND(D6,2),D6))</f>
        <v/>
      </c>
      <c r="E7" s="2" t="str">
        <f t="shared" ref="E7" si="21">IF(OR(E6="/",E6=0),"",IF(ISNUMBER(E6),ROUND(E6,2),E6))</f>
        <v/>
      </c>
      <c r="F7" s="2" t="str">
        <f>IF(OR(F6="/",F6=0),"",IF(ISNUMBER(F6),ROUND(F6,2),F6))</f>
        <v/>
      </c>
      <c r="G7" s="2" t="str">
        <f t="shared" ref="G7" si="22">IF(OR(G6="/",G6=0),"",IF(ISNUMBER(G6),ROUND(G6,2),G6))</f>
        <v/>
      </c>
      <c r="H7" s="2" t="str">
        <f t="shared" ref="H7" si="23">IF(OR(H6="/",H6=0),"",IF(ISNUMBER(H6),ROUND(H6,2),H6))</f>
        <v/>
      </c>
      <c r="I7" s="2" t="str">
        <f t="shared" ref="I7" si="24">IF(OR(I6="/",I6=0),"",IF(ISNUMBER(I6),ROUND(I6,2),I6))</f>
        <v/>
      </c>
      <c r="M7" s="2" t="str">
        <f t="shared" ref="M7" si="25">IF(OR(M6="/",M6=0),"",IF(ISNUMBER(M6),ROUND(M6,2),M6))</f>
        <v/>
      </c>
      <c r="N7" s="2" t="str">
        <f t="shared" ref="N7" si="26">IF(OR(N6="/",N6=0),"",IF(ISNUMBER(N6),ROUND(N6,2),N6))</f>
        <v/>
      </c>
      <c r="O7" s="2" t="str">
        <f t="shared" ref="O7" si="27">IF(OR(O6="/",O6=0),"",IF(ISNUMBER(O6),ROUND(O6,2),O6))</f>
        <v/>
      </c>
      <c r="P7" s="2" t="str">
        <f t="shared" ref="P7" si="28">IF(OR(P6="/",P6=0),"",IF(ISNUMBER(P6),ROUND(P6,2),P6))</f>
        <v/>
      </c>
      <c r="Q7" s="2" t="str">
        <f t="shared" ref="Q7" si="29">IF(OR(Q6="/",Q6=0),"",IF(ISNUMBER(Q6),ROUND(Q6,2),Q6))</f>
        <v/>
      </c>
      <c r="R7" s="2" t="str">
        <f t="shared" ref="R7" si="30">IF(OR(R6="/",R6=0),"",IF(ISNUMBER(R6),ROUND(R6,2),R6))</f>
        <v/>
      </c>
      <c r="S7" s="2" t="str">
        <f t="shared" ref="S7" si="31">IF(OR(S6="/",S6=0),"",IF(ISNUMBER(S6),ROUND(S6,2),S6))</f>
        <v/>
      </c>
      <c r="T7" s="2" t="str">
        <f t="shared" ref="T7" si="32">IF(OR(T6="/",T6=0),"",IF(ISNUMBER(T6),ROUND(T6,2),T6))</f>
        <v/>
      </c>
      <c r="U7" s="2" t="str">
        <f t="shared" ref="U7" si="33">IF(OR(U6="/",U6=0),"",IF(ISNUMBER(U6),ROUND(U6,2),U6))</f>
        <v/>
      </c>
      <c r="X7" s="2" t="str">
        <f t="shared" ref="X7" si="34">IF(OR(X6="/",X6=0),"",IF(ISNUMBER(X6),ROUND(X6,2),X6))</f>
        <v/>
      </c>
      <c r="Y7" s="2" t="str">
        <f t="shared" ref="Y7" si="35">IF(OR(Y6="/",Y6=0),"",IF(ISNUMBER(Y6),ROUND(Y6,2),Y6))</f>
        <v/>
      </c>
      <c r="Z7" s="2" t="str">
        <f t="shared" ref="Z7" si="36">IF(OR(Z6="/",Z6=0),"",IF(ISNUMBER(Z6),ROUND(Z6,2),Z6))</f>
        <v/>
      </c>
      <c r="AA7" s="2" t="str">
        <f t="shared" ref="AA7" si="37">IF(OR(AA6="/",AA6=0),"",IF(ISNUMBER(AA6),ROUND(AA6,2),AA6))</f>
        <v/>
      </c>
      <c r="AB7" s="2" t="str">
        <f t="shared" ref="AB7" si="38">IF(OR(AB6="/",AB6=0),"",IF(ISNUMBER(AB6),ROUND(AB6,2),AB6))</f>
        <v/>
      </c>
      <c r="AE7" s="2" t="str">
        <f t="shared" ref="AE7" si="39">IF(OR(AE6="/",AE6=0),"",IF(ISNUMBER(AE6),ROUND(AE6,2),AE6))</f>
        <v/>
      </c>
      <c r="AF7" s="2" t="str">
        <f t="shared" ref="AF7" si="40">IF(OR(AF6="/",AF6=0),"",IF(ISNUMBER(AF6),ROUND(AF6,2),AF6))</f>
        <v/>
      </c>
      <c r="AG7" s="2" t="str">
        <f t="shared" ref="AG7" si="41">IF(OR(AG6="/",AG6=0),"",IF(ISNUMBER(AG6),ROUND(AG6,2),AG6))</f>
        <v/>
      </c>
      <c r="AH7" s="2" t="str">
        <f t="shared" ref="AH7" si="42">IF(OR(AH6="/",AH6=0),"",IF(ISNUMBER(AH6),ROUND(AH6,2),AH6))</f>
        <v/>
      </c>
      <c r="AI7" s="2" t="str">
        <f t="shared" ref="AI7" si="43">IF(OR(AI6="/",AI6=0),"",IF(ISNUMBER(AI6),ROUND(AI6,2),AI6))</f>
        <v/>
      </c>
      <c r="AJ7" s="2" t="str">
        <f t="shared" ref="AJ7" si="44">IF(OR(AJ6="/",AJ6=0),"",IF(ISNUMBER(AJ6),ROUND(AJ6,2),AJ6))</f>
        <v/>
      </c>
      <c r="AK7" s="2" t="str">
        <f t="shared" ref="AK7" si="45">IF(OR(AK6="/",AK6=0),"",IF(ISNUMBER(AK6),ROUND(AK6,2),AK6))</f>
        <v/>
      </c>
      <c r="AL7" s="2" t="str">
        <f t="shared" ref="AL7" si="46">IF(OR(AL6="/",AL6=0),"",IF(ISNUMBER(AL6),ROUND(AL6,2),AL6))</f>
        <v/>
      </c>
      <c r="AM7" s="2" t="str">
        <f t="shared" ref="AM7" si="47">IF(OR(AM6="/",AM6=0),"",IF(ISNUMBER(AM6),ROUND(AM6,2),AM6))</f>
        <v/>
      </c>
      <c r="AN7" s="2" t="str">
        <f t="shared" ref="AN7" si="48">IF(OR(AN6="/",AN6=0),"",IF(ISNUMBER(AN6),ROUND(AN6,2),AN6))</f>
        <v/>
      </c>
      <c r="AO7" s="2" t="str">
        <f t="shared" ref="AO7" si="49">IF(OR(AO6="/",AO6=0),"",IF(ISNUMBER(AO6),ROUND(AO6,2),AO6))</f>
        <v/>
      </c>
      <c r="AP7" s="2" t="str">
        <f t="shared" ref="AP7" si="50">IF(OR(AP6="/",AP6=0),"",IF(ISNUMBER(AP6),ROUND(AP6,2),AP6))</f>
        <v/>
      </c>
      <c r="AQ7" s="2" t="str">
        <f t="shared" ref="AQ7" si="51">IF(OR(AQ6="/",AQ6=0),"",IF(ISNUMBER(AQ6),ROUND(AQ6,2),AQ6))</f>
        <v/>
      </c>
      <c r="AU7" s="2" t="str">
        <f t="shared" ref="AU7" si="52">IF(OR(AU6="/",AU6=0),"",IF(ISNUMBER(AU6),ROUND(AU6,2),AU6))</f>
        <v/>
      </c>
      <c r="AV7" s="2" t="str">
        <f t="shared" ref="AV7" si="53">IF(OR(AV6="/",AV6=0),"",IF(ISNUMBER(AV6),ROUND(AV6,2),AV6))</f>
        <v/>
      </c>
      <c r="AW7" s="2" t="str">
        <f t="shared" ref="AW7" si="54">IF(OR(AW6="/",AW6=0),"",IF(ISNUMBER(AW6),ROUND(AW6,2),AW6))</f>
        <v/>
      </c>
      <c r="AX7" s="2" t="str">
        <f t="shared" ref="AX7" si="55">IF(OR(AX6="/",AX6=0),"",IF(ISNUMBER(AX6),ROUND(AX6,2),AX6))</f>
        <v/>
      </c>
      <c r="AY7" s="2" t="str">
        <f t="shared" ref="AY7" si="56">IF(OR(AY6="/",AY6=0),"",IF(ISNUMBER(AY6),ROUND(AY6,2),AY6))</f>
        <v/>
      </c>
      <c r="AZ7" s="2" t="str">
        <f t="shared" ref="AZ7" si="57">IF(OR(AZ6="/",AZ6=0),"",IF(ISNUMBER(AZ6),ROUND(AZ6,2),AZ6))</f>
        <v/>
      </c>
      <c r="BA7" s="2" t="str">
        <f t="shared" ref="BA7" si="58">IF(OR(BA6="/",BA6=0),"",IF(ISNUMBER(BA6),ROUND(BA6,2),BA6))</f>
        <v/>
      </c>
      <c r="BB7" s="2" t="str">
        <f t="shared" ref="BB7" si="59">IF(OR(BB6="/",BB6=0),"",IF(ISNUMBER(BB6),ROUND(BB6,2),BB6))</f>
        <v/>
      </c>
      <c r="BC7" s="2" t="str">
        <f t="shared" ref="BC7" si="60">IF(OR(BC6="/",BC6=0),"",IF(ISNUMBER(BC6),ROUND(BC6,2),BC6))</f>
        <v/>
      </c>
      <c r="BD7" s="2" t="str">
        <f t="shared" ref="BD7" si="61">IF(OR(BD6="/",BD6=0),"",IF(ISNUMBER(BD6),ROUND(BD6,2),BD6))</f>
        <v/>
      </c>
      <c r="BE7" s="2" t="str">
        <f t="shared" ref="BE7" si="62">IF(OR(BE6="/",BE6=0),"",IF(ISNUMBER(BE6),ROUND(BE6,2),BE6))</f>
        <v/>
      </c>
      <c r="BF7" s="2" t="str">
        <f t="shared" ref="BF7" si="63">IF(OR(BF6="/",BF6=0),"",IF(ISNUMBER(BF6),ROUND(BF6,2),BF6))</f>
        <v/>
      </c>
      <c r="BH7" s="2" t="str">
        <f t="shared" ref="BH7" si="64">IF(OR(BH6="/",BH6=0),"",IF(ISNUMBER(BH6),ROUND(BH6,2),BH6))</f>
        <v/>
      </c>
      <c r="BI7" s="2" t="str">
        <f t="shared" ref="BI7" si="65">IF(OR(BI6="/",BI6=0),"",IF(ISNUMBER(BI6),ROUND(BI6,2),BI6))</f>
        <v/>
      </c>
      <c r="BJ7" s="2" t="str">
        <f t="shared" ref="BJ7" si="66">IF(OR(BJ6="/",BJ6=0),"",IF(ISNUMBER(BJ6),ROUND(BJ6,2),BJ6))</f>
        <v/>
      </c>
      <c r="BK7" s="2" t="str">
        <f t="shared" ref="BK7" si="67">IF(OR(BK6="/",BK6=0),"",IF(ISNUMBER(BK6),ROUND(BK6,2),BK6))</f>
        <v/>
      </c>
      <c r="BL7" s="2" t="str">
        <f t="shared" ref="BL7" si="68">IF(OR(BL6="/",BL6=0),"",IF(ISNUMBER(BL6),ROUND(BL6,2),BL6))</f>
        <v/>
      </c>
      <c r="BM7" s="2" t="str">
        <f t="shared" ref="BM7" si="69">IF(OR(BM6="/",BM6=0),"",IF(ISNUMBER(BM6),ROUND(BM6,2),BM6))</f>
        <v/>
      </c>
      <c r="BN7" s="2" t="str">
        <f t="shared" ref="BN7" si="70">IF(OR(BN6="/",BN6=0),"",IF(ISNUMBER(BN6),ROUND(BN6,2),BN6))</f>
        <v/>
      </c>
      <c r="BO7" s="2" t="str">
        <f t="shared" ref="BO7" si="71">IF(OR(BO6="/",BO6=0),"",IF(ISNUMBER(BO6),ROUND(BO6,2),BO6))</f>
        <v/>
      </c>
      <c r="BX7" s="2" t="str">
        <f t="shared" ref="BX7" si="72">IF(OR(BX6="/",BX6=0),"",IF(ISNUMBER(BX6),ROUND(BX6,2),BX6))</f>
        <v/>
      </c>
      <c r="BY7" s="2" t="str">
        <f t="shared" ref="BY7" si="73">IF(OR(BY6="/",BY6=0),"",IF(ISNUMBER(BY6),ROUND(BY6,2),BY6))</f>
        <v/>
      </c>
      <c r="BZ7" s="2" t="str">
        <f t="shared" ref="BZ7" si="74">IF(OR(BZ6="/",BZ6=0),"",IF(ISNUMBER(BZ6),ROUND(BZ6,2),BZ6))</f>
        <v/>
      </c>
      <c r="CA7" s="2" t="str">
        <f t="shared" ref="CA7" si="75">IF(OR(CA6="/",CA6=0),"",IF(ISNUMBER(CA6),ROUND(CA6,2),CA6))</f>
        <v/>
      </c>
      <c r="CB7" s="2" t="str">
        <f t="shared" ref="CB7" si="76">IF(OR(CB6="/",CB6=0),"",IF(ISNUMBER(CB6),ROUND(CB6,2),CB6))</f>
        <v/>
      </c>
      <c r="CC7" s="2" t="str">
        <f t="shared" ref="CC7" si="77">IF(OR(CC6="/",CC6=0),"",IF(ISNUMBER(CC6),ROUND(CC6,2),CC6))</f>
        <v/>
      </c>
      <c r="CD7" s="2" t="str">
        <f t="shared" ref="CD7" si="78">IF(OR(CD6="/",CD6=0),"",IF(ISNUMBER(CD6),ROUND(CD6,2),CD6))</f>
        <v/>
      </c>
      <c r="CE7" s="2" t="str">
        <f t="shared" ref="CE7" si="79">IF(OR(CE6="/",CE6=0),"",IF(ISNUMBER(CE6),ROUND(CE6,2),CE6))</f>
        <v/>
      </c>
      <c r="CF7" s="2" t="str">
        <f t="shared" ref="CF7" si="80">IF(OR(CF6="/",CF6=0),"",IF(ISNUMBER(CF6),ROUND(CF6,2),CF6))</f>
        <v/>
      </c>
      <c r="CG7" s="2" t="str">
        <f t="shared" ref="CG7" si="81">IF(OR(CG6="/",CG6=0),"",IF(ISNUMBER(CG6),ROUND(CG6,2),CG6))</f>
        <v/>
      </c>
      <c r="CH7" s="2" t="str">
        <f t="shared" ref="CH7" si="82">IF(OR(CH6="/",CH6=0),"",IF(ISNUMBER(CH6),ROUND(CH6,2),CH6))</f>
        <v/>
      </c>
      <c r="CI7" s="2" t="str">
        <f t="shared" ref="CI7" si="83">IF(OR(CI6="/",CI6=0),"",IF(ISNUMBER(CI6),ROUND(CI6,2),CI6))</f>
        <v/>
      </c>
      <c r="CJ7" s="2" t="str">
        <f t="shared" ref="CJ7" si="84">IF(OR(CJ6="/",CJ6=0),"",IF(ISNUMBER(CJ6),ROUND(CJ6,2),CJ6))</f>
        <v/>
      </c>
      <c r="CK7" s="2" t="str">
        <f t="shared" ref="CK7" si="85">IF(OR(CK6="/",CK6=0),"",IF(ISNUMBER(CK6),ROUND(CK6,2),CK6))</f>
        <v/>
      </c>
      <c r="CL7" s="2" t="str">
        <f t="shared" ref="CL7" si="86">IF(OR(CL6="/",CL6=0),"",IF(ISNUMBER(CL6),ROUND(CL6,2),CL6))</f>
        <v/>
      </c>
      <c r="CM7" s="2" t="str">
        <f t="shared" ref="CM7" si="87">IF(OR(CM6="/",CM6=0),"",IF(ISNUMBER(CM6),ROUND(CM6,2),CM6))</f>
        <v/>
      </c>
      <c r="CN7" s="2" t="str">
        <f t="shared" ref="CN7" si="88">IF(OR(CN6="/",CN6=0),"",IF(ISNUMBER(CN6),ROUND(CN6,2),CN6))</f>
        <v/>
      </c>
      <c r="CO7" s="2" t="str">
        <f t="shared" ref="CO7" si="89">IF(OR(CO6="/",CO6=0),"",IF(ISNUMBER(CO6),ROUND(CO6,2),CO6))</f>
        <v/>
      </c>
      <c r="CP7" s="2" t="str">
        <f t="shared" ref="CP7" si="90">IF(OR(CP6="/",CP6=0),"",IF(ISNUMBER(CP6),ROUND(CP6,2),CP6))</f>
        <v/>
      </c>
      <c r="CQ7" s="2" t="str">
        <f t="shared" ref="CQ7" si="91">IF(OR(CQ6="/",CQ6=0),"",IF(ISNUMBER(CQ6),ROUND(CQ6,2),CQ6))</f>
        <v/>
      </c>
      <c r="CR7" s="2" t="str">
        <f t="shared" ref="CR7" si="92">IF(OR(CR6="/",CR6=0),"",IF(ISNUMBER(CR6),ROUND(CR6,2),CR6))</f>
        <v/>
      </c>
      <c r="CS7" s="2" t="str">
        <f t="shared" ref="CS7" si="93">IF(OR(CS6="/",CS6=0),"",IF(ISNUMBER(CS6),ROUND(CS6,2),CS6))</f>
        <v/>
      </c>
      <c r="CT7" s="2" t="str">
        <f t="shared" ref="CT7" si="94">IF(OR(CT6="/",CT6=0),"",IF(ISNUMBER(CT6),ROUND(CT6,2),CT6))</f>
        <v/>
      </c>
      <c r="CU7" s="2" t="str">
        <f t="shared" ref="CU7" si="95">IF(OR(CU6="/",CU6=0),"",IF(ISNUMBER(CU6),ROUND(CU6,2),CU6))</f>
        <v/>
      </c>
      <c r="CW7" s="2" t="str">
        <f t="shared" ref="CW7" si="96">IF(OR(CW6="/",CW6=0),"",IF(ISNUMBER(CW6),ROUND(CW6,2),CW6))</f>
        <v/>
      </c>
      <c r="CX7" s="2" t="str">
        <f t="shared" ref="CX7" si="97">IF(OR(CX6="/",CX6=0),"",IF(ISNUMBER(CX6),ROUND(CX6,2),CX6))</f>
        <v/>
      </c>
      <c r="CY7" s="2" t="str">
        <f t="shared" ref="CY7" si="98">IF(OR(CY6="/",CY6=0),"",IF(ISNUMBER(CY6),ROUND(CY6,2),CY6))</f>
        <v/>
      </c>
      <c r="CZ7" s="2" t="str">
        <f t="shared" ref="CZ7" si="99">IF(OR(CZ6="/",CZ6=0),"",IF(ISNUMBER(CZ6),ROUND(CZ6,2),CZ6))</f>
        <v/>
      </c>
      <c r="DA7" s="2" t="str">
        <f t="shared" ref="DA7" si="100">IF(OR(DA6="/",DA6=0),"",IF(ISNUMBER(DA6),ROUND(DA6,2),DA6))</f>
        <v/>
      </c>
      <c r="DB7" s="2" t="str">
        <f t="shared" ref="DB7" si="101">IF(OR(DB6="/",DB6=0),"",IF(ISNUMBER(DB6),ROUND(DB6,2),DB6))</f>
        <v/>
      </c>
      <c r="DC7" s="2" t="str">
        <f t="shared" ref="DC7" si="102">IF(OR(DC6="/",DC6=0),"",IF(ISNUMBER(DC6),ROUND(DC6,2),DC6))</f>
        <v/>
      </c>
      <c r="DD7" s="2" t="str">
        <f t="shared" ref="DD7" si="103">IF(OR(DD6="/",DD6=0),"",IF(ISNUMBER(DD6),ROUND(DD6,2),DD6))</f>
        <v/>
      </c>
      <c r="DM7" s="2" t="str">
        <f t="shared" ref="DM7" si="104">IF(OR(DM6="/",DM6=0),"",IF(ISNUMBER(DM6),ROUND(DM6,2),DM6))</f>
        <v/>
      </c>
      <c r="DN7" s="2" t="str">
        <f t="shared" ref="DN7" si="105">IF(OR(DN6="/",DN6=0),"",IF(ISNUMBER(DN6),ROUND(DN6,2),DN6))</f>
        <v/>
      </c>
      <c r="DO7" s="2" t="str">
        <f t="shared" ref="DO7" si="106">IF(OR(DO6="/",DO6=0),"",IF(ISNUMBER(DO6),ROUND(DO6,2),DO6))</f>
        <v/>
      </c>
      <c r="DP7" s="2" t="str">
        <f t="shared" ref="DP7" si="107">IF(OR(DP6="/",DP6=0),"",IF(ISNUMBER(DP6),ROUND(DP6,2),DP6))</f>
        <v/>
      </c>
      <c r="DQ7" s="2" t="str">
        <f t="shared" ref="DQ7" si="108">IF(OR(DQ6="/",DQ6=0),"",IF(ISNUMBER(DQ6),ROUND(DQ6,2),DQ6))</f>
        <v/>
      </c>
      <c r="DR7" s="2" t="str">
        <f t="shared" ref="DR7" si="109">IF(OR(DR6="/",DR6=0),"",IF(ISNUMBER(DR6),ROUND(DR6,2),DR6))</f>
        <v/>
      </c>
      <c r="DS7" s="2" t="str">
        <f t="shared" ref="DS7" si="110">IF(OR(DS6="/",DS6=0),"",IF(ISNUMBER(DS6),ROUND(DS6,2),DS6))</f>
        <v/>
      </c>
      <c r="DT7" s="2" t="str">
        <f t="shared" ref="DT7" si="111">IF(OR(DT6="/",DT6=0),"",IF(ISNUMBER(DT6),ROUND(DT6,2),DT6))</f>
        <v/>
      </c>
      <c r="DU7" s="2" t="str">
        <f t="shared" ref="DU7" si="112">IF(OR(DU6="/",DU6=0),"",IF(ISNUMBER(DU6),ROUND(DU6,2),DU6))</f>
        <v/>
      </c>
      <c r="DV7" s="2" t="str">
        <f t="shared" ref="DV7" si="113">IF(OR(DV6="/",DV6=0),"",IF(ISNUMBER(DV6),ROUND(DV6,2),DV6))</f>
        <v/>
      </c>
      <c r="DW7" s="2" t="str">
        <f t="shared" ref="DW7" si="114">IF(OR(DW6="/",DW6=0),"",IF(ISNUMBER(DW6),ROUND(DW6,2),DW6))</f>
        <v/>
      </c>
      <c r="DX7" s="2" t="str">
        <f t="shared" ref="DX7" si="115">IF(OR(DX6="/",DX6=0),"",IF(ISNUMBER(DX6),ROUND(DX6,2),DX6))</f>
        <v/>
      </c>
      <c r="DY7" s="2" t="str">
        <f t="shared" ref="DY7" si="116">IF(OR(DY6="/",DY6=0),"",IF(ISNUMBER(DY6),ROUND(DY6,2),DY6))</f>
        <v/>
      </c>
      <c r="DZ7" s="2" t="str">
        <f t="shared" ref="DZ7" si="117">IF(OR(DZ6="/",DZ6=0),"",IF(ISNUMBER(DZ6),ROUND(DZ6,2),DZ6))</f>
        <v/>
      </c>
      <c r="EA7" s="2" t="str">
        <f t="shared" ref="EA7" si="118">IF(OR(EA6="/",EA6=0),"",IF(ISNUMBER(EA6),ROUND(EA6,2),EA6))</f>
        <v/>
      </c>
      <c r="EB7" s="2" t="str">
        <f t="shared" ref="EB7" si="119">IF(OR(EB6="/",EB6=0),"",IF(ISNUMBER(EB6),ROUND(EB6,2),EB6))</f>
        <v/>
      </c>
      <c r="EC7" s="2" t="str">
        <f t="shared" ref="EC7" si="120">IF(OR(EC6="/",EC6=0),"",IF(ISNUMBER(EC6),ROUND(EC6,2),EC6))</f>
        <v/>
      </c>
      <c r="ED7" s="2" t="str">
        <f t="shared" ref="ED7" si="121">IF(OR(ED6="/",ED6=0),"",IF(ISNUMBER(ED6),ROUND(ED6,2),ED6))</f>
        <v/>
      </c>
      <c r="EE7" s="2" t="str">
        <f t="shared" ref="EE7" si="122">IF(OR(EE6="/",EE6=0),"",IF(ISNUMBER(EE6),ROUND(EE6,2),EE6))</f>
        <v/>
      </c>
      <c r="EF7" s="2" t="str">
        <f t="shared" ref="EF7" si="123">IF(OR(EF6="/",EF6=0),"",IF(ISNUMBER(EF6),ROUND(EF6,2),EF6))</f>
        <v/>
      </c>
      <c r="EG7" s="2" t="str">
        <f t="shared" ref="EG7" si="124">IF(OR(EG6="/",EG6=0),"",IF(ISNUMBER(EG6),ROUND(EG6,2),EG6))</f>
        <v/>
      </c>
      <c r="EH7" s="2" t="str">
        <f t="shared" ref="EH7" si="125">IF(OR(EH6="/",EH6=0),"",IF(ISNUMBER(EH6),ROUND(EH6,2),EH6))</f>
        <v/>
      </c>
      <c r="EI7" s="2" t="str">
        <f t="shared" ref="EI7" si="126">IF(OR(EI6="/",EI6=0),"",IF(ISNUMBER(EI6),ROUND(EI6,2),EI6))</f>
        <v/>
      </c>
      <c r="EJ7" s="2" t="str">
        <f t="shared" ref="EJ7" si="127">IF(OR(EJ6="/",EJ6=0),"",IF(ISNUMBER(EJ6),ROUND(EJ6,2),EJ6))</f>
        <v/>
      </c>
      <c r="EK7" s="2" t="str">
        <f t="shared" ref="EK7" si="128">IF(OR(EK6="/",EK6=0),"",IF(ISNUMBER(EK6),ROUND(EK6,2),EK6))</f>
        <v/>
      </c>
      <c r="EL7" s="2" t="str">
        <f t="shared" ref="EL7" si="129">IF(OR(EL6="/",EL6=0),"",IF(ISNUMBER(EL6),ROUND(EL6,2),EL6))</f>
        <v/>
      </c>
      <c r="EM7" s="2" t="str">
        <f t="shared" ref="EM7" si="130">IF(OR(EM6="/",EM6=0),"",IF(ISNUMBER(EM6),ROUND(EM6,2),EM6))</f>
        <v/>
      </c>
      <c r="EN7" s="2" t="str">
        <f t="shared" ref="EN7" si="131">IF(OR(EN6="/",EN6=0),"",IF(ISNUMBER(EN6),ROUND(EN6,2),EN6))</f>
        <v/>
      </c>
      <c r="EO7" s="2" t="str">
        <f t="shared" ref="EO7" si="132">IF(OR(EO6="/",EO6=0),"",IF(ISNUMBER(EO6),ROUND(EO6,2),EO6))</f>
        <v/>
      </c>
      <c r="EP7" s="2" t="str">
        <f t="shared" ref="EP7" si="133">IF(OR(EP6="/",EP6=0),"",IF(ISNUMBER(EP6),ROUND(EP6,2),EP6))</f>
        <v/>
      </c>
      <c r="EQ7" s="2" t="str">
        <f t="shared" ref="EQ7" si="134">IF(OR(EQ6="/",EQ6=0),"",IF(ISNUMBER(EQ6),ROUND(EQ6,2),EQ6))</f>
        <v/>
      </c>
      <c r="ER7" s="2" t="str">
        <f t="shared" ref="ER7" si="135">IF(OR(ER6="/",ER6=0),"",IF(ISNUMBER(ER6),ROUND(ER6,2),ER6))</f>
        <v/>
      </c>
      <c r="FA7" s="2" t="str">
        <f t="shared" ref="FA7" si="136">IF(OR(FA6="/",FA6=0),"",IF(ISNUMBER(FA6),ROUND(FA6,2),FA6))</f>
        <v/>
      </c>
      <c r="FB7" s="2" t="str">
        <f t="shared" ref="FB7" si="137">IF(OR(FB6="/",FB6=0),"",IF(ISNUMBER(FB6),ROUND(FB6,2),FB6))</f>
        <v/>
      </c>
      <c r="FC7" s="2" t="str">
        <f t="shared" ref="FC7" si="138">IF(OR(FC6="/",FC6=0),"",IF(ISNUMBER(FC6),ROUND(FC6,2),FC6))</f>
        <v/>
      </c>
      <c r="FD7" s="2" t="str">
        <f t="shared" ref="FD7" si="139">IF(OR(FD6="/",FD6=0),"",IF(ISNUMBER(FD6),ROUND(FD6,2),FD6))</f>
        <v/>
      </c>
      <c r="FE7" s="2" t="str">
        <f t="shared" ref="FE7" si="140">IF(OR(FE6="/",FE6=0),"",IF(ISNUMBER(FE6),ROUND(FE6,2),FE6))</f>
        <v/>
      </c>
      <c r="FF7" s="2" t="str">
        <f t="shared" ref="FF7" si="141">IF(OR(FF6="/",FF6=0),"",IF(ISNUMBER(FF6),ROUND(FF6,2),FF6))</f>
        <v/>
      </c>
      <c r="FG7" s="2" t="str">
        <f t="shared" ref="FG7" si="142">IF(OR(FG6="/",FG6=0),"",IF(ISNUMBER(FG6),ROUND(FG6,2),FG6))</f>
        <v/>
      </c>
      <c r="FH7" s="2" t="str">
        <f t="shared" ref="FH7" si="143">IF(OR(FH6="/",FH6=0),"",IF(ISNUMBER(FH6),ROUND(FH6,2),FH6))</f>
        <v/>
      </c>
      <c r="FI7" s="2" t="str">
        <f t="shared" ref="FI7" si="144">IF(OR(FI6="/",FI6=0),"",IF(ISNUMBER(FI6),ROUND(FI6,2),FI6))</f>
        <v/>
      </c>
      <c r="FJ7" s="2" t="str">
        <f t="shared" ref="FJ7" si="145">IF(OR(FJ6="/",FJ6=0),"",IF(ISNUMBER(FJ6),ROUND(FJ6,2),FJ6))</f>
        <v/>
      </c>
      <c r="FK7" s="2" t="str">
        <f t="shared" ref="FK7" si="146">IF(OR(FK6="/",FK6=0),"",IF(ISNUMBER(FK6),ROUND(FK6,2),FK6))</f>
        <v/>
      </c>
      <c r="FL7" s="2" t="str">
        <f t="shared" ref="FL7" si="147">IF(OR(FL6="/",FL6=0),"",IF(ISNUMBER(FL6),ROUND(FL6,2),FL6))</f>
        <v/>
      </c>
      <c r="FM7" s="2" t="str">
        <f t="shared" ref="FM7" si="148">IF(OR(FM6="/",FM6=0),"",IF(ISNUMBER(FM6),ROUND(FM6,2),FM6))</f>
        <v/>
      </c>
      <c r="FN7" s="2" t="str">
        <f t="shared" ref="FN7" si="149">IF(OR(FN6="/",FN6=0),"",IF(ISNUMBER(FN6),ROUND(FN6,2),FN6))</f>
        <v/>
      </c>
      <c r="FO7" s="2" t="str">
        <f t="shared" ref="FO7" si="150">IF(OR(FO6="/",FO6=0),"",IF(ISNUMBER(FO6),ROUND(FO6,2),FO6))</f>
        <v/>
      </c>
      <c r="FP7" s="2" t="str">
        <f t="shared" ref="FP7" si="151">IF(OR(FP6="/",FP6=0),"",IF(ISNUMBER(FP6),ROUND(FP6,2),FP6))</f>
        <v/>
      </c>
    </row>
    <row r="8" spans="1:237" s="128" customFormat="1">
      <c r="A8" s="128" t="s">
        <v>810</v>
      </c>
      <c r="B8" s="128" t="str">
        <f t="shared" ref="B8:I8" si="152">IFERROR(INDEX(B$13:B$548,MATCH($A9,$A$13:$A$548,0)),"")</f>
        <v/>
      </c>
      <c r="C8" s="128" t="str">
        <f t="shared" si="152"/>
        <v/>
      </c>
      <c r="D8" s="128" t="str">
        <f t="shared" si="152"/>
        <v/>
      </c>
      <c r="E8" s="128" t="str">
        <f t="shared" si="152"/>
        <v/>
      </c>
      <c r="F8" s="128" t="str">
        <f t="shared" si="152"/>
        <v/>
      </c>
      <c r="G8" s="128" t="str">
        <f t="shared" si="152"/>
        <v/>
      </c>
      <c r="H8" s="128" t="str">
        <f t="shared" si="152"/>
        <v/>
      </c>
      <c r="I8" s="128" t="str">
        <f t="shared" si="152"/>
        <v/>
      </c>
      <c r="M8" s="128" t="str">
        <f t="shared" ref="M8:U8" si="153">IFERROR(INDEX(M$13:M$548,MATCH($A9,$A$13:$A$548,0)),"")</f>
        <v/>
      </c>
      <c r="N8" s="128" t="str">
        <f t="shared" si="153"/>
        <v/>
      </c>
      <c r="O8" s="128" t="str">
        <f t="shared" si="153"/>
        <v/>
      </c>
      <c r="P8" s="128" t="str">
        <f t="shared" si="153"/>
        <v/>
      </c>
      <c r="Q8" s="128" t="str">
        <f t="shared" si="153"/>
        <v/>
      </c>
      <c r="R8" s="128" t="str">
        <f t="shared" si="153"/>
        <v/>
      </c>
      <c r="S8" s="128" t="str">
        <f t="shared" si="153"/>
        <v/>
      </c>
      <c r="T8" s="128" t="str">
        <f t="shared" si="153"/>
        <v/>
      </c>
      <c r="U8" s="128" t="str">
        <f t="shared" si="153"/>
        <v/>
      </c>
      <c r="X8" s="128" t="str">
        <f>IFERROR(INDEX(X$13:X$548,MATCH($A9,$A$13:$A$548,0)),"")</f>
        <v/>
      </c>
      <c r="Y8" s="128" t="str">
        <f>IFERROR(INDEX(Y$13:Y$548,MATCH($A9,$A$13:$A$548,0)),"")</f>
        <v/>
      </c>
      <c r="Z8" s="128" t="str">
        <f>IFERROR(INDEX(Z$13:Z$548,MATCH($A9,$A$13:$A$548,0)),"")</f>
        <v/>
      </c>
      <c r="AA8" s="128" t="str">
        <f>IFERROR(INDEX(AA$13:AA$548,MATCH($A9,$A$13:$A$548,0)),"")</f>
        <v/>
      </c>
      <c r="AB8" s="128" t="str">
        <f>IFERROR(INDEX(AB$13:AB$548,MATCH($A9,$A$13:$A$548,0)),"")</f>
        <v/>
      </c>
      <c r="AE8" s="128" t="str">
        <f t="shared" ref="AE8:AQ8" si="154">IFERROR(INDEX(AE$13:AE$548,MATCH($A9,$A$13:$A$548,0)),"")</f>
        <v/>
      </c>
      <c r="AF8" s="128" t="str">
        <f t="shared" si="154"/>
        <v/>
      </c>
      <c r="AG8" s="128" t="str">
        <f t="shared" si="154"/>
        <v/>
      </c>
      <c r="AH8" s="128" t="str">
        <f t="shared" si="154"/>
        <v/>
      </c>
      <c r="AI8" s="128" t="str">
        <f t="shared" si="154"/>
        <v/>
      </c>
      <c r="AJ8" s="128" t="str">
        <f t="shared" si="154"/>
        <v/>
      </c>
      <c r="AK8" s="128" t="str">
        <f t="shared" si="154"/>
        <v/>
      </c>
      <c r="AL8" s="128" t="str">
        <f t="shared" si="154"/>
        <v/>
      </c>
      <c r="AM8" s="128" t="str">
        <f t="shared" si="154"/>
        <v/>
      </c>
      <c r="AN8" s="128" t="str">
        <f t="shared" si="154"/>
        <v/>
      </c>
      <c r="AO8" s="128" t="str">
        <f t="shared" si="154"/>
        <v/>
      </c>
      <c r="AP8" s="128" t="str">
        <f t="shared" si="154"/>
        <v/>
      </c>
      <c r="AQ8" s="128" t="str">
        <f t="shared" si="154"/>
        <v/>
      </c>
      <c r="AU8" s="128" t="str">
        <f t="shared" ref="AU8:BF8" si="155">IFERROR(INDEX(AU$13:AU$548,MATCH($A9,$A$13:$A$548,0)),"")</f>
        <v/>
      </c>
      <c r="AV8" s="128" t="str">
        <f t="shared" si="155"/>
        <v/>
      </c>
      <c r="AW8" s="128" t="str">
        <f t="shared" si="155"/>
        <v/>
      </c>
      <c r="AX8" s="128" t="str">
        <f t="shared" si="155"/>
        <v/>
      </c>
      <c r="AY8" s="128" t="str">
        <f t="shared" si="155"/>
        <v/>
      </c>
      <c r="AZ8" s="128" t="str">
        <f t="shared" si="155"/>
        <v/>
      </c>
      <c r="BA8" s="128" t="str">
        <f t="shared" si="155"/>
        <v/>
      </c>
      <c r="BB8" s="128" t="str">
        <f t="shared" si="155"/>
        <v/>
      </c>
      <c r="BC8" s="128" t="str">
        <f t="shared" si="155"/>
        <v/>
      </c>
      <c r="BD8" s="128" t="str">
        <f t="shared" si="155"/>
        <v/>
      </c>
      <c r="BE8" s="128" t="str">
        <f t="shared" si="155"/>
        <v/>
      </c>
      <c r="BF8" s="128" t="str">
        <f t="shared" si="155"/>
        <v/>
      </c>
      <c r="BH8" s="128" t="str">
        <f t="shared" ref="BH8:BO8" si="156">IFERROR(INDEX(BH$13:BH$548,MATCH($A9,$A$13:$A$548,0)),"")</f>
        <v/>
      </c>
      <c r="BI8" s="128" t="str">
        <f t="shared" si="156"/>
        <v/>
      </c>
      <c r="BJ8" s="128" t="str">
        <f t="shared" si="156"/>
        <v/>
      </c>
      <c r="BK8" s="128" t="str">
        <f t="shared" si="156"/>
        <v/>
      </c>
      <c r="BL8" s="128" t="str">
        <f t="shared" si="156"/>
        <v/>
      </c>
      <c r="BM8" s="128" t="str">
        <f t="shared" si="156"/>
        <v/>
      </c>
      <c r="BN8" s="128" t="str">
        <f t="shared" si="156"/>
        <v/>
      </c>
      <c r="BO8" s="128" t="str">
        <f t="shared" si="156"/>
        <v/>
      </c>
      <c r="BP8" s="206"/>
      <c r="BQ8" s="206"/>
      <c r="BR8" s="206"/>
      <c r="BS8" s="206"/>
      <c r="BT8" s="206"/>
      <c r="BU8" s="206"/>
      <c r="BV8" s="206"/>
      <c r="BW8" s="206"/>
      <c r="BX8" s="128" t="str">
        <f t="shared" ref="BX8:CU8" si="157">IFERROR(INDEX(BX$13:BX$548,MATCH($A9,$A$13:$A$548,0)),"")</f>
        <v/>
      </c>
      <c r="BY8" s="128" t="str">
        <f t="shared" si="157"/>
        <v/>
      </c>
      <c r="BZ8" s="128" t="str">
        <f t="shared" si="157"/>
        <v/>
      </c>
      <c r="CA8" s="128" t="str">
        <f t="shared" si="157"/>
        <v/>
      </c>
      <c r="CB8" s="128" t="str">
        <f t="shared" si="157"/>
        <v/>
      </c>
      <c r="CC8" s="128" t="str">
        <f t="shared" si="157"/>
        <v/>
      </c>
      <c r="CD8" s="128" t="str">
        <f t="shared" si="157"/>
        <v/>
      </c>
      <c r="CE8" s="128" t="str">
        <f t="shared" si="157"/>
        <v/>
      </c>
      <c r="CF8" s="128" t="str">
        <f t="shared" si="157"/>
        <v/>
      </c>
      <c r="CG8" s="128" t="str">
        <f t="shared" si="157"/>
        <v/>
      </c>
      <c r="CH8" s="128" t="str">
        <f t="shared" si="157"/>
        <v/>
      </c>
      <c r="CI8" s="128" t="str">
        <f t="shared" si="157"/>
        <v/>
      </c>
      <c r="CJ8" s="128" t="str">
        <f t="shared" si="157"/>
        <v/>
      </c>
      <c r="CK8" s="128" t="str">
        <f t="shared" si="157"/>
        <v/>
      </c>
      <c r="CL8" s="128" t="str">
        <f t="shared" si="157"/>
        <v/>
      </c>
      <c r="CM8" s="128" t="str">
        <f t="shared" si="157"/>
        <v/>
      </c>
      <c r="CN8" s="128" t="str">
        <f t="shared" si="157"/>
        <v/>
      </c>
      <c r="CO8" s="128" t="str">
        <f t="shared" si="157"/>
        <v/>
      </c>
      <c r="CP8" s="128" t="str">
        <f t="shared" si="157"/>
        <v/>
      </c>
      <c r="CQ8" s="128" t="str">
        <f t="shared" si="157"/>
        <v/>
      </c>
      <c r="CR8" s="128" t="str">
        <f t="shared" si="157"/>
        <v/>
      </c>
      <c r="CS8" s="128" t="str">
        <f t="shared" si="157"/>
        <v/>
      </c>
      <c r="CT8" s="128" t="str">
        <f t="shared" si="157"/>
        <v/>
      </c>
      <c r="CU8" s="128" t="str">
        <f t="shared" si="157"/>
        <v/>
      </c>
      <c r="CW8" s="128" t="str">
        <f t="shared" ref="CW8:DD8" si="158">IFERROR(INDEX(CW$13:CW$548,MATCH($A9,$A$13:$A$548,0)),"")</f>
        <v/>
      </c>
      <c r="CX8" s="128" t="str">
        <f t="shared" si="158"/>
        <v/>
      </c>
      <c r="CY8" s="128" t="str">
        <f t="shared" si="158"/>
        <v/>
      </c>
      <c r="CZ8" s="128" t="str">
        <f t="shared" si="158"/>
        <v/>
      </c>
      <c r="DA8" s="128" t="str">
        <f t="shared" si="158"/>
        <v/>
      </c>
      <c r="DB8" s="128" t="str">
        <f t="shared" si="158"/>
        <v/>
      </c>
      <c r="DC8" s="128" t="str">
        <f t="shared" si="158"/>
        <v/>
      </c>
      <c r="DD8" s="128" t="str">
        <f t="shared" si="158"/>
        <v/>
      </c>
      <c r="DE8" s="206"/>
      <c r="DF8" s="206"/>
      <c r="DG8" s="206"/>
      <c r="DH8" s="206"/>
      <c r="DI8" s="206"/>
      <c r="DJ8" s="206"/>
      <c r="DK8" s="206"/>
      <c r="DL8" s="206"/>
      <c r="DM8" s="128" t="str">
        <f t="shared" ref="DM8:ER8" si="159">IFERROR(INDEX(DM$13:DM$548,MATCH($A9,$A$13:$A$548,0)),"")</f>
        <v/>
      </c>
      <c r="DN8" s="128" t="str">
        <f t="shared" si="159"/>
        <v/>
      </c>
      <c r="DO8" s="128" t="str">
        <f t="shared" si="159"/>
        <v/>
      </c>
      <c r="DP8" s="128" t="str">
        <f t="shared" si="159"/>
        <v/>
      </c>
      <c r="DQ8" s="128" t="str">
        <f t="shared" si="159"/>
        <v/>
      </c>
      <c r="DR8" s="128" t="str">
        <f t="shared" si="159"/>
        <v/>
      </c>
      <c r="DS8" s="128" t="str">
        <f t="shared" si="159"/>
        <v/>
      </c>
      <c r="DT8" s="128" t="str">
        <f t="shared" si="159"/>
        <v/>
      </c>
      <c r="DU8" s="128" t="str">
        <f t="shared" si="159"/>
        <v/>
      </c>
      <c r="DV8" s="128" t="str">
        <f t="shared" si="159"/>
        <v/>
      </c>
      <c r="DW8" s="128" t="str">
        <f t="shared" si="159"/>
        <v/>
      </c>
      <c r="DX8" s="128" t="str">
        <f t="shared" si="159"/>
        <v/>
      </c>
      <c r="DY8" s="128" t="str">
        <f t="shared" si="159"/>
        <v/>
      </c>
      <c r="DZ8" s="128" t="str">
        <f t="shared" si="159"/>
        <v/>
      </c>
      <c r="EA8" s="128" t="str">
        <f t="shared" si="159"/>
        <v/>
      </c>
      <c r="EB8" s="128" t="str">
        <f t="shared" si="159"/>
        <v/>
      </c>
      <c r="EC8" s="128" t="str">
        <f t="shared" si="159"/>
        <v/>
      </c>
      <c r="ED8" s="128" t="str">
        <f t="shared" si="159"/>
        <v/>
      </c>
      <c r="EE8" s="128" t="str">
        <f t="shared" si="159"/>
        <v/>
      </c>
      <c r="EF8" s="128" t="str">
        <f t="shared" si="159"/>
        <v/>
      </c>
      <c r="EG8" s="128" t="str">
        <f t="shared" si="159"/>
        <v/>
      </c>
      <c r="EH8" s="128" t="str">
        <f t="shared" si="159"/>
        <v/>
      </c>
      <c r="EI8" s="128" t="str">
        <f t="shared" si="159"/>
        <v/>
      </c>
      <c r="EJ8" s="128" t="str">
        <f t="shared" si="159"/>
        <v/>
      </c>
      <c r="EK8" s="128" t="str">
        <f t="shared" si="159"/>
        <v/>
      </c>
      <c r="EL8" s="128" t="str">
        <f t="shared" si="159"/>
        <v/>
      </c>
      <c r="EM8" s="128" t="str">
        <f t="shared" si="159"/>
        <v/>
      </c>
      <c r="EN8" s="128" t="str">
        <f t="shared" si="159"/>
        <v/>
      </c>
      <c r="EO8" s="128" t="str">
        <f t="shared" si="159"/>
        <v/>
      </c>
      <c r="EP8" s="128" t="str">
        <f t="shared" si="159"/>
        <v/>
      </c>
      <c r="EQ8" s="128" t="str">
        <f t="shared" si="159"/>
        <v/>
      </c>
      <c r="ER8" s="128" t="str">
        <f t="shared" si="159"/>
        <v/>
      </c>
      <c r="FA8" s="128" t="str">
        <f t="shared" ref="FA8:FP8" si="160">IFERROR(INDEX(FA$13:FA$548,MATCH($A9,$A$13:$A$548,0)),"")</f>
        <v/>
      </c>
      <c r="FB8" s="128" t="str">
        <f t="shared" si="160"/>
        <v/>
      </c>
      <c r="FC8" s="128" t="str">
        <f t="shared" si="160"/>
        <v/>
      </c>
      <c r="FD8" s="128" t="str">
        <f t="shared" si="160"/>
        <v/>
      </c>
      <c r="FE8" s="128" t="str">
        <f t="shared" si="160"/>
        <v/>
      </c>
      <c r="FF8" s="128" t="str">
        <f t="shared" si="160"/>
        <v/>
      </c>
      <c r="FG8" s="128" t="str">
        <f t="shared" si="160"/>
        <v/>
      </c>
      <c r="FH8" s="128" t="str">
        <f t="shared" si="160"/>
        <v/>
      </c>
      <c r="FI8" s="128" t="str">
        <f t="shared" si="160"/>
        <v/>
      </c>
      <c r="FJ8" s="128" t="str">
        <f t="shared" si="160"/>
        <v/>
      </c>
      <c r="FK8" s="128" t="str">
        <f t="shared" si="160"/>
        <v/>
      </c>
      <c r="FL8" s="128" t="str">
        <f t="shared" si="160"/>
        <v/>
      </c>
      <c r="FM8" s="128" t="str">
        <f t="shared" si="160"/>
        <v/>
      </c>
      <c r="FN8" s="128" t="str">
        <f t="shared" si="160"/>
        <v/>
      </c>
      <c r="FO8" s="128" t="str">
        <f t="shared" si="160"/>
        <v/>
      </c>
      <c r="FP8" s="128" t="str">
        <f t="shared" si="160"/>
        <v/>
      </c>
    </row>
    <row r="9" spans="1:237">
      <c r="A9" s="2" t="str">
        <f>_xlfn.CONCAT(A4,"-3")</f>
        <v>JS4458-3</v>
      </c>
      <c r="B9" s="2" t="str">
        <f t="shared" si="18"/>
        <v/>
      </c>
      <c r="C9" s="2" t="str">
        <f t="shared" ref="C9" si="161">IF(OR(C8="/",C8=0),"",IF(ISNUMBER(C8),ROUND(C8,2),C8))</f>
        <v/>
      </c>
      <c r="D9" s="2" t="str">
        <f t="shared" ref="D9" si="162">IF(OR(D8="/",D8=0),"",IF(ISNUMBER(D8),ROUND(D8,2),D8))</f>
        <v/>
      </c>
      <c r="E9" s="2" t="str">
        <f t="shared" ref="E9" si="163">IF(OR(E8="/",E8=0),"",IF(ISNUMBER(E8),ROUND(E8,2),E8))</f>
        <v/>
      </c>
      <c r="F9" s="2" t="str">
        <f>IF(OR(F8="/",F8=0),"",IF(ISNUMBER(F8),ROUND(F8,2),F8))</f>
        <v/>
      </c>
      <c r="G9" s="2" t="str">
        <f t="shared" ref="G9" si="164">IF(OR(G8="/",G8=0),"",IF(ISNUMBER(G8),ROUND(G8,2),G8))</f>
        <v/>
      </c>
      <c r="H9" s="2" t="str">
        <f t="shared" ref="H9" si="165">IF(OR(H8="/",H8=0),"",IF(ISNUMBER(H8),ROUND(H8,2),H8))</f>
        <v/>
      </c>
      <c r="I9" s="2" t="str">
        <f t="shared" ref="I9" si="166">IF(OR(I8="/",I8=0),"",IF(ISNUMBER(I8),ROUND(I8,2),I8))</f>
        <v/>
      </c>
      <c r="M9" s="2" t="str">
        <f t="shared" ref="M9" si="167">IF(OR(M8="/",M8=0),"",IF(ISNUMBER(M8),ROUND(M8,2),M8))</f>
        <v/>
      </c>
      <c r="N9" s="2" t="str">
        <f t="shared" ref="N9" si="168">IF(OR(N8="/",N8=0),"",IF(ISNUMBER(N8),ROUND(N8,2),N8))</f>
        <v/>
      </c>
      <c r="O9" s="2" t="str">
        <f t="shared" ref="O9" si="169">IF(OR(O8="/",O8=0),"",IF(ISNUMBER(O8),ROUND(O8,2),O8))</f>
        <v/>
      </c>
      <c r="P9" s="2" t="str">
        <f t="shared" ref="P9" si="170">IF(OR(P8="/",P8=0),"",IF(ISNUMBER(P8),ROUND(P8,2),P8))</f>
        <v/>
      </c>
      <c r="Q9" s="2" t="str">
        <f t="shared" ref="Q9" si="171">IF(OR(Q8="/",Q8=0),"",IF(ISNUMBER(Q8),ROUND(Q8,2),Q8))</f>
        <v/>
      </c>
      <c r="R9" s="2" t="str">
        <f t="shared" ref="R9" si="172">IF(OR(R8="/",R8=0),"",IF(ISNUMBER(R8),ROUND(R8,2),R8))</f>
        <v/>
      </c>
      <c r="S9" s="2" t="str">
        <f t="shared" ref="S9" si="173">IF(OR(S8="/",S8=0),"",IF(ISNUMBER(S8),ROUND(S8,2),S8))</f>
        <v/>
      </c>
      <c r="T9" s="2" t="str">
        <f t="shared" ref="T9" si="174">IF(OR(T8="/",T8=0),"",IF(ISNUMBER(T8),ROUND(T8,2),T8))</f>
        <v/>
      </c>
      <c r="U9" s="2" t="str">
        <f t="shared" ref="U9" si="175">IF(OR(U8="/",U8=0),"",IF(ISNUMBER(U8),ROUND(U8,2),U8))</f>
        <v/>
      </c>
      <c r="X9" s="2" t="str">
        <f t="shared" ref="X9" si="176">IF(OR(X8="/",X8=0),"",IF(ISNUMBER(X8),ROUND(X8,2),X8))</f>
        <v/>
      </c>
      <c r="Y9" s="2" t="str">
        <f t="shared" ref="Y9" si="177">IF(OR(Y8="/",Y8=0),"",IF(ISNUMBER(Y8),ROUND(Y8,2),Y8))</f>
        <v/>
      </c>
      <c r="Z9" s="2" t="str">
        <f t="shared" ref="Z9" si="178">IF(OR(Z8="/",Z8=0),"",IF(ISNUMBER(Z8),ROUND(Z8,2),Z8))</f>
        <v/>
      </c>
      <c r="AA9" s="2" t="str">
        <f t="shared" ref="AA9" si="179">IF(OR(AA8="/",AA8=0),"",IF(ISNUMBER(AA8),ROUND(AA8,2),AA8))</f>
        <v/>
      </c>
      <c r="AB9" s="2" t="str">
        <f t="shared" ref="AB9" si="180">IF(OR(AB8="/",AB8=0),"",IF(ISNUMBER(AB8),ROUND(AB8,2),AB8))</f>
        <v/>
      </c>
      <c r="AE9" s="2" t="str">
        <f t="shared" ref="AE9" si="181">IF(OR(AE8="/",AE8=0),"",IF(ISNUMBER(AE8),ROUND(AE8,2),AE8))</f>
        <v/>
      </c>
      <c r="AF9" s="2" t="str">
        <f t="shared" ref="AF9" si="182">IF(OR(AF8="/",AF8=0),"",IF(ISNUMBER(AF8),ROUND(AF8,2),AF8))</f>
        <v/>
      </c>
      <c r="AG9" s="2" t="str">
        <f t="shared" ref="AG9" si="183">IF(OR(AG8="/",AG8=0),"",IF(ISNUMBER(AG8),ROUND(AG8,2),AG8))</f>
        <v/>
      </c>
      <c r="AH9" s="2" t="str">
        <f t="shared" ref="AH9" si="184">IF(OR(AH8="/",AH8=0),"",IF(ISNUMBER(AH8),ROUND(AH8,2),AH8))</f>
        <v/>
      </c>
      <c r="AI9" s="2" t="str">
        <f t="shared" ref="AI9" si="185">IF(OR(AI8="/",AI8=0),"",IF(ISNUMBER(AI8),ROUND(AI8,2),AI8))</f>
        <v/>
      </c>
      <c r="AJ9" s="2" t="str">
        <f t="shared" ref="AJ9" si="186">IF(OR(AJ8="/",AJ8=0),"",IF(ISNUMBER(AJ8),ROUND(AJ8,2),AJ8))</f>
        <v/>
      </c>
      <c r="AK9" s="2" t="str">
        <f t="shared" ref="AK9" si="187">IF(OR(AK8="/",AK8=0),"",IF(ISNUMBER(AK8),ROUND(AK8,2),AK8))</f>
        <v/>
      </c>
      <c r="AL9" s="2" t="str">
        <f t="shared" ref="AL9" si="188">IF(OR(AL8="/",AL8=0),"",IF(ISNUMBER(AL8),ROUND(AL8,2),AL8))</f>
        <v/>
      </c>
      <c r="AM9" s="2" t="str">
        <f t="shared" ref="AM9" si="189">IF(OR(AM8="/",AM8=0),"",IF(ISNUMBER(AM8),ROUND(AM8,2),AM8))</f>
        <v/>
      </c>
      <c r="AN9" s="2" t="str">
        <f t="shared" ref="AN9" si="190">IF(OR(AN8="/",AN8=0),"",IF(ISNUMBER(AN8),ROUND(AN8,2),AN8))</f>
        <v/>
      </c>
      <c r="AO9" s="2" t="str">
        <f t="shared" ref="AO9" si="191">IF(OR(AO8="/",AO8=0),"",IF(ISNUMBER(AO8),ROUND(AO8,2),AO8))</f>
        <v/>
      </c>
      <c r="AP9" s="2" t="str">
        <f t="shared" ref="AP9" si="192">IF(OR(AP8="/",AP8=0),"",IF(ISNUMBER(AP8),ROUND(AP8,2),AP8))</f>
        <v/>
      </c>
      <c r="AQ9" s="2" t="str">
        <f t="shared" ref="AQ9" si="193">IF(OR(AQ8="/",AQ8=0),"",IF(ISNUMBER(AQ8),ROUND(AQ8,2),AQ8))</f>
        <v/>
      </c>
      <c r="AU9" s="2" t="str">
        <f t="shared" ref="AU9" si="194">IF(OR(AU8="/",AU8=0),"",IF(ISNUMBER(AU8),ROUND(AU8,2),AU8))</f>
        <v/>
      </c>
      <c r="AV9" s="2" t="str">
        <f t="shared" ref="AV9" si="195">IF(OR(AV8="/",AV8=0),"",IF(ISNUMBER(AV8),ROUND(AV8,2),AV8))</f>
        <v/>
      </c>
      <c r="AW9" s="2" t="str">
        <f t="shared" ref="AW9" si="196">IF(OR(AW8="/",AW8=0),"",IF(ISNUMBER(AW8),ROUND(AW8,2),AW8))</f>
        <v/>
      </c>
      <c r="AX9" s="2" t="str">
        <f t="shared" ref="AX9" si="197">IF(OR(AX8="/",AX8=0),"",IF(ISNUMBER(AX8),ROUND(AX8,2),AX8))</f>
        <v/>
      </c>
      <c r="AY9" s="2" t="str">
        <f t="shared" ref="AY9" si="198">IF(OR(AY8="/",AY8=0),"",IF(ISNUMBER(AY8),ROUND(AY8,2),AY8))</f>
        <v/>
      </c>
      <c r="AZ9" s="2" t="str">
        <f t="shared" ref="AZ9" si="199">IF(OR(AZ8="/",AZ8=0),"",IF(ISNUMBER(AZ8),ROUND(AZ8,2),AZ8))</f>
        <v/>
      </c>
      <c r="BA9" s="2" t="str">
        <f t="shared" ref="BA9" si="200">IF(OR(BA8="/",BA8=0),"",IF(ISNUMBER(BA8),ROUND(BA8,2),BA8))</f>
        <v/>
      </c>
      <c r="BB9" s="2" t="str">
        <f t="shared" ref="BB9" si="201">IF(OR(BB8="/",BB8=0),"",IF(ISNUMBER(BB8),ROUND(BB8,2),BB8))</f>
        <v/>
      </c>
      <c r="BC9" s="2" t="str">
        <f t="shared" ref="BC9" si="202">IF(OR(BC8="/",BC8=0),"",IF(ISNUMBER(BC8),ROUND(BC8,2),BC8))</f>
        <v/>
      </c>
      <c r="BD9" s="2" t="str">
        <f t="shared" ref="BD9" si="203">IF(OR(BD8="/",BD8=0),"",IF(ISNUMBER(BD8),ROUND(BD8,2),BD8))</f>
        <v/>
      </c>
      <c r="BE9" s="2" t="str">
        <f t="shared" ref="BE9" si="204">IF(OR(BE8="/",BE8=0),"",IF(ISNUMBER(BE8),ROUND(BE8,2),BE8))</f>
        <v/>
      </c>
      <c r="BF9" s="2" t="str">
        <f t="shared" ref="BF9" si="205">IF(OR(BF8="/",BF8=0),"",IF(ISNUMBER(BF8),ROUND(BF8,2),BF8))</f>
        <v/>
      </c>
      <c r="BH9" s="2" t="str">
        <f t="shared" ref="BH9" si="206">IF(OR(BH8="/",BH8=0),"",IF(ISNUMBER(BH8),ROUND(BH8,2),BH8))</f>
        <v/>
      </c>
      <c r="BI9" s="2" t="str">
        <f t="shared" ref="BI9" si="207">IF(OR(BI8="/",BI8=0),"",IF(ISNUMBER(BI8),ROUND(BI8,2),BI8))</f>
        <v/>
      </c>
      <c r="BJ9" s="2" t="str">
        <f t="shared" ref="BJ9" si="208">IF(OR(BJ8="/",BJ8=0),"",IF(ISNUMBER(BJ8),ROUND(BJ8,2),BJ8))</f>
        <v/>
      </c>
      <c r="BK9" s="2" t="str">
        <f t="shared" ref="BK9" si="209">IF(OR(BK8="/",BK8=0),"",IF(ISNUMBER(BK8),ROUND(BK8,2),BK8))</f>
        <v/>
      </c>
      <c r="BL9" s="2" t="str">
        <f t="shared" ref="BL9" si="210">IF(OR(BL8="/",BL8=0),"",IF(ISNUMBER(BL8),ROUND(BL8,2),BL8))</f>
        <v/>
      </c>
      <c r="BM9" s="2" t="str">
        <f t="shared" ref="BM9" si="211">IF(OR(BM8="/",BM8=0),"",IF(ISNUMBER(BM8),ROUND(BM8,2),BM8))</f>
        <v/>
      </c>
      <c r="BN9" s="2" t="str">
        <f t="shared" ref="BN9" si="212">IF(OR(BN8="/",BN8=0),"",IF(ISNUMBER(BN8),ROUND(BN8,2),BN8))</f>
        <v/>
      </c>
      <c r="BO9" s="2" t="str">
        <f t="shared" ref="BO9" si="213">IF(OR(BO8="/",BO8=0),"",IF(ISNUMBER(BO8),ROUND(BO8,2),BO8))</f>
        <v/>
      </c>
      <c r="BX9" s="2" t="str">
        <f t="shared" ref="BX9" si="214">IF(OR(BX8="/",BX8=0),"",IF(ISNUMBER(BX8),ROUND(BX8,2),BX8))</f>
        <v/>
      </c>
      <c r="BY9" s="2" t="str">
        <f t="shared" ref="BY9" si="215">IF(OR(BY8="/",BY8=0),"",IF(ISNUMBER(BY8),ROUND(BY8,2),BY8))</f>
        <v/>
      </c>
      <c r="BZ9" s="2" t="str">
        <f t="shared" ref="BZ9" si="216">IF(OR(BZ8="/",BZ8=0),"",IF(ISNUMBER(BZ8),ROUND(BZ8,2),BZ8))</f>
        <v/>
      </c>
      <c r="CA9" s="2" t="str">
        <f t="shared" ref="CA9" si="217">IF(OR(CA8="/",CA8=0),"",IF(ISNUMBER(CA8),ROUND(CA8,2),CA8))</f>
        <v/>
      </c>
      <c r="CB9" s="2" t="str">
        <f t="shared" ref="CB9" si="218">IF(OR(CB8="/",CB8=0),"",IF(ISNUMBER(CB8),ROUND(CB8,2),CB8))</f>
        <v/>
      </c>
      <c r="CC9" s="2" t="str">
        <f t="shared" ref="CC9" si="219">IF(OR(CC8="/",CC8=0),"",IF(ISNUMBER(CC8),ROUND(CC8,2),CC8))</f>
        <v/>
      </c>
      <c r="CD9" s="2" t="str">
        <f t="shared" ref="CD9" si="220">IF(OR(CD8="/",CD8=0),"",IF(ISNUMBER(CD8),ROUND(CD8,2),CD8))</f>
        <v/>
      </c>
      <c r="CE9" s="2" t="str">
        <f t="shared" ref="CE9" si="221">IF(OR(CE8="/",CE8=0),"",IF(ISNUMBER(CE8),ROUND(CE8,2),CE8))</f>
        <v/>
      </c>
      <c r="CF9" s="2" t="str">
        <f t="shared" ref="CF9" si="222">IF(OR(CF8="/",CF8=0),"",IF(ISNUMBER(CF8),ROUND(CF8,2),CF8))</f>
        <v/>
      </c>
      <c r="CG9" s="2" t="str">
        <f t="shared" ref="CG9" si="223">IF(OR(CG8="/",CG8=0),"",IF(ISNUMBER(CG8),ROUND(CG8,2),CG8))</f>
        <v/>
      </c>
      <c r="CH9" s="2" t="str">
        <f t="shared" ref="CH9" si="224">IF(OR(CH8="/",CH8=0),"",IF(ISNUMBER(CH8),ROUND(CH8,2),CH8))</f>
        <v/>
      </c>
      <c r="CI9" s="2" t="str">
        <f t="shared" ref="CI9" si="225">IF(OR(CI8="/",CI8=0),"",IF(ISNUMBER(CI8),ROUND(CI8,2),CI8))</f>
        <v/>
      </c>
      <c r="CJ9" s="2" t="str">
        <f t="shared" ref="CJ9" si="226">IF(OR(CJ8="/",CJ8=0),"",IF(ISNUMBER(CJ8),ROUND(CJ8,2),CJ8))</f>
        <v/>
      </c>
      <c r="CK9" s="2" t="str">
        <f t="shared" ref="CK9" si="227">IF(OR(CK8="/",CK8=0),"",IF(ISNUMBER(CK8),ROUND(CK8,2),CK8))</f>
        <v/>
      </c>
      <c r="CL9" s="2" t="str">
        <f t="shared" ref="CL9" si="228">IF(OR(CL8="/",CL8=0),"",IF(ISNUMBER(CL8),ROUND(CL8,2),CL8))</f>
        <v/>
      </c>
      <c r="CM9" s="2" t="str">
        <f t="shared" ref="CM9" si="229">IF(OR(CM8="/",CM8=0),"",IF(ISNUMBER(CM8),ROUND(CM8,2),CM8))</f>
        <v/>
      </c>
      <c r="CN9" s="2" t="str">
        <f t="shared" ref="CN9" si="230">IF(OR(CN8="/",CN8=0),"",IF(ISNUMBER(CN8),ROUND(CN8,2),CN8))</f>
        <v/>
      </c>
      <c r="CO9" s="2" t="str">
        <f t="shared" ref="CO9" si="231">IF(OR(CO8="/",CO8=0),"",IF(ISNUMBER(CO8),ROUND(CO8,2),CO8))</f>
        <v/>
      </c>
      <c r="CP9" s="2" t="str">
        <f t="shared" ref="CP9" si="232">IF(OR(CP8="/",CP8=0),"",IF(ISNUMBER(CP8),ROUND(CP8,2),CP8))</f>
        <v/>
      </c>
      <c r="CQ9" s="2" t="str">
        <f t="shared" ref="CQ9" si="233">IF(OR(CQ8="/",CQ8=0),"",IF(ISNUMBER(CQ8),ROUND(CQ8,2),CQ8))</f>
        <v/>
      </c>
      <c r="CR9" s="2" t="str">
        <f t="shared" ref="CR9" si="234">IF(OR(CR8="/",CR8=0),"",IF(ISNUMBER(CR8),ROUND(CR8,2),CR8))</f>
        <v/>
      </c>
      <c r="CS9" s="2" t="str">
        <f t="shared" ref="CS9" si="235">IF(OR(CS8="/",CS8=0),"",IF(ISNUMBER(CS8),ROUND(CS8,2),CS8))</f>
        <v/>
      </c>
      <c r="CT9" s="2" t="str">
        <f t="shared" ref="CT9" si="236">IF(OR(CT8="/",CT8=0),"",IF(ISNUMBER(CT8),ROUND(CT8,2),CT8))</f>
        <v/>
      </c>
      <c r="CU9" s="2" t="str">
        <f t="shared" ref="CU9" si="237">IF(OR(CU8="/",CU8=0),"",IF(ISNUMBER(CU8),ROUND(CU8,2),CU8))</f>
        <v/>
      </c>
      <c r="CW9" s="2" t="str">
        <f t="shared" ref="CW9" si="238">IF(OR(CW8="/",CW8=0),"",IF(ISNUMBER(CW8),ROUND(CW8,2),CW8))</f>
        <v/>
      </c>
      <c r="CX9" s="2" t="str">
        <f t="shared" ref="CX9" si="239">IF(OR(CX8="/",CX8=0),"",IF(ISNUMBER(CX8),ROUND(CX8,2),CX8))</f>
        <v/>
      </c>
      <c r="CY9" s="2" t="str">
        <f t="shared" ref="CY9" si="240">IF(OR(CY8="/",CY8=0),"",IF(ISNUMBER(CY8),ROUND(CY8,2),CY8))</f>
        <v/>
      </c>
      <c r="CZ9" s="2" t="str">
        <f t="shared" ref="CZ9" si="241">IF(OR(CZ8="/",CZ8=0),"",IF(ISNUMBER(CZ8),ROUND(CZ8,2),CZ8))</f>
        <v/>
      </c>
      <c r="DA9" s="2" t="str">
        <f t="shared" ref="DA9" si="242">IF(OR(DA8="/",DA8=0),"",IF(ISNUMBER(DA8),ROUND(DA8,2),DA8))</f>
        <v/>
      </c>
      <c r="DB9" s="2" t="str">
        <f t="shared" ref="DB9" si="243">IF(OR(DB8="/",DB8=0),"",IF(ISNUMBER(DB8),ROUND(DB8,2),DB8))</f>
        <v/>
      </c>
      <c r="DC9" s="2" t="str">
        <f t="shared" ref="DC9" si="244">IF(OR(DC8="/",DC8=0),"",IF(ISNUMBER(DC8),ROUND(DC8,2),DC8))</f>
        <v/>
      </c>
      <c r="DD9" s="2" t="str">
        <f t="shared" ref="DD9" si="245">IF(OR(DD8="/",DD8=0),"",IF(ISNUMBER(DD8),ROUND(DD8,2),DD8))</f>
        <v/>
      </c>
      <c r="DM9" s="2" t="str">
        <f t="shared" ref="DM9" si="246">IF(OR(DM8="/",DM8=0),"",IF(ISNUMBER(DM8),ROUND(DM8,2),DM8))</f>
        <v/>
      </c>
      <c r="DN9" s="2" t="str">
        <f t="shared" ref="DN9" si="247">IF(OR(DN8="/",DN8=0),"",IF(ISNUMBER(DN8),ROUND(DN8,2),DN8))</f>
        <v/>
      </c>
      <c r="DO9" s="2" t="str">
        <f t="shared" ref="DO9" si="248">IF(OR(DO8="/",DO8=0),"",IF(ISNUMBER(DO8),ROUND(DO8,2),DO8))</f>
        <v/>
      </c>
      <c r="DP9" s="2" t="str">
        <f t="shared" ref="DP9" si="249">IF(OR(DP8="/",DP8=0),"",IF(ISNUMBER(DP8),ROUND(DP8,2),DP8))</f>
        <v/>
      </c>
      <c r="DQ9" s="2" t="str">
        <f t="shared" ref="DQ9" si="250">IF(OR(DQ8="/",DQ8=0),"",IF(ISNUMBER(DQ8),ROUND(DQ8,2),DQ8))</f>
        <v/>
      </c>
      <c r="DR9" s="2" t="str">
        <f t="shared" ref="DR9" si="251">IF(OR(DR8="/",DR8=0),"",IF(ISNUMBER(DR8),ROUND(DR8,2),DR8))</f>
        <v/>
      </c>
      <c r="DS9" s="2" t="str">
        <f t="shared" ref="DS9" si="252">IF(OR(DS8="/",DS8=0),"",IF(ISNUMBER(DS8),ROUND(DS8,2),DS8))</f>
        <v/>
      </c>
      <c r="DT9" s="2" t="str">
        <f t="shared" ref="DT9" si="253">IF(OR(DT8="/",DT8=0),"",IF(ISNUMBER(DT8),ROUND(DT8,2),DT8))</f>
        <v/>
      </c>
      <c r="DU9" s="2" t="str">
        <f t="shared" ref="DU9" si="254">IF(OR(DU8="/",DU8=0),"",IF(ISNUMBER(DU8),ROUND(DU8,2),DU8))</f>
        <v/>
      </c>
      <c r="DV9" s="2" t="str">
        <f t="shared" ref="DV9" si="255">IF(OR(DV8="/",DV8=0),"",IF(ISNUMBER(DV8),ROUND(DV8,2),DV8))</f>
        <v/>
      </c>
      <c r="DW9" s="2" t="str">
        <f t="shared" ref="DW9" si="256">IF(OR(DW8="/",DW8=0),"",IF(ISNUMBER(DW8),ROUND(DW8,2),DW8))</f>
        <v/>
      </c>
      <c r="DX9" s="2" t="str">
        <f t="shared" ref="DX9" si="257">IF(OR(DX8="/",DX8=0),"",IF(ISNUMBER(DX8),ROUND(DX8,2),DX8))</f>
        <v/>
      </c>
      <c r="DY9" s="2" t="str">
        <f t="shared" ref="DY9" si="258">IF(OR(DY8="/",DY8=0),"",IF(ISNUMBER(DY8),ROUND(DY8,2),DY8))</f>
        <v/>
      </c>
      <c r="DZ9" s="2" t="str">
        <f t="shared" ref="DZ9" si="259">IF(OR(DZ8="/",DZ8=0),"",IF(ISNUMBER(DZ8),ROUND(DZ8,2),DZ8))</f>
        <v/>
      </c>
      <c r="EA9" s="2" t="str">
        <f t="shared" ref="EA9" si="260">IF(OR(EA8="/",EA8=0),"",IF(ISNUMBER(EA8),ROUND(EA8,2),EA8))</f>
        <v/>
      </c>
      <c r="EB9" s="2" t="str">
        <f t="shared" ref="EB9" si="261">IF(OR(EB8="/",EB8=0),"",IF(ISNUMBER(EB8),ROUND(EB8,2),EB8))</f>
        <v/>
      </c>
      <c r="EC9" s="2" t="str">
        <f t="shared" ref="EC9" si="262">IF(OR(EC8="/",EC8=0),"",IF(ISNUMBER(EC8),ROUND(EC8,2),EC8))</f>
        <v/>
      </c>
      <c r="ED9" s="2" t="str">
        <f t="shared" ref="ED9" si="263">IF(OR(ED8="/",ED8=0),"",IF(ISNUMBER(ED8),ROUND(ED8,2),ED8))</f>
        <v/>
      </c>
      <c r="EE9" s="2" t="str">
        <f t="shared" ref="EE9" si="264">IF(OR(EE8="/",EE8=0),"",IF(ISNUMBER(EE8),ROUND(EE8,2),EE8))</f>
        <v/>
      </c>
      <c r="EF9" s="2" t="str">
        <f t="shared" ref="EF9" si="265">IF(OR(EF8="/",EF8=0),"",IF(ISNUMBER(EF8),ROUND(EF8,2),EF8))</f>
        <v/>
      </c>
      <c r="EG9" s="2" t="str">
        <f t="shared" ref="EG9" si="266">IF(OR(EG8="/",EG8=0),"",IF(ISNUMBER(EG8),ROUND(EG8,2),EG8))</f>
        <v/>
      </c>
      <c r="EH9" s="2" t="str">
        <f t="shared" ref="EH9" si="267">IF(OR(EH8="/",EH8=0),"",IF(ISNUMBER(EH8),ROUND(EH8,2),EH8))</f>
        <v/>
      </c>
      <c r="EI9" s="2" t="str">
        <f t="shared" ref="EI9" si="268">IF(OR(EI8="/",EI8=0),"",IF(ISNUMBER(EI8),ROUND(EI8,2),EI8))</f>
        <v/>
      </c>
      <c r="EJ9" s="2" t="str">
        <f t="shared" ref="EJ9" si="269">IF(OR(EJ8="/",EJ8=0),"",IF(ISNUMBER(EJ8),ROUND(EJ8,2),EJ8))</f>
        <v/>
      </c>
      <c r="EK9" s="2" t="str">
        <f t="shared" ref="EK9" si="270">IF(OR(EK8="/",EK8=0),"",IF(ISNUMBER(EK8),ROUND(EK8,2),EK8))</f>
        <v/>
      </c>
      <c r="EL9" s="2" t="str">
        <f t="shared" ref="EL9" si="271">IF(OR(EL8="/",EL8=0),"",IF(ISNUMBER(EL8),ROUND(EL8,2),EL8))</f>
        <v/>
      </c>
      <c r="EM9" s="2" t="str">
        <f t="shared" ref="EM9" si="272">IF(OR(EM8="/",EM8=0),"",IF(ISNUMBER(EM8),ROUND(EM8,2),EM8))</f>
        <v/>
      </c>
      <c r="EN9" s="2" t="str">
        <f t="shared" ref="EN9" si="273">IF(OR(EN8="/",EN8=0),"",IF(ISNUMBER(EN8),ROUND(EN8,2),EN8))</f>
        <v/>
      </c>
      <c r="EO9" s="2" t="str">
        <f t="shared" ref="EO9" si="274">IF(OR(EO8="/",EO8=0),"",IF(ISNUMBER(EO8),ROUND(EO8,2),EO8))</f>
        <v/>
      </c>
      <c r="EP9" s="2" t="str">
        <f t="shared" ref="EP9" si="275">IF(OR(EP8="/",EP8=0),"",IF(ISNUMBER(EP8),ROUND(EP8,2),EP8))</f>
        <v/>
      </c>
      <c r="EQ9" s="2" t="str">
        <f t="shared" ref="EQ9" si="276">IF(OR(EQ8="/",EQ8=0),"",IF(ISNUMBER(EQ8),ROUND(EQ8,2),EQ8))</f>
        <v/>
      </c>
      <c r="ER9" s="2" t="str">
        <f t="shared" ref="ER9" si="277">IF(OR(ER8="/",ER8=0),"",IF(ISNUMBER(ER8),ROUND(ER8,2),ER8))</f>
        <v/>
      </c>
      <c r="FA9" s="2" t="str">
        <f t="shared" ref="FA9" si="278">IF(OR(FA8="/",FA8=0),"",IF(ISNUMBER(FA8),ROUND(FA8,2),FA8))</f>
        <v/>
      </c>
      <c r="FB9" s="2" t="str">
        <f t="shared" ref="FB9" si="279">IF(OR(FB8="/",FB8=0),"",IF(ISNUMBER(FB8),ROUND(FB8,2),FB8))</f>
        <v/>
      </c>
      <c r="FC9" s="2" t="str">
        <f t="shared" ref="FC9" si="280">IF(OR(FC8="/",FC8=0),"",IF(ISNUMBER(FC8),ROUND(FC8,2),FC8))</f>
        <v/>
      </c>
      <c r="FD9" s="2" t="str">
        <f t="shared" ref="FD9" si="281">IF(OR(FD8="/",FD8=0),"",IF(ISNUMBER(FD8),ROUND(FD8,2),FD8))</f>
        <v/>
      </c>
      <c r="FE9" s="2" t="str">
        <f t="shared" ref="FE9" si="282">IF(OR(FE8="/",FE8=0),"",IF(ISNUMBER(FE8),ROUND(FE8,2),FE8))</f>
        <v/>
      </c>
      <c r="FF9" s="2" t="str">
        <f t="shared" ref="FF9" si="283">IF(OR(FF8="/",FF8=0),"",IF(ISNUMBER(FF8),ROUND(FF8,2),FF8))</f>
        <v/>
      </c>
      <c r="FG9" s="2" t="str">
        <f t="shared" ref="FG9" si="284">IF(OR(FG8="/",FG8=0),"",IF(ISNUMBER(FG8),ROUND(FG8,2),FG8))</f>
        <v/>
      </c>
      <c r="FH9" s="2" t="str">
        <f t="shared" ref="FH9" si="285">IF(OR(FH8="/",FH8=0),"",IF(ISNUMBER(FH8),ROUND(FH8,2),FH8))</f>
        <v/>
      </c>
      <c r="FI9" s="2" t="str">
        <f t="shared" ref="FI9" si="286">IF(OR(FI8="/",FI8=0),"",IF(ISNUMBER(FI8),ROUND(FI8,2),FI8))</f>
        <v/>
      </c>
      <c r="FJ9" s="2" t="str">
        <f t="shared" ref="FJ9" si="287">IF(OR(FJ8="/",FJ8=0),"",IF(ISNUMBER(FJ8),ROUND(FJ8,2),FJ8))</f>
        <v/>
      </c>
      <c r="FK9" s="2" t="str">
        <f t="shared" ref="FK9" si="288">IF(OR(FK8="/",FK8=0),"",IF(ISNUMBER(FK8),ROUND(FK8,2),FK8))</f>
        <v/>
      </c>
      <c r="FL9" s="2" t="str">
        <f t="shared" ref="FL9" si="289">IF(OR(FL8="/",FL8=0),"",IF(ISNUMBER(FL8),ROUND(FL8,2),FL8))</f>
        <v/>
      </c>
      <c r="FM9" s="2" t="str">
        <f t="shared" ref="FM9" si="290">IF(OR(FM8="/",FM8=0),"",IF(ISNUMBER(FM8),ROUND(FM8,2),FM8))</f>
        <v/>
      </c>
      <c r="FN9" s="2" t="str">
        <f t="shared" ref="FN9" si="291">IF(OR(FN8="/",FN8=0),"",IF(ISNUMBER(FN8),ROUND(FN8,2),FN8))</f>
        <v/>
      </c>
      <c r="FO9" s="2" t="str">
        <f t="shared" ref="FO9" si="292">IF(OR(FO8="/",FO8=0),"",IF(ISNUMBER(FO8),ROUND(FO8,2),FO8))</f>
        <v/>
      </c>
      <c r="FP9" s="2" t="str">
        <f t="shared" ref="FP9" si="293">IF(OR(FP8="/",FP8=0),"",IF(ISNUMBER(FP8),ROUND(FP8,2),FP8))</f>
        <v/>
      </c>
    </row>
    <row r="11" spans="1:237">
      <c r="A11" s="359" t="s">
        <v>2513</v>
      </c>
      <c r="B11" s="360"/>
    </row>
    <row r="12" spans="1:237" s="11" customFormat="1" ht="13.95" customHeight="1">
      <c r="A12" s="11" t="s">
        <v>110</v>
      </c>
      <c r="B12" s="11" t="s">
        <v>31</v>
      </c>
      <c r="C12" s="11" t="s">
        <v>111</v>
      </c>
      <c r="D12" s="11" t="s">
        <v>74</v>
      </c>
      <c r="E12" s="11" t="s">
        <v>113</v>
      </c>
      <c r="F12" s="11" t="s">
        <v>689</v>
      </c>
      <c r="G12" s="11" t="s">
        <v>109</v>
      </c>
      <c r="H12" s="11" t="s">
        <v>108</v>
      </c>
      <c r="I12" s="11" t="s">
        <v>106</v>
      </c>
      <c r="J12" s="11" t="s">
        <v>109</v>
      </c>
      <c r="K12" s="11" t="s">
        <v>2470</v>
      </c>
      <c r="L12" s="11" t="s">
        <v>106</v>
      </c>
      <c r="M12" s="11" t="s">
        <v>694</v>
      </c>
      <c r="N12" s="11" t="s">
        <v>695</v>
      </c>
      <c r="O12" s="11" t="s">
        <v>696</v>
      </c>
      <c r="P12" s="11" t="s">
        <v>697</v>
      </c>
      <c r="Q12" s="11" t="s">
        <v>698</v>
      </c>
      <c r="R12" s="11" t="s">
        <v>356</v>
      </c>
      <c r="S12" s="11" t="s">
        <v>693</v>
      </c>
      <c r="T12" s="11" t="s">
        <v>38</v>
      </c>
      <c r="U12" s="11" t="s">
        <v>690</v>
      </c>
      <c r="V12" s="11" t="s">
        <v>691</v>
      </c>
      <c r="W12" s="11" t="s">
        <v>692</v>
      </c>
      <c r="X12" s="11" t="s">
        <v>28</v>
      </c>
      <c r="Y12" s="11" t="s">
        <v>2793</v>
      </c>
      <c r="Z12" s="11" t="s">
        <v>2794</v>
      </c>
      <c r="AA12" s="11" t="s">
        <v>2795</v>
      </c>
      <c r="AB12" s="11" t="s">
        <v>2796</v>
      </c>
      <c r="AC12" s="11" t="s">
        <v>2797</v>
      </c>
      <c r="AD12" s="11" t="s">
        <v>2798</v>
      </c>
      <c r="AE12" s="11" t="s">
        <v>2799</v>
      </c>
      <c r="AF12" s="11" t="s">
        <v>2800</v>
      </c>
      <c r="AG12" s="11" t="s">
        <v>2801</v>
      </c>
      <c r="AH12" s="11" t="s">
        <v>2802</v>
      </c>
      <c r="AI12" s="11" t="s">
        <v>2803</v>
      </c>
      <c r="AJ12" s="11" t="s">
        <v>699</v>
      </c>
      <c r="AK12" s="11" t="s">
        <v>700</v>
      </c>
      <c r="AL12" s="11" t="s">
        <v>701</v>
      </c>
      <c r="AM12" s="11" t="s">
        <v>702</v>
      </c>
      <c r="AN12" s="11" t="s">
        <v>703</v>
      </c>
      <c r="AO12" s="11" t="s">
        <v>704</v>
      </c>
      <c r="AP12" s="11" t="s">
        <v>705</v>
      </c>
      <c r="AQ12" s="11" t="s">
        <v>706</v>
      </c>
      <c r="AR12" s="11" t="s">
        <v>707</v>
      </c>
      <c r="AS12" s="11" t="s">
        <v>708</v>
      </c>
      <c r="AT12" s="11" t="s">
        <v>709</v>
      </c>
      <c r="AU12" s="11" t="s">
        <v>710</v>
      </c>
      <c r="AV12" s="11" t="s">
        <v>711</v>
      </c>
      <c r="AW12" s="11" t="s">
        <v>712</v>
      </c>
      <c r="AX12" s="11" t="s">
        <v>713</v>
      </c>
      <c r="AY12" s="11" t="s">
        <v>714</v>
      </c>
      <c r="AZ12" s="11" t="s">
        <v>715</v>
      </c>
      <c r="BA12" s="11" t="s">
        <v>716</v>
      </c>
      <c r="BB12" s="11" t="s">
        <v>717</v>
      </c>
      <c r="BC12" s="11" t="s">
        <v>718</v>
      </c>
      <c r="BD12" s="11" t="s">
        <v>719</v>
      </c>
      <c r="BE12" s="11" t="s">
        <v>720</v>
      </c>
      <c r="BF12" s="11" t="s">
        <v>721</v>
      </c>
      <c r="BH12" s="11" t="s">
        <v>722</v>
      </c>
      <c r="BI12" s="11" t="s">
        <v>723</v>
      </c>
      <c r="BJ12" s="11" t="s">
        <v>724</v>
      </c>
      <c r="BK12" s="11" t="s">
        <v>725</v>
      </c>
      <c r="BL12" s="11" t="s">
        <v>726</v>
      </c>
      <c r="BM12" s="11" t="s">
        <v>727</v>
      </c>
      <c r="BN12" s="11" t="s">
        <v>728</v>
      </c>
      <c r="BO12" s="11" t="s">
        <v>729</v>
      </c>
      <c r="BP12" s="207"/>
      <c r="BQ12" s="207"/>
      <c r="BR12" s="207"/>
      <c r="BS12" s="207"/>
      <c r="BT12" s="207"/>
      <c r="BU12" s="207"/>
      <c r="BV12" s="207"/>
      <c r="BW12" s="207"/>
      <c r="BX12" s="11" t="s">
        <v>730</v>
      </c>
      <c r="BY12" s="11" t="s">
        <v>731</v>
      </c>
      <c r="BZ12" s="11" t="s">
        <v>732</v>
      </c>
      <c r="CA12" s="11" t="s">
        <v>733</v>
      </c>
      <c r="CB12" s="11" t="s">
        <v>734</v>
      </c>
      <c r="CC12" s="11" t="s">
        <v>735</v>
      </c>
      <c r="CD12" s="11" t="s">
        <v>736</v>
      </c>
      <c r="CE12" s="11" t="s">
        <v>737</v>
      </c>
      <c r="CF12" s="11" t="s">
        <v>738</v>
      </c>
      <c r="CG12" s="11" t="s">
        <v>739</v>
      </c>
      <c r="CH12" s="11" t="s">
        <v>740</v>
      </c>
      <c r="CI12" s="11" t="s">
        <v>741</v>
      </c>
      <c r="CJ12" s="11" t="s">
        <v>742</v>
      </c>
      <c r="CK12" s="11" t="s">
        <v>743</v>
      </c>
      <c r="CL12" s="11" t="s">
        <v>744</v>
      </c>
      <c r="CM12" s="11" t="s">
        <v>745</v>
      </c>
      <c r="CN12" s="11" t="s">
        <v>746</v>
      </c>
      <c r="CO12" s="11" t="s">
        <v>747</v>
      </c>
      <c r="CP12" s="11" t="s">
        <v>748</v>
      </c>
      <c r="CQ12" s="11" t="s">
        <v>749</v>
      </c>
      <c r="CR12" s="11" t="s">
        <v>750</v>
      </c>
      <c r="CS12" s="11" t="s">
        <v>751</v>
      </c>
      <c r="CT12" s="11" t="s">
        <v>752</v>
      </c>
      <c r="CU12" s="11" t="s">
        <v>753</v>
      </c>
      <c r="CW12" s="11" t="s">
        <v>754</v>
      </c>
      <c r="CX12" s="11" t="s">
        <v>755</v>
      </c>
      <c r="CY12" s="11" t="s">
        <v>756</v>
      </c>
      <c r="CZ12" s="11" t="s">
        <v>757</v>
      </c>
      <c r="DA12" s="11" t="s">
        <v>758</v>
      </c>
      <c r="DB12" s="11" t="s">
        <v>759</v>
      </c>
      <c r="DC12" s="11" t="s">
        <v>760</v>
      </c>
      <c r="DD12" s="11" t="s">
        <v>761</v>
      </c>
      <c r="DE12" s="207"/>
      <c r="DF12" s="207"/>
      <c r="DG12" s="207"/>
      <c r="DH12" s="207"/>
      <c r="DI12" s="207"/>
      <c r="DJ12" s="207"/>
      <c r="DK12" s="207"/>
      <c r="DL12" s="207"/>
      <c r="DM12" s="11" t="s">
        <v>762</v>
      </c>
      <c r="DN12" s="11" t="s">
        <v>763</v>
      </c>
      <c r="DO12" s="11" t="s">
        <v>764</v>
      </c>
      <c r="DP12" s="11" t="s">
        <v>765</v>
      </c>
      <c r="DQ12" s="11" t="s">
        <v>766</v>
      </c>
      <c r="DR12" s="11" t="s">
        <v>767</v>
      </c>
      <c r="DS12" s="11" t="s">
        <v>768</v>
      </c>
      <c r="DT12" s="11" t="s">
        <v>769</v>
      </c>
      <c r="DU12" s="11" t="s">
        <v>770</v>
      </c>
      <c r="DV12" s="11" t="s">
        <v>771</v>
      </c>
      <c r="DW12" s="11" t="s">
        <v>772</v>
      </c>
      <c r="DX12" s="11" t="s">
        <v>773</v>
      </c>
      <c r="DY12" s="11" t="s">
        <v>774</v>
      </c>
      <c r="DZ12" s="11" t="s">
        <v>775</v>
      </c>
      <c r="EA12" s="11" t="s">
        <v>776</v>
      </c>
      <c r="EB12" s="11" t="s">
        <v>777</v>
      </c>
      <c r="EC12" s="11" t="s">
        <v>778</v>
      </c>
      <c r="ED12" s="11" t="s">
        <v>779</v>
      </c>
      <c r="EE12" s="11" t="s">
        <v>780</v>
      </c>
      <c r="EF12" s="11" t="s">
        <v>781</v>
      </c>
      <c r="EG12" s="11" t="s">
        <v>782</v>
      </c>
      <c r="EH12" s="11" t="s">
        <v>783</v>
      </c>
      <c r="EI12" s="11" t="s">
        <v>784</v>
      </c>
      <c r="EJ12" s="11" t="s">
        <v>785</v>
      </c>
      <c r="EK12" s="11" t="s">
        <v>786</v>
      </c>
      <c r="EL12" s="11" t="s">
        <v>787</v>
      </c>
      <c r="EM12" s="11" t="s">
        <v>788</v>
      </c>
      <c r="EN12" s="11" t="s">
        <v>789</v>
      </c>
      <c r="EO12" s="11" t="s">
        <v>790</v>
      </c>
      <c r="EP12" s="11" t="s">
        <v>791</v>
      </c>
      <c r="EQ12" s="11" t="s">
        <v>792</v>
      </c>
      <c r="ER12" s="11" t="s">
        <v>793</v>
      </c>
      <c r="FA12" s="11" t="s">
        <v>794</v>
      </c>
      <c r="FB12" s="11" t="s">
        <v>795</v>
      </c>
      <c r="FC12" s="11" t="s">
        <v>796</v>
      </c>
      <c r="FD12" s="11" t="s">
        <v>797</v>
      </c>
      <c r="FE12" s="11" t="s">
        <v>798</v>
      </c>
      <c r="FF12" s="11" t="s">
        <v>799</v>
      </c>
      <c r="FG12" s="11" t="s">
        <v>800</v>
      </c>
      <c r="FH12" s="11" t="s">
        <v>801</v>
      </c>
      <c r="FI12" s="11" t="s">
        <v>802</v>
      </c>
      <c r="FJ12" s="11" t="s">
        <v>803</v>
      </c>
      <c r="FK12" s="11" t="s">
        <v>804</v>
      </c>
      <c r="FL12" s="11" t="s">
        <v>805</v>
      </c>
      <c r="FM12" s="11" t="s">
        <v>806</v>
      </c>
      <c r="FN12" s="11" t="s">
        <v>807</v>
      </c>
      <c r="FO12" s="11" t="s">
        <v>808</v>
      </c>
      <c r="FP12" s="11" t="s">
        <v>809</v>
      </c>
    </row>
    <row r="13" spans="1:237" ht="13.95" customHeight="1">
      <c r="A13" s="2" t="s">
        <v>812</v>
      </c>
      <c r="B13" s="2" t="s">
        <v>249</v>
      </c>
      <c r="C13" s="2" t="s">
        <v>813</v>
      </c>
      <c r="D13" s="2" t="s">
        <v>814</v>
      </c>
      <c r="E13" s="2" t="s">
        <v>815</v>
      </c>
      <c r="F13" s="385" t="s">
        <v>356</v>
      </c>
      <c r="G13" s="385" t="s">
        <v>356</v>
      </c>
      <c r="H13" s="385">
        <v>27</v>
      </c>
      <c r="I13" s="385" t="s">
        <v>356</v>
      </c>
      <c r="J13" s="385"/>
      <c r="K13" s="385">
        <f t="shared" ref="K13:K44" si="294">SUMIF(DU13:EB13,TRUE,DM13:DT13)</f>
        <v>27.000000000229999</v>
      </c>
      <c r="L13" s="385">
        <f t="shared" ref="L13:L44" si="295">SUMIF(CF13:CM13,TRUE,BX13:CE13)</f>
        <v>0</v>
      </c>
      <c r="M13" s="385" t="s">
        <v>356</v>
      </c>
      <c r="N13" s="385" t="s">
        <v>356</v>
      </c>
      <c r="O13" s="385" t="s">
        <v>356</v>
      </c>
      <c r="P13" s="385" t="s">
        <v>356</v>
      </c>
      <c r="Q13" s="385" t="s">
        <v>356</v>
      </c>
      <c r="R13" s="385" t="s">
        <v>816</v>
      </c>
      <c r="S13" s="385" t="s">
        <v>817</v>
      </c>
      <c r="T13" s="385">
        <v>10</v>
      </c>
      <c r="U13" s="385" cm="1">
        <f t="array" ref="U13">IFERROR(INDEX('Offer Statistics'!$Q$2:$Q$350,MATCH(1,(A13='Offer Statistics'!$B$2:$B$350)*($A$11='Offer Statistics'!$K$2:$K$350),0)),"/")</f>
        <v>3</v>
      </c>
      <c r="V13" s="385" cm="1">
        <f t="array" ref="V13">IFERROR(INDEX('Offer Statistics'!$D$2:$D$350,MATCH(1,(A13='Offer Statistics'!$B$2:$B$350)*($A$11='Offer Statistics'!$K$2:$K$350),0)),"/")</f>
        <v>99</v>
      </c>
      <c r="W13" s="385" cm="1">
        <f t="array" ref="W13">IFERROR(INDEX('Offer Statistics'!$L$2:$L$350,MATCH(1,(A13='Offer Statistics'!$B$2:$B$350)*($A$11='Offer Statistics'!$K$2:$K$350),0)),"/")</f>
        <v>3</v>
      </c>
      <c r="X13" s="385">
        <f>IFERROR(V13/W13,"新科目")</f>
        <v>33</v>
      </c>
      <c r="Y13" s="385" t="s">
        <v>817</v>
      </c>
      <c r="Z13" s="95" t="str">
        <f>入學要求!AF22</f>
        <v>/</v>
      </c>
      <c r="AA13" s="95" t="str">
        <f>入學要求!AG22</f>
        <v>/</v>
      </c>
      <c r="AB13" s="95" t="s">
        <v>2820</v>
      </c>
      <c r="AC13" s="95"/>
      <c r="AD13" s="95"/>
      <c r="AE13" s="95" t="s">
        <v>356</v>
      </c>
      <c r="AF13" s="95" t="s">
        <v>356</v>
      </c>
      <c r="AG13" s="95" t="s">
        <v>356</v>
      </c>
      <c r="AH13" s="95" t="s">
        <v>356</v>
      </c>
      <c r="AI13" s="95" t="s">
        <v>356</v>
      </c>
      <c r="AJ13" s="2" t="s">
        <v>818</v>
      </c>
      <c r="AK13" s="2" t="s">
        <v>819</v>
      </c>
      <c r="AL13" s="2" t="s">
        <v>435</v>
      </c>
      <c r="AM13" s="2" t="s">
        <v>435</v>
      </c>
      <c r="AN13" s="2" t="s">
        <v>435</v>
      </c>
      <c r="AO13" s="2" t="s">
        <v>435</v>
      </c>
      <c r="AP13" s="2" t="s">
        <v>435</v>
      </c>
      <c r="AQ13" s="2" t="s">
        <v>356</v>
      </c>
      <c r="AS13" s="2" t="s">
        <v>820</v>
      </c>
      <c r="AU13" s="2" t="s">
        <v>817</v>
      </c>
      <c r="AY13" s="2">
        <v>1</v>
      </c>
      <c r="AZ13" s="2">
        <v>1</v>
      </c>
      <c r="BA13" s="2">
        <v>1</v>
      </c>
      <c r="BB13" s="2">
        <v>1</v>
      </c>
      <c r="BC13" s="2">
        <v>1</v>
      </c>
      <c r="BD13" s="2">
        <v>1</v>
      </c>
      <c r="BE13" s="2">
        <v>1</v>
      </c>
      <c r="BF13" s="2">
        <v>1</v>
      </c>
      <c r="BG13" s="2" t="s">
        <v>812</v>
      </c>
      <c r="BH13" s="2" t="s">
        <v>356</v>
      </c>
      <c r="BI13" s="2" t="s">
        <v>356</v>
      </c>
      <c r="BJ13" s="2" t="s">
        <v>356</v>
      </c>
      <c r="BK13" s="2" t="s">
        <v>356</v>
      </c>
      <c r="BL13" s="2" t="s">
        <v>356</v>
      </c>
      <c r="BM13" s="2" t="s">
        <v>356</v>
      </c>
      <c r="BN13" s="2" t="s">
        <v>356</v>
      </c>
      <c r="BO13" s="2" t="s">
        <v>356</v>
      </c>
      <c r="BP13" s="206">
        <f>IFERROR(BH13+0.00000000004,0)</f>
        <v>0</v>
      </c>
      <c r="BQ13" s="206">
        <f t="shared" ref="BQ13" si="296">IFERROR(BI13+0.00000000002,0)</f>
        <v>0</v>
      </c>
      <c r="BR13" s="206">
        <f t="shared" ref="BR13" si="297">IFERROR(BJ13+0.00000000003,0)</f>
        <v>0</v>
      </c>
      <c r="BS13" s="206">
        <f>IFERROR(BK13+0.00000000001,0)</f>
        <v>0</v>
      </c>
      <c r="BT13" s="206">
        <f t="shared" ref="BT13" si="298">IFERROR(BL13+0.00000000005,0)</f>
        <v>0</v>
      </c>
      <c r="BU13" s="206">
        <f t="shared" ref="BU13" si="299">IFERROR(BM13+0.00000000006,0)</f>
        <v>0</v>
      </c>
      <c r="BV13" s="206">
        <f t="shared" ref="BV13" si="300">IFERROR(BN13+0.00000000007,0)</f>
        <v>0</v>
      </c>
      <c r="BW13" s="206">
        <f t="shared" ref="BW13" si="301">IFERROR(BO13+0.00000000008,0)</f>
        <v>0</v>
      </c>
      <c r="BX13" s="2">
        <f t="shared" ref="BX13:BX31" si="302">AY13*BP13</f>
        <v>0</v>
      </c>
      <c r="BY13" s="2">
        <f t="shared" ref="BY13:BY31" si="303">AZ13*BQ13</f>
        <v>0</v>
      </c>
      <c r="BZ13" s="2">
        <f t="shared" ref="BZ13:BZ31" si="304">BA13*BR13</f>
        <v>0</v>
      </c>
      <c r="CA13" s="2">
        <f t="shared" ref="CA13:CA31" si="305">BB13*BS13</f>
        <v>0</v>
      </c>
      <c r="CB13" s="2">
        <f t="shared" ref="CB13:CB31" si="306">BC13*BT13</f>
        <v>0</v>
      </c>
      <c r="CC13" s="2">
        <f t="shared" ref="CC13:CC31" si="307">BD13*BU13</f>
        <v>0</v>
      </c>
      <c r="CD13" s="2">
        <f t="shared" ref="CD13:CD31" si="308">BE13*BV13</f>
        <v>0</v>
      </c>
      <c r="CE13" s="2">
        <f t="shared" ref="CE13:CE31" si="309">BF13*BW13</f>
        <v>0</v>
      </c>
      <c r="CF13" s="2" t="s">
        <v>356</v>
      </c>
      <c r="CG13" s="2" t="s">
        <v>356</v>
      </c>
      <c r="CH13" s="2" t="s">
        <v>356</v>
      </c>
      <c r="CI13" s="2" t="s">
        <v>356</v>
      </c>
      <c r="CJ13" s="2" t="s">
        <v>356</v>
      </c>
      <c r="CK13" s="2" t="s">
        <v>356</v>
      </c>
      <c r="CL13" s="2" t="s">
        <v>356</v>
      </c>
      <c r="CM13" s="2" t="s">
        <v>356</v>
      </c>
      <c r="CN13" s="2">
        <v>1</v>
      </c>
      <c r="CO13" s="2">
        <v>1</v>
      </c>
      <c r="CP13" s="2">
        <v>1</v>
      </c>
      <c r="CQ13" s="2">
        <v>1</v>
      </c>
      <c r="CR13" s="2">
        <v>1</v>
      </c>
      <c r="CS13" s="2">
        <v>1</v>
      </c>
      <c r="CT13" s="2">
        <v>1</v>
      </c>
      <c r="CU13" s="2">
        <v>1</v>
      </c>
      <c r="CV13" s="2" t="s">
        <v>812</v>
      </c>
      <c r="CW13" s="2">
        <v>4</v>
      </c>
      <c r="CX13" s="2">
        <v>3</v>
      </c>
      <c r="CY13" s="2">
        <v>5</v>
      </c>
      <c r="CZ13" s="2">
        <v>4</v>
      </c>
      <c r="DA13" s="2" t="s">
        <v>356</v>
      </c>
      <c r="DB13" s="2">
        <v>6</v>
      </c>
      <c r="DC13" s="2">
        <v>5</v>
      </c>
      <c r="DD13" s="2" t="s">
        <v>356</v>
      </c>
      <c r="DE13" s="206">
        <f>IFERROR(CW13+0.00000000004,0)</f>
        <v>4.00000000004</v>
      </c>
      <c r="DF13" s="206">
        <f>IFERROR(CX13+0.00000000002,0)</f>
        <v>3.00000000002</v>
      </c>
      <c r="DG13" s="206">
        <f>IFERROR(CY13+0.00000000003,0)</f>
        <v>5.00000000003</v>
      </c>
      <c r="DH13" s="206">
        <f t="shared" ref="DH13" si="310">IFERROR(CZ13+0.00000000001,0)</f>
        <v>4.00000000001</v>
      </c>
      <c r="DI13" s="206">
        <f>IFERROR(DA13+0.00000000005,0)</f>
        <v>0</v>
      </c>
      <c r="DJ13" s="206">
        <f>IFERROR(DB13+0.00000000006,0)</f>
        <v>6.00000000006</v>
      </c>
      <c r="DK13" s="206">
        <f>IFERROR(DC13+0.00000000007,0)</f>
        <v>5.00000000007</v>
      </c>
      <c r="DL13" s="206">
        <f>IFERROR(DD13+0.00000000008,0)</f>
        <v>0</v>
      </c>
      <c r="DM13" s="2">
        <f t="shared" ref="DM13:DM31" si="311">CN13*DE13</f>
        <v>4.00000000004</v>
      </c>
      <c r="DN13" s="2">
        <f t="shared" ref="DN13:DN31" si="312">CO13*DF13</f>
        <v>3.00000000002</v>
      </c>
      <c r="DO13" s="2">
        <f t="shared" ref="DO13:DO31" si="313">CP13*DG13</f>
        <v>5.00000000003</v>
      </c>
      <c r="DP13" s="2">
        <f t="shared" ref="DP13:DP31" si="314">CQ13*DH13</f>
        <v>4.00000000001</v>
      </c>
      <c r="DQ13" s="2">
        <f t="shared" ref="DQ13:DQ31" si="315">CR13*DI13</f>
        <v>0</v>
      </c>
      <c r="DR13" s="2">
        <f t="shared" ref="DR13:DR31" si="316">CS13*DJ13</f>
        <v>6.00000000006</v>
      </c>
      <c r="DS13" s="2">
        <f t="shared" ref="DS13:DS31" si="317">CT13*DK13</f>
        <v>5.00000000007</v>
      </c>
      <c r="DT13" s="2">
        <f t="shared" ref="DT13:DT31" si="318">CU13*DL13</f>
        <v>0</v>
      </c>
      <c r="DU13" s="2" t="b">
        <v>1</v>
      </c>
      <c r="DV13" s="2" t="b">
        <v>1</v>
      </c>
      <c r="DW13" s="2" t="b">
        <v>1</v>
      </c>
      <c r="DX13" s="2" t="b">
        <v>1</v>
      </c>
      <c r="DY13" s="2" t="b">
        <v>0</v>
      </c>
      <c r="DZ13" s="2" t="b">
        <v>1</v>
      </c>
      <c r="EA13" s="2" t="b">
        <v>1</v>
      </c>
      <c r="EB13" s="2" t="b">
        <v>0</v>
      </c>
      <c r="EC13" s="2" t="s">
        <v>435</v>
      </c>
      <c r="ED13" s="2" t="s">
        <v>435</v>
      </c>
      <c r="EE13" s="2" t="s">
        <v>435</v>
      </c>
      <c r="EF13" s="2" t="s">
        <v>435</v>
      </c>
      <c r="EG13" s="2" t="s">
        <v>435</v>
      </c>
      <c r="EH13" s="2" t="s">
        <v>435</v>
      </c>
      <c r="EI13" s="2" t="s">
        <v>435</v>
      </c>
      <c r="EJ13" s="2" t="s">
        <v>435</v>
      </c>
      <c r="EK13" s="2" t="s">
        <v>435</v>
      </c>
      <c r="EL13" s="2" t="s">
        <v>435</v>
      </c>
      <c r="EM13" s="2" t="s">
        <v>435</v>
      </c>
      <c r="EN13" s="2" t="s">
        <v>435</v>
      </c>
      <c r="EO13" s="2" t="s">
        <v>435</v>
      </c>
      <c r="EP13" s="2" t="s">
        <v>435</v>
      </c>
      <c r="EQ13" s="2" t="s">
        <v>435</v>
      </c>
      <c r="ER13" s="2" t="s">
        <v>435</v>
      </c>
      <c r="FA13" s="2" t="s">
        <v>435</v>
      </c>
      <c r="FB13" s="2" t="s">
        <v>435</v>
      </c>
      <c r="FC13" s="2" t="s">
        <v>435</v>
      </c>
      <c r="FD13" s="2" t="s">
        <v>435</v>
      </c>
      <c r="FE13" s="2" t="s">
        <v>435</v>
      </c>
      <c r="FF13" s="2" t="s">
        <v>435</v>
      </c>
      <c r="FG13" s="2" t="s">
        <v>435</v>
      </c>
      <c r="FH13" s="2" t="s">
        <v>435</v>
      </c>
      <c r="FI13" s="2" t="s">
        <v>435</v>
      </c>
      <c r="FJ13" s="2" t="s">
        <v>435</v>
      </c>
      <c r="FK13" s="2" t="s">
        <v>435</v>
      </c>
      <c r="FL13" s="2" t="s">
        <v>435</v>
      </c>
      <c r="FM13" s="2" t="s">
        <v>435</v>
      </c>
      <c r="FN13" s="2" t="s">
        <v>435</v>
      </c>
      <c r="FO13" s="2" t="s">
        <v>435</v>
      </c>
      <c r="FP13" s="2" t="s">
        <v>435</v>
      </c>
    </row>
    <row r="14" spans="1:237">
      <c r="A14" s="2" t="s">
        <v>821</v>
      </c>
      <c r="B14" s="2" t="s">
        <v>249</v>
      </c>
      <c r="C14" s="2" t="s">
        <v>813</v>
      </c>
      <c r="D14" s="2" t="s">
        <v>822</v>
      </c>
      <c r="E14" s="2" t="s">
        <v>815</v>
      </c>
      <c r="F14" s="385" t="s">
        <v>356</v>
      </c>
      <c r="G14" s="385" t="s">
        <v>356</v>
      </c>
      <c r="H14" s="385">
        <v>29</v>
      </c>
      <c r="I14" s="385" t="s">
        <v>356</v>
      </c>
      <c r="J14" s="385"/>
      <c r="K14" s="385">
        <f t="shared" si="294"/>
        <v>29.000000000229999</v>
      </c>
      <c r="L14" s="385">
        <f t="shared" si="295"/>
        <v>0</v>
      </c>
      <c r="M14" s="385" t="s">
        <v>356</v>
      </c>
      <c r="N14" s="385" t="s">
        <v>356</v>
      </c>
      <c r="O14" s="385" t="s">
        <v>356</v>
      </c>
      <c r="P14" s="385" t="s">
        <v>356</v>
      </c>
      <c r="Q14" s="385" t="s">
        <v>356</v>
      </c>
      <c r="R14" s="385" t="s">
        <v>823</v>
      </c>
      <c r="S14" s="385" t="s">
        <v>817</v>
      </c>
      <c r="T14" s="385">
        <v>15</v>
      </c>
      <c r="U14" s="385" cm="1">
        <f t="array" ref="U14">IFERROR(INDEX('Offer Statistics'!$Q$2:$Q$350,MATCH(1,(A14='Offer Statistics'!$B$2:$B$350)*($A$11='Offer Statistics'!$K$2:$K$350),0)),"/")</f>
        <v>4</v>
      </c>
      <c r="V14" s="385" cm="1">
        <f t="array" ref="V14">IFERROR(INDEX('Offer Statistics'!$D$2:$D$350,MATCH(1,(A14='Offer Statistics'!$B$2:$B$350)*($A$11='Offer Statistics'!$K$2:$K$350),0)),"/")</f>
        <v>116</v>
      </c>
      <c r="W14" s="385" cm="1">
        <f t="array" ref="W14">IFERROR(INDEX('Offer Statistics'!$L$2:$L$350,MATCH(1,(A14='Offer Statistics'!$B$2:$B$350)*($A$11='Offer Statistics'!$K$2:$K$350),0)),"/")</f>
        <v>2</v>
      </c>
      <c r="X14" s="385">
        <f t="shared" ref="X14:X67" si="319">IFERROR(V14/W14,"新科目")</f>
        <v>58</v>
      </c>
      <c r="Y14" s="385" t="s">
        <v>817</v>
      </c>
      <c r="Z14" s="95" t="str">
        <f>入學要求!AF23</f>
        <v>/</v>
      </c>
      <c r="AA14" s="95" t="str">
        <f>入學要求!AG23</f>
        <v>/</v>
      </c>
      <c r="AB14" s="95" t="s">
        <v>2820</v>
      </c>
      <c r="AC14" s="95"/>
      <c r="AD14" s="95"/>
      <c r="AE14" s="95" t="s">
        <v>356</v>
      </c>
      <c r="AF14" s="95" t="s">
        <v>356</v>
      </c>
      <c r="AG14" s="95" t="s">
        <v>356</v>
      </c>
      <c r="AH14" s="95" t="s">
        <v>356</v>
      </c>
      <c r="AI14" s="95" t="s">
        <v>356</v>
      </c>
      <c r="AJ14" s="2" t="s">
        <v>818</v>
      </c>
      <c r="AK14" s="2" t="s">
        <v>824</v>
      </c>
      <c r="AL14" s="2" t="s">
        <v>435</v>
      </c>
      <c r="AM14" s="2" t="s">
        <v>435</v>
      </c>
      <c r="AN14" s="2" t="s">
        <v>435</v>
      </c>
      <c r="AO14" s="2" t="s">
        <v>435</v>
      </c>
      <c r="AP14" s="2" t="s">
        <v>435</v>
      </c>
      <c r="AQ14" s="2" t="s">
        <v>356</v>
      </c>
      <c r="AS14" s="2" t="s">
        <v>820</v>
      </c>
      <c r="AU14" s="2" t="s">
        <v>817</v>
      </c>
      <c r="AY14" s="2">
        <v>1</v>
      </c>
      <c r="AZ14" s="2">
        <v>1</v>
      </c>
      <c r="BA14" s="2">
        <v>1</v>
      </c>
      <c r="BB14" s="2">
        <v>1</v>
      </c>
      <c r="BC14" s="2">
        <v>1</v>
      </c>
      <c r="BD14" s="2">
        <v>1</v>
      </c>
      <c r="BE14" s="2">
        <v>1</v>
      </c>
      <c r="BF14" s="2">
        <v>1</v>
      </c>
      <c r="BG14" s="2" t="s">
        <v>821</v>
      </c>
      <c r="BH14" s="2" t="s">
        <v>356</v>
      </c>
      <c r="BI14" s="2" t="s">
        <v>356</v>
      </c>
      <c r="BJ14" s="2" t="s">
        <v>356</v>
      </c>
      <c r="BK14" s="2" t="s">
        <v>356</v>
      </c>
      <c r="BL14" s="2" t="s">
        <v>356</v>
      </c>
      <c r="BM14" s="2" t="s">
        <v>356</v>
      </c>
      <c r="BN14" s="2" t="s">
        <v>356</v>
      </c>
      <c r="BO14" s="2" t="s">
        <v>356</v>
      </c>
      <c r="BP14" s="206">
        <f t="shared" ref="BP14:BP77" si="320">IFERROR(BH14+0.00000000004,0)</f>
        <v>0</v>
      </c>
      <c r="BQ14" s="206">
        <f t="shared" ref="BQ14:BQ77" si="321">IFERROR(BI14+0.00000000002,0)</f>
        <v>0</v>
      </c>
      <c r="BR14" s="206">
        <f t="shared" ref="BR14:BR77" si="322">IFERROR(BJ14+0.00000000003,0)</f>
        <v>0</v>
      </c>
      <c r="BS14" s="206">
        <f t="shared" ref="BS14:BS77" si="323">IFERROR(BK14+0.00000000001,0)</f>
        <v>0</v>
      </c>
      <c r="BT14" s="206">
        <f t="shared" ref="BT14:BT77" si="324">IFERROR(BL14+0.00000000005,0)</f>
        <v>0</v>
      </c>
      <c r="BU14" s="206">
        <f t="shared" ref="BU14:BU77" si="325">IFERROR(BM14+0.00000000006,0)</f>
        <v>0</v>
      </c>
      <c r="BV14" s="206">
        <f t="shared" ref="BV14:BV77" si="326">IFERROR(BN14+0.00000000007,0)</f>
        <v>0</v>
      </c>
      <c r="BW14" s="206">
        <f t="shared" ref="BW14:BW77" si="327">IFERROR(BO14+0.00000000008,0)</f>
        <v>0</v>
      </c>
      <c r="BX14" s="2">
        <f t="shared" si="302"/>
        <v>0</v>
      </c>
      <c r="BY14" s="2">
        <f t="shared" si="303"/>
        <v>0</v>
      </c>
      <c r="BZ14" s="2">
        <f t="shared" si="304"/>
        <v>0</v>
      </c>
      <c r="CA14" s="2">
        <f t="shared" si="305"/>
        <v>0</v>
      </c>
      <c r="CB14" s="2">
        <f t="shared" si="306"/>
        <v>0</v>
      </c>
      <c r="CC14" s="2">
        <f t="shared" si="307"/>
        <v>0</v>
      </c>
      <c r="CD14" s="2">
        <f t="shared" si="308"/>
        <v>0</v>
      </c>
      <c r="CE14" s="2">
        <f t="shared" si="309"/>
        <v>0</v>
      </c>
      <c r="CF14" s="2" t="s">
        <v>356</v>
      </c>
      <c r="CG14" s="2" t="s">
        <v>356</v>
      </c>
      <c r="CH14" s="2" t="s">
        <v>356</v>
      </c>
      <c r="CI14" s="2" t="s">
        <v>356</v>
      </c>
      <c r="CJ14" s="2" t="s">
        <v>356</v>
      </c>
      <c r="CK14" s="2" t="s">
        <v>356</v>
      </c>
      <c r="CL14" s="2" t="s">
        <v>356</v>
      </c>
      <c r="CM14" s="2" t="s">
        <v>356</v>
      </c>
      <c r="CN14" s="2">
        <v>1</v>
      </c>
      <c r="CO14" s="2">
        <v>1</v>
      </c>
      <c r="CP14" s="2">
        <v>1</v>
      </c>
      <c r="CQ14" s="2">
        <v>1</v>
      </c>
      <c r="CR14" s="2">
        <v>1</v>
      </c>
      <c r="CS14" s="2">
        <v>1</v>
      </c>
      <c r="CT14" s="2">
        <v>1</v>
      </c>
      <c r="CU14" s="2">
        <v>1</v>
      </c>
      <c r="CV14" s="2" t="s">
        <v>821</v>
      </c>
      <c r="CW14" s="2">
        <v>5</v>
      </c>
      <c r="CX14" s="2">
        <v>5</v>
      </c>
      <c r="CY14" s="2">
        <v>4</v>
      </c>
      <c r="CZ14" s="2">
        <v>5</v>
      </c>
      <c r="DA14" s="2" t="s">
        <v>356</v>
      </c>
      <c r="DB14" s="2">
        <v>5</v>
      </c>
      <c r="DC14" s="2">
        <v>5</v>
      </c>
      <c r="DD14" s="2">
        <v>3</v>
      </c>
      <c r="DE14" s="206">
        <f t="shared" ref="DE14:DE67" si="328">IFERROR(CW14+0.00000000004,0)</f>
        <v>5.00000000004</v>
      </c>
      <c r="DF14" s="206">
        <f t="shared" ref="DF14:DF67" si="329">IFERROR(CX14+0.00000000002,0)</f>
        <v>5.00000000002</v>
      </c>
      <c r="DG14" s="206">
        <f t="shared" ref="DG14:DG67" si="330">IFERROR(CY14+0.00000000003,0)</f>
        <v>4.00000000003</v>
      </c>
      <c r="DH14" s="206">
        <f t="shared" ref="DH14:DH67" si="331">IFERROR(CZ14+0.00000000001,0)</f>
        <v>5.00000000001</v>
      </c>
      <c r="DI14" s="206">
        <f t="shared" ref="DI14:DI67" si="332">IFERROR(DA14+0.00000000005,0)</f>
        <v>0</v>
      </c>
      <c r="DJ14" s="206">
        <f t="shared" ref="DJ14:DJ67" si="333">IFERROR(DB14+0.00000000006,0)</f>
        <v>5.00000000006</v>
      </c>
      <c r="DK14" s="206">
        <f t="shared" ref="DK14:DK67" si="334">IFERROR(DC14+0.00000000007,0)</f>
        <v>5.00000000007</v>
      </c>
      <c r="DL14" s="206">
        <f t="shared" ref="DL14:DL67" si="335">IFERROR(DD14+0.00000000008,0)</f>
        <v>3.00000000008</v>
      </c>
      <c r="DM14" s="2">
        <f t="shared" si="311"/>
        <v>5.00000000004</v>
      </c>
      <c r="DN14" s="2">
        <f t="shared" si="312"/>
        <v>5.00000000002</v>
      </c>
      <c r="DO14" s="2">
        <f t="shared" si="313"/>
        <v>4.00000000003</v>
      </c>
      <c r="DP14" s="2">
        <f t="shared" si="314"/>
        <v>5.00000000001</v>
      </c>
      <c r="DQ14" s="2">
        <f t="shared" si="315"/>
        <v>0</v>
      </c>
      <c r="DR14" s="2">
        <f t="shared" si="316"/>
        <v>5.00000000006</v>
      </c>
      <c r="DS14" s="2">
        <f t="shared" si="317"/>
        <v>5.00000000007</v>
      </c>
      <c r="DT14" s="2">
        <f t="shared" si="318"/>
        <v>3.00000000008</v>
      </c>
      <c r="DU14" s="2" t="b">
        <v>1</v>
      </c>
      <c r="DV14" s="2" t="b">
        <v>1</v>
      </c>
      <c r="DW14" s="2" t="b">
        <v>1</v>
      </c>
      <c r="DX14" s="2" t="b">
        <v>1</v>
      </c>
      <c r="DY14" s="2" t="b">
        <v>0</v>
      </c>
      <c r="DZ14" s="2" t="b">
        <v>1</v>
      </c>
      <c r="EA14" s="2" t="b">
        <v>1</v>
      </c>
      <c r="EB14" s="2" t="b">
        <v>0</v>
      </c>
      <c r="EC14" s="2" t="s">
        <v>435</v>
      </c>
      <c r="ED14" s="2" t="s">
        <v>435</v>
      </c>
      <c r="EE14" s="2" t="s">
        <v>435</v>
      </c>
      <c r="EF14" s="2" t="s">
        <v>435</v>
      </c>
      <c r="EG14" s="2" t="s">
        <v>435</v>
      </c>
      <c r="EH14" s="2" t="s">
        <v>435</v>
      </c>
      <c r="EI14" s="2" t="s">
        <v>435</v>
      </c>
      <c r="EJ14" s="2" t="s">
        <v>435</v>
      </c>
      <c r="EK14" s="2" t="s">
        <v>435</v>
      </c>
      <c r="EL14" s="2" t="s">
        <v>435</v>
      </c>
      <c r="EM14" s="2" t="s">
        <v>435</v>
      </c>
      <c r="EN14" s="2" t="s">
        <v>435</v>
      </c>
      <c r="EO14" s="2" t="s">
        <v>435</v>
      </c>
      <c r="EP14" s="2" t="s">
        <v>435</v>
      </c>
      <c r="EQ14" s="2" t="s">
        <v>435</v>
      </c>
      <c r="ER14" s="2" t="s">
        <v>435</v>
      </c>
      <c r="FA14" s="2" t="s">
        <v>435</v>
      </c>
      <c r="FB14" s="2" t="s">
        <v>435</v>
      </c>
      <c r="FC14" s="2" t="s">
        <v>435</v>
      </c>
      <c r="FD14" s="2" t="s">
        <v>435</v>
      </c>
      <c r="FE14" s="2" t="s">
        <v>435</v>
      </c>
      <c r="FF14" s="2" t="s">
        <v>435</v>
      </c>
      <c r="FG14" s="2" t="s">
        <v>435</v>
      </c>
      <c r="FH14" s="2" t="s">
        <v>435</v>
      </c>
      <c r="FI14" s="2" t="s">
        <v>435</v>
      </c>
      <c r="FJ14" s="2" t="s">
        <v>435</v>
      </c>
      <c r="FK14" s="2" t="s">
        <v>435</v>
      </c>
      <c r="FL14" s="2" t="s">
        <v>435</v>
      </c>
      <c r="FM14" s="2" t="s">
        <v>435</v>
      </c>
      <c r="FN14" s="2" t="s">
        <v>435</v>
      </c>
      <c r="FO14" s="2" t="s">
        <v>435</v>
      </c>
      <c r="FP14" s="2" t="s">
        <v>435</v>
      </c>
    </row>
    <row r="15" spans="1:237" s="373" customFormat="1">
      <c r="A15" s="373" t="s">
        <v>825</v>
      </c>
      <c r="B15" s="373" t="s">
        <v>249</v>
      </c>
      <c r="C15" s="373" t="s">
        <v>813</v>
      </c>
      <c r="D15" s="373" t="s">
        <v>826</v>
      </c>
      <c r="E15" s="373" t="s">
        <v>828</v>
      </c>
      <c r="F15" s="385" t="s">
        <v>356</v>
      </c>
      <c r="G15" s="385" t="s">
        <v>356</v>
      </c>
      <c r="H15" s="385">
        <v>24</v>
      </c>
      <c r="I15" s="385">
        <v>23</v>
      </c>
      <c r="J15" s="385"/>
      <c r="K15" s="385">
        <f t="shared" si="294"/>
        <v>24.000000000229999</v>
      </c>
      <c r="L15" s="385">
        <f t="shared" si="295"/>
        <v>23.000000000229999</v>
      </c>
      <c r="M15" s="385" t="s">
        <v>829</v>
      </c>
      <c r="N15" s="385" t="s">
        <v>356</v>
      </c>
      <c r="O15" s="385" t="s">
        <v>356</v>
      </c>
      <c r="P15" s="385" t="s">
        <v>356</v>
      </c>
      <c r="Q15" s="385" t="s">
        <v>356</v>
      </c>
      <c r="R15" s="385" t="s">
        <v>827</v>
      </c>
      <c r="S15" s="385" t="s">
        <v>817</v>
      </c>
      <c r="T15" s="385">
        <v>150</v>
      </c>
      <c r="U15" s="385" cm="1">
        <f t="array" ref="U15">IFERROR(INDEX('Offer Statistics'!$Q$2:$Q$350,MATCH(1,(A15='Offer Statistics'!$B$2:$B$350)*($A$11='Offer Statistics'!$K$2:$K$350),0)),"/")</f>
        <v>144</v>
      </c>
      <c r="V15" s="385" cm="1">
        <f t="array" ref="V15">IFERROR(INDEX('Offer Statistics'!$D$2:$D$350,MATCH(1,(A15='Offer Statistics'!$B$2:$B$350)*($A$11='Offer Statistics'!$K$2:$K$350),0)),"/")</f>
        <v>915</v>
      </c>
      <c r="W15" s="385" cm="1">
        <f t="array" ref="W15">IFERROR(INDEX('Offer Statistics'!$L$2:$L$350,MATCH(1,(A15='Offer Statistics'!$B$2:$B$350)*($A$11='Offer Statistics'!$K$2:$K$350),0)),"/")</f>
        <v>137</v>
      </c>
      <c r="X15" s="385">
        <f t="shared" si="319"/>
        <v>6.6788321167883211</v>
      </c>
      <c r="Y15" s="385" t="s">
        <v>817</v>
      </c>
      <c r="Z15" s="373" t="str">
        <f>入學要求!AF24</f>
        <v>/</v>
      </c>
      <c r="AA15" s="373" t="str">
        <f>入學要求!AG24</f>
        <v>/</v>
      </c>
      <c r="AB15" s="375" t="s">
        <v>889</v>
      </c>
      <c r="AE15" s="374" t="s">
        <v>1004</v>
      </c>
      <c r="AF15" s="373" t="s">
        <v>356</v>
      </c>
      <c r="AG15" s="373" t="s">
        <v>356</v>
      </c>
      <c r="AH15" s="373" t="s">
        <v>356</v>
      </c>
      <c r="AI15" s="373" t="s">
        <v>356</v>
      </c>
      <c r="AJ15" s="373" t="s">
        <v>818</v>
      </c>
      <c r="AK15" s="373" t="s">
        <v>824</v>
      </c>
      <c r="AL15" s="373" t="s">
        <v>435</v>
      </c>
      <c r="AM15" s="373" t="s">
        <v>435</v>
      </c>
      <c r="AN15" s="373" t="s">
        <v>435</v>
      </c>
      <c r="AO15" s="373" t="s">
        <v>435</v>
      </c>
      <c r="AP15" s="373" t="s">
        <v>435</v>
      </c>
      <c r="AQ15" s="373" t="s">
        <v>356</v>
      </c>
      <c r="AS15" s="373" t="s">
        <v>820</v>
      </c>
      <c r="AU15" s="373" t="s">
        <v>817</v>
      </c>
      <c r="AY15" s="373">
        <v>1</v>
      </c>
      <c r="AZ15" s="373">
        <v>1</v>
      </c>
      <c r="BA15" s="373">
        <v>1</v>
      </c>
      <c r="BB15" s="373">
        <v>1</v>
      </c>
      <c r="BC15" s="373">
        <v>1</v>
      </c>
      <c r="BD15" s="373">
        <v>1</v>
      </c>
      <c r="BE15" s="373">
        <v>1</v>
      </c>
      <c r="BF15" s="373">
        <v>1</v>
      </c>
      <c r="BG15" s="373" t="s">
        <v>825</v>
      </c>
      <c r="BH15" s="373">
        <v>4</v>
      </c>
      <c r="BI15" s="373">
        <v>4</v>
      </c>
      <c r="BJ15" s="373">
        <v>4</v>
      </c>
      <c r="BK15" s="373">
        <v>3</v>
      </c>
      <c r="BL15" s="373" t="s">
        <v>356</v>
      </c>
      <c r="BM15" s="373">
        <v>4</v>
      </c>
      <c r="BN15" s="373">
        <v>4</v>
      </c>
      <c r="BO15" s="373" t="s">
        <v>356</v>
      </c>
      <c r="BP15" s="206">
        <f t="shared" si="320"/>
        <v>4.00000000004</v>
      </c>
      <c r="BQ15" s="206">
        <f t="shared" si="321"/>
        <v>4.00000000002</v>
      </c>
      <c r="BR15" s="206">
        <f t="shared" si="322"/>
        <v>4.00000000003</v>
      </c>
      <c r="BS15" s="206">
        <f t="shared" si="323"/>
        <v>3.00000000001</v>
      </c>
      <c r="BT15" s="206">
        <f t="shared" si="324"/>
        <v>0</v>
      </c>
      <c r="BU15" s="206">
        <f t="shared" si="325"/>
        <v>4.00000000006</v>
      </c>
      <c r="BV15" s="206">
        <f t="shared" si="326"/>
        <v>4.00000000007</v>
      </c>
      <c r="BW15" s="206">
        <f t="shared" si="327"/>
        <v>0</v>
      </c>
      <c r="BX15" s="373">
        <f t="shared" si="302"/>
        <v>4.00000000004</v>
      </c>
      <c r="BY15" s="373">
        <f t="shared" si="303"/>
        <v>4.00000000002</v>
      </c>
      <c r="BZ15" s="373">
        <f t="shared" si="304"/>
        <v>4.00000000003</v>
      </c>
      <c r="CA15" s="373">
        <f t="shared" si="305"/>
        <v>3.00000000001</v>
      </c>
      <c r="CB15" s="373">
        <f t="shared" si="306"/>
        <v>0</v>
      </c>
      <c r="CC15" s="373">
        <f t="shared" si="307"/>
        <v>4.00000000006</v>
      </c>
      <c r="CD15" s="373">
        <f t="shared" si="308"/>
        <v>4.00000000007</v>
      </c>
      <c r="CE15" s="373">
        <f t="shared" si="309"/>
        <v>0</v>
      </c>
      <c r="CF15" s="373" t="b">
        <v>1</v>
      </c>
      <c r="CG15" s="373" t="b">
        <v>1</v>
      </c>
      <c r="CH15" s="373" t="b">
        <v>1</v>
      </c>
      <c r="CI15" s="373" t="b">
        <v>1</v>
      </c>
      <c r="CJ15" s="373" t="b">
        <v>0</v>
      </c>
      <c r="CK15" s="373" t="b">
        <v>1</v>
      </c>
      <c r="CL15" s="373" t="b">
        <v>1</v>
      </c>
      <c r="CM15" s="373" t="b">
        <v>0</v>
      </c>
      <c r="CN15" s="373">
        <v>1</v>
      </c>
      <c r="CO15" s="373">
        <v>1</v>
      </c>
      <c r="CP15" s="373">
        <v>1</v>
      </c>
      <c r="CQ15" s="373">
        <v>1</v>
      </c>
      <c r="CR15" s="373">
        <v>1</v>
      </c>
      <c r="CS15" s="373">
        <v>1</v>
      </c>
      <c r="CT15" s="373">
        <v>1</v>
      </c>
      <c r="CU15" s="373">
        <v>1</v>
      </c>
      <c r="CV15" s="373" t="s">
        <v>825</v>
      </c>
      <c r="CW15" s="373">
        <v>4</v>
      </c>
      <c r="CX15" s="373">
        <v>3</v>
      </c>
      <c r="CY15" s="373">
        <v>4</v>
      </c>
      <c r="CZ15" s="373">
        <v>4</v>
      </c>
      <c r="DA15" s="373" t="s">
        <v>356</v>
      </c>
      <c r="DB15" s="373">
        <v>5</v>
      </c>
      <c r="DC15" s="373">
        <v>4</v>
      </c>
      <c r="DD15" s="373" t="s">
        <v>356</v>
      </c>
      <c r="DE15" s="206">
        <f t="shared" si="328"/>
        <v>4.00000000004</v>
      </c>
      <c r="DF15" s="206">
        <f t="shared" si="329"/>
        <v>3.00000000002</v>
      </c>
      <c r="DG15" s="206">
        <f t="shared" si="330"/>
        <v>4.00000000003</v>
      </c>
      <c r="DH15" s="206">
        <f t="shared" si="331"/>
        <v>4.00000000001</v>
      </c>
      <c r="DI15" s="206">
        <f t="shared" si="332"/>
        <v>0</v>
      </c>
      <c r="DJ15" s="206">
        <f t="shared" si="333"/>
        <v>5.00000000006</v>
      </c>
      <c r="DK15" s="206">
        <f t="shared" si="334"/>
        <v>4.00000000007</v>
      </c>
      <c r="DL15" s="206">
        <f t="shared" si="335"/>
        <v>0</v>
      </c>
      <c r="DM15" s="373">
        <f t="shared" si="311"/>
        <v>4.00000000004</v>
      </c>
      <c r="DN15" s="373">
        <f t="shared" si="312"/>
        <v>3.00000000002</v>
      </c>
      <c r="DO15" s="373">
        <f t="shared" si="313"/>
        <v>4.00000000003</v>
      </c>
      <c r="DP15" s="373">
        <f t="shared" si="314"/>
        <v>4.00000000001</v>
      </c>
      <c r="DQ15" s="373">
        <f t="shared" si="315"/>
        <v>0</v>
      </c>
      <c r="DR15" s="373">
        <f t="shared" si="316"/>
        <v>5.00000000006</v>
      </c>
      <c r="DS15" s="373">
        <f t="shared" si="317"/>
        <v>4.00000000007</v>
      </c>
      <c r="DT15" s="373">
        <f t="shared" si="318"/>
        <v>0</v>
      </c>
      <c r="DU15" s="373" t="b">
        <v>1</v>
      </c>
      <c r="DV15" s="373" t="b">
        <v>1</v>
      </c>
      <c r="DW15" s="373" t="b">
        <v>1</v>
      </c>
      <c r="DX15" s="373" t="b">
        <v>1</v>
      </c>
      <c r="DY15" s="373" t="b">
        <v>0</v>
      </c>
      <c r="DZ15" s="373" t="b">
        <v>1</v>
      </c>
      <c r="EA15" s="373" t="b">
        <v>1</v>
      </c>
      <c r="EB15" s="373" t="b">
        <v>0</v>
      </c>
      <c r="EC15" s="373" t="s">
        <v>435</v>
      </c>
      <c r="ED15" s="373" t="s">
        <v>435</v>
      </c>
      <c r="EE15" s="373" t="s">
        <v>435</v>
      </c>
      <c r="EF15" s="373" t="s">
        <v>435</v>
      </c>
      <c r="EG15" s="373" t="s">
        <v>435</v>
      </c>
      <c r="EH15" s="373" t="s">
        <v>435</v>
      </c>
      <c r="EI15" s="373" t="s">
        <v>435</v>
      </c>
      <c r="EJ15" s="373" t="s">
        <v>435</v>
      </c>
      <c r="EK15" s="373" t="s">
        <v>435</v>
      </c>
      <c r="EL15" s="373" t="s">
        <v>435</v>
      </c>
      <c r="EM15" s="373" t="s">
        <v>435</v>
      </c>
      <c r="EN15" s="373" t="s">
        <v>435</v>
      </c>
      <c r="EO15" s="373" t="s">
        <v>435</v>
      </c>
      <c r="EP15" s="373" t="s">
        <v>435</v>
      </c>
      <c r="EQ15" s="373" t="s">
        <v>435</v>
      </c>
      <c r="ER15" s="373" t="s">
        <v>435</v>
      </c>
      <c r="FA15" s="373" t="s">
        <v>435</v>
      </c>
      <c r="FB15" s="373" t="s">
        <v>435</v>
      </c>
      <c r="FC15" s="373" t="s">
        <v>435</v>
      </c>
      <c r="FD15" s="373" t="s">
        <v>435</v>
      </c>
      <c r="FE15" s="373" t="s">
        <v>435</v>
      </c>
      <c r="FF15" s="373" t="s">
        <v>435</v>
      </c>
      <c r="FG15" s="373" t="s">
        <v>435</v>
      </c>
      <c r="FH15" s="373" t="s">
        <v>435</v>
      </c>
      <c r="FI15" s="373" t="s">
        <v>435</v>
      </c>
      <c r="FJ15" s="373" t="s">
        <v>435</v>
      </c>
      <c r="FK15" s="373" t="s">
        <v>435</v>
      </c>
      <c r="FL15" s="373" t="s">
        <v>435</v>
      </c>
      <c r="FM15" s="373" t="s">
        <v>435</v>
      </c>
      <c r="FN15" s="373" t="s">
        <v>435</v>
      </c>
      <c r="FO15" s="373" t="s">
        <v>435</v>
      </c>
      <c r="FP15" s="373" t="s">
        <v>435</v>
      </c>
    </row>
    <row r="16" spans="1:237" s="373" customFormat="1">
      <c r="A16" s="373" t="s">
        <v>830</v>
      </c>
      <c r="B16" s="373" t="s">
        <v>249</v>
      </c>
      <c r="C16" s="373" t="s">
        <v>813</v>
      </c>
      <c r="D16" s="373" t="s">
        <v>831</v>
      </c>
      <c r="E16" s="373" t="s">
        <v>815</v>
      </c>
      <c r="F16" s="385" t="s">
        <v>356</v>
      </c>
      <c r="G16" s="385" t="s">
        <v>356</v>
      </c>
      <c r="H16" s="385">
        <v>24</v>
      </c>
      <c r="I16" s="385">
        <v>23</v>
      </c>
      <c r="J16" s="385"/>
      <c r="K16" s="385">
        <f t="shared" si="294"/>
        <v>24.000000000229999</v>
      </c>
      <c r="L16" s="385">
        <f t="shared" si="295"/>
        <v>23.000000000229999</v>
      </c>
      <c r="M16" s="385" t="s">
        <v>356</v>
      </c>
      <c r="N16" s="385" t="s">
        <v>356</v>
      </c>
      <c r="O16" s="385" t="s">
        <v>356</v>
      </c>
      <c r="P16" s="385" t="s">
        <v>356</v>
      </c>
      <c r="Q16" s="385" t="s">
        <v>356</v>
      </c>
      <c r="R16" s="385" t="s">
        <v>832</v>
      </c>
      <c r="S16" s="385" t="s">
        <v>817</v>
      </c>
      <c r="T16" s="385">
        <v>60</v>
      </c>
      <c r="U16" s="385" cm="1">
        <f t="array" ref="U16">IFERROR(INDEX('Offer Statistics'!$Q$2:$Q$350,MATCH(1,(A16='Offer Statistics'!$B$2:$B$350)*($A$11='Offer Statistics'!$K$2:$K$350),0)),"/")</f>
        <v>51</v>
      </c>
      <c r="V16" s="385" cm="1">
        <f t="array" ref="V16">IFERROR(INDEX('Offer Statistics'!$D$2:$D$350,MATCH(1,(A16='Offer Statistics'!$B$2:$B$350)*($A$11='Offer Statistics'!$K$2:$K$350),0)),"/")</f>
        <v>576</v>
      </c>
      <c r="W16" s="385" cm="1">
        <f t="array" ref="W16">IFERROR(INDEX('Offer Statistics'!$L$2:$L$350,MATCH(1,(A16='Offer Statistics'!$B$2:$B$350)*($A$11='Offer Statistics'!$K$2:$K$350),0)),"/")</f>
        <v>46</v>
      </c>
      <c r="X16" s="385">
        <f t="shared" si="319"/>
        <v>12.521739130434783</v>
      </c>
      <c r="Y16" s="385" t="s">
        <v>817</v>
      </c>
      <c r="Z16" s="373" t="str">
        <f>入學要求!AF25</f>
        <v>/</v>
      </c>
      <c r="AA16" s="373" t="str">
        <f>入學要求!AG25</f>
        <v>/</v>
      </c>
      <c r="AB16" s="375" t="s">
        <v>889</v>
      </c>
      <c r="AC16" s="373" t="s">
        <v>2888</v>
      </c>
      <c r="AE16" s="374" t="s">
        <v>1004</v>
      </c>
      <c r="AF16" s="373" t="s">
        <v>356</v>
      </c>
      <c r="AG16" s="373" t="s">
        <v>356</v>
      </c>
      <c r="AH16" s="373" t="s">
        <v>356</v>
      </c>
      <c r="AI16" s="373" t="s">
        <v>356</v>
      </c>
      <c r="AJ16" s="373" t="s">
        <v>833</v>
      </c>
      <c r="AK16" s="373" t="s">
        <v>818</v>
      </c>
      <c r="AL16" s="373" t="s">
        <v>824</v>
      </c>
      <c r="AM16" s="373" t="s">
        <v>435</v>
      </c>
      <c r="AN16" s="373" t="s">
        <v>435</v>
      </c>
      <c r="AO16" s="373" t="s">
        <v>435</v>
      </c>
      <c r="AP16" s="373" t="s">
        <v>435</v>
      </c>
      <c r="AQ16" s="373" t="s">
        <v>356</v>
      </c>
      <c r="AS16" s="373" t="s">
        <v>820</v>
      </c>
      <c r="AU16" s="373" t="s">
        <v>817</v>
      </c>
      <c r="AY16" s="373">
        <v>1</v>
      </c>
      <c r="AZ16" s="373">
        <v>1</v>
      </c>
      <c r="BA16" s="373">
        <v>1</v>
      </c>
      <c r="BB16" s="373">
        <v>1</v>
      </c>
      <c r="BC16" s="373">
        <v>1</v>
      </c>
      <c r="BD16" s="373">
        <v>1</v>
      </c>
      <c r="BE16" s="373">
        <v>1</v>
      </c>
      <c r="BF16" s="373">
        <v>1</v>
      </c>
      <c r="BG16" s="373" t="s">
        <v>830</v>
      </c>
      <c r="BH16" s="373">
        <v>4</v>
      </c>
      <c r="BI16" s="373">
        <v>3</v>
      </c>
      <c r="BJ16" s="373">
        <v>4</v>
      </c>
      <c r="BK16" s="373">
        <v>5</v>
      </c>
      <c r="BL16" s="373" t="s">
        <v>356</v>
      </c>
      <c r="BM16" s="373">
        <v>4</v>
      </c>
      <c r="BN16" s="373">
        <v>3</v>
      </c>
      <c r="BO16" s="373">
        <v>3</v>
      </c>
      <c r="BP16" s="206">
        <f t="shared" si="320"/>
        <v>4.00000000004</v>
      </c>
      <c r="BQ16" s="206">
        <f t="shared" si="321"/>
        <v>3.00000000002</v>
      </c>
      <c r="BR16" s="206">
        <f t="shared" si="322"/>
        <v>4.00000000003</v>
      </c>
      <c r="BS16" s="206">
        <f t="shared" si="323"/>
        <v>5.00000000001</v>
      </c>
      <c r="BT16" s="206">
        <f t="shared" si="324"/>
        <v>0</v>
      </c>
      <c r="BU16" s="206">
        <f t="shared" si="325"/>
        <v>4.00000000006</v>
      </c>
      <c r="BV16" s="206">
        <f t="shared" si="326"/>
        <v>3.00000000007</v>
      </c>
      <c r="BW16" s="206">
        <f t="shared" si="327"/>
        <v>3.00000000008</v>
      </c>
      <c r="BX16" s="373">
        <f t="shared" si="302"/>
        <v>4.00000000004</v>
      </c>
      <c r="BY16" s="373">
        <f t="shared" si="303"/>
        <v>3.00000000002</v>
      </c>
      <c r="BZ16" s="373">
        <f t="shared" si="304"/>
        <v>4.00000000003</v>
      </c>
      <c r="CA16" s="373">
        <f t="shared" si="305"/>
        <v>5.00000000001</v>
      </c>
      <c r="CB16" s="373">
        <f t="shared" si="306"/>
        <v>0</v>
      </c>
      <c r="CC16" s="373">
        <f t="shared" si="307"/>
        <v>4.00000000006</v>
      </c>
      <c r="CD16" s="373">
        <f t="shared" si="308"/>
        <v>3.00000000007</v>
      </c>
      <c r="CE16" s="373">
        <f t="shared" si="309"/>
        <v>3.00000000008</v>
      </c>
      <c r="CF16" s="373" t="b">
        <v>1</v>
      </c>
      <c r="CG16" s="373" t="b">
        <v>1</v>
      </c>
      <c r="CH16" s="373" t="b">
        <v>1</v>
      </c>
      <c r="CI16" s="373" t="b">
        <v>1</v>
      </c>
      <c r="CJ16" s="373" t="b">
        <v>0</v>
      </c>
      <c r="CK16" s="373" t="b">
        <v>1</v>
      </c>
      <c r="CL16" s="373" t="b">
        <v>1</v>
      </c>
      <c r="CM16" s="373" t="b">
        <v>0</v>
      </c>
      <c r="CN16" s="373">
        <v>1</v>
      </c>
      <c r="CO16" s="373">
        <v>1</v>
      </c>
      <c r="CP16" s="373">
        <v>1</v>
      </c>
      <c r="CQ16" s="373">
        <v>1</v>
      </c>
      <c r="CR16" s="373">
        <v>1</v>
      </c>
      <c r="CS16" s="373">
        <v>1</v>
      </c>
      <c r="CT16" s="373">
        <v>1</v>
      </c>
      <c r="CU16" s="373">
        <v>1</v>
      </c>
      <c r="CV16" s="373" t="s">
        <v>830</v>
      </c>
      <c r="CW16" s="373">
        <v>4</v>
      </c>
      <c r="CX16" s="373">
        <v>3</v>
      </c>
      <c r="CY16" s="373">
        <v>4</v>
      </c>
      <c r="CZ16" s="373">
        <v>4</v>
      </c>
      <c r="DA16" s="373" t="s">
        <v>356</v>
      </c>
      <c r="DB16" s="373">
        <v>5</v>
      </c>
      <c r="DC16" s="373">
        <v>4</v>
      </c>
      <c r="DD16" s="373" t="s">
        <v>356</v>
      </c>
      <c r="DE16" s="206">
        <f t="shared" si="328"/>
        <v>4.00000000004</v>
      </c>
      <c r="DF16" s="206">
        <f t="shared" si="329"/>
        <v>3.00000000002</v>
      </c>
      <c r="DG16" s="206">
        <f t="shared" si="330"/>
        <v>4.00000000003</v>
      </c>
      <c r="DH16" s="206">
        <f t="shared" si="331"/>
        <v>4.00000000001</v>
      </c>
      <c r="DI16" s="206">
        <f t="shared" si="332"/>
        <v>0</v>
      </c>
      <c r="DJ16" s="206">
        <f t="shared" si="333"/>
        <v>5.00000000006</v>
      </c>
      <c r="DK16" s="206">
        <f t="shared" si="334"/>
        <v>4.00000000007</v>
      </c>
      <c r="DL16" s="206">
        <f t="shared" si="335"/>
        <v>0</v>
      </c>
      <c r="DM16" s="373">
        <f t="shared" si="311"/>
        <v>4.00000000004</v>
      </c>
      <c r="DN16" s="373">
        <f t="shared" si="312"/>
        <v>3.00000000002</v>
      </c>
      <c r="DO16" s="373">
        <f t="shared" si="313"/>
        <v>4.00000000003</v>
      </c>
      <c r="DP16" s="373">
        <f t="shared" si="314"/>
        <v>4.00000000001</v>
      </c>
      <c r="DQ16" s="373">
        <f t="shared" si="315"/>
        <v>0</v>
      </c>
      <c r="DR16" s="373">
        <f t="shared" si="316"/>
        <v>5.00000000006</v>
      </c>
      <c r="DS16" s="373">
        <f t="shared" si="317"/>
        <v>4.00000000007</v>
      </c>
      <c r="DT16" s="373">
        <f t="shared" si="318"/>
        <v>0</v>
      </c>
      <c r="DU16" s="373" t="b">
        <v>1</v>
      </c>
      <c r="DV16" s="373" t="b">
        <v>1</v>
      </c>
      <c r="DW16" s="373" t="b">
        <v>1</v>
      </c>
      <c r="DX16" s="373" t="b">
        <v>1</v>
      </c>
      <c r="DY16" s="373" t="b">
        <v>0</v>
      </c>
      <c r="DZ16" s="373" t="b">
        <v>1</v>
      </c>
      <c r="EA16" s="373" t="b">
        <v>1</v>
      </c>
      <c r="EB16" s="373" t="b">
        <v>0</v>
      </c>
      <c r="EC16" s="373" t="s">
        <v>435</v>
      </c>
      <c r="ED16" s="373" t="s">
        <v>435</v>
      </c>
      <c r="EE16" s="373" t="s">
        <v>435</v>
      </c>
      <c r="EF16" s="373" t="s">
        <v>435</v>
      </c>
      <c r="EG16" s="373" t="s">
        <v>435</v>
      </c>
      <c r="EH16" s="373" t="s">
        <v>435</v>
      </c>
      <c r="EI16" s="373" t="s">
        <v>435</v>
      </c>
      <c r="EJ16" s="373" t="s">
        <v>435</v>
      </c>
      <c r="EK16" s="373" t="s">
        <v>435</v>
      </c>
      <c r="EL16" s="373" t="s">
        <v>435</v>
      </c>
      <c r="EM16" s="373" t="s">
        <v>435</v>
      </c>
      <c r="EN16" s="373" t="s">
        <v>435</v>
      </c>
      <c r="EO16" s="373" t="s">
        <v>435</v>
      </c>
      <c r="EP16" s="373" t="s">
        <v>435</v>
      </c>
      <c r="EQ16" s="373" t="s">
        <v>435</v>
      </c>
      <c r="ER16" s="373" t="s">
        <v>435</v>
      </c>
      <c r="FA16" s="373" t="s">
        <v>435</v>
      </c>
      <c r="FB16" s="373" t="s">
        <v>435</v>
      </c>
      <c r="FC16" s="373" t="s">
        <v>435</v>
      </c>
      <c r="FD16" s="373" t="s">
        <v>435</v>
      </c>
      <c r="FE16" s="373" t="s">
        <v>435</v>
      </c>
      <c r="FF16" s="373" t="s">
        <v>435</v>
      </c>
      <c r="FG16" s="373" t="s">
        <v>435</v>
      </c>
      <c r="FH16" s="373" t="s">
        <v>435</v>
      </c>
      <c r="FI16" s="373" t="s">
        <v>435</v>
      </c>
      <c r="FJ16" s="373" t="s">
        <v>435</v>
      </c>
      <c r="FK16" s="373" t="s">
        <v>435</v>
      </c>
      <c r="FL16" s="373" t="s">
        <v>435</v>
      </c>
      <c r="FM16" s="373" t="s">
        <v>435</v>
      </c>
      <c r="FN16" s="373" t="s">
        <v>435</v>
      </c>
      <c r="FO16" s="373" t="s">
        <v>435</v>
      </c>
      <c r="FP16" s="373" t="s">
        <v>435</v>
      </c>
    </row>
    <row r="17" spans="1:172">
      <c r="A17" s="2" t="s">
        <v>834</v>
      </c>
      <c r="B17" s="2" t="s">
        <v>249</v>
      </c>
      <c r="C17" s="2" t="s">
        <v>813</v>
      </c>
      <c r="D17" s="2" t="s">
        <v>835</v>
      </c>
      <c r="E17" s="2" t="s">
        <v>815</v>
      </c>
      <c r="F17" s="385" t="s">
        <v>356</v>
      </c>
      <c r="G17" s="385" t="s">
        <v>356</v>
      </c>
      <c r="H17" s="385">
        <v>26</v>
      </c>
      <c r="I17" s="385">
        <v>25.5</v>
      </c>
      <c r="J17" s="385"/>
      <c r="K17" s="385">
        <f t="shared" si="294"/>
        <v>26.000000000239996</v>
      </c>
      <c r="L17" s="385">
        <f t="shared" si="295"/>
        <v>25.500000000239996</v>
      </c>
      <c r="M17" s="385" t="s">
        <v>356</v>
      </c>
      <c r="N17" s="385" t="s">
        <v>356</v>
      </c>
      <c r="O17" s="385" t="s">
        <v>838</v>
      </c>
      <c r="P17" s="385" t="s">
        <v>356</v>
      </c>
      <c r="Q17" s="385" t="s">
        <v>356</v>
      </c>
      <c r="R17" s="385" t="s">
        <v>837</v>
      </c>
      <c r="S17" s="385" t="s">
        <v>817</v>
      </c>
      <c r="T17" s="385">
        <v>85</v>
      </c>
      <c r="U17" s="385" cm="1">
        <f t="array" ref="U17">IFERROR(INDEX('Offer Statistics'!$Q$2:$Q$350,MATCH(1,(A17='Offer Statistics'!$B$2:$B$350)*($A$11='Offer Statistics'!$K$2:$K$350),0)),"/")</f>
        <v>89</v>
      </c>
      <c r="V17" s="385" cm="1">
        <f t="array" ref="V17">IFERROR(INDEX('Offer Statistics'!$D$2:$D$350,MATCH(1,(A17='Offer Statistics'!$B$2:$B$350)*($A$11='Offer Statistics'!$K$2:$K$350),0)),"/")</f>
        <v>739</v>
      </c>
      <c r="W17" s="385" cm="1">
        <f t="array" ref="W17">IFERROR(INDEX('Offer Statistics'!$L$2:$L$350,MATCH(1,(A17='Offer Statistics'!$B$2:$B$350)*($A$11='Offer Statistics'!$K$2:$K$350),0)),"/")</f>
        <v>83</v>
      </c>
      <c r="X17" s="385">
        <f t="shared" si="319"/>
        <v>8.9036144578313259</v>
      </c>
      <c r="Y17" s="385" t="s">
        <v>817</v>
      </c>
      <c r="Z17" s="95" t="str">
        <f>入學要求!AF26</f>
        <v>/</v>
      </c>
      <c r="AA17" s="95" t="str">
        <f>入學要求!AG26</f>
        <v>/</v>
      </c>
      <c r="AB17" s="386" t="s">
        <v>2820</v>
      </c>
      <c r="AC17" s="95"/>
      <c r="AD17" s="95"/>
      <c r="AE17" s="95" t="s">
        <v>356</v>
      </c>
      <c r="AF17" s="95" t="s">
        <v>356</v>
      </c>
      <c r="AG17" s="95" t="s">
        <v>838</v>
      </c>
      <c r="AH17" s="95" t="s">
        <v>356</v>
      </c>
      <c r="AI17" s="95" t="s">
        <v>356</v>
      </c>
      <c r="AJ17" s="2" t="s">
        <v>818</v>
      </c>
      <c r="AK17" s="2" t="s">
        <v>839</v>
      </c>
      <c r="AL17" s="2" t="s">
        <v>435</v>
      </c>
      <c r="AM17" s="2" t="s">
        <v>435</v>
      </c>
      <c r="AN17" s="2" t="s">
        <v>435</v>
      </c>
      <c r="AO17" s="2" t="s">
        <v>435</v>
      </c>
      <c r="AP17" s="2" t="s">
        <v>435</v>
      </c>
      <c r="AQ17" s="2" t="s">
        <v>356</v>
      </c>
      <c r="AS17" s="2" t="s">
        <v>820</v>
      </c>
      <c r="AU17" s="2" t="s">
        <v>817</v>
      </c>
      <c r="AY17" s="51">
        <v>1</v>
      </c>
      <c r="AZ17" s="51">
        <v>1.5</v>
      </c>
      <c r="BA17" s="51">
        <v>1</v>
      </c>
      <c r="BB17" s="51">
        <v>1</v>
      </c>
      <c r="BC17" s="51">
        <v>1</v>
      </c>
      <c r="BD17" s="51">
        <v>1</v>
      </c>
      <c r="BE17" s="51">
        <v>1</v>
      </c>
      <c r="BF17" s="51">
        <v>1</v>
      </c>
      <c r="BG17" s="51" t="s">
        <v>834</v>
      </c>
      <c r="BH17" s="2">
        <v>4</v>
      </c>
      <c r="BI17" s="2">
        <v>3</v>
      </c>
      <c r="BJ17" s="2">
        <v>4</v>
      </c>
      <c r="BK17" s="2">
        <v>4</v>
      </c>
      <c r="BL17" s="2" t="s">
        <v>356</v>
      </c>
      <c r="BM17" s="2">
        <v>5</v>
      </c>
      <c r="BN17" s="2">
        <v>4</v>
      </c>
      <c r="BO17" s="2" t="s">
        <v>356</v>
      </c>
      <c r="BP17" s="206">
        <f t="shared" si="320"/>
        <v>4.00000000004</v>
      </c>
      <c r="BQ17" s="206">
        <f t="shared" si="321"/>
        <v>3.00000000002</v>
      </c>
      <c r="BR17" s="206">
        <f t="shared" si="322"/>
        <v>4.00000000003</v>
      </c>
      <c r="BS17" s="206">
        <f t="shared" si="323"/>
        <v>4.00000000001</v>
      </c>
      <c r="BT17" s="206">
        <f t="shared" si="324"/>
        <v>0</v>
      </c>
      <c r="BU17" s="206">
        <f t="shared" si="325"/>
        <v>5.00000000006</v>
      </c>
      <c r="BV17" s="206">
        <f t="shared" si="326"/>
        <v>4.00000000007</v>
      </c>
      <c r="BW17" s="206">
        <f t="shared" si="327"/>
        <v>0</v>
      </c>
      <c r="BX17" s="2">
        <f t="shared" si="302"/>
        <v>4.00000000004</v>
      </c>
      <c r="BY17" s="2">
        <f t="shared" si="303"/>
        <v>4.50000000003</v>
      </c>
      <c r="BZ17" s="2">
        <f t="shared" si="304"/>
        <v>4.00000000003</v>
      </c>
      <c r="CA17" s="2">
        <f t="shared" si="305"/>
        <v>4.00000000001</v>
      </c>
      <c r="CB17" s="2">
        <f t="shared" si="306"/>
        <v>0</v>
      </c>
      <c r="CC17" s="2">
        <f t="shared" si="307"/>
        <v>5.00000000006</v>
      </c>
      <c r="CD17" s="2">
        <f t="shared" si="308"/>
        <v>4.00000000007</v>
      </c>
      <c r="CE17" s="2">
        <f t="shared" si="309"/>
        <v>0</v>
      </c>
      <c r="CF17" s="2" t="b">
        <v>1</v>
      </c>
      <c r="CG17" s="2" t="b">
        <v>1</v>
      </c>
      <c r="CH17" s="2" t="b">
        <v>1</v>
      </c>
      <c r="CI17" s="2" t="b">
        <v>1</v>
      </c>
      <c r="CJ17" s="2" t="b">
        <v>0</v>
      </c>
      <c r="CK17" s="2" t="b">
        <v>1</v>
      </c>
      <c r="CL17" s="2" t="b">
        <v>1</v>
      </c>
      <c r="CM17" s="2" t="b">
        <v>0</v>
      </c>
      <c r="CN17" s="51">
        <v>1</v>
      </c>
      <c r="CO17" s="51">
        <v>1.5</v>
      </c>
      <c r="CP17" s="51">
        <v>1</v>
      </c>
      <c r="CQ17" s="51">
        <v>1</v>
      </c>
      <c r="CR17" s="51">
        <v>1</v>
      </c>
      <c r="CS17" s="51">
        <v>1</v>
      </c>
      <c r="CT17" s="51">
        <v>1</v>
      </c>
      <c r="CU17" s="51">
        <v>1</v>
      </c>
      <c r="CV17" s="51" t="s">
        <v>834</v>
      </c>
      <c r="CW17" s="2">
        <v>4</v>
      </c>
      <c r="CX17" s="2">
        <v>4</v>
      </c>
      <c r="CY17" s="2">
        <v>4</v>
      </c>
      <c r="CZ17" s="2">
        <v>4</v>
      </c>
      <c r="DA17" s="2" t="s">
        <v>356</v>
      </c>
      <c r="DB17" s="2">
        <v>4</v>
      </c>
      <c r="DC17" s="2">
        <v>4</v>
      </c>
      <c r="DD17" s="2">
        <v>3</v>
      </c>
      <c r="DE17" s="206">
        <f t="shared" si="328"/>
        <v>4.00000000004</v>
      </c>
      <c r="DF17" s="206">
        <f t="shared" si="329"/>
        <v>4.00000000002</v>
      </c>
      <c r="DG17" s="206">
        <f t="shared" si="330"/>
        <v>4.00000000003</v>
      </c>
      <c r="DH17" s="206">
        <f t="shared" si="331"/>
        <v>4.00000000001</v>
      </c>
      <c r="DI17" s="206">
        <f t="shared" si="332"/>
        <v>0</v>
      </c>
      <c r="DJ17" s="206">
        <f t="shared" si="333"/>
        <v>4.00000000006</v>
      </c>
      <c r="DK17" s="206">
        <f t="shared" si="334"/>
        <v>4.00000000007</v>
      </c>
      <c r="DL17" s="206">
        <f t="shared" si="335"/>
        <v>3.00000000008</v>
      </c>
      <c r="DM17" s="2">
        <f t="shared" si="311"/>
        <v>4.00000000004</v>
      </c>
      <c r="DN17" s="2">
        <f t="shared" si="312"/>
        <v>6.00000000003</v>
      </c>
      <c r="DO17" s="2">
        <f t="shared" si="313"/>
        <v>4.00000000003</v>
      </c>
      <c r="DP17" s="2">
        <f t="shared" si="314"/>
        <v>4.00000000001</v>
      </c>
      <c r="DQ17" s="2">
        <f t="shared" si="315"/>
        <v>0</v>
      </c>
      <c r="DR17" s="2">
        <f t="shared" si="316"/>
        <v>4.00000000006</v>
      </c>
      <c r="DS17" s="2">
        <f t="shared" si="317"/>
        <v>4.00000000007</v>
      </c>
      <c r="DT17" s="2">
        <f t="shared" si="318"/>
        <v>3.00000000008</v>
      </c>
      <c r="DU17" s="2" t="b">
        <v>1</v>
      </c>
      <c r="DV17" s="2" t="b">
        <v>1</v>
      </c>
      <c r="DW17" s="2" t="b">
        <v>1</v>
      </c>
      <c r="DX17" s="2" t="b">
        <v>1</v>
      </c>
      <c r="DY17" s="2" t="b">
        <v>0</v>
      </c>
      <c r="DZ17" s="2" t="b">
        <v>1</v>
      </c>
      <c r="EA17" s="2" t="b">
        <v>1</v>
      </c>
      <c r="EB17" s="2" t="b">
        <v>0</v>
      </c>
      <c r="EC17" s="2" t="s">
        <v>435</v>
      </c>
      <c r="ED17" s="2" t="s">
        <v>435</v>
      </c>
      <c r="EE17" s="2" t="s">
        <v>435</v>
      </c>
      <c r="EF17" s="2" t="s">
        <v>435</v>
      </c>
      <c r="EG17" s="2" t="s">
        <v>435</v>
      </c>
      <c r="EH17" s="2" t="s">
        <v>435</v>
      </c>
      <c r="EI17" s="2" t="s">
        <v>435</v>
      </c>
      <c r="EJ17" s="2" t="s">
        <v>435</v>
      </c>
      <c r="EK17" s="2" t="s">
        <v>435</v>
      </c>
      <c r="EL17" s="2" t="s">
        <v>435</v>
      </c>
      <c r="EM17" s="2" t="s">
        <v>435</v>
      </c>
      <c r="EN17" s="2" t="s">
        <v>435</v>
      </c>
      <c r="EO17" s="2" t="s">
        <v>435</v>
      </c>
      <c r="EP17" s="2" t="s">
        <v>435</v>
      </c>
      <c r="EQ17" s="2" t="s">
        <v>435</v>
      </c>
      <c r="ER17" s="2" t="s">
        <v>435</v>
      </c>
      <c r="FA17" s="2" t="s">
        <v>435</v>
      </c>
      <c r="FB17" s="2" t="s">
        <v>435</v>
      </c>
      <c r="FC17" s="2" t="s">
        <v>435</v>
      </c>
      <c r="FD17" s="2" t="s">
        <v>435</v>
      </c>
      <c r="FE17" s="2" t="s">
        <v>435</v>
      </c>
      <c r="FF17" s="2" t="s">
        <v>435</v>
      </c>
      <c r="FG17" s="2" t="s">
        <v>435</v>
      </c>
      <c r="FH17" s="2" t="s">
        <v>435</v>
      </c>
      <c r="FI17" s="2" t="s">
        <v>435</v>
      </c>
      <c r="FJ17" s="2" t="s">
        <v>435</v>
      </c>
      <c r="FK17" s="2" t="s">
        <v>435</v>
      </c>
      <c r="FL17" s="2" t="s">
        <v>435</v>
      </c>
      <c r="FM17" s="2" t="s">
        <v>435</v>
      </c>
      <c r="FN17" s="2" t="s">
        <v>435</v>
      </c>
      <c r="FO17" s="2" t="s">
        <v>435</v>
      </c>
      <c r="FP17" s="2" t="s">
        <v>435</v>
      </c>
    </row>
    <row r="18" spans="1:172" s="376" customFormat="1">
      <c r="A18" s="376" t="s">
        <v>840</v>
      </c>
      <c r="B18" s="376" t="s">
        <v>249</v>
      </c>
      <c r="C18" s="376" t="s">
        <v>813</v>
      </c>
      <c r="D18" s="376" t="s">
        <v>841</v>
      </c>
      <c r="E18" s="376" t="s">
        <v>815</v>
      </c>
      <c r="F18" s="385" t="s">
        <v>356</v>
      </c>
      <c r="G18" s="385" t="s">
        <v>356</v>
      </c>
      <c r="H18" s="385">
        <v>24</v>
      </c>
      <c r="I18" s="385">
        <v>24</v>
      </c>
      <c r="J18" s="385"/>
      <c r="K18" s="385">
        <f t="shared" si="294"/>
        <v>24.000000000229999</v>
      </c>
      <c r="L18" s="385">
        <f t="shared" si="295"/>
        <v>24.000000000229999</v>
      </c>
      <c r="M18" s="385" t="s">
        <v>356</v>
      </c>
      <c r="N18" s="385" t="s">
        <v>356</v>
      </c>
      <c r="O18" s="385" t="s">
        <v>356</v>
      </c>
      <c r="P18" s="385" t="s">
        <v>356</v>
      </c>
      <c r="Q18" s="385" t="s">
        <v>356</v>
      </c>
      <c r="R18" s="385" t="s">
        <v>842</v>
      </c>
      <c r="S18" s="385" t="s">
        <v>817</v>
      </c>
      <c r="T18" s="385">
        <v>20</v>
      </c>
      <c r="U18" s="385" cm="1">
        <f t="array" ref="U18">IFERROR(INDEX('Offer Statistics'!$Q$2:$Q$350,MATCH(1,(A18='Offer Statistics'!$B$2:$B$350)*($A$11='Offer Statistics'!$K$2:$K$350),0)),"/")</f>
        <v>22</v>
      </c>
      <c r="V18" s="385" cm="1">
        <f t="array" ref="V18">IFERROR(INDEX('Offer Statistics'!$D$2:$D$350,MATCH(1,(A18='Offer Statistics'!$B$2:$B$350)*($A$11='Offer Statistics'!$K$2:$K$350),0)),"/")</f>
        <v>234</v>
      </c>
      <c r="W18" s="385" cm="1">
        <f t="array" ref="W18">IFERROR(INDEX('Offer Statistics'!$L$2:$L$350,MATCH(1,(A18='Offer Statistics'!$B$2:$B$350)*($A$11='Offer Statistics'!$K$2:$K$350),0)),"/")</f>
        <v>19</v>
      </c>
      <c r="X18" s="385">
        <f t="shared" si="319"/>
        <v>12.315789473684211</v>
      </c>
      <c r="Y18" s="385" t="s">
        <v>817</v>
      </c>
      <c r="Z18" s="376" t="str">
        <f>入學要求!AF27</f>
        <v>/</v>
      </c>
      <c r="AA18" s="376" t="str">
        <f>入學要求!AG27</f>
        <v>/</v>
      </c>
      <c r="AB18" s="378" t="s">
        <v>889</v>
      </c>
      <c r="AC18" s="376" t="s">
        <v>2888</v>
      </c>
      <c r="AE18" s="377" t="s">
        <v>1004</v>
      </c>
      <c r="AF18" s="376" t="s">
        <v>356</v>
      </c>
      <c r="AG18" s="376" t="s">
        <v>356</v>
      </c>
      <c r="AH18" s="376" t="s">
        <v>356</v>
      </c>
      <c r="AI18" s="376" t="s">
        <v>356</v>
      </c>
      <c r="AJ18" s="376" t="s">
        <v>843</v>
      </c>
      <c r="AK18" s="376" t="s">
        <v>818</v>
      </c>
      <c r="AL18" s="376" t="s">
        <v>844</v>
      </c>
      <c r="AM18" s="376" t="s">
        <v>435</v>
      </c>
      <c r="AN18" s="376" t="s">
        <v>435</v>
      </c>
      <c r="AO18" s="376" t="s">
        <v>435</v>
      </c>
      <c r="AP18" s="376" t="s">
        <v>435</v>
      </c>
      <c r="AQ18" s="376" t="s">
        <v>356</v>
      </c>
      <c r="AS18" s="376" t="s">
        <v>820</v>
      </c>
      <c r="AU18" s="376" t="s">
        <v>817</v>
      </c>
      <c r="AY18" s="376">
        <v>1</v>
      </c>
      <c r="AZ18" s="376">
        <v>1</v>
      </c>
      <c r="BA18" s="376">
        <v>1</v>
      </c>
      <c r="BB18" s="376">
        <v>1</v>
      </c>
      <c r="BC18" s="376">
        <v>1</v>
      </c>
      <c r="BD18" s="376">
        <v>1</v>
      </c>
      <c r="BE18" s="376">
        <v>1</v>
      </c>
      <c r="BF18" s="376">
        <v>1</v>
      </c>
      <c r="BG18" s="376" t="s">
        <v>840</v>
      </c>
      <c r="BH18" s="376">
        <v>3</v>
      </c>
      <c r="BI18" s="376">
        <v>4</v>
      </c>
      <c r="BJ18" s="376">
        <v>4</v>
      </c>
      <c r="BK18" s="376">
        <v>4</v>
      </c>
      <c r="BL18" s="376" t="s">
        <v>356</v>
      </c>
      <c r="BM18" s="376">
        <v>5</v>
      </c>
      <c r="BN18" s="376">
        <v>4</v>
      </c>
      <c r="BO18" s="376" t="s">
        <v>356</v>
      </c>
      <c r="BP18" s="206">
        <f t="shared" si="320"/>
        <v>3.00000000004</v>
      </c>
      <c r="BQ18" s="206">
        <f t="shared" si="321"/>
        <v>4.00000000002</v>
      </c>
      <c r="BR18" s="206">
        <f t="shared" si="322"/>
        <v>4.00000000003</v>
      </c>
      <c r="BS18" s="206">
        <f t="shared" si="323"/>
        <v>4.00000000001</v>
      </c>
      <c r="BT18" s="206">
        <f t="shared" si="324"/>
        <v>0</v>
      </c>
      <c r="BU18" s="206">
        <f t="shared" si="325"/>
        <v>5.00000000006</v>
      </c>
      <c r="BV18" s="206">
        <f t="shared" si="326"/>
        <v>4.00000000007</v>
      </c>
      <c r="BW18" s="206">
        <f t="shared" si="327"/>
        <v>0</v>
      </c>
      <c r="BX18" s="376">
        <f t="shared" si="302"/>
        <v>3.00000000004</v>
      </c>
      <c r="BY18" s="376">
        <f t="shared" si="303"/>
        <v>4.00000000002</v>
      </c>
      <c r="BZ18" s="376">
        <f t="shared" si="304"/>
        <v>4.00000000003</v>
      </c>
      <c r="CA18" s="376">
        <f t="shared" si="305"/>
        <v>4.00000000001</v>
      </c>
      <c r="CB18" s="376">
        <f t="shared" si="306"/>
        <v>0</v>
      </c>
      <c r="CC18" s="376">
        <f t="shared" si="307"/>
        <v>5.00000000006</v>
      </c>
      <c r="CD18" s="376">
        <f t="shared" si="308"/>
        <v>4.00000000007</v>
      </c>
      <c r="CE18" s="376">
        <f t="shared" si="309"/>
        <v>0</v>
      </c>
      <c r="CF18" s="376" t="b">
        <v>1</v>
      </c>
      <c r="CG18" s="376" t="b">
        <v>1</v>
      </c>
      <c r="CH18" s="376" t="b">
        <v>1</v>
      </c>
      <c r="CI18" s="376" t="b">
        <v>1</v>
      </c>
      <c r="CJ18" s="376" t="b">
        <v>0</v>
      </c>
      <c r="CK18" s="376" t="b">
        <v>1</v>
      </c>
      <c r="CL18" s="376" t="b">
        <v>1</v>
      </c>
      <c r="CM18" s="376" t="b">
        <v>0</v>
      </c>
      <c r="CN18" s="376">
        <v>1</v>
      </c>
      <c r="CO18" s="376">
        <v>1</v>
      </c>
      <c r="CP18" s="376">
        <v>1</v>
      </c>
      <c r="CQ18" s="376">
        <v>1</v>
      </c>
      <c r="CR18" s="376">
        <v>1</v>
      </c>
      <c r="CS18" s="376">
        <v>1</v>
      </c>
      <c r="CT18" s="376">
        <v>1</v>
      </c>
      <c r="CU18" s="376">
        <v>1</v>
      </c>
      <c r="CV18" s="376" t="s">
        <v>840</v>
      </c>
      <c r="CW18" s="376">
        <v>4</v>
      </c>
      <c r="CX18" s="376">
        <v>4</v>
      </c>
      <c r="CY18" s="376">
        <v>4</v>
      </c>
      <c r="CZ18" s="376">
        <v>4</v>
      </c>
      <c r="DA18" s="376" t="s">
        <v>356</v>
      </c>
      <c r="DB18" s="376">
        <v>5</v>
      </c>
      <c r="DC18" s="376">
        <v>3</v>
      </c>
      <c r="DD18" s="376" t="s">
        <v>356</v>
      </c>
      <c r="DE18" s="206">
        <f t="shared" si="328"/>
        <v>4.00000000004</v>
      </c>
      <c r="DF18" s="206">
        <f t="shared" si="329"/>
        <v>4.00000000002</v>
      </c>
      <c r="DG18" s="206">
        <f t="shared" si="330"/>
        <v>4.00000000003</v>
      </c>
      <c r="DH18" s="206">
        <f t="shared" si="331"/>
        <v>4.00000000001</v>
      </c>
      <c r="DI18" s="206">
        <f t="shared" si="332"/>
        <v>0</v>
      </c>
      <c r="DJ18" s="206">
        <f t="shared" si="333"/>
        <v>5.00000000006</v>
      </c>
      <c r="DK18" s="206">
        <f t="shared" si="334"/>
        <v>3.00000000007</v>
      </c>
      <c r="DL18" s="206">
        <f t="shared" si="335"/>
        <v>0</v>
      </c>
      <c r="DM18" s="376">
        <f t="shared" si="311"/>
        <v>4.00000000004</v>
      </c>
      <c r="DN18" s="376">
        <f t="shared" si="312"/>
        <v>4.00000000002</v>
      </c>
      <c r="DO18" s="376">
        <f t="shared" si="313"/>
        <v>4.00000000003</v>
      </c>
      <c r="DP18" s="376">
        <f t="shared" si="314"/>
        <v>4.00000000001</v>
      </c>
      <c r="DQ18" s="376">
        <f t="shared" si="315"/>
        <v>0</v>
      </c>
      <c r="DR18" s="376">
        <f t="shared" si="316"/>
        <v>5.00000000006</v>
      </c>
      <c r="DS18" s="376">
        <f t="shared" si="317"/>
        <v>3.00000000007</v>
      </c>
      <c r="DT18" s="376">
        <f t="shared" si="318"/>
        <v>0</v>
      </c>
      <c r="DU18" s="376" t="b">
        <v>1</v>
      </c>
      <c r="DV18" s="376" t="b">
        <v>1</v>
      </c>
      <c r="DW18" s="376" t="b">
        <v>1</v>
      </c>
      <c r="DX18" s="376" t="b">
        <v>1</v>
      </c>
      <c r="DY18" s="376" t="b">
        <v>0</v>
      </c>
      <c r="DZ18" s="376" t="b">
        <v>1</v>
      </c>
      <c r="EA18" s="376" t="b">
        <v>1</v>
      </c>
      <c r="EB18" s="376" t="b">
        <v>0</v>
      </c>
      <c r="EC18" s="376" t="s">
        <v>435</v>
      </c>
      <c r="ED18" s="376" t="s">
        <v>435</v>
      </c>
      <c r="EE18" s="376" t="s">
        <v>435</v>
      </c>
      <c r="EF18" s="376" t="s">
        <v>435</v>
      </c>
      <c r="EG18" s="376" t="s">
        <v>435</v>
      </c>
      <c r="EH18" s="376" t="s">
        <v>435</v>
      </c>
      <c r="EI18" s="376" t="s">
        <v>435</v>
      </c>
      <c r="EJ18" s="376" t="s">
        <v>435</v>
      </c>
      <c r="EK18" s="376" t="s">
        <v>435</v>
      </c>
      <c r="EL18" s="376" t="s">
        <v>435</v>
      </c>
      <c r="EM18" s="376" t="s">
        <v>435</v>
      </c>
      <c r="EN18" s="376" t="s">
        <v>435</v>
      </c>
      <c r="EO18" s="376" t="s">
        <v>435</v>
      </c>
      <c r="EP18" s="376" t="s">
        <v>435</v>
      </c>
      <c r="EQ18" s="376" t="s">
        <v>435</v>
      </c>
      <c r="ER18" s="376" t="s">
        <v>435</v>
      </c>
      <c r="FA18" s="376" t="s">
        <v>435</v>
      </c>
      <c r="FB18" s="376" t="s">
        <v>435</v>
      </c>
      <c r="FC18" s="376" t="s">
        <v>435</v>
      </c>
      <c r="FD18" s="376" t="s">
        <v>435</v>
      </c>
      <c r="FE18" s="376" t="s">
        <v>435</v>
      </c>
      <c r="FF18" s="376" t="s">
        <v>435</v>
      </c>
      <c r="FG18" s="376" t="s">
        <v>435</v>
      </c>
      <c r="FH18" s="376" t="s">
        <v>435</v>
      </c>
      <c r="FI18" s="376" t="s">
        <v>435</v>
      </c>
      <c r="FJ18" s="376" t="s">
        <v>435</v>
      </c>
      <c r="FK18" s="376" t="s">
        <v>435</v>
      </c>
      <c r="FL18" s="376" t="s">
        <v>435</v>
      </c>
      <c r="FM18" s="376" t="s">
        <v>435</v>
      </c>
      <c r="FN18" s="376" t="s">
        <v>435</v>
      </c>
      <c r="FO18" s="376" t="s">
        <v>435</v>
      </c>
      <c r="FP18" s="376" t="s">
        <v>435</v>
      </c>
    </row>
    <row r="19" spans="1:172" s="376" customFormat="1">
      <c r="A19" s="376" t="s">
        <v>845</v>
      </c>
      <c r="B19" s="376" t="s">
        <v>249</v>
      </c>
      <c r="C19" s="376" t="s">
        <v>813</v>
      </c>
      <c r="D19" s="376" t="s">
        <v>846</v>
      </c>
      <c r="E19" s="376" t="s">
        <v>815</v>
      </c>
      <c r="F19" s="385" t="s">
        <v>356</v>
      </c>
      <c r="G19" s="385" t="s">
        <v>356</v>
      </c>
      <c r="H19" s="385">
        <v>23</v>
      </c>
      <c r="I19" s="385">
        <v>23</v>
      </c>
      <c r="J19" s="385"/>
      <c r="K19" s="385">
        <f t="shared" si="294"/>
        <v>23.000000000229999</v>
      </c>
      <c r="L19" s="385">
        <f t="shared" si="295"/>
        <v>23.000000000229999</v>
      </c>
      <c r="M19" s="385" t="s">
        <v>356</v>
      </c>
      <c r="N19" s="385" t="s">
        <v>356</v>
      </c>
      <c r="O19" s="385" t="s">
        <v>356</v>
      </c>
      <c r="P19" s="385" t="s">
        <v>356</v>
      </c>
      <c r="Q19" s="385" t="s">
        <v>356</v>
      </c>
      <c r="R19" s="385" t="s">
        <v>847</v>
      </c>
      <c r="S19" s="385" t="s">
        <v>817</v>
      </c>
      <c r="T19" s="385">
        <v>36</v>
      </c>
      <c r="U19" s="385" cm="1">
        <f t="array" ref="U19">IFERROR(INDEX('Offer Statistics'!$Q$2:$Q$350,MATCH(1,(A19='Offer Statistics'!$B$2:$B$350)*($A$11='Offer Statistics'!$K$2:$K$350),0)),"/")</f>
        <v>35</v>
      </c>
      <c r="V19" s="385" cm="1">
        <f t="array" ref="V19">IFERROR(INDEX('Offer Statistics'!$D$2:$D$350,MATCH(1,(A19='Offer Statistics'!$B$2:$B$350)*($A$11='Offer Statistics'!$K$2:$K$350),0)),"/")</f>
        <v>275</v>
      </c>
      <c r="W19" s="385" cm="1">
        <f t="array" ref="W19">IFERROR(INDEX('Offer Statistics'!$L$2:$L$350,MATCH(1,(A19='Offer Statistics'!$B$2:$B$350)*($A$11='Offer Statistics'!$K$2:$K$350),0)),"/")</f>
        <v>30</v>
      </c>
      <c r="X19" s="385">
        <f t="shared" si="319"/>
        <v>9.1666666666666661</v>
      </c>
      <c r="Y19" s="385" t="s">
        <v>817</v>
      </c>
      <c r="Z19" s="376" t="str">
        <f>入學要求!AF28</f>
        <v>/</v>
      </c>
      <c r="AA19" s="376" t="str">
        <f>入學要求!AG28</f>
        <v>/</v>
      </c>
      <c r="AB19" s="378" t="s">
        <v>889</v>
      </c>
      <c r="AC19" s="376" t="s">
        <v>2888</v>
      </c>
      <c r="AE19" s="377" t="s">
        <v>1004</v>
      </c>
      <c r="AF19" s="376" t="s">
        <v>356</v>
      </c>
      <c r="AG19" s="376" t="s">
        <v>356</v>
      </c>
      <c r="AH19" s="376" t="s">
        <v>356</v>
      </c>
      <c r="AI19" s="376" t="s">
        <v>356</v>
      </c>
      <c r="AJ19" s="376" t="s">
        <v>843</v>
      </c>
      <c r="AK19" s="376" t="s">
        <v>818</v>
      </c>
      <c r="AL19" s="376" t="s">
        <v>844</v>
      </c>
      <c r="AM19" s="376" t="s">
        <v>435</v>
      </c>
      <c r="AN19" s="376" t="s">
        <v>435</v>
      </c>
      <c r="AO19" s="376" t="s">
        <v>435</v>
      </c>
      <c r="AP19" s="376" t="s">
        <v>435</v>
      </c>
      <c r="AQ19" s="376" t="s">
        <v>356</v>
      </c>
      <c r="AS19" s="376" t="s">
        <v>820</v>
      </c>
      <c r="AU19" s="376" t="s">
        <v>817</v>
      </c>
      <c r="AY19" s="376">
        <v>1</v>
      </c>
      <c r="AZ19" s="376">
        <v>1</v>
      </c>
      <c r="BA19" s="376">
        <v>1</v>
      </c>
      <c r="BB19" s="376">
        <v>1</v>
      </c>
      <c r="BC19" s="376">
        <v>1</v>
      </c>
      <c r="BD19" s="376">
        <v>1</v>
      </c>
      <c r="BE19" s="376">
        <v>1</v>
      </c>
      <c r="BF19" s="376">
        <v>1</v>
      </c>
      <c r="BG19" s="376" t="s">
        <v>845</v>
      </c>
      <c r="BH19" s="376">
        <v>4</v>
      </c>
      <c r="BI19" s="376">
        <v>3</v>
      </c>
      <c r="BJ19" s="376">
        <v>4</v>
      </c>
      <c r="BK19" s="376">
        <v>4</v>
      </c>
      <c r="BL19" s="376" t="s">
        <v>356</v>
      </c>
      <c r="BM19" s="376">
        <v>4</v>
      </c>
      <c r="BN19" s="376">
        <v>4</v>
      </c>
      <c r="BO19" s="376" t="s">
        <v>356</v>
      </c>
      <c r="BP19" s="206">
        <f t="shared" si="320"/>
        <v>4.00000000004</v>
      </c>
      <c r="BQ19" s="206">
        <f t="shared" si="321"/>
        <v>3.00000000002</v>
      </c>
      <c r="BR19" s="206">
        <f t="shared" si="322"/>
        <v>4.00000000003</v>
      </c>
      <c r="BS19" s="206">
        <f t="shared" si="323"/>
        <v>4.00000000001</v>
      </c>
      <c r="BT19" s="206">
        <f t="shared" si="324"/>
        <v>0</v>
      </c>
      <c r="BU19" s="206">
        <f t="shared" si="325"/>
        <v>4.00000000006</v>
      </c>
      <c r="BV19" s="206">
        <f t="shared" si="326"/>
        <v>4.00000000007</v>
      </c>
      <c r="BW19" s="206">
        <f t="shared" si="327"/>
        <v>0</v>
      </c>
      <c r="BX19" s="376">
        <f t="shared" si="302"/>
        <v>4.00000000004</v>
      </c>
      <c r="BY19" s="376">
        <f t="shared" si="303"/>
        <v>3.00000000002</v>
      </c>
      <c r="BZ19" s="376">
        <f t="shared" si="304"/>
        <v>4.00000000003</v>
      </c>
      <c r="CA19" s="376">
        <f t="shared" si="305"/>
        <v>4.00000000001</v>
      </c>
      <c r="CB19" s="376">
        <f t="shared" si="306"/>
        <v>0</v>
      </c>
      <c r="CC19" s="376">
        <f t="shared" si="307"/>
        <v>4.00000000006</v>
      </c>
      <c r="CD19" s="376">
        <f t="shared" si="308"/>
        <v>4.00000000007</v>
      </c>
      <c r="CE19" s="376">
        <f t="shared" si="309"/>
        <v>0</v>
      </c>
      <c r="CF19" s="376" t="b">
        <v>1</v>
      </c>
      <c r="CG19" s="376" t="b">
        <v>1</v>
      </c>
      <c r="CH19" s="376" t="b">
        <v>1</v>
      </c>
      <c r="CI19" s="376" t="b">
        <v>1</v>
      </c>
      <c r="CJ19" s="376" t="b">
        <v>0</v>
      </c>
      <c r="CK19" s="376" t="b">
        <v>1</v>
      </c>
      <c r="CL19" s="376" t="b">
        <v>1</v>
      </c>
      <c r="CM19" s="376" t="b">
        <v>0</v>
      </c>
      <c r="CN19" s="376">
        <v>1</v>
      </c>
      <c r="CO19" s="376">
        <v>1</v>
      </c>
      <c r="CP19" s="376">
        <v>1</v>
      </c>
      <c r="CQ19" s="376">
        <v>1</v>
      </c>
      <c r="CR19" s="376">
        <v>1</v>
      </c>
      <c r="CS19" s="376">
        <v>1</v>
      </c>
      <c r="CT19" s="376">
        <v>1</v>
      </c>
      <c r="CU19" s="376">
        <v>1</v>
      </c>
      <c r="CV19" s="376" t="s">
        <v>845</v>
      </c>
      <c r="CW19" s="376">
        <v>4</v>
      </c>
      <c r="CX19" s="376">
        <v>3</v>
      </c>
      <c r="CY19" s="376">
        <v>4</v>
      </c>
      <c r="CZ19" s="376">
        <v>5</v>
      </c>
      <c r="DA19" s="376" t="s">
        <v>356</v>
      </c>
      <c r="DB19" s="376">
        <v>4</v>
      </c>
      <c r="DC19" s="376">
        <v>3</v>
      </c>
      <c r="DD19" s="376" t="s">
        <v>356</v>
      </c>
      <c r="DE19" s="206">
        <f t="shared" si="328"/>
        <v>4.00000000004</v>
      </c>
      <c r="DF19" s="206">
        <f t="shared" si="329"/>
        <v>3.00000000002</v>
      </c>
      <c r="DG19" s="206">
        <f t="shared" si="330"/>
        <v>4.00000000003</v>
      </c>
      <c r="DH19" s="206">
        <f t="shared" si="331"/>
        <v>5.00000000001</v>
      </c>
      <c r="DI19" s="206">
        <f t="shared" si="332"/>
        <v>0</v>
      </c>
      <c r="DJ19" s="206">
        <f t="shared" si="333"/>
        <v>4.00000000006</v>
      </c>
      <c r="DK19" s="206">
        <f t="shared" si="334"/>
        <v>3.00000000007</v>
      </c>
      <c r="DL19" s="206">
        <f t="shared" si="335"/>
        <v>0</v>
      </c>
      <c r="DM19" s="376">
        <f t="shared" si="311"/>
        <v>4.00000000004</v>
      </c>
      <c r="DN19" s="376">
        <f t="shared" si="312"/>
        <v>3.00000000002</v>
      </c>
      <c r="DO19" s="376">
        <f t="shared" si="313"/>
        <v>4.00000000003</v>
      </c>
      <c r="DP19" s="376">
        <f t="shared" si="314"/>
        <v>5.00000000001</v>
      </c>
      <c r="DQ19" s="376">
        <f t="shared" si="315"/>
        <v>0</v>
      </c>
      <c r="DR19" s="376">
        <f t="shared" si="316"/>
        <v>4.00000000006</v>
      </c>
      <c r="DS19" s="376">
        <f t="shared" si="317"/>
        <v>3.00000000007</v>
      </c>
      <c r="DT19" s="376">
        <f t="shared" si="318"/>
        <v>0</v>
      </c>
      <c r="DU19" s="376" t="b">
        <v>1</v>
      </c>
      <c r="DV19" s="376" t="b">
        <v>1</v>
      </c>
      <c r="DW19" s="376" t="b">
        <v>1</v>
      </c>
      <c r="DX19" s="376" t="b">
        <v>1</v>
      </c>
      <c r="DY19" s="376" t="b">
        <v>0</v>
      </c>
      <c r="DZ19" s="376" t="b">
        <v>1</v>
      </c>
      <c r="EA19" s="376" t="b">
        <v>1</v>
      </c>
      <c r="EB19" s="376" t="b">
        <v>0</v>
      </c>
      <c r="EC19" s="376" t="s">
        <v>435</v>
      </c>
      <c r="ED19" s="376" t="s">
        <v>435</v>
      </c>
      <c r="EE19" s="376" t="s">
        <v>435</v>
      </c>
      <c r="EF19" s="376" t="s">
        <v>435</v>
      </c>
      <c r="EG19" s="376" t="s">
        <v>435</v>
      </c>
      <c r="EH19" s="376" t="s">
        <v>435</v>
      </c>
      <c r="EI19" s="376" t="s">
        <v>435</v>
      </c>
      <c r="EJ19" s="376" t="s">
        <v>435</v>
      </c>
      <c r="EK19" s="376" t="s">
        <v>435</v>
      </c>
      <c r="EL19" s="376" t="s">
        <v>435</v>
      </c>
      <c r="EM19" s="376" t="s">
        <v>435</v>
      </c>
      <c r="EN19" s="376" t="s">
        <v>435</v>
      </c>
      <c r="EO19" s="376" t="s">
        <v>435</v>
      </c>
      <c r="EP19" s="376" t="s">
        <v>435</v>
      </c>
      <c r="EQ19" s="376" t="s">
        <v>435</v>
      </c>
      <c r="ER19" s="376" t="s">
        <v>435</v>
      </c>
      <c r="FA19" s="376" t="s">
        <v>435</v>
      </c>
      <c r="FB19" s="376" t="s">
        <v>435</v>
      </c>
      <c r="FC19" s="376" t="s">
        <v>435</v>
      </c>
      <c r="FD19" s="376" t="s">
        <v>435</v>
      </c>
      <c r="FE19" s="376" t="s">
        <v>435</v>
      </c>
      <c r="FF19" s="376" t="s">
        <v>435</v>
      </c>
      <c r="FG19" s="376" t="s">
        <v>435</v>
      </c>
      <c r="FH19" s="376" t="s">
        <v>435</v>
      </c>
      <c r="FI19" s="376" t="s">
        <v>435</v>
      </c>
      <c r="FJ19" s="376" t="s">
        <v>435</v>
      </c>
      <c r="FK19" s="376" t="s">
        <v>435</v>
      </c>
      <c r="FL19" s="376" t="s">
        <v>435</v>
      </c>
      <c r="FM19" s="376" t="s">
        <v>435</v>
      </c>
      <c r="FN19" s="376" t="s">
        <v>435</v>
      </c>
      <c r="FO19" s="376" t="s">
        <v>435</v>
      </c>
      <c r="FP19" s="376" t="s">
        <v>435</v>
      </c>
    </row>
    <row r="20" spans="1:172" s="376" customFormat="1">
      <c r="A20" s="376" t="s">
        <v>848</v>
      </c>
      <c r="B20" s="376" t="s">
        <v>249</v>
      </c>
      <c r="C20" s="376" t="s">
        <v>813</v>
      </c>
      <c r="D20" s="376" t="s">
        <v>849</v>
      </c>
      <c r="E20" s="376" t="s">
        <v>815</v>
      </c>
      <c r="F20" s="385" t="s">
        <v>356</v>
      </c>
      <c r="G20" s="385" t="s">
        <v>356</v>
      </c>
      <c r="H20" s="385">
        <v>24</v>
      </c>
      <c r="I20" s="385">
        <v>23</v>
      </c>
      <c r="J20" s="385"/>
      <c r="K20" s="385">
        <f t="shared" si="294"/>
        <v>24.000000000229999</v>
      </c>
      <c r="L20" s="385">
        <f t="shared" si="295"/>
        <v>23.000000000229999</v>
      </c>
      <c r="M20" s="385" t="s">
        <v>356</v>
      </c>
      <c r="N20" s="385" t="s">
        <v>356</v>
      </c>
      <c r="O20" s="385" t="s">
        <v>356</v>
      </c>
      <c r="P20" s="385" t="s">
        <v>356</v>
      </c>
      <c r="Q20" s="385" t="s">
        <v>356</v>
      </c>
      <c r="R20" s="385" t="s">
        <v>850</v>
      </c>
      <c r="S20" s="385" t="s">
        <v>817</v>
      </c>
      <c r="T20" s="385">
        <v>104</v>
      </c>
      <c r="U20" s="385" cm="1">
        <f t="array" ref="U20">IFERROR(INDEX('Offer Statistics'!$Q$2:$Q$350,MATCH(1,(A20='Offer Statistics'!$B$2:$B$350)*($A$11='Offer Statistics'!$K$2:$K$350),0)),"/")</f>
        <v>115</v>
      </c>
      <c r="V20" s="385" cm="1">
        <f t="array" ref="V20">IFERROR(INDEX('Offer Statistics'!$D$2:$D$350,MATCH(1,(A20='Offer Statistics'!$B$2:$B$350)*($A$11='Offer Statistics'!$K$2:$K$350),0)),"/")</f>
        <v>683</v>
      </c>
      <c r="W20" s="385" cm="1">
        <f t="array" ref="W20">IFERROR(INDEX('Offer Statistics'!$L$2:$L$350,MATCH(1,(A20='Offer Statistics'!$B$2:$B$350)*($A$11='Offer Statistics'!$K$2:$K$350),0)),"/")</f>
        <v>111</v>
      </c>
      <c r="X20" s="385">
        <f t="shared" si="319"/>
        <v>6.1531531531531529</v>
      </c>
      <c r="Y20" s="385" t="s">
        <v>817</v>
      </c>
      <c r="Z20" s="376" t="str">
        <f>入學要求!AF29</f>
        <v>/</v>
      </c>
      <c r="AA20" s="376" t="str">
        <f>入學要求!AG29</f>
        <v>/</v>
      </c>
      <c r="AB20" s="378" t="s">
        <v>889</v>
      </c>
      <c r="AC20" s="376" t="s">
        <v>2888</v>
      </c>
      <c r="AE20" s="377" t="s">
        <v>1004</v>
      </c>
      <c r="AF20" s="376" t="s">
        <v>356</v>
      </c>
      <c r="AG20" s="376" t="s">
        <v>356</v>
      </c>
      <c r="AH20" s="376" t="s">
        <v>356</v>
      </c>
      <c r="AI20" s="376" t="s">
        <v>356</v>
      </c>
      <c r="AJ20" s="376" t="s">
        <v>843</v>
      </c>
      <c r="AK20" s="376" t="s">
        <v>818</v>
      </c>
      <c r="AL20" s="376" t="s">
        <v>844</v>
      </c>
      <c r="AM20" s="376" t="s">
        <v>435</v>
      </c>
      <c r="AN20" s="376" t="s">
        <v>435</v>
      </c>
      <c r="AO20" s="376" t="s">
        <v>435</v>
      </c>
      <c r="AP20" s="376" t="s">
        <v>435</v>
      </c>
      <c r="AQ20" s="376" t="s">
        <v>356</v>
      </c>
      <c r="AS20" s="376" t="s">
        <v>820</v>
      </c>
      <c r="AU20" s="376" t="s">
        <v>817</v>
      </c>
      <c r="AY20" s="376">
        <v>1</v>
      </c>
      <c r="AZ20" s="376">
        <v>1</v>
      </c>
      <c r="BA20" s="376">
        <v>1</v>
      </c>
      <c r="BB20" s="376">
        <v>1</v>
      </c>
      <c r="BC20" s="376">
        <v>1</v>
      </c>
      <c r="BD20" s="376">
        <v>1</v>
      </c>
      <c r="BE20" s="376">
        <v>1</v>
      </c>
      <c r="BF20" s="376">
        <v>1</v>
      </c>
      <c r="BG20" s="376" t="s">
        <v>848</v>
      </c>
      <c r="BH20" s="376">
        <v>4</v>
      </c>
      <c r="BI20" s="376">
        <v>3</v>
      </c>
      <c r="BJ20" s="376">
        <v>4</v>
      </c>
      <c r="BK20" s="376">
        <v>5</v>
      </c>
      <c r="BL20" s="376" t="s">
        <v>356</v>
      </c>
      <c r="BM20" s="376">
        <v>4</v>
      </c>
      <c r="BN20" s="376">
        <v>3</v>
      </c>
      <c r="BO20" s="376" t="s">
        <v>356</v>
      </c>
      <c r="BP20" s="206">
        <f t="shared" si="320"/>
        <v>4.00000000004</v>
      </c>
      <c r="BQ20" s="206">
        <f t="shared" si="321"/>
        <v>3.00000000002</v>
      </c>
      <c r="BR20" s="206">
        <f t="shared" si="322"/>
        <v>4.00000000003</v>
      </c>
      <c r="BS20" s="206">
        <f t="shared" si="323"/>
        <v>5.00000000001</v>
      </c>
      <c r="BT20" s="206">
        <f t="shared" si="324"/>
        <v>0</v>
      </c>
      <c r="BU20" s="206">
        <f t="shared" si="325"/>
        <v>4.00000000006</v>
      </c>
      <c r="BV20" s="206">
        <f t="shared" si="326"/>
        <v>3.00000000007</v>
      </c>
      <c r="BW20" s="206">
        <f t="shared" si="327"/>
        <v>0</v>
      </c>
      <c r="BX20" s="376">
        <f t="shared" si="302"/>
        <v>4.00000000004</v>
      </c>
      <c r="BY20" s="376">
        <f t="shared" si="303"/>
        <v>3.00000000002</v>
      </c>
      <c r="BZ20" s="376">
        <f t="shared" si="304"/>
        <v>4.00000000003</v>
      </c>
      <c r="CA20" s="376">
        <f t="shared" si="305"/>
        <v>5.00000000001</v>
      </c>
      <c r="CB20" s="376">
        <f t="shared" si="306"/>
        <v>0</v>
      </c>
      <c r="CC20" s="376">
        <f t="shared" si="307"/>
        <v>4.00000000006</v>
      </c>
      <c r="CD20" s="376">
        <f t="shared" si="308"/>
        <v>3.00000000007</v>
      </c>
      <c r="CE20" s="376">
        <f t="shared" si="309"/>
        <v>0</v>
      </c>
      <c r="CF20" s="376" t="b">
        <v>1</v>
      </c>
      <c r="CG20" s="376" t="b">
        <v>1</v>
      </c>
      <c r="CH20" s="376" t="b">
        <v>1</v>
      </c>
      <c r="CI20" s="376" t="b">
        <v>1</v>
      </c>
      <c r="CJ20" s="376" t="b">
        <v>0</v>
      </c>
      <c r="CK20" s="376" t="b">
        <v>1</v>
      </c>
      <c r="CL20" s="376" t="b">
        <v>1</v>
      </c>
      <c r="CM20" s="376" t="b">
        <v>0</v>
      </c>
      <c r="CN20" s="376">
        <v>1</v>
      </c>
      <c r="CO20" s="376">
        <v>1</v>
      </c>
      <c r="CP20" s="376">
        <v>1</v>
      </c>
      <c r="CQ20" s="376">
        <v>1</v>
      </c>
      <c r="CR20" s="376">
        <v>1</v>
      </c>
      <c r="CS20" s="376">
        <v>1</v>
      </c>
      <c r="CT20" s="376">
        <v>1</v>
      </c>
      <c r="CU20" s="376">
        <v>1</v>
      </c>
      <c r="CV20" s="376" t="s">
        <v>848</v>
      </c>
      <c r="CW20" s="376">
        <v>4</v>
      </c>
      <c r="CX20" s="376">
        <v>4</v>
      </c>
      <c r="CY20" s="376">
        <v>4</v>
      </c>
      <c r="CZ20" s="376">
        <v>4</v>
      </c>
      <c r="DA20" s="376" t="s">
        <v>356</v>
      </c>
      <c r="DB20" s="376">
        <v>4</v>
      </c>
      <c r="DC20" s="376">
        <v>4</v>
      </c>
      <c r="DD20" s="376" t="s">
        <v>356</v>
      </c>
      <c r="DE20" s="206">
        <f t="shared" si="328"/>
        <v>4.00000000004</v>
      </c>
      <c r="DF20" s="206">
        <f t="shared" si="329"/>
        <v>4.00000000002</v>
      </c>
      <c r="DG20" s="206">
        <f t="shared" si="330"/>
        <v>4.00000000003</v>
      </c>
      <c r="DH20" s="206">
        <f t="shared" si="331"/>
        <v>4.00000000001</v>
      </c>
      <c r="DI20" s="206">
        <f t="shared" si="332"/>
        <v>0</v>
      </c>
      <c r="DJ20" s="206">
        <f t="shared" si="333"/>
        <v>4.00000000006</v>
      </c>
      <c r="DK20" s="206">
        <f t="shared" si="334"/>
        <v>4.00000000007</v>
      </c>
      <c r="DL20" s="206">
        <f t="shared" si="335"/>
        <v>0</v>
      </c>
      <c r="DM20" s="376">
        <f t="shared" si="311"/>
        <v>4.00000000004</v>
      </c>
      <c r="DN20" s="376">
        <f t="shared" si="312"/>
        <v>4.00000000002</v>
      </c>
      <c r="DO20" s="376">
        <f t="shared" si="313"/>
        <v>4.00000000003</v>
      </c>
      <c r="DP20" s="376">
        <f t="shared" si="314"/>
        <v>4.00000000001</v>
      </c>
      <c r="DQ20" s="376">
        <f t="shared" si="315"/>
        <v>0</v>
      </c>
      <c r="DR20" s="376">
        <f t="shared" si="316"/>
        <v>4.00000000006</v>
      </c>
      <c r="DS20" s="376">
        <f t="shared" si="317"/>
        <v>4.00000000007</v>
      </c>
      <c r="DT20" s="376">
        <f t="shared" si="318"/>
        <v>0</v>
      </c>
      <c r="DU20" s="376" t="b">
        <v>1</v>
      </c>
      <c r="DV20" s="376" t="b">
        <v>1</v>
      </c>
      <c r="DW20" s="376" t="b">
        <v>1</v>
      </c>
      <c r="DX20" s="376" t="b">
        <v>1</v>
      </c>
      <c r="DY20" s="376" t="b">
        <v>0</v>
      </c>
      <c r="DZ20" s="376" t="b">
        <v>1</v>
      </c>
      <c r="EA20" s="376" t="b">
        <v>1</v>
      </c>
      <c r="EB20" s="376" t="b">
        <v>0</v>
      </c>
      <c r="EC20" s="376" t="s">
        <v>435</v>
      </c>
      <c r="ED20" s="376" t="s">
        <v>435</v>
      </c>
      <c r="EE20" s="376" t="s">
        <v>435</v>
      </c>
      <c r="EF20" s="376" t="s">
        <v>435</v>
      </c>
      <c r="EG20" s="376" t="s">
        <v>435</v>
      </c>
      <c r="EH20" s="376" t="s">
        <v>435</v>
      </c>
      <c r="EI20" s="376" t="s">
        <v>435</v>
      </c>
      <c r="EJ20" s="376" t="s">
        <v>435</v>
      </c>
      <c r="EK20" s="376" t="s">
        <v>435</v>
      </c>
      <c r="EL20" s="376" t="s">
        <v>435</v>
      </c>
      <c r="EM20" s="376" t="s">
        <v>435</v>
      </c>
      <c r="EN20" s="376" t="s">
        <v>435</v>
      </c>
      <c r="EO20" s="376" t="s">
        <v>435</v>
      </c>
      <c r="EP20" s="376" t="s">
        <v>435</v>
      </c>
      <c r="EQ20" s="376" t="s">
        <v>435</v>
      </c>
      <c r="ER20" s="376" t="s">
        <v>435</v>
      </c>
      <c r="FA20" s="376" t="s">
        <v>435</v>
      </c>
      <c r="FB20" s="376" t="s">
        <v>435</v>
      </c>
      <c r="FC20" s="376" t="s">
        <v>435</v>
      </c>
      <c r="FD20" s="376" t="s">
        <v>435</v>
      </c>
      <c r="FE20" s="376" t="s">
        <v>435</v>
      </c>
      <c r="FF20" s="376" t="s">
        <v>435</v>
      </c>
      <c r="FG20" s="376" t="s">
        <v>435</v>
      </c>
      <c r="FH20" s="376" t="s">
        <v>435</v>
      </c>
      <c r="FI20" s="376" t="s">
        <v>435</v>
      </c>
      <c r="FJ20" s="376" t="s">
        <v>435</v>
      </c>
      <c r="FK20" s="376" t="s">
        <v>435</v>
      </c>
      <c r="FL20" s="376" t="s">
        <v>435</v>
      </c>
      <c r="FM20" s="376" t="s">
        <v>435</v>
      </c>
      <c r="FN20" s="376" t="s">
        <v>435</v>
      </c>
      <c r="FO20" s="376" t="s">
        <v>435</v>
      </c>
      <c r="FP20" s="376" t="s">
        <v>435</v>
      </c>
    </row>
    <row r="21" spans="1:172">
      <c r="A21" s="2" t="s">
        <v>851</v>
      </c>
      <c r="B21" s="2" t="s">
        <v>249</v>
      </c>
      <c r="C21" s="2" t="s">
        <v>813</v>
      </c>
      <c r="D21" s="2" t="s">
        <v>852</v>
      </c>
      <c r="E21" s="2" t="s">
        <v>815</v>
      </c>
      <c r="F21" s="385" t="s">
        <v>356</v>
      </c>
      <c r="G21" s="385" t="s">
        <v>356</v>
      </c>
      <c r="H21" s="385">
        <v>24</v>
      </c>
      <c r="I21" s="385">
        <v>23</v>
      </c>
      <c r="J21" s="385"/>
      <c r="K21" s="385">
        <f t="shared" si="294"/>
        <v>24.000000000229999</v>
      </c>
      <c r="L21" s="385">
        <f t="shared" si="295"/>
        <v>23.000000000229999</v>
      </c>
      <c r="M21" s="385" t="s">
        <v>356</v>
      </c>
      <c r="N21" s="385" t="s">
        <v>356</v>
      </c>
      <c r="O21" s="385" t="s">
        <v>356</v>
      </c>
      <c r="P21" s="385" t="s">
        <v>356</v>
      </c>
      <c r="Q21" s="385" t="s">
        <v>356</v>
      </c>
      <c r="R21" s="385" t="s">
        <v>181</v>
      </c>
      <c r="S21" s="385" t="s">
        <v>817</v>
      </c>
      <c r="T21" s="385">
        <v>65</v>
      </c>
      <c r="U21" s="385" cm="1">
        <f t="array" ref="U21">IFERROR(INDEX('Offer Statistics'!$Q$2:$Q$350,MATCH(1,(A21='Offer Statistics'!$B$2:$B$350)*($A$11='Offer Statistics'!$K$2:$K$350),0)),"/")</f>
        <v>58</v>
      </c>
      <c r="V21" s="385" cm="1">
        <f t="array" ref="V21">IFERROR(INDEX('Offer Statistics'!$D$2:$D$350,MATCH(1,(A21='Offer Statistics'!$B$2:$B$350)*($A$11='Offer Statistics'!$K$2:$K$350),0)),"/")</f>
        <v>246</v>
      </c>
      <c r="W21" s="385" cm="1">
        <f t="array" ref="W21">IFERROR(INDEX('Offer Statistics'!$L$2:$L$350,MATCH(1,(A21='Offer Statistics'!$B$2:$B$350)*($A$11='Offer Statistics'!$K$2:$K$350),0)),"/")</f>
        <v>51</v>
      </c>
      <c r="X21" s="385">
        <f t="shared" si="319"/>
        <v>4.8235294117647056</v>
      </c>
      <c r="Y21" s="385" t="s">
        <v>817</v>
      </c>
      <c r="Z21" s="95" t="str">
        <f>入學要求!AF30</f>
        <v>/</v>
      </c>
      <c r="AA21" s="95" t="str">
        <f>入學要求!AG30</f>
        <v>/</v>
      </c>
      <c r="AB21" s="95" t="s">
        <v>2820</v>
      </c>
      <c r="AC21" s="95"/>
      <c r="AD21" s="95"/>
      <c r="AE21" s="95" t="s">
        <v>356</v>
      </c>
      <c r="AF21" s="95" t="s">
        <v>356</v>
      </c>
      <c r="AG21" s="95" t="s">
        <v>356</v>
      </c>
      <c r="AH21" s="95" t="s">
        <v>356</v>
      </c>
      <c r="AI21" s="95" t="s">
        <v>356</v>
      </c>
      <c r="AJ21" s="2" t="s">
        <v>818</v>
      </c>
      <c r="AK21" s="2" t="s">
        <v>839</v>
      </c>
      <c r="AL21" s="2" t="s">
        <v>435</v>
      </c>
      <c r="AM21" s="2" t="s">
        <v>435</v>
      </c>
      <c r="AN21" s="2" t="s">
        <v>435</v>
      </c>
      <c r="AO21" s="2" t="s">
        <v>435</v>
      </c>
      <c r="AP21" s="2" t="s">
        <v>435</v>
      </c>
      <c r="AQ21" s="2" t="s">
        <v>356</v>
      </c>
      <c r="AS21" s="2" t="s">
        <v>820</v>
      </c>
      <c r="AU21" s="2" t="s">
        <v>817</v>
      </c>
      <c r="AY21" s="51">
        <v>1</v>
      </c>
      <c r="AZ21" s="51">
        <v>1</v>
      </c>
      <c r="BA21" s="51">
        <v>1</v>
      </c>
      <c r="BB21" s="51">
        <v>1</v>
      </c>
      <c r="BC21" s="51">
        <v>1</v>
      </c>
      <c r="BD21" s="51">
        <v>1</v>
      </c>
      <c r="BE21" s="51">
        <v>1</v>
      </c>
      <c r="BF21" s="51">
        <v>1</v>
      </c>
      <c r="BG21" s="51" t="s">
        <v>851</v>
      </c>
      <c r="BH21" s="2">
        <v>5</v>
      </c>
      <c r="BI21" s="2">
        <v>3</v>
      </c>
      <c r="BJ21" s="2">
        <v>4</v>
      </c>
      <c r="BK21" s="2">
        <v>4</v>
      </c>
      <c r="BL21" s="2" t="s">
        <v>356</v>
      </c>
      <c r="BM21" s="2">
        <v>4</v>
      </c>
      <c r="BN21" s="2">
        <v>3</v>
      </c>
      <c r="BO21" s="2" t="s">
        <v>356</v>
      </c>
      <c r="BP21" s="206">
        <f t="shared" si="320"/>
        <v>5.00000000004</v>
      </c>
      <c r="BQ21" s="206">
        <f t="shared" si="321"/>
        <v>3.00000000002</v>
      </c>
      <c r="BR21" s="206">
        <f t="shared" si="322"/>
        <v>4.00000000003</v>
      </c>
      <c r="BS21" s="206">
        <f t="shared" si="323"/>
        <v>4.00000000001</v>
      </c>
      <c r="BT21" s="206">
        <f t="shared" si="324"/>
        <v>0</v>
      </c>
      <c r="BU21" s="206">
        <f t="shared" si="325"/>
        <v>4.00000000006</v>
      </c>
      <c r="BV21" s="206">
        <f t="shared" si="326"/>
        <v>3.00000000007</v>
      </c>
      <c r="BW21" s="206">
        <f t="shared" si="327"/>
        <v>0</v>
      </c>
      <c r="BX21" s="2">
        <f t="shared" si="302"/>
        <v>5.00000000004</v>
      </c>
      <c r="BY21" s="2">
        <f t="shared" si="303"/>
        <v>3.00000000002</v>
      </c>
      <c r="BZ21" s="2">
        <f t="shared" si="304"/>
        <v>4.00000000003</v>
      </c>
      <c r="CA21" s="2">
        <f t="shared" si="305"/>
        <v>4.00000000001</v>
      </c>
      <c r="CB21" s="2">
        <f t="shared" si="306"/>
        <v>0</v>
      </c>
      <c r="CC21" s="2">
        <f t="shared" si="307"/>
        <v>4.00000000006</v>
      </c>
      <c r="CD21" s="2">
        <f t="shared" si="308"/>
        <v>3.00000000007</v>
      </c>
      <c r="CE21" s="2">
        <f t="shared" si="309"/>
        <v>0</v>
      </c>
      <c r="CF21" s="2" t="b">
        <v>1</v>
      </c>
      <c r="CG21" s="2" t="b">
        <v>1</v>
      </c>
      <c r="CH21" s="2" t="b">
        <v>1</v>
      </c>
      <c r="CI21" s="2" t="b">
        <v>1</v>
      </c>
      <c r="CJ21" s="2" t="b">
        <v>0</v>
      </c>
      <c r="CK21" s="2" t="b">
        <v>1</v>
      </c>
      <c r="CL21" s="2" t="b">
        <v>1</v>
      </c>
      <c r="CM21" s="2" t="b">
        <v>0</v>
      </c>
      <c r="CN21" s="51">
        <v>1</v>
      </c>
      <c r="CO21" s="51">
        <v>1</v>
      </c>
      <c r="CP21" s="51">
        <v>1</v>
      </c>
      <c r="CQ21" s="51">
        <v>1</v>
      </c>
      <c r="CR21" s="51">
        <v>1</v>
      </c>
      <c r="CS21" s="51">
        <v>1</v>
      </c>
      <c r="CT21" s="51">
        <v>1</v>
      </c>
      <c r="CU21" s="51">
        <v>1</v>
      </c>
      <c r="CV21" s="51" t="s">
        <v>851</v>
      </c>
      <c r="CW21" s="2">
        <v>5</v>
      </c>
      <c r="CX21" s="2">
        <v>3</v>
      </c>
      <c r="CY21" s="2">
        <v>4</v>
      </c>
      <c r="CZ21" s="2">
        <v>4</v>
      </c>
      <c r="DA21" s="2" t="s">
        <v>356</v>
      </c>
      <c r="DB21" s="2">
        <v>4</v>
      </c>
      <c r="DC21" s="2">
        <v>4</v>
      </c>
      <c r="DD21" s="2" t="s">
        <v>356</v>
      </c>
      <c r="DE21" s="206">
        <f t="shared" si="328"/>
        <v>5.00000000004</v>
      </c>
      <c r="DF21" s="206">
        <f t="shared" si="329"/>
        <v>3.00000000002</v>
      </c>
      <c r="DG21" s="206">
        <f t="shared" si="330"/>
        <v>4.00000000003</v>
      </c>
      <c r="DH21" s="206">
        <f t="shared" si="331"/>
        <v>4.00000000001</v>
      </c>
      <c r="DI21" s="206">
        <f t="shared" si="332"/>
        <v>0</v>
      </c>
      <c r="DJ21" s="206">
        <f t="shared" si="333"/>
        <v>4.00000000006</v>
      </c>
      <c r="DK21" s="206">
        <f t="shared" si="334"/>
        <v>4.00000000007</v>
      </c>
      <c r="DL21" s="206">
        <f t="shared" si="335"/>
        <v>0</v>
      </c>
      <c r="DM21" s="2">
        <f t="shared" si="311"/>
        <v>5.00000000004</v>
      </c>
      <c r="DN21" s="2">
        <f t="shared" si="312"/>
        <v>3.00000000002</v>
      </c>
      <c r="DO21" s="2">
        <f t="shared" si="313"/>
        <v>4.00000000003</v>
      </c>
      <c r="DP21" s="2">
        <f t="shared" si="314"/>
        <v>4.00000000001</v>
      </c>
      <c r="DQ21" s="2">
        <f t="shared" si="315"/>
        <v>0</v>
      </c>
      <c r="DR21" s="2">
        <f t="shared" si="316"/>
        <v>4.00000000006</v>
      </c>
      <c r="DS21" s="2">
        <f t="shared" si="317"/>
        <v>4.00000000007</v>
      </c>
      <c r="DT21" s="2">
        <f t="shared" si="318"/>
        <v>0</v>
      </c>
      <c r="DU21" s="2" t="b">
        <v>1</v>
      </c>
      <c r="DV21" s="2" t="b">
        <v>1</v>
      </c>
      <c r="DW21" s="2" t="b">
        <v>1</v>
      </c>
      <c r="DX21" s="2" t="b">
        <v>1</v>
      </c>
      <c r="DY21" s="2" t="b">
        <v>0</v>
      </c>
      <c r="DZ21" s="2" t="b">
        <v>1</v>
      </c>
      <c r="EA21" s="2" t="b">
        <v>1</v>
      </c>
      <c r="EB21" s="2" t="b">
        <v>0</v>
      </c>
      <c r="EC21" s="2" t="s">
        <v>435</v>
      </c>
      <c r="ED21" s="2" t="s">
        <v>435</v>
      </c>
      <c r="EE21" s="2" t="s">
        <v>435</v>
      </c>
      <c r="EF21" s="2" t="s">
        <v>435</v>
      </c>
      <c r="EG21" s="2" t="s">
        <v>435</v>
      </c>
      <c r="EH21" s="2" t="s">
        <v>435</v>
      </c>
      <c r="EI21" s="2" t="s">
        <v>435</v>
      </c>
      <c r="EJ21" s="2" t="s">
        <v>435</v>
      </c>
      <c r="EK21" s="2" t="s">
        <v>435</v>
      </c>
      <c r="EL21" s="2" t="s">
        <v>435</v>
      </c>
      <c r="EM21" s="2" t="s">
        <v>435</v>
      </c>
      <c r="EN21" s="2" t="s">
        <v>435</v>
      </c>
      <c r="EO21" s="2" t="s">
        <v>435</v>
      </c>
      <c r="EP21" s="2" t="s">
        <v>435</v>
      </c>
      <c r="EQ21" s="2" t="s">
        <v>435</v>
      </c>
      <c r="ER21" s="2" t="s">
        <v>435</v>
      </c>
      <c r="FA21" s="2" t="s">
        <v>435</v>
      </c>
      <c r="FB21" s="2" t="s">
        <v>435</v>
      </c>
      <c r="FC21" s="2" t="s">
        <v>435</v>
      </c>
      <c r="FD21" s="2" t="s">
        <v>435</v>
      </c>
      <c r="FE21" s="2" t="s">
        <v>435</v>
      </c>
      <c r="FF21" s="2" t="s">
        <v>435</v>
      </c>
      <c r="FG21" s="2" t="s">
        <v>435</v>
      </c>
      <c r="FH21" s="2" t="s">
        <v>435</v>
      </c>
      <c r="FI21" s="2" t="s">
        <v>435</v>
      </c>
      <c r="FJ21" s="2" t="s">
        <v>435</v>
      </c>
      <c r="FK21" s="2" t="s">
        <v>435</v>
      </c>
      <c r="FL21" s="2" t="s">
        <v>435</v>
      </c>
      <c r="FM21" s="2" t="s">
        <v>435</v>
      </c>
      <c r="FN21" s="2" t="s">
        <v>435</v>
      </c>
      <c r="FO21" s="2" t="s">
        <v>435</v>
      </c>
      <c r="FP21" s="2" t="s">
        <v>435</v>
      </c>
    </row>
    <row r="22" spans="1:172">
      <c r="A22" s="2" t="s">
        <v>853</v>
      </c>
      <c r="B22" s="2" t="s">
        <v>249</v>
      </c>
      <c r="C22" s="2" t="s">
        <v>813</v>
      </c>
      <c r="D22" s="2" t="s">
        <v>854</v>
      </c>
      <c r="E22" s="2" t="s">
        <v>815</v>
      </c>
      <c r="F22" s="385" t="s">
        <v>356</v>
      </c>
      <c r="G22" s="385" t="s">
        <v>356</v>
      </c>
      <c r="H22" s="385">
        <v>25</v>
      </c>
      <c r="I22" s="385">
        <v>24</v>
      </c>
      <c r="J22" s="385"/>
      <c r="K22" s="385">
        <f t="shared" si="294"/>
        <v>25.000000000229999</v>
      </c>
      <c r="L22" s="385">
        <f t="shared" si="295"/>
        <v>24.000000000229999</v>
      </c>
      <c r="M22" s="385" t="s">
        <v>356</v>
      </c>
      <c r="N22" s="385" t="s">
        <v>356</v>
      </c>
      <c r="O22" s="385" t="s">
        <v>356</v>
      </c>
      <c r="P22" s="385" t="s">
        <v>356</v>
      </c>
      <c r="Q22" s="385" t="s">
        <v>356</v>
      </c>
      <c r="R22" s="385" t="s">
        <v>855</v>
      </c>
      <c r="S22" s="385" t="s">
        <v>817</v>
      </c>
      <c r="T22" s="385">
        <v>10</v>
      </c>
      <c r="U22" s="385" cm="1">
        <f t="array" ref="U22">IFERROR(INDEX('Offer Statistics'!$Q$2:$Q$350,MATCH(1,(A22='Offer Statistics'!$B$2:$B$350)*($A$11='Offer Statistics'!$K$2:$K$350),0)),"/")</f>
        <v>9</v>
      </c>
      <c r="V22" s="385" cm="1">
        <f t="array" ref="V22">IFERROR(INDEX('Offer Statistics'!$D$2:$D$350,MATCH(1,(A22='Offer Statistics'!$B$2:$B$350)*($A$11='Offer Statistics'!$K$2:$K$350),0)),"/")</f>
        <v>91</v>
      </c>
      <c r="W22" s="385" cm="1">
        <f t="array" ref="W22">IFERROR(INDEX('Offer Statistics'!$L$2:$L$350,MATCH(1,(A22='Offer Statistics'!$B$2:$B$350)*($A$11='Offer Statistics'!$K$2:$K$350),0)),"/")</f>
        <v>8</v>
      </c>
      <c r="X22" s="385">
        <f t="shared" si="319"/>
        <v>11.375</v>
      </c>
      <c r="Y22" s="385" t="s">
        <v>817</v>
      </c>
      <c r="Z22" s="95" t="str">
        <f>入學要求!AF31</f>
        <v>/</v>
      </c>
      <c r="AA22" s="95" t="str">
        <f>入學要求!AG31</f>
        <v>/</v>
      </c>
      <c r="AB22" s="95" t="s">
        <v>2820</v>
      </c>
      <c r="AC22" s="95"/>
      <c r="AD22" s="95"/>
      <c r="AE22" s="95" t="s">
        <v>356</v>
      </c>
      <c r="AF22" s="95" t="s">
        <v>356</v>
      </c>
      <c r="AG22" s="95" t="s">
        <v>356</v>
      </c>
      <c r="AH22" s="95" t="s">
        <v>356</v>
      </c>
      <c r="AI22" s="95" t="s">
        <v>356</v>
      </c>
      <c r="AJ22" s="2" t="s">
        <v>818</v>
      </c>
      <c r="AK22" s="2" t="s">
        <v>839</v>
      </c>
      <c r="AL22" s="2" t="s">
        <v>435</v>
      </c>
      <c r="AM22" s="2" t="s">
        <v>435</v>
      </c>
      <c r="AN22" s="2" t="s">
        <v>435</v>
      </c>
      <c r="AO22" s="2" t="s">
        <v>435</v>
      </c>
      <c r="AP22" s="2" t="s">
        <v>435</v>
      </c>
      <c r="AQ22" s="2" t="s">
        <v>356</v>
      </c>
      <c r="AS22" s="2" t="s">
        <v>820</v>
      </c>
      <c r="AU22" s="2" t="s">
        <v>817</v>
      </c>
      <c r="AY22" s="51">
        <v>1</v>
      </c>
      <c r="AZ22" s="51">
        <v>1</v>
      </c>
      <c r="BA22" s="51">
        <v>1</v>
      </c>
      <c r="BB22" s="51">
        <v>1</v>
      </c>
      <c r="BC22" s="51">
        <v>1</v>
      </c>
      <c r="BD22" s="51">
        <v>1</v>
      </c>
      <c r="BE22" s="51">
        <v>1</v>
      </c>
      <c r="BF22" s="51">
        <v>1</v>
      </c>
      <c r="BG22" s="51" t="s">
        <v>853</v>
      </c>
      <c r="BH22" s="2">
        <v>5</v>
      </c>
      <c r="BI22" s="2">
        <v>4</v>
      </c>
      <c r="BJ22" s="2">
        <v>4</v>
      </c>
      <c r="BK22" s="2">
        <v>4</v>
      </c>
      <c r="BL22" s="2" t="s">
        <v>356</v>
      </c>
      <c r="BM22" s="2">
        <v>4</v>
      </c>
      <c r="BN22" s="2">
        <v>3</v>
      </c>
      <c r="BO22" s="2" t="s">
        <v>356</v>
      </c>
      <c r="BP22" s="206">
        <f t="shared" si="320"/>
        <v>5.00000000004</v>
      </c>
      <c r="BQ22" s="206">
        <f t="shared" si="321"/>
        <v>4.00000000002</v>
      </c>
      <c r="BR22" s="206">
        <f t="shared" si="322"/>
        <v>4.00000000003</v>
      </c>
      <c r="BS22" s="206">
        <f t="shared" si="323"/>
        <v>4.00000000001</v>
      </c>
      <c r="BT22" s="206">
        <f t="shared" si="324"/>
        <v>0</v>
      </c>
      <c r="BU22" s="206">
        <f t="shared" si="325"/>
        <v>4.00000000006</v>
      </c>
      <c r="BV22" s="206">
        <f t="shared" si="326"/>
        <v>3.00000000007</v>
      </c>
      <c r="BW22" s="206">
        <f t="shared" si="327"/>
        <v>0</v>
      </c>
      <c r="BX22" s="2">
        <f t="shared" si="302"/>
        <v>5.00000000004</v>
      </c>
      <c r="BY22" s="2">
        <f t="shared" si="303"/>
        <v>4.00000000002</v>
      </c>
      <c r="BZ22" s="2">
        <f t="shared" si="304"/>
        <v>4.00000000003</v>
      </c>
      <c r="CA22" s="2">
        <f t="shared" si="305"/>
        <v>4.00000000001</v>
      </c>
      <c r="CB22" s="2">
        <f t="shared" si="306"/>
        <v>0</v>
      </c>
      <c r="CC22" s="2">
        <f t="shared" si="307"/>
        <v>4.00000000006</v>
      </c>
      <c r="CD22" s="2">
        <f t="shared" si="308"/>
        <v>3.00000000007</v>
      </c>
      <c r="CE22" s="2">
        <f t="shared" si="309"/>
        <v>0</v>
      </c>
      <c r="CF22" s="2" t="b">
        <v>1</v>
      </c>
      <c r="CG22" s="2" t="b">
        <v>1</v>
      </c>
      <c r="CH22" s="2" t="b">
        <v>1</v>
      </c>
      <c r="CI22" s="2" t="b">
        <v>1</v>
      </c>
      <c r="CJ22" s="2" t="b">
        <v>0</v>
      </c>
      <c r="CK22" s="2" t="b">
        <v>1</v>
      </c>
      <c r="CL22" s="2" t="b">
        <v>1</v>
      </c>
      <c r="CM22" s="2" t="b">
        <v>0</v>
      </c>
      <c r="CN22" s="51">
        <v>1</v>
      </c>
      <c r="CO22" s="51">
        <v>1</v>
      </c>
      <c r="CP22" s="51">
        <v>1</v>
      </c>
      <c r="CQ22" s="51">
        <v>1</v>
      </c>
      <c r="CR22" s="51">
        <v>1</v>
      </c>
      <c r="CS22" s="51">
        <v>1</v>
      </c>
      <c r="CT22" s="51">
        <v>1</v>
      </c>
      <c r="CU22" s="51">
        <v>1</v>
      </c>
      <c r="CV22" s="51" t="s">
        <v>853</v>
      </c>
      <c r="CW22" s="2">
        <v>4</v>
      </c>
      <c r="CX22" s="2">
        <v>3</v>
      </c>
      <c r="CY22" s="2">
        <v>4</v>
      </c>
      <c r="CZ22" s="2">
        <v>4</v>
      </c>
      <c r="DA22" s="2" t="s">
        <v>356</v>
      </c>
      <c r="DB22" s="2">
        <v>5</v>
      </c>
      <c r="DC22" s="2">
        <v>5</v>
      </c>
      <c r="DD22" s="2" t="s">
        <v>356</v>
      </c>
      <c r="DE22" s="206">
        <f t="shared" si="328"/>
        <v>4.00000000004</v>
      </c>
      <c r="DF22" s="206">
        <f t="shared" si="329"/>
        <v>3.00000000002</v>
      </c>
      <c r="DG22" s="206">
        <f t="shared" si="330"/>
        <v>4.00000000003</v>
      </c>
      <c r="DH22" s="206">
        <f t="shared" si="331"/>
        <v>4.00000000001</v>
      </c>
      <c r="DI22" s="206">
        <f t="shared" si="332"/>
        <v>0</v>
      </c>
      <c r="DJ22" s="206">
        <f t="shared" si="333"/>
        <v>5.00000000006</v>
      </c>
      <c r="DK22" s="206">
        <f t="shared" si="334"/>
        <v>5.00000000007</v>
      </c>
      <c r="DL22" s="206">
        <f t="shared" si="335"/>
        <v>0</v>
      </c>
      <c r="DM22" s="2">
        <f t="shared" si="311"/>
        <v>4.00000000004</v>
      </c>
      <c r="DN22" s="2">
        <f t="shared" si="312"/>
        <v>3.00000000002</v>
      </c>
      <c r="DO22" s="2">
        <f t="shared" si="313"/>
        <v>4.00000000003</v>
      </c>
      <c r="DP22" s="2">
        <f t="shared" si="314"/>
        <v>4.00000000001</v>
      </c>
      <c r="DQ22" s="2">
        <f t="shared" si="315"/>
        <v>0</v>
      </c>
      <c r="DR22" s="2">
        <f t="shared" si="316"/>
        <v>5.00000000006</v>
      </c>
      <c r="DS22" s="2">
        <f t="shared" si="317"/>
        <v>5.00000000007</v>
      </c>
      <c r="DT22" s="2">
        <f t="shared" si="318"/>
        <v>0</v>
      </c>
      <c r="DU22" s="2" t="b">
        <v>1</v>
      </c>
      <c r="DV22" s="2" t="b">
        <v>1</v>
      </c>
      <c r="DW22" s="2" t="b">
        <v>1</v>
      </c>
      <c r="DX22" s="2" t="b">
        <v>1</v>
      </c>
      <c r="DY22" s="2" t="b">
        <v>0</v>
      </c>
      <c r="DZ22" s="2" t="b">
        <v>1</v>
      </c>
      <c r="EA22" s="2" t="b">
        <v>1</v>
      </c>
      <c r="EB22" s="2" t="b">
        <v>0</v>
      </c>
      <c r="EC22" s="2" t="s">
        <v>435</v>
      </c>
      <c r="ED22" s="2" t="s">
        <v>435</v>
      </c>
      <c r="EE22" s="2" t="s">
        <v>435</v>
      </c>
      <c r="EF22" s="2" t="s">
        <v>435</v>
      </c>
      <c r="EG22" s="2" t="s">
        <v>435</v>
      </c>
      <c r="EH22" s="2" t="s">
        <v>435</v>
      </c>
      <c r="EI22" s="2" t="s">
        <v>435</v>
      </c>
      <c r="EJ22" s="2" t="s">
        <v>435</v>
      </c>
      <c r="EK22" s="2" t="s">
        <v>435</v>
      </c>
      <c r="EL22" s="2" t="s">
        <v>435</v>
      </c>
      <c r="EM22" s="2" t="s">
        <v>435</v>
      </c>
      <c r="EN22" s="2" t="s">
        <v>435</v>
      </c>
      <c r="EO22" s="2" t="s">
        <v>435</v>
      </c>
      <c r="EP22" s="2" t="s">
        <v>435</v>
      </c>
      <c r="EQ22" s="2" t="s">
        <v>435</v>
      </c>
      <c r="ER22" s="2" t="s">
        <v>435</v>
      </c>
      <c r="FA22" s="2" t="s">
        <v>435</v>
      </c>
      <c r="FB22" s="2" t="s">
        <v>435</v>
      </c>
      <c r="FC22" s="2" t="s">
        <v>435</v>
      </c>
      <c r="FD22" s="2" t="s">
        <v>435</v>
      </c>
      <c r="FE22" s="2" t="s">
        <v>435</v>
      </c>
      <c r="FF22" s="2" t="s">
        <v>435</v>
      </c>
      <c r="FG22" s="2" t="s">
        <v>435</v>
      </c>
      <c r="FH22" s="2" t="s">
        <v>435</v>
      </c>
      <c r="FI22" s="2" t="s">
        <v>435</v>
      </c>
      <c r="FJ22" s="2" t="s">
        <v>435</v>
      </c>
      <c r="FK22" s="2" t="s">
        <v>435</v>
      </c>
      <c r="FL22" s="2" t="s">
        <v>435</v>
      </c>
      <c r="FM22" s="2" t="s">
        <v>435</v>
      </c>
      <c r="FN22" s="2" t="s">
        <v>435</v>
      </c>
      <c r="FO22" s="2" t="s">
        <v>435</v>
      </c>
      <c r="FP22" s="2" t="s">
        <v>435</v>
      </c>
    </row>
    <row r="23" spans="1:172">
      <c r="A23" s="2" t="s">
        <v>856</v>
      </c>
      <c r="B23" s="2" t="s">
        <v>249</v>
      </c>
      <c r="C23" s="2" t="s">
        <v>813</v>
      </c>
      <c r="D23" s="2" t="s">
        <v>857</v>
      </c>
      <c r="E23" s="2" t="s">
        <v>815</v>
      </c>
      <c r="F23" s="385" t="s">
        <v>356</v>
      </c>
      <c r="G23" s="385" t="s">
        <v>356</v>
      </c>
      <c r="H23" s="385">
        <v>23</v>
      </c>
      <c r="I23" s="385">
        <v>23</v>
      </c>
      <c r="J23" s="385"/>
      <c r="K23" s="385">
        <f t="shared" si="294"/>
        <v>23.000000000229999</v>
      </c>
      <c r="L23" s="385">
        <f t="shared" si="295"/>
        <v>23.000000000229999</v>
      </c>
      <c r="M23" s="385" t="s">
        <v>356</v>
      </c>
      <c r="N23" s="385" t="s">
        <v>356</v>
      </c>
      <c r="O23" s="385" t="s">
        <v>356</v>
      </c>
      <c r="P23" s="385" t="s">
        <v>356</v>
      </c>
      <c r="Q23" s="385" t="s">
        <v>356</v>
      </c>
      <c r="R23" s="385" t="s">
        <v>858</v>
      </c>
      <c r="S23" s="385" t="s">
        <v>817</v>
      </c>
      <c r="T23" s="385">
        <v>10</v>
      </c>
      <c r="U23" s="385" cm="1">
        <f t="array" ref="U23">IFERROR(INDEX('Offer Statistics'!$Q$2:$Q$350,MATCH(1,(A23='Offer Statistics'!$B$2:$B$350)*($A$11='Offer Statistics'!$K$2:$K$350),0)),"/")</f>
        <v>8</v>
      </c>
      <c r="V23" s="385" cm="1">
        <f t="array" ref="V23">IFERROR(INDEX('Offer Statistics'!$D$2:$D$350,MATCH(1,(A23='Offer Statistics'!$B$2:$B$350)*($A$11='Offer Statistics'!$K$2:$K$350),0)),"/")</f>
        <v>75</v>
      </c>
      <c r="W23" s="385" cm="1">
        <f t="array" ref="W23">IFERROR(INDEX('Offer Statistics'!$L$2:$L$350,MATCH(1,(A23='Offer Statistics'!$B$2:$B$350)*($A$11='Offer Statistics'!$K$2:$K$350),0)),"/")</f>
        <v>8</v>
      </c>
      <c r="X23" s="385">
        <f t="shared" si="319"/>
        <v>9.375</v>
      </c>
      <c r="Y23" s="385" t="s">
        <v>817</v>
      </c>
      <c r="Z23" s="95" t="str">
        <f>入學要求!AF32</f>
        <v>/</v>
      </c>
      <c r="AA23" s="95" t="str">
        <f>入學要求!AG32</f>
        <v>/</v>
      </c>
      <c r="AB23" s="95" t="s">
        <v>2820</v>
      </c>
      <c r="AC23" s="95"/>
      <c r="AD23" s="95"/>
      <c r="AE23" s="95" t="s">
        <v>356</v>
      </c>
      <c r="AF23" s="95" t="s">
        <v>356</v>
      </c>
      <c r="AG23" s="95" t="s">
        <v>356</v>
      </c>
      <c r="AH23" s="95" t="s">
        <v>356</v>
      </c>
      <c r="AI23" s="95" t="s">
        <v>356</v>
      </c>
      <c r="AJ23" s="2" t="s">
        <v>818</v>
      </c>
      <c r="AK23" s="2" t="s">
        <v>839</v>
      </c>
      <c r="AL23" s="2" t="s">
        <v>435</v>
      </c>
      <c r="AM23" s="2" t="s">
        <v>435</v>
      </c>
      <c r="AN23" s="2" t="s">
        <v>435</v>
      </c>
      <c r="AO23" s="2" t="s">
        <v>435</v>
      </c>
      <c r="AP23" s="2" t="s">
        <v>435</v>
      </c>
      <c r="AQ23" s="2" t="s">
        <v>356</v>
      </c>
      <c r="AS23" s="2" t="s">
        <v>820</v>
      </c>
      <c r="AU23" s="2" t="s">
        <v>817</v>
      </c>
      <c r="AY23" s="51">
        <v>1</v>
      </c>
      <c r="AZ23" s="51">
        <v>1</v>
      </c>
      <c r="BA23" s="51">
        <v>1</v>
      </c>
      <c r="BB23" s="51">
        <v>1</v>
      </c>
      <c r="BC23" s="51">
        <v>1</v>
      </c>
      <c r="BD23" s="51">
        <v>1</v>
      </c>
      <c r="BE23" s="51">
        <v>1</v>
      </c>
      <c r="BF23" s="51">
        <v>1</v>
      </c>
      <c r="BG23" s="51" t="s">
        <v>856</v>
      </c>
      <c r="BH23" s="2">
        <v>3</v>
      </c>
      <c r="BI23" s="2">
        <v>4</v>
      </c>
      <c r="BJ23" s="2">
        <v>4</v>
      </c>
      <c r="BK23" s="2">
        <v>4</v>
      </c>
      <c r="BL23" s="2" t="s">
        <v>356</v>
      </c>
      <c r="BM23" s="2">
        <v>4</v>
      </c>
      <c r="BN23" s="2">
        <v>4</v>
      </c>
      <c r="BO23" s="2" t="s">
        <v>356</v>
      </c>
      <c r="BP23" s="206">
        <f t="shared" si="320"/>
        <v>3.00000000004</v>
      </c>
      <c r="BQ23" s="206">
        <f t="shared" si="321"/>
        <v>4.00000000002</v>
      </c>
      <c r="BR23" s="206">
        <f t="shared" si="322"/>
        <v>4.00000000003</v>
      </c>
      <c r="BS23" s="206">
        <f t="shared" si="323"/>
        <v>4.00000000001</v>
      </c>
      <c r="BT23" s="206">
        <f t="shared" si="324"/>
        <v>0</v>
      </c>
      <c r="BU23" s="206">
        <f t="shared" si="325"/>
        <v>4.00000000006</v>
      </c>
      <c r="BV23" s="206">
        <f t="shared" si="326"/>
        <v>4.00000000007</v>
      </c>
      <c r="BW23" s="206">
        <f t="shared" si="327"/>
        <v>0</v>
      </c>
      <c r="BX23" s="2">
        <f t="shared" si="302"/>
        <v>3.00000000004</v>
      </c>
      <c r="BY23" s="2">
        <f t="shared" si="303"/>
        <v>4.00000000002</v>
      </c>
      <c r="BZ23" s="2">
        <f t="shared" si="304"/>
        <v>4.00000000003</v>
      </c>
      <c r="CA23" s="2">
        <f t="shared" si="305"/>
        <v>4.00000000001</v>
      </c>
      <c r="CB23" s="2">
        <f t="shared" si="306"/>
        <v>0</v>
      </c>
      <c r="CC23" s="2">
        <f t="shared" si="307"/>
        <v>4.00000000006</v>
      </c>
      <c r="CD23" s="2">
        <f t="shared" si="308"/>
        <v>4.00000000007</v>
      </c>
      <c r="CE23" s="2">
        <f t="shared" si="309"/>
        <v>0</v>
      </c>
      <c r="CF23" s="2" t="b">
        <v>1</v>
      </c>
      <c r="CG23" s="2" t="b">
        <v>1</v>
      </c>
      <c r="CH23" s="2" t="b">
        <v>1</v>
      </c>
      <c r="CI23" s="2" t="b">
        <v>1</v>
      </c>
      <c r="CJ23" s="2" t="b">
        <v>0</v>
      </c>
      <c r="CK23" s="2" t="b">
        <v>1</v>
      </c>
      <c r="CL23" s="2" t="b">
        <v>1</v>
      </c>
      <c r="CM23" s="2" t="b">
        <v>0</v>
      </c>
      <c r="CN23" s="51">
        <v>1</v>
      </c>
      <c r="CO23" s="51">
        <v>1</v>
      </c>
      <c r="CP23" s="51">
        <v>1</v>
      </c>
      <c r="CQ23" s="51">
        <v>1</v>
      </c>
      <c r="CR23" s="51">
        <v>1</v>
      </c>
      <c r="CS23" s="51">
        <v>1</v>
      </c>
      <c r="CT23" s="51">
        <v>1</v>
      </c>
      <c r="CU23" s="51">
        <v>1</v>
      </c>
      <c r="CV23" s="51" t="s">
        <v>856</v>
      </c>
      <c r="CW23" s="2">
        <v>4</v>
      </c>
      <c r="CX23" s="2">
        <v>4</v>
      </c>
      <c r="CY23" s="2">
        <v>4</v>
      </c>
      <c r="CZ23" s="2">
        <v>4</v>
      </c>
      <c r="DA23" s="2" t="s">
        <v>356</v>
      </c>
      <c r="DB23" s="2">
        <v>4</v>
      </c>
      <c r="DC23" s="2">
        <v>3</v>
      </c>
      <c r="DD23" s="2" t="s">
        <v>356</v>
      </c>
      <c r="DE23" s="206">
        <f t="shared" si="328"/>
        <v>4.00000000004</v>
      </c>
      <c r="DF23" s="206">
        <f t="shared" si="329"/>
        <v>4.00000000002</v>
      </c>
      <c r="DG23" s="206">
        <f t="shared" si="330"/>
        <v>4.00000000003</v>
      </c>
      <c r="DH23" s="206">
        <f t="shared" si="331"/>
        <v>4.00000000001</v>
      </c>
      <c r="DI23" s="206">
        <f t="shared" si="332"/>
        <v>0</v>
      </c>
      <c r="DJ23" s="206">
        <f t="shared" si="333"/>
        <v>4.00000000006</v>
      </c>
      <c r="DK23" s="206">
        <f t="shared" si="334"/>
        <v>3.00000000007</v>
      </c>
      <c r="DL23" s="206">
        <f t="shared" si="335"/>
        <v>0</v>
      </c>
      <c r="DM23" s="2">
        <f t="shared" si="311"/>
        <v>4.00000000004</v>
      </c>
      <c r="DN23" s="2">
        <f t="shared" si="312"/>
        <v>4.00000000002</v>
      </c>
      <c r="DO23" s="2">
        <f t="shared" si="313"/>
        <v>4.00000000003</v>
      </c>
      <c r="DP23" s="2">
        <f t="shared" si="314"/>
        <v>4.00000000001</v>
      </c>
      <c r="DQ23" s="2">
        <f t="shared" si="315"/>
        <v>0</v>
      </c>
      <c r="DR23" s="2">
        <f t="shared" si="316"/>
        <v>4.00000000006</v>
      </c>
      <c r="DS23" s="2">
        <f t="shared" si="317"/>
        <v>3.00000000007</v>
      </c>
      <c r="DT23" s="2">
        <f t="shared" si="318"/>
        <v>0</v>
      </c>
      <c r="DU23" s="2" t="b">
        <v>1</v>
      </c>
      <c r="DV23" s="2" t="b">
        <v>1</v>
      </c>
      <c r="DW23" s="2" t="b">
        <v>1</v>
      </c>
      <c r="DX23" s="2" t="b">
        <v>1</v>
      </c>
      <c r="DY23" s="2" t="b">
        <v>0</v>
      </c>
      <c r="DZ23" s="2" t="b">
        <v>1</v>
      </c>
      <c r="EA23" s="2" t="b">
        <v>1</v>
      </c>
      <c r="EB23" s="2" t="b">
        <v>0</v>
      </c>
      <c r="EC23" s="2" t="s">
        <v>435</v>
      </c>
      <c r="ED23" s="2" t="s">
        <v>435</v>
      </c>
      <c r="EE23" s="2" t="s">
        <v>435</v>
      </c>
      <c r="EF23" s="2" t="s">
        <v>435</v>
      </c>
      <c r="EG23" s="2" t="s">
        <v>435</v>
      </c>
      <c r="EH23" s="2" t="s">
        <v>435</v>
      </c>
      <c r="EI23" s="2" t="s">
        <v>435</v>
      </c>
      <c r="EJ23" s="2" t="s">
        <v>435</v>
      </c>
      <c r="EK23" s="2" t="s">
        <v>435</v>
      </c>
      <c r="EL23" s="2" t="s">
        <v>435</v>
      </c>
      <c r="EM23" s="2" t="s">
        <v>435</v>
      </c>
      <c r="EN23" s="2" t="s">
        <v>435</v>
      </c>
      <c r="EO23" s="2" t="s">
        <v>435</v>
      </c>
      <c r="EP23" s="2" t="s">
        <v>435</v>
      </c>
      <c r="EQ23" s="2" t="s">
        <v>435</v>
      </c>
      <c r="ER23" s="2" t="s">
        <v>435</v>
      </c>
      <c r="FA23" s="2" t="s">
        <v>435</v>
      </c>
      <c r="FB23" s="2" t="s">
        <v>435</v>
      </c>
      <c r="FC23" s="2" t="s">
        <v>435</v>
      </c>
      <c r="FD23" s="2" t="s">
        <v>435</v>
      </c>
      <c r="FE23" s="2" t="s">
        <v>435</v>
      </c>
      <c r="FF23" s="2" t="s">
        <v>435</v>
      </c>
      <c r="FG23" s="2" t="s">
        <v>435</v>
      </c>
      <c r="FH23" s="2" t="s">
        <v>435</v>
      </c>
      <c r="FI23" s="2" t="s">
        <v>435</v>
      </c>
      <c r="FJ23" s="2" t="s">
        <v>435</v>
      </c>
      <c r="FK23" s="2" t="s">
        <v>435</v>
      </c>
      <c r="FL23" s="2" t="s">
        <v>435</v>
      </c>
      <c r="FM23" s="2" t="s">
        <v>435</v>
      </c>
      <c r="FN23" s="2" t="s">
        <v>435</v>
      </c>
      <c r="FO23" s="2" t="s">
        <v>435</v>
      </c>
      <c r="FP23" s="2" t="s">
        <v>435</v>
      </c>
    </row>
    <row r="24" spans="1:172">
      <c r="A24" s="2" t="s">
        <v>859</v>
      </c>
      <c r="B24" s="2" t="s">
        <v>249</v>
      </c>
      <c r="C24" s="2" t="s">
        <v>813</v>
      </c>
      <c r="D24" s="2" t="s">
        <v>860</v>
      </c>
      <c r="E24" s="2" t="s">
        <v>815</v>
      </c>
      <c r="F24" s="385" t="s">
        <v>356</v>
      </c>
      <c r="G24" s="385" t="s">
        <v>356</v>
      </c>
      <c r="H24" s="385">
        <v>23</v>
      </c>
      <c r="I24" s="385">
        <v>22</v>
      </c>
      <c r="J24" s="385"/>
      <c r="K24" s="385">
        <f t="shared" si="294"/>
        <v>23.000000000229999</v>
      </c>
      <c r="L24" s="385">
        <f t="shared" si="295"/>
        <v>22.000000000229999</v>
      </c>
      <c r="M24" s="385" t="s">
        <v>356</v>
      </c>
      <c r="N24" s="385" t="s">
        <v>356</v>
      </c>
      <c r="O24" s="385" t="s">
        <v>356</v>
      </c>
      <c r="P24" s="385" t="s">
        <v>356</v>
      </c>
      <c r="Q24" s="385" t="s">
        <v>356</v>
      </c>
      <c r="R24" s="385" t="s">
        <v>861</v>
      </c>
      <c r="S24" s="385" t="s">
        <v>817</v>
      </c>
      <c r="T24" s="385">
        <v>24</v>
      </c>
      <c r="U24" s="385" cm="1">
        <f t="array" ref="U24">IFERROR(INDEX('Offer Statistics'!$Q$2:$Q$350,MATCH(1,(A24='Offer Statistics'!$B$2:$B$350)*($A$11='Offer Statistics'!$K$2:$K$350),0)),"/")</f>
        <v>25</v>
      </c>
      <c r="V24" s="385" cm="1">
        <f t="array" ref="V24">IFERROR(INDEX('Offer Statistics'!$D$2:$D$350,MATCH(1,(A24='Offer Statistics'!$B$2:$B$350)*($A$11='Offer Statistics'!$K$2:$K$350),0)),"/")</f>
        <v>107</v>
      </c>
      <c r="W24" s="385" cm="1">
        <f t="array" ref="W24">IFERROR(INDEX('Offer Statistics'!$L$2:$L$350,MATCH(1,(A24='Offer Statistics'!$B$2:$B$350)*($A$11='Offer Statistics'!$K$2:$K$350),0)),"/")</f>
        <v>19</v>
      </c>
      <c r="X24" s="385">
        <f t="shared" si="319"/>
        <v>5.6315789473684212</v>
      </c>
      <c r="Y24" s="385" t="s">
        <v>817</v>
      </c>
      <c r="Z24" s="95" t="str">
        <f>入學要求!AF33</f>
        <v>/</v>
      </c>
      <c r="AA24" s="95" t="str">
        <f>入學要求!AG33</f>
        <v>/</v>
      </c>
      <c r="AB24" s="95" t="s">
        <v>2820</v>
      </c>
      <c r="AC24" s="95"/>
      <c r="AD24" s="95"/>
      <c r="AE24" s="95" t="s">
        <v>356</v>
      </c>
      <c r="AF24" s="95" t="s">
        <v>356</v>
      </c>
      <c r="AG24" s="95" t="s">
        <v>356</v>
      </c>
      <c r="AH24" s="95" t="s">
        <v>356</v>
      </c>
      <c r="AI24" s="95" t="s">
        <v>356</v>
      </c>
      <c r="AJ24" s="2" t="s">
        <v>818</v>
      </c>
      <c r="AK24" s="2" t="s">
        <v>862</v>
      </c>
      <c r="AL24" s="2" t="s">
        <v>844</v>
      </c>
      <c r="AM24" s="2" t="s">
        <v>435</v>
      </c>
      <c r="AN24" s="2" t="s">
        <v>435</v>
      </c>
      <c r="AO24" s="2" t="s">
        <v>435</v>
      </c>
      <c r="AP24" s="2" t="s">
        <v>435</v>
      </c>
      <c r="AQ24" s="2" t="s">
        <v>356</v>
      </c>
      <c r="AS24" s="2" t="s">
        <v>820</v>
      </c>
      <c r="AU24" s="2" t="s">
        <v>817</v>
      </c>
      <c r="AY24" s="51">
        <v>1</v>
      </c>
      <c r="AZ24" s="51">
        <v>1</v>
      </c>
      <c r="BA24" s="51">
        <v>1</v>
      </c>
      <c r="BB24" s="51">
        <v>1</v>
      </c>
      <c r="BC24" s="51">
        <v>1</v>
      </c>
      <c r="BD24" s="51">
        <v>1</v>
      </c>
      <c r="BE24" s="51">
        <v>1</v>
      </c>
      <c r="BF24" s="51">
        <v>1</v>
      </c>
      <c r="BG24" s="51" t="s">
        <v>859</v>
      </c>
      <c r="BH24" s="2">
        <v>3</v>
      </c>
      <c r="BI24" s="2">
        <v>3</v>
      </c>
      <c r="BJ24" s="2">
        <v>3</v>
      </c>
      <c r="BK24" s="2">
        <v>5</v>
      </c>
      <c r="BL24" s="2" t="s">
        <v>356</v>
      </c>
      <c r="BM24" s="2">
        <v>4</v>
      </c>
      <c r="BN24" s="2">
        <v>4</v>
      </c>
      <c r="BO24" s="2" t="s">
        <v>356</v>
      </c>
      <c r="BP24" s="206">
        <f t="shared" si="320"/>
        <v>3.00000000004</v>
      </c>
      <c r="BQ24" s="206">
        <f t="shared" si="321"/>
        <v>3.00000000002</v>
      </c>
      <c r="BR24" s="206">
        <f t="shared" si="322"/>
        <v>3.00000000003</v>
      </c>
      <c r="BS24" s="206">
        <f t="shared" si="323"/>
        <v>5.00000000001</v>
      </c>
      <c r="BT24" s="206">
        <f t="shared" si="324"/>
        <v>0</v>
      </c>
      <c r="BU24" s="206">
        <f t="shared" si="325"/>
        <v>4.00000000006</v>
      </c>
      <c r="BV24" s="206">
        <f t="shared" si="326"/>
        <v>4.00000000007</v>
      </c>
      <c r="BW24" s="206">
        <f t="shared" si="327"/>
        <v>0</v>
      </c>
      <c r="BX24" s="2">
        <f t="shared" si="302"/>
        <v>3.00000000004</v>
      </c>
      <c r="BY24" s="2">
        <f t="shared" si="303"/>
        <v>3.00000000002</v>
      </c>
      <c r="BZ24" s="2">
        <f t="shared" si="304"/>
        <v>3.00000000003</v>
      </c>
      <c r="CA24" s="2">
        <f t="shared" si="305"/>
        <v>5.00000000001</v>
      </c>
      <c r="CB24" s="2">
        <f t="shared" si="306"/>
        <v>0</v>
      </c>
      <c r="CC24" s="2">
        <f t="shared" si="307"/>
        <v>4.00000000006</v>
      </c>
      <c r="CD24" s="2">
        <f t="shared" si="308"/>
        <v>4.00000000007</v>
      </c>
      <c r="CE24" s="2">
        <f t="shared" si="309"/>
        <v>0</v>
      </c>
      <c r="CF24" s="2" t="b">
        <v>1</v>
      </c>
      <c r="CG24" s="2" t="b">
        <v>1</v>
      </c>
      <c r="CH24" s="2" t="b">
        <v>1</v>
      </c>
      <c r="CI24" s="2" t="b">
        <v>1</v>
      </c>
      <c r="CJ24" s="2" t="b">
        <v>0</v>
      </c>
      <c r="CK24" s="2" t="b">
        <v>1</v>
      </c>
      <c r="CL24" s="2" t="b">
        <v>1</v>
      </c>
      <c r="CM24" s="2" t="b">
        <v>0</v>
      </c>
      <c r="CN24" s="51">
        <v>1</v>
      </c>
      <c r="CO24" s="51">
        <v>1</v>
      </c>
      <c r="CP24" s="51">
        <v>1</v>
      </c>
      <c r="CQ24" s="51">
        <v>1</v>
      </c>
      <c r="CR24" s="51">
        <v>1</v>
      </c>
      <c r="CS24" s="51">
        <v>1</v>
      </c>
      <c r="CT24" s="51">
        <v>1</v>
      </c>
      <c r="CU24" s="51">
        <v>1</v>
      </c>
      <c r="CV24" s="51" t="s">
        <v>859</v>
      </c>
      <c r="CW24" s="2">
        <v>4</v>
      </c>
      <c r="CX24" s="2">
        <v>3</v>
      </c>
      <c r="CY24" s="2">
        <v>4</v>
      </c>
      <c r="CZ24" s="2">
        <v>4</v>
      </c>
      <c r="DA24" s="2" t="s">
        <v>356</v>
      </c>
      <c r="DB24" s="2">
        <v>4</v>
      </c>
      <c r="DC24" s="2">
        <v>4</v>
      </c>
      <c r="DD24" s="2" t="s">
        <v>356</v>
      </c>
      <c r="DE24" s="206">
        <f t="shared" si="328"/>
        <v>4.00000000004</v>
      </c>
      <c r="DF24" s="206">
        <f t="shared" si="329"/>
        <v>3.00000000002</v>
      </c>
      <c r="DG24" s="206">
        <f t="shared" si="330"/>
        <v>4.00000000003</v>
      </c>
      <c r="DH24" s="206">
        <f t="shared" si="331"/>
        <v>4.00000000001</v>
      </c>
      <c r="DI24" s="206">
        <f t="shared" si="332"/>
        <v>0</v>
      </c>
      <c r="DJ24" s="206">
        <f t="shared" si="333"/>
        <v>4.00000000006</v>
      </c>
      <c r="DK24" s="206">
        <f t="shared" si="334"/>
        <v>4.00000000007</v>
      </c>
      <c r="DL24" s="206">
        <f t="shared" si="335"/>
        <v>0</v>
      </c>
      <c r="DM24" s="2">
        <f t="shared" si="311"/>
        <v>4.00000000004</v>
      </c>
      <c r="DN24" s="2">
        <f t="shared" si="312"/>
        <v>3.00000000002</v>
      </c>
      <c r="DO24" s="2">
        <f t="shared" si="313"/>
        <v>4.00000000003</v>
      </c>
      <c r="DP24" s="2">
        <f t="shared" si="314"/>
        <v>4.00000000001</v>
      </c>
      <c r="DQ24" s="2">
        <f t="shared" si="315"/>
        <v>0</v>
      </c>
      <c r="DR24" s="2">
        <f t="shared" si="316"/>
        <v>4.00000000006</v>
      </c>
      <c r="DS24" s="2">
        <f t="shared" si="317"/>
        <v>4.00000000007</v>
      </c>
      <c r="DT24" s="2">
        <f t="shared" si="318"/>
        <v>0</v>
      </c>
      <c r="DU24" s="2" t="b">
        <v>1</v>
      </c>
      <c r="DV24" s="2" t="b">
        <v>1</v>
      </c>
      <c r="DW24" s="2" t="b">
        <v>1</v>
      </c>
      <c r="DX24" s="2" t="b">
        <v>1</v>
      </c>
      <c r="DY24" s="2" t="b">
        <v>0</v>
      </c>
      <c r="DZ24" s="2" t="b">
        <v>1</v>
      </c>
      <c r="EA24" s="2" t="b">
        <v>1</v>
      </c>
      <c r="EB24" s="2" t="b">
        <v>0</v>
      </c>
      <c r="EC24" s="2" t="s">
        <v>435</v>
      </c>
      <c r="ED24" s="2" t="s">
        <v>435</v>
      </c>
      <c r="EE24" s="2" t="s">
        <v>435</v>
      </c>
      <c r="EF24" s="2" t="s">
        <v>435</v>
      </c>
      <c r="EG24" s="2" t="s">
        <v>435</v>
      </c>
      <c r="EH24" s="2" t="s">
        <v>435</v>
      </c>
      <c r="EI24" s="2" t="s">
        <v>435</v>
      </c>
      <c r="EJ24" s="2" t="s">
        <v>435</v>
      </c>
      <c r="EK24" s="2" t="s">
        <v>435</v>
      </c>
      <c r="EL24" s="2" t="s">
        <v>435</v>
      </c>
      <c r="EM24" s="2" t="s">
        <v>435</v>
      </c>
      <c r="EN24" s="2" t="s">
        <v>435</v>
      </c>
      <c r="EO24" s="2" t="s">
        <v>435</v>
      </c>
      <c r="EP24" s="2" t="s">
        <v>435</v>
      </c>
      <c r="EQ24" s="2" t="s">
        <v>435</v>
      </c>
      <c r="ER24" s="2" t="s">
        <v>435</v>
      </c>
      <c r="FA24" s="2" t="s">
        <v>435</v>
      </c>
      <c r="FB24" s="2" t="s">
        <v>435</v>
      </c>
      <c r="FC24" s="2" t="s">
        <v>435</v>
      </c>
      <c r="FD24" s="2" t="s">
        <v>435</v>
      </c>
      <c r="FE24" s="2" t="s">
        <v>435</v>
      </c>
      <c r="FF24" s="2" t="s">
        <v>435</v>
      </c>
      <c r="FG24" s="2" t="s">
        <v>435</v>
      </c>
      <c r="FH24" s="2" t="s">
        <v>435</v>
      </c>
      <c r="FI24" s="2" t="s">
        <v>435</v>
      </c>
      <c r="FJ24" s="2" t="s">
        <v>435</v>
      </c>
      <c r="FK24" s="2" t="s">
        <v>435</v>
      </c>
      <c r="FL24" s="2" t="s">
        <v>435</v>
      </c>
      <c r="FM24" s="2" t="s">
        <v>435</v>
      </c>
      <c r="FN24" s="2" t="s">
        <v>435</v>
      </c>
      <c r="FO24" s="2" t="s">
        <v>435</v>
      </c>
      <c r="FP24" s="2" t="s">
        <v>435</v>
      </c>
    </row>
    <row r="25" spans="1:172">
      <c r="A25" s="2" t="s">
        <v>863</v>
      </c>
      <c r="B25" s="2" t="s">
        <v>249</v>
      </c>
      <c r="C25" s="2" t="s">
        <v>813</v>
      </c>
      <c r="D25" s="2" t="s">
        <v>864</v>
      </c>
      <c r="E25" s="2" t="s">
        <v>815</v>
      </c>
      <c r="F25" s="385" t="s">
        <v>356</v>
      </c>
      <c r="G25" s="385" t="s">
        <v>356</v>
      </c>
      <c r="H25" s="385">
        <v>23</v>
      </c>
      <c r="I25" s="385">
        <v>23</v>
      </c>
      <c r="J25" s="385"/>
      <c r="K25" s="385">
        <f t="shared" si="294"/>
        <v>23.000000000229999</v>
      </c>
      <c r="L25" s="385">
        <f t="shared" si="295"/>
        <v>23.000000000229999</v>
      </c>
      <c r="M25" s="385" t="s">
        <v>356</v>
      </c>
      <c r="N25" s="385" t="s">
        <v>356</v>
      </c>
      <c r="O25" s="385" t="s">
        <v>356</v>
      </c>
      <c r="P25" s="385" t="s">
        <v>356</v>
      </c>
      <c r="Q25" s="385" t="s">
        <v>356</v>
      </c>
      <c r="R25" s="385" t="s">
        <v>865</v>
      </c>
      <c r="S25" s="385" t="s">
        <v>817</v>
      </c>
      <c r="T25" s="385">
        <v>24</v>
      </c>
      <c r="U25" s="385" cm="1">
        <f t="array" ref="U25">IFERROR(INDEX('Offer Statistics'!$Q$2:$Q$350,MATCH(1,(A25='Offer Statistics'!$B$2:$B$350)*($A$11='Offer Statistics'!$K$2:$K$350),0)),"/")</f>
        <v>14</v>
      </c>
      <c r="V25" s="385" cm="1">
        <f t="array" ref="V25">IFERROR(INDEX('Offer Statistics'!$D$2:$D$350,MATCH(1,(A25='Offer Statistics'!$B$2:$B$350)*($A$11='Offer Statistics'!$K$2:$K$350),0)),"/")</f>
        <v>114</v>
      </c>
      <c r="W25" s="385" cm="1">
        <f t="array" ref="W25">IFERROR(INDEX('Offer Statistics'!$L$2:$L$350,MATCH(1,(A25='Offer Statistics'!$B$2:$B$350)*($A$11='Offer Statistics'!$K$2:$K$350),0)),"/")</f>
        <v>14</v>
      </c>
      <c r="X25" s="385">
        <f t="shared" si="319"/>
        <v>8.1428571428571423</v>
      </c>
      <c r="Y25" s="385" t="s">
        <v>817</v>
      </c>
      <c r="Z25" s="95" t="str">
        <f>入學要求!AF34</f>
        <v>/</v>
      </c>
      <c r="AA25" s="95" t="str">
        <f>入學要求!AG34</f>
        <v>/</v>
      </c>
      <c r="AB25" s="95" t="s">
        <v>2820</v>
      </c>
      <c r="AC25" s="95"/>
      <c r="AD25" s="95"/>
      <c r="AE25" s="95" t="s">
        <v>356</v>
      </c>
      <c r="AF25" s="95" t="s">
        <v>356</v>
      </c>
      <c r="AG25" s="95" t="s">
        <v>356</v>
      </c>
      <c r="AH25" s="95" t="s">
        <v>356</v>
      </c>
      <c r="AI25" s="95" t="s">
        <v>356</v>
      </c>
      <c r="AJ25" s="2" t="s">
        <v>818</v>
      </c>
      <c r="AK25" s="2" t="s">
        <v>862</v>
      </c>
      <c r="AL25" s="2" t="s">
        <v>844</v>
      </c>
      <c r="AM25" s="2" t="s">
        <v>435</v>
      </c>
      <c r="AN25" s="2" t="s">
        <v>435</v>
      </c>
      <c r="AO25" s="2" t="s">
        <v>435</v>
      </c>
      <c r="AP25" s="2" t="s">
        <v>435</v>
      </c>
      <c r="AQ25" s="2" t="s">
        <v>356</v>
      </c>
      <c r="AS25" s="2" t="s">
        <v>820</v>
      </c>
      <c r="AU25" s="2" t="s">
        <v>817</v>
      </c>
      <c r="AY25" s="51">
        <v>1</v>
      </c>
      <c r="AZ25" s="51">
        <v>1</v>
      </c>
      <c r="BA25" s="51">
        <v>1</v>
      </c>
      <c r="BB25" s="51">
        <v>1</v>
      </c>
      <c r="BC25" s="51">
        <v>1</v>
      </c>
      <c r="BD25" s="51">
        <v>1</v>
      </c>
      <c r="BE25" s="51">
        <v>1</v>
      </c>
      <c r="BF25" s="51">
        <v>1</v>
      </c>
      <c r="BG25" s="51" t="s">
        <v>863</v>
      </c>
      <c r="BH25" s="2">
        <v>4</v>
      </c>
      <c r="BI25" s="2">
        <v>3</v>
      </c>
      <c r="BJ25" s="2">
        <v>4</v>
      </c>
      <c r="BK25" s="2">
        <v>4</v>
      </c>
      <c r="BL25" s="2" t="s">
        <v>356</v>
      </c>
      <c r="BM25" s="2">
        <v>4</v>
      </c>
      <c r="BN25" s="2">
        <v>4</v>
      </c>
      <c r="BO25" s="2">
        <v>3</v>
      </c>
      <c r="BP25" s="206">
        <f t="shared" si="320"/>
        <v>4.00000000004</v>
      </c>
      <c r="BQ25" s="206">
        <f t="shared" si="321"/>
        <v>3.00000000002</v>
      </c>
      <c r="BR25" s="206">
        <f t="shared" si="322"/>
        <v>4.00000000003</v>
      </c>
      <c r="BS25" s="206">
        <f t="shared" si="323"/>
        <v>4.00000000001</v>
      </c>
      <c r="BT25" s="206">
        <f t="shared" si="324"/>
        <v>0</v>
      </c>
      <c r="BU25" s="206">
        <f t="shared" si="325"/>
        <v>4.00000000006</v>
      </c>
      <c r="BV25" s="206">
        <f t="shared" si="326"/>
        <v>4.00000000007</v>
      </c>
      <c r="BW25" s="206">
        <f t="shared" si="327"/>
        <v>3.00000000008</v>
      </c>
      <c r="BX25" s="2">
        <f t="shared" si="302"/>
        <v>4.00000000004</v>
      </c>
      <c r="BY25" s="2">
        <f t="shared" si="303"/>
        <v>3.00000000002</v>
      </c>
      <c r="BZ25" s="2">
        <f t="shared" si="304"/>
        <v>4.00000000003</v>
      </c>
      <c r="CA25" s="2">
        <f t="shared" si="305"/>
        <v>4.00000000001</v>
      </c>
      <c r="CB25" s="2">
        <f t="shared" si="306"/>
        <v>0</v>
      </c>
      <c r="CC25" s="2">
        <f t="shared" si="307"/>
        <v>4.00000000006</v>
      </c>
      <c r="CD25" s="2">
        <f t="shared" si="308"/>
        <v>4.00000000007</v>
      </c>
      <c r="CE25" s="2">
        <f t="shared" si="309"/>
        <v>3.00000000008</v>
      </c>
      <c r="CF25" s="2" t="b">
        <v>1</v>
      </c>
      <c r="CG25" s="2" t="b">
        <v>1</v>
      </c>
      <c r="CH25" s="2" t="b">
        <v>1</v>
      </c>
      <c r="CI25" s="2" t="b">
        <v>1</v>
      </c>
      <c r="CJ25" s="2" t="b">
        <v>0</v>
      </c>
      <c r="CK25" s="2" t="b">
        <v>1</v>
      </c>
      <c r="CL25" s="2" t="b">
        <v>1</v>
      </c>
      <c r="CM25" s="2" t="b">
        <v>0</v>
      </c>
      <c r="CN25" s="51">
        <v>1</v>
      </c>
      <c r="CO25" s="51">
        <v>1</v>
      </c>
      <c r="CP25" s="51">
        <v>1</v>
      </c>
      <c r="CQ25" s="51">
        <v>1</v>
      </c>
      <c r="CR25" s="51">
        <v>1</v>
      </c>
      <c r="CS25" s="51">
        <v>1</v>
      </c>
      <c r="CT25" s="51">
        <v>1</v>
      </c>
      <c r="CU25" s="51">
        <v>1</v>
      </c>
      <c r="CV25" s="51" t="s">
        <v>863</v>
      </c>
      <c r="CW25" s="2">
        <v>4</v>
      </c>
      <c r="CX25" s="2">
        <v>4</v>
      </c>
      <c r="CY25" s="2">
        <v>4</v>
      </c>
      <c r="CZ25" s="2">
        <v>4</v>
      </c>
      <c r="DA25" s="2" t="s">
        <v>356</v>
      </c>
      <c r="DB25" s="2">
        <v>4</v>
      </c>
      <c r="DC25" s="2">
        <v>3</v>
      </c>
      <c r="DD25" s="2" t="s">
        <v>356</v>
      </c>
      <c r="DE25" s="206">
        <f t="shared" si="328"/>
        <v>4.00000000004</v>
      </c>
      <c r="DF25" s="206">
        <f t="shared" si="329"/>
        <v>4.00000000002</v>
      </c>
      <c r="DG25" s="206">
        <f t="shared" si="330"/>
        <v>4.00000000003</v>
      </c>
      <c r="DH25" s="206">
        <f t="shared" si="331"/>
        <v>4.00000000001</v>
      </c>
      <c r="DI25" s="206">
        <f t="shared" si="332"/>
        <v>0</v>
      </c>
      <c r="DJ25" s="206">
        <f t="shared" si="333"/>
        <v>4.00000000006</v>
      </c>
      <c r="DK25" s="206">
        <f t="shared" si="334"/>
        <v>3.00000000007</v>
      </c>
      <c r="DL25" s="206">
        <f t="shared" si="335"/>
        <v>0</v>
      </c>
      <c r="DM25" s="2">
        <f t="shared" si="311"/>
        <v>4.00000000004</v>
      </c>
      <c r="DN25" s="2">
        <f t="shared" si="312"/>
        <v>4.00000000002</v>
      </c>
      <c r="DO25" s="2">
        <f t="shared" si="313"/>
        <v>4.00000000003</v>
      </c>
      <c r="DP25" s="2">
        <f t="shared" si="314"/>
        <v>4.00000000001</v>
      </c>
      <c r="DQ25" s="2">
        <f t="shared" si="315"/>
        <v>0</v>
      </c>
      <c r="DR25" s="2">
        <f t="shared" si="316"/>
        <v>4.00000000006</v>
      </c>
      <c r="DS25" s="2">
        <f t="shared" si="317"/>
        <v>3.00000000007</v>
      </c>
      <c r="DT25" s="2">
        <f t="shared" si="318"/>
        <v>0</v>
      </c>
      <c r="DU25" s="2" t="b">
        <v>1</v>
      </c>
      <c r="DV25" s="2" t="b">
        <v>1</v>
      </c>
      <c r="DW25" s="2" t="b">
        <v>1</v>
      </c>
      <c r="DX25" s="2" t="b">
        <v>1</v>
      </c>
      <c r="DY25" s="2" t="b">
        <v>0</v>
      </c>
      <c r="DZ25" s="2" t="b">
        <v>1</v>
      </c>
      <c r="EA25" s="2" t="b">
        <v>1</v>
      </c>
      <c r="EB25" s="2" t="b">
        <v>0</v>
      </c>
      <c r="EC25" s="2" t="s">
        <v>435</v>
      </c>
      <c r="ED25" s="2" t="s">
        <v>435</v>
      </c>
      <c r="EE25" s="2" t="s">
        <v>435</v>
      </c>
      <c r="EF25" s="2" t="s">
        <v>435</v>
      </c>
      <c r="EG25" s="2" t="s">
        <v>435</v>
      </c>
      <c r="EH25" s="2" t="s">
        <v>435</v>
      </c>
      <c r="EI25" s="2" t="s">
        <v>435</v>
      </c>
      <c r="EJ25" s="2" t="s">
        <v>435</v>
      </c>
      <c r="EK25" s="2" t="s">
        <v>435</v>
      </c>
      <c r="EL25" s="2" t="s">
        <v>435</v>
      </c>
      <c r="EM25" s="2" t="s">
        <v>435</v>
      </c>
      <c r="EN25" s="2" t="s">
        <v>435</v>
      </c>
      <c r="EO25" s="2" t="s">
        <v>435</v>
      </c>
      <c r="EP25" s="2" t="s">
        <v>435</v>
      </c>
      <c r="EQ25" s="2" t="s">
        <v>435</v>
      </c>
      <c r="ER25" s="2" t="s">
        <v>435</v>
      </c>
      <c r="FA25" s="2" t="s">
        <v>435</v>
      </c>
      <c r="FB25" s="2" t="s">
        <v>435</v>
      </c>
      <c r="FC25" s="2" t="s">
        <v>435</v>
      </c>
      <c r="FD25" s="2" t="s">
        <v>435</v>
      </c>
      <c r="FE25" s="2" t="s">
        <v>435</v>
      </c>
      <c r="FF25" s="2" t="s">
        <v>435</v>
      </c>
      <c r="FG25" s="2" t="s">
        <v>435</v>
      </c>
      <c r="FH25" s="2" t="s">
        <v>435</v>
      </c>
      <c r="FI25" s="2" t="s">
        <v>435</v>
      </c>
      <c r="FJ25" s="2" t="s">
        <v>435</v>
      </c>
      <c r="FK25" s="2" t="s">
        <v>435</v>
      </c>
      <c r="FL25" s="2" t="s">
        <v>435</v>
      </c>
      <c r="FM25" s="2" t="s">
        <v>435</v>
      </c>
      <c r="FN25" s="2" t="s">
        <v>435</v>
      </c>
      <c r="FO25" s="2" t="s">
        <v>435</v>
      </c>
      <c r="FP25" s="2" t="s">
        <v>435</v>
      </c>
    </row>
    <row r="26" spans="1:172">
      <c r="A26" s="2" t="s">
        <v>866</v>
      </c>
      <c r="B26" s="2" t="s">
        <v>249</v>
      </c>
      <c r="C26" s="2" t="s">
        <v>813</v>
      </c>
      <c r="D26" s="2" t="s">
        <v>867</v>
      </c>
      <c r="E26" s="2" t="s">
        <v>815</v>
      </c>
      <c r="F26" s="385" t="s">
        <v>356</v>
      </c>
      <c r="G26" s="385" t="s">
        <v>356</v>
      </c>
      <c r="H26" s="385">
        <v>23</v>
      </c>
      <c r="I26" s="385">
        <v>22</v>
      </c>
      <c r="J26" s="385"/>
      <c r="K26" s="385">
        <f t="shared" si="294"/>
        <v>23.000000000229999</v>
      </c>
      <c r="L26" s="385">
        <f t="shared" si="295"/>
        <v>22.000000000229999</v>
      </c>
      <c r="M26" s="385" t="s">
        <v>356</v>
      </c>
      <c r="N26" s="385" t="s">
        <v>356</v>
      </c>
      <c r="O26" s="385" t="s">
        <v>356</v>
      </c>
      <c r="P26" s="385" t="s">
        <v>356</v>
      </c>
      <c r="Q26" s="385" t="s">
        <v>356</v>
      </c>
      <c r="R26" s="385" t="s">
        <v>868</v>
      </c>
      <c r="S26" s="385" t="s">
        <v>817</v>
      </c>
      <c r="T26" s="385">
        <v>24</v>
      </c>
      <c r="U26" s="385" cm="1">
        <f t="array" ref="U26">IFERROR(INDEX('Offer Statistics'!$Q$2:$Q$350,MATCH(1,(A26='Offer Statistics'!$B$2:$B$350)*($A$11='Offer Statistics'!$K$2:$K$350),0)),"/")</f>
        <v>19</v>
      </c>
      <c r="V26" s="385" cm="1">
        <f t="array" ref="V26">IFERROR(INDEX('Offer Statistics'!$D$2:$D$350,MATCH(1,(A26='Offer Statistics'!$B$2:$B$350)*($A$11='Offer Statistics'!$K$2:$K$350),0)),"/")</f>
        <v>92</v>
      </c>
      <c r="W26" s="385" cm="1">
        <f t="array" ref="W26">IFERROR(INDEX('Offer Statistics'!$L$2:$L$350,MATCH(1,(A26='Offer Statistics'!$B$2:$B$350)*($A$11='Offer Statistics'!$K$2:$K$350),0)),"/")</f>
        <v>16</v>
      </c>
      <c r="X26" s="385">
        <f t="shared" si="319"/>
        <v>5.75</v>
      </c>
      <c r="Y26" s="385" t="s">
        <v>817</v>
      </c>
      <c r="Z26" s="95" t="str">
        <f>入學要求!AF35</f>
        <v>/</v>
      </c>
      <c r="AA26" s="95" t="str">
        <f>入學要求!AG35</f>
        <v>/</v>
      </c>
      <c r="AB26" s="95" t="s">
        <v>2820</v>
      </c>
      <c r="AC26" s="95"/>
      <c r="AD26" s="95"/>
      <c r="AE26" s="95" t="s">
        <v>356</v>
      </c>
      <c r="AF26" s="95" t="s">
        <v>356</v>
      </c>
      <c r="AG26" s="95" t="s">
        <v>356</v>
      </c>
      <c r="AH26" s="95" t="s">
        <v>356</v>
      </c>
      <c r="AI26" s="95" t="s">
        <v>356</v>
      </c>
      <c r="AJ26" s="2" t="s">
        <v>818</v>
      </c>
      <c r="AK26" s="2" t="s">
        <v>862</v>
      </c>
      <c r="AL26" s="2" t="s">
        <v>844</v>
      </c>
      <c r="AM26" s="2" t="s">
        <v>435</v>
      </c>
      <c r="AN26" s="2" t="s">
        <v>435</v>
      </c>
      <c r="AO26" s="2" t="s">
        <v>435</v>
      </c>
      <c r="AP26" s="2" t="s">
        <v>435</v>
      </c>
      <c r="AQ26" s="2" t="s">
        <v>356</v>
      </c>
      <c r="AS26" s="2" t="s">
        <v>820</v>
      </c>
      <c r="AU26" s="2" t="s">
        <v>817</v>
      </c>
      <c r="AY26" s="51">
        <v>1</v>
      </c>
      <c r="AZ26" s="51">
        <v>1</v>
      </c>
      <c r="BA26" s="51">
        <v>1</v>
      </c>
      <c r="BB26" s="51">
        <v>1</v>
      </c>
      <c r="BC26" s="51">
        <v>1</v>
      </c>
      <c r="BD26" s="51">
        <v>1</v>
      </c>
      <c r="BE26" s="51">
        <v>1</v>
      </c>
      <c r="BF26" s="51">
        <v>1</v>
      </c>
      <c r="BG26" s="51" t="s">
        <v>866</v>
      </c>
      <c r="BH26" s="2">
        <v>3</v>
      </c>
      <c r="BI26" s="2">
        <v>3</v>
      </c>
      <c r="BJ26" s="2">
        <v>4</v>
      </c>
      <c r="BK26" s="2">
        <v>3</v>
      </c>
      <c r="BL26" s="2" t="s">
        <v>356</v>
      </c>
      <c r="BM26" s="2">
        <v>5</v>
      </c>
      <c r="BN26" s="2">
        <v>4</v>
      </c>
      <c r="BO26" s="2" t="s">
        <v>356</v>
      </c>
      <c r="BP26" s="206">
        <f t="shared" si="320"/>
        <v>3.00000000004</v>
      </c>
      <c r="BQ26" s="206">
        <f t="shared" si="321"/>
        <v>3.00000000002</v>
      </c>
      <c r="BR26" s="206">
        <f t="shared" si="322"/>
        <v>4.00000000003</v>
      </c>
      <c r="BS26" s="206">
        <f t="shared" si="323"/>
        <v>3.00000000001</v>
      </c>
      <c r="BT26" s="206">
        <f t="shared" si="324"/>
        <v>0</v>
      </c>
      <c r="BU26" s="206">
        <f t="shared" si="325"/>
        <v>5.00000000006</v>
      </c>
      <c r="BV26" s="206">
        <f t="shared" si="326"/>
        <v>4.00000000007</v>
      </c>
      <c r="BW26" s="206">
        <f t="shared" si="327"/>
        <v>0</v>
      </c>
      <c r="BX26" s="2">
        <f t="shared" si="302"/>
        <v>3.00000000004</v>
      </c>
      <c r="BY26" s="2">
        <f t="shared" si="303"/>
        <v>3.00000000002</v>
      </c>
      <c r="BZ26" s="2">
        <f t="shared" si="304"/>
        <v>4.00000000003</v>
      </c>
      <c r="CA26" s="2">
        <f t="shared" si="305"/>
        <v>3.00000000001</v>
      </c>
      <c r="CB26" s="2">
        <f t="shared" si="306"/>
        <v>0</v>
      </c>
      <c r="CC26" s="2">
        <f t="shared" si="307"/>
        <v>5.00000000006</v>
      </c>
      <c r="CD26" s="2">
        <f t="shared" si="308"/>
        <v>4.00000000007</v>
      </c>
      <c r="CE26" s="2">
        <f t="shared" si="309"/>
        <v>0</v>
      </c>
      <c r="CF26" s="2" t="b">
        <v>1</v>
      </c>
      <c r="CG26" s="2" t="b">
        <v>1</v>
      </c>
      <c r="CH26" s="2" t="b">
        <v>1</v>
      </c>
      <c r="CI26" s="2" t="b">
        <v>1</v>
      </c>
      <c r="CJ26" s="2" t="b">
        <v>0</v>
      </c>
      <c r="CK26" s="2" t="b">
        <v>1</v>
      </c>
      <c r="CL26" s="2" t="b">
        <v>1</v>
      </c>
      <c r="CM26" s="2" t="b">
        <v>0</v>
      </c>
      <c r="CN26" s="51">
        <v>1</v>
      </c>
      <c r="CO26" s="51">
        <v>1</v>
      </c>
      <c r="CP26" s="51">
        <v>1</v>
      </c>
      <c r="CQ26" s="51">
        <v>1</v>
      </c>
      <c r="CR26" s="51">
        <v>1</v>
      </c>
      <c r="CS26" s="51">
        <v>1</v>
      </c>
      <c r="CT26" s="51">
        <v>1</v>
      </c>
      <c r="CU26" s="51">
        <v>1</v>
      </c>
      <c r="CV26" s="51" t="s">
        <v>866</v>
      </c>
      <c r="CW26" s="2">
        <v>4</v>
      </c>
      <c r="CX26" s="2">
        <v>3</v>
      </c>
      <c r="CY26" s="2">
        <v>3</v>
      </c>
      <c r="CZ26" s="2">
        <v>4</v>
      </c>
      <c r="DA26" s="2" t="s">
        <v>356</v>
      </c>
      <c r="DB26" s="2">
        <v>5</v>
      </c>
      <c r="DC26" s="2">
        <v>4</v>
      </c>
      <c r="DD26" s="2" t="s">
        <v>356</v>
      </c>
      <c r="DE26" s="206">
        <f t="shared" si="328"/>
        <v>4.00000000004</v>
      </c>
      <c r="DF26" s="206">
        <f t="shared" si="329"/>
        <v>3.00000000002</v>
      </c>
      <c r="DG26" s="206">
        <f t="shared" si="330"/>
        <v>3.00000000003</v>
      </c>
      <c r="DH26" s="206">
        <f t="shared" si="331"/>
        <v>4.00000000001</v>
      </c>
      <c r="DI26" s="206">
        <f t="shared" si="332"/>
        <v>0</v>
      </c>
      <c r="DJ26" s="206">
        <f t="shared" si="333"/>
        <v>5.00000000006</v>
      </c>
      <c r="DK26" s="206">
        <f t="shared" si="334"/>
        <v>4.00000000007</v>
      </c>
      <c r="DL26" s="206">
        <f t="shared" si="335"/>
        <v>0</v>
      </c>
      <c r="DM26" s="2">
        <f t="shared" si="311"/>
        <v>4.00000000004</v>
      </c>
      <c r="DN26" s="2">
        <f t="shared" si="312"/>
        <v>3.00000000002</v>
      </c>
      <c r="DO26" s="2">
        <f t="shared" si="313"/>
        <v>3.00000000003</v>
      </c>
      <c r="DP26" s="2">
        <f t="shared" si="314"/>
        <v>4.00000000001</v>
      </c>
      <c r="DQ26" s="2">
        <f t="shared" si="315"/>
        <v>0</v>
      </c>
      <c r="DR26" s="2">
        <f t="shared" si="316"/>
        <v>5.00000000006</v>
      </c>
      <c r="DS26" s="2">
        <f t="shared" si="317"/>
        <v>4.00000000007</v>
      </c>
      <c r="DT26" s="2">
        <f t="shared" si="318"/>
        <v>0</v>
      </c>
      <c r="DU26" s="2" t="b">
        <v>1</v>
      </c>
      <c r="DV26" s="2" t="b">
        <v>1</v>
      </c>
      <c r="DW26" s="2" t="b">
        <v>1</v>
      </c>
      <c r="DX26" s="2" t="b">
        <v>1</v>
      </c>
      <c r="DY26" s="2" t="b">
        <v>0</v>
      </c>
      <c r="DZ26" s="2" t="b">
        <v>1</v>
      </c>
      <c r="EA26" s="2" t="b">
        <v>1</v>
      </c>
      <c r="EB26" s="2" t="b">
        <v>0</v>
      </c>
      <c r="EC26" s="2" t="s">
        <v>435</v>
      </c>
      <c r="ED26" s="2" t="s">
        <v>435</v>
      </c>
      <c r="EE26" s="2" t="s">
        <v>435</v>
      </c>
      <c r="EF26" s="2" t="s">
        <v>435</v>
      </c>
      <c r="EG26" s="2" t="s">
        <v>435</v>
      </c>
      <c r="EH26" s="2" t="s">
        <v>435</v>
      </c>
      <c r="EI26" s="2" t="s">
        <v>435</v>
      </c>
      <c r="EJ26" s="2" t="s">
        <v>435</v>
      </c>
      <c r="EK26" s="2" t="s">
        <v>435</v>
      </c>
      <c r="EL26" s="2" t="s">
        <v>435</v>
      </c>
      <c r="EM26" s="2" t="s">
        <v>435</v>
      </c>
      <c r="EN26" s="2" t="s">
        <v>435</v>
      </c>
      <c r="EO26" s="2" t="s">
        <v>435</v>
      </c>
      <c r="EP26" s="2" t="s">
        <v>435</v>
      </c>
      <c r="EQ26" s="2" t="s">
        <v>435</v>
      </c>
      <c r="ER26" s="2" t="s">
        <v>435</v>
      </c>
      <c r="FA26" s="2" t="s">
        <v>435</v>
      </c>
      <c r="FB26" s="2" t="s">
        <v>435</v>
      </c>
      <c r="FC26" s="2" t="s">
        <v>435</v>
      </c>
      <c r="FD26" s="2" t="s">
        <v>435</v>
      </c>
      <c r="FE26" s="2" t="s">
        <v>435</v>
      </c>
      <c r="FF26" s="2" t="s">
        <v>435</v>
      </c>
      <c r="FG26" s="2" t="s">
        <v>435</v>
      </c>
      <c r="FH26" s="2" t="s">
        <v>435</v>
      </c>
      <c r="FI26" s="2" t="s">
        <v>435</v>
      </c>
      <c r="FJ26" s="2" t="s">
        <v>435</v>
      </c>
      <c r="FK26" s="2" t="s">
        <v>435</v>
      </c>
      <c r="FL26" s="2" t="s">
        <v>435</v>
      </c>
      <c r="FM26" s="2" t="s">
        <v>435</v>
      </c>
      <c r="FN26" s="2" t="s">
        <v>435</v>
      </c>
      <c r="FO26" s="2" t="s">
        <v>435</v>
      </c>
      <c r="FP26" s="2" t="s">
        <v>435</v>
      </c>
    </row>
    <row r="27" spans="1:172" s="373" customFormat="1">
      <c r="A27" s="373" t="s">
        <v>869</v>
      </c>
      <c r="B27" s="373" t="s">
        <v>249</v>
      </c>
      <c r="C27" s="373" t="s">
        <v>870</v>
      </c>
      <c r="D27" s="373" t="s">
        <v>871</v>
      </c>
      <c r="E27" s="373" t="s">
        <v>815</v>
      </c>
      <c r="F27" s="385" t="s">
        <v>356</v>
      </c>
      <c r="G27" s="385" t="s">
        <v>356</v>
      </c>
      <c r="H27" s="385">
        <v>29</v>
      </c>
      <c r="I27" s="385">
        <v>28</v>
      </c>
      <c r="J27" s="385"/>
      <c r="K27" s="385">
        <f t="shared" si="294"/>
        <v>29.000000000250001</v>
      </c>
      <c r="L27" s="385">
        <f t="shared" si="295"/>
        <v>28.000000000250001</v>
      </c>
      <c r="M27" s="385" t="s">
        <v>356</v>
      </c>
      <c r="N27" s="385" t="s">
        <v>356</v>
      </c>
      <c r="O27" s="385" t="s">
        <v>874</v>
      </c>
      <c r="P27" s="385" t="s">
        <v>356</v>
      </c>
      <c r="Q27" s="385" t="s">
        <v>356</v>
      </c>
      <c r="R27" s="385" t="s">
        <v>873</v>
      </c>
      <c r="S27" s="385" t="s">
        <v>817</v>
      </c>
      <c r="T27" s="385">
        <v>24</v>
      </c>
      <c r="U27" s="385" cm="1">
        <f t="array" ref="U27">IFERROR(INDEX('Offer Statistics'!$Q$2:$Q$350,MATCH(1,(A27='Offer Statistics'!$B$2:$B$350)*($A$11='Offer Statistics'!$K$2:$K$350),0)),"/")</f>
        <v>28</v>
      </c>
      <c r="V27" s="385" cm="1">
        <f t="array" ref="V27">IFERROR(INDEX('Offer Statistics'!$D$2:$D$350,MATCH(1,(A27='Offer Statistics'!$B$2:$B$350)*($A$11='Offer Statistics'!$K$2:$K$350),0)),"/")</f>
        <v>425</v>
      </c>
      <c r="W27" s="385" cm="1">
        <f t="array" ref="W27">IFERROR(INDEX('Offer Statistics'!$L$2:$L$350,MATCH(1,(A27='Offer Statistics'!$B$2:$B$350)*($A$11='Offer Statistics'!$K$2:$K$350),0)),"/")</f>
        <v>28</v>
      </c>
      <c r="X27" s="385">
        <f t="shared" si="319"/>
        <v>15.178571428571429</v>
      </c>
      <c r="Y27" s="385" t="s">
        <v>817</v>
      </c>
      <c r="Z27" s="373" t="str">
        <f>入學要求!AF36</f>
        <v>/</v>
      </c>
      <c r="AA27" s="373" t="str">
        <f>入學要求!AG36</f>
        <v>/</v>
      </c>
      <c r="AB27" s="374" t="s">
        <v>889</v>
      </c>
      <c r="AC27" s="373" t="s">
        <v>2888</v>
      </c>
      <c r="AE27" s="374" t="s">
        <v>890</v>
      </c>
      <c r="AF27" s="373" t="s">
        <v>356</v>
      </c>
      <c r="AG27" s="373" t="s">
        <v>874</v>
      </c>
      <c r="AH27" s="373" t="s">
        <v>356</v>
      </c>
      <c r="AI27" s="373" t="s">
        <v>356</v>
      </c>
      <c r="AJ27" s="373" t="s">
        <v>818</v>
      </c>
      <c r="AK27" s="373" t="s">
        <v>875</v>
      </c>
      <c r="AL27" s="373" t="s">
        <v>876</v>
      </c>
      <c r="AM27" s="373" t="s">
        <v>435</v>
      </c>
      <c r="AN27" s="373" t="s">
        <v>435</v>
      </c>
      <c r="AO27" s="373" t="s">
        <v>435</v>
      </c>
      <c r="AP27" s="373" t="s">
        <v>435</v>
      </c>
      <c r="AQ27" s="373" t="s">
        <v>356</v>
      </c>
      <c r="AS27" s="373" t="s">
        <v>820</v>
      </c>
      <c r="AU27" s="373" t="s">
        <v>817</v>
      </c>
      <c r="AY27" s="373">
        <v>1</v>
      </c>
      <c r="AZ27" s="373">
        <v>2</v>
      </c>
      <c r="BA27" s="373">
        <v>1</v>
      </c>
      <c r="BB27" s="373">
        <v>1</v>
      </c>
      <c r="BC27" s="373">
        <v>1</v>
      </c>
      <c r="BD27" s="373">
        <v>1</v>
      </c>
      <c r="BE27" s="373">
        <v>1</v>
      </c>
      <c r="BF27" s="373">
        <v>1</v>
      </c>
      <c r="BG27" s="373" t="s">
        <v>869</v>
      </c>
      <c r="BH27" s="373">
        <v>3</v>
      </c>
      <c r="BI27" s="373">
        <v>4</v>
      </c>
      <c r="BJ27" s="373">
        <v>4</v>
      </c>
      <c r="BK27" s="373">
        <v>4</v>
      </c>
      <c r="BL27" s="373" t="s">
        <v>356</v>
      </c>
      <c r="BM27" s="373">
        <v>5</v>
      </c>
      <c r="BN27" s="373">
        <v>4</v>
      </c>
      <c r="BO27" s="373" t="s">
        <v>356</v>
      </c>
      <c r="BP27" s="206">
        <f t="shared" si="320"/>
        <v>3.00000000004</v>
      </c>
      <c r="BQ27" s="206">
        <f t="shared" si="321"/>
        <v>4.00000000002</v>
      </c>
      <c r="BR27" s="206">
        <f t="shared" si="322"/>
        <v>4.00000000003</v>
      </c>
      <c r="BS27" s="206">
        <f t="shared" si="323"/>
        <v>4.00000000001</v>
      </c>
      <c r="BT27" s="206">
        <f t="shared" si="324"/>
        <v>0</v>
      </c>
      <c r="BU27" s="206">
        <f t="shared" si="325"/>
        <v>5.00000000006</v>
      </c>
      <c r="BV27" s="206">
        <f t="shared" si="326"/>
        <v>4.00000000007</v>
      </c>
      <c r="BW27" s="206">
        <f t="shared" si="327"/>
        <v>0</v>
      </c>
      <c r="BX27" s="373">
        <f t="shared" si="302"/>
        <v>3.00000000004</v>
      </c>
      <c r="BY27" s="373">
        <f t="shared" si="303"/>
        <v>8.00000000004</v>
      </c>
      <c r="BZ27" s="373">
        <f t="shared" si="304"/>
        <v>4.00000000003</v>
      </c>
      <c r="CA27" s="373">
        <f t="shared" si="305"/>
        <v>4.00000000001</v>
      </c>
      <c r="CB27" s="373">
        <f t="shared" si="306"/>
        <v>0</v>
      </c>
      <c r="CC27" s="373">
        <f t="shared" si="307"/>
        <v>5.00000000006</v>
      </c>
      <c r="CD27" s="373">
        <f t="shared" si="308"/>
        <v>4.00000000007</v>
      </c>
      <c r="CE27" s="373">
        <f t="shared" si="309"/>
        <v>0</v>
      </c>
      <c r="CF27" s="373" t="b">
        <v>1</v>
      </c>
      <c r="CG27" s="373" t="b">
        <v>1</v>
      </c>
      <c r="CH27" s="373" t="b">
        <v>1</v>
      </c>
      <c r="CI27" s="373" t="b">
        <v>1</v>
      </c>
      <c r="CJ27" s="373" t="b">
        <v>0</v>
      </c>
      <c r="CK27" s="373" t="b">
        <v>1</v>
      </c>
      <c r="CL27" s="373" t="b">
        <v>1</v>
      </c>
      <c r="CM27" s="373" t="b">
        <v>0</v>
      </c>
      <c r="CN27" s="373">
        <v>1</v>
      </c>
      <c r="CO27" s="373">
        <v>2</v>
      </c>
      <c r="CP27" s="373">
        <v>1</v>
      </c>
      <c r="CQ27" s="373">
        <v>1</v>
      </c>
      <c r="CR27" s="373">
        <v>1</v>
      </c>
      <c r="CS27" s="373">
        <v>1</v>
      </c>
      <c r="CT27" s="373">
        <v>1</v>
      </c>
      <c r="CU27" s="373">
        <v>1</v>
      </c>
      <c r="CV27" s="373" t="s">
        <v>869</v>
      </c>
      <c r="CW27" s="373">
        <v>4</v>
      </c>
      <c r="CX27" s="373">
        <v>4</v>
      </c>
      <c r="CY27" s="373">
        <v>3</v>
      </c>
      <c r="CZ27" s="373">
        <v>4</v>
      </c>
      <c r="DA27" s="373" t="s">
        <v>356</v>
      </c>
      <c r="DB27" s="373">
        <v>6</v>
      </c>
      <c r="DC27" s="373">
        <v>4</v>
      </c>
      <c r="DD27" s="373" t="s">
        <v>356</v>
      </c>
      <c r="DE27" s="206">
        <f t="shared" si="328"/>
        <v>4.00000000004</v>
      </c>
      <c r="DF27" s="206">
        <f t="shared" si="329"/>
        <v>4.00000000002</v>
      </c>
      <c r="DG27" s="206">
        <f t="shared" si="330"/>
        <v>3.00000000003</v>
      </c>
      <c r="DH27" s="206">
        <f t="shared" si="331"/>
        <v>4.00000000001</v>
      </c>
      <c r="DI27" s="206">
        <f t="shared" si="332"/>
        <v>0</v>
      </c>
      <c r="DJ27" s="206">
        <f t="shared" si="333"/>
        <v>6.00000000006</v>
      </c>
      <c r="DK27" s="206">
        <f t="shared" si="334"/>
        <v>4.00000000007</v>
      </c>
      <c r="DL27" s="206">
        <f t="shared" si="335"/>
        <v>0</v>
      </c>
      <c r="DM27" s="373">
        <f t="shared" si="311"/>
        <v>4.00000000004</v>
      </c>
      <c r="DN27" s="373">
        <f t="shared" si="312"/>
        <v>8.00000000004</v>
      </c>
      <c r="DO27" s="373">
        <f t="shared" si="313"/>
        <v>3.00000000003</v>
      </c>
      <c r="DP27" s="373">
        <f t="shared" si="314"/>
        <v>4.00000000001</v>
      </c>
      <c r="DQ27" s="373">
        <f t="shared" si="315"/>
        <v>0</v>
      </c>
      <c r="DR27" s="373">
        <f t="shared" si="316"/>
        <v>6.00000000006</v>
      </c>
      <c r="DS27" s="373">
        <f t="shared" si="317"/>
        <v>4.00000000007</v>
      </c>
      <c r="DT27" s="373">
        <f t="shared" si="318"/>
        <v>0</v>
      </c>
      <c r="DU27" s="373" t="b">
        <v>1</v>
      </c>
      <c r="DV27" s="373" t="b">
        <v>1</v>
      </c>
      <c r="DW27" s="373" t="b">
        <v>1</v>
      </c>
      <c r="DX27" s="373" t="b">
        <v>1</v>
      </c>
      <c r="DY27" s="373" t="b">
        <v>0</v>
      </c>
      <c r="DZ27" s="373" t="b">
        <v>1</v>
      </c>
      <c r="EA27" s="373" t="b">
        <v>1</v>
      </c>
      <c r="EB27" s="373" t="b">
        <v>0</v>
      </c>
      <c r="EC27" s="373" t="s">
        <v>435</v>
      </c>
      <c r="ED27" s="373" t="s">
        <v>435</v>
      </c>
      <c r="EE27" s="373" t="s">
        <v>435</v>
      </c>
      <c r="EF27" s="373" t="s">
        <v>435</v>
      </c>
      <c r="EG27" s="373" t="s">
        <v>435</v>
      </c>
      <c r="EH27" s="373" t="s">
        <v>435</v>
      </c>
      <c r="EI27" s="373" t="s">
        <v>435</v>
      </c>
      <c r="EJ27" s="373" t="s">
        <v>435</v>
      </c>
      <c r="EK27" s="373" t="s">
        <v>435</v>
      </c>
      <c r="EL27" s="373" t="s">
        <v>435</v>
      </c>
      <c r="EM27" s="373" t="s">
        <v>435</v>
      </c>
      <c r="EN27" s="373" t="s">
        <v>435</v>
      </c>
      <c r="EO27" s="373" t="s">
        <v>435</v>
      </c>
      <c r="EP27" s="373" t="s">
        <v>435</v>
      </c>
      <c r="EQ27" s="373" t="s">
        <v>435</v>
      </c>
      <c r="ER27" s="373" t="s">
        <v>435</v>
      </c>
      <c r="FA27" s="373" t="s">
        <v>435</v>
      </c>
      <c r="FB27" s="373" t="s">
        <v>435</v>
      </c>
      <c r="FC27" s="373" t="s">
        <v>435</v>
      </c>
      <c r="FD27" s="373" t="s">
        <v>435</v>
      </c>
      <c r="FE27" s="373" t="s">
        <v>435</v>
      </c>
      <c r="FF27" s="373" t="s">
        <v>435</v>
      </c>
      <c r="FG27" s="373" t="s">
        <v>435</v>
      </c>
      <c r="FH27" s="373" t="s">
        <v>435</v>
      </c>
      <c r="FI27" s="373" t="s">
        <v>435</v>
      </c>
      <c r="FJ27" s="373" t="s">
        <v>435</v>
      </c>
      <c r="FK27" s="373" t="s">
        <v>435</v>
      </c>
      <c r="FL27" s="373" t="s">
        <v>435</v>
      </c>
      <c r="FM27" s="373" t="s">
        <v>435</v>
      </c>
      <c r="FN27" s="373" t="s">
        <v>435</v>
      </c>
      <c r="FO27" s="373" t="s">
        <v>435</v>
      </c>
      <c r="FP27" s="373" t="s">
        <v>435</v>
      </c>
    </row>
    <row r="28" spans="1:172" s="373" customFormat="1">
      <c r="A28" s="373" t="s">
        <v>877</v>
      </c>
      <c r="B28" s="373" t="s">
        <v>249</v>
      </c>
      <c r="C28" s="373" t="s">
        <v>870</v>
      </c>
      <c r="D28" s="373" t="s">
        <v>878</v>
      </c>
      <c r="E28" s="373" t="s">
        <v>815</v>
      </c>
      <c r="F28" s="385" t="s">
        <v>356</v>
      </c>
      <c r="G28" s="385" t="s">
        <v>356</v>
      </c>
      <c r="H28" s="385">
        <v>29</v>
      </c>
      <c r="I28" s="385">
        <v>28</v>
      </c>
      <c r="J28" s="385"/>
      <c r="K28" s="385">
        <f t="shared" si="294"/>
        <v>29.000000000250001</v>
      </c>
      <c r="L28" s="385">
        <f t="shared" si="295"/>
        <v>28.000000000250001</v>
      </c>
      <c r="M28" s="385" t="s">
        <v>356</v>
      </c>
      <c r="N28" s="385" t="s">
        <v>356</v>
      </c>
      <c r="O28" s="385" t="s">
        <v>874</v>
      </c>
      <c r="P28" s="385" t="s">
        <v>356</v>
      </c>
      <c r="Q28" s="385" t="s">
        <v>356</v>
      </c>
      <c r="R28" s="385" t="s">
        <v>879</v>
      </c>
      <c r="S28" s="385" t="s">
        <v>817</v>
      </c>
      <c r="T28" s="385">
        <v>20</v>
      </c>
      <c r="U28" s="385" cm="1">
        <f t="array" ref="U28">IFERROR(INDEX('Offer Statistics'!$Q$2:$Q$350,MATCH(1,(A28='Offer Statistics'!$B$2:$B$350)*($A$11='Offer Statistics'!$K$2:$K$350),0)),"/")</f>
        <v>19</v>
      </c>
      <c r="V28" s="385" cm="1">
        <f t="array" ref="V28">IFERROR(INDEX('Offer Statistics'!$D$2:$D$350,MATCH(1,(A28='Offer Statistics'!$B$2:$B$350)*($A$11='Offer Statistics'!$K$2:$K$350),0)),"/")</f>
        <v>279</v>
      </c>
      <c r="W28" s="385" cm="1">
        <f t="array" ref="W28">IFERROR(INDEX('Offer Statistics'!$L$2:$L$350,MATCH(1,(A28='Offer Statistics'!$B$2:$B$350)*($A$11='Offer Statistics'!$K$2:$K$350),0)),"/")</f>
        <v>19</v>
      </c>
      <c r="X28" s="385">
        <f t="shared" si="319"/>
        <v>14.684210526315789</v>
      </c>
      <c r="Y28" s="385" t="s">
        <v>817</v>
      </c>
      <c r="Z28" s="373" t="str">
        <f>入學要求!AF37</f>
        <v>/</v>
      </c>
      <c r="AA28" s="373" t="str">
        <f>入學要求!AG37</f>
        <v>/</v>
      </c>
      <c r="AB28" s="374" t="s">
        <v>889</v>
      </c>
      <c r="AC28" s="373" t="s">
        <v>2888</v>
      </c>
      <c r="AE28" s="374" t="s">
        <v>890</v>
      </c>
      <c r="AF28" s="373" t="s">
        <v>356</v>
      </c>
      <c r="AG28" s="373" t="s">
        <v>874</v>
      </c>
      <c r="AH28" s="373" t="s">
        <v>356</v>
      </c>
      <c r="AI28" s="373" t="s">
        <v>356</v>
      </c>
      <c r="AJ28" s="373" t="s">
        <v>818</v>
      </c>
      <c r="AK28" s="373" t="s">
        <v>875</v>
      </c>
      <c r="AL28" s="373" t="s">
        <v>876</v>
      </c>
      <c r="AM28" s="373" t="s">
        <v>435</v>
      </c>
      <c r="AN28" s="373" t="s">
        <v>435</v>
      </c>
      <c r="AO28" s="373" t="s">
        <v>435</v>
      </c>
      <c r="AP28" s="373" t="s">
        <v>435</v>
      </c>
      <c r="AQ28" s="373" t="s">
        <v>356</v>
      </c>
      <c r="AS28" s="373" t="s">
        <v>820</v>
      </c>
      <c r="AU28" s="373" t="s">
        <v>817</v>
      </c>
      <c r="AY28" s="373">
        <v>1</v>
      </c>
      <c r="AZ28" s="373">
        <v>2</v>
      </c>
      <c r="BA28" s="373">
        <v>1</v>
      </c>
      <c r="BB28" s="373">
        <v>1</v>
      </c>
      <c r="BC28" s="373">
        <v>1</v>
      </c>
      <c r="BD28" s="373">
        <v>1</v>
      </c>
      <c r="BE28" s="373">
        <v>1</v>
      </c>
      <c r="BF28" s="373">
        <v>1</v>
      </c>
      <c r="BG28" s="373" t="s">
        <v>877</v>
      </c>
      <c r="BH28" s="373">
        <v>4</v>
      </c>
      <c r="BI28" s="373">
        <v>4</v>
      </c>
      <c r="BJ28" s="373">
        <v>4</v>
      </c>
      <c r="BK28" s="373">
        <v>4</v>
      </c>
      <c r="BL28" s="373" t="s">
        <v>356</v>
      </c>
      <c r="BM28" s="373">
        <v>4</v>
      </c>
      <c r="BN28" s="373">
        <v>4</v>
      </c>
      <c r="BO28" s="373" t="s">
        <v>356</v>
      </c>
      <c r="BP28" s="206">
        <f t="shared" si="320"/>
        <v>4.00000000004</v>
      </c>
      <c r="BQ28" s="206">
        <f t="shared" si="321"/>
        <v>4.00000000002</v>
      </c>
      <c r="BR28" s="206">
        <f t="shared" si="322"/>
        <v>4.00000000003</v>
      </c>
      <c r="BS28" s="206">
        <f t="shared" si="323"/>
        <v>4.00000000001</v>
      </c>
      <c r="BT28" s="206">
        <f t="shared" si="324"/>
        <v>0</v>
      </c>
      <c r="BU28" s="206">
        <f t="shared" si="325"/>
        <v>4.00000000006</v>
      </c>
      <c r="BV28" s="206">
        <f t="shared" si="326"/>
        <v>4.00000000007</v>
      </c>
      <c r="BW28" s="206">
        <f t="shared" si="327"/>
        <v>0</v>
      </c>
      <c r="BX28" s="373">
        <f t="shared" si="302"/>
        <v>4.00000000004</v>
      </c>
      <c r="BY28" s="373">
        <f t="shared" si="303"/>
        <v>8.00000000004</v>
      </c>
      <c r="BZ28" s="373">
        <f t="shared" si="304"/>
        <v>4.00000000003</v>
      </c>
      <c r="CA28" s="373">
        <f t="shared" si="305"/>
        <v>4.00000000001</v>
      </c>
      <c r="CB28" s="373">
        <f t="shared" si="306"/>
        <v>0</v>
      </c>
      <c r="CC28" s="373">
        <f t="shared" si="307"/>
        <v>4.00000000006</v>
      </c>
      <c r="CD28" s="373">
        <f t="shared" si="308"/>
        <v>4.00000000007</v>
      </c>
      <c r="CE28" s="373">
        <f t="shared" si="309"/>
        <v>0</v>
      </c>
      <c r="CF28" s="373" t="b">
        <v>1</v>
      </c>
      <c r="CG28" s="373" t="b">
        <v>1</v>
      </c>
      <c r="CH28" s="373" t="b">
        <v>1</v>
      </c>
      <c r="CI28" s="373" t="b">
        <v>1</v>
      </c>
      <c r="CJ28" s="373" t="b">
        <v>0</v>
      </c>
      <c r="CK28" s="373" t="b">
        <v>1</v>
      </c>
      <c r="CL28" s="373" t="b">
        <v>1</v>
      </c>
      <c r="CM28" s="373" t="b">
        <v>0</v>
      </c>
      <c r="CN28" s="373">
        <v>1</v>
      </c>
      <c r="CO28" s="373">
        <v>2</v>
      </c>
      <c r="CP28" s="373">
        <v>1</v>
      </c>
      <c r="CQ28" s="373">
        <v>1</v>
      </c>
      <c r="CR28" s="373">
        <v>1</v>
      </c>
      <c r="CS28" s="373">
        <v>1</v>
      </c>
      <c r="CT28" s="373">
        <v>1</v>
      </c>
      <c r="CU28" s="373">
        <v>1</v>
      </c>
      <c r="CV28" s="373" t="s">
        <v>877</v>
      </c>
      <c r="CW28" s="373">
        <v>5</v>
      </c>
      <c r="CX28" s="373">
        <v>4</v>
      </c>
      <c r="CY28" s="373">
        <v>4</v>
      </c>
      <c r="CZ28" s="373">
        <v>4</v>
      </c>
      <c r="DA28" s="373" t="s">
        <v>356</v>
      </c>
      <c r="DB28" s="373">
        <v>4</v>
      </c>
      <c r="DC28" s="373">
        <v>4</v>
      </c>
      <c r="DD28" s="373" t="s">
        <v>356</v>
      </c>
      <c r="DE28" s="206">
        <f t="shared" si="328"/>
        <v>5.00000000004</v>
      </c>
      <c r="DF28" s="206">
        <f t="shared" si="329"/>
        <v>4.00000000002</v>
      </c>
      <c r="DG28" s="206">
        <f t="shared" si="330"/>
        <v>4.00000000003</v>
      </c>
      <c r="DH28" s="206">
        <f t="shared" si="331"/>
        <v>4.00000000001</v>
      </c>
      <c r="DI28" s="206">
        <f t="shared" si="332"/>
        <v>0</v>
      </c>
      <c r="DJ28" s="206">
        <f t="shared" si="333"/>
        <v>4.00000000006</v>
      </c>
      <c r="DK28" s="206">
        <f t="shared" si="334"/>
        <v>4.00000000007</v>
      </c>
      <c r="DL28" s="206">
        <f t="shared" si="335"/>
        <v>0</v>
      </c>
      <c r="DM28" s="373">
        <f t="shared" si="311"/>
        <v>5.00000000004</v>
      </c>
      <c r="DN28" s="373">
        <f t="shared" si="312"/>
        <v>8.00000000004</v>
      </c>
      <c r="DO28" s="373">
        <f t="shared" si="313"/>
        <v>4.00000000003</v>
      </c>
      <c r="DP28" s="373">
        <f t="shared" si="314"/>
        <v>4.00000000001</v>
      </c>
      <c r="DQ28" s="373">
        <f t="shared" si="315"/>
        <v>0</v>
      </c>
      <c r="DR28" s="373">
        <f t="shared" si="316"/>
        <v>4.00000000006</v>
      </c>
      <c r="DS28" s="373">
        <f t="shared" si="317"/>
        <v>4.00000000007</v>
      </c>
      <c r="DT28" s="373">
        <f t="shared" si="318"/>
        <v>0</v>
      </c>
      <c r="DU28" s="373" t="b">
        <v>1</v>
      </c>
      <c r="DV28" s="373" t="b">
        <v>1</v>
      </c>
      <c r="DW28" s="373" t="b">
        <v>1</v>
      </c>
      <c r="DX28" s="373" t="b">
        <v>1</v>
      </c>
      <c r="DY28" s="373" t="b">
        <v>0</v>
      </c>
      <c r="DZ28" s="373" t="b">
        <v>1</v>
      </c>
      <c r="EA28" s="373" t="b">
        <v>1</v>
      </c>
      <c r="EB28" s="373" t="b">
        <v>0</v>
      </c>
      <c r="EC28" s="373" t="s">
        <v>435</v>
      </c>
      <c r="ED28" s="373" t="s">
        <v>435</v>
      </c>
      <c r="EE28" s="373" t="s">
        <v>435</v>
      </c>
      <c r="EF28" s="373" t="s">
        <v>435</v>
      </c>
      <c r="EG28" s="373" t="s">
        <v>435</v>
      </c>
      <c r="EH28" s="373" t="s">
        <v>435</v>
      </c>
      <c r="EI28" s="373" t="s">
        <v>435</v>
      </c>
      <c r="EJ28" s="373" t="s">
        <v>435</v>
      </c>
      <c r="EK28" s="373" t="s">
        <v>435</v>
      </c>
      <c r="EL28" s="373" t="s">
        <v>435</v>
      </c>
      <c r="EM28" s="373" t="s">
        <v>435</v>
      </c>
      <c r="EN28" s="373" t="s">
        <v>435</v>
      </c>
      <c r="EO28" s="373" t="s">
        <v>435</v>
      </c>
      <c r="EP28" s="373" t="s">
        <v>435</v>
      </c>
      <c r="EQ28" s="373" t="s">
        <v>435</v>
      </c>
      <c r="ER28" s="373" t="s">
        <v>435</v>
      </c>
      <c r="FA28" s="373" t="s">
        <v>435</v>
      </c>
      <c r="FB28" s="373" t="s">
        <v>435</v>
      </c>
      <c r="FC28" s="373" t="s">
        <v>435</v>
      </c>
      <c r="FD28" s="373" t="s">
        <v>435</v>
      </c>
      <c r="FE28" s="373" t="s">
        <v>435</v>
      </c>
      <c r="FF28" s="373" t="s">
        <v>435</v>
      </c>
      <c r="FG28" s="373" t="s">
        <v>435</v>
      </c>
      <c r="FH28" s="373" t="s">
        <v>435</v>
      </c>
      <c r="FI28" s="373" t="s">
        <v>435</v>
      </c>
      <c r="FJ28" s="373" t="s">
        <v>435</v>
      </c>
      <c r="FK28" s="373" t="s">
        <v>435</v>
      </c>
      <c r="FL28" s="373" t="s">
        <v>435</v>
      </c>
      <c r="FM28" s="373" t="s">
        <v>435</v>
      </c>
      <c r="FN28" s="373" t="s">
        <v>435</v>
      </c>
      <c r="FO28" s="373" t="s">
        <v>435</v>
      </c>
      <c r="FP28" s="373" t="s">
        <v>435</v>
      </c>
    </row>
    <row r="29" spans="1:172" s="373" customFormat="1">
      <c r="A29" s="373" t="s">
        <v>880</v>
      </c>
      <c r="B29" s="373" t="s">
        <v>249</v>
      </c>
      <c r="C29" s="373" t="s">
        <v>870</v>
      </c>
      <c r="D29" s="373" t="s">
        <v>881</v>
      </c>
      <c r="E29" s="373" t="s">
        <v>815</v>
      </c>
      <c r="F29" s="385" t="s">
        <v>356</v>
      </c>
      <c r="G29" s="385" t="s">
        <v>356</v>
      </c>
      <c r="H29" s="385">
        <v>28</v>
      </c>
      <c r="I29" s="385">
        <v>28</v>
      </c>
      <c r="J29" s="385"/>
      <c r="K29" s="385">
        <f t="shared" si="294"/>
        <v>28.000000000265</v>
      </c>
      <c r="L29" s="385">
        <f t="shared" si="295"/>
        <v>28.000000000265</v>
      </c>
      <c r="M29" s="385" t="s">
        <v>356</v>
      </c>
      <c r="N29" s="385" t="s">
        <v>356</v>
      </c>
      <c r="O29" s="385" t="s">
        <v>874</v>
      </c>
      <c r="P29" s="385" t="s">
        <v>884</v>
      </c>
      <c r="Q29" s="385" t="s">
        <v>356</v>
      </c>
      <c r="R29" s="385" t="s">
        <v>883</v>
      </c>
      <c r="S29" s="385" t="s">
        <v>817</v>
      </c>
      <c r="T29" s="385">
        <v>27</v>
      </c>
      <c r="U29" s="385" cm="1">
        <f t="array" ref="U29">IFERROR(INDEX('Offer Statistics'!$Q$2:$Q$350,MATCH(1,(A29='Offer Statistics'!$B$2:$B$350)*($A$11='Offer Statistics'!$K$2:$K$350),0)),"/")</f>
        <v>20</v>
      </c>
      <c r="V29" s="385" cm="1">
        <f t="array" ref="V29">IFERROR(INDEX('Offer Statistics'!$D$2:$D$350,MATCH(1,(A29='Offer Statistics'!$B$2:$B$350)*($A$11='Offer Statistics'!$K$2:$K$350),0)),"/")</f>
        <v>214</v>
      </c>
      <c r="W29" s="385" cm="1">
        <f t="array" ref="W29">IFERROR(INDEX('Offer Statistics'!$L$2:$L$350,MATCH(1,(A29='Offer Statistics'!$B$2:$B$350)*($A$11='Offer Statistics'!$K$2:$K$350),0)),"/")</f>
        <v>20</v>
      </c>
      <c r="X29" s="385">
        <f t="shared" si="319"/>
        <v>10.7</v>
      </c>
      <c r="Y29" s="385" t="s">
        <v>817</v>
      </c>
      <c r="Z29" s="373" t="str">
        <f>入學要求!AF38</f>
        <v>/</v>
      </c>
      <c r="AA29" s="373" t="str">
        <f>入學要求!AG38</f>
        <v>/</v>
      </c>
      <c r="AB29" s="374" t="s">
        <v>889</v>
      </c>
      <c r="AC29" s="373" t="s">
        <v>2888</v>
      </c>
      <c r="AE29" s="374" t="s">
        <v>998</v>
      </c>
      <c r="AF29" s="373" t="s">
        <v>356</v>
      </c>
      <c r="AG29" s="373" t="s">
        <v>874</v>
      </c>
      <c r="AH29" s="373" t="s">
        <v>884</v>
      </c>
      <c r="AI29" s="373" t="s">
        <v>356</v>
      </c>
      <c r="AJ29" s="373" t="s">
        <v>818</v>
      </c>
      <c r="AK29" s="373" t="s">
        <v>875</v>
      </c>
      <c r="AL29" s="373" t="s">
        <v>876</v>
      </c>
      <c r="AM29" s="373" t="s">
        <v>435</v>
      </c>
      <c r="AN29" s="373" t="s">
        <v>435</v>
      </c>
      <c r="AO29" s="373" t="s">
        <v>435</v>
      </c>
      <c r="AP29" s="373" t="s">
        <v>435</v>
      </c>
      <c r="AQ29" s="373" t="s">
        <v>356</v>
      </c>
      <c r="AS29" s="373" t="s">
        <v>820</v>
      </c>
      <c r="AU29" s="373" t="s">
        <v>817</v>
      </c>
      <c r="AY29" s="373">
        <v>1</v>
      </c>
      <c r="AZ29" s="373">
        <v>2</v>
      </c>
      <c r="BA29" s="373">
        <v>1.5</v>
      </c>
      <c r="BB29" s="373">
        <v>1</v>
      </c>
      <c r="BC29" s="373">
        <v>1</v>
      </c>
      <c r="BD29" s="373">
        <v>1</v>
      </c>
      <c r="BE29" s="373">
        <v>1</v>
      </c>
      <c r="BF29" s="373">
        <v>1</v>
      </c>
      <c r="BG29" s="373" t="s">
        <v>880</v>
      </c>
      <c r="BH29" s="373">
        <v>3</v>
      </c>
      <c r="BI29" s="373">
        <v>4</v>
      </c>
      <c r="BJ29" s="373">
        <v>4</v>
      </c>
      <c r="BK29" s="373">
        <v>3</v>
      </c>
      <c r="BL29" s="373" t="s">
        <v>356</v>
      </c>
      <c r="BM29" s="373">
        <v>4</v>
      </c>
      <c r="BN29" s="373">
        <v>4</v>
      </c>
      <c r="BO29" s="373">
        <v>3</v>
      </c>
      <c r="BP29" s="206">
        <f t="shared" si="320"/>
        <v>3.00000000004</v>
      </c>
      <c r="BQ29" s="206">
        <f t="shared" si="321"/>
        <v>4.00000000002</v>
      </c>
      <c r="BR29" s="206">
        <f t="shared" si="322"/>
        <v>4.00000000003</v>
      </c>
      <c r="BS29" s="206">
        <f t="shared" si="323"/>
        <v>3.00000000001</v>
      </c>
      <c r="BT29" s="206">
        <f t="shared" si="324"/>
        <v>0</v>
      </c>
      <c r="BU29" s="206">
        <f t="shared" si="325"/>
        <v>4.00000000006</v>
      </c>
      <c r="BV29" s="206">
        <f t="shared" si="326"/>
        <v>4.00000000007</v>
      </c>
      <c r="BW29" s="206">
        <f t="shared" si="327"/>
        <v>3.00000000008</v>
      </c>
      <c r="BX29" s="373">
        <f t="shared" si="302"/>
        <v>3.00000000004</v>
      </c>
      <c r="BY29" s="373">
        <f t="shared" si="303"/>
        <v>8.00000000004</v>
      </c>
      <c r="BZ29" s="373">
        <f t="shared" si="304"/>
        <v>6.0000000000450004</v>
      </c>
      <c r="CA29" s="373">
        <f t="shared" si="305"/>
        <v>3.00000000001</v>
      </c>
      <c r="CB29" s="373">
        <f t="shared" si="306"/>
        <v>0</v>
      </c>
      <c r="CC29" s="373">
        <f t="shared" si="307"/>
        <v>4.00000000006</v>
      </c>
      <c r="CD29" s="373">
        <f t="shared" si="308"/>
        <v>4.00000000007</v>
      </c>
      <c r="CE29" s="373">
        <f t="shared" si="309"/>
        <v>3.00000000008</v>
      </c>
      <c r="CF29" s="373" t="b">
        <v>1</v>
      </c>
      <c r="CG29" s="373" t="b">
        <v>1</v>
      </c>
      <c r="CH29" s="373" t="b">
        <v>1</v>
      </c>
      <c r="CI29" s="373" t="b">
        <v>1</v>
      </c>
      <c r="CJ29" s="373" t="b">
        <v>0</v>
      </c>
      <c r="CK29" s="373" t="b">
        <v>1</v>
      </c>
      <c r="CL29" s="373" t="b">
        <v>1</v>
      </c>
      <c r="CM29" s="373" t="b">
        <v>0</v>
      </c>
      <c r="CN29" s="373">
        <v>1</v>
      </c>
      <c r="CO29" s="373">
        <v>2</v>
      </c>
      <c r="CP29" s="373">
        <v>1.5</v>
      </c>
      <c r="CQ29" s="373">
        <v>1</v>
      </c>
      <c r="CR29" s="373">
        <v>1</v>
      </c>
      <c r="CS29" s="373">
        <v>1</v>
      </c>
      <c r="CT29" s="373">
        <v>1</v>
      </c>
      <c r="CU29" s="373">
        <v>1</v>
      </c>
      <c r="CV29" s="373" t="s">
        <v>880</v>
      </c>
      <c r="CW29" s="373">
        <v>4</v>
      </c>
      <c r="CX29" s="373">
        <v>3</v>
      </c>
      <c r="CY29" s="373">
        <v>4</v>
      </c>
      <c r="CZ29" s="373">
        <v>4</v>
      </c>
      <c r="DA29" s="373" t="s">
        <v>356</v>
      </c>
      <c r="DB29" s="373">
        <v>4</v>
      </c>
      <c r="DC29" s="373">
        <v>4</v>
      </c>
      <c r="DD29" s="373" t="s">
        <v>356</v>
      </c>
      <c r="DE29" s="206">
        <f t="shared" si="328"/>
        <v>4.00000000004</v>
      </c>
      <c r="DF29" s="206">
        <f t="shared" si="329"/>
        <v>3.00000000002</v>
      </c>
      <c r="DG29" s="206">
        <f t="shared" si="330"/>
        <v>4.00000000003</v>
      </c>
      <c r="DH29" s="206">
        <f t="shared" si="331"/>
        <v>4.00000000001</v>
      </c>
      <c r="DI29" s="206">
        <f t="shared" si="332"/>
        <v>0</v>
      </c>
      <c r="DJ29" s="206">
        <f t="shared" si="333"/>
        <v>4.00000000006</v>
      </c>
      <c r="DK29" s="206">
        <f t="shared" si="334"/>
        <v>4.00000000007</v>
      </c>
      <c r="DL29" s="206">
        <f t="shared" si="335"/>
        <v>0</v>
      </c>
      <c r="DM29" s="373">
        <f t="shared" si="311"/>
        <v>4.00000000004</v>
      </c>
      <c r="DN29" s="373">
        <f t="shared" si="312"/>
        <v>6.00000000004</v>
      </c>
      <c r="DO29" s="373">
        <f t="shared" si="313"/>
        <v>6.0000000000450004</v>
      </c>
      <c r="DP29" s="373">
        <f t="shared" si="314"/>
        <v>4.00000000001</v>
      </c>
      <c r="DQ29" s="373">
        <f t="shared" si="315"/>
        <v>0</v>
      </c>
      <c r="DR29" s="373">
        <f t="shared" si="316"/>
        <v>4.00000000006</v>
      </c>
      <c r="DS29" s="373">
        <f t="shared" si="317"/>
        <v>4.00000000007</v>
      </c>
      <c r="DT29" s="373">
        <f t="shared" si="318"/>
        <v>0</v>
      </c>
      <c r="DU29" s="373" t="b">
        <v>1</v>
      </c>
      <c r="DV29" s="373" t="b">
        <v>1</v>
      </c>
      <c r="DW29" s="373" t="b">
        <v>1</v>
      </c>
      <c r="DX29" s="373" t="b">
        <v>1</v>
      </c>
      <c r="DY29" s="373" t="b">
        <v>0</v>
      </c>
      <c r="DZ29" s="373" t="b">
        <v>1</v>
      </c>
      <c r="EA29" s="373" t="b">
        <v>1</v>
      </c>
      <c r="EB29" s="373" t="b">
        <v>0</v>
      </c>
      <c r="EC29" s="373" t="s">
        <v>435</v>
      </c>
      <c r="ED29" s="373" t="s">
        <v>435</v>
      </c>
      <c r="EE29" s="373" t="s">
        <v>435</v>
      </c>
      <c r="EF29" s="373" t="s">
        <v>435</v>
      </c>
      <c r="EG29" s="373" t="s">
        <v>435</v>
      </c>
      <c r="EH29" s="373" t="s">
        <v>435</v>
      </c>
      <c r="EI29" s="373" t="s">
        <v>435</v>
      </c>
      <c r="EJ29" s="373" t="s">
        <v>435</v>
      </c>
      <c r="EK29" s="373" t="s">
        <v>435</v>
      </c>
      <c r="EL29" s="373" t="s">
        <v>435</v>
      </c>
      <c r="EM29" s="373" t="s">
        <v>435</v>
      </c>
      <c r="EN29" s="373" t="s">
        <v>435</v>
      </c>
      <c r="EO29" s="373" t="s">
        <v>435</v>
      </c>
      <c r="EP29" s="373" t="s">
        <v>435</v>
      </c>
      <c r="EQ29" s="373" t="s">
        <v>435</v>
      </c>
      <c r="ER29" s="373" t="s">
        <v>435</v>
      </c>
      <c r="FA29" s="373" t="s">
        <v>435</v>
      </c>
      <c r="FB29" s="373" t="s">
        <v>435</v>
      </c>
      <c r="FC29" s="373" t="s">
        <v>435</v>
      </c>
      <c r="FD29" s="373" t="s">
        <v>435</v>
      </c>
      <c r="FE29" s="373" t="s">
        <v>435</v>
      </c>
      <c r="FF29" s="373" t="s">
        <v>435</v>
      </c>
      <c r="FG29" s="373" t="s">
        <v>435</v>
      </c>
      <c r="FH29" s="373" t="s">
        <v>435</v>
      </c>
      <c r="FI29" s="373" t="s">
        <v>435</v>
      </c>
      <c r="FJ29" s="373" t="s">
        <v>435</v>
      </c>
      <c r="FK29" s="373" t="s">
        <v>435</v>
      </c>
      <c r="FL29" s="373" t="s">
        <v>435</v>
      </c>
      <c r="FM29" s="373" t="s">
        <v>435</v>
      </c>
      <c r="FN29" s="373" t="s">
        <v>435</v>
      </c>
      <c r="FO29" s="373" t="s">
        <v>435</v>
      </c>
      <c r="FP29" s="373" t="s">
        <v>435</v>
      </c>
    </row>
    <row r="30" spans="1:172" s="373" customFormat="1">
      <c r="A30" s="373" t="s">
        <v>885</v>
      </c>
      <c r="B30" s="373" t="s">
        <v>249</v>
      </c>
      <c r="C30" s="373" t="s">
        <v>870</v>
      </c>
      <c r="D30" s="373" t="s">
        <v>886</v>
      </c>
      <c r="E30" s="373" t="s">
        <v>889</v>
      </c>
      <c r="F30" s="385" t="s">
        <v>356</v>
      </c>
      <c r="G30" s="385" t="s">
        <v>356</v>
      </c>
      <c r="H30" s="385">
        <v>23</v>
      </c>
      <c r="I30" s="385">
        <v>23</v>
      </c>
      <c r="J30" s="385"/>
      <c r="K30" s="385">
        <f t="shared" si="294"/>
        <v>23.000000000209997</v>
      </c>
      <c r="L30" s="385">
        <f t="shared" si="295"/>
        <v>23.000000000209997</v>
      </c>
      <c r="M30" s="385" t="s">
        <v>890</v>
      </c>
      <c r="N30" s="385" t="s">
        <v>356</v>
      </c>
      <c r="O30" s="385" t="s">
        <v>874</v>
      </c>
      <c r="P30" s="385" t="s">
        <v>356</v>
      </c>
      <c r="Q30" s="385" t="s">
        <v>356</v>
      </c>
      <c r="R30" s="385" t="s">
        <v>888</v>
      </c>
      <c r="S30" s="385" t="s">
        <v>817</v>
      </c>
      <c r="T30" s="385">
        <v>19</v>
      </c>
      <c r="U30" s="385" cm="1">
        <f t="array" ref="U30">IFERROR(INDEX('Offer Statistics'!$Q$2:$Q$350,MATCH(1,(A30='Offer Statistics'!$B$2:$B$350)*($A$11='Offer Statistics'!$K$2:$K$350),0)),"/")</f>
        <v>21</v>
      </c>
      <c r="V30" s="385" cm="1">
        <f t="array" ref="V30">IFERROR(INDEX('Offer Statistics'!$D$2:$D$350,MATCH(1,(A30='Offer Statistics'!$B$2:$B$350)*($A$11='Offer Statistics'!$K$2:$K$350),0)),"/")</f>
        <v>286</v>
      </c>
      <c r="W30" s="385" cm="1">
        <f t="array" ref="W30">IFERROR(INDEX('Offer Statistics'!$L$2:$L$350,MATCH(1,(A30='Offer Statistics'!$B$2:$B$350)*($A$11='Offer Statistics'!$K$2:$K$350),0)),"/")</f>
        <v>21</v>
      </c>
      <c r="X30" s="385">
        <f t="shared" si="319"/>
        <v>13.619047619047619</v>
      </c>
      <c r="Y30" s="385" t="s">
        <v>817</v>
      </c>
      <c r="Z30" s="373" t="str">
        <f>入學要求!AF39</f>
        <v>/</v>
      </c>
      <c r="AA30" s="373" t="str">
        <f>入學要求!AG39</f>
        <v>/</v>
      </c>
      <c r="AB30" s="374" t="s">
        <v>889</v>
      </c>
      <c r="AE30" s="374" t="s">
        <v>890</v>
      </c>
      <c r="AF30" s="373" t="s">
        <v>356</v>
      </c>
      <c r="AG30" s="373" t="s">
        <v>874</v>
      </c>
      <c r="AH30" s="373" t="s">
        <v>356</v>
      </c>
      <c r="AI30" s="373" t="s">
        <v>356</v>
      </c>
      <c r="AJ30" s="373" t="s">
        <v>818</v>
      </c>
      <c r="AK30" s="373" t="s">
        <v>875</v>
      </c>
      <c r="AL30" s="373" t="s">
        <v>876</v>
      </c>
      <c r="AM30" s="373" t="s">
        <v>435</v>
      </c>
      <c r="AN30" s="373" t="s">
        <v>435</v>
      </c>
      <c r="AO30" s="373" t="s">
        <v>435</v>
      </c>
      <c r="AP30" s="373" t="s">
        <v>435</v>
      </c>
      <c r="AQ30" s="373" t="s">
        <v>356</v>
      </c>
      <c r="AS30" s="373" t="s">
        <v>820</v>
      </c>
      <c r="AU30" s="373" t="s">
        <v>817</v>
      </c>
      <c r="AY30" s="373">
        <v>1</v>
      </c>
      <c r="AZ30" s="373">
        <v>2</v>
      </c>
      <c r="BA30" s="373">
        <v>1</v>
      </c>
      <c r="BB30" s="373">
        <v>1</v>
      </c>
      <c r="BC30" s="373">
        <v>1</v>
      </c>
      <c r="BD30" s="373">
        <v>1</v>
      </c>
      <c r="BE30" s="373">
        <v>1</v>
      </c>
      <c r="BF30" s="373">
        <v>1</v>
      </c>
      <c r="BG30" s="373" t="s">
        <v>885</v>
      </c>
      <c r="BH30" s="373">
        <v>3</v>
      </c>
      <c r="BI30" s="373">
        <v>4</v>
      </c>
      <c r="BJ30" s="373">
        <v>4</v>
      </c>
      <c r="BK30" s="373">
        <v>4</v>
      </c>
      <c r="BL30" s="373" t="s">
        <v>356</v>
      </c>
      <c r="BM30" s="373">
        <v>4</v>
      </c>
      <c r="BN30" s="373">
        <v>3</v>
      </c>
      <c r="BO30" s="373" t="s">
        <v>356</v>
      </c>
      <c r="BP30" s="206">
        <f t="shared" si="320"/>
        <v>3.00000000004</v>
      </c>
      <c r="BQ30" s="206">
        <f t="shared" si="321"/>
        <v>4.00000000002</v>
      </c>
      <c r="BR30" s="206">
        <f t="shared" si="322"/>
        <v>4.00000000003</v>
      </c>
      <c r="BS30" s="206">
        <f t="shared" si="323"/>
        <v>4.00000000001</v>
      </c>
      <c r="BT30" s="206">
        <f t="shared" si="324"/>
        <v>0</v>
      </c>
      <c r="BU30" s="206">
        <f t="shared" si="325"/>
        <v>4.00000000006</v>
      </c>
      <c r="BV30" s="206">
        <f t="shared" si="326"/>
        <v>3.00000000007</v>
      </c>
      <c r="BW30" s="206">
        <f t="shared" si="327"/>
        <v>0</v>
      </c>
      <c r="BX30" s="373">
        <f t="shared" si="302"/>
        <v>3.00000000004</v>
      </c>
      <c r="BY30" s="373">
        <f t="shared" si="303"/>
        <v>8.00000000004</v>
      </c>
      <c r="BZ30" s="373">
        <f t="shared" si="304"/>
        <v>4.00000000003</v>
      </c>
      <c r="CA30" s="373">
        <f t="shared" si="305"/>
        <v>4.00000000001</v>
      </c>
      <c r="CB30" s="373">
        <f t="shared" si="306"/>
        <v>0</v>
      </c>
      <c r="CC30" s="373">
        <f t="shared" si="307"/>
        <v>4.00000000006</v>
      </c>
      <c r="CD30" s="373">
        <f t="shared" si="308"/>
        <v>3.00000000007</v>
      </c>
      <c r="CE30" s="373">
        <f t="shared" si="309"/>
        <v>0</v>
      </c>
      <c r="CF30" s="373" t="b">
        <v>0</v>
      </c>
      <c r="CG30" s="373" t="b">
        <v>1</v>
      </c>
      <c r="CH30" s="373" t="b">
        <v>1</v>
      </c>
      <c r="CI30" s="373" t="b">
        <v>1</v>
      </c>
      <c r="CJ30" s="373" t="b">
        <v>0</v>
      </c>
      <c r="CK30" s="373" t="b">
        <v>1</v>
      </c>
      <c r="CL30" s="373" t="b">
        <v>1</v>
      </c>
      <c r="CM30" s="373" t="b">
        <v>0</v>
      </c>
      <c r="CN30" s="373">
        <v>1</v>
      </c>
      <c r="CO30" s="373">
        <v>2</v>
      </c>
      <c r="CP30" s="373">
        <v>1</v>
      </c>
      <c r="CQ30" s="373">
        <v>1</v>
      </c>
      <c r="CR30" s="373">
        <v>1</v>
      </c>
      <c r="CS30" s="373">
        <v>1</v>
      </c>
      <c r="CT30" s="373">
        <v>1</v>
      </c>
      <c r="CU30" s="373">
        <v>1</v>
      </c>
      <c r="CV30" s="373" t="s">
        <v>885</v>
      </c>
      <c r="CW30" s="373">
        <v>3</v>
      </c>
      <c r="CX30" s="373">
        <v>3</v>
      </c>
      <c r="CY30" s="373">
        <v>4</v>
      </c>
      <c r="CZ30" s="373">
        <v>4</v>
      </c>
      <c r="DA30" s="373" t="s">
        <v>356</v>
      </c>
      <c r="DB30" s="373">
        <v>5</v>
      </c>
      <c r="DC30" s="373">
        <v>4</v>
      </c>
      <c r="DD30" s="373" t="s">
        <v>356</v>
      </c>
      <c r="DE30" s="206">
        <f t="shared" si="328"/>
        <v>3.00000000004</v>
      </c>
      <c r="DF30" s="206">
        <f t="shared" si="329"/>
        <v>3.00000000002</v>
      </c>
      <c r="DG30" s="206">
        <f t="shared" si="330"/>
        <v>4.00000000003</v>
      </c>
      <c r="DH30" s="206">
        <f t="shared" si="331"/>
        <v>4.00000000001</v>
      </c>
      <c r="DI30" s="206">
        <f t="shared" si="332"/>
        <v>0</v>
      </c>
      <c r="DJ30" s="206">
        <f t="shared" si="333"/>
        <v>5.00000000006</v>
      </c>
      <c r="DK30" s="206">
        <f t="shared" si="334"/>
        <v>4.00000000007</v>
      </c>
      <c r="DL30" s="206">
        <f t="shared" si="335"/>
        <v>0</v>
      </c>
      <c r="DM30" s="373">
        <f t="shared" si="311"/>
        <v>3.00000000004</v>
      </c>
      <c r="DN30" s="373">
        <f t="shared" si="312"/>
        <v>6.00000000004</v>
      </c>
      <c r="DO30" s="373">
        <f t="shared" si="313"/>
        <v>4.00000000003</v>
      </c>
      <c r="DP30" s="373">
        <f t="shared" si="314"/>
        <v>4.00000000001</v>
      </c>
      <c r="DQ30" s="373">
        <f t="shared" si="315"/>
        <v>0</v>
      </c>
      <c r="DR30" s="373">
        <f t="shared" si="316"/>
        <v>5.00000000006</v>
      </c>
      <c r="DS30" s="373">
        <f t="shared" si="317"/>
        <v>4.00000000007</v>
      </c>
      <c r="DT30" s="373">
        <f t="shared" si="318"/>
        <v>0</v>
      </c>
      <c r="DU30" s="373" t="b">
        <v>0</v>
      </c>
      <c r="DV30" s="373" t="b">
        <v>1</v>
      </c>
      <c r="DW30" s="373" t="b">
        <v>1</v>
      </c>
      <c r="DX30" s="373" t="b">
        <v>1</v>
      </c>
      <c r="DY30" s="373" t="b">
        <v>0</v>
      </c>
      <c r="DZ30" s="373" t="b">
        <v>1</v>
      </c>
      <c r="EA30" s="373" t="b">
        <v>1</v>
      </c>
      <c r="EB30" s="373" t="b">
        <v>0</v>
      </c>
      <c r="EC30" s="373" t="s">
        <v>435</v>
      </c>
      <c r="ED30" s="373" t="s">
        <v>435</v>
      </c>
      <c r="EE30" s="373" t="s">
        <v>435</v>
      </c>
      <c r="EF30" s="373" t="s">
        <v>435</v>
      </c>
      <c r="EG30" s="373" t="s">
        <v>435</v>
      </c>
      <c r="EH30" s="373" t="s">
        <v>435</v>
      </c>
      <c r="EI30" s="373" t="s">
        <v>435</v>
      </c>
      <c r="EJ30" s="373" t="s">
        <v>435</v>
      </c>
      <c r="EK30" s="373" t="s">
        <v>435</v>
      </c>
      <c r="EL30" s="373" t="s">
        <v>435</v>
      </c>
      <c r="EM30" s="373" t="s">
        <v>435</v>
      </c>
      <c r="EN30" s="373" t="s">
        <v>435</v>
      </c>
      <c r="EO30" s="373" t="s">
        <v>435</v>
      </c>
      <c r="EP30" s="373" t="s">
        <v>435</v>
      </c>
      <c r="EQ30" s="373" t="s">
        <v>435</v>
      </c>
      <c r="ER30" s="373" t="s">
        <v>435</v>
      </c>
      <c r="FA30" s="373" t="s">
        <v>435</v>
      </c>
      <c r="FB30" s="373" t="s">
        <v>435</v>
      </c>
      <c r="FC30" s="373" t="s">
        <v>435</v>
      </c>
      <c r="FD30" s="373" t="s">
        <v>435</v>
      </c>
      <c r="FE30" s="373" t="s">
        <v>435</v>
      </c>
      <c r="FF30" s="373" t="s">
        <v>435</v>
      </c>
      <c r="FG30" s="373" t="s">
        <v>435</v>
      </c>
      <c r="FH30" s="373" t="s">
        <v>435</v>
      </c>
      <c r="FI30" s="373" t="s">
        <v>435</v>
      </c>
      <c r="FJ30" s="373" t="s">
        <v>435</v>
      </c>
      <c r="FK30" s="373" t="s">
        <v>435</v>
      </c>
      <c r="FL30" s="373" t="s">
        <v>435</v>
      </c>
      <c r="FM30" s="373" t="s">
        <v>435</v>
      </c>
      <c r="FN30" s="373" t="s">
        <v>435</v>
      </c>
      <c r="FO30" s="373" t="s">
        <v>435</v>
      </c>
      <c r="FP30" s="373" t="s">
        <v>435</v>
      </c>
    </row>
    <row r="31" spans="1:172" s="373" customFormat="1">
      <c r="A31" s="373" t="s">
        <v>891</v>
      </c>
      <c r="B31" s="373" t="s">
        <v>249</v>
      </c>
      <c r="C31" s="373" t="s">
        <v>892</v>
      </c>
      <c r="D31" s="373" t="s">
        <v>893</v>
      </c>
      <c r="E31" s="373" t="s">
        <v>889</v>
      </c>
      <c r="F31" s="385" t="s">
        <v>356</v>
      </c>
      <c r="G31" s="385" t="s">
        <v>356</v>
      </c>
      <c r="H31" s="385">
        <v>34.5</v>
      </c>
      <c r="I31" s="385">
        <v>33.5</v>
      </c>
      <c r="J31" s="385"/>
      <c r="K31" s="385">
        <f t="shared" si="294"/>
        <v>34.500000000379998</v>
      </c>
      <c r="L31" s="385">
        <f t="shared" si="295"/>
        <v>33.500000000390003</v>
      </c>
      <c r="M31" s="385" t="s">
        <v>894</v>
      </c>
      <c r="N31" s="385" t="s">
        <v>896</v>
      </c>
      <c r="O31" s="385" t="s">
        <v>897</v>
      </c>
      <c r="P31" s="385" t="s">
        <v>305</v>
      </c>
      <c r="Q31" s="385" t="s">
        <v>898</v>
      </c>
      <c r="R31" s="385" t="s">
        <v>895</v>
      </c>
      <c r="S31" s="385" t="s">
        <v>817</v>
      </c>
      <c r="T31" s="385">
        <v>55</v>
      </c>
      <c r="U31" s="385" cm="1">
        <f t="array" ref="U31">IFERROR(INDEX('Offer Statistics'!$Q$2:$Q$350,MATCH(1,(A31='Offer Statistics'!$B$2:$B$350)*($A$11='Offer Statistics'!$K$2:$K$350),0)),"/")</f>
        <v>62</v>
      </c>
      <c r="V31" s="385" cm="1">
        <f t="array" ref="V31">IFERROR(INDEX('Offer Statistics'!$D$2:$D$350,MATCH(1,(A31='Offer Statistics'!$B$2:$B$350)*($A$11='Offer Statistics'!$K$2:$K$350),0)),"/")</f>
        <v>255</v>
      </c>
      <c r="W31" s="385" cm="1">
        <f t="array" ref="W31">IFERROR(INDEX('Offer Statistics'!$L$2:$L$350,MATCH(1,(A31='Offer Statistics'!$B$2:$B$350)*($A$11='Offer Statistics'!$K$2:$K$350),0)),"/")</f>
        <v>50</v>
      </c>
      <c r="X31" s="385">
        <f t="shared" si="319"/>
        <v>5.0999999999999996</v>
      </c>
      <c r="Y31" s="385" t="s">
        <v>817</v>
      </c>
      <c r="Z31" s="373" t="str">
        <f>入學要求!AF40</f>
        <v>以下一科選修取得Lv.3︰生物、化學、物理</v>
      </c>
      <c r="AA31" s="373" t="str">
        <f>入學要求!AG40</f>
        <v>/</v>
      </c>
      <c r="AB31" s="374" t="s">
        <v>889</v>
      </c>
      <c r="AC31" s="373" t="s">
        <v>2854</v>
      </c>
      <c r="AE31" s="373" t="s">
        <v>894</v>
      </c>
      <c r="AF31" s="373" t="s">
        <v>2835</v>
      </c>
      <c r="AG31" s="373" t="s">
        <v>897</v>
      </c>
      <c r="AH31" s="374" t="s">
        <v>2836</v>
      </c>
      <c r="AI31" s="374" t="s">
        <v>2837</v>
      </c>
      <c r="AJ31" s="373" t="s">
        <v>899</v>
      </c>
      <c r="AK31" s="373" t="s">
        <v>900</v>
      </c>
      <c r="AL31" s="373" t="s">
        <v>356</v>
      </c>
      <c r="AM31" s="373" t="s">
        <v>435</v>
      </c>
      <c r="AN31" s="373" t="s">
        <v>435</v>
      </c>
      <c r="AO31" s="373" t="s">
        <v>435</v>
      </c>
      <c r="AP31" s="373" t="s">
        <v>435</v>
      </c>
      <c r="AQ31" s="373" t="s">
        <v>356</v>
      </c>
      <c r="AS31" s="373" t="s">
        <v>820</v>
      </c>
      <c r="AU31" s="373" t="s">
        <v>817</v>
      </c>
      <c r="AY31" s="373">
        <v>1</v>
      </c>
      <c r="AZ31" s="373">
        <v>2</v>
      </c>
      <c r="BA31" s="373">
        <v>2.5</v>
      </c>
      <c r="BB31" s="373">
        <v>1</v>
      </c>
      <c r="BC31" s="373">
        <v>1.5</v>
      </c>
      <c r="BD31" s="373">
        <v>1.5</v>
      </c>
      <c r="BE31" s="373">
        <v>2.5</v>
      </c>
      <c r="BF31" s="373">
        <v>1</v>
      </c>
      <c r="BG31" s="373" t="s">
        <v>891</v>
      </c>
      <c r="BH31" s="373">
        <v>4</v>
      </c>
      <c r="BI31" s="373">
        <v>3</v>
      </c>
      <c r="BJ31" s="373">
        <v>4</v>
      </c>
      <c r="BK31" s="373">
        <v>4</v>
      </c>
      <c r="BL31" s="373" t="s">
        <v>356</v>
      </c>
      <c r="BM31" s="373">
        <v>4</v>
      </c>
      <c r="BN31" s="373">
        <v>3</v>
      </c>
      <c r="BO31" s="373" t="s">
        <v>356</v>
      </c>
      <c r="BP31" s="206">
        <f t="shared" si="320"/>
        <v>4.00000000004</v>
      </c>
      <c r="BQ31" s="206">
        <f t="shared" si="321"/>
        <v>3.00000000002</v>
      </c>
      <c r="BR31" s="206">
        <f t="shared" si="322"/>
        <v>4.00000000003</v>
      </c>
      <c r="BS31" s="206">
        <f t="shared" si="323"/>
        <v>4.00000000001</v>
      </c>
      <c r="BT31" s="206">
        <f t="shared" si="324"/>
        <v>0</v>
      </c>
      <c r="BU31" s="206">
        <f t="shared" si="325"/>
        <v>4.00000000006</v>
      </c>
      <c r="BV31" s="206">
        <f t="shared" si="326"/>
        <v>3.00000000007</v>
      </c>
      <c r="BW31" s="206">
        <f t="shared" si="327"/>
        <v>0</v>
      </c>
      <c r="BX31" s="373">
        <f t="shared" si="302"/>
        <v>4.00000000004</v>
      </c>
      <c r="BY31" s="373">
        <f t="shared" si="303"/>
        <v>6.00000000004</v>
      </c>
      <c r="BZ31" s="373">
        <f t="shared" si="304"/>
        <v>10.000000000075</v>
      </c>
      <c r="CA31" s="373">
        <f t="shared" si="305"/>
        <v>4.00000000001</v>
      </c>
      <c r="CB31" s="373">
        <f t="shared" si="306"/>
        <v>0</v>
      </c>
      <c r="CC31" s="373">
        <f t="shared" si="307"/>
        <v>6.00000000009</v>
      </c>
      <c r="CD31" s="373">
        <f t="shared" si="308"/>
        <v>7.5000000001749996</v>
      </c>
      <c r="CE31" s="373">
        <f t="shared" si="309"/>
        <v>0</v>
      </c>
      <c r="CF31" s="373" t="b">
        <v>0</v>
      </c>
      <c r="CG31" s="373" t="b">
        <v>1</v>
      </c>
      <c r="CH31" s="373" t="b">
        <v>1</v>
      </c>
      <c r="CI31" s="373" t="b">
        <v>1</v>
      </c>
      <c r="CJ31" s="373" t="b">
        <v>0</v>
      </c>
      <c r="CK31" s="373" t="b">
        <v>1</v>
      </c>
      <c r="CL31" s="373" t="b">
        <v>1</v>
      </c>
      <c r="CM31" s="373" t="b">
        <v>0</v>
      </c>
      <c r="CN31" s="373">
        <v>1</v>
      </c>
      <c r="CO31" s="373">
        <v>2</v>
      </c>
      <c r="CP31" s="373">
        <v>2.5</v>
      </c>
      <c r="CQ31" s="373">
        <v>1</v>
      </c>
      <c r="CR31" s="373">
        <v>1.5</v>
      </c>
      <c r="CS31" s="373">
        <v>2.5</v>
      </c>
      <c r="CT31" s="373">
        <v>1.5</v>
      </c>
      <c r="CU31" s="373">
        <v>1</v>
      </c>
      <c r="CV31" s="373" t="s">
        <v>891</v>
      </c>
      <c r="CW31" s="373">
        <v>3</v>
      </c>
      <c r="CX31" s="373">
        <v>3</v>
      </c>
      <c r="CY31" s="373">
        <v>4</v>
      </c>
      <c r="CZ31" s="373">
        <v>4</v>
      </c>
      <c r="DA31" s="373" t="s">
        <v>356</v>
      </c>
      <c r="DB31" s="373">
        <v>4</v>
      </c>
      <c r="DC31" s="373">
        <v>3</v>
      </c>
      <c r="DD31" s="373" t="s">
        <v>356</v>
      </c>
      <c r="DE31" s="206">
        <f t="shared" si="328"/>
        <v>3.00000000004</v>
      </c>
      <c r="DF31" s="206">
        <f t="shared" si="329"/>
        <v>3.00000000002</v>
      </c>
      <c r="DG31" s="206">
        <f t="shared" si="330"/>
        <v>4.00000000003</v>
      </c>
      <c r="DH31" s="206">
        <f t="shared" si="331"/>
        <v>4.00000000001</v>
      </c>
      <c r="DI31" s="206">
        <f t="shared" si="332"/>
        <v>0</v>
      </c>
      <c r="DJ31" s="206">
        <f t="shared" si="333"/>
        <v>4.00000000006</v>
      </c>
      <c r="DK31" s="206">
        <f t="shared" si="334"/>
        <v>3.00000000007</v>
      </c>
      <c r="DL31" s="206">
        <f t="shared" si="335"/>
        <v>0</v>
      </c>
      <c r="DM31" s="373">
        <f t="shared" si="311"/>
        <v>3.00000000004</v>
      </c>
      <c r="DN31" s="373">
        <f t="shared" si="312"/>
        <v>6.00000000004</v>
      </c>
      <c r="DO31" s="373">
        <f t="shared" si="313"/>
        <v>10.000000000075</v>
      </c>
      <c r="DP31" s="373">
        <f t="shared" si="314"/>
        <v>4.00000000001</v>
      </c>
      <c r="DQ31" s="373">
        <f t="shared" si="315"/>
        <v>0</v>
      </c>
      <c r="DR31" s="373">
        <f t="shared" si="316"/>
        <v>10.000000000149999</v>
      </c>
      <c r="DS31" s="373">
        <f t="shared" si="317"/>
        <v>4.5000000001050005</v>
      </c>
      <c r="DT31" s="373">
        <f t="shared" si="318"/>
        <v>0</v>
      </c>
      <c r="DU31" s="373" t="b">
        <v>0</v>
      </c>
      <c r="DV31" s="373" t="b">
        <v>1</v>
      </c>
      <c r="DW31" s="373" t="b">
        <v>1</v>
      </c>
      <c r="DX31" s="373" t="b">
        <v>1</v>
      </c>
      <c r="DY31" s="373" t="b">
        <v>0</v>
      </c>
      <c r="DZ31" s="373" t="b">
        <v>1</v>
      </c>
      <c r="EA31" s="373" t="b">
        <v>1</v>
      </c>
      <c r="EB31" s="373" t="b">
        <v>0</v>
      </c>
      <c r="EC31" s="373" t="s">
        <v>435</v>
      </c>
      <c r="ED31" s="373" t="s">
        <v>435</v>
      </c>
      <c r="EE31" s="373" t="s">
        <v>435</v>
      </c>
      <c r="EF31" s="373" t="s">
        <v>435</v>
      </c>
      <c r="EG31" s="373" t="s">
        <v>435</v>
      </c>
      <c r="EH31" s="373" t="s">
        <v>435</v>
      </c>
      <c r="EI31" s="373" t="s">
        <v>435</v>
      </c>
      <c r="EJ31" s="373" t="s">
        <v>435</v>
      </c>
      <c r="EK31" s="373" t="s">
        <v>435</v>
      </c>
      <c r="EL31" s="373" t="s">
        <v>435</v>
      </c>
      <c r="EM31" s="373" t="s">
        <v>435</v>
      </c>
      <c r="EN31" s="373" t="s">
        <v>435</v>
      </c>
      <c r="EO31" s="373" t="s">
        <v>435</v>
      </c>
      <c r="EP31" s="373" t="s">
        <v>435</v>
      </c>
      <c r="EQ31" s="373" t="s">
        <v>435</v>
      </c>
      <c r="ER31" s="373" t="s">
        <v>435</v>
      </c>
      <c r="FA31" s="373" t="s">
        <v>435</v>
      </c>
      <c r="FB31" s="373" t="s">
        <v>435</v>
      </c>
      <c r="FC31" s="373" t="s">
        <v>435</v>
      </c>
      <c r="FD31" s="373" t="s">
        <v>435</v>
      </c>
      <c r="FE31" s="373" t="s">
        <v>435</v>
      </c>
      <c r="FF31" s="373" t="s">
        <v>435</v>
      </c>
      <c r="FG31" s="373" t="s">
        <v>435</v>
      </c>
      <c r="FH31" s="373" t="s">
        <v>435</v>
      </c>
      <c r="FI31" s="373" t="s">
        <v>435</v>
      </c>
      <c r="FJ31" s="373" t="s">
        <v>435</v>
      </c>
      <c r="FK31" s="373" t="s">
        <v>435</v>
      </c>
      <c r="FL31" s="373" t="s">
        <v>435</v>
      </c>
      <c r="FM31" s="373" t="s">
        <v>435</v>
      </c>
      <c r="FN31" s="373" t="s">
        <v>435</v>
      </c>
      <c r="FO31" s="373" t="s">
        <v>435</v>
      </c>
      <c r="FP31" s="373" t="s">
        <v>435</v>
      </c>
    </row>
    <row r="32" spans="1:172" s="373" customFormat="1">
      <c r="A32" s="373" t="s">
        <v>2533</v>
      </c>
      <c r="B32" s="373" t="s">
        <v>2148</v>
      </c>
      <c r="C32" s="373" t="s">
        <v>892</v>
      </c>
      <c r="D32" s="373" t="s">
        <v>2536</v>
      </c>
      <c r="E32" s="379" t="s">
        <v>2804</v>
      </c>
      <c r="F32" s="385" t="s">
        <v>356</v>
      </c>
      <c r="G32" s="385" t="s">
        <v>356</v>
      </c>
      <c r="H32" s="385" t="s">
        <v>356</v>
      </c>
      <c r="I32" s="385" t="s">
        <v>356</v>
      </c>
      <c r="J32" s="385"/>
      <c r="K32" s="385">
        <f t="shared" si="294"/>
        <v>0</v>
      </c>
      <c r="L32" s="385">
        <f t="shared" si="295"/>
        <v>0</v>
      </c>
      <c r="M32" s="385" t="s">
        <v>356</v>
      </c>
      <c r="N32" s="385" t="s">
        <v>356</v>
      </c>
      <c r="O32" s="385" t="s">
        <v>356</v>
      </c>
      <c r="P32" s="385" t="s">
        <v>356</v>
      </c>
      <c r="Q32" s="385" t="s">
        <v>356</v>
      </c>
      <c r="R32" s="385" t="s">
        <v>2534</v>
      </c>
      <c r="S32" s="385" t="s">
        <v>817</v>
      </c>
      <c r="T32" s="385">
        <v>10</v>
      </c>
      <c r="U32" s="385" t="str" cm="1">
        <f t="array" ref="U32">IFERROR(INDEX('Offer Statistics'!$Q$2:$Q$350,MATCH(1,(A32='Offer Statistics'!$B$2:$B$350)*($A$11='Offer Statistics'!$K$2:$K$350),0)),"/")</f>
        <v>/</v>
      </c>
      <c r="V32" s="385" t="str" cm="1">
        <f t="array" ref="V32">IFERROR(INDEX('Offer Statistics'!$D$2:$D$350,MATCH(1,(A32='Offer Statistics'!$B$2:$B$350)*($A$11='Offer Statistics'!$K$2:$K$350),0)),"/")</f>
        <v>/</v>
      </c>
      <c r="W32" s="385" t="str" cm="1">
        <f t="array" ref="W32">IFERROR(INDEX('Offer Statistics'!$L$2:$L$350,MATCH(1,(A32='Offer Statistics'!$B$2:$B$350)*($A$11='Offer Statistics'!$K$2:$K$350),0)),"/")</f>
        <v>/</v>
      </c>
      <c r="X32" s="385" t="str">
        <f t="shared" ref="X32" si="336">IFERROR(V32/W32,"新科目")</f>
        <v>新科目</v>
      </c>
      <c r="Y32" s="385" t="s">
        <v>817</v>
      </c>
      <c r="AB32" s="374" t="s">
        <v>889</v>
      </c>
      <c r="AC32" s="373" t="s">
        <v>2854</v>
      </c>
      <c r="AE32" s="374" t="s">
        <v>894</v>
      </c>
      <c r="AF32" s="374" t="s">
        <v>2835</v>
      </c>
      <c r="AG32" s="374" t="s">
        <v>897</v>
      </c>
      <c r="AH32" s="374" t="s">
        <v>2836</v>
      </c>
      <c r="AI32" s="374" t="s">
        <v>2837</v>
      </c>
      <c r="BG32" s="375"/>
      <c r="BP32" s="206">
        <f t="shared" si="320"/>
        <v>3.9999999999999998E-11</v>
      </c>
      <c r="BQ32" s="206">
        <f t="shared" si="321"/>
        <v>1.9999999999999999E-11</v>
      </c>
      <c r="BR32" s="206">
        <f t="shared" si="322"/>
        <v>3E-11</v>
      </c>
      <c r="BS32" s="206">
        <f t="shared" si="323"/>
        <v>9.9999999999999994E-12</v>
      </c>
      <c r="BT32" s="206">
        <f t="shared" si="324"/>
        <v>5.0000000000000002E-11</v>
      </c>
      <c r="BU32" s="206">
        <f t="shared" si="325"/>
        <v>6E-11</v>
      </c>
      <c r="BV32" s="206">
        <f t="shared" si="326"/>
        <v>7.0000000000000004E-11</v>
      </c>
      <c r="BW32" s="206">
        <f t="shared" si="327"/>
        <v>7.9999999999999995E-11</v>
      </c>
      <c r="CV32" s="375"/>
      <c r="DE32" s="206">
        <f t="shared" si="328"/>
        <v>3.9999999999999998E-11</v>
      </c>
      <c r="DF32" s="206">
        <f t="shared" si="329"/>
        <v>1.9999999999999999E-11</v>
      </c>
      <c r="DG32" s="206">
        <f t="shared" si="330"/>
        <v>3E-11</v>
      </c>
      <c r="DH32" s="206">
        <f t="shared" si="331"/>
        <v>9.9999999999999994E-12</v>
      </c>
      <c r="DI32" s="206">
        <f t="shared" si="332"/>
        <v>5.0000000000000002E-11</v>
      </c>
      <c r="DJ32" s="206">
        <f t="shared" si="333"/>
        <v>6E-11</v>
      </c>
      <c r="DK32" s="206">
        <f t="shared" si="334"/>
        <v>7.0000000000000004E-11</v>
      </c>
      <c r="DL32" s="206">
        <f t="shared" si="335"/>
        <v>7.9999999999999995E-11</v>
      </c>
    </row>
    <row r="33" spans="1:172">
      <c r="A33" s="2" t="s">
        <v>901</v>
      </c>
      <c r="B33" s="2" t="s">
        <v>249</v>
      </c>
      <c r="C33" s="2" t="s">
        <v>902</v>
      </c>
      <c r="D33" s="2" t="s">
        <v>903</v>
      </c>
      <c r="E33" s="2" t="s">
        <v>828</v>
      </c>
      <c r="F33" s="385" t="s">
        <v>356</v>
      </c>
      <c r="G33" s="385" t="s">
        <v>356</v>
      </c>
      <c r="H33" s="385">
        <v>27</v>
      </c>
      <c r="I33" s="385">
        <v>26</v>
      </c>
      <c r="J33" s="385"/>
      <c r="K33" s="385">
        <f t="shared" si="294"/>
        <v>27.000000000229999</v>
      </c>
      <c r="L33" s="385">
        <f t="shared" si="295"/>
        <v>26.000000000229999</v>
      </c>
      <c r="M33" s="385" t="s">
        <v>906</v>
      </c>
      <c r="N33" s="385" t="s">
        <v>356</v>
      </c>
      <c r="O33" s="385" t="s">
        <v>356</v>
      </c>
      <c r="P33" s="385" t="s">
        <v>356</v>
      </c>
      <c r="Q33" s="385" t="s">
        <v>356</v>
      </c>
      <c r="R33" s="385" t="s">
        <v>905</v>
      </c>
      <c r="S33" s="385" t="s">
        <v>817</v>
      </c>
      <c r="T33" s="385">
        <v>39</v>
      </c>
      <c r="U33" s="385" cm="1">
        <f t="array" ref="U33">IFERROR(INDEX('Offer Statistics'!$Q$2:$Q$350,MATCH(1,(A33='Offer Statistics'!$B$2:$B$350)*($A$11='Offer Statistics'!$K$2:$K$350),0)),"/")</f>
        <v>32</v>
      </c>
      <c r="V33" s="385" cm="1">
        <f t="array" ref="V33">IFERROR(INDEX('Offer Statistics'!$D$2:$D$350,MATCH(1,(A33='Offer Statistics'!$B$2:$B$350)*($A$11='Offer Statistics'!$K$2:$K$350),0)),"/")</f>
        <v>169</v>
      </c>
      <c r="W33" s="385" cm="1">
        <f t="array" ref="W33">IFERROR(INDEX('Offer Statistics'!$L$2:$L$350,MATCH(1,(A33='Offer Statistics'!$B$2:$B$350)*($A$11='Offer Statistics'!$K$2:$K$350),0)),"/")</f>
        <v>32</v>
      </c>
      <c r="X33" s="385">
        <f t="shared" si="319"/>
        <v>5.28125</v>
      </c>
      <c r="Y33" s="385" t="s">
        <v>817</v>
      </c>
      <c r="Z33" s="365" t="str">
        <f>入學要求!AF42</f>
        <v>/</v>
      </c>
      <c r="AA33" s="365" t="str">
        <f>入學要求!AG42</f>
        <v>/</v>
      </c>
      <c r="AB33" s="95" t="s">
        <v>889</v>
      </c>
      <c r="AC33" s="95"/>
      <c r="AD33" s="95"/>
      <c r="AE33" s="95" t="s">
        <v>890</v>
      </c>
      <c r="AF33" s="95" t="s">
        <v>356</v>
      </c>
      <c r="AG33" s="95" t="s">
        <v>356</v>
      </c>
      <c r="AH33" s="95" t="s">
        <v>356</v>
      </c>
      <c r="AI33" s="95" t="s">
        <v>356</v>
      </c>
      <c r="AJ33" s="2" t="s">
        <v>818</v>
      </c>
      <c r="AK33" s="2" t="s">
        <v>907</v>
      </c>
      <c r="AL33" s="2" t="s">
        <v>356</v>
      </c>
      <c r="AM33" s="2" t="s">
        <v>435</v>
      </c>
      <c r="AN33" s="2" t="s">
        <v>435</v>
      </c>
      <c r="AO33" s="2" t="s">
        <v>435</v>
      </c>
      <c r="AP33" s="2" t="s">
        <v>435</v>
      </c>
      <c r="AQ33" s="2" t="s">
        <v>356</v>
      </c>
      <c r="AS33" s="2" t="s">
        <v>820</v>
      </c>
      <c r="AU33" s="2" t="s">
        <v>817</v>
      </c>
      <c r="AY33" s="51">
        <v>1</v>
      </c>
      <c r="AZ33" s="51">
        <v>1</v>
      </c>
      <c r="BA33" s="51">
        <v>1</v>
      </c>
      <c r="BB33" s="51">
        <v>1</v>
      </c>
      <c r="BC33" s="51">
        <v>1</v>
      </c>
      <c r="BD33" s="51">
        <v>1</v>
      </c>
      <c r="BE33" s="51">
        <v>1</v>
      </c>
      <c r="BF33" s="51">
        <v>1</v>
      </c>
      <c r="BG33" s="51" t="s">
        <v>901</v>
      </c>
      <c r="BH33" s="2">
        <v>3</v>
      </c>
      <c r="BI33" s="2">
        <v>5</v>
      </c>
      <c r="BJ33" s="2">
        <v>4</v>
      </c>
      <c r="BK33" s="2">
        <v>4</v>
      </c>
      <c r="BL33" s="2" t="s">
        <v>356</v>
      </c>
      <c r="BM33" s="2">
        <v>5</v>
      </c>
      <c r="BN33" s="2">
        <v>5</v>
      </c>
      <c r="BO33" s="2" t="s">
        <v>356</v>
      </c>
      <c r="BP33" s="206">
        <f t="shared" si="320"/>
        <v>3.00000000004</v>
      </c>
      <c r="BQ33" s="206">
        <f t="shared" si="321"/>
        <v>5.00000000002</v>
      </c>
      <c r="BR33" s="206">
        <f t="shared" si="322"/>
        <v>4.00000000003</v>
      </c>
      <c r="BS33" s="206">
        <f t="shared" si="323"/>
        <v>4.00000000001</v>
      </c>
      <c r="BT33" s="206">
        <f t="shared" si="324"/>
        <v>0</v>
      </c>
      <c r="BU33" s="206">
        <f t="shared" si="325"/>
        <v>5.00000000006</v>
      </c>
      <c r="BV33" s="206">
        <f t="shared" si="326"/>
        <v>5.00000000007</v>
      </c>
      <c r="BW33" s="206">
        <f t="shared" si="327"/>
        <v>0</v>
      </c>
      <c r="BX33" s="2">
        <f t="shared" ref="BX33:BX67" si="337">AY33*BP33</f>
        <v>3.00000000004</v>
      </c>
      <c r="BY33" s="2">
        <f t="shared" ref="BY33:BY67" si="338">AZ33*BQ33</f>
        <v>5.00000000002</v>
      </c>
      <c r="BZ33" s="2">
        <f t="shared" ref="BZ33:BZ67" si="339">BA33*BR33</f>
        <v>4.00000000003</v>
      </c>
      <c r="CA33" s="2">
        <f t="shared" ref="CA33:CA67" si="340">BB33*BS33</f>
        <v>4.00000000001</v>
      </c>
      <c r="CB33" s="2">
        <f t="shared" ref="CB33:CB67" si="341">BC33*BT33</f>
        <v>0</v>
      </c>
      <c r="CC33" s="2">
        <f t="shared" ref="CC33:CC67" si="342">BD33*BU33</f>
        <v>5.00000000006</v>
      </c>
      <c r="CD33" s="2">
        <f t="shared" ref="CD33:CD67" si="343">BE33*BV33</f>
        <v>5.00000000007</v>
      </c>
      <c r="CE33" s="2">
        <f t="shared" ref="CE33:CE67" si="344">BF33*BW33</f>
        <v>0</v>
      </c>
      <c r="CF33" s="2" t="b">
        <v>1</v>
      </c>
      <c r="CG33" s="2" t="b">
        <v>1</v>
      </c>
      <c r="CH33" s="2" t="b">
        <v>1</v>
      </c>
      <c r="CI33" s="2" t="b">
        <v>1</v>
      </c>
      <c r="CJ33" s="2" t="b">
        <v>0</v>
      </c>
      <c r="CK33" s="2" t="b">
        <v>1</v>
      </c>
      <c r="CL33" s="2" t="b">
        <v>1</v>
      </c>
      <c r="CM33" s="2" t="b">
        <v>0</v>
      </c>
      <c r="CN33" s="51">
        <v>1</v>
      </c>
      <c r="CO33" s="51">
        <v>1</v>
      </c>
      <c r="CP33" s="51">
        <v>1</v>
      </c>
      <c r="CQ33" s="51">
        <v>1</v>
      </c>
      <c r="CR33" s="51">
        <v>1</v>
      </c>
      <c r="CS33" s="51">
        <v>1</v>
      </c>
      <c r="CT33" s="51">
        <v>1</v>
      </c>
      <c r="CU33" s="51">
        <v>1</v>
      </c>
      <c r="CV33" s="51" t="s">
        <v>901</v>
      </c>
      <c r="CW33" s="2">
        <v>4</v>
      </c>
      <c r="CX33" s="2">
        <v>5</v>
      </c>
      <c r="CY33" s="2">
        <v>5</v>
      </c>
      <c r="CZ33" s="2">
        <v>4</v>
      </c>
      <c r="DA33" s="2" t="s">
        <v>356</v>
      </c>
      <c r="DB33" s="2">
        <v>5</v>
      </c>
      <c r="DC33" s="2">
        <v>4</v>
      </c>
      <c r="DD33" s="2">
        <v>4</v>
      </c>
      <c r="DE33" s="206">
        <f t="shared" si="328"/>
        <v>4.00000000004</v>
      </c>
      <c r="DF33" s="206">
        <f t="shared" si="329"/>
        <v>5.00000000002</v>
      </c>
      <c r="DG33" s="206">
        <f t="shared" si="330"/>
        <v>5.00000000003</v>
      </c>
      <c r="DH33" s="206">
        <f t="shared" si="331"/>
        <v>4.00000000001</v>
      </c>
      <c r="DI33" s="206">
        <f t="shared" si="332"/>
        <v>0</v>
      </c>
      <c r="DJ33" s="206">
        <f t="shared" si="333"/>
        <v>5.00000000006</v>
      </c>
      <c r="DK33" s="206">
        <f t="shared" si="334"/>
        <v>4.00000000007</v>
      </c>
      <c r="DL33" s="206">
        <f t="shared" si="335"/>
        <v>4.00000000008</v>
      </c>
      <c r="DM33" s="2">
        <f t="shared" ref="DM33:DM67" si="345">CN33*DE33</f>
        <v>4.00000000004</v>
      </c>
      <c r="DN33" s="2">
        <f t="shared" ref="DN33:DN67" si="346">CO33*DF33</f>
        <v>5.00000000002</v>
      </c>
      <c r="DO33" s="2">
        <f t="shared" ref="DO33:DO67" si="347">CP33*DG33</f>
        <v>5.00000000003</v>
      </c>
      <c r="DP33" s="2">
        <f t="shared" ref="DP33:DP67" si="348">CQ33*DH33</f>
        <v>4.00000000001</v>
      </c>
      <c r="DQ33" s="2">
        <f t="shared" ref="DQ33:DQ67" si="349">CR33*DI33</f>
        <v>0</v>
      </c>
      <c r="DR33" s="2">
        <f t="shared" ref="DR33:DR67" si="350">CS33*DJ33</f>
        <v>5.00000000006</v>
      </c>
      <c r="DS33" s="2">
        <f t="shared" ref="DS33:DS67" si="351">CT33*DK33</f>
        <v>4.00000000007</v>
      </c>
      <c r="DT33" s="2">
        <f t="shared" ref="DT33:DT67" si="352">CU33*DL33</f>
        <v>4.00000000008</v>
      </c>
      <c r="DU33" s="2" t="b">
        <v>1</v>
      </c>
      <c r="DV33" s="2" t="b">
        <v>1</v>
      </c>
      <c r="DW33" s="2" t="b">
        <v>1</v>
      </c>
      <c r="DX33" s="2" t="b">
        <v>1</v>
      </c>
      <c r="DY33" s="2" t="b">
        <v>0</v>
      </c>
      <c r="DZ33" s="2" t="b">
        <v>1</v>
      </c>
      <c r="EA33" s="2" t="b">
        <v>1</v>
      </c>
      <c r="EB33" s="2" t="b">
        <v>0</v>
      </c>
      <c r="EC33" s="2" t="s">
        <v>435</v>
      </c>
      <c r="ED33" s="2" t="s">
        <v>435</v>
      </c>
      <c r="EE33" s="2" t="s">
        <v>435</v>
      </c>
      <c r="EF33" s="2" t="s">
        <v>435</v>
      </c>
      <c r="EG33" s="2" t="s">
        <v>435</v>
      </c>
      <c r="EH33" s="2" t="s">
        <v>435</v>
      </c>
      <c r="EI33" s="2" t="s">
        <v>435</v>
      </c>
      <c r="EJ33" s="2" t="s">
        <v>435</v>
      </c>
      <c r="EK33" s="2" t="s">
        <v>435</v>
      </c>
      <c r="EL33" s="2" t="s">
        <v>435</v>
      </c>
      <c r="EM33" s="2" t="s">
        <v>435</v>
      </c>
      <c r="EN33" s="2" t="s">
        <v>435</v>
      </c>
      <c r="EO33" s="2" t="s">
        <v>435</v>
      </c>
      <c r="EP33" s="2" t="s">
        <v>435</v>
      </c>
      <c r="EQ33" s="2" t="s">
        <v>435</v>
      </c>
      <c r="ER33" s="2" t="s">
        <v>435</v>
      </c>
      <c r="FA33" s="2" t="s">
        <v>435</v>
      </c>
      <c r="FB33" s="2" t="s">
        <v>435</v>
      </c>
      <c r="FC33" s="2" t="s">
        <v>435</v>
      </c>
      <c r="FD33" s="2" t="s">
        <v>435</v>
      </c>
      <c r="FE33" s="2" t="s">
        <v>435</v>
      </c>
      <c r="FF33" s="2" t="s">
        <v>435</v>
      </c>
      <c r="FG33" s="2" t="s">
        <v>435</v>
      </c>
      <c r="FH33" s="2" t="s">
        <v>435</v>
      </c>
      <c r="FI33" s="2" t="s">
        <v>435</v>
      </c>
      <c r="FJ33" s="2" t="s">
        <v>435</v>
      </c>
      <c r="FK33" s="2" t="s">
        <v>435</v>
      </c>
      <c r="FL33" s="2" t="s">
        <v>435</v>
      </c>
      <c r="FM33" s="2" t="s">
        <v>435</v>
      </c>
      <c r="FN33" s="2" t="s">
        <v>435</v>
      </c>
      <c r="FO33" s="2" t="s">
        <v>435</v>
      </c>
      <c r="FP33" s="2" t="s">
        <v>435</v>
      </c>
    </row>
    <row r="34" spans="1:172">
      <c r="A34" s="2" t="s">
        <v>908</v>
      </c>
      <c r="B34" s="2" t="s">
        <v>249</v>
      </c>
      <c r="C34" s="2" t="s">
        <v>909</v>
      </c>
      <c r="D34" s="2" t="s">
        <v>910</v>
      </c>
      <c r="E34" s="2" t="s">
        <v>828</v>
      </c>
      <c r="F34" s="385" t="s">
        <v>356</v>
      </c>
      <c r="G34" s="385" t="s">
        <v>356</v>
      </c>
      <c r="H34" s="385" t="s">
        <v>356</v>
      </c>
      <c r="I34" s="385" t="s">
        <v>356</v>
      </c>
      <c r="J34" s="385"/>
      <c r="K34" s="385">
        <f t="shared" si="294"/>
        <v>2.4E-10</v>
      </c>
      <c r="L34" s="385">
        <f t="shared" si="295"/>
        <v>0</v>
      </c>
      <c r="M34" s="385" t="s">
        <v>906</v>
      </c>
      <c r="N34" s="385" t="s">
        <v>356</v>
      </c>
      <c r="O34" s="385" t="s">
        <v>838</v>
      </c>
      <c r="P34" s="385" t="s">
        <v>356</v>
      </c>
      <c r="Q34" s="385" t="s">
        <v>356</v>
      </c>
      <c r="R34" s="385" t="s">
        <v>911</v>
      </c>
      <c r="S34" s="385" t="s">
        <v>817</v>
      </c>
      <c r="T34" s="385">
        <v>8</v>
      </c>
      <c r="U34" s="385" cm="1">
        <f t="array" ref="U34">IFERROR(INDEX('Offer Statistics'!$Q$2:$Q$350,MATCH(1,(A34='Offer Statistics'!$B$2:$B$350)*($A$11='Offer Statistics'!$K$2:$K$350),0)),"/")</f>
        <v>2</v>
      </c>
      <c r="V34" s="385" cm="1">
        <f t="array" ref="V34">IFERROR(INDEX('Offer Statistics'!$D$2:$D$350,MATCH(1,(A34='Offer Statistics'!$B$2:$B$350)*($A$11='Offer Statistics'!$K$2:$K$350),0)),"/")</f>
        <v>14</v>
      </c>
      <c r="W34" s="385" cm="1">
        <f t="array" ref="W34">IFERROR(INDEX('Offer Statistics'!$L$2:$L$350,MATCH(1,(A34='Offer Statistics'!$B$2:$B$350)*($A$11='Offer Statistics'!$K$2:$K$350),0)),"/")</f>
        <v>2</v>
      </c>
      <c r="X34" s="385">
        <f t="shared" si="319"/>
        <v>7</v>
      </c>
      <c r="Y34" s="385" t="s">
        <v>817</v>
      </c>
      <c r="Z34" s="365" t="str">
        <f>入學要求!AF43</f>
        <v>/</v>
      </c>
      <c r="AA34" s="365" t="str">
        <f>入學要求!AG43</f>
        <v>/</v>
      </c>
      <c r="AB34" s="386" t="s">
        <v>889</v>
      </c>
      <c r="AC34" s="95"/>
      <c r="AD34" s="95"/>
      <c r="AE34" s="95" t="s">
        <v>890</v>
      </c>
      <c r="AF34" s="95" t="s">
        <v>356</v>
      </c>
      <c r="AG34" s="95" t="s">
        <v>838</v>
      </c>
      <c r="AH34" s="95" t="s">
        <v>356</v>
      </c>
      <c r="AI34" s="95" t="s">
        <v>356</v>
      </c>
      <c r="AJ34" s="2" t="s">
        <v>818</v>
      </c>
      <c r="AK34" s="2" t="s">
        <v>907</v>
      </c>
      <c r="AL34" s="2" t="s">
        <v>356</v>
      </c>
      <c r="AM34" s="2" t="s">
        <v>1332</v>
      </c>
      <c r="AN34" s="2" t="s">
        <v>435</v>
      </c>
      <c r="AO34" s="2" t="s">
        <v>435</v>
      </c>
      <c r="AP34" s="2" t="s">
        <v>435</v>
      </c>
      <c r="AQ34" s="2" t="s">
        <v>356</v>
      </c>
      <c r="AS34" s="2" t="s">
        <v>820</v>
      </c>
      <c r="AU34" s="2" t="s">
        <v>817</v>
      </c>
      <c r="AY34" s="51">
        <v>1</v>
      </c>
      <c r="AZ34" s="51">
        <v>1.5</v>
      </c>
      <c r="BA34" s="51">
        <v>1</v>
      </c>
      <c r="BB34" s="51">
        <v>1</v>
      </c>
      <c r="BC34" s="51">
        <v>1</v>
      </c>
      <c r="BD34" s="51">
        <v>1</v>
      </c>
      <c r="BE34" s="51">
        <v>1</v>
      </c>
      <c r="BF34" s="51">
        <v>1</v>
      </c>
      <c r="BG34" s="51"/>
      <c r="BP34" s="206">
        <f t="shared" si="320"/>
        <v>3.9999999999999998E-11</v>
      </c>
      <c r="BQ34" s="206">
        <f t="shared" si="321"/>
        <v>1.9999999999999999E-11</v>
      </c>
      <c r="BR34" s="206">
        <f t="shared" si="322"/>
        <v>3E-11</v>
      </c>
      <c r="BS34" s="206">
        <f t="shared" si="323"/>
        <v>9.9999999999999994E-12</v>
      </c>
      <c r="BT34" s="206">
        <f t="shared" si="324"/>
        <v>5.0000000000000002E-11</v>
      </c>
      <c r="BU34" s="206">
        <f t="shared" si="325"/>
        <v>6E-11</v>
      </c>
      <c r="BV34" s="206">
        <f t="shared" si="326"/>
        <v>7.0000000000000004E-11</v>
      </c>
      <c r="BW34" s="206">
        <f t="shared" si="327"/>
        <v>7.9999999999999995E-11</v>
      </c>
      <c r="BX34" s="2">
        <f t="shared" si="337"/>
        <v>3.9999999999999998E-11</v>
      </c>
      <c r="BY34" s="2">
        <f t="shared" si="338"/>
        <v>3E-11</v>
      </c>
      <c r="BZ34" s="2">
        <f t="shared" si="339"/>
        <v>3E-11</v>
      </c>
      <c r="CA34" s="2">
        <f t="shared" si="340"/>
        <v>9.9999999999999994E-12</v>
      </c>
      <c r="CB34" s="2">
        <f t="shared" si="341"/>
        <v>5.0000000000000002E-11</v>
      </c>
      <c r="CC34" s="2">
        <f t="shared" si="342"/>
        <v>6E-11</v>
      </c>
      <c r="CD34" s="2">
        <f t="shared" si="343"/>
        <v>7.0000000000000004E-11</v>
      </c>
      <c r="CE34" s="2">
        <f t="shared" si="344"/>
        <v>7.9999999999999995E-11</v>
      </c>
      <c r="CF34" s="2" t="s">
        <v>435</v>
      </c>
      <c r="CG34" s="2" t="s">
        <v>356</v>
      </c>
      <c r="CH34" s="2" t="s">
        <v>435</v>
      </c>
      <c r="CI34" s="2" t="s">
        <v>435</v>
      </c>
      <c r="CJ34" s="2" t="s">
        <v>435</v>
      </c>
      <c r="CK34" s="2" t="s">
        <v>435</v>
      </c>
      <c r="CL34" s="2" t="s">
        <v>435</v>
      </c>
      <c r="CM34" s="2" t="s">
        <v>435</v>
      </c>
      <c r="CN34" s="51">
        <v>1</v>
      </c>
      <c r="CO34" s="51">
        <v>1.5</v>
      </c>
      <c r="CP34" s="51">
        <v>1</v>
      </c>
      <c r="CQ34" s="51">
        <v>1</v>
      </c>
      <c r="CR34" s="51">
        <v>1</v>
      </c>
      <c r="CS34" s="51">
        <v>1</v>
      </c>
      <c r="CT34" s="51">
        <v>1</v>
      </c>
      <c r="CU34" s="51">
        <v>1</v>
      </c>
      <c r="CV34" s="51"/>
      <c r="DE34" s="206">
        <f t="shared" si="328"/>
        <v>3.9999999999999998E-11</v>
      </c>
      <c r="DF34" s="206">
        <f t="shared" si="329"/>
        <v>1.9999999999999999E-11</v>
      </c>
      <c r="DG34" s="206">
        <f t="shared" si="330"/>
        <v>3E-11</v>
      </c>
      <c r="DH34" s="206">
        <f t="shared" si="331"/>
        <v>9.9999999999999994E-12</v>
      </c>
      <c r="DI34" s="206">
        <f t="shared" si="332"/>
        <v>5.0000000000000002E-11</v>
      </c>
      <c r="DJ34" s="206">
        <f t="shared" si="333"/>
        <v>6E-11</v>
      </c>
      <c r="DK34" s="206">
        <f t="shared" si="334"/>
        <v>7.0000000000000004E-11</v>
      </c>
      <c r="DL34" s="206">
        <f t="shared" si="335"/>
        <v>7.9999999999999995E-11</v>
      </c>
      <c r="DM34" s="2">
        <f t="shared" si="345"/>
        <v>3.9999999999999998E-11</v>
      </c>
      <c r="DN34" s="2">
        <f t="shared" si="346"/>
        <v>3E-11</v>
      </c>
      <c r="DO34" s="2">
        <f t="shared" si="347"/>
        <v>3E-11</v>
      </c>
      <c r="DP34" s="2">
        <f t="shared" si="348"/>
        <v>9.9999999999999994E-12</v>
      </c>
      <c r="DQ34" s="2">
        <f t="shared" si="349"/>
        <v>5.0000000000000002E-11</v>
      </c>
      <c r="DR34" s="2">
        <f t="shared" si="350"/>
        <v>6E-11</v>
      </c>
      <c r="DS34" s="2">
        <f t="shared" si="351"/>
        <v>7.0000000000000004E-11</v>
      </c>
      <c r="DT34" s="2">
        <f t="shared" si="352"/>
        <v>7.9999999999999995E-11</v>
      </c>
      <c r="DU34" s="2" t="b">
        <v>1</v>
      </c>
      <c r="DV34" s="2" t="b">
        <v>1</v>
      </c>
      <c r="DW34" s="2" t="b">
        <v>1</v>
      </c>
      <c r="DX34" s="2" t="b">
        <v>1</v>
      </c>
      <c r="DY34" s="2" t="b">
        <v>0</v>
      </c>
      <c r="DZ34" s="2" t="b">
        <v>1</v>
      </c>
      <c r="EA34" s="2" t="b">
        <v>1</v>
      </c>
      <c r="EB34" s="2" t="b">
        <v>0</v>
      </c>
      <c r="EC34" s="2" t="s">
        <v>435</v>
      </c>
      <c r="ED34" s="2" t="s">
        <v>435</v>
      </c>
      <c r="EE34" s="2" t="s">
        <v>435</v>
      </c>
      <c r="EF34" s="2" t="s">
        <v>435</v>
      </c>
      <c r="EG34" s="2" t="s">
        <v>435</v>
      </c>
      <c r="EH34" s="2" t="s">
        <v>435</v>
      </c>
      <c r="EI34" s="2" t="s">
        <v>435</v>
      </c>
      <c r="EJ34" s="2" t="s">
        <v>435</v>
      </c>
      <c r="EK34" s="2" t="s">
        <v>435</v>
      </c>
      <c r="EL34" s="2" t="s">
        <v>435</v>
      </c>
      <c r="EM34" s="2" t="s">
        <v>435</v>
      </c>
      <c r="EN34" s="2" t="s">
        <v>435</v>
      </c>
      <c r="EO34" s="2" t="s">
        <v>435</v>
      </c>
      <c r="EP34" s="2" t="s">
        <v>435</v>
      </c>
      <c r="EQ34" s="2" t="s">
        <v>435</v>
      </c>
      <c r="ER34" s="2" t="s">
        <v>435</v>
      </c>
      <c r="FA34" s="2" t="s">
        <v>435</v>
      </c>
      <c r="FB34" s="2" t="s">
        <v>435</v>
      </c>
      <c r="FC34" s="2" t="s">
        <v>435</v>
      </c>
      <c r="FD34" s="2" t="s">
        <v>435</v>
      </c>
      <c r="FE34" s="2" t="s">
        <v>435</v>
      </c>
      <c r="FF34" s="2" t="s">
        <v>435</v>
      </c>
      <c r="FG34" s="2" t="s">
        <v>435</v>
      </c>
      <c r="FH34" s="2" t="s">
        <v>435</v>
      </c>
      <c r="FI34" s="2" t="s">
        <v>435</v>
      </c>
      <c r="FJ34" s="2" t="s">
        <v>435</v>
      </c>
      <c r="FK34" s="2" t="s">
        <v>435</v>
      </c>
      <c r="FL34" s="2" t="s">
        <v>435</v>
      </c>
      <c r="FM34" s="2" t="s">
        <v>435</v>
      </c>
      <c r="FN34" s="2" t="s">
        <v>435</v>
      </c>
      <c r="FO34" s="2" t="s">
        <v>435</v>
      </c>
      <c r="FP34" s="2" t="s">
        <v>435</v>
      </c>
    </row>
    <row r="35" spans="1:172">
      <c r="A35" s="2" t="s">
        <v>912</v>
      </c>
      <c r="B35" s="2" t="s">
        <v>249</v>
      </c>
      <c r="C35" s="2" t="s">
        <v>913</v>
      </c>
      <c r="D35" s="2" t="s">
        <v>914</v>
      </c>
      <c r="E35" s="2" t="s">
        <v>815</v>
      </c>
      <c r="F35" s="385" t="s">
        <v>356</v>
      </c>
      <c r="G35" s="385" t="s">
        <v>356</v>
      </c>
      <c r="H35" s="385">
        <v>30</v>
      </c>
      <c r="I35" s="385">
        <v>29</v>
      </c>
      <c r="J35" s="385"/>
      <c r="K35" s="385">
        <f t="shared" si="294"/>
        <v>30.00000000028</v>
      </c>
      <c r="L35" s="385">
        <f t="shared" si="295"/>
        <v>29.00000000028</v>
      </c>
      <c r="M35" s="385" t="s">
        <v>356</v>
      </c>
      <c r="N35" s="385" t="s">
        <v>356</v>
      </c>
      <c r="O35" s="385" t="s">
        <v>917</v>
      </c>
      <c r="P35" s="385" t="s">
        <v>356</v>
      </c>
      <c r="Q35" s="385" t="s">
        <v>356</v>
      </c>
      <c r="R35" s="385" t="s">
        <v>916</v>
      </c>
      <c r="S35" s="385" t="s">
        <v>817</v>
      </c>
      <c r="T35" s="385">
        <v>20</v>
      </c>
      <c r="U35" s="385" cm="1">
        <f t="array" ref="U35">IFERROR(INDEX('Offer Statistics'!$Q$2:$Q$350,MATCH(1,(A35='Offer Statistics'!$B$2:$B$350)*($A$11='Offer Statistics'!$K$2:$K$350),0)),"/")</f>
        <v>19</v>
      </c>
      <c r="V35" s="385" cm="1">
        <f t="array" ref="V35">IFERROR(INDEX('Offer Statistics'!$D$2:$D$350,MATCH(1,(A35='Offer Statistics'!$B$2:$B$350)*($A$11='Offer Statistics'!$K$2:$K$350),0)),"/")</f>
        <v>67</v>
      </c>
      <c r="W35" s="385" cm="1">
        <f t="array" ref="W35">IFERROR(INDEX('Offer Statistics'!$L$2:$L$350,MATCH(1,(A35='Offer Statistics'!$B$2:$B$350)*($A$11='Offer Statistics'!$K$2:$K$350),0)),"/")</f>
        <v>16</v>
      </c>
      <c r="X35" s="385">
        <f t="shared" si="319"/>
        <v>4.1875</v>
      </c>
      <c r="Y35" s="385" t="s">
        <v>817</v>
      </c>
      <c r="Z35" s="365" t="str">
        <f>入學要求!AF44</f>
        <v>/</v>
      </c>
      <c r="AA35" s="365" t="str">
        <f>入學要求!AG44</f>
        <v>/</v>
      </c>
      <c r="AB35" s="386" t="s">
        <v>2820</v>
      </c>
      <c r="AC35" s="95"/>
      <c r="AD35" s="95"/>
      <c r="AE35" s="95" t="s">
        <v>356</v>
      </c>
      <c r="AF35" s="95" t="s">
        <v>356</v>
      </c>
      <c r="AG35" s="95" t="s">
        <v>917</v>
      </c>
      <c r="AH35" s="95" t="s">
        <v>356</v>
      </c>
      <c r="AI35" s="95" t="s">
        <v>356</v>
      </c>
      <c r="AJ35" s="2" t="s">
        <v>918</v>
      </c>
      <c r="AK35" s="2" t="s">
        <v>818</v>
      </c>
      <c r="AL35" s="2" t="s">
        <v>907</v>
      </c>
      <c r="AM35" s="2" t="s">
        <v>356</v>
      </c>
      <c r="AN35" s="2" t="s">
        <v>435</v>
      </c>
      <c r="AO35" s="2" t="s">
        <v>435</v>
      </c>
      <c r="AP35" s="2" t="s">
        <v>435</v>
      </c>
      <c r="AQ35" s="2" t="s">
        <v>356</v>
      </c>
      <c r="AS35" s="2" t="s">
        <v>820</v>
      </c>
      <c r="AU35" s="2" t="s">
        <v>817</v>
      </c>
      <c r="AY35" s="51">
        <v>1</v>
      </c>
      <c r="AZ35" s="51">
        <v>2</v>
      </c>
      <c r="BA35" s="51">
        <v>2</v>
      </c>
      <c r="BB35" s="51">
        <v>1</v>
      </c>
      <c r="BC35" s="51">
        <v>1</v>
      </c>
      <c r="BD35" s="51">
        <v>1</v>
      </c>
      <c r="BE35" s="51">
        <v>1</v>
      </c>
      <c r="BF35" s="51">
        <v>1</v>
      </c>
      <c r="BG35" s="51" t="s">
        <v>912</v>
      </c>
      <c r="BH35" s="2">
        <v>4</v>
      </c>
      <c r="BI35" s="2">
        <v>4</v>
      </c>
      <c r="BJ35" s="2">
        <v>4</v>
      </c>
      <c r="BK35" s="2">
        <v>3</v>
      </c>
      <c r="BL35" s="2" t="s">
        <v>356</v>
      </c>
      <c r="BM35" s="2">
        <v>3</v>
      </c>
      <c r="BN35" s="2">
        <v>3</v>
      </c>
      <c r="BO35" s="2" t="s">
        <v>356</v>
      </c>
      <c r="BP35" s="206">
        <f t="shared" si="320"/>
        <v>4.00000000004</v>
      </c>
      <c r="BQ35" s="206">
        <f t="shared" si="321"/>
        <v>4.00000000002</v>
      </c>
      <c r="BR35" s="206">
        <f t="shared" si="322"/>
        <v>4.00000000003</v>
      </c>
      <c r="BS35" s="206">
        <f t="shared" si="323"/>
        <v>3.00000000001</v>
      </c>
      <c r="BT35" s="206">
        <f t="shared" si="324"/>
        <v>0</v>
      </c>
      <c r="BU35" s="206">
        <f t="shared" si="325"/>
        <v>3.00000000006</v>
      </c>
      <c r="BV35" s="206">
        <f t="shared" si="326"/>
        <v>3.00000000007</v>
      </c>
      <c r="BW35" s="206">
        <f t="shared" si="327"/>
        <v>0</v>
      </c>
      <c r="BX35" s="2">
        <f t="shared" si="337"/>
        <v>4.00000000004</v>
      </c>
      <c r="BY35" s="2">
        <f t="shared" si="338"/>
        <v>8.00000000004</v>
      </c>
      <c r="BZ35" s="2">
        <f t="shared" si="339"/>
        <v>8.00000000006</v>
      </c>
      <c r="CA35" s="2">
        <f t="shared" si="340"/>
        <v>3.00000000001</v>
      </c>
      <c r="CB35" s="2">
        <f t="shared" si="341"/>
        <v>0</v>
      </c>
      <c r="CC35" s="2">
        <f t="shared" si="342"/>
        <v>3.00000000006</v>
      </c>
      <c r="CD35" s="2">
        <f t="shared" si="343"/>
        <v>3.00000000007</v>
      </c>
      <c r="CE35" s="2">
        <f t="shared" si="344"/>
        <v>0</v>
      </c>
      <c r="CF35" s="2" t="b">
        <v>1</v>
      </c>
      <c r="CG35" s="2" t="b">
        <v>1</v>
      </c>
      <c r="CH35" s="2" t="b">
        <v>1</v>
      </c>
      <c r="CI35" s="2" t="b">
        <v>1</v>
      </c>
      <c r="CJ35" s="2" t="b">
        <v>0</v>
      </c>
      <c r="CK35" s="2" t="b">
        <v>1</v>
      </c>
      <c r="CL35" s="2" t="b">
        <v>1</v>
      </c>
      <c r="CM35" s="2" t="b">
        <v>0</v>
      </c>
      <c r="CN35" s="51">
        <v>1</v>
      </c>
      <c r="CO35" s="51">
        <v>2</v>
      </c>
      <c r="CP35" s="51">
        <v>2</v>
      </c>
      <c r="CQ35" s="51">
        <v>1</v>
      </c>
      <c r="CR35" s="51">
        <v>1</v>
      </c>
      <c r="CS35" s="51">
        <v>1</v>
      </c>
      <c r="CT35" s="51">
        <v>1</v>
      </c>
      <c r="CU35" s="51">
        <v>1</v>
      </c>
      <c r="CV35" s="51" t="s">
        <v>912</v>
      </c>
      <c r="CW35" s="2">
        <v>3</v>
      </c>
      <c r="CX35" s="2">
        <v>4</v>
      </c>
      <c r="CY35" s="2">
        <v>4</v>
      </c>
      <c r="CZ35" s="2">
        <v>4</v>
      </c>
      <c r="DA35" s="2" t="s">
        <v>356</v>
      </c>
      <c r="DB35" s="2">
        <v>4</v>
      </c>
      <c r="DC35" s="2">
        <v>3</v>
      </c>
      <c r="DD35" s="2" t="s">
        <v>356</v>
      </c>
      <c r="DE35" s="206">
        <f t="shared" si="328"/>
        <v>3.00000000004</v>
      </c>
      <c r="DF35" s="206">
        <f t="shared" si="329"/>
        <v>4.00000000002</v>
      </c>
      <c r="DG35" s="206">
        <f t="shared" si="330"/>
        <v>4.00000000003</v>
      </c>
      <c r="DH35" s="206">
        <f t="shared" si="331"/>
        <v>4.00000000001</v>
      </c>
      <c r="DI35" s="206">
        <f t="shared" si="332"/>
        <v>0</v>
      </c>
      <c r="DJ35" s="206">
        <f t="shared" si="333"/>
        <v>4.00000000006</v>
      </c>
      <c r="DK35" s="206">
        <f t="shared" si="334"/>
        <v>3.00000000007</v>
      </c>
      <c r="DL35" s="206">
        <f t="shared" si="335"/>
        <v>0</v>
      </c>
      <c r="DM35" s="2">
        <f t="shared" si="345"/>
        <v>3.00000000004</v>
      </c>
      <c r="DN35" s="2">
        <f t="shared" si="346"/>
        <v>8.00000000004</v>
      </c>
      <c r="DO35" s="2">
        <f t="shared" si="347"/>
        <v>8.00000000006</v>
      </c>
      <c r="DP35" s="2">
        <f t="shared" si="348"/>
        <v>4.00000000001</v>
      </c>
      <c r="DQ35" s="2">
        <f t="shared" si="349"/>
        <v>0</v>
      </c>
      <c r="DR35" s="2">
        <f t="shared" si="350"/>
        <v>4.00000000006</v>
      </c>
      <c r="DS35" s="2">
        <f t="shared" si="351"/>
        <v>3.00000000007</v>
      </c>
      <c r="DT35" s="2">
        <f t="shared" si="352"/>
        <v>0</v>
      </c>
      <c r="DU35" s="2" t="b">
        <v>1</v>
      </c>
      <c r="DV35" s="2" t="b">
        <v>1</v>
      </c>
      <c r="DW35" s="2" t="b">
        <v>1</v>
      </c>
      <c r="DX35" s="2" t="b">
        <v>1</v>
      </c>
      <c r="DY35" s="2" t="b">
        <v>0</v>
      </c>
      <c r="DZ35" s="2" t="b">
        <v>1</v>
      </c>
      <c r="EA35" s="2" t="b">
        <v>1</v>
      </c>
      <c r="EB35" s="2" t="b">
        <v>0</v>
      </c>
      <c r="EC35" s="2" t="s">
        <v>435</v>
      </c>
      <c r="ED35" s="2" t="s">
        <v>435</v>
      </c>
      <c r="EE35" s="2" t="s">
        <v>435</v>
      </c>
      <c r="EF35" s="2" t="s">
        <v>435</v>
      </c>
      <c r="EG35" s="2" t="s">
        <v>435</v>
      </c>
      <c r="EH35" s="2" t="s">
        <v>435</v>
      </c>
      <c r="EI35" s="2" t="s">
        <v>435</v>
      </c>
      <c r="EJ35" s="2" t="s">
        <v>435</v>
      </c>
      <c r="EK35" s="2" t="s">
        <v>435</v>
      </c>
      <c r="EL35" s="2" t="s">
        <v>435</v>
      </c>
      <c r="EM35" s="2" t="s">
        <v>435</v>
      </c>
      <c r="EN35" s="2" t="s">
        <v>435</v>
      </c>
      <c r="EO35" s="2" t="s">
        <v>435</v>
      </c>
      <c r="EP35" s="2" t="s">
        <v>435</v>
      </c>
      <c r="EQ35" s="2" t="s">
        <v>435</v>
      </c>
      <c r="ER35" s="2" t="s">
        <v>435</v>
      </c>
      <c r="FA35" s="2" t="s">
        <v>435</v>
      </c>
      <c r="FB35" s="2" t="s">
        <v>435</v>
      </c>
      <c r="FC35" s="2" t="s">
        <v>435</v>
      </c>
      <c r="FD35" s="2" t="s">
        <v>435</v>
      </c>
      <c r="FE35" s="2" t="s">
        <v>435</v>
      </c>
      <c r="FF35" s="2" t="s">
        <v>435</v>
      </c>
      <c r="FG35" s="2" t="s">
        <v>435</v>
      </c>
      <c r="FH35" s="2" t="s">
        <v>435</v>
      </c>
      <c r="FI35" s="2" t="s">
        <v>435</v>
      </c>
      <c r="FJ35" s="2" t="s">
        <v>435</v>
      </c>
      <c r="FK35" s="2" t="s">
        <v>435</v>
      </c>
      <c r="FL35" s="2" t="s">
        <v>435</v>
      </c>
      <c r="FM35" s="2" t="s">
        <v>435</v>
      </c>
      <c r="FN35" s="2" t="s">
        <v>435</v>
      </c>
      <c r="FO35" s="2" t="s">
        <v>435</v>
      </c>
      <c r="FP35" s="2" t="s">
        <v>435</v>
      </c>
    </row>
    <row r="36" spans="1:172">
      <c r="A36" s="2" t="s">
        <v>919</v>
      </c>
      <c r="B36" s="2" t="s">
        <v>249</v>
      </c>
      <c r="C36" s="2" t="s">
        <v>913</v>
      </c>
      <c r="D36" s="2" t="s">
        <v>920</v>
      </c>
      <c r="E36" s="2" t="s">
        <v>815</v>
      </c>
      <c r="F36" s="385" t="s">
        <v>356</v>
      </c>
      <c r="G36" s="385" t="s">
        <v>356</v>
      </c>
      <c r="H36" s="385">
        <v>30</v>
      </c>
      <c r="I36" s="385">
        <v>29</v>
      </c>
      <c r="J36" s="385"/>
      <c r="K36" s="385">
        <f t="shared" si="294"/>
        <v>30.00000000028</v>
      </c>
      <c r="L36" s="385">
        <f t="shared" si="295"/>
        <v>29.00000000028</v>
      </c>
      <c r="M36" s="385" t="s">
        <v>356</v>
      </c>
      <c r="N36" s="385" t="s">
        <v>356</v>
      </c>
      <c r="O36" s="385" t="s">
        <v>917</v>
      </c>
      <c r="P36" s="385" t="s">
        <v>356</v>
      </c>
      <c r="Q36" s="385" t="s">
        <v>356</v>
      </c>
      <c r="R36" s="385" t="s">
        <v>921</v>
      </c>
      <c r="S36" s="385" t="s">
        <v>817</v>
      </c>
      <c r="T36" s="385">
        <v>30</v>
      </c>
      <c r="U36" s="385" cm="1">
        <f t="array" ref="U36">IFERROR(INDEX('Offer Statistics'!$Q$2:$Q$350,MATCH(1,(A36='Offer Statistics'!$B$2:$B$350)*($A$11='Offer Statistics'!$K$2:$K$350),0)),"/")</f>
        <v>28</v>
      </c>
      <c r="V36" s="385" cm="1">
        <f t="array" ref="V36">IFERROR(INDEX('Offer Statistics'!$D$2:$D$350,MATCH(1,(A36='Offer Statistics'!$B$2:$B$350)*($A$11='Offer Statistics'!$K$2:$K$350),0)),"/")</f>
        <v>102</v>
      </c>
      <c r="W36" s="385" cm="1">
        <f t="array" ref="W36">IFERROR(INDEX('Offer Statistics'!$L$2:$L$350,MATCH(1,(A36='Offer Statistics'!$B$2:$B$350)*($A$11='Offer Statistics'!$K$2:$K$350),0)),"/")</f>
        <v>18</v>
      </c>
      <c r="X36" s="385">
        <f t="shared" si="319"/>
        <v>5.666666666666667</v>
      </c>
      <c r="Y36" s="385" t="s">
        <v>817</v>
      </c>
      <c r="Z36" s="365" t="str">
        <f>入學要求!AF45</f>
        <v>/</v>
      </c>
      <c r="AA36" s="365" t="str">
        <f>入學要求!AG45</f>
        <v>/</v>
      </c>
      <c r="AB36" s="386" t="s">
        <v>2820</v>
      </c>
      <c r="AC36" s="95"/>
      <c r="AD36" s="95"/>
      <c r="AE36" s="95" t="s">
        <v>356</v>
      </c>
      <c r="AF36" s="95" t="s">
        <v>356</v>
      </c>
      <c r="AG36" s="95" t="s">
        <v>917</v>
      </c>
      <c r="AH36" s="95" t="s">
        <v>356</v>
      </c>
      <c r="AI36" s="95" t="s">
        <v>356</v>
      </c>
      <c r="AJ36" s="2" t="s">
        <v>918</v>
      </c>
      <c r="AK36" s="2" t="s">
        <v>818</v>
      </c>
      <c r="AL36" s="2" t="s">
        <v>907</v>
      </c>
      <c r="AM36" s="2" t="s">
        <v>356</v>
      </c>
      <c r="AN36" s="2" t="s">
        <v>435</v>
      </c>
      <c r="AO36" s="2" t="s">
        <v>435</v>
      </c>
      <c r="AP36" s="2" t="s">
        <v>435</v>
      </c>
      <c r="AQ36" s="2" t="s">
        <v>356</v>
      </c>
      <c r="AS36" s="2" t="s">
        <v>820</v>
      </c>
      <c r="AU36" s="2" t="s">
        <v>817</v>
      </c>
      <c r="AY36" s="51">
        <v>1</v>
      </c>
      <c r="AZ36" s="51">
        <v>2</v>
      </c>
      <c r="BA36" s="51">
        <v>2</v>
      </c>
      <c r="BB36" s="51">
        <v>1</v>
      </c>
      <c r="BC36" s="51">
        <v>1</v>
      </c>
      <c r="BD36" s="51">
        <v>1</v>
      </c>
      <c r="BE36" s="51">
        <v>1</v>
      </c>
      <c r="BF36" s="51">
        <v>1</v>
      </c>
      <c r="BG36" s="51" t="s">
        <v>919</v>
      </c>
      <c r="BH36" s="2">
        <v>4</v>
      </c>
      <c r="BI36" s="2">
        <v>3</v>
      </c>
      <c r="BJ36" s="2">
        <v>4</v>
      </c>
      <c r="BK36" s="2">
        <v>4</v>
      </c>
      <c r="BL36" s="2" t="s">
        <v>356</v>
      </c>
      <c r="BM36" s="2">
        <v>4</v>
      </c>
      <c r="BN36" s="2">
        <v>3</v>
      </c>
      <c r="BO36" s="2">
        <v>3</v>
      </c>
      <c r="BP36" s="206">
        <f t="shared" si="320"/>
        <v>4.00000000004</v>
      </c>
      <c r="BQ36" s="206">
        <f t="shared" si="321"/>
        <v>3.00000000002</v>
      </c>
      <c r="BR36" s="206">
        <f t="shared" si="322"/>
        <v>4.00000000003</v>
      </c>
      <c r="BS36" s="206">
        <f t="shared" si="323"/>
        <v>4.00000000001</v>
      </c>
      <c r="BT36" s="206">
        <f t="shared" si="324"/>
        <v>0</v>
      </c>
      <c r="BU36" s="206">
        <f t="shared" si="325"/>
        <v>4.00000000006</v>
      </c>
      <c r="BV36" s="206">
        <f t="shared" si="326"/>
        <v>3.00000000007</v>
      </c>
      <c r="BW36" s="206">
        <f t="shared" si="327"/>
        <v>3.00000000008</v>
      </c>
      <c r="BX36" s="2">
        <f t="shared" si="337"/>
        <v>4.00000000004</v>
      </c>
      <c r="BY36" s="2">
        <f t="shared" si="338"/>
        <v>6.00000000004</v>
      </c>
      <c r="BZ36" s="2">
        <f t="shared" si="339"/>
        <v>8.00000000006</v>
      </c>
      <c r="CA36" s="2">
        <f t="shared" si="340"/>
        <v>4.00000000001</v>
      </c>
      <c r="CB36" s="2">
        <f t="shared" si="341"/>
        <v>0</v>
      </c>
      <c r="CC36" s="2">
        <f t="shared" si="342"/>
        <v>4.00000000006</v>
      </c>
      <c r="CD36" s="2">
        <f t="shared" si="343"/>
        <v>3.00000000007</v>
      </c>
      <c r="CE36" s="2">
        <f t="shared" si="344"/>
        <v>3.00000000008</v>
      </c>
      <c r="CF36" s="2" t="b">
        <v>1</v>
      </c>
      <c r="CG36" s="2" t="b">
        <v>1</v>
      </c>
      <c r="CH36" s="2" t="b">
        <v>1</v>
      </c>
      <c r="CI36" s="2" t="b">
        <v>1</v>
      </c>
      <c r="CJ36" s="2" t="b">
        <v>0</v>
      </c>
      <c r="CK36" s="2" t="b">
        <v>1</v>
      </c>
      <c r="CL36" s="2" t="b">
        <v>1</v>
      </c>
      <c r="CM36" s="2" t="b">
        <v>0</v>
      </c>
      <c r="CN36" s="51">
        <v>1</v>
      </c>
      <c r="CO36" s="51">
        <v>2</v>
      </c>
      <c r="CP36" s="51">
        <v>2</v>
      </c>
      <c r="CQ36" s="51">
        <v>1</v>
      </c>
      <c r="CR36" s="51">
        <v>1</v>
      </c>
      <c r="CS36" s="51">
        <v>1</v>
      </c>
      <c r="CT36" s="51">
        <v>1</v>
      </c>
      <c r="CU36" s="51">
        <v>1</v>
      </c>
      <c r="CV36" s="51" t="s">
        <v>919</v>
      </c>
      <c r="CW36" s="2">
        <v>3</v>
      </c>
      <c r="CX36" s="2">
        <v>4</v>
      </c>
      <c r="CY36" s="2">
        <v>4</v>
      </c>
      <c r="CZ36" s="2">
        <v>3</v>
      </c>
      <c r="DA36" s="2" t="s">
        <v>356</v>
      </c>
      <c r="DB36" s="2">
        <v>4</v>
      </c>
      <c r="DC36" s="2">
        <v>4</v>
      </c>
      <c r="DD36" s="2" t="s">
        <v>356</v>
      </c>
      <c r="DE36" s="206">
        <f t="shared" si="328"/>
        <v>3.00000000004</v>
      </c>
      <c r="DF36" s="206">
        <f t="shared" si="329"/>
        <v>4.00000000002</v>
      </c>
      <c r="DG36" s="206">
        <f t="shared" si="330"/>
        <v>4.00000000003</v>
      </c>
      <c r="DH36" s="206">
        <f t="shared" si="331"/>
        <v>3.00000000001</v>
      </c>
      <c r="DI36" s="206">
        <f t="shared" si="332"/>
        <v>0</v>
      </c>
      <c r="DJ36" s="206">
        <f t="shared" si="333"/>
        <v>4.00000000006</v>
      </c>
      <c r="DK36" s="206">
        <f t="shared" si="334"/>
        <v>4.00000000007</v>
      </c>
      <c r="DL36" s="206">
        <f t="shared" si="335"/>
        <v>0</v>
      </c>
      <c r="DM36" s="2">
        <f t="shared" si="345"/>
        <v>3.00000000004</v>
      </c>
      <c r="DN36" s="2">
        <f t="shared" si="346"/>
        <v>8.00000000004</v>
      </c>
      <c r="DO36" s="2">
        <f t="shared" si="347"/>
        <v>8.00000000006</v>
      </c>
      <c r="DP36" s="2">
        <f t="shared" si="348"/>
        <v>3.00000000001</v>
      </c>
      <c r="DQ36" s="2">
        <f t="shared" si="349"/>
        <v>0</v>
      </c>
      <c r="DR36" s="2">
        <f t="shared" si="350"/>
        <v>4.00000000006</v>
      </c>
      <c r="DS36" s="2">
        <f t="shared" si="351"/>
        <v>4.00000000007</v>
      </c>
      <c r="DT36" s="2">
        <f t="shared" si="352"/>
        <v>0</v>
      </c>
      <c r="DU36" s="2" t="b">
        <v>1</v>
      </c>
      <c r="DV36" s="2" t="b">
        <v>1</v>
      </c>
      <c r="DW36" s="2" t="b">
        <v>1</v>
      </c>
      <c r="DX36" s="2" t="b">
        <v>1</v>
      </c>
      <c r="DY36" s="2" t="b">
        <v>0</v>
      </c>
      <c r="DZ36" s="2" t="b">
        <v>1</v>
      </c>
      <c r="EA36" s="2" t="b">
        <v>1</v>
      </c>
      <c r="EB36" s="2" t="b">
        <v>0</v>
      </c>
      <c r="EC36" s="2" t="s">
        <v>435</v>
      </c>
      <c r="ED36" s="2" t="s">
        <v>435</v>
      </c>
      <c r="EE36" s="2" t="s">
        <v>435</v>
      </c>
      <c r="EF36" s="2" t="s">
        <v>435</v>
      </c>
      <c r="EG36" s="2" t="s">
        <v>435</v>
      </c>
      <c r="EH36" s="2" t="s">
        <v>435</v>
      </c>
      <c r="EI36" s="2" t="s">
        <v>435</v>
      </c>
      <c r="EJ36" s="2" t="s">
        <v>435</v>
      </c>
      <c r="EK36" s="2" t="s">
        <v>435</v>
      </c>
      <c r="EL36" s="2" t="s">
        <v>435</v>
      </c>
      <c r="EM36" s="2" t="s">
        <v>435</v>
      </c>
      <c r="EN36" s="2" t="s">
        <v>435</v>
      </c>
      <c r="EO36" s="2" t="s">
        <v>435</v>
      </c>
      <c r="EP36" s="2" t="s">
        <v>435</v>
      </c>
      <c r="EQ36" s="2" t="s">
        <v>435</v>
      </c>
      <c r="ER36" s="2" t="s">
        <v>435</v>
      </c>
      <c r="FA36" s="2" t="s">
        <v>435</v>
      </c>
      <c r="FB36" s="2" t="s">
        <v>435</v>
      </c>
      <c r="FC36" s="2" t="s">
        <v>435</v>
      </c>
      <c r="FD36" s="2" t="s">
        <v>435</v>
      </c>
      <c r="FE36" s="2" t="s">
        <v>435</v>
      </c>
      <c r="FF36" s="2" t="s">
        <v>435</v>
      </c>
      <c r="FG36" s="2" t="s">
        <v>435</v>
      </c>
      <c r="FH36" s="2" t="s">
        <v>435</v>
      </c>
      <c r="FI36" s="2" t="s">
        <v>435</v>
      </c>
      <c r="FJ36" s="2" t="s">
        <v>435</v>
      </c>
      <c r="FK36" s="2" t="s">
        <v>435</v>
      </c>
      <c r="FL36" s="2" t="s">
        <v>435</v>
      </c>
      <c r="FM36" s="2" t="s">
        <v>435</v>
      </c>
      <c r="FN36" s="2" t="s">
        <v>435</v>
      </c>
      <c r="FO36" s="2" t="s">
        <v>435</v>
      </c>
      <c r="FP36" s="2" t="s">
        <v>435</v>
      </c>
    </row>
    <row r="37" spans="1:172">
      <c r="A37" s="2" t="s">
        <v>922</v>
      </c>
      <c r="B37" s="2" t="s">
        <v>249</v>
      </c>
      <c r="C37" s="2" t="s">
        <v>913</v>
      </c>
      <c r="D37" s="2" t="s">
        <v>923</v>
      </c>
      <c r="E37" s="2" t="s">
        <v>815</v>
      </c>
      <c r="F37" s="385" t="s">
        <v>356</v>
      </c>
      <c r="G37" s="385" t="s">
        <v>356</v>
      </c>
      <c r="H37" s="385">
        <v>30</v>
      </c>
      <c r="I37" s="385">
        <v>29</v>
      </c>
      <c r="J37" s="385"/>
      <c r="K37" s="385">
        <f t="shared" si="294"/>
        <v>30.00000000028</v>
      </c>
      <c r="L37" s="385">
        <f t="shared" si="295"/>
        <v>29.00000000028</v>
      </c>
      <c r="M37" s="385" t="s">
        <v>356</v>
      </c>
      <c r="N37" s="385" t="s">
        <v>356</v>
      </c>
      <c r="O37" s="385" t="s">
        <v>917</v>
      </c>
      <c r="P37" s="385" t="s">
        <v>356</v>
      </c>
      <c r="Q37" s="385" t="s">
        <v>356</v>
      </c>
      <c r="R37" s="385" t="s">
        <v>924</v>
      </c>
      <c r="S37" s="385" t="s">
        <v>817</v>
      </c>
      <c r="T37" s="385">
        <v>20</v>
      </c>
      <c r="U37" s="385" cm="1">
        <f t="array" ref="U37">IFERROR(INDEX('Offer Statistics'!$Q$2:$Q$350,MATCH(1,(A37='Offer Statistics'!$B$2:$B$350)*($A$11='Offer Statistics'!$K$2:$K$350),0)),"/")</f>
        <v>20</v>
      </c>
      <c r="V37" s="385" cm="1">
        <f t="array" ref="V37">IFERROR(INDEX('Offer Statistics'!$D$2:$D$350,MATCH(1,(A37='Offer Statistics'!$B$2:$B$350)*($A$11='Offer Statistics'!$K$2:$K$350),0)),"/")</f>
        <v>71</v>
      </c>
      <c r="W37" s="385" cm="1">
        <f t="array" ref="W37">IFERROR(INDEX('Offer Statistics'!$L$2:$L$350,MATCH(1,(A37='Offer Statistics'!$B$2:$B$350)*($A$11='Offer Statistics'!$K$2:$K$350),0)),"/")</f>
        <v>10</v>
      </c>
      <c r="X37" s="385">
        <f t="shared" si="319"/>
        <v>7.1</v>
      </c>
      <c r="Y37" s="385" t="s">
        <v>817</v>
      </c>
      <c r="Z37" s="365" t="str">
        <f>入學要求!AF46</f>
        <v>/</v>
      </c>
      <c r="AA37" s="365" t="str">
        <f>入學要求!AG46</f>
        <v>/</v>
      </c>
      <c r="AB37" s="386" t="s">
        <v>2820</v>
      </c>
      <c r="AC37" s="95"/>
      <c r="AD37" s="95"/>
      <c r="AE37" s="95" t="s">
        <v>356</v>
      </c>
      <c r="AF37" s="95" t="s">
        <v>356</v>
      </c>
      <c r="AG37" s="95" t="s">
        <v>917</v>
      </c>
      <c r="AH37" s="95" t="s">
        <v>356</v>
      </c>
      <c r="AI37" s="95" t="s">
        <v>356</v>
      </c>
      <c r="AJ37" s="2" t="s">
        <v>918</v>
      </c>
      <c r="AK37" s="2" t="s">
        <v>818</v>
      </c>
      <c r="AL37" s="2" t="s">
        <v>907</v>
      </c>
      <c r="AM37" s="2" t="s">
        <v>356</v>
      </c>
      <c r="AN37" s="2" t="s">
        <v>435</v>
      </c>
      <c r="AO37" s="2" t="s">
        <v>435</v>
      </c>
      <c r="AP37" s="2" t="s">
        <v>435</v>
      </c>
      <c r="AQ37" s="2" t="s">
        <v>356</v>
      </c>
      <c r="AS37" s="2" t="s">
        <v>820</v>
      </c>
      <c r="AU37" s="2" t="s">
        <v>817</v>
      </c>
      <c r="AY37" s="51">
        <v>1</v>
      </c>
      <c r="AZ37" s="51">
        <v>2</v>
      </c>
      <c r="BA37" s="51">
        <v>2</v>
      </c>
      <c r="BB37" s="51">
        <v>1</v>
      </c>
      <c r="BC37" s="51">
        <v>1</v>
      </c>
      <c r="BD37" s="51">
        <v>1</v>
      </c>
      <c r="BE37" s="51">
        <v>1</v>
      </c>
      <c r="BF37" s="51">
        <v>1</v>
      </c>
      <c r="BG37" s="51" t="s">
        <v>922</v>
      </c>
      <c r="BH37" s="2">
        <v>4</v>
      </c>
      <c r="BI37" s="2">
        <v>4</v>
      </c>
      <c r="BJ37" s="2">
        <v>3</v>
      </c>
      <c r="BK37" s="2">
        <v>3</v>
      </c>
      <c r="BL37" s="2" t="s">
        <v>356</v>
      </c>
      <c r="BM37" s="2">
        <v>4</v>
      </c>
      <c r="BN37" s="2">
        <v>4</v>
      </c>
      <c r="BO37" s="2" t="s">
        <v>356</v>
      </c>
      <c r="BP37" s="206">
        <f t="shared" si="320"/>
        <v>4.00000000004</v>
      </c>
      <c r="BQ37" s="206">
        <f t="shared" si="321"/>
        <v>4.00000000002</v>
      </c>
      <c r="BR37" s="206">
        <f t="shared" si="322"/>
        <v>3.00000000003</v>
      </c>
      <c r="BS37" s="206">
        <f t="shared" si="323"/>
        <v>3.00000000001</v>
      </c>
      <c r="BT37" s="206">
        <f t="shared" si="324"/>
        <v>0</v>
      </c>
      <c r="BU37" s="206">
        <f t="shared" si="325"/>
        <v>4.00000000006</v>
      </c>
      <c r="BV37" s="206">
        <f t="shared" si="326"/>
        <v>4.00000000007</v>
      </c>
      <c r="BW37" s="206">
        <f t="shared" si="327"/>
        <v>0</v>
      </c>
      <c r="BX37" s="2">
        <f t="shared" si="337"/>
        <v>4.00000000004</v>
      </c>
      <c r="BY37" s="2">
        <f t="shared" si="338"/>
        <v>8.00000000004</v>
      </c>
      <c r="BZ37" s="2">
        <f t="shared" si="339"/>
        <v>6.00000000006</v>
      </c>
      <c r="CA37" s="2">
        <f t="shared" si="340"/>
        <v>3.00000000001</v>
      </c>
      <c r="CB37" s="2">
        <f t="shared" si="341"/>
        <v>0</v>
      </c>
      <c r="CC37" s="2">
        <f t="shared" si="342"/>
        <v>4.00000000006</v>
      </c>
      <c r="CD37" s="2">
        <f t="shared" si="343"/>
        <v>4.00000000007</v>
      </c>
      <c r="CE37" s="2">
        <f t="shared" si="344"/>
        <v>0</v>
      </c>
      <c r="CF37" s="2" t="b">
        <v>1</v>
      </c>
      <c r="CG37" s="2" t="b">
        <v>1</v>
      </c>
      <c r="CH37" s="2" t="b">
        <v>1</v>
      </c>
      <c r="CI37" s="2" t="b">
        <v>1</v>
      </c>
      <c r="CJ37" s="2" t="b">
        <v>0</v>
      </c>
      <c r="CK37" s="2" t="b">
        <v>1</v>
      </c>
      <c r="CL37" s="2" t="b">
        <v>1</v>
      </c>
      <c r="CM37" s="2" t="b">
        <v>0</v>
      </c>
      <c r="CN37" s="51">
        <v>1</v>
      </c>
      <c r="CO37" s="51">
        <v>2</v>
      </c>
      <c r="CP37" s="51">
        <v>2</v>
      </c>
      <c r="CQ37" s="51">
        <v>1</v>
      </c>
      <c r="CR37" s="51">
        <v>1</v>
      </c>
      <c r="CS37" s="51">
        <v>1</v>
      </c>
      <c r="CT37" s="51">
        <v>1</v>
      </c>
      <c r="CU37" s="51">
        <v>1</v>
      </c>
      <c r="CV37" s="51" t="s">
        <v>922</v>
      </c>
      <c r="CW37" s="2">
        <v>3</v>
      </c>
      <c r="CX37" s="2">
        <v>4</v>
      </c>
      <c r="CY37" s="2">
        <v>4</v>
      </c>
      <c r="CZ37" s="2">
        <v>4</v>
      </c>
      <c r="DA37" s="2" t="s">
        <v>356</v>
      </c>
      <c r="DB37" s="2">
        <v>4</v>
      </c>
      <c r="DC37" s="2">
        <v>3</v>
      </c>
      <c r="DD37" s="2">
        <v>3</v>
      </c>
      <c r="DE37" s="206">
        <f t="shared" si="328"/>
        <v>3.00000000004</v>
      </c>
      <c r="DF37" s="206">
        <f t="shared" si="329"/>
        <v>4.00000000002</v>
      </c>
      <c r="DG37" s="206">
        <f t="shared" si="330"/>
        <v>4.00000000003</v>
      </c>
      <c r="DH37" s="206">
        <f t="shared" si="331"/>
        <v>4.00000000001</v>
      </c>
      <c r="DI37" s="206">
        <f t="shared" si="332"/>
        <v>0</v>
      </c>
      <c r="DJ37" s="206">
        <f t="shared" si="333"/>
        <v>4.00000000006</v>
      </c>
      <c r="DK37" s="206">
        <f t="shared" si="334"/>
        <v>3.00000000007</v>
      </c>
      <c r="DL37" s="206">
        <f t="shared" si="335"/>
        <v>3.00000000008</v>
      </c>
      <c r="DM37" s="2">
        <f t="shared" si="345"/>
        <v>3.00000000004</v>
      </c>
      <c r="DN37" s="2">
        <f t="shared" si="346"/>
        <v>8.00000000004</v>
      </c>
      <c r="DO37" s="2">
        <f t="shared" si="347"/>
        <v>8.00000000006</v>
      </c>
      <c r="DP37" s="2">
        <f t="shared" si="348"/>
        <v>4.00000000001</v>
      </c>
      <c r="DQ37" s="2">
        <f t="shared" si="349"/>
        <v>0</v>
      </c>
      <c r="DR37" s="2">
        <f t="shared" si="350"/>
        <v>4.00000000006</v>
      </c>
      <c r="DS37" s="2">
        <f t="shared" si="351"/>
        <v>3.00000000007</v>
      </c>
      <c r="DT37" s="2">
        <f t="shared" si="352"/>
        <v>3.00000000008</v>
      </c>
      <c r="DU37" s="2" t="b">
        <v>1</v>
      </c>
      <c r="DV37" s="2" t="b">
        <v>1</v>
      </c>
      <c r="DW37" s="2" t="b">
        <v>1</v>
      </c>
      <c r="DX37" s="2" t="b">
        <v>1</v>
      </c>
      <c r="DY37" s="2" t="b">
        <v>0</v>
      </c>
      <c r="DZ37" s="2" t="b">
        <v>1</v>
      </c>
      <c r="EA37" s="2" t="b">
        <v>1</v>
      </c>
      <c r="EB37" s="2" t="b">
        <v>0</v>
      </c>
      <c r="EC37" s="2" t="s">
        <v>435</v>
      </c>
      <c r="ED37" s="2" t="s">
        <v>435</v>
      </c>
      <c r="EE37" s="2" t="s">
        <v>435</v>
      </c>
      <c r="EF37" s="2" t="s">
        <v>435</v>
      </c>
      <c r="EG37" s="2" t="s">
        <v>435</v>
      </c>
      <c r="EH37" s="2" t="s">
        <v>435</v>
      </c>
      <c r="EI37" s="2" t="s">
        <v>435</v>
      </c>
      <c r="EJ37" s="2" t="s">
        <v>435</v>
      </c>
      <c r="EK37" s="2" t="s">
        <v>435</v>
      </c>
      <c r="EL37" s="2" t="s">
        <v>435</v>
      </c>
      <c r="EM37" s="2" t="s">
        <v>435</v>
      </c>
      <c r="EN37" s="2" t="s">
        <v>435</v>
      </c>
      <c r="EO37" s="2" t="s">
        <v>435</v>
      </c>
      <c r="EP37" s="2" t="s">
        <v>435</v>
      </c>
      <c r="EQ37" s="2" t="s">
        <v>435</v>
      </c>
      <c r="ER37" s="2" t="s">
        <v>435</v>
      </c>
      <c r="FA37" s="2" t="s">
        <v>435</v>
      </c>
      <c r="FB37" s="2" t="s">
        <v>435</v>
      </c>
      <c r="FC37" s="2" t="s">
        <v>435</v>
      </c>
      <c r="FD37" s="2" t="s">
        <v>435</v>
      </c>
      <c r="FE37" s="2" t="s">
        <v>435</v>
      </c>
      <c r="FF37" s="2" t="s">
        <v>435</v>
      </c>
      <c r="FG37" s="2" t="s">
        <v>435</v>
      </c>
      <c r="FH37" s="2" t="s">
        <v>435</v>
      </c>
      <c r="FI37" s="2" t="s">
        <v>435</v>
      </c>
      <c r="FJ37" s="2" t="s">
        <v>435</v>
      </c>
      <c r="FK37" s="2" t="s">
        <v>435</v>
      </c>
      <c r="FL37" s="2" t="s">
        <v>435</v>
      </c>
      <c r="FM37" s="2" t="s">
        <v>435</v>
      </c>
      <c r="FN37" s="2" t="s">
        <v>435</v>
      </c>
      <c r="FO37" s="2" t="s">
        <v>435</v>
      </c>
      <c r="FP37" s="2" t="s">
        <v>435</v>
      </c>
    </row>
    <row r="38" spans="1:172" s="373" customFormat="1">
      <c r="A38" s="373" t="s">
        <v>925</v>
      </c>
      <c r="B38" s="373" t="s">
        <v>249</v>
      </c>
      <c r="C38" s="373" t="s">
        <v>926</v>
      </c>
      <c r="D38" s="373" t="s">
        <v>927</v>
      </c>
      <c r="E38" s="373" t="s">
        <v>889</v>
      </c>
      <c r="F38" s="385" t="s">
        <v>356</v>
      </c>
      <c r="G38" s="385" t="s">
        <v>356</v>
      </c>
      <c r="H38" s="385">
        <v>20</v>
      </c>
      <c r="I38" s="385">
        <v>20</v>
      </c>
      <c r="J38" s="385"/>
      <c r="K38" s="385">
        <f t="shared" si="294"/>
        <v>20.0000000002</v>
      </c>
      <c r="L38" s="385">
        <f t="shared" si="295"/>
        <v>20.00000000016</v>
      </c>
      <c r="M38" s="385" t="s">
        <v>929</v>
      </c>
      <c r="N38" s="385" t="s">
        <v>356</v>
      </c>
      <c r="O38" s="385" t="s">
        <v>356</v>
      </c>
      <c r="P38" s="385" t="s">
        <v>356</v>
      </c>
      <c r="Q38" s="385" t="s">
        <v>356</v>
      </c>
      <c r="R38" s="385" t="s">
        <v>928</v>
      </c>
      <c r="S38" s="385" t="s">
        <v>817</v>
      </c>
      <c r="T38" s="385">
        <v>20</v>
      </c>
      <c r="U38" s="385" cm="1">
        <f t="array" ref="U38">IFERROR(INDEX('Offer Statistics'!$Q$2:$Q$350,MATCH(1,(A38='Offer Statistics'!$B$2:$B$350)*($A$11='Offer Statistics'!$K$2:$K$350),0)),"/")</f>
        <v>25</v>
      </c>
      <c r="V38" s="385" cm="1">
        <f t="array" ref="V38">IFERROR(INDEX('Offer Statistics'!$D$2:$D$350,MATCH(1,(A38='Offer Statistics'!$B$2:$B$350)*($A$11='Offer Statistics'!$K$2:$K$350),0)),"/")</f>
        <v>245</v>
      </c>
      <c r="W38" s="385" cm="1">
        <f t="array" ref="W38">IFERROR(INDEX('Offer Statistics'!$L$2:$L$350,MATCH(1,(A38='Offer Statistics'!$B$2:$B$350)*($A$11='Offer Statistics'!$K$2:$K$350),0)),"/")</f>
        <v>24</v>
      </c>
      <c r="X38" s="385">
        <f t="shared" si="319"/>
        <v>10.208333333333334</v>
      </c>
      <c r="Y38" s="385" t="s">
        <v>817</v>
      </c>
      <c r="Z38" s="365" t="str">
        <f>入學要求!AF47</f>
        <v>/</v>
      </c>
      <c r="AA38" s="365" t="str">
        <f>入學要求!AG47</f>
        <v>/</v>
      </c>
      <c r="AB38" s="375" t="s">
        <v>889</v>
      </c>
      <c r="AE38" s="374" t="s">
        <v>890</v>
      </c>
      <c r="AF38" s="373" t="s">
        <v>356</v>
      </c>
      <c r="AG38" s="373" t="s">
        <v>356</v>
      </c>
      <c r="AH38" s="373" t="s">
        <v>356</v>
      </c>
      <c r="AI38" s="373" t="s">
        <v>356</v>
      </c>
      <c r="AJ38" s="373" t="s">
        <v>899</v>
      </c>
      <c r="AK38" s="373" t="s">
        <v>900</v>
      </c>
      <c r="AL38" s="373" t="s">
        <v>356</v>
      </c>
      <c r="AM38" s="373" t="s">
        <v>435</v>
      </c>
      <c r="AN38" s="373" t="s">
        <v>435</v>
      </c>
      <c r="AO38" s="373" t="s">
        <v>435</v>
      </c>
      <c r="AP38" s="373" t="s">
        <v>435</v>
      </c>
      <c r="AQ38" s="373" t="s">
        <v>356</v>
      </c>
      <c r="AS38" s="373" t="s">
        <v>820</v>
      </c>
      <c r="AU38" s="373" t="s">
        <v>817</v>
      </c>
      <c r="AY38" s="373">
        <v>1</v>
      </c>
      <c r="AZ38" s="373">
        <v>1</v>
      </c>
      <c r="BA38" s="373">
        <v>1</v>
      </c>
      <c r="BB38" s="373">
        <v>1</v>
      </c>
      <c r="BC38" s="373">
        <v>1</v>
      </c>
      <c r="BD38" s="373">
        <v>1</v>
      </c>
      <c r="BE38" s="373">
        <v>1</v>
      </c>
      <c r="BF38" s="373">
        <v>1</v>
      </c>
      <c r="BG38" s="373" t="s">
        <v>925</v>
      </c>
      <c r="BH38" s="373">
        <v>4</v>
      </c>
      <c r="BI38" s="373">
        <v>3</v>
      </c>
      <c r="BJ38" s="373">
        <v>4</v>
      </c>
      <c r="BK38" s="373">
        <v>4</v>
      </c>
      <c r="BL38" s="373" t="s">
        <v>356</v>
      </c>
      <c r="BM38" s="373">
        <v>5</v>
      </c>
      <c r="BN38" s="373">
        <v>4</v>
      </c>
      <c r="BO38" s="373" t="s">
        <v>356</v>
      </c>
      <c r="BP38" s="206">
        <f t="shared" si="320"/>
        <v>4.00000000004</v>
      </c>
      <c r="BQ38" s="206">
        <f t="shared" si="321"/>
        <v>3.00000000002</v>
      </c>
      <c r="BR38" s="206">
        <f t="shared" si="322"/>
        <v>4.00000000003</v>
      </c>
      <c r="BS38" s="206">
        <f t="shared" si="323"/>
        <v>4.00000000001</v>
      </c>
      <c r="BT38" s="206">
        <f t="shared" si="324"/>
        <v>0</v>
      </c>
      <c r="BU38" s="206">
        <f t="shared" si="325"/>
        <v>5.00000000006</v>
      </c>
      <c r="BV38" s="206">
        <f t="shared" si="326"/>
        <v>4.00000000007</v>
      </c>
      <c r="BW38" s="206">
        <f t="shared" si="327"/>
        <v>0</v>
      </c>
      <c r="BX38" s="373">
        <f t="shared" si="337"/>
        <v>4.00000000004</v>
      </c>
      <c r="BY38" s="373">
        <f t="shared" si="338"/>
        <v>3.00000000002</v>
      </c>
      <c r="BZ38" s="373">
        <f t="shared" si="339"/>
        <v>4.00000000003</v>
      </c>
      <c r="CA38" s="373">
        <f t="shared" si="340"/>
        <v>4.00000000001</v>
      </c>
      <c r="CB38" s="373">
        <f t="shared" si="341"/>
        <v>0</v>
      </c>
      <c r="CC38" s="373">
        <f t="shared" si="342"/>
        <v>5.00000000006</v>
      </c>
      <c r="CD38" s="373">
        <f t="shared" si="343"/>
        <v>4.00000000007</v>
      </c>
      <c r="CE38" s="373">
        <f t="shared" si="344"/>
        <v>0</v>
      </c>
      <c r="CF38" s="373" t="b">
        <v>1</v>
      </c>
      <c r="CG38" s="373" t="b">
        <v>1</v>
      </c>
      <c r="CH38" s="373" t="b">
        <v>1</v>
      </c>
      <c r="CI38" s="373" t="b">
        <v>1</v>
      </c>
      <c r="CJ38" s="373" t="b">
        <v>0</v>
      </c>
      <c r="CK38" s="373" t="b">
        <v>1</v>
      </c>
      <c r="CL38" s="373" t="b">
        <v>0</v>
      </c>
      <c r="CM38" s="373" t="b">
        <v>0</v>
      </c>
      <c r="CN38" s="373">
        <v>1</v>
      </c>
      <c r="CO38" s="373">
        <v>1</v>
      </c>
      <c r="CP38" s="373">
        <v>1</v>
      </c>
      <c r="CQ38" s="373">
        <v>1</v>
      </c>
      <c r="CR38" s="373">
        <v>1</v>
      </c>
      <c r="CS38" s="373">
        <v>1</v>
      </c>
      <c r="CT38" s="373">
        <v>1</v>
      </c>
      <c r="CU38" s="373">
        <v>1</v>
      </c>
      <c r="CV38" s="373" t="s">
        <v>925</v>
      </c>
      <c r="CW38" s="373">
        <v>4</v>
      </c>
      <c r="CX38" s="373">
        <v>4</v>
      </c>
      <c r="CY38" s="373">
        <v>3</v>
      </c>
      <c r="CZ38" s="373">
        <v>4</v>
      </c>
      <c r="DA38" s="373" t="s">
        <v>356</v>
      </c>
      <c r="DB38" s="373">
        <v>4</v>
      </c>
      <c r="DC38" s="373">
        <v>4</v>
      </c>
      <c r="DD38" s="373" t="s">
        <v>356</v>
      </c>
      <c r="DE38" s="206">
        <f t="shared" si="328"/>
        <v>4.00000000004</v>
      </c>
      <c r="DF38" s="206">
        <f t="shared" si="329"/>
        <v>4.00000000002</v>
      </c>
      <c r="DG38" s="206">
        <f t="shared" si="330"/>
        <v>3.00000000003</v>
      </c>
      <c r="DH38" s="206">
        <f t="shared" si="331"/>
        <v>4.00000000001</v>
      </c>
      <c r="DI38" s="206">
        <f t="shared" si="332"/>
        <v>0</v>
      </c>
      <c r="DJ38" s="206">
        <f t="shared" si="333"/>
        <v>4.00000000006</v>
      </c>
      <c r="DK38" s="206">
        <f t="shared" si="334"/>
        <v>4.00000000007</v>
      </c>
      <c r="DL38" s="206">
        <f t="shared" si="335"/>
        <v>0</v>
      </c>
      <c r="DM38" s="373">
        <f t="shared" si="345"/>
        <v>4.00000000004</v>
      </c>
      <c r="DN38" s="373">
        <f t="shared" si="346"/>
        <v>4.00000000002</v>
      </c>
      <c r="DO38" s="373">
        <f t="shared" si="347"/>
        <v>3.00000000003</v>
      </c>
      <c r="DP38" s="373">
        <f t="shared" si="348"/>
        <v>4.00000000001</v>
      </c>
      <c r="DQ38" s="373">
        <f t="shared" si="349"/>
        <v>0</v>
      </c>
      <c r="DR38" s="373">
        <f t="shared" si="350"/>
        <v>4.00000000006</v>
      </c>
      <c r="DS38" s="373">
        <f t="shared" si="351"/>
        <v>4.00000000007</v>
      </c>
      <c r="DT38" s="373">
        <f t="shared" si="352"/>
        <v>0</v>
      </c>
      <c r="DU38" s="373" t="b">
        <v>1</v>
      </c>
      <c r="DV38" s="373" t="b">
        <v>1</v>
      </c>
      <c r="DW38" s="373" t="b">
        <v>0</v>
      </c>
      <c r="DX38" s="373" t="b">
        <v>1</v>
      </c>
      <c r="DY38" s="373" t="b">
        <v>0</v>
      </c>
      <c r="DZ38" s="373" t="b">
        <v>1</v>
      </c>
      <c r="EA38" s="373" t="b">
        <v>1</v>
      </c>
      <c r="EB38" s="373" t="b">
        <v>0</v>
      </c>
      <c r="EC38" s="373" t="s">
        <v>435</v>
      </c>
      <c r="ED38" s="373" t="s">
        <v>435</v>
      </c>
      <c r="EE38" s="373" t="s">
        <v>435</v>
      </c>
      <c r="EF38" s="373" t="s">
        <v>435</v>
      </c>
      <c r="EG38" s="373" t="s">
        <v>435</v>
      </c>
      <c r="EH38" s="373" t="s">
        <v>435</v>
      </c>
      <c r="EI38" s="373" t="s">
        <v>435</v>
      </c>
      <c r="EJ38" s="373" t="s">
        <v>435</v>
      </c>
      <c r="EK38" s="373" t="s">
        <v>435</v>
      </c>
      <c r="EL38" s="373" t="s">
        <v>435</v>
      </c>
      <c r="EM38" s="373" t="s">
        <v>435</v>
      </c>
      <c r="EN38" s="373" t="s">
        <v>435</v>
      </c>
      <c r="EO38" s="373" t="s">
        <v>435</v>
      </c>
      <c r="EP38" s="373" t="s">
        <v>435</v>
      </c>
      <c r="EQ38" s="373" t="s">
        <v>435</v>
      </c>
      <c r="ER38" s="373" t="s">
        <v>435</v>
      </c>
      <c r="FA38" s="373" t="s">
        <v>435</v>
      </c>
      <c r="FB38" s="373" t="s">
        <v>435</v>
      </c>
      <c r="FC38" s="373" t="s">
        <v>435</v>
      </c>
      <c r="FD38" s="373" t="s">
        <v>435</v>
      </c>
      <c r="FE38" s="373" t="s">
        <v>435</v>
      </c>
      <c r="FF38" s="373" t="s">
        <v>435</v>
      </c>
      <c r="FG38" s="373" t="s">
        <v>435</v>
      </c>
      <c r="FH38" s="373" t="s">
        <v>435</v>
      </c>
      <c r="FI38" s="373" t="s">
        <v>435</v>
      </c>
      <c r="FJ38" s="373" t="s">
        <v>435</v>
      </c>
      <c r="FK38" s="373" t="s">
        <v>435</v>
      </c>
      <c r="FL38" s="373" t="s">
        <v>435</v>
      </c>
      <c r="FM38" s="373" t="s">
        <v>435</v>
      </c>
      <c r="FN38" s="373" t="s">
        <v>435</v>
      </c>
      <c r="FO38" s="373" t="s">
        <v>435</v>
      </c>
      <c r="FP38" s="373" t="s">
        <v>435</v>
      </c>
    </row>
    <row r="39" spans="1:172" s="373" customFormat="1">
      <c r="A39" s="373" t="s">
        <v>930</v>
      </c>
      <c r="B39" s="373" t="s">
        <v>249</v>
      </c>
      <c r="C39" s="373" t="s">
        <v>926</v>
      </c>
      <c r="D39" s="373" t="s">
        <v>931</v>
      </c>
      <c r="E39" s="373" t="s">
        <v>815</v>
      </c>
      <c r="F39" s="385" t="s">
        <v>356</v>
      </c>
      <c r="G39" s="385" t="s">
        <v>356</v>
      </c>
      <c r="H39" s="385">
        <v>37.5</v>
      </c>
      <c r="I39" s="385">
        <v>37</v>
      </c>
      <c r="J39" s="385"/>
      <c r="K39" s="385">
        <f t="shared" si="294"/>
        <v>37.500000000360004</v>
      </c>
      <c r="L39" s="385">
        <f t="shared" si="295"/>
        <v>37.000000000360004</v>
      </c>
      <c r="M39" s="385" t="s">
        <v>356</v>
      </c>
      <c r="N39" s="385" t="s">
        <v>356</v>
      </c>
      <c r="O39" s="385" t="s">
        <v>933</v>
      </c>
      <c r="P39" s="385" t="s">
        <v>934</v>
      </c>
      <c r="Q39" s="385" t="s">
        <v>356</v>
      </c>
      <c r="R39" s="385" t="s">
        <v>932</v>
      </c>
      <c r="S39" s="385" t="s">
        <v>817</v>
      </c>
      <c r="T39" s="385">
        <v>45</v>
      </c>
      <c r="U39" s="385" cm="1">
        <f t="array" ref="U39">IFERROR(INDEX('Offer Statistics'!$Q$2:$Q$350,MATCH(1,(A39='Offer Statistics'!$B$2:$B$350)*($A$11='Offer Statistics'!$K$2:$K$350),0)),"/")</f>
        <v>38</v>
      </c>
      <c r="V39" s="385" cm="1">
        <f t="array" ref="V39">IFERROR(INDEX('Offer Statistics'!$D$2:$D$350,MATCH(1,(A39='Offer Statistics'!$B$2:$B$350)*($A$11='Offer Statistics'!$K$2:$K$350),0)),"/")</f>
        <v>426</v>
      </c>
      <c r="W39" s="385" cm="1">
        <f t="array" ref="W39">IFERROR(INDEX('Offer Statistics'!$L$2:$L$350,MATCH(1,(A39='Offer Statistics'!$B$2:$B$350)*($A$11='Offer Statistics'!$K$2:$K$350),0)),"/")</f>
        <v>34</v>
      </c>
      <c r="X39" s="385">
        <f t="shared" si="319"/>
        <v>12.529411764705882</v>
      </c>
      <c r="Y39" s="385" t="s">
        <v>817</v>
      </c>
      <c r="Z39" s="373" t="str">
        <f>入學要求!AF48</f>
        <v>/</v>
      </c>
      <c r="AA39" s="373" t="str">
        <f>入學要求!AG48</f>
        <v>/</v>
      </c>
      <c r="AB39" s="374" t="s">
        <v>2820</v>
      </c>
      <c r="AC39" s="373" t="s">
        <v>2855</v>
      </c>
      <c r="AE39" s="373" t="s">
        <v>356</v>
      </c>
      <c r="AF39" s="373" t="s">
        <v>356</v>
      </c>
      <c r="AG39" s="373" t="s">
        <v>933</v>
      </c>
      <c r="AH39" s="374" t="s">
        <v>2827</v>
      </c>
      <c r="AI39" s="379" t="s">
        <v>356</v>
      </c>
      <c r="AJ39" s="373" t="s">
        <v>818</v>
      </c>
      <c r="AK39" s="373" t="s">
        <v>907</v>
      </c>
      <c r="AL39" s="373" t="s">
        <v>356</v>
      </c>
      <c r="AM39" s="373" t="s">
        <v>435</v>
      </c>
      <c r="AN39" s="373" t="s">
        <v>435</v>
      </c>
      <c r="AO39" s="373" t="s">
        <v>435</v>
      </c>
      <c r="AP39" s="373" t="s">
        <v>435</v>
      </c>
      <c r="AQ39" s="373" t="s">
        <v>356</v>
      </c>
      <c r="AS39" s="373" t="s">
        <v>820</v>
      </c>
      <c r="AU39" s="373" t="s">
        <v>817</v>
      </c>
      <c r="AY39" s="373">
        <v>2</v>
      </c>
      <c r="AZ39" s="373">
        <v>2</v>
      </c>
      <c r="BA39" s="373">
        <v>1</v>
      </c>
      <c r="BB39" s="373">
        <v>1.5</v>
      </c>
      <c r="BC39" s="373">
        <v>1</v>
      </c>
      <c r="BD39" s="373">
        <v>1.5</v>
      </c>
      <c r="BE39" s="373">
        <v>1.5</v>
      </c>
      <c r="BF39" s="373">
        <v>1</v>
      </c>
      <c r="BG39" s="373" t="s">
        <v>930</v>
      </c>
      <c r="BH39" s="373">
        <v>4</v>
      </c>
      <c r="BI39" s="373">
        <v>4</v>
      </c>
      <c r="BJ39" s="373">
        <v>3</v>
      </c>
      <c r="BK39" s="373">
        <v>4</v>
      </c>
      <c r="BL39" s="373" t="s">
        <v>356</v>
      </c>
      <c r="BM39" s="373">
        <v>4</v>
      </c>
      <c r="BN39" s="373">
        <v>4</v>
      </c>
      <c r="BO39" s="373" t="s">
        <v>356</v>
      </c>
      <c r="BP39" s="206">
        <f t="shared" si="320"/>
        <v>4.00000000004</v>
      </c>
      <c r="BQ39" s="206">
        <f t="shared" si="321"/>
        <v>4.00000000002</v>
      </c>
      <c r="BR39" s="206">
        <f t="shared" si="322"/>
        <v>3.00000000003</v>
      </c>
      <c r="BS39" s="206">
        <f t="shared" si="323"/>
        <v>4.00000000001</v>
      </c>
      <c r="BT39" s="206">
        <f t="shared" si="324"/>
        <v>0</v>
      </c>
      <c r="BU39" s="206">
        <f t="shared" si="325"/>
        <v>4.00000000006</v>
      </c>
      <c r="BV39" s="206">
        <f t="shared" si="326"/>
        <v>4.00000000007</v>
      </c>
      <c r="BW39" s="206">
        <f t="shared" si="327"/>
        <v>0</v>
      </c>
      <c r="BX39" s="373">
        <f t="shared" si="337"/>
        <v>8.00000000008</v>
      </c>
      <c r="BY39" s="373">
        <f t="shared" si="338"/>
        <v>8.00000000004</v>
      </c>
      <c r="BZ39" s="373">
        <f t="shared" si="339"/>
        <v>3.00000000003</v>
      </c>
      <c r="CA39" s="373">
        <f t="shared" si="340"/>
        <v>6.0000000000149996</v>
      </c>
      <c r="CB39" s="373">
        <f t="shared" si="341"/>
        <v>0</v>
      </c>
      <c r="CC39" s="373">
        <f t="shared" si="342"/>
        <v>6.00000000009</v>
      </c>
      <c r="CD39" s="373">
        <f t="shared" si="343"/>
        <v>6.0000000001050005</v>
      </c>
      <c r="CE39" s="373">
        <f t="shared" si="344"/>
        <v>0</v>
      </c>
      <c r="CF39" s="373" t="b">
        <v>1</v>
      </c>
      <c r="CG39" s="373" t="b">
        <v>1</v>
      </c>
      <c r="CH39" s="373" t="b">
        <v>1</v>
      </c>
      <c r="CI39" s="373" t="b">
        <v>1</v>
      </c>
      <c r="CJ39" s="373" t="b">
        <v>0</v>
      </c>
      <c r="CK39" s="373" t="b">
        <v>1</v>
      </c>
      <c r="CL39" s="373" t="b">
        <v>1</v>
      </c>
      <c r="CM39" s="373" t="b">
        <v>0</v>
      </c>
      <c r="CN39" s="373">
        <v>2</v>
      </c>
      <c r="CO39" s="373">
        <v>2</v>
      </c>
      <c r="CP39" s="373">
        <v>1</v>
      </c>
      <c r="CQ39" s="373">
        <v>1.5</v>
      </c>
      <c r="CR39" s="373">
        <v>1</v>
      </c>
      <c r="CS39" s="373">
        <v>1.5</v>
      </c>
      <c r="CT39" s="373">
        <v>1.5</v>
      </c>
      <c r="CU39" s="373">
        <v>1</v>
      </c>
      <c r="CV39" s="373" t="s">
        <v>930</v>
      </c>
      <c r="CW39" s="373">
        <v>4</v>
      </c>
      <c r="CX39" s="373">
        <v>3</v>
      </c>
      <c r="CY39" s="373">
        <v>4</v>
      </c>
      <c r="CZ39" s="373">
        <v>5</v>
      </c>
      <c r="DA39" s="373" t="s">
        <v>356</v>
      </c>
      <c r="DB39" s="373">
        <v>4</v>
      </c>
      <c r="DC39" s="373">
        <v>4</v>
      </c>
      <c r="DD39" s="373" t="s">
        <v>356</v>
      </c>
      <c r="DE39" s="206">
        <f t="shared" si="328"/>
        <v>4.00000000004</v>
      </c>
      <c r="DF39" s="206">
        <f t="shared" si="329"/>
        <v>3.00000000002</v>
      </c>
      <c r="DG39" s="206">
        <f t="shared" si="330"/>
        <v>4.00000000003</v>
      </c>
      <c r="DH39" s="206">
        <f t="shared" si="331"/>
        <v>5.00000000001</v>
      </c>
      <c r="DI39" s="206">
        <f t="shared" si="332"/>
        <v>0</v>
      </c>
      <c r="DJ39" s="206">
        <f t="shared" si="333"/>
        <v>4.00000000006</v>
      </c>
      <c r="DK39" s="206">
        <f t="shared" si="334"/>
        <v>4.00000000007</v>
      </c>
      <c r="DL39" s="206">
        <f t="shared" si="335"/>
        <v>0</v>
      </c>
      <c r="DM39" s="373">
        <f t="shared" si="345"/>
        <v>8.00000000008</v>
      </c>
      <c r="DN39" s="373">
        <f t="shared" si="346"/>
        <v>6.00000000004</v>
      </c>
      <c r="DO39" s="373">
        <f t="shared" si="347"/>
        <v>4.00000000003</v>
      </c>
      <c r="DP39" s="373">
        <f t="shared" si="348"/>
        <v>7.5000000000149996</v>
      </c>
      <c r="DQ39" s="373">
        <f t="shared" si="349"/>
        <v>0</v>
      </c>
      <c r="DR39" s="373">
        <f t="shared" si="350"/>
        <v>6.00000000009</v>
      </c>
      <c r="DS39" s="373">
        <f t="shared" si="351"/>
        <v>6.0000000001050005</v>
      </c>
      <c r="DT39" s="373">
        <f t="shared" si="352"/>
        <v>0</v>
      </c>
      <c r="DU39" s="373" t="b">
        <v>1</v>
      </c>
      <c r="DV39" s="373" t="b">
        <v>1</v>
      </c>
      <c r="DW39" s="373" t="b">
        <v>1</v>
      </c>
      <c r="DX39" s="373" t="b">
        <v>1</v>
      </c>
      <c r="DY39" s="373" t="b">
        <v>0</v>
      </c>
      <c r="DZ39" s="373" t="b">
        <v>1</v>
      </c>
      <c r="EA39" s="373" t="b">
        <v>1</v>
      </c>
      <c r="EB39" s="373" t="b">
        <v>0</v>
      </c>
      <c r="EC39" s="373" t="s">
        <v>435</v>
      </c>
      <c r="ED39" s="373" t="s">
        <v>435</v>
      </c>
      <c r="EE39" s="373" t="s">
        <v>435</v>
      </c>
      <c r="EF39" s="373" t="s">
        <v>435</v>
      </c>
      <c r="EG39" s="373" t="s">
        <v>435</v>
      </c>
      <c r="EH39" s="373" t="s">
        <v>435</v>
      </c>
      <c r="EI39" s="373" t="s">
        <v>435</v>
      </c>
      <c r="EJ39" s="373" t="s">
        <v>435</v>
      </c>
      <c r="EK39" s="373" t="s">
        <v>435</v>
      </c>
      <c r="EL39" s="373" t="s">
        <v>435</v>
      </c>
      <c r="EM39" s="373" t="s">
        <v>435</v>
      </c>
      <c r="EN39" s="373" t="s">
        <v>435</v>
      </c>
      <c r="EO39" s="373" t="s">
        <v>435</v>
      </c>
      <c r="EP39" s="373" t="s">
        <v>435</v>
      </c>
      <c r="EQ39" s="373" t="s">
        <v>435</v>
      </c>
      <c r="ER39" s="373" t="s">
        <v>435</v>
      </c>
      <c r="FA39" s="373" t="s">
        <v>435</v>
      </c>
      <c r="FB39" s="373" t="s">
        <v>435</v>
      </c>
      <c r="FC39" s="373" t="s">
        <v>435</v>
      </c>
      <c r="FD39" s="373" t="s">
        <v>435</v>
      </c>
      <c r="FE39" s="373" t="s">
        <v>435</v>
      </c>
      <c r="FF39" s="373" t="s">
        <v>435</v>
      </c>
      <c r="FG39" s="373" t="s">
        <v>435</v>
      </c>
      <c r="FH39" s="373" t="s">
        <v>435</v>
      </c>
      <c r="FI39" s="373" t="s">
        <v>435</v>
      </c>
      <c r="FJ39" s="373" t="s">
        <v>435</v>
      </c>
      <c r="FK39" s="373" t="s">
        <v>435</v>
      </c>
      <c r="FL39" s="373" t="s">
        <v>435</v>
      </c>
      <c r="FM39" s="373" t="s">
        <v>435</v>
      </c>
      <c r="FN39" s="373" t="s">
        <v>435</v>
      </c>
      <c r="FO39" s="373" t="s">
        <v>435</v>
      </c>
      <c r="FP39" s="373" t="s">
        <v>435</v>
      </c>
    </row>
    <row r="40" spans="1:172" s="373" customFormat="1">
      <c r="A40" s="373" t="s">
        <v>935</v>
      </c>
      <c r="B40" s="373" t="s">
        <v>249</v>
      </c>
      <c r="C40" s="373" t="s">
        <v>926</v>
      </c>
      <c r="D40" s="373" t="s">
        <v>936</v>
      </c>
      <c r="E40" s="373" t="s">
        <v>828</v>
      </c>
      <c r="F40" s="385" t="s">
        <v>356</v>
      </c>
      <c r="G40" s="385" t="s">
        <v>356</v>
      </c>
      <c r="H40" s="385">
        <v>32.5</v>
      </c>
      <c r="I40" s="385">
        <v>31.5</v>
      </c>
      <c r="J40" s="385"/>
      <c r="K40" s="385">
        <f t="shared" si="294"/>
        <v>32.500000000265004</v>
      </c>
      <c r="L40" s="385">
        <f t="shared" si="295"/>
        <v>31.500000000265</v>
      </c>
      <c r="M40" s="385" t="s">
        <v>906</v>
      </c>
      <c r="N40" s="385" t="s">
        <v>356</v>
      </c>
      <c r="O40" s="385" t="s">
        <v>939</v>
      </c>
      <c r="P40" s="385" t="s">
        <v>937</v>
      </c>
      <c r="Q40" s="385" t="s">
        <v>356</v>
      </c>
      <c r="R40" s="385" t="s">
        <v>938</v>
      </c>
      <c r="S40" s="385" t="s">
        <v>817</v>
      </c>
      <c r="T40" s="385">
        <v>25</v>
      </c>
      <c r="U40" s="385" cm="1">
        <f t="array" ref="U40">IFERROR(INDEX('Offer Statistics'!$Q$2:$Q$350,MATCH(1,(A40='Offer Statistics'!$B$2:$B$350)*($A$11='Offer Statistics'!$K$2:$K$350),0)),"/")</f>
        <v>31</v>
      </c>
      <c r="V40" s="385" cm="1">
        <f t="array" ref="V40">IFERROR(INDEX('Offer Statistics'!$D$2:$D$350,MATCH(1,(A40='Offer Statistics'!$B$2:$B$350)*($A$11='Offer Statistics'!$K$2:$K$350),0)),"/")</f>
        <v>162</v>
      </c>
      <c r="W40" s="385" cm="1">
        <f t="array" ref="W40">IFERROR(INDEX('Offer Statistics'!$L$2:$L$350,MATCH(1,(A40='Offer Statistics'!$B$2:$B$350)*($A$11='Offer Statistics'!$K$2:$K$350),0)),"/")</f>
        <v>20</v>
      </c>
      <c r="X40" s="385">
        <f t="shared" si="319"/>
        <v>8.1</v>
      </c>
      <c r="Y40" s="385" t="s">
        <v>817</v>
      </c>
      <c r="Z40" s="373" t="str">
        <f>入學要求!AF49</f>
        <v>/</v>
      </c>
      <c r="AA40" s="373" t="str">
        <f>入學要求!AG49</f>
        <v>/</v>
      </c>
      <c r="AB40" s="374" t="s">
        <v>889</v>
      </c>
      <c r="AC40" s="373" t="s">
        <v>2855</v>
      </c>
      <c r="AE40" s="373" t="s">
        <v>890</v>
      </c>
      <c r="AF40" s="373" t="s">
        <v>356</v>
      </c>
      <c r="AG40" s="373" t="s">
        <v>939</v>
      </c>
      <c r="AH40" s="374" t="s">
        <v>2828</v>
      </c>
      <c r="AI40" s="373" t="s">
        <v>356</v>
      </c>
      <c r="AJ40" s="373" t="s">
        <v>818</v>
      </c>
      <c r="AK40" s="373" t="s">
        <v>844</v>
      </c>
      <c r="AL40" s="373" t="s">
        <v>356</v>
      </c>
      <c r="AM40" s="373" t="s">
        <v>356</v>
      </c>
      <c r="AN40" s="373" t="s">
        <v>435</v>
      </c>
      <c r="AO40" s="373" t="s">
        <v>435</v>
      </c>
      <c r="AP40" s="373" t="s">
        <v>435</v>
      </c>
      <c r="AQ40" s="373" t="s">
        <v>356</v>
      </c>
      <c r="AS40" s="373" t="s">
        <v>820</v>
      </c>
      <c r="AU40" s="373" t="s">
        <v>817</v>
      </c>
      <c r="AY40" s="373">
        <v>1</v>
      </c>
      <c r="AZ40" s="373">
        <v>2.5</v>
      </c>
      <c r="BA40" s="373">
        <v>1</v>
      </c>
      <c r="BB40" s="373">
        <v>1.5</v>
      </c>
      <c r="BC40" s="373">
        <v>1</v>
      </c>
      <c r="BD40" s="373">
        <v>1</v>
      </c>
      <c r="BE40" s="373">
        <v>1</v>
      </c>
      <c r="BF40" s="373">
        <v>1</v>
      </c>
      <c r="BG40" s="373" t="s">
        <v>935</v>
      </c>
      <c r="BH40" s="373">
        <v>3</v>
      </c>
      <c r="BI40" s="373">
        <v>5</v>
      </c>
      <c r="BJ40" s="373">
        <v>4</v>
      </c>
      <c r="BK40" s="373">
        <v>4</v>
      </c>
      <c r="BL40" s="373" t="s">
        <v>356</v>
      </c>
      <c r="BM40" s="373">
        <v>3</v>
      </c>
      <c r="BN40" s="373">
        <v>3</v>
      </c>
      <c r="BO40" s="373">
        <v>3</v>
      </c>
      <c r="BP40" s="206">
        <f t="shared" si="320"/>
        <v>3.00000000004</v>
      </c>
      <c r="BQ40" s="206">
        <f t="shared" si="321"/>
        <v>5.00000000002</v>
      </c>
      <c r="BR40" s="206">
        <f t="shared" si="322"/>
        <v>4.00000000003</v>
      </c>
      <c r="BS40" s="206">
        <f t="shared" si="323"/>
        <v>4.00000000001</v>
      </c>
      <c r="BT40" s="206">
        <f t="shared" si="324"/>
        <v>0</v>
      </c>
      <c r="BU40" s="206">
        <f t="shared" si="325"/>
        <v>3.00000000006</v>
      </c>
      <c r="BV40" s="206">
        <f t="shared" si="326"/>
        <v>3.00000000007</v>
      </c>
      <c r="BW40" s="206">
        <f t="shared" si="327"/>
        <v>3.00000000008</v>
      </c>
      <c r="BX40" s="373">
        <f t="shared" si="337"/>
        <v>3.00000000004</v>
      </c>
      <c r="BY40" s="373">
        <f t="shared" si="338"/>
        <v>12.500000000050001</v>
      </c>
      <c r="BZ40" s="373">
        <f t="shared" si="339"/>
        <v>4.00000000003</v>
      </c>
      <c r="CA40" s="373">
        <f t="shared" si="340"/>
        <v>6.0000000000149996</v>
      </c>
      <c r="CB40" s="373">
        <f t="shared" si="341"/>
        <v>0</v>
      </c>
      <c r="CC40" s="373">
        <f t="shared" si="342"/>
        <v>3.00000000006</v>
      </c>
      <c r="CD40" s="373">
        <f t="shared" si="343"/>
        <v>3.00000000007</v>
      </c>
      <c r="CE40" s="373">
        <f t="shared" si="344"/>
        <v>3.00000000008</v>
      </c>
      <c r="CF40" s="373" t="b">
        <v>1</v>
      </c>
      <c r="CG40" s="373" t="b">
        <v>1</v>
      </c>
      <c r="CH40" s="373" t="b">
        <v>1</v>
      </c>
      <c r="CI40" s="373" t="b">
        <v>1</v>
      </c>
      <c r="CJ40" s="373" t="b">
        <v>0</v>
      </c>
      <c r="CK40" s="373" t="b">
        <v>1</v>
      </c>
      <c r="CL40" s="373" t="b">
        <v>1</v>
      </c>
      <c r="CM40" s="373" t="b">
        <v>0</v>
      </c>
      <c r="CN40" s="373">
        <v>1</v>
      </c>
      <c r="CO40" s="373">
        <v>2.5</v>
      </c>
      <c r="CP40" s="373">
        <v>1</v>
      </c>
      <c r="CQ40" s="373">
        <v>1.5</v>
      </c>
      <c r="CR40" s="373">
        <v>1</v>
      </c>
      <c r="CS40" s="373">
        <v>1</v>
      </c>
      <c r="CT40" s="373">
        <v>1</v>
      </c>
      <c r="CU40" s="373">
        <v>1</v>
      </c>
      <c r="CV40" s="373" t="s">
        <v>935</v>
      </c>
      <c r="CW40" s="373">
        <v>4</v>
      </c>
      <c r="CX40" s="373">
        <v>6</v>
      </c>
      <c r="CY40" s="373">
        <v>3</v>
      </c>
      <c r="CZ40" s="373">
        <v>3</v>
      </c>
      <c r="DA40" s="373" t="s">
        <v>356</v>
      </c>
      <c r="DB40" s="373">
        <v>3</v>
      </c>
      <c r="DC40" s="373">
        <v>3</v>
      </c>
      <c r="DD40" s="373" t="s">
        <v>356</v>
      </c>
      <c r="DE40" s="206">
        <f t="shared" si="328"/>
        <v>4.00000000004</v>
      </c>
      <c r="DF40" s="206">
        <f t="shared" si="329"/>
        <v>6.00000000002</v>
      </c>
      <c r="DG40" s="206">
        <f t="shared" si="330"/>
        <v>3.00000000003</v>
      </c>
      <c r="DH40" s="206">
        <f t="shared" si="331"/>
        <v>3.00000000001</v>
      </c>
      <c r="DI40" s="206">
        <f t="shared" si="332"/>
        <v>0</v>
      </c>
      <c r="DJ40" s="206">
        <f t="shared" si="333"/>
        <v>3.00000000006</v>
      </c>
      <c r="DK40" s="206">
        <f t="shared" si="334"/>
        <v>3.00000000007</v>
      </c>
      <c r="DL40" s="206">
        <f t="shared" si="335"/>
        <v>0</v>
      </c>
      <c r="DM40" s="373">
        <f t="shared" si="345"/>
        <v>4.00000000004</v>
      </c>
      <c r="DN40" s="373">
        <f t="shared" si="346"/>
        <v>15.000000000050001</v>
      </c>
      <c r="DO40" s="373">
        <f t="shared" si="347"/>
        <v>3.00000000003</v>
      </c>
      <c r="DP40" s="373">
        <f t="shared" si="348"/>
        <v>4.5000000000149996</v>
      </c>
      <c r="DQ40" s="373">
        <f t="shared" si="349"/>
        <v>0</v>
      </c>
      <c r="DR40" s="373">
        <f t="shared" si="350"/>
        <v>3.00000000006</v>
      </c>
      <c r="DS40" s="373">
        <f t="shared" si="351"/>
        <v>3.00000000007</v>
      </c>
      <c r="DT40" s="373">
        <f t="shared" si="352"/>
        <v>0</v>
      </c>
      <c r="DU40" s="373" t="b">
        <v>1</v>
      </c>
      <c r="DV40" s="373" t="b">
        <v>1</v>
      </c>
      <c r="DW40" s="373" t="b">
        <v>1</v>
      </c>
      <c r="DX40" s="373" t="b">
        <v>1</v>
      </c>
      <c r="DY40" s="373" t="b">
        <v>0</v>
      </c>
      <c r="DZ40" s="373" t="b">
        <v>1</v>
      </c>
      <c r="EA40" s="373" t="b">
        <v>1</v>
      </c>
      <c r="EB40" s="373" t="b">
        <v>0</v>
      </c>
      <c r="EC40" s="373" t="s">
        <v>435</v>
      </c>
      <c r="ED40" s="373" t="s">
        <v>435</v>
      </c>
      <c r="EE40" s="373" t="s">
        <v>435</v>
      </c>
      <c r="EF40" s="373" t="s">
        <v>435</v>
      </c>
      <c r="EG40" s="373" t="s">
        <v>435</v>
      </c>
      <c r="EH40" s="373" t="s">
        <v>435</v>
      </c>
      <c r="EI40" s="373" t="s">
        <v>435</v>
      </c>
      <c r="EJ40" s="373" t="s">
        <v>435</v>
      </c>
      <c r="EK40" s="373" t="s">
        <v>435</v>
      </c>
      <c r="EL40" s="373" t="s">
        <v>435</v>
      </c>
      <c r="EM40" s="373" t="s">
        <v>435</v>
      </c>
      <c r="EN40" s="373" t="s">
        <v>435</v>
      </c>
      <c r="EO40" s="373" t="s">
        <v>435</v>
      </c>
      <c r="EP40" s="373" t="s">
        <v>435</v>
      </c>
      <c r="EQ40" s="373" t="s">
        <v>435</v>
      </c>
      <c r="ER40" s="373" t="s">
        <v>435</v>
      </c>
      <c r="FA40" s="373" t="s">
        <v>435</v>
      </c>
      <c r="FB40" s="373" t="s">
        <v>435</v>
      </c>
      <c r="FC40" s="373" t="s">
        <v>435</v>
      </c>
      <c r="FD40" s="373" t="s">
        <v>435</v>
      </c>
      <c r="FE40" s="373" t="s">
        <v>435</v>
      </c>
      <c r="FF40" s="373" t="s">
        <v>435</v>
      </c>
      <c r="FG40" s="373" t="s">
        <v>435</v>
      </c>
      <c r="FH40" s="373" t="s">
        <v>435</v>
      </c>
      <c r="FI40" s="373" t="s">
        <v>435</v>
      </c>
      <c r="FJ40" s="373" t="s">
        <v>435</v>
      </c>
      <c r="FK40" s="373" t="s">
        <v>435</v>
      </c>
      <c r="FL40" s="373" t="s">
        <v>435</v>
      </c>
      <c r="FM40" s="373" t="s">
        <v>435</v>
      </c>
      <c r="FN40" s="373" t="s">
        <v>435</v>
      </c>
      <c r="FO40" s="373" t="s">
        <v>435</v>
      </c>
      <c r="FP40" s="373" t="s">
        <v>435</v>
      </c>
    </row>
    <row r="41" spans="1:172">
      <c r="A41" s="2" t="s">
        <v>940</v>
      </c>
      <c r="B41" s="2" t="s">
        <v>249</v>
      </c>
      <c r="C41" s="2" t="s">
        <v>926</v>
      </c>
      <c r="D41" s="2" t="s">
        <v>941</v>
      </c>
      <c r="E41" s="2" t="s">
        <v>889</v>
      </c>
      <c r="F41" s="385" t="s">
        <v>356</v>
      </c>
      <c r="G41" s="385" t="s">
        <v>356</v>
      </c>
      <c r="H41" s="385">
        <v>22</v>
      </c>
      <c r="I41" s="385">
        <v>22</v>
      </c>
      <c r="J41" s="385"/>
      <c r="K41" s="385">
        <f t="shared" si="294"/>
        <v>22.000000000215</v>
      </c>
      <c r="L41" s="385">
        <f t="shared" si="295"/>
        <v>22.000000000215</v>
      </c>
      <c r="M41" s="385" t="s">
        <v>890</v>
      </c>
      <c r="N41" s="385" t="s">
        <v>356</v>
      </c>
      <c r="O41" s="385" t="s">
        <v>944</v>
      </c>
      <c r="P41" s="385" t="s">
        <v>356</v>
      </c>
      <c r="Q41" s="385" t="s">
        <v>356</v>
      </c>
      <c r="R41" s="385" t="s">
        <v>943</v>
      </c>
      <c r="S41" s="385" t="s">
        <v>817</v>
      </c>
      <c r="T41" s="385">
        <v>45</v>
      </c>
      <c r="U41" s="385" cm="1">
        <f t="array" ref="U41">IFERROR(INDEX('Offer Statistics'!$Q$2:$Q$350,MATCH(1,(A41='Offer Statistics'!$B$2:$B$350)*($A$11='Offer Statistics'!$K$2:$K$350),0)),"/")</f>
        <v>44</v>
      </c>
      <c r="V41" s="385" cm="1">
        <f t="array" ref="V41">IFERROR(INDEX('Offer Statistics'!$D$2:$D$350,MATCH(1,(A41='Offer Statistics'!$B$2:$B$350)*($A$11='Offer Statistics'!$K$2:$K$350),0)),"/")</f>
        <v>469</v>
      </c>
      <c r="W41" s="385" cm="1">
        <f t="array" ref="W41">IFERROR(INDEX('Offer Statistics'!$L$2:$L$350,MATCH(1,(A41='Offer Statistics'!$B$2:$B$350)*($A$11='Offer Statistics'!$K$2:$K$350),0)),"/")</f>
        <v>35</v>
      </c>
      <c r="X41" s="385">
        <f t="shared" si="319"/>
        <v>13.4</v>
      </c>
      <c r="Y41" s="385" t="s">
        <v>817</v>
      </c>
      <c r="Z41" s="365" t="str">
        <f>入學要求!AF50</f>
        <v>/</v>
      </c>
      <c r="AA41" s="365" t="str">
        <f>入學要求!AG50</f>
        <v>/</v>
      </c>
      <c r="AB41" s="386" t="s">
        <v>2814</v>
      </c>
      <c r="AC41" s="365"/>
      <c r="AD41" s="365"/>
      <c r="AE41" s="365" t="s">
        <v>2829</v>
      </c>
      <c r="AF41" s="365" t="s">
        <v>356</v>
      </c>
      <c r="AG41" s="365" t="s">
        <v>944</v>
      </c>
      <c r="AH41" s="365" t="s">
        <v>356</v>
      </c>
      <c r="AI41" s="365" t="s">
        <v>356</v>
      </c>
      <c r="AJ41" s="2" t="s">
        <v>818</v>
      </c>
      <c r="AK41" s="2" t="s">
        <v>945</v>
      </c>
      <c r="AL41" s="2" t="s">
        <v>356</v>
      </c>
      <c r="AM41" s="2" t="s">
        <v>356</v>
      </c>
      <c r="AN41" s="2" t="s">
        <v>435</v>
      </c>
      <c r="AO41" s="2" t="s">
        <v>435</v>
      </c>
      <c r="AP41" s="2" t="s">
        <v>435</v>
      </c>
      <c r="AQ41" s="2" t="s">
        <v>356</v>
      </c>
      <c r="AS41" s="2" t="s">
        <v>820</v>
      </c>
      <c r="AU41" s="2" t="s">
        <v>817</v>
      </c>
      <c r="AY41" s="51">
        <v>1.25</v>
      </c>
      <c r="AZ41" s="51">
        <v>1.25</v>
      </c>
      <c r="BA41" s="51">
        <v>1</v>
      </c>
      <c r="BB41" s="51">
        <v>1</v>
      </c>
      <c r="BC41" s="51">
        <v>1</v>
      </c>
      <c r="BD41" s="51">
        <v>1</v>
      </c>
      <c r="BE41" s="51">
        <v>1</v>
      </c>
      <c r="BF41" s="51">
        <v>1</v>
      </c>
      <c r="BG41" s="51" t="s">
        <v>940</v>
      </c>
      <c r="BH41" s="2">
        <v>4</v>
      </c>
      <c r="BI41" s="2">
        <v>4</v>
      </c>
      <c r="BJ41" s="2">
        <v>2</v>
      </c>
      <c r="BK41" s="2">
        <v>6</v>
      </c>
      <c r="BL41" s="2" t="s">
        <v>356</v>
      </c>
      <c r="BM41" s="2">
        <v>3</v>
      </c>
      <c r="BN41" s="2">
        <v>3</v>
      </c>
      <c r="BO41" s="2" t="s">
        <v>356</v>
      </c>
      <c r="BP41" s="206">
        <f t="shared" si="320"/>
        <v>4.00000000004</v>
      </c>
      <c r="BQ41" s="206">
        <f t="shared" si="321"/>
        <v>4.00000000002</v>
      </c>
      <c r="BR41" s="206">
        <f t="shared" si="322"/>
        <v>2.00000000003</v>
      </c>
      <c r="BS41" s="206">
        <f t="shared" si="323"/>
        <v>6.00000000001</v>
      </c>
      <c r="BT41" s="206">
        <f t="shared" si="324"/>
        <v>0</v>
      </c>
      <c r="BU41" s="206">
        <f t="shared" si="325"/>
        <v>3.00000000006</v>
      </c>
      <c r="BV41" s="206">
        <f t="shared" si="326"/>
        <v>3.00000000007</v>
      </c>
      <c r="BW41" s="206">
        <f t="shared" si="327"/>
        <v>0</v>
      </c>
      <c r="BX41" s="2">
        <f t="shared" si="337"/>
        <v>5.00000000005</v>
      </c>
      <c r="BY41" s="2">
        <f t="shared" si="338"/>
        <v>5.0000000000250004</v>
      </c>
      <c r="BZ41" s="2">
        <f t="shared" si="339"/>
        <v>2.00000000003</v>
      </c>
      <c r="CA41" s="2">
        <f t="shared" si="340"/>
        <v>6.00000000001</v>
      </c>
      <c r="CB41" s="2">
        <f t="shared" si="341"/>
        <v>0</v>
      </c>
      <c r="CC41" s="2">
        <f t="shared" si="342"/>
        <v>3.00000000006</v>
      </c>
      <c r="CD41" s="2">
        <f t="shared" si="343"/>
        <v>3.00000000007</v>
      </c>
      <c r="CE41" s="2">
        <f t="shared" si="344"/>
        <v>0</v>
      </c>
      <c r="CF41" s="2" t="b">
        <v>1</v>
      </c>
      <c r="CG41" s="2" t="b">
        <v>1</v>
      </c>
      <c r="CH41" s="2" t="b">
        <v>0</v>
      </c>
      <c r="CI41" s="2" t="b">
        <v>1</v>
      </c>
      <c r="CJ41" s="2" t="b">
        <v>0</v>
      </c>
      <c r="CK41" s="2" t="b">
        <v>1</v>
      </c>
      <c r="CL41" s="2" t="b">
        <v>1</v>
      </c>
      <c r="CM41" s="2" t="b">
        <v>0</v>
      </c>
      <c r="CN41" s="51">
        <v>1.25</v>
      </c>
      <c r="CO41" s="51">
        <v>1.25</v>
      </c>
      <c r="CP41" s="51">
        <v>1</v>
      </c>
      <c r="CQ41" s="51">
        <v>1</v>
      </c>
      <c r="CR41" s="51">
        <v>1</v>
      </c>
      <c r="CS41" s="51">
        <v>1</v>
      </c>
      <c r="CT41" s="51">
        <v>1</v>
      </c>
      <c r="CU41" s="51">
        <v>1</v>
      </c>
      <c r="CV41" s="51" t="s">
        <v>940</v>
      </c>
      <c r="CW41" s="2">
        <v>4</v>
      </c>
      <c r="CX41" s="2">
        <v>4</v>
      </c>
      <c r="CY41" s="2">
        <v>3</v>
      </c>
      <c r="CZ41" s="2">
        <v>4</v>
      </c>
      <c r="DA41" s="2" t="s">
        <v>356</v>
      </c>
      <c r="DB41" s="2">
        <v>4</v>
      </c>
      <c r="DC41" s="2">
        <v>4</v>
      </c>
      <c r="DD41" s="2">
        <v>3</v>
      </c>
      <c r="DE41" s="206">
        <f t="shared" si="328"/>
        <v>4.00000000004</v>
      </c>
      <c r="DF41" s="206">
        <f t="shared" si="329"/>
        <v>4.00000000002</v>
      </c>
      <c r="DG41" s="206">
        <f t="shared" si="330"/>
        <v>3.00000000003</v>
      </c>
      <c r="DH41" s="206">
        <f t="shared" si="331"/>
        <v>4.00000000001</v>
      </c>
      <c r="DI41" s="206">
        <f t="shared" si="332"/>
        <v>0</v>
      </c>
      <c r="DJ41" s="206">
        <f t="shared" si="333"/>
        <v>4.00000000006</v>
      </c>
      <c r="DK41" s="206">
        <f t="shared" si="334"/>
        <v>4.00000000007</v>
      </c>
      <c r="DL41" s="206">
        <f t="shared" si="335"/>
        <v>3.00000000008</v>
      </c>
      <c r="DM41" s="2">
        <f t="shared" si="345"/>
        <v>5.00000000005</v>
      </c>
      <c r="DN41" s="2">
        <f t="shared" si="346"/>
        <v>5.0000000000250004</v>
      </c>
      <c r="DO41" s="2">
        <f t="shared" si="347"/>
        <v>3.00000000003</v>
      </c>
      <c r="DP41" s="2">
        <f t="shared" si="348"/>
        <v>4.00000000001</v>
      </c>
      <c r="DQ41" s="2">
        <f t="shared" si="349"/>
        <v>0</v>
      </c>
      <c r="DR41" s="2">
        <f t="shared" si="350"/>
        <v>4.00000000006</v>
      </c>
      <c r="DS41" s="2">
        <f t="shared" si="351"/>
        <v>4.00000000007</v>
      </c>
      <c r="DT41" s="2">
        <f t="shared" si="352"/>
        <v>3.00000000008</v>
      </c>
      <c r="DU41" s="2" t="b">
        <v>1</v>
      </c>
      <c r="DV41" s="2" t="b">
        <v>1</v>
      </c>
      <c r="DW41" s="2" t="b">
        <v>0</v>
      </c>
      <c r="DX41" s="2" t="b">
        <v>1</v>
      </c>
      <c r="DY41" s="2" t="b">
        <v>0</v>
      </c>
      <c r="DZ41" s="2" t="b">
        <v>1</v>
      </c>
      <c r="EA41" s="2" t="b">
        <v>1</v>
      </c>
      <c r="EB41" s="2" t="b">
        <v>0</v>
      </c>
      <c r="EC41" s="2" t="s">
        <v>435</v>
      </c>
      <c r="ED41" s="2" t="s">
        <v>435</v>
      </c>
      <c r="EE41" s="2" t="s">
        <v>435</v>
      </c>
      <c r="EF41" s="2" t="s">
        <v>435</v>
      </c>
      <c r="EG41" s="2" t="s">
        <v>435</v>
      </c>
      <c r="EH41" s="2" t="s">
        <v>435</v>
      </c>
      <c r="EI41" s="2" t="s">
        <v>435</v>
      </c>
      <c r="EJ41" s="2" t="s">
        <v>435</v>
      </c>
      <c r="EK41" s="2" t="s">
        <v>435</v>
      </c>
      <c r="EL41" s="2" t="s">
        <v>435</v>
      </c>
      <c r="EM41" s="2" t="s">
        <v>435</v>
      </c>
      <c r="EN41" s="2" t="s">
        <v>435</v>
      </c>
      <c r="EO41" s="2" t="s">
        <v>435</v>
      </c>
      <c r="EP41" s="2" t="s">
        <v>435</v>
      </c>
      <c r="EQ41" s="2" t="s">
        <v>435</v>
      </c>
      <c r="ER41" s="2" t="s">
        <v>435</v>
      </c>
      <c r="FA41" s="2" t="s">
        <v>435</v>
      </c>
      <c r="FB41" s="2" t="s">
        <v>435</v>
      </c>
      <c r="FC41" s="2" t="s">
        <v>435</v>
      </c>
      <c r="FD41" s="2" t="s">
        <v>435</v>
      </c>
      <c r="FE41" s="2" t="s">
        <v>435</v>
      </c>
      <c r="FF41" s="2" t="s">
        <v>435</v>
      </c>
      <c r="FG41" s="2" t="s">
        <v>435</v>
      </c>
      <c r="FH41" s="2" t="s">
        <v>435</v>
      </c>
      <c r="FI41" s="2" t="s">
        <v>435</v>
      </c>
      <c r="FJ41" s="2" t="s">
        <v>435</v>
      </c>
      <c r="FK41" s="2" t="s">
        <v>435</v>
      </c>
      <c r="FL41" s="2" t="s">
        <v>435</v>
      </c>
      <c r="FM41" s="2" t="s">
        <v>435</v>
      </c>
      <c r="FN41" s="2" t="s">
        <v>435</v>
      </c>
      <c r="FO41" s="2" t="s">
        <v>435</v>
      </c>
      <c r="FP41" s="2" t="s">
        <v>435</v>
      </c>
    </row>
    <row r="42" spans="1:172">
      <c r="A42" s="2" t="s">
        <v>946</v>
      </c>
      <c r="B42" s="2" t="s">
        <v>249</v>
      </c>
      <c r="C42" s="2" t="s">
        <v>926</v>
      </c>
      <c r="D42" s="2" t="s">
        <v>947</v>
      </c>
      <c r="E42" s="2" t="s">
        <v>815</v>
      </c>
      <c r="F42" s="385" t="s">
        <v>356</v>
      </c>
      <c r="G42" s="385" t="s">
        <v>356</v>
      </c>
      <c r="H42" s="385">
        <v>25</v>
      </c>
      <c r="I42" s="385">
        <v>24.5</v>
      </c>
      <c r="J42" s="385"/>
      <c r="K42" s="385">
        <f t="shared" si="294"/>
        <v>25.000000000239996</v>
      </c>
      <c r="L42" s="385">
        <f t="shared" si="295"/>
        <v>24.500000000239996</v>
      </c>
      <c r="M42" s="385" t="s">
        <v>356</v>
      </c>
      <c r="N42" s="385" t="s">
        <v>356</v>
      </c>
      <c r="O42" s="385" t="s">
        <v>838</v>
      </c>
      <c r="P42" s="385" t="s">
        <v>356</v>
      </c>
      <c r="Q42" s="385" t="s">
        <v>356</v>
      </c>
      <c r="R42" s="385" t="s">
        <v>948</v>
      </c>
      <c r="S42" s="385" t="s">
        <v>817</v>
      </c>
      <c r="T42" s="385">
        <v>63</v>
      </c>
      <c r="U42" s="385" cm="1">
        <f t="array" ref="U42">IFERROR(INDEX('Offer Statistics'!$Q$2:$Q$350,MATCH(1,(A42='Offer Statistics'!$B$2:$B$350)*($A$11='Offer Statistics'!$K$2:$K$350),0)),"/")</f>
        <v>58</v>
      </c>
      <c r="V42" s="385" cm="1">
        <f t="array" ref="V42">IFERROR(INDEX('Offer Statistics'!$D$2:$D$350,MATCH(1,(A42='Offer Statistics'!$B$2:$B$350)*($A$11='Offer Statistics'!$K$2:$K$350),0)),"/")</f>
        <v>302</v>
      </c>
      <c r="W42" s="385" cm="1">
        <f t="array" ref="W42">IFERROR(INDEX('Offer Statistics'!$L$2:$L$350,MATCH(1,(A42='Offer Statistics'!$B$2:$B$350)*($A$11='Offer Statistics'!$K$2:$K$350),0)),"/")</f>
        <v>48</v>
      </c>
      <c r="X42" s="385">
        <f t="shared" si="319"/>
        <v>6.291666666666667</v>
      </c>
      <c r="Y42" s="385" t="s">
        <v>817</v>
      </c>
      <c r="Z42" s="95" t="str">
        <f>入學要求!AF51</f>
        <v>/</v>
      </c>
      <c r="AA42" s="95" t="str">
        <f>入學要求!AG51</f>
        <v>/</v>
      </c>
      <c r="AB42" s="386" t="s">
        <v>2820</v>
      </c>
      <c r="AC42" s="95"/>
      <c r="AD42" s="95"/>
      <c r="AE42" s="95" t="s">
        <v>356</v>
      </c>
      <c r="AF42" s="95" t="s">
        <v>356</v>
      </c>
      <c r="AG42" s="95" t="s">
        <v>838</v>
      </c>
      <c r="AH42" s="95" t="s">
        <v>356</v>
      </c>
      <c r="AI42" s="95" t="s">
        <v>356</v>
      </c>
      <c r="AJ42" s="2" t="s">
        <v>818</v>
      </c>
      <c r="AK42" s="2" t="s">
        <v>356</v>
      </c>
      <c r="AL42" s="2" t="s">
        <v>356</v>
      </c>
      <c r="AM42" s="2" t="s">
        <v>356</v>
      </c>
      <c r="AN42" s="2" t="s">
        <v>435</v>
      </c>
      <c r="AO42" s="2" t="s">
        <v>435</v>
      </c>
      <c r="AP42" s="2" t="s">
        <v>435</v>
      </c>
      <c r="AQ42" s="2" t="s">
        <v>356</v>
      </c>
      <c r="AS42" s="2" t="s">
        <v>820</v>
      </c>
      <c r="AU42" s="2" t="s">
        <v>817</v>
      </c>
      <c r="AY42" s="51">
        <v>1</v>
      </c>
      <c r="AZ42" s="51">
        <v>1.5</v>
      </c>
      <c r="BA42" s="51">
        <v>1</v>
      </c>
      <c r="BB42" s="51">
        <v>1</v>
      </c>
      <c r="BC42" s="51">
        <v>1</v>
      </c>
      <c r="BD42" s="51">
        <v>1</v>
      </c>
      <c r="BE42" s="51">
        <v>1</v>
      </c>
      <c r="BF42" s="51">
        <v>1</v>
      </c>
      <c r="BG42" s="51" t="s">
        <v>946</v>
      </c>
      <c r="BH42" s="2">
        <v>5</v>
      </c>
      <c r="BI42" s="2">
        <v>3</v>
      </c>
      <c r="BJ42" s="2">
        <v>4</v>
      </c>
      <c r="BK42" s="2">
        <v>5</v>
      </c>
      <c r="BL42" s="2" t="s">
        <v>356</v>
      </c>
      <c r="BM42" s="2">
        <v>3</v>
      </c>
      <c r="BN42" s="2">
        <v>3</v>
      </c>
      <c r="BO42" s="2" t="s">
        <v>356</v>
      </c>
      <c r="BP42" s="206">
        <f t="shared" si="320"/>
        <v>5.00000000004</v>
      </c>
      <c r="BQ42" s="206">
        <f t="shared" si="321"/>
        <v>3.00000000002</v>
      </c>
      <c r="BR42" s="206">
        <f t="shared" si="322"/>
        <v>4.00000000003</v>
      </c>
      <c r="BS42" s="206">
        <f t="shared" si="323"/>
        <v>5.00000000001</v>
      </c>
      <c r="BT42" s="206">
        <f t="shared" si="324"/>
        <v>0</v>
      </c>
      <c r="BU42" s="206">
        <f t="shared" si="325"/>
        <v>3.00000000006</v>
      </c>
      <c r="BV42" s="206">
        <f t="shared" si="326"/>
        <v>3.00000000007</v>
      </c>
      <c r="BW42" s="206">
        <f t="shared" si="327"/>
        <v>0</v>
      </c>
      <c r="BX42" s="2">
        <f t="shared" si="337"/>
        <v>5.00000000004</v>
      </c>
      <c r="BY42" s="2">
        <f t="shared" si="338"/>
        <v>4.50000000003</v>
      </c>
      <c r="BZ42" s="2">
        <f t="shared" si="339"/>
        <v>4.00000000003</v>
      </c>
      <c r="CA42" s="2">
        <f t="shared" si="340"/>
        <v>5.00000000001</v>
      </c>
      <c r="CB42" s="2">
        <f t="shared" si="341"/>
        <v>0</v>
      </c>
      <c r="CC42" s="2">
        <f t="shared" si="342"/>
        <v>3.00000000006</v>
      </c>
      <c r="CD42" s="2">
        <f t="shared" si="343"/>
        <v>3.00000000007</v>
      </c>
      <c r="CE42" s="2">
        <f t="shared" si="344"/>
        <v>0</v>
      </c>
      <c r="CF42" s="2" t="b">
        <v>1</v>
      </c>
      <c r="CG42" s="2" t="b">
        <v>1</v>
      </c>
      <c r="CH42" s="2" t="b">
        <v>1</v>
      </c>
      <c r="CI42" s="2" t="b">
        <v>1</v>
      </c>
      <c r="CJ42" s="2" t="b">
        <v>0</v>
      </c>
      <c r="CK42" s="2" t="b">
        <v>1</v>
      </c>
      <c r="CL42" s="2" t="b">
        <v>1</v>
      </c>
      <c r="CM42" s="2" t="b">
        <v>0</v>
      </c>
      <c r="CN42" s="51">
        <v>1</v>
      </c>
      <c r="CO42" s="51">
        <v>1.5</v>
      </c>
      <c r="CP42" s="51">
        <v>1</v>
      </c>
      <c r="CQ42" s="51">
        <v>1</v>
      </c>
      <c r="CR42" s="51">
        <v>1</v>
      </c>
      <c r="CS42" s="51">
        <v>1</v>
      </c>
      <c r="CT42" s="51">
        <v>1</v>
      </c>
      <c r="CU42" s="51">
        <v>1</v>
      </c>
      <c r="CV42" s="51" t="s">
        <v>946</v>
      </c>
      <c r="CW42" s="2">
        <v>4</v>
      </c>
      <c r="CX42" s="2">
        <v>4</v>
      </c>
      <c r="CY42" s="2">
        <v>3</v>
      </c>
      <c r="CZ42" s="2">
        <v>3</v>
      </c>
      <c r="DA42" s="2" t="s">
        <v>356</v>
      </c>
      <c r="DB42" s="2">
        <v>6</v>
      </c>
      <c r="DC42" s="2">
        <v>3</v>
      </c>
      <c r="DD42" s="2" t="s">
        <v>356</v>
      </c>
      <c r="DE42" s="206">
        <f t="shared" si="328"/>
        <v>4.00000000004</v>
      </c>
      <c r="DF42" s="206">
        <f t="shared" si="329"/>
        <v>4.00000000002</v>
      </c>
      <c r="DG42" s="206">
        <f t="shared" si="330"/>
        <v>3.00000000003</v>
      </c>
      <c r="DH42" s="206">
        <f t="shared" si="331"/>
        <v>3.00000000001</v>
      </c>
      <c r="DI42" s="206">
        <f t="shared" si="332"/>
        <v>0</v>
      </c>
      <c r="DJ42" s="206">
        <f t="shared" si="333"/>
        <v>6.00000000006</v>
      </c>
      <c r="DK42" s="206">
        <f t="shared" si="334"/>
        <v>3.00000000007</v>
      </c>
      <c r="DL42" s="206">
        <f t="shared" si="335"/>
        <v>0</v>
      </c>
      <c r="DM42" s="2">
        <f t="shared" si="345"/>
        <v>4.00000000004</v>
      </c>
      <c r="DN42" s="2">
        <f t="shared" si="346"/>
        <v>6.00000000003</v>
      </c>
      <c r="DO42" s="2">
        <f t="shared" si="347"/>
        <v>3.00000000003</v>
      </c>
      <c r="DP42" s="2">
        <f t="shared" si="348"/>
        <v>3.00000000001</v>
      </c>
      <c r="DQ42" s="2">
        <f t="shared" si="349"/>
        <v>0</v>
      </c>
      <c r="DR42" s="2">
        <f t="shared" si="350"/>
        <v>6.00000000006</v>
      </c>
      <c r="DS42" s="2">
        <f t="shared" si="351"/>
        <v>3.00000000007</v>
      </c>
      <c r="DT42" s="2">
        <f t="shared" si="352"/>
        <v>0</v>
      </c>
      <c r="DU42" s="2" t="b">
        <v>1</v>
      </c>
      <c r="DV42" s="2" t="b">
        <v>1</v>
      </c>
      <c r="DW42" s="2" t="b">
        <v>1</v>
      </c>
      <c r="DX42" s="2" t="b">
        <v>1</v>
      </c>
      <c r="DY42" s="2" t="b">
        <v>0</v>
      </c>
      <c r="DZ42" s="2" t="b">
        <v>1</v>
      </c>
      <c r="EA42" s="2" t="b">
        <v>1</v>
      </c>
      <c r="EB42" s="2" t="b">
        <v>0</v>
      </c>
      <c r="EC42" s="2" t="s">
        <v>435</v>
      </c>
      <c r="ED42" s="2" t="s">
        <v>435</v>
      </c>
      <c r="EE42" s="2" t="s">
        <v>435</v>
      </c>
      <c r="EF42" s="2" t="s">
        <v>435</v>
      </c>
      <c r="EG42" s="2" t="s">
        <v>435</v>
      </c>
      <c r="EH42" s="2" t="s">
        <v>435</v>
      </c>
      <c r="EI42" s="2" t="s">
        <v>435</v>
      </c>
      <c r="EJ42" s="2" t="s">
        <v>435</v>
      </c>
      <c r="EK42" s="2" t="s">
        <v>435</v>
      </c>
      <c r="EL42" s="2" t="s">
        <v>435</v>
      </c>
      <c r="EM42" s="2" t="s">
        <v>435</v>
      </c>
      <c r="EN42" s="2" t="s">
        <v>435</v>
      </c>
      <c r="EO42" s="2" t="s">
        <v>435</v>
      </c>
      <c r="EP42" s="2" t="s">
        <v>435</v>
      </c>
      <c r="EQ42" s="2" t="s">
        <v>435</v>
      </c>
      <c r="ER42" s="2" t="s">
        <v>435</v>
      </c>
      <c r="FA42" s="2" t="s">
        <v>435</v>
      </c>
      <c r="FB42" s="2" t="s">
        <v>435</v>
      </c>
      <c r="FC42" s="2" t="s">
        <v>435</v>
      </c>
      <c r="FD42" s="2" t="s">
        <v>435</v>
      </c>
      <c r="FE42" s="2" t="s">
        <v>435</v>
      </c>
      <c r="FF42" s="2" t="s">
        <v>435</v>
      </c>
      <c r="FG42" s="2" t="s">
        <v>435</v>
      </c>
      <c r="FH42" s="2" t="s">
        <v>435</v>
      </c>
      <c r="FI42" s="2" t="s">
        <v>435</v>
      </c>
      <c r="FJ42" s="2" t="s">
        <v>435</v>
      </c>
      <c r="FK42" s="2" t="s">
        <v>435</v>
      </c>
      <c r="FL42" s="2" t="s">
        <v>435</v>
      </c>
      <c r="FM42" s="2" t="s">
        <v>435</v>
      </c>
      <c r="FN42" s="2" t="s">
        <v>435</v>
      </c>
      <c r="FO42" s="2" t="s">
        <v>435</v>
      </c>
      <c r="FP42" s="2" t="s">
        <v>435</v>
      </c>
    </row>
    <row r="43" spans="1:172">
      <c r="A43" s="2" t="s">
        <v>949</v>
      </c>
      <c r="B43" s="2" t="s">
        <v>249</v>
      </c>
      <c r="C43" s="2" t="s">
        <v>926</v>
      </c>
      <c r="D43" s="2" t="s">
        <v>950</v>
      </c>
      <c r="E43" s="2" t="s">
        <v>815</v>
      </c>
      <c r="F43" s="385" t="s">
        <v>356</v>
      </c>
      <c r="G43" s="385" t="s">
        <v>356</v>
      </c>
      <c r="H43" s="385">
        <v>32</v>
      </c>
      <c r="I43" s="385">
        <v>31.5</v>
      </c>
      <c r="J43" s="385"/>
      <c r="K43" s="385">
        <f t="shared" si="294"/>
        <v>32.000000000285006</v>
      </c>
      <c r="L43" s="385">
        <f t="shared" si="295"/>
        <v>31.500000000285002</v>
      </c>
      <c r="M43" s="385" t="s">
        <v>356</v>
      </c>
      <c r="N43" s="385" t="s">
        <v>356</v>
      </c>
      <c r="O43" s="385" t="s">
        <v>874</v>
      </c>
      <c r="P43" s="385" t="s">
        <v>952</v>
      </c>
      <c r="Q43" s="385" t="s">
        <v>356</v>
      </c>
      <c r="R43" s="385" t="s">
        <v>951</v>
      </c>
      <c r="S43" s="385" t="s">
        <v>817</v>
      </c>
      <c r="T43" s="385">
        <v>25</v>
      </c>
      <c r="U43" s="385" cm="1">
        <f t="array" ref="U43">IFERROR(INDEX('Offer Statistics'!$Q$2:$Q$350,MATCH(1,(A43='Offer Statistics'!$B$2:$B$350)*($A$11='Offer Statistics'!$K$2:$K$350),0)),"/")</f>
        <v>30</v>
      </c>
      <c r="V43" s="385" cm="1">
        <f t="array" ref="V43">IFERROR(INDEX('Offer Statistics'!$D$2:$D$350,MATCH(1,(A43='Offer Statistics'!$B$2:$B$350)*($A$11='Offer Statistics'!$K$2:$K$350),0)),"/")</f>
        <v>139</v>
      </c>
      <c r="W43" s="385" cm="1">
        <f t="array" ref="W43">IFERROR(INDEX('Offer Statistics'!$L$2:$L$350,MATCH(1,(A43='Offer Statistics'!$B$2:$B$350)*($A$11='Offer Statistics'!$K$2:$K$350),0)),"/")</f>
        <v>24</v>
      </c>
      <c r="X43" s="385">
        <f t="shared" si="319"/>
        <v>5.791666666666667</v>
      </c>
      <c r="Y43" s="385" t="s">
        <v>817</v>
      </c>
      <c r="Z43" s="95" t="str">
        <f>入學要求!AF52</f>
        <v>/</v>
      </c>
      <c r="AA43" s="95" t="str">
        <f>入學要求!AG52</f>
        <v>/</v>
      </c>
      <c r="AB43" s="386" t="s">
        <v>2820</v>
      </c>
      <c r="AC43" s="95"/>
      <c r="AD43" s="95"/>
      <c r="AE43" s="95" t="s">
        <v>356</v>
      </c>
      <c r="AF43" s="95" t="s">
        <v>356</v>
      </c>
      <c r="AG43" s="95" t="s">
        <v>874</v>
      </c>
      <c r="AH43" s="95" t="s">
        <v>952</v>
      </c>
      <c r="AI43" s="95" t="s">
        <v>356</v>
      </c>
      <c r="AJ43" s="2" t="s">
        <v>818</v>
      </c>
      <c r="AK43" s="2" t="s">
        <v>953</v>
      </c>
      <c r="AL43" s="2" t="s">
        <v>839</v>
      </c>
      <c r="AM43" s="2" t="s">
        <v>954</v>
      </c>
      <c r="AN43" s="2" t="s">
        <v>435</v>
      </c>
      <c r="AO43" s="2" t="s">
        <v>435</v>
      </c>
      <c r="AP43" s="2" t="s">
        <v>435</v>
      </c>
      <c r="AQ43" s="2" t="s">
        <v>356</v>
      </c>
      <c r="AS43" s="2" t="s">
        <v>820</v>
      </c>
      <c r="AU43" s="2" t="s">
        <v>817</v>
      </c>
      <c r="AY43" s="51">
        <v>1.5</v>
      </c>
      <c r="AZ43" s="51">
        <v>2</v>
      </c>
      <c r="BA43" s="51">
        <v>1.5</v>
      </c>
      <c r="BB43" s="51">
        <v>1</v>
      </c>
      <c r="BC43" s="51">
        <v>1</v>
      </c>
      <c r="BD43" s="51">
        <v>1</v>
      </c>
      <c r="BE43" s="51">
        <v>1</v>
      </c>
      <c r="BF43" s="51">
        <v>1</v>
      </c>
      <c r="BG43" s="51" t="s">
        <v>949</v>
      </c>
      <c r="BH43" s="2">
        <v>5</v>
      </c>
      <c r="BI43" s="2">
        <v>4</v>
      </c>
      <c r="BJ43" s="2">
        <v>4</v>
      </c>
      <c r="BK43" s="2">
        <v>4</v>
      </c>
      <c r="BL43" s="2" t="s">
        <v>356</v>
      </c>
      <c r="BM43" s="2">
        <v>3</v>
      </c>
      <c r="BN43" s="2">
        <v>3</v>
      </c>
      <c r="BO43" s="2" t="s">
        <v>356</v>
      </c>
      <c r="BP43" s="206">
        <f t="shared" si="320"/>
        <v>5.00000000004</v>
      </c>
      <c r="BQ43" s="206">
        <f t="shared" si="321"/>
        <v>4.00000000002</v>
      </c>
      <c r="BR43" s="206">
        <f t="shared" si="322"/>
        <v>4.00000000003</v>
      </c>
      <c r="BS43" s="206">
        <f t="shared" si="323"/>
        <v>4.00000000001</v>
      </c>
      <c r="BT43" s="206">
        <f t="shared" si="324"/>
        <v>0</v>
      </c>
      <c r="BU43" s="206">
        <f t="shared" si="325"/>
        <v>3.00000000006</v>
      </c>
      <c r="BV43" s="206">
        <f t="shared" si="326"/>
        <v>3.00000000007</v>
      </c>
      <c r="BW43" s="206">
        <f t="shared" si="327"/>
        <v>0</v>
      </c>
      <c r="BX43" s="2">
        <f t="shared" si="337"/>
        <v>7.50000000006</v>
      </c>
      <c r="BY43" s="2">
        <f t="shared" si="338"/>
        <v>8.00000000004</v>
      </c>
      <c r="BZ43" s="2">
        <f t="shared" si="339"/>
        <v>6.0000000000450004</v>
      </c>
      <c r="CA43" s="2">
        <f t="shared" si="340"/>
        <v>4.00000000001</v>
      </c>
      <c r="CB43" s="2">
        <f t="shared" si="341"/>
        <v>0</v>
      </c>
      <c r="CC43" s="2">
        <f t="shared" si="342"/>
        <v>3.00000000006</v>
      </c>
      <c r="CD43" s="2">
        <f t="shared" si="343"/>
        <v>3.00000000007</v>
      </c>
      <c r="CE43" s="2">
        <f t="shared" si="344"/>
        <v>0</v>
      </c>
      <c r="CF43" s="2" t="b">
        <v>1</v>
      </c>
      <c r="CG43" s="2" t="b">
        <v>1</v>
      </c>
      <c r="CH43" s="2" t="b">
        <v>1</v>
      </c>
      <c r="CI43" s="2" t="b">
        <v>1</v>
      </c>
      <c r="CJ43" s="2" t="b">
        <v>0</v>
      </c>
      <c r="CK43" s="2" t="b">
        <v>1</v>
      </c>
      <c r="CL43" s="2" t="b">
        <v>1</v>
      </c>
      <c r="CM43" s="2" t="b">
        <v>0</v>
      </c>
      <c r="CN43" s="51">
        <v>1.5</v>
      </c>
      <c r="CO43" s="51">
        <v>2</v>
      </c>
      <c r="CP43" s="51">
        <v>1.5</v>
      </c>
      <c r="CQ43" s="51">
        <v>1</v>
      </c>
      <c r="CR43" s="51">
        <v>1</v>
      </c>
      <c r="CS43" s="51">
        <v>1</v>
      </c>
      <c r="CT43" s="51">
        <v>1</v>
      </c>
      <c r="CU43" s="51">
        <v>1</v>
      </c>
      <c r="CV43" s="51" t="s">
        <v>949</v>
      </c>
      <c r="CW43" s="2">
        <v>4</v>
      </c>
      <c r="CX43" s="2">
        <v>4</v>
      </c>
      <c r="CY43" s="2">
        <v>4</v>
      </c>
      <c r="CZ43" s="2">
        <v>4</v>
      </c>
      <c r="DA43" s="2" t="s">
        <v>356</v>
      </c>
      <c r="DB43" s="2">
        <v>4</v>
      </c>
      <c r="DC43" s="2">
        <v>4</v>
      </c>
      <c r="DD43" s="2">
        <v>4</v>
      </c>
      <c r="DE43" s="206">
        <f t="shared" si="328"/>
        <v>4.00000000004</v>
      </c>
      <c r="DF43" s="206">
        <f t="shared" si="329"/>
        <v>4.00000000002</v>
      </c>
      <c r="DG43" s="206">
        <f t="shared" si="330"/>
        <v>4.00000000003</v>
      </c>
      <c r="DH43" s="206">
        <f t="shared" si="331"/>
        <v>4.00000000001</v>
      </c>
      <c r="DI43" s="206">
        <f t="shared" si="332"/>
        <v>0</v>
      </c>
      <c r="DJ43" s="206">
        <f t="shared" si="333"/>
        <v>4.00000000006</v>
      </c>
      <c r="DK43" s="206">
        <f t="shared" si="334"/>
        <v>4.00000000007</v>
      </c>
      <c r="DL43" s="206">
        <f t="shared" si="335"/>
        <v>4.00000000008</v>
      </c>
      <c r="DM43" s="2">
        <f t="shared" si="345"/>
        <v>6.00000000006</v>
      </c>
      <c r="DN43" s="2">
        <f t="shared" si="346"/>
        <v>8.00000000004</v>
      </c>
      <c r="DO43" s="2">
        <f t="shared" si="347"/>
        <v>6.0000000000450004</v>
      </c>
      <c r="DP43" s="2">
        <f t="shared" si="348"/>
        <v>4.00000000001</v>
      </c>
      <c r="DQ43" s="2">
        <f t="shared" si="349"/>
        <v>0</v>
      </c>
      <c r="DR43" s="2">
        <f t="shared" si="350"/>
        <v>4.00000000006</v>
      </c>
      <c r="DS43" s="2">
        <f t="shared" si="351"/>
        <v>4.00000000007</v>
      </c>
      <c r="DT43" s="2">
        <f t="shared" si="352"/>
        <v>4.00000000008</v>
      </c>
      <c r="DU43" s="2" t="b">
        <v>1</v>
      </c>
      <c r="DV43" s="2" t="b">
        <v>1</v>
      </c>
      <c r="DW43" s="2" t="b">
        <v>1</v>
      </c>
      <c r="DX43" s="2" t="b">
        <v>1</v>
      </c>
      <c r="DY43" s="2" t="b">
        <v>0</v>
      </c>
      <c r="DZ43" s="2" t="b">
        <v>1</v>
      </c>
      <c r="EA43" s="2" t="b">
        <v>1</v>
      </c>
      <c r="EB43" s="2" t="b">
        <v>0</v>
      </c>
      <c r="EC43" s="2" t="s">
        <v>435</v>
      </c>
      <c r="ED43" s="2" t="s">
        <v>435</v>
      </c>
      <c r="EE43" s="2" t="s">
        <v>435</v>
      </c>
      <c r="EF43" s="2" t="s">
        <v>435</v>
      </c>
      <c r="EG43" s="2" t="s">
        <v>435</v>
      </c>
      <c r="EH43" s="2" t="s">
        <v>435</v>
      </c>
      <c r="EI43" s="2" t="s">
        <v>435</v>
      </c>
      <c r="EJ43" s="2" t="s">
        <v>435</v>
      </c>
      <c r="EK43" s="2" t="s">
        <v>435</v>
      </c>
      <c r="EL43" s="2" t="s">
        <v>435</v>
      </c>
      <c r="EM43" s="2" t="s">
        <v>435</v>
      </c>
      <c r="EN43" s="2" t="s">
        <v>435</v>
      </c>
      <c r="EO43" s="2" t="s">
        <v>435</v>
      </c>
      <c r="EP43" s="2" t="s">
        <v>435</v>
      </c>
      <c r="EQ43" s="2" t="s">
        <v>435</v>
      </c>
      <c r="ER43" s="2" t="s">
        <v>435</v>
      </c>
      <c r="FA43" s="2" t="s">
        <v>435</v>
      </c>
      <c r="FB43" s="2" t="s">
        <v>435</v>
      </c>
      <c r="FC43" s="2" t="s">
        <v>435</v>
      </c>
      <c r="FD43" s="2" t="s">
        <v>435</v>
      </c>
      <c r="FE43" s="2" t="s">
        <v>435</v>
      </c>
      <c r="FF43" s="2" t="s">
        <v>435</v>
      </c>
      <c r="FG43" s="2" t="s">
        <v>435</v>
      </c>
      <c r="FH43" s="2" t="s">
        <v>435</v>
      </c>
      <c r="FI43" s="2" t="s">
        <v>435</v>
      </c>
      <c r="FJ43" s="2" t="s">
        <v>435</v>
      </c>
      <c r="FK43" s="2" t="s">
        <v>435</v>
      </c>
      <c r="FL43" s="2" t="s">
        <v>435</v>
      </c>
      <c r="FM43" s="2" t="s">
        <v>435</v>
      </c>
      <c r="FN43" s="2" t="s">
        <v>435</v>
      </c>
      <c r="FO43" s="2" t="s">
        <v>435</v>
      </c>
      <c r="FP43" s="2" t="s">
        <v>435</v>
      </c>
    </row>
    <row r="44" spans="1:172">
      <c r="A44" s="2" t="s">
        <v>955</v>
      </c>
      <c r="B44" s="2" t="s">
        <v>249</v>
      </c>
      <c r="C44" s="2" t="s">
        <v>926</v>
      </c>
      <c r="D44" s="2" t="s">
        <v>956</v>
      </c>
      <c r="E44" s="2" t="s">
        <v>889</v>
      </c>
      <c r="F44" s="385" t="s">
        <v>356</v>
      </c>
      <c r="G44" s="385" t="s">
        <v>356</v>
      </c>
      <c r="H44" s="385">
        <v>26</v>
      </c>
      <c r="I44" s="385">
        <v>26</v>
      </c>
      <c r="J44" s="385"/>
      <c r="K44" s="385">
        <f t="shared" si="294"/>
        <v>26.000000000220002</v>
      </c>
      <c r="L44" s="385">
        <f t="shared" si="295"/>
        <v>26.000000000239996</v>
      </c>
      <c r="M44" s="385" t="s">
        <v>890</v>
      </c>
      <c r="N44" s="385" t="s">
        <v>356</v>
      </c>
      <c r="O44" s="385" t="s">
        <v>874</v>
      </c>
      <c r="P44" s="385" t="s">
        <v>356</v>
      </c>
      <c r="Q44" s="385" t="s">
        <v>356</v>
      </c>
      <c r="R44" s="385" t="s">
        <v>957</v>
      </c>
      <c r="S44" s="385" t="s">
        <v>817</v>
      </c>
      <c r="T44" s="385">
        <v>10</v>
      </c>
      <c r="U44" s="385" cm="1">
        <f t="array" ref="U44">IFERROR(INDEX('Offer Statistics'!$Q$2:$Q$350,MATCH(1,(A44='Offer Statistics'!$B$2:$B$350)*($A$11='Offer Statistics'!$K$2:$K$350),0)),"/")</f>
        <v>11</v>
      </c>
      <c r="V44" s="385" cm="1">
        <f t="array" ref="V44">IFERROR(INDEX('Offer Statistics'!$D$2:$D$350,MATCH(1,(A44='Offer Statistics'!$B$2:$B$350)*($A$11='Offer Statistics'!$K$2:$K$350),0)),"/")</f>
        <v>333</v>
      </c>
      <c r="W44" s="385" cm="1">
        <f t="array" ref="W44">IFERROR(INDEX('Offer Statistics'!$L$2:$L$350,MATCH(1,(A44='Offer Statistics'!$B$2:$B$350)*($A$11='Offer Statistics'!$K$2:$K$350),0)),"/")</f>
        <v>11</v>
      </c>
      <c r="X44" s="385">
        <f t="shared" si="319"/>
        <v>30.272727272727273</v>
      </c>
      <c r="Y44" s="385" t="s">
        <v>817</v>
      </c>
      <c r="Z44" s="95" t="str">
        <f>入學要求!AF53</f>
        <v>/</v>
      </c>
      <c r="AA44" s="95" t="str">
        <f>入學要求!AG53</f>
        <v>/</v>
      </c>
      <c r="AB44" s="386" t="s">
        <v>2814</v>
      </c>
      <c r="AC44" s="95"/>
      <c r="AD44" s="95"/>
      <c r="AE44" s="95" t="s">
        <v>2829</v>
      </c>
      <c r="AF44" s="95" t="s">
        <v>356</v>
      </c>
      <c r="AG44" s="95" t="s">
        <v>874</v>
      </c>
      <c r="AH44" s="95" t="s">
        <v>356</v>
      </c>
      <c r="AI44" s="95" t="s">
        <v>356</v>
      </c>
      <c r="AJ44" s="2" t="s">
        <v>958</v>
      </c>
      <c r="AK44" s="2" t="s">
        <v>818</v>
      </c>
      <c r="AL44" s="2" t="s">
        <v>844</v>
      </c>
      <c r="AM44" s="2" t="s">
        <v>356</v>
      </c>
      <c r="AN44" s="2" t="s">
        <v>435</v>
      </c>
      <c r="AO44" s="2" t="s">
        <v>435</v>
      </c>
      <c r="AP44" s="2" t="s">
        <v>435</v>
      </c>
      <c r="AQ44" s="2" t="s">
        <v>356</v>
      </c>
      <c r="AS44" s="2" t="s">
        <v>820</v>
      </c>
      <c r="AU44" s="2" t="s">
        <v>817</v>
      </c>
      <c r="AY44" s="51">
        <v>1</v>
      </c>
      <c r="AZ44" s="51">
        <v>2</v>
      </c>
      <c r="BA44" s="51">
        <v>1</v>
      </c>
      <c r="BB44" s="51">
        <v>1</v>
      </c>
      <c r="BC44" s="51">
        <v>1</v>
      </c>
      <c r="BD44" s="51">
        <v>1</v>
      </c>
      <c r="BE44" s="51">
        <v>1</v>
      </c>
      <c r="BF44" s="51">
        <v>1</v>
      </c>
      <c r="BG44" s="51" t="s">
        <v>955</v>
      </c>
      <c r="BH44" s="2">
        <v>3</v>
      </c>
      <c r="BI44" s="2">
        <v>5</v>
      </c>
      <c r="BJ44" s="2">
        <v>4</v>
      </c>
      <c r="BK44" s="2">
        <v>3</v>
      </c>
      <c r="BL44" s="2" t="s">
        <v>356</v>
      </c>
      <c r="BM44" s="2">
        <v>5</v>
      </c>
      <c r="BN44" s="2">
        <v>4</v>
      </c>
      <c r="BO44" s="2">
        <v>3</v>
      </c>
      <c r="BP44" s="206">
        <f t="shared" si="320"/>
        <v>3.00000000004</v>
      </c>
      <c r="BQ44" s="206">
        <f t="shared" si="321"/>
        <v>5.00000000002</v>
      </c>
      <c r="BR44" s="206">
        <f t="shared" si="322"/>
        <v>4.00000000003</v>
      </c>
      <c r="BS44" s="206">
        <f t="shared" si="323"/>
        <v>3.00000000001</v>
      </c>
      <c r="BT44" s="206">
        <f t="shared" si="324"/>
        <v>0</v>
      </c>
      <c r="BU44" s="206">
        <f t="shared" si="325"/>
        <v>5.00000000006</v>
      </c>
      <c r="BV44" s="206">
        <f t="shared" si="326"/>
        <v>4.00000000007</v>
      </c>
      <c r="BW44" s="206">
        <f t="shared" si="327"/>
        <v>3.00000000008</v>
      </c>
      <c r="BX44" s="2">
        <f t="shared" si="337"/>
        <v>3.00000000004</v>
      </c>
      <c r="BY44" s="2">
        <f t="shared" si="338"/>
        <v>10.00000000004</v>
      </c>
      <c r="BZ44" s="2">
        <f t="shared" si="339"/>
        <v>4.00000000003</v>
      </c>
      <c r="CA44" s="2">
        <f t="shared" si="340"/>
        <v>3.00000000001</v>
      </c>
      <c r="CB44" s="2">
        <f t="shared" si="341"/>
        <v>0</v>
      </c>
      <c r="CC44" s="2">
        <f t="shared" si="342"/>
        <v>5.00000000006</v>
      </c>
      <c r="CD44" s="2">
        <f t="shared" si="343"/>
        <v>4.00000000007</v>
      </c>
      <c r="CE44" s="2">
        <f t="shared" si="344"/>
        <v>3.00000000008</v>
      </c>
      <c r="CF44" s="2" t="b">
        <v>1</v>
      </c>
      <c r="CG44" s="2" t="b">
        <v>1</v>
      </c>
      <c r="CH44" s="2" t="b">
        <v>1</v>
      </c>
      <c r="CI44" s="2" t="b">
        <v>0</v>
      </c>
      <c r="CJ44" s="2" t="b">
        <v>0</v>
      </c>
      <c r="CK44" s="2" t="b">
        <v>1</v>
      </c>
      <c r="CL44" s="2" t="b">
        <v>1</v>
      </c>
      <c r="CM44" s="2" t="b">
        <v>0</v>
      </c>
      <c r="CN44" s="51">
        <v>1</v>
      </c>
      <c r="CO44" s="51">
        <v>2</v>
      </c>
      <c r="CP44" s="51">
        <v>1</v>
      </c>
      <c r="CQ44" s="51">
        <v>1</v>
      </c>
      <c r="CR44" s="51">
        <v>1</v>
      </c>
      <c r="CS44" s="51">
        <v>1</v>
      </c>
      <c r="CT44" s="51">
        <v>1</v>
      </c>
      <c r="CU44" s="51">
        <v>1</v>
      </c>
      <c r="CV44" s="51" t="s">
        <v>955</v>
      </c>
      <c r="CW44" s="2">
        <v>4</v>
      </c>
      <c r="CX44" s="2">
        <v>5</v>
      </c>
      <c r="CY44" s="2">
        <v>3</v>
      </c>
      <c r="CZ44" s="2">
        <v>4</v>
      </c>
      <c r="DA44" s="2" t="s">
        <v>356</v>
      </c>
      <c r="DB44" s="2">
        <v>4</v>
      </c>
      <c r="DC44" s="2">
        <v>4</v>
      </c>
      <c r="DD44" s="2">
        <v>4</v>
      </c>
      <c r="DE44" s="206">
        <f t="shared" si="328"/>
        <v>4.00000000004</v>
      </c>
      <c r="DF44" s="206">
        <f t="shared" si="329"/>
        <v>5.00000000002</v>
      </c>
      <c r="DG44" s="206">
        <f t="shared" si="330"/>
        <v>3.00000000003</v>
      </c>
      <c r="DH44" s="206">
        <f t="shared" si="331"/>
        <v>4.00000000001</v>
      </c>
      <c r="DI44" s="206">
        <f t="shared" si="332"/>
        <v>0</v>
      </c>
      <c r="DJ44" s="206">
        <f t="shared" si="333"/>
        <v>4.00000000006</v>
      </c>
      <c r="DK44" s="206">
        <f t="shared" si="334"/>
        <v>4.00000000007</v>
      </c>
      <c r="DL44" s="206">
        <f t="shared" si="335"/>
        <v>4.00000000008</v>
      </c>
      <c r="DM44" s="2">
        <f t="shared" si="345"/>
        <v>4.00000000004</v>
      </c>
      <c r="DN44" s="2">
        <f t="shared" si="346"/>
        <v>10.00000000004</v>
      </c>
      <c r="DO44" s="2">
        <f t="shared" si="347"/>
        <v>3.00000000003</v>
      </c>
      <c r="DP44" s="2">
        <f t="shared" si="348"/>
        <v>4.00000000001</v>
      </c>
      <c r="DQ44" s="2">
        <f t="shared" si="349"/>
        <v>0</v>
      </c>
      <c r="DR44" s="2">
        <f t="shared" si="350"/>
        <v>4.00000000006</v>
      </c>
      <c r="DS44" s="2">
        <f t="shared" si="351"/>
        <v>4.00000000007</v>
      </c>
      <c r="DT44" s="2">
        <f t="shared" si="352"/>
        <v>4.00000000008</v>
      </c>
      <c r="DU44" s="2" t="b">
        <v>1</v>
      </c>
      <c r="DV44" s="2" t="b">
        <v>1</v>
      </c>
      <c r="DW44" s="2" t="b">
        <v>0</v>
      </c>
      <c r="DX44" s="2" t="b">
        <v>1</v>
      </c>
      <c r="DY44" s="2" t="b">
        <v>0</v>
      </c>
      <c r="DZ44" s="2" t="b">
        <v>1</v>
      </c>
      <c r="EA44" s="2" t="b">
        <v>1</v>
      </c>
      <c r="EB44" s="2" t="b">
        <v>0</v>
      </c>
      <c r="EC44" s="2" t="s">
        <v>435</v>
      </c>
      <c r="ED44" s="2" t="s">
        <v>435</v>
      </c>
      <c r="EE44" s="2" t="s">
        <v>435</v>
      </c>
      <c r="EF44" s="2" t="s">
        <v>435</v>
      </c>
      <c r="EG44" s="2" t="s">
        <v>435</v>
      </c>
      <c r="EH44" s="2" t="s">
        <v>435</v>
      </c>
      <c r="EI44" s="2" t="s">
        <v>435</v>
      </c>
      <c r="EJ44" s="2" t="s">
        <v>435</v>
      </c>
      <c r="EK44" s="2" t="s">
        <v>435</v>
      </c>
      <c r="EL44" s="2" t="s">
        <v>435</v>
      </c>
      <c r="EM44" s="2" t="s">
        <v>435</v>
      </c>
      <c r="EN44" s="2" t="s">
        <v>435</v>
      </c>
      <c r="EO44" s="2" t="s">
        <v>435</v>
      </c>
      <c r="EP44" s="2" t="s">
        <v>435</v>
      </c>
      <c r="EQ44" s="2" t="s">
        <v>435</v>
      </c>
      <c r="ER44" s="2" t="s">
        <v>435</v>
      </c>
      <c r="FA44" s="2" t="s">
        <v>435</v>
      </c>
      <c r="FB44" s="2" t="s">
        <v>435</v>
      </c>
      <c r="FC44" s="2" t="s">
        <v>435</v>
      </c>
      <c r="FD44" s="2" t="s">
        <v>435</v>
      </c>
      <c r="FE44" s="2" t="s">
        <v>435</v>
      </c>
      <c r="FF44" s="2" t="s">
        <v>435</v>
      </c>
      <c r="FG44" s="2" t="s">
        <v>435</v>
      </c>
      <c r="FH44" s="2" t="s">
        <v>435</v>
      </c>
      <c r="FI44" s="2" t="s">
        <v>435</v>
      </c>
      <c r="FJ44" s="2" t="s">
        <v>435</v>
      </c>
      <c r="FK44" s="2" t="s">
        <v>435</v>
      </c>
      <c r="FL44" s="2" t="s">
        <v>435</v>
      </c>
      <c r="FM44" s="2" t="s">
        <v>435</v>
      </c>
      <c r="FN44" s="2" t="s">
        <v>435</v>
      </c>
      <c r="FO44" s="2" t="s">
        <v>435</v>
      </c>
      <c r="FP44" s="2" t="s">
        <v>435</v>
      </c>
    </row>
    <row r="45" spans="1:172">
      <c r="A45" s="2" t="s">
        <v>959</v>
      </c>
      <c r="B45" s="2" t="s">
        <v>249</v>
      </c>
      <c r="C45" s="2" t="s">
        <v>926</v>
      </c>
      <c r="D45" s="2" t="s">
        <v>960</v>
      </c>
      <c r="E45" s="2" t="s">
        <v>889</v>
      </c>
      <c r="F45" s="385" t="s">
        <v>356</v>
      </c>
      <c r="G45" s="385" t="s">
        <v>356</v>
      </c>
      <c r="H45" s="385">
        <v>25</v>
      </c>
      <c r="I45" s="385">
        <v>25</v>
      </c>
      <c r="J45" s="385"/>
      <c r="K45" s="385">
        <f t="shared" ref="K45:K67" si="353">SUMIF(DU45:EB45,TRUE,DM45:DT45)</f>
        <v>25.000000000220002</v>
      </c>
      <c r="L45" s="385">
        <f t="shared" ref="L45:L67" si="354">SUMIF(CF45:CM45,TRUE,BX45:CE45)</f>
        <v>25.000000000180002</v>
      </c>
      <c r="M45" s="385" t="s">
        <v>890</v>
      </c>
      <c r="N45" s="385" t="s">
        <v>356</v>
      </c>
      <c r="O45" s="385" t="s">
        <v>874</v>
      </c>
      <c r="P45" s="385" t="s">
        <v>356</v>
      </c>
      <c r="Q45" s="385" t="s">
        <v>356</v>
      </c>
      <c r="R45" s="385" t="s">
        <v>961</v>
      </c>
      <c r="S45" s="385" t="s">
        <v>817</v>
      </c>
      <c r="T45" s="385">
        <v>20</v>
      </c>
      <c r="U45" s="385" cm="1">
        <f t="array" ref="U45">IFERROR(INDEX('Offer Statistics'!$Q$2:$Q$350,MATCH(1,(A45='Offer Statistics'!$B$2:$B$350)*($A$11='Offer Statistics'!$K$2:$K$350),0)),"/")</f>
        <v>26</v>
      </c>
      <c r="V45" s="385" cm="1">
        <f t="array" ref="V45">IFERROR(INDEX('Offer Statistics'!$D$2:$D$350,MATCH(1,(A45='Offer Statistics'!$B$2:$B$350)*($A$11='Offer Statistics'!$K$2:$K$350),0)),"/")</f>
        <v>237</v>
      </c>
      <c r="W45" s="385" cm="1">
        <f t="array" ref="W45">IFERROR(INDEX('Offer Statistics'!$L$2:$L$350,MATCH(1,(A45='Offer Statistics'!$B$2:$B$350)*($A$11='Offer Statistics'!$K$2:$K$350),0)),"/")</f>
        <v>19</v>
      </c>
      <c r="X45" s="385">
        <f t="shared" si="319"/>
        <v>12.473684210526315</v>
      </c>
      <c r="Y45" s="385" t="s">
        <v>817</v>
      </c>
      <c r="Z45" s="95" t="str">
        <f>入學要求!AF54</f>
        <v>/</v>
      </c>
      <c r="AA45" s="95" t="str">
        <f>入學要求!AG54</f>
        <v>/</v>
      </c>
      <c r="AB45" s="386" t="s">
        <v>2814</v>
      </c>
      <c r="AC45" s="95"/>
      <c r="AD45" s="95"/>
      <c r="AE45" s="95" t="s">
        <v>2829</v>
      </c>
      <c r="AF45" s="95" t="s">
        <v>356</v>
      </c>
      <c r="AG45" s="95" t="s">
        <v>874</v>
      </c>
      <c r="AH45" s="95" t="s">
        <v>356</v>
      </c>
      <c r="AI45" s="95" t="s">
        <v>356</v>
      </c>
      <c r="AJ45" s="2" t="s">
        <v>958</v>
      </c>
      <c r="AK45" s="2" t="s">
        <v>818</v>
      </c>
      <c r="AL45" s="2" t="s">
        <v>844</v>
      </c>
      <c r="AM45" s="2" t="s">
        <v>356</v>
      </c>
      <c r="AN45" s="2" t="s">
        <v>435</v>
      </c>
      <c r="AO45" s="2" t="s">
        <v>435</v>
      </c>
      <c r="AP45" s="2" t="s">
        <v>435</v>
      </c>
      <c r="AQ45" s="2" t="s">
        <v>356</v>
      </c>
      <c r="AS45" s="2" t="s">
        <v>820</v>
      </c>
      <c r="AU45" s="2" t="s">
        <v>817</v>
      </c>
      <c r="AY45" s="51">
        <v>1</v>
      </c>
      <c r="AZ45" s="51">
        <v>2</v>
      </c>
      <c r="BA45" s="51">
        <v>1</v>
      </c>
      <c r="BB45" s="51">
        <v>1</v>
      </c>
      <c r="BC45" s="51">
        <v>1</v>
      </c>
      <c r="BD45" s="51">
        <v>1</v>
      </c>
      <c r="BE45" s="51">
        <v>1</v>
      </c>
      <c r="BF45" s="51">
        <v>1</v>
      </c>
      <c r="BG45" s="51" t="s">
        <v>959</v>
      </c>
      <c r="BH45" s="2">
        <v>3</v>
      </c>
      <c r="BI45" s="2">
        <v>6</v>
      </c>
      <c r="BJ45" s="2">
        <v>4</v>
      </c>
      <c r="BK45" s="2">
        <v>3</v>
      </c>
      <c r="BL45" s="2" t="s">
        <v>356</v>
      </c>
      <c r="BM45" s="2">
        <v>3</v>
      </c>
      <c r="BN45" s="2">
        <v>3</v>
      </c>
      <c r="BO45" s="2" t="s">
        <v>356</v>
      </c>
      <c r="BP45" s="206">
        <f t="shared" si="320"/>
        <v>3.00000000004</v>
      </c>
      <c r="BQ45" s="206">
        <f t="shared" si="321"/>
        <v>6.00000000002</v>
      </c>
      <c r="BR45" s="206">
        <f t="shared" si="322"/>
        <v>4.00000000003</v>
      </c>
      <c r="BS45" s="206">
        <f t="shared" si="323"/>
        <v>3.00000000001</v>
      </c>
      <c r="BT45" s="206">
        <f t="shared" si="324"/>
        <v>0</v>
      </c>
      <c r="BU45" s="206">
        <f t="shared" si="325"/>
        <v>3.00000000006</v>
      </c>
      <c r="BV45" s="206">
        <f t="shared" si="326"/>
        <v>3.00000000007</v>
      </c>
      <c r="BW45" s="206">
        <f t="shared" si="327"/>
        <v>0</v>
      </c>
      <c r="BX45" s="2">
        <f t="shared" si="337"/>
        <v>3.00000000004</v>
      </c>
      <c r="BY45" s="2">
        <f t="shared" si="338"/>
        <v>12.00000000004</v>
      </c>
      <c r="BZ45" s="2">
        <f t="shared" si="339"/>
        <v>4.00000000003</v>
      </c>
      <c r="CA45" s="2">
        <f t="shared" si="340"/>
        <v>3.00000000001</v>
      </c>
      <c r="CB45" s="2">
        <f t="shared" si="341"/>
        <v>0</v>
      </c>
      <c r="CC45" s="2">
        <f t="shared" si="342"/>
        <v>3.00000000006</v>
      </c>
      <c r="CD45" s="2">
        <f t="shared" si="343"/>
        <v>3.00000000007</v>
      </c>
      <c r="CE45" s="2">
        <f t="shared" si="344"/>
        <v>0</v>
      </c>
      <c r="CF45" s="2" t="b">
        <v>1</v>
      </c>
      <c r="CG45" s="2" t="b">
        <v>1</v>
      </c>
      <c r="CH45" s="2" t="b">
        <v>1</v>
      </c>
      <c r="CI45" s="2" t="b">
        <v>1</v>
      </c>
      <c r="CJ45" s="2" t="b">
        <v>0</v>
      </c>
      <c r="CK45" s="2" t="b">
        <v>1</v>
      </c>
      <c r="CL45" s="2" t="b">
        <v>0</v>
      </c>
      <c r="CM45" s="2" t="b">
        <v>0</v>
      </c>
      <c r="CN45" s="51">
        <v>1</v>
      </c>
      <c r="CO45" s="51">
        <v>2</v>
      </c>
      <c r="CP45" s="51">
        <v>1</v>
      </c>
      <c r="CQ45" s="51">
        <v>1</v>
      </c>
      <c r="CR45" s="51">
        <v>1</v>
      </c>
      <c r="CS45" s="51">
        <v>1</v>
      </c>
      <c r="CT45" s="51">
        <v>1</v>
      </c>
      <c r="CU45" s="51">
        <v>1</v>
      </c>
      <c r="CV45" s="51" t="s">
        <v>959</v>
      </c>
      <c r="CW45" s="2">
        <v>4</v>
      </c>
      <c r="CX45" s="2">
        <v>5</v>
      </c>
      <c r="CY45" s="2">
        <v>2</v>
      </c>
      <c r="CZ45" s="2">
        <v>4</v>
      </c>
      <c r="DA45" s="2" t="s">
        <v>356</v>
      </c>
      <c r="DB45" s="2">
        <v>4</v>
      </c>
      <c r="DC45" s="2">
        <v>3</v>
      </c>
      <c r="DD45" s="2" t="s">
        <v>356</v>
      </c>
      <c r="DE45" s="206">
        <f t="shared" si="328"/>
        <v>4.00000000004</v>
      </c>
      <c r="DF45" s="206">
        <f t="shared" si="329"/>
        <v>5.00000000002</v>
      </c>
      <c r="DG45" s="206">
        <f t="shared" si="330"/>
        <v>2.00000000003</v>
      </c>
      <c r="DH45" s="206">
        <f t="shared" si="331"/>
        <v>4.00000000001</v>
      </c>
      <c r="DI45" s="206">
        <f t="shared" si="332"/>
        <v>0</v>
      </c>
      <c r="DJ45" s="206">
        <f t="shared" si="333"/>
        <v>4.00000000006</v>
      </c>
      <c r="DK45" s="206">
        <f t="shared" si="334"/>
        <v>3.00000000007</v>
      </c>
      <c r="DL45" s="206">
        <f t="shared" si="335"/>
        <v>0</v>
      </c>
      <c r="DM45" s="2">
        <f t="shared" si="345"/>
        <v>4.00000000004</v>
      </c>
      <c r="DN45" s="2">
        <f t="shared" si="346"/>
        <v>10.00000000004</v>
      </c>
      <c r="DO45" s="2">
        <f t="shared" si="347"/>
        <v>2.00000000003</v>
      </c>
      <c r="DP45" s="2">
        <f t="shared" si="348"/>
        <v>4.00000000001</v>
      </c>
      <c r="DQ45" s="2">
        <f t="shared" si="349"/>
        <v>0</v>
      </c>
      <c r="DR45" s="2">
        <f t="shared" si="350"/>
        <v>4.00000000006</v>
      </c>
      <c r="DS45" s="2">
        <f t="shared" si="351"/>
        <v>3.00000000007</v>
      </c>
      <c r="DT45" s="2">
        <f t="shared" si="352"/>
        <v>0</v>
      </c>
      <c r="DU45" s="2" t="b">
        <v>1</v>
      </c>
      <c r="DV45" s="2" t="b">
        <v>1</v>
      </c>
      <c r="DW45" s="2" t="b">
        <v>0</v>
      </c>
      <c r="DX45" s="2" t="b">
        <v>1</v>
      </c>
      <c r="DY45" s="2" t="b">
        <v>0</v>
      </c>
      <c r="DZ45" s="2" t="b">
        <v>1</v>
      </c>
      <c r="EA45" s="2" t="b">
        <v>1</v>
      </c>
      <c r="EB45" s="2" t="b">
        <v>0</v>
      </c>
      <c r="EC45" s="2" t="s">
        <v>435</v>
      </c>
      <c r="ED45" s="2" t="s">
        <v>435</v>
      </c>
      <c r="EE45" s="2" t="s">
        <v>435</v>
      </c>
      <c r="EF45" s="2" t="s">
        <v>435</v>
      </c>
      <c r="EG45" s="2" t="s">
        <v>435</v>
      </c>
      <c r="EH45" s="2" t="s">
        <v>435</v>
      </c>
      <c r="EI45" s="2" t="s">
        <v>435</v>
      </c>
      <c r="EJ45" s="2" t="s">
        <v>435</v>
      </c>
      <c r="EK45" s="2" t="s">
        <v>435</v>
      </c>
      <c r="EL45" s="2" t="s">
        <v>435</v>
      </c>
      <c r="EM45" s="2" t="s">
        <v>435</v>
      </c>
      <c r="EN45" s="2" t="s">
        <v>435</v>
      </c>
      <c r="EO45" s="2" t="s">
        <v>435</v>
      </c>
      <c r="EP45" s="2" t="s">
        <v>435</v>
      </c>
      <c r="EQ45" s="2" t="s">
        <v>435</v>
      </c>
      <c r="ER45" s="2" t="s">
        <v>435</v>
      </c>
      <c r="FA45" s="2" t="s">
        <v>435</v>
      </c>
      <c r="FB45" s="2" t="s">
        <v>435</v>
      </c>
      <c r="FC45" s="2" t="s">
        <v>435</v>
      </c>
      <c r="FD45" s="2" t="s">
        <v>435</v>
      </c>
      <c r="FE45" s="2" t="s">
        <v>435</v>
      </c>
      <c r="FF45" s="2" t="s">
        <v>435</v>
      </c>
      <c r="FG45" s="2" t="s">
        <v>435</v>
      </c>
      <c r="FH45" s="2" t="s">
        <v>435</v>
      </c>
      <c r="FI45" s="2" t="s">
        <v>435</v>
      </c>
      <c r="FJ45" s="2" t="s">
        <v>435</v>
      </c>
      <c r="FK45" s="2" t="s">
        <v>435</v>
      </c>
      <c r="FL45" s="2" t="s">
        <v>435</v>
      </c>
      <c r="FM45" s="2" t="s">
        <v>435</v>
      </c>
      <c r="FN45" s="2" t="s">
        <v>435</v>
      </c>
      <c r="FO45" s="2" t="s">
        <v>435</v>
      </c>
      <c r="FP45" s="2" t="s">
        <v>435</v>
      </c>
    </row>
    <row r="46" spans="1:172">
      <c r="A46" s="2" t="s">
        <v>962</v>
      </c>
      <c r="B46" s="2" t="s">
        <v>249</v>
      </c>
      <c r="C46" s="2" t="s">
        <v>926</v>
      </c>
      <c r="D46" s="2" t="s">
        <v>963</v>
      </c>
      <c r="E46" s="2" t="s">
        <v>889</v>
      </c>
      <c r="F46" s="385" t="s">
        <v>356</v>
      </c>
      <c r="G46" s="385" t="s">
        <v>356</v>
      </c>
      <c r="H46" s="385">
        <v>26</v>
      </c>
      <c r="I46" s="385">
        <v>26</v>
      </c>
      <c r="J46" s="385"/>
      <c r="K46" s="385">
        <f t="shared" si="353"/>
        <v>26.000000000180002</v>
      </c>
      <c r="L46" s="385">
        <f t="shared" si="354"/>
        <v>26.000000000239996</v>
      </c>
      <c r="M46" s="385" t="s">
        <v>890</v>
      </c>
      <c r="N46" s="385" t="s">
        <v>356</v>
      </c>
      <c r="O46" s="385" t="s">
        <v>874</v>
      </c>
      <c r="P46" s="385" t="s">
        <v>356</v>
      </c>
      <c r="Q46" s="385" t="s">
        <v>356</v>
      </c>
      <c r="R46" s="385" t="s">
        <v>964</v>
      </c>
      <c r="S46" s="385" t="s">
        <v>817</v>
      </c>
      <c r="T46" s="385">
        <v>26</v>
      </c>
      <c r="U46" s="385" cm="1">
        <f t="array" ref="U46">IFERROR(INDEX('Offer Statistics'!$Q$2:$Q$350,MATCH(1,(A46='Offer Statistics'!$B$2:$B$350)*($A$11='Offer Statistics'!$K$2:$K$350),0)),"/")</f>
        <v>27</v>
      </c>
      <c r="V46" s="385" cm="1">
        <f t="array" ref="V46">IFERROR(INDEX('Offer Statistics'!$D$2:$D$350,MATCH(1,(A46='Offer Statistics'!$B$2:$B$350)*($A$11='Offer Statistics'!$K$2:$K$350),0)),"/")</f>
        <v>275</v>
      </c>
      <c r="W46" s="385" cm="1">
        <f t="array" ref="W46">IFERROR(INDEX('Offer Statistics'!$L$2:$L$350,MATCH(1,(A46='Offer Statistics'!$B$2:$B$350)*($A$11='Offer Statistics'!$K$2:$K$350),0)),"/")</f>
        <v>20</v>
      </c>
      <c r="X46" s="385">
        <f t="shared" si="319"/>
        <v>13.75</v>
      </c>
      <c r="Y46" s="385" t="s">
        <v>817</v>
      </c>
      <c r="Z46" s="95" t="str">
        <f>入學要求!AF55</f>
        <v>/</v>
      </c>
      <c r="AA46" s="95" t="str">
        <f>入學要求!AG55</f>
        <v>/</v>
      </c>
      <c r="AB46" s="386" t="s">
        <v>2814</v>
      </c>
      <c r="AC46" s="95"/>
      <c r="AD46" s="95"/>
      <c r="AE46" s="95" t="s">
        <v>2829</v>
      </c>
      <c r="AF46" s="95" t="s">
        <v>356</v>
      </c>
      <c r="AG46" s="95" t="s">
        <v>874</v>
      </c>
      <c r="AH46" s="95" t="s">
        <v>356</v>
      </c>
      <c r="AI46" s="95" t="s">
        <v>356</v>
      </c>
      <c r="AJ46" s="2" t="s">
        <v>958</v>
      </c>
      <c r="AK46" s="2" t="s">
        <v>818</v>
      </c>
      <c r="AL46" s="2" t="s">
        <v>844</v>
      </c>
      <c r="AM46" s="2" t="s">
        <v>356</v>
      </c>
      <c r="AN46" s="2" t="s">
        <v>435</v>
      </c>
      <c r="AO46" s="2" t="s">
        <v>435</v>
      </c>
      <c r="AP46" s="2" t="s">
        <v>435</v>
      </c>
      <c r="AQ46" s="2" t="s">
        <v>356</v>
      </c>
      <c r="AS46" s="2" t="s">
        <v>820</v>
      </c>
      <c r="AU46" s="2" t="s">
        <v>817</v>
      </c>
      <c r="AY46" s="51">
        <v>1</v>
      </c>
      <c r="AZ46" s="51">
        <v>2</v>
      </c>
      <c r="BA46" s="51">
        <v>1</v>
      </c>
      <c r="BB46" s="51">
        <v>1</v>
      </c>
      <c r="BC46" s="51">
        <v>1</v>
      </c>
      <c r="BD46" s="51">
        <v>1</v>
      </c>
      <c r="BE46" s="51">
        <v>1</v>
      </c>
      <c r="BF46" s="51">
        <v>1</v>
      </c>
      <c r="BG46" s="51" t="s">
        <v>962</v>
      </c>
      <c r="BH46" s="2">
        <v>3</v>
      </c>
      <c r="BI46" s="2">
        <v>5</v>
      </c>
      <c r="BJ46" s="2">
        <v>4</v>
      </c>
      <c r="BK46" s="2">
        <v>3</v>
      </c>
      <c r="BL46" s="2" t="s">
        <v>356</v>
      </c>
      <c r="BM46" s="2">
        <v>5</v>
      </c>
      <c r="BN46" s="2">
        <v>4</v>
      </c>
      <c r="BO46" s="2">
        <v>3</v>
      </c>
      <c r="BP46" s="206">
        <f t="shared" si="320"/>
        <v>3.00000000004</v>
      </c>
      <c r="BQ46" s="206">
        <f t="shared" si="321"/>
        <v>5.00000000002</v>
      </c>
      <c r="BR46" s="206">
        <f t="shared" si="322"/>
        <v>4.00000000003</v>
      </c>
      <c r="BS46" s="206">
        <f t="shared" si="323"/>
        <v>3.00000000001</v>
      </c>
      <c r="BT46" s="206">
        <f t="shared" si="324"/>
        <v>0</v>
      </c>
      <c r="BU46" s="206">
        <f t="shared" si="325"/>
        <v>5.00000000006</v>
      </c>
      <c r="BV46" s="206">
        <f t="shared" si="326"/>
        <v>4.00000000007</v>
      </c>
      <c r="BW46" s="206">
        <f t="shared" si="327"/>
        <v>3.00000000008</v>
      </c>
      <c r="BX46" s="2">
        <f t="shared" si="337"/>
        <v>3.00000000004</v>
      </c>
      <c r="BY46" s="2">
        <f t="shared" si="338"/>
        <v>10.00000000004</v>
      </c>
      <c r="BZ46" s="2">
        <f t="shared" si="339"/>
        <v>4.00000000003</v>
      </c>
      <c r="CA46" s="2">
        <f t="shared" si="340"/>
        <v>3.00000000001</v>
      </c>
      <c r="CB46" s="2">
        <f t="shared" si="341"/>
        <v>0</v>
      </c>
      <c r="CC46" s="2">
        <f t="shared" si="342"/>
        <v>5.00000000006</v>
      </c>
      <c r="CD46" s="2">
        <f t="shared" si="343"/>
        <v>4.00000000007</v>
      </c>
      <c r="CE46" s="2">
        <f t="shared" si="344"/>
        <v>3.00000000008</v>
      </c>
      <c r="CF46" s="2" t="b">
        <v>1</v>
      </c>
      <c r="CG46" s="2" t="b">
        <v>1</v>
      </c>
      <c r="CH46" s="2" t="b">
        <v>1</v>
      </c>
      <c r="CI46" s="2" t="b">
        <v>0</v>
      </c>
      <c r="CJ46" s="2" t="b">
        <v>0</v>
      </c>
      <c r="CK46" s="2" t="b">
        <v>1</v>
      </c>
      <c r="CL46" s="2" t="b">
        <v>1</v>
      </c>
      <c r="CM46" s="2" t="b">
        <v>0</v>
      </c>
      <c r="CN46" s="51">
        <v>1</v>
      </c>
      <c r="CO46" s="51">
        <v>2</v>
      </c>
      <c r="CP46" s="51">
        <v>1</v>
      </c>
      <c r="CQ46" s="51">
        <v>1</v>
      </c>
      <c r="CR46" s="51">
        <v>1</v>
      </c>
      <c r="CS46" s="51">
        <v>1</v>
      </c>
      <c r="CT46" s="51">
        <v>1</v>
      </c>
      <c r="CU46" s="51">
        <v>1</v>
      </c>
      <c r="CV46" s="51" t="s">
        <v>962</v>
      </c>
      <c r="CW46" s="2">
        <v>5</v>
      </c>
      <c r="CX46" s="2">
        <v>4</v>
      </c>
      <c r="CY46" s="2">
        <v>4</v>
      </c>
      <c r="CZ46" s="2">
        <v>4</v>
      </c>
      <c r="DA46" s="2" t="s">
        <v>356</v>
      </c>
      <c r="DB46" s="2">
        <v>5</v>
      </c>
      <c r="DC46" s="2">
        <v>4</v>
      </c>
      <c r="DD46" s="2">
        <v>4</v>
      </c>
      <c r="DE46" s="206">
        <f t="shared" si="328"/>
        <v>5.00000000004</v>
      </c>
      <c r="DF46" s="206">
        <f t="shared" si="329"/>
        <v>4.00000000002</v>
      </c>
      <c r="DG46" s="206">
        <f t="shared" si="330"/>
        <v>4.00000000003</v>
      </c>
      <c r="DH46" s="206">
        <f t="shared" si="331"/>
        <v>4.00000000001</v>
      </c>
      <c r="DI46" s="206">
        <f t="shared" si="332"/>
        <v>0</v>
      </c>
      <c r="DJ46" s="206">
        <f t="shared" si="333"/>
        <v>5.00000000006</v>
      </c>
      <c r="DK46" s="206">
        <f t="shared" si="334"/>
        <v>4.00000000007</v>
      </c>
      <c r="DL46" s="206">
        <f t="shared" si="335"/>
        <v>4.00000000008</v>
      </c>
      <c r="DM46" s="2">
        <f t="shared" si="345"/>
        <v>5.00000000004</v>
      </c>
      <c r="DN46" s="2">
        <f t="shared" si="346"/>
        <v>8.00000000004</v>
      </c>
      <c r="DO46" s="2">
        <f t="shared" si="347"/>
        <v>4.00000000003</v>
      </c>
      <c r="DP46" s="2">
        <f t="shared" si="348"/>
        <v>4.00000000001</v>
      </c>
      <c r="DQ46" s="2">
        <f t="shared" si="349"/>
        <v>0</v>
      </c>
      <c r="DR46" s="2">
        <f t="shared" si="350"/>
        <v>5.00000000006</v>
      </c>
      <c r="DS46" s="2">
        <f t="shared" si="351"/>
        <v>4.00000000007</v>
      </c>
      <c r="DT46" s="2">
        <f t="shared" si="352"/>
        <v>4.00000000008</v>
      </c>
      <c r="DU46" s="2" t="b">
        <v>1</v>
      </c>
      <c r="DV46" s="2" t="b">
        <v>1</v>
      </c>
      <c r="DW46" s="2" t="b">
        <v>1</v>
      </c>
      <c r="DX46" s="2" t="b">
        <v>1</v>
      </c>
      <c r="DY46" s="2" t="b">
        <v>0</v>
      </c>
      <c r="DZ46" s="2" t="b">
        <v>1</v>
      </c>
      <c r="EA46" s="2" t="b">
        <v>0</v>
      </c>
      <c r="EB46" s="2" t="b">
        <v>0</v>
      </c>
      <c r="EC46" s="2" t="s">
        <v>435</v>
      </c>
      <c r="ED46" s="2" t="s">
        <v>435</v>
      </c>
      <c r="EE46" s="2" t="s">
        <v>435</v>
      </c>
      <c r="EF46" s="2" t="s">
        <v>435</v>
      </c>
      <c r="EG46" s="2" t="s">
        <v>435</v>
      </c>
      <c r="EH46" s="2" t="s">
        <v>435</v>
      </c>
      <c r="EI46" s="2" t="s">
        <v>435</v>
      </c>
      <c r="EJ46" s="2" t="s">
        <v>435</v>
      </c>
      <c r="EK46" s="2" t="s">
        <v>435</v>
      </c>
      <c r="EL46" s="2" t="s">
        <v>435</v>
      </c>
      <c r="EM46" s="2" t="s">
        <v>435</v>
      </c>
      <c r="EN46" s="2" t="s">
        <v>435</v>
      </c>
      <c r="EO46" s="2" t="s">
        <v>435</v>
      </c>
      <c r="EP46" s="2" t="s">
        <v>435</v>
      </c>
      <c r="EQ46" s="2" t="s">
        <v>435</v>
      </c>
      <c r="ER46" s="2" t="s">
        <v>435</v>
      </c>
      <c r="FA46" s="2" t="s">
        <v>435</v>
      </c>
      <c r="FB46" s="2" t="s">
        <v>435</v>
      </c>
      <c r="FC46" s="2" t="s">
        <v>435</v>
      </c>
      <c r="FD46" s="2" t="s">
        <v>435</v>
      </c>
      <c r="FE46" s="2" t="s">
        <v>435</v>
      </c>
      <c r="FF46" s="2" t="s">
        <v>435</v>
      </c>
      <c r="FG46" s="2" t="s">
        <v>435</v>
      </c>
      <c r="FH46" s="2" t="s">
        <v>435</v>
      </c>
      <c r="FI46" s="2" t="s">
        <v>435</v>
      </c>
      <c r="FJ46" s="2" t="s">
        <v>435</v>
      </c>
      <c r="FK46" s="2" t="s">
        <v>435</v>
      </c>
      <c r="FL46" s="2" t="s">
        <v>435</v>
      </c>
      <c r="FM46" s="2" t="s">
        <v>435</v>
      </c>
      <c r="FN46" s="2" t="s">
        <v>435</v>
      </c>
      <c r="FO46" s="2" t="s">
        <v>435</v>
      </c>
      <c r="FP46" s="2" t="s">
        <v>435</v>
      </c>
    </row>
    <row r="47" spans="1:172">
      <c r="A47" s="2" t="s">
        <v>965</v>
      </c>
      <c r="B47" s="2" t="s">
        <v>249</v>
      </c>
      <c r="C47" s="2" t="s">
        <v>926</v>
      </c>
      <c r="D47" s="2" t="s">
        <v>966</v>
      </c>
      <c r="E47" s="2" t="s">
        <v>889</v>
      </c>
      <c r="F47" s="385" t="s">
        <v>356</v>
      </c>
      <c r="G47" s="385" t="s">
        <v>356</v>
      </c>
      <c r="H47" s="385">
        <v>26</v>
      </c>
      <c r="I47" s="385">
        <v>25</v>
      </c>
      <c r="J47" s="385"/>
      <c r="K47" s="385">
        <f t="shared" si="353"/>
        <v>26.000000000180002</v>
      </c>
      <c r="L47" s="385">
        <f t="shared" si="354"/>
        <v>25.000000000180002</v>
      </c>
      <c r="M47" s="385" t="s">
        <v>890</v>
      </c>
      <c r="N47" s="385" t="s">
        <v>356</v>
      </c>
      <c r="O47" s="385" t="s">
        <v>874</v>
      </c>
      <c r="P47" s="385" t="s">
        <v>356</v>
      </c>
      <c r="Q47" s="385" t="s">
        <v>356</v>
      </c>
      <c r="R47" s="385" t="s">
        <v>967</v>
      </c>
      <c r="S47" s="385" t="s">
        <v>817</v>
      </c>
      <c r="T47" s="385">
        <v>27</v>
      </c>
      <c r="U47" s="385" cm="1">
        <f t="array" ref="U47">IFERROR(INDEX('Offer Statistics'!$Q$2:$Q$350,MATCH(1,(A47='Offer Statistics'!$B$2:$B$350)*($A$11='Offer Statistics'!$K$2:$K$350),0)),"/")</f>
        <v>24</v>
      </c>
      <c r="V47" s="385" cm="1">
        <f t="array" ref="V47">IFERROR(INDEX('Offer Statistics'!$D$2:$D$350,MATCH(1,(A47='Offer Statistics'!$B$2:$B$350)*($A$11='Offer Statistics'!$K$2:$K$350),0)),"/")</f>
        <v>601</v>
      </c>
      <c r="W47" s="385" cm="1">
        <f t="array" ref="W47">IFERROR(INDEX('Offer Statistics'!$L$2:$L$350,MATCH(1,(A47='Offer Statistics'!$B$2:$B$350)*($A$11='Offer Statistics'!$K$2:$K$350),0)),"/")</f>
        <v>24</v>
      </c>
      <c r="X47" s="385">
        <f t="shared" si="319"/>
        <v>25.041666666666668</v>
      </c>
      <c r="Y47" s="385" t="s">
        <v>817</v>
      </c>
      <c r="Z47" s="95" t="str">
        <f>入學要求!AF56</f>
        <v>/</v>
      </c>
      <c r="AA47" s="95" t="str">
        <f>入學要求!AG56</f>
        <v>/</v>
      </c>
      <c r="AB47" s="386" t="s">
        <v>2814</v>
      </c>
      <c r="AC47" s="95"/>
      <c r="AD47" s="95"/>
      <c r="AE47" s="95" t="s">
        <v>2829</v>
      </c>
      <c r="AF47" s="95" t="s">
        <v>356</v>
      </c>
      <c r="AG47" s="95" t="s">
        <v>874</v>
      </c>
      <c r="AH47" s="95" t="s">
        <v>356</v>
      </c>
      <c r="AI47" s="95" t="s">
        <v>356</v>
      </c>
      <c r="AJ47" s="2" t="s">
        <v>958</v>
      </c>
      <c r="AK47" s="2" t="s">
        <v>818</v>
      </c>
      <c r="AL47" s="2" t="s">
        <v>907</v>
      </c>
      <c r="AM47" s="2" t="s">
        <v>356</v>
      </c>
      <c r="AN47" s="2" t="s">
        <v>435</v>
      </c>
      <c r="AO47" s="2" t="s">
        <v>435</v>
      </c>
      <c r="AP47" s="2" t="s">
        <v>435</v>
      </c>
      <c r="AQ47" s="2" t="s">
        <v>356</v>
      </c>
      <c r="AS47" s="2" t="s">
        <v>820</v>
      </c>
      <c r="AU47" s="2" t="s">
        <v>817</v>
      </c>
      <c r="AY47" s="51">
        <v>1</v>
      </c>
      <c r="AZ47" s="51">
        <v>2</v>
      </c>
      <c r="BA47" s="51">
        <v>1</v>
      </c>
      <c r="BB47" s="51">
        <v>1</v>
      </c>
      <c r="BC47" s="51">
        <v>1</v>
      </c>
      <c r="BD47" s="51">
        <v>1</v>
      </c>
      <c r="BE47" s="51">
        <v>1</v>
      </c>
      <c r="BF47" s="51">
        <v>1</v>
      </c>
      <c r="BG47" s="51" t="s">
        <v>965</v>
      </c>
      <c r="BH47" s="2">
        <v>4</v>
      </c>
      <c r="BI47" s="2">
        <v>5</v>
      </c>
      <c r="BJ47" s="2">
        <v>4</v>
      </c>
      <c r="BK47" s="2">
        <v>4</v>
      </c>
      <c r="BL47" s="2" t="s">
        <v>356</v>
      </c>
      <c r="BM47" s="2">
        <v>3</v>
      </c>
      <c r="BN47" s="2">
        <v>3</v>
      </c>
      <c r="BO47" s="2" t="s">
        <v>356</v>
      </c>
      <c r="BP47" s="206">
        <f t="shared" si="320"/>
        <v>4.00000000004</v>
      </c>
      <c r="BQ47" s="206">
        <f t="shared" si="321"/>
        <v>5.00000000002</v>
      </c>
      <c r="BR47" s="206">
        <f t="shared" si="322"/>
        <v>4.00000000003</v>
      </c>
      <c r="BS47" s="206">
        <f t="shared" si="323"/>
        <v>4.00000000001</v>
      </c>
      <c r="BT47" s="206">
        <f t="shared" si="324"/>
        <v>0</v>
      </c>
      <c r="BU47" s="206">
        <f t="shared" si="325"/>
        <v>3.00000000006</v>
      </c>
      <c r="BV47" s="206">
        <f t="shared" si="326"/>
        <v>3.00000000007</v>
      </c>
      <c r="BW47" s="206">
        <f t="shared" si="327"/>
        <v>0</v>
      </c>
      <c r="BX47" s="2">
        <f t="shared" si="337"/>
        <v>4.00000000004</v>
      </c>
      <c r="BY47" s="2">
        <f t="shared" si="338"/>
        <v>10.00000000004</v>
      </c>
      <c r="BZ47" s="2">
        <f t="shared" si="339"/>
        <v>4.00000000003</v>
      </c>
      <c r="CA47" s="2">
        <f t="shared" si="340"/>
        <v>4.00000000001</v>
      </c>
      <c r="CB47" s="2">
        <f t="shared" si="341"/>
        <v>0</v>
      </c>
      <c r="CC47" s="2">
        <f t="shared" si="342"/>
        <v>3.00000000006</v>
      </c>
      <c r="CD47" s="2">
        <f t="shared" si="343"/>
        <v>3.00000000007</v>
      </c>
      <c r="CE47" s="2">
        <f t="shared" si="344"/>
        <v>0</v>
      </c>
      <c r="CF47" s="2" t="b">
        <v>1</v>
      </c>
      <c r="CG47" s="2" t="b">
        <v>1</v>
      </c>
      <c r="CH47" s="2" t="b">
        <v>1</v>
      </c>
      <c r="CI47" s="2" t="b">
        <v>1</v>
      </c>
      <c r="CJ47" s="2" t="b">
        <v>0</v>
      </c>
      <c r="CK47" s="2" t="b">
        <v>1</v>
      </c>
      <c r="CL47" s="2" t="b">
        <v>0</v>
      </c>
      <c r="CM47" s="2" t="b">
        <v>0</v>
      </c>
      <c r="CN47" s="51">
        <v>1</v>
      </c>
      <c r="CO47" s="51">
        <v>2</v>
      </c>
      <c r="CP47" s="51">
        <v>1</v>
      </c>
      <c r="CQ47" s="51">
        <v>1</v>
      </c>
      <c r="CR47" s="51">
        <v>1</v>
      </c>
      <c r="CS47" s="51">
        <v>1</v>
      </c>
      <c r="CT47" s="51">
        <v>1</v>
      </c>
      <c r="CU47" s="51">
        <v>1</v>
      </c>
      <c r="CV47" s="51" t="s">
        <v>965</v>
      </c>
      <c r="CW47" s="2">
        <v>5</v>
      </c>
      <c r="CX47" s="2">
        <v>4</v>
      </c>
      <c r="CY47" s="2">
        <v>4</v>
      </c>
      <c r="CZ47" s="2">
        <v>5</v>
      </c>
      <c r="DA47" s="2" t="s">
        <v>356</v>
      </c>
      <c r="DB47" s="2">
        <v>4</v>
      </c>
      <c r="DC47" s="2">
        <v>4</v>
      </c>
      <c r="DD47" s="2" t="s">
        <v>356</v>
      </c>
      <c r="DE47" s="206">
        <f t="shared" si="328"/>
        <v>5.00000000004</v>
      </c>
      <c r="DF47" s="206">
        <f t="shared" si="329"/>
        <v>4.00000000002</v>
      </c>
      <c r="DG47" s="206">
        <f t="shared" si="330"/>
        <v>4.00000000003</v>
      </c>
      <c r="DH47" s="206">
        <f t="shared" si="331"/>
        <v>5.00000000001</v>
      </c>
      <c r="DI47" s="206">
        <f t="shared" si="332"/>
        <v>0</v>
      </c>
      <c r="DJ47" s="206">
        <f t="shared" si="333"/>
        <v>4.00000000006</v>
      </c>
      <c r="DK47" s="206">
        <f t="shared" si="334"/>
        <v>4.00000000007</v>
      </c>
      <c r="DL47" s="206">
        <f t="shared" si="335"/>
        <v>0</v>
      </c>
      <c r="DM47" s="2">
        <f t="shared" si="345"/>
        <v>5.00000000004</v>
      </c>
      <c r="DN47" s="2">
        <f t="shared" si="346"/>
        <v>8.00000000004</v>
      </c>
      <c r="DO47" s="2">
        <f t="shared" si="347"/>
        <v>4.00000000003</v>
      </c>
      <c r="DP47" s="2">
        <f t="shared" si="348"/>
        <v>5.00000000001</v>
      </c>
      <c r="DQ47" s="2">
        <f t="shared" si="349"/>
        <v>0</v>
      </c>
      <c r="DR47" s="2">
        <f t="shared" si="350"/>
        <v>4.00000000006</v>
      </c>
      <c r="DS47" s="2">
        <f t="shared" si="351"/>
        <v>4.00000000007</v>
      </c>
      <c r="DT47" s="2">
        <f t="shared" si="352"/>
        <v>0</v>
      </c>
      <c r="DU47" s="2" t="b">
        <v>1</v>
      </c>
      <c r="DV47" s="2" t="b">
        <v>1</v>
      </c>
      <c r="DW47" s="2" t="b">
        <v>1</v>
      </c>
      <c r="DX47" s="2" t="b">
        <v>1</v>
      </c>
      <c r="DY47" s="2" t="b">
        <v>0</v>
      </c>
      <c r="DZ47" s="2" t="b">
        <v>1</v>
      </c>
      <c r="EA47" s="2" t="b">
        <v>0</v>
      </c>
      <c r="EB47" s="2" t="b">
        <v>0</v>
      </c>
      <c r="EC47" s="2" t="s">
        <v>435</v>
      </c>
      <c r="ED47" s="2" t="s">
        <v>435</v>
      </c>
      <c r="EE47" s="2" t="s">
        <v>435</v>
      </c>
      <c r="EF47" s="2" t="s">
        <v>435</v>
      </c>
      <c r="EG47" s="2" t="s">
        <v>435</v>
      </c>
      <c r="EH47" s="2" t="s">
        <v>435</v>
      </c>
      <c r="EI47" s="2" t="s">
        <v>435</v>
      </c>
      <c r="EJ47" s="2" t="s">
        <v>435</v>
      </c>
      <c r="EK47" s="2" t="s">
        <v>435</v>
      </c>
      <c r="EL47" s="2" t="s">
        <v>435</v>
      </c>
      <c r="EM47" s="2" t="s">
        <v>435</v>
      </c>
      <c r="EN47" s="2" t="s">
        <v>435</v>
      </c>
      <c r="EO47" s="2" t="s">
        <v>435</v>
      </c>
      <c r="EP47" s="2" t="s">
        <v>435</v>
      </c>
      <c r="EQ47" s="2" t="s">
        <v>435</v>
      </c>
      <c r="ER47" s="2" t="s">
        <v>435</v>
      </c>
      <c r="FA47" s="2" t="s">
        <v>435</v>
      </c>
      <c r="FB47" s="2" t="s">
        <v>435</v>
      </c>
      <c r="FC47" s="2" t="s">
        <v>435</v>
      </c>
      <c r="FD47" s="2" t="s">
        <v>435</v>
      </c>
      <c r="FE47" s="2" t="s">
        <v>435</v>
      </c>
      <c r="FF47" s="2" t="s">
        <v>435</v>
      </c>
      <c r="FG47" s="2" t="s">
        <v>435</v>
      </c>
      <c r="FH47" s="2" t="s">
        <v>435</v>
      </c>
      <c r="FI47" s="2" t="s">
        <v>435</v>
      </c>
      <c r="FJ47" s="2" t="s">
        <v>435</v>
      </c>
      <c r="FK47" s="2" t="s">
        <v>435</v>
      </c>
      <c r="FL47" s="2" t="s">
        <v>435</v>
      </c>
      <c r="FM47" s="2" t="s">
        <v>435</v>
      </c>
      <c r="FN47" s="2" t="s">
        <v>435</v>
      </c>
      <c r="FO47" s="2" t="s">
        <v>435</v>
      </c>
      <c r="FP47" s="2" t="s">
        <v>435</v>
      </c>
    </row>
    <row r="48" spans="1:172">
      <c r="A48" s="2" t="s">
        <v>968</v>
      </c>
      <c r="B48" s="2" t="s">
        <v>249</v>
      </c>
      <c r="C48" s="2" t="s">
        <v>926</v>
      </c>
      <c r="D48" s="2" t="s">
        <v>969</v>
      </c>
      <c r="E48" s="2" t="s">
        <v>815</v>
      </c>
      <c r="F48" s="385" t="s">
        <v>356</v>
      </c>
      <c r="G48" s="385" t="s">
        <v>356</v>
      </c>
      <c r="H48" s="385" t="s">
        <v>356</v>
      </c>
      <c r="I48" s="385" t="s">
        <v>356</v>
      </c>
      <c r="J48" s="385"/>
      <c r="K48" s="385">
        <f t="shared" si="353"/>
        <v>0</v>
      </c>
      <c r="L48" s="385">
        <f t="shared" si="354"/>
        <v>0</v>
      </c>
      <c r="M48" s="385" t="s">
        <v>356</v>
      </c>
      <c r="N48" s="385" t="s">
        <v>356</v>
      </c>
      <c r="O48" s="385" t="s">
        <v>356</v>
      </c>
      <c r="P48" s="385" t="s">
        <v>356</v>
      </c>
      <c r="Q48" s="385" t="s">
        <v>356</v>
      </c>
      <c r="R48" s="385" t="s">
        <v>970</v>
      </c>
      <c r="S48" s="385" t="s">
        <v>817</v>
      </c>
      <c r="T48" s="385">
        <v>10</v>
      </c>
      <c r="U48" s="385" cm="1">
        <f t="array" ref="U48">IFERROR(INDEX('Offer Statistics'!$Q$2:$Q$350,MATCH(1,(A48='Offer Statistics'!$B$2:$B$350)*($A$11='Offer Statistics'!$K$2:$K$350),0)),"/")</f>
        <v>2</v>
      </c>
      <c r="V48" s="385" cm="1">
        <f t="array" ref="V48">IFERROR(INDEX('Offer Statistics'!$D$2:$D$350,MATCH(1,(A48='Offer Statistics'!$B$2:$B$350)*($A$11='Offer Statistics'!$K$2:$K$350),0)),"/")</f>
        <v>13</v>
      </c>
      <c r="W48" s="385" cm="1">
        <f t="array" ref="W48">IFERROR(INDEX('Offer Statistics'!$L$2:$L$350,MATCH(1,(A48='Offer Statistics'!$B$2:$B$350)*($A$11='Offer Statistics'!$K$2:$K$350),0)),"/")</f>
        <v>2</v>
      </c>
      <c r="X48" s="385">
        <f t="shared" si="319"/>
        <v>6.5</v>
      </c>
      <c r="Y48" s="385" t="s">
        <v>817</v>
      </c>
      <c r="Z48" s="95" t="str">
        <f>入學要求!AF57</f>
        <v>/</v>
      </c>
      <c r="AA48" s="95" t="str">
        <f>入學要求!AG57</f>
        <v>/</v>
      </c>
      <c r="AB48" s="95" t="s">
        <v>2820</v>
      </c>
      <c r="AC48" s="95"/>
      <c r="AD48" s="95"/>
      <c r="AE48" s="95" t="s">
        <v>356</v>
      </c>
      <c r="AF48" s="95" t="s">
        <v>356</v>
      </c>
      <c r="AG48" s="95" t="s">
        <v>356</v>
      </c>
      <c r="AH48" s="95" t="s">
        <v>356</v>
      </c>
      <c r="AI48" s="95" t="s">
        <v>356</v>
      </c>
      <c r="AJ48" s="2" t="s">
        <v>818</v>
      </c>
      <c r="AK48" s="2" t="s">
        <v>953</v>
      </c>
      <c r="AL48" s="2" t="s">
        <v>839</v>
      </c>
      <c r="AM48" s="2" t="s">
        <v>1332</v>
      </c>
      <c r="AN48" s="2" t="s">
        <v>435</v>
      </c>
      <c r="AO48" s="2" t="s">
        <v>435</v>
      </c>
      <c r="AP48" s="2" t="s">
        <v>435</v>
      </c>
      <c r="AQ48" s="2" t="s">
        <v>356</v>
      </c>
      <c r="AS48" s="2" t="s">
        <v>820</v>
      </c>
      <c r="AU48" s="2" t="s">
        <v>817</v>
      </c>
      <c r="AY48" s="51">
        <v>1</v>
      </c>
      <c r="AZ48" s="51">
        <v>1</v>
      </c>
      <c r="BA48" s="51">
        <v>1</v>
      </c>
      <c r="BB48" s="51">
        <v>1</v>
      </c>
      <c r="BC48" s="51">
        <v>1</v>
      </c>
      <c r="BD48" s="51">
        <v>1</v>
      </c>
      <c r="BE48" s="51">
        <v>1</v>
      </c>
      <c r="BF48" s="51">
        <v>1</v>
      </c>
      <c r="BG48" s="51"/>
      <c r="BP48" s="206">
        <f t="shared" si="320"/>
        <v>3.9999999999999998E-11</v>
      </c>
      <c r="BQ48" s="206">
        <f t="shared" si="321"/>
        <v>1.9999999999999999E-11</v>
      </c>
      <c r="BR48" s="206">
        <f t="shared" si="322"/>
        <v>3E-11</v>
      </c>
      <c r="BS48" s="206">
        <f t="shared" si="323"/>
        <v>9.9999999999999994E-12</v>
      </c>
      <c r="BT48" s="206">
        <f t="shared" si="324"/>
        <v>5.0000000000000002E-11</v>
      </c>
      <c r="BU48" s="206">
        <f t="shared" si="325"/>
        <v>6E-11</v>
      </c>
      <c r="BV48" s="206">
        <f t="shared" si="326"/>
        <v>7.0000000000000004E-11</v>
      </c>
      <c r="BW48" s="206">
        <f t="shared" si="327"/>
        <v>7.9999999999999995E-11</v>
      </c>
      <c r="BX48" s="2">
        <f t="shared" si="337"/>
        <v>3.9999999999999998E-11</v>
      </c>
      <c r="BY48" s="2">
        <f t="shared" si="338"/>
        <v>1.9999999999999999E-11</v>
      </c>
      <c r="BZ48" s="2">
        <f t="shared" si="339"/>
        <v>3E-11</v>
      </c>
      <c r="CA48" s="2">
        <f t="shared" si="340"/>
        <v>9.9999999999999994E-12</v>
      </c>
      <c r="CB48" s="2">
        <f t="shared" si="341"/>
        <v>5.0000000000000002E-11</v>
      </c>
      <c r="CC48" s="2">
        <f t="shared" si="342"/>
        <v>6E-11</v>
      </c>
      <c r="CD48" s="2">
        <f t="shared" si="343"/>
        <v>7.0000000000000004E-11</v>
      </c>
      <c r="CE48" s="2">
        <f t="shared" si="344"/>
        <v>7.9999999999999995E-11</v>
      </c>
      <c r="CF48" s="2" t="s">
        <v>435</v>
      </c>
      <c r="CG48" s="2" t="s">
        <v>435</v>
      </c>
      <c r="CH48" s="2" t="s">
        <v>435</v>
      </c>
      <c r="CI48" s="2" t="s">
        <v>435</v>
      </c>
      <c r="CJ48" s="2" t="s">
        <v>435</v>
      </c>
      <c r="CK48" s="2" t="s">
        <v>435</v>
      </c>
      <c r="CL48" s="2" t="s">
        <v>435</v>
      </c>
      <c r="CM48" s="2" t="s">
        <v>435</v>
      </c>
      <c r="CN48" s="51">
        <v>1</v>
      </c>
      <c r="CO48" s="51">
        <v>1</v>
      </c>
      <c r="CP48" s="51">
        <v>1</v>
      </c>
      <c r="CQ48" s="51">
        <v>1</v>
      </c>
      <c r="CR48" s="51">
        <v>1</v>
      </c>
      <c r="CS48" s="51">
        <v>1</v>
      </c>
      <c r="CT48" s="51">
        <v>1</v>
      </c>
      <c r="CU48" s="51">
        <v>1</v>
      </c>
      <c r="CV48" s="51"/>
      <c r="DE48" s="206">
        <f t="shared" si="328"/>
        <v>3.9999999999999998E-11</v>
      </c>
      <c r="DF48" s="206">
        <f t="shared" si="329"/>
        <v>1.9999999999999999E-11</v>
      </c>
      <c r="DG48" s="206">
        <f t="shared" si="330"/>
        <v>3E-11</v>
      </c>
      <c r="DH48" s="206">
        <f t="shared" si="331"/>
        <v>9.9999999999999994E-12</v>
      </c>
      <c r="DI48" s="206">
        <f t="shared" si="332"/>
        <v>5.0000000000000002E-11</v>
      </c>
      <c r="DJ48" s="206">
        <f t="shared" si="333"/>
        <v>6E-11</v>
      </c>
      <c r="DK48" s="206">
        <f t="shared" si="334"/>
        <v>7.0000000000000004E-11</v>
      </c>
      <c r="DL48" s="206">
        <f t="shared" si="335"/>
        <v>7.9999999999999995E-11</v>
      </c>
      <c r="DM48" s="2">
        <f t="shared" si="345"/>
        <v>3.9999999999999998E-11</v>
      </c>
      <c r="DN48" s="2">
        <f t="shared" si="346"/>
        <v>1.9999999999999999E-11</v>
      </c>
      <c r="DO48" s="2">
        <f t="shared" si="347"/>
        <v>3E-11</v>
      </c>
      <c r="DP48" s="2">
        <f t="shared" si="348"/>
        <v>9.9999999999999994E-12</v>
      </c>
      <c r="DQ48" s="2">
        <f t="shared" si="349"/>
        <v>5.0000000000000002E-11</v>
      </c>
      <c r="DR48" s="2">
        <f t="shared" si="350"/>
        <v>6E-11</v>
      </c>
      <c r="DS48" s="2">
        <f t="shared" si="351"/>
        <v>7.0000000000000004E-11</v>
      </c>
      <c r="DT48" s="2">
        <f t="shared" si="352"/>
        <v>7.9999999999999995E-11</v>
      </c>
      <c r="DU48" s="2" t="s">
        <v>435</v>
      </c>
      <c r="DV48" s="2" t="s">
        <v>435</v>
      </c>
      <c r="DW48" s="2" t="s">
        <v>435</v>
      </c>
      <c r="DX48" s="2" t="s">
        <v>435</v>
      </c>
      <c r="DY48" s="2" t="s">
        <v>435</v>
      </c>
      <c r="DZ48" s="2" t="s">
        <v>435</v>
      </c>
      <c r="EA48" s="2" t="s">
        <v>435</v>
      </c>
      <c r="EB48" s="2" t="s">
        <v>435</v>
      </c>
      <c r="EC48" s="2" t="s">
        <v>435</v>
      </c>
      <c r="ED48" s="2" t="s">
        <v>435</v>
      </c>
      <c r="EE48" s="2" t="s">
        <v>435</v>
      </c>
      <c r="EF48" s="2" t="s">
        <v>435</v>
      </c>
      <c r="EG48" s="2" t="s">
        <v>435</v>
      </c>
      <c r="EH48" s="2" t="s">
        <v>435</v>
      </c>
      <c r="EI48" s="2" t="s">
        <v>435</v>
      </c>
      <c r="EJ48" s="2" t="s">
        <v>435</v>
      </c>
      <c r="EK48" s="2" t="s">
        <v>435</v>
      </c>
      <c r="EL48" s="2" t="s">
        <v>435</v>
      </c>
      <c r="EM48" s="2" t="s">
        <v>435</v>
      </c>
      <c r="EN48" s="2" t="s">
        <v>435</v>
      </c>
      <c r="EO48" s="2" t="s">
        <v>435</v>
      </c>
      <c r="EP48" s="2" t="s">
        <v>435</v>
      </c>
      <c r="EQ48" s="2" t="s">
        <v>435</v>
      </c>
      <c r="ER48" s="2" t="s">
        <v>435</v>
      </c>
      <c r="FA48" s="2" t="s">
        <v>435</v>
      </c>
      <c r="FB48" s="2" t="s">
        <v>435</v>
      </c>
      <c r="FC48" s="2" t="s">
        <v>435</v>
      </c>
      <c r="FD48" s="2" t="s">
        <v>435</v>
      </c>
      <c r="FE48" s="2" t="s">
        <v>435</v>
      </c>
      <c r="FF48" s="2" t="s">
        <v>435</v>
      </c>
      <c r="FG48" s="2" t="s">
        <v>435</v>
      </c>
      <c r="FH48" s="2" t="s">
        <v>435</v>
      </c>
      <c r="FI48" s="2" t="s">
        <v>435</v>
      </c>
      <c r="FJ48" s="2" t="s">
        <v>435</v>
      </c>
      <c r="FK48" s="2" t="s">
        <v>435</v>
      </c>
      <c r="FL48" s="2" t="s">
        <v>435</v>
      </c>
      <c r="FM48" s="2" t="s">
        <v>435</v>
      </c>
      <c r="FN48" s="2" t="s">
        <v>435</v>
      </c>
      <c r="FO48" s="2" t="s">
        <v>435</v>
      </c>
      <c r="FP48" s="2" t="s">
        <v>435</v>
      </c>
    </row>
    <row r="49" spans="1:172">
      <c r="A49" s="2" t="s">
        <v>971</v>
      </c>
      <c r="B49" s="2" t="s">
        <v>249</v>
      </c>
      <c r="C49" s="2" t="s">
        <v>926</v>
      </c>
      <c r="D49" s="2" t="s">
        <v>972</v>
      </c>
      <c r="E49" s="2" t="s">
        <v>828</v>
      </c>
      <c r="F49" s="385" t="s">
        <v>356</v>
      </c>
      <c r="G49" s="385" t="s">
        <v>356</v>
      </c>
      <c r="H49" s="385">
        <v>25</v>
      </c>
      <c r="I49" s="385">
        <v>25</v>
      </c>
      <c r="J49" s="385"/>
      <c r="K49" s="385">
        <f t="shared" si="353"/>
        <v>25.000000000229999</v>
      </c>
      <c r="L49" s="385">
        <f t="shared" si="354"/>
        <v>25.000000000229999</v>
      </c>
      <c r="M49" s="385" t="s">
        <v>906</v>
      </c>
      <c r="N49" s="385" t="s">
        <v>356</v>
      </c>
      <c r="O49" s="385" t="s">
        <v>356</v>
      </c>
      <c r="P49" s="385" t="s">
        <v>356</v>
      </c>
      <c r="Q49" s="385" t="s">
        <v>356</v>
      </c>
      <c r="R49" s="385" t="s">
        <v>973</v>
      </c>
      <c r="S49" s="385" t="s">
        <v>817</v>
      </c>
      <c r="T49" s="385">
        <v>10</v>
      </c>
      <c r="U49" s="385" cm="1">
        <f t="array" ref="U49">IFERROR(INDEX('Offer Statistics'!$Q$2:$Q$350,MATCH(1,(A49='Offer Statistics'!$B$2:$B$350)*($A$11='Offer Statistics'!$K$2:$K$350),0)),"/")</f>
        <v>10</v>
      </c>
      <c r="V49" s="385" cm="1">
        <f t="array" ref="V49">IFERROR(INDEX('Offer Statistics'!$D$2:$D$350,MATCH(1,(A49='Offer Statistics'!$B$2:$B$350)*($A$11='Offer Statistics'!$K$2:$K$350),0)),"/")</f>
        <v>53</v>
      </c>
      <c r="W49" s="385" cm="1">
        <f t="array" ref="W49">IFERROR(INDEX('Offer Statistics'!$L$2:$L$350,MATCH(1,(A49='Offer Statistics'!$B$2:$B$350)*($A$11='Offer Statistics'!$K$2:$K$350),0)),"/")</f>
        <v>8</v>
      </c>
      <c r="X49" s="385">
        <f t="shared" si="319"/>
        <v>6.625</v>
      </c>
      <c r="Y49" s="385" t="s">
        <v>817</v>
      </c>
      <c r="Z49" s="95" t="str">
        <f>入學要求!AF58</f>
        <v>/</v>
      </c>
      <c r="AA49" s="95" t="str">
        <f>入學要求!AG58</f>
        <v>/</v>
      </c>
      <c r="AB49" s="95" t="s">
        <v>889</v>
      </c>
      <c r="AC49" s="95"/>
      <c r="AD49" s="95"/>
      <c r="AE49" s="95" t="s">
        <v>890</v>
      </c>
      <c r="AF49" s="95" t="s">
        <v>356</v>
      </c>
      <c r="AG49" s="95" t="s">
        <v>356</v>
      </c>
      <c r="AH49" s="95" t="s">
        <v>356</v>
      </c>
      <c r="AI49" s="95" t="s">
        <v>356</v>
      </c>
      <c r="AJ49" s="2" t="s">
        <v>958</v>
      </c>
      <c r="AK49" s="2" t="s">
        <v>818</v>
      </c>
      <c r="AL49" s="2" t="s">
        <v>907</v>
      </c>
      <c r="AM49" s="2" t="s">
        <v>356</v>
      </c>
      <c r="AN49" s="2" t="s">
        <v>435</v>
      </c>
      <c r="AO49" s="2" t="s">
        <v>435</v>
      </c>
      <c r="AP49" s="2" t="s">
        <v>435</v>
      </c>
      <c r="AQ49" s="2" t="s">
        <v>356</v>
      </c>
      <c r="AS49" s="2" t="s">
        <v>820</v>
      </c>
      <c r="AU49" s="2" t="s">
        <v>817</v>
      </c>
      <c r="AY49" s="51">
        <v>1</v>
      </c>
      <c r="AZ49" s="51">
        <v>1</v>
      </c>
      <c r="BA49" s="51">
        <v>1</v>
      </c>
      <c r="BB49" s="51">
        <v>1</v>
      </c>
      <c r="BC49" s="51">
        <v>1</v>
      </c>
      <c r="BD49" s="51">
        <v>1</v>
      </c>
      <c r="BE49" s="51">
        <v>1</v>
      </c>
      <c r="BF49" s="51">
        <v>1</v>
      </c>
      <c r="BG49" s="51" t="s">
        <v>971</v>
      </c>
      <c r="BH49" s="2">
        <v>4</v>
      </c>
      <c r="BI49" s="2">
        <v>5</v>
      </c>
      <c r="BJ49" s="2">
        <v>3</v>
      </c>
      <c r="BK49" s="2">
        <v>4</v>
      </c>
      <c r="BL49" s="2" t="s">
        <v>356</v>
      </c>
      <c r="BM49" s="2">
        <v>5</v>
      </c>
      <c r="BN49" s="2">
        <v>4</v>
      </c>
      <c r="BO49" s="2" t="s">
        <v>356</v>
      </c>
      <c r="BP49" s="206">
        <f t="shared" si="320"/>
        <v>4.00000000004</v>
      </c>
      <c r="BQ49" s="206">
        <f t="shared" si="321"/>
        <v>5.00000000002</v>
      </c>
      <c r="BR49" s="206">
        <f t="shared" si="322"/>
        <v>3.00000000003</v>
      </c>
      <c r="BS49" s="206">
        <f t="shared" si="323"/>
        <v>4.00000000001</v>
      </c>
      <c r="BT49" s="206">
        <f t="shared" si="324"/>
        <v>0</v>
      </c>
      <c r="BU49" s="206">
        <f t="shared" si="325"/>
        <v>5.00000000006</v>
      </c>
      <c r="BV49" s="206">
        <f t="shared" si="326"/>
        <v>4.00000000007</v>
      </c>
      <c r="BW49" s="206">
        <f t="shared" si="327"/>
        <v>0</v>
      </c>
      <c r="BX49" s="2">
        <f t="shared" si="337"/>
        <v>4.00000000004</v>
      </c>
      <c r="BY49" s="2">
        <f t="shared" si="338"/>
        <v>5.00000000002</v>
      </c>
      <c r="BZ49" s="2">
        <f t="shared" si="339"/>
        <v>3.00000000003</v>
      </c>
      <c r="CA49" s="2">
        <f t="shared" si="340"/>
        <v>4.00000000001</v>
      </c>
      <c r="CB49" s="2">
        <f t="shared" si="341"/>
        <v>0</v>
      </c>
      <c r="CC49" s="2">
        <f t="shared" si="342"/>
        <v>5.00000000006</v>
      </c>
      <c r="CD49" s="2">
        <f t="shared" si="343"/>
        <v>4.00000000007</v>
      </c>
      <c r="CE49" s="2">
        <f t="shared" si="344"/>
        <v>0</v>
      </c>
      <c r="CF49" s="2" t="b">
        <v>1</v>
      </c>
      <c r="CG49" s="2" t="b">
        <v>1</v>
      </c>
      <c r="CH49" s="2" t="b">
        <v>1</v>
      </c>
      <c r="CI49" s="2" t="b">
        <v>1</v>
      </c>
      <c r="CJ49" s="2" t="b">
        <v>0</v>
      </c>
      <c r="CK49" s="2" t="b">
        <v>1</v>
      </c>
      <c r="CL49" s="2" t="b">
        <v>1</v>
      </c>
      <c r="CM49" s="2" t="b">
        <v>0</v>
      </c>
      <c r="CN49" s="51">
        <v>1</v>
      </c>
      <c r="CO49" s="51">
        <v>1</v>
      </c>
      <c r="CP49" s="51">
        <v>1</v>
      </c>
      <c r="CQ49" s="51">
        <v>1</v>
      </c>
      <c r="CR49" s="51">
        <v>1</v>
      </c>
      <c r="CS49" s="51">
        <v>1</v>
      </c>
      <c r="CT49" s="51">
        <v>1</v>
      </c>
      <c r="CU49" s="51">
        <v>1</v>
      </c>
      <c r="CV49" s="51" t="s">
        <v>971</v>
      </c>
      <c r="CW49" s="2">
        <v>4</v>
      </c>
      <c r="CX49" s="2">
        <v>5</v>
      </c>
      <c r="CY49" s="2">
        <v>3</v>
      </c>
      <c r="CZ49" s="2">
        <v>4</v>
      </c>
      <c r="DA49" s="2" t="s">
        <v>356</v>
      </c>
      <c r="DB49" s="2">
        <v>6</v>
      </c>
      <c r="DC49" s="2">
        <v>3</v>
      </c>
      <c r="DD49" s="2" t="s">
        <v>356</v>
      </c>
      <c r="DE49" s="206">
        <f t="shared" si="328"/>
        <v>4.00000000004</v>
      </c>
      <c r="DF49" s="206">
        <f t="shared" si="329"/>
        <v>5.00000000002</v>
      </c>
      <c r="DG49" s="206">
        <f t="shared" si="330"/>
        <v>3.00000000003</v>
      </c>
      <c r="DH49" s="206">
        <f t="shared" si="331"/>
        <v>4.00000000001</v>
      </c>
      <c r="DI49" s="206">
        <f t="shared" si="332"/>
        <v>0</v>
      </c>
      <c r="DJ49" s="206">
        <f t="shared" si="333"/>
        <v>6.00000000006</v>
      </c>
      <c r="DK49" s="206">
        <f t="shared" si="334"/>
        <v>3.00000000007</v>
      </c>
      <c r="DL49" s="206">
        <f t="shared" si="335"/>
        <v>0</v>
      </c>
      <c r="DM49" s="2">
        <f t="shared" si="345"/>
        <v>4.00000000004</v>
      </c>
      <c r="DN49" s="2">
        <f t="shared" si="346"/>
        <v>5.00000000002</v>
      </c>
      <c r="DO49" s="2">
        <f t="shared" si="347"/>
        <v>3.00000000003</v>
      </c>
      <c r="DP49" s="2">
        <f t="shared" si="348"/>
        <v>4.00000000001</v>
      </c>
      <c r="DQ49" s="2">
        <f t="shared" si="349"/>
        <v>0</v>
      </c>
      <c r="DR49" s="2">
        <f t="shared" si="350"/>
        <v>6.00000000006</v>
      </c>
      <c r="DS49" s="2">
        <f t="shared" si="351"/>
        <v>3.00000000007</v>
      </c>
      <c r="DT49" s="2">
        <f t="shared" si="352"/>
        <v>0</v>
      </c>
      <c r="DU49" s="2" t="b">
        <v>1</v>
      </c>
      <c r="DV49" s="2" t="b">
        <v>1</v>
      </c>
      <c r="DW49" s="2" t="b">
        <v>1</v>
      </c>
      <c r="DX49" s="2" t="b">
        <v>1</v>
      </c>
      <c r="DY49" s="2" t="b">
        <v>0</v>
      </c>
      <c r="DZ49" s="2" t="b">
        <v>1</v>
      </c>
      <c r="EA49" s="2" t="b">
        <v>1</v>
      </c>
      <c r="EB49" s="2" t="b">
        <v>0</v>
      </c>
      <c r="EC49" s="2" t="s">
        <v>435</v>
      </c>
      <c r="ED49" s="2" t="s">
        <v>435</v>
      </c>
      <c r="EE49" s="2" t="s">
        <v>435</v>
      </c>
      <c r="EF49" s="2" t="s">
        <v>435</v>
      </c>
      <c r="EG49" s="2" t="s">
        <v>435</v>
      </c>
      <c r="EH49" s="2" t="s">
        <v>435</v>
      </c>
      <c r="EI49" s="2" t="s">
        <v>435</v>
      </c>
      <c r="EJ49" s="2" t="s">
        <v>435</v>
      </c>
      <c r="EK49" s="2" t="s">
        <v>435</v>
      </c>
      <c r="EL49" s="2" t="s">
        <v>435</v>
      </c>
      <c r="EM49" s="2" t="s">
        <v>435</v>
      </c>
      <c r="EN49" s="2" t="s">
        <v>435</v>
      </c>
      <c r="EO49" s="2" t="s">
        <v>435</v>
      </c>
      <c r="EP49" s="2" t="s">
        <v>435</v>
      </c>
      <c r="EQ49" s="2" t="s">
        <v>435</v>
      </c>
      <c r="ER49" s="2" t="s">
        <v>435</v>
      </c>
      <c r="FA49" s="2" t="s">
        <v>435</v>
      </c>
      <c r="FB49" s="2" t="s">
        <v>435</v>
      </c>
      <c r="FC49" s="2" t="s">
        <v>435</v>
      </c>
      <c r="FD49" s="2" t="s">
        <v>435</v>
      </c>
      <c r="FE49" s="2" t="s">
        <v>435</v>
      </c>
      <c r="FF49" s="2" t="s">
        <v>435</v>
      </c>
      <c r="FG49" s="2" t="s">
        <v>435</v>
      </c>
      <c r="FH49" s="2" t="s">
        <v>435</v>
      </c>
      <c r="FI49" s="2" t="s">
        <v>435</v>
      </c>
      <c r="FJ49" s="2" t="s">
        <v>435</v>
      </c>
      <c r="FK49" s="2" t="s">
        <v>435</v>
      </c>
      <c r="FL49" s="2" t="s">
        <v>435</v>
      </c>
      <c r="FM49" s="2" t="s">
        <v>435</v>
      </c>
      <c r="FN49" s="2" t="s">
        <v>435</v>
      </c>
      <c r="FO49" s="2" t="s">
        <v>435</v>
      </c>
      <c r="FP49" s="2" t="s">
        <v>435</v>
      </c>
    </row>
    <row r="50" spans="1:172">
      <c r="A50" s="2" t="s">
        <v>974</v>
      </c>
      <c r="B50" s="2" t="s">
        <v>249</v>
      </c>
      <c r="C50" s="2" t="s">
        <v>975</v>
      </c>
      <c r="D50" s="2" t="s">
        <v>976</v>
      </c>
      <c r="E50" s="2" t="s">
        <v>889</v>
      </c>
      <c r="F50" s="385" t="s">
        <v>356</v>
      </c>
      <c r="G50" s="385" t="s">
        <v>356</v>
      </c>
      <c r="H50" s="385" t="s">
        <v>356</v>
      </c>
      <c r="I50" s="385" t="s">
        <v>356</v>
      </c>
      <c r="J50" s="385"/>
      <c r="K50" s="385">
        <f t="shared" si="353"/>
        <v>6.4000000000000006E-10</v>
      </c>
      <c r="L50" s="385">
        <f t="shared" si="354"/>
        <v>6.4000000000000006E-10</v>
      </c>
      <c r="M50" s="385" t="s">
        <v>356</v>
      </c>
      <c r="N50" s="385" t="s">
        <v>356</v>
      </c>
      <c r="O50" s="385" t="s">
        <v>978</v>
      </c>
      <c r="P50" s="385" t="s">
        <v>874</v>
      </c>
      <c r="Q50" s="385" t="s">
        <v>356</v>
      </c>
      <c r="R50" s="385" t="s">
        <v>977</v>
      </c>
      <c r="S50" s="385" t="s">
        <v>817</v>
      </c>
      <c r="T50" s="385">
        <v>9</v>
      </c>
      <c r="U50" s="385" cm="1">
        <f t="array" ref="U50">IFERROR(INDEX('Offer Statistics'!$Q$2:$Q$350,MATCH(1,(A50='Offer Statistics'!$B$2:$B$350)*($A$11='Offer Statistics'!$K$2:$K$350),0)),"/")</f>
        <v>2</v>
      </c>
      <c r="V50" s="385" cm="1">
        <f t="array" ref="V50">IFERROR(INDEX('Offer Statistics'!$D$2:$D$350,MATCH(1,(A50='Offer Statistics'!$B$2:$B$350)*($A$11='Offer Statistics'!$K$2:$K$350),0)),"/")</f>
        <v>6</v>
      </c>
      <c r="W50" s="385" cm="1">
        <f t="array" ref="W50">IFERROR(INDEX('Offer Statistics'!$L$2:$L$350,MATCH(1,(A50='Offer Statistics'!$B$2:$B$350)*($A$11='Offer Statistics'!$K$2:$K$350),0)),"/")</f>
        <v>2</v>
      </c>
      <c r="X50" s="385">
        <f t="shared" si="319"/>
        <v>3</v>
      </c>
      <c r="Y50" s="385" t="s">
        <v>817</v>
      </c>
      <c r="Z50" s="95" t="str">
        <f>入學要求!AF59</f>
        <v xml:space="preserve">以下兩科選修取得Lv.3︰生物、化學、經濟、M1/2、物理 </v>
      </c>
      <c r="AA50" s="95" t="str">
        <f>入學要求!AG59</f>
        <v>/</v>
      </c>
      <c r="AB50" s="386" t="s">
        <v>2814</v>
      </c>
      <c r="AC50" s="95"/>
      <c r="AD50" s="95"/>
      <c r="AE50" s="95" t="s">
        <v>356</v>
      </c>
      <c r="AF50" s="95" t="s">
        <v>356</v>
      </c>
      <c r="AG50" s="95" t="s">
        <v>978</v>
      </c>
      <c r="AH50" s="95" t="s">
        <v>874</v>
      </c>
      <c r="AI50" s="95" t="s">
        <v>356</v>
      </c>
      <c r="AJ50" s="2" t="s">
        <v>818</v>
      </c>
      <c r="AK50" s="2" t="s">
        <v>907</v>
      </c>
      <c r="AL50" s="2" t="s">
        <v>356</v>
      </c>
      <c r="AM50" s="2" t="s">
        <v>1332</v>
      </c>
      <c r="AN50" s="2" t="s">
        <v>435</v>
      </c>
      <c r="AO50" s="2" t="s">
        <v>435</v>
      </c>
      <c r="AP50" s="2" t="s">
        <v>435</v>
      </c>
      <c r="AQ50" s="2" t="s">
        <v>356</v>
      </c>
      <c r="AS50" s="2" t="s">
        <v>820</v>
      </c>
      <c r="AU50" s="2" t="s">
        <v>817</v>
      </c>
      <c r="AW50" s="202"/>
      <c r="AY50" s="51">
        <v>1</v>
      </c>
      <c r="AZ50" s="51">
        <v>2</v>
      </c>
      <c r="BA50" s="51">
        <v>2.5</v>
      </c>
      <c r="BB50" s="51">
        <v>1</v>
      </c>
      <c r="BC50" s="51">
        <v>2.5</v>
      </c>
      <c r="BD50" s="51">
        <v>2.5</v>
      </c>
      <c r="BE50" s="51">
        <v>2.5</v>
      </c>
      <c r="BF50" s="51">
        <v>2.5</v>
      </c>
      <c r="BG50" s="51"/>
      <c r="BP50" s="206">
        <f t="shared" si="320"/>
        <v>3.9999999999999998E-11</v>
      </c>
      <c r="BQ50" s="206">
        <f t="shared" si="321"/>
        <v>1.9999999999999999E-11</v>
      </c>
      <c r="BR50" s="206">
        <f t="shared" si="322"/>
        <v>3E-11</v>
      </c>
      <c r="BS50" s="206">
        <f t="shared" si="323"/>
        <v>9.9999999999999994E-12</v>
      </c>
      <c r="BT50" s="206">
        <f t="shared" si="324"/>
        <v>5.0000000000000002E-11</v>
      </c>
      <c r="BU50" s="206">
        <f t="shared" si="325"/>
        <v>6E-11</v>
      </c>
      <c r="BV50" s="206">
        <f t="shared" si="326"/>
        <v>7.0000000000000004E-11</v>
      </c>
      <c r="BW50" s="206">
        <f t="shared" si="327"/>
        <v>7.9999999999999995E-11</v>
      </c>
      <c r="BX50" s="2">
        <f t="shared" si="337"/>
        <v>3.9999999999999998E-11</v>
      </c>
      <c r="BY50" s="2">
        <f t="shared" si="338"/>
        <v>3.9999999999999998E-11</v>
      </c>
      <c r="BZ50" s="2">
        <f t="shared" si="339"/>
        <v>7.5E-11</v>
      </c>
      <c r="CA50" s="2">
        <f t="shared" si="340"/>
        <v>9.9999999999999994E-12</v>
      </c>
      <c r="CB50" s="2">
        <f t="shared" si="341"/>
        <v>1.2500000000000001E-10</v>
      </c>
      <c r="CC50" s="2">
        <f t="shared" si="342"/>
        <v>1.5E-10</v>
      </c>
      <c r="CD50" s="2">
        <f t="shared" si="343"/>
        <v>1.7500000000000002E-10</v>
      </c>
      <c r="CE50" s="2">
        <f t="shared" si="344"/>
        <v>1.9999999999999998E-10</v>
      </c>
      <c r="CF50" s="2" t="b">
        <v>0</v>
      </c>
      <c r="CG50" s="2" t="b">
        <v>1</v>
      </c>
      <c r="CH50" s="2" t="b">
        <v>1</v>
      </c>
      <c r="CI50" s="2" t="b">
        <v>0</v>
      </c>
      <c r="CJ50" s="2" t="b">
        <v>0</v>
      </c>
      <c r="CK50" s="2" t="b">
        <v>1</v>
      </c>
      <c r="CL50" s="2" t="b">
        <v>1</v>
      </c>
      <c r="CM50" s="2" t="b">
        <v>1</v>
      </c>
      <c r="CN50" s="51">
        <v>1</v>
      </c>
      <c r="CO50" s="51">
        <v>2</v>
      </c>
      <c r="CP50" s="51">
        <v>2.5</v>
      </c>
      <c r="CQ50" s="51">
        <v>1</v>
      </c>
      <c r="CR50" s="51">
        <v>2.5</v>
      </c>
      <c r="CS50" s="51">
        <v>2.5</v>
      </c>
      <c r="CT50" s="51">
        <v>2.5</v>
      </c>
      <c r="CU50" s="51">
        <v>2.5</v>
      </c>
      <c r="CV50" s="51"/>
      <c r="DE50" s="206">
        <f t="shared" si="328"/>
        <v>3.9999999999999998E-11</v>
      </c>
      <c r="DF50" s="206">
        <f t="shared" si="329"/>
        <v>1.9999999999999999E-11</v>
      </c>
      <c r="DG50" s="206">
        <f t="shared" si="330"/>
        <v>3E-11</v>
      </c>
      <c r="DH50" s="206">
        <f t="shared" si="331"/>
        <v>9.9999999999999994E-12</v>
      </c>
      <c r="DI50" s="206">
        <f t="shared" si="332"/>
        <v>5.0000000000000002E-11</v>
      </c>
      <c r="DJ50" s="206">
        <f t="shared" si="333"/>
        <v>6E-11</v>
      </c>
      <c r="DK50" s="206">
        <f t="shared" si="334"/>
        <v>7.0000000000000004E-11</v>
      </c>
      <c r="DL50" s="206">
        <f t="shared" si="335"/>
        <v>7.9999999999999995E-11</v>
      </c>
      <c r="DM50" s="2">
        <f t="shared" si="345"/>
        <v>3.9999999999999998E-11</v>
      </c>
      <c r="DN50" s="2">
        <f t="shared" si="346"/>
        <v>3.9999999999999998E-11</v>
      </c>
      <c r="DO50" s="2">
        <f t="shared" si="347"/>
        <v>7.5E-11</v>
      </c>
      <c r="DP50" s="2">
        <f t="shared" si="348"/>
        <v>9.9999999999999994E-12</v>
      </c>
      <c r="DQ50" s="2">
        <f t="shared" si="349"/>
        <v>1.2500000000000001E-10</v>
      </c>
      <c r="DR50" s="2">
        <f t="shared" si="350"/>
        <v>1.5E-10</v>
      </c>
      <c r="DS50" s="2">
        <f t="shared" si="351"/>
        <v>1.7500000000000002E-10</v>
      </c>
      <c r="DT50" s="2">
        <f t="shared" si="352"/>
        <v>1.9999999999999998E-10</v>
      </c>
      <c r="DU50" s="2" t="b">
        <v>0</v>
      </c>
      <c r="DV50" s="2" t="b">
        <v>1</v>
      </c>
      <c r="DW50" s="2" t="b">
        <v>1</v>
      </c>
      <c r="DX50" s="2" t="b">
        <v>0</v>
      </c>
      <c r="DY50" s="2" t="b">
        <v>0</v>
      </c>
      <c r="DZ50" s="2" t="b">
        <v>1</v>
      </c>
      <c r="EA50" s="2" t="b">
        <v>1</v>
      </c>
      <c r="EB50" s="2" t="b">
        <v>1</v>
      </c>
      <c r="EC50" s="2" t="s">
        <v>435</v>
      </c>
      <c r="ED50" s="2" t="s">
        <v>435</v>
      </c>
      <c r="EE50" s="2" t="s">
        <v>435</v>
      </c>
      <c r="EF50" s="2" t="s">
        <v>435</v>
      </c>
      <c r="EG50" s="2" t="s">
        <v>435</v>
      </c>
      <c r="EH50" s="2" t="s">
        <v>435</v>
      </c>
      <c r="EI50" s="2" t="s">
        <v>435</v>
      </c>
      <c r="EJ50" s="2" t="s">
        <v>435</v>
      </c>
      <c r="EK50" s="2" t="s">
        <v>435</v>
      </c>
      <c r="EL50" s="2" t="s">
        <v>435</v>
      </c>
      <c r="EM50" s="2" t="s">
        <v>435</v>
      </c>
      <c r="EN50" s="2" t="s">
        <v>435</v>
      </c>
      <c r="EO50" s="2" t="s">
        <v>435</v>
      </c>
      <c r="EP50" s="2" t="s">
        <v>435</v>
      </c>
      <c r="EQ50" s="2" t="s">
        <v>435</v>
      </c>
      <c r="ER50" s="2" t="s">
        <v>435</v>
      </c>
      <c r="FA50" s="2" t="s">
        <v>435</v>
      </c>
      <c r="FB50" s="2" t="s">
        <v>435</v>
      </c>
      <c r="FC50" s="2" t="s">
        <v>435</v>
      </c>
      <c r="FD50" s="2" t="s">
        <v>435</v>
      </c>
      <c r="FE50" s="2" t="s">
        <v>435</v>
      </c>
      <c r="FF50" s="2" t="s">
        <v>435</v>
      </c>
      <c r="FG50" s="2" t="s">
        <v>435</v>
      </c>
      <c r="FH50" s="2" t="s">
        <v>435</v>
      </c>
      <c r="FI50" s="2" t="s">
        <v>435</v>
      </c>
      <c r="FJ50" s="2" t="s">
        <v>435</v>
      </c>
      <c r="FK50" s="2" t="s">
        <v>435</v>
      </c>
      <c r="FL50" s="2" t="s">
        <v>435</v>
      </c>
      <c r="FM50" s="2" t="s">
        <v>435</v>
      </c>
      <c r="FN50" s="2" t="s">
        <v>435</v>
      </c>
      <c r="FO50" s="2" t="s">
        <v>435</v>
      </c>
      <c r="FP50" s="2" t="s">
        <v>435</v>
      </c>
    </row>
    <row r="51" spans="1:172" s="373" customFormat="1">
      <c r="A51" s="373" t="s">
        <v>979</v>
      </c>
      <c r="B51" s="373" t="s">
        <v>249</v>
      </c>
      <c r="C51" s="373" t="s">
        <v>980</v>
      </c>
      <c r="D51" s="373" t="s">
        <v>981</v>
      </c>
      <c r="E51" s="373" t="s">
        <v>828</v>
      </c>
      <c r="F51" s="385" t="s">
        <v>356</v>
      </c>
      <c r="G51" s="385" t="s">
        <v>356</v>
      </c>
      <c r="H51" s="385">
        <v>42</v>
      </c>
      <c r="I51" s="385">
        <v>40.5</v>
      </c>
      <c r="J51" s="385"/>
      <c r="K51" s="385">
        <f t="shared" si="353"/>
        <v>42.000000000484995</v>
      </c>
      <c r="L51" s="385">
        <f t="shared" si="354"/>
        <v>40.500000000429999</v>
      </c>
      <c r="M51" s="385" t="s">
        <v>906</v>
      </c>
      <c r="N51" s="385" t="s">
        <v>356</v>
      </c>
      <c r="O51" s="385" t="s">
        <v>2953</v>
      </c>
      <c r="P51" s="385" t="s">
        <v>984</v>
      </c>
      <c r="Q51" s="385" t="s">
        <v>356</v>
      </c>
      <c r="R51" s="385" t="s">
        <v>983</v>
      </c>
      <c r="S51" s="385" t="s">
        <v>817</v>
      </c>
      <c r="T51" s="385">
        <v>98</v>
      </c>
      <c r="U51" s="385" cm="1">
        <f t="array" ref="U51">IFERROR(INDEX('Offer Statistics'!$Q$2:$Q$350,MATCH(1,(A51='Offer Statistics'!$B$2:$B$350)*($A$11='Offer Statistics'!$K$2:$K$350),0)),"/")</f>
        <v>91</v>
      </c>
      <c r="V51" s="385" cm="1">
        <f t="array" ref="V51">IFERROR(INDEX('Offer Statistics'!$D$2:$D$350,MATCH(1,(A51='Offer Statistics'!$B$2:$B$350)*($A$11='Offer Statistics'!$K$2:$K$350),0)),"/")</f>
        <v>478</v>
      </c>
      <c r="W51" s="385" cm="1">
        <f t="array" ref="W51">IFERROR(INDEX('Offer Statistics'!$L$2:$L$350,MATCH(1,(A51='Offer Statistics'!$B$2:$B$350)*($A$11='Offer Statistics'!$K$2:$K$350),0)),"/")</f>
        <v>91</v>
      </c>
      <c r="X51" s="385">
        <f t="shared" si="319"/>
        <v>5.2527472527472527</v>
      </c>
      <c r="Y51" s="385" t="s">
        <v>817</v>
      </c>
      <c r="Z51" s="373" t="str">
        <f>入學要求!AF60</f>
        <v xml:space="preserve">以下一科選修取得Lv.3︰物理 </v>
      </c>
      <c r="AA51" s="373" t="str">
        <f>入學要求!AG60</f>
        <v>/</v>
      </c>
      <c r="AB51" s="374" t="s">
        <v>889</v>
      </c>
      <c r="AC51" s="373" t="s">
        <v>2854</v>
      </c>
      <c r="AE51" s="373" t="s">
        <v>890</v>
      </c>
      <c r="AF51" s="373" t="s">
        <v>356</v>
      </c>
      <c r="AG51" s="383" t="s">
        <v>2821</v>
      </c>
      <c r="AH51" s="373" t="s">
        <v>984</v>
      </c>
      <c r="AI51" s="373" t="s">
        <v>356</v>
      </c>
      <c r="AJ51" s="373" t="s">
        <v>958</v>
      </c>
      <c r="AK51" s="373" t="s">
        <v>818</v>
      </c>
      <c r="AL51" s="373" t="s">
        <v>844</v>
      </c>
      <c r="AM51" s="373" t="s">
        <v>356</v>
      </c>
      <c r="AN51" s="373" t="s">
        <v>435</v>
      </c>
      <c r="AO51" s="373" t="s">
        <v>435</v>
      </c>
      <c r="AP51" s="373" t="s">
        <v>435</v>
      </c>
      <c r="AQ51" s="373" t="s">
        <v>356</v>
      </c>
      <c r="AS51" s="373" t="s">
        <v>820</v>
      </c>
      <c r="AU51" s="373" t="s">
        <v>817</v>
      </c>
      <c r="AW51" s="382"/>
      <c r="AY51" s="373">
        <v>1.5</v>
      </c>
      <c r="AZ51" s="373">
        <v>2.5</v>
      </c>
      <c r="BA51" s="373">
        <v>2.5</v>
      </c>
      <c r="BB51" s="373">
        <v>1</v>
      </c>
      <c r="BC51" s="373">
        <v>2.5</v>
      </c>
      <c r="BD51" s="373">
        <v>1</v>
      </c>
      <c r="BE51" s="373">
        <v>2.5</v>
      </c>
      <c r="BF51" s="373">
        <v>1</v>
      </c>
      <c r="BG51" s="373" t="s">
        <v>979</v>
      </c>
      <c r="BH51" s="373">
        <v>4</v>
      </c>
      <c r="BI51" s="373">
        <v>4</v>
      </c>
      <c r="BJ51" s="373">
        <v>4</v>
      </c>
      <c r="BK51" s="373">
        <v>3</v>
      </c>
      <c r="BL51" s="373" t="s">
        <v>356</v>
      </c>
      <c r="BM51" s="373">
        <v>4</v>
      </c>
      <c r="BN51" s="373">
        <v>3</v>
      </c>
      <c r="BO51" s="373">
        <v>3</v>
      </c>
      <c r="BP51" s="206">
        <f t="shared" si="320"/>
        <v>4.00000000004</v>
      </c>
      <c r="BQ51" s="206">
        <f t="shared" si="321"/>
        <v>4.00000000002</v>
      </c>
      <c r="BR51" s="206">
        <f t="shared" si="322"/>
        <v>4.00000000003</v>
      </c>
      <c r="BS51" s="206">
        <f t="shared" si="323"/>
        <v>3.00000000001</v>
      </c>
      <c r="BT51" s="206">
        <f t="shared" si="324"/>
        <v>0</v>
      </c>
      <c r="BU51" s="206">
        <f t="shared" si="325"/>
        <v>4.00000000006</v>
      </c>
      <c r="BV51" s="206">
        <f t="shared" si="326"/>
        <v>3.00000000007</v>
      </c>
      <c r="BW51" s="206">
        <f t="shared" si="327"/>
        <v>3.00000000008</v>
      </c>
      <c r="BX51" s="373">
        <f t="shared" si="337"/>
        <v>6.00000000006</v>
      </c>
      <c r="BY51" s="373">
        <f t="shared" si="338"/>
        <v>10.000000000050001</v>
      </c>
      <c r="BZ51" s="373">
        <f t="shared" si="339"/>
        <v>10.000000000075</v>
      </c>
      <c r="CA51" s="373">
        <f t="shared" si="340"/>
        <v>3.00000000001</v>
      </c>
      <c r="CB51" s="373">
        <f t="shared" si="341"/>
        <v>0</v>
      </c>
      <c r="CC51" s="373">
        <f t="shared" si="342"/>
        <v>4.00000000006</v>
      </c>
      <c r="CD51" s="373">
        <f t="shared" si="343"/>
        <v>7.5000000001749996</v>
      </c>
      <c r="CE51" s="373">
        <f t="shared" si="344"/>
        <v>3.00000000008</v>
      </c>
      <c r="CF51" s="373" t="b">
        <v>1</v>
      </c>
      <c r="CG51" s="373" t="b">
        <v>1</v>
      </c>
      <c r="CH51" s="373" t="b">
        <v>1</v>
      </c>
      <c r="CI51" s="373" t="b">
        <v>1</v>
      </c>
      <c r="CJ51" s="373" t="b">
        <v>0</v>
      </c>
      <c r="CK51" s="373" t="b">
        <v>1</v>
      </c>
      <c r="CL51" s="373" t="b">
        <v>1</v>
      </c>
      <c r="CM51" s="373" t="b">
        <v>0</v>
      </c>
      <c r="CN51" s="373">
        <v>1.5</v>
      </c>
      <c r="CO51" s="373">
        <v>2.5</v>
      </c>
      <c r="CP51" s="373">
        <v>2.5</v>
      </c>
      <c r="CQ51" s="373">
        <v>1</v>
      </c>
      <c r="CR51" s="373">
        <v>2.5</v>
      </c>
      <c r="CS51" s="373">
        <v>2.5</v>
      </c>
      <c r="CT51" s="373">
        <v>1</v>
      </c>
      <c r="CU51" s="373">
        <v>1</v>
      </c>
      <c r="CV51" s="373" t="s">
        <v>979</v>
      </c>
      <c r="CW51" s="373">
        <v>4</v>
      </c>
      <c r="CX51" s="373">
        <v>4</v>
      </c>
      <c r="CY51" s="373">
        <v>4</v>
      </c>
      <c r="CZ51" s="373">
        <v>3</v>
      </c>
      <c r="DA51" s="373" t="s">
        <v>356</v>
      </c>
      <c r="DB51" s="373">
        <v>4</v>
      </c>
      <c r="DC51" s="373">
        <v>3</v>
      </c>
      <c r="DD51" s="373">
        <v>3</v>
      </c>
      <c r="DE51" s="206">
        <f t="shared" si="328"/>
        <v>4.00000000004</v>
      </c>
      <c r="DF51" s="206">
        <f t="shared" si="329"/>
        <v>4.00000000002</v>
      </c>
      <c r="DG51" s="206">
        <f t="shared" si="330"/>
        <v>4.00000000003</v>
      </c>
      <c r="DH51" s="206">
        <f t="shared" si="331"/>
        <v>3.00000000001</v>
      </c>
      <c r="DI51" s="206">
        <f t="shared" si="332"/>
        <v>0</v>
      </c>
      <c r="DJ51" s="206">
        <f t="shared" si="333"/>
        <v>4.00000000006</v>
      </c>
      <c r="DK51" s="206">
        <f t="shared" si="334"/>
        <v>3.00000000007</v>
      </c>
      <c r="DL51" s="206">
        <f t="shared" si="335"/>
        <v>3.00000000008</v>
      </c>
      <c r="DM51" s="373">
        <f t="shared" si="345"/>
        <v>6.00000000006</v>
      </c>
      <c r="DN51" s="373">
        <f t="shared" si="346"/>
        <v>10.000000000050001</v>
      </c>
      <c r="DO51" s="373">
        <f t="shared" si="347"/>
        <v>10.000000000075</v>
      </c>
      <c r="DP51" s="373">
        <f t="shared" si="348"/>
        <v>3.00000000001</v>
      </c>
      <c r="DQ51" s="373">
        <f t="shared" si="349"/>
        <v>0</v>
      </c>
      <c r="DR51" s="373">
        <f t="shared" si="350"/>
        <v>10.000000000149999</v>
      </c>
      <c r="DS51" s="373">
        <f t="shared" si="351"/>
        <v>3.00000000007</v>
      </c>
      <c r="DT51" s="373">
        <f t="shared" si="352"/>
        <v>3.00000000008</v>
      </c>
      <c r="DU51" s="373" t="b">
        <v>1</v>
      </c>
      <c r="DV51" s="373" t="b">
        <v>1</v>
      </c>
      <c r="DW51" s="373" t="b">
        <v>1</v>
      </c>
      <c r="DX51" s="373" t="b">
        <v>0</v>
      </c>
      <c r="DY51" s="373" t="b">
        <v>0</v>
      </c>
      <c r="DZ51" s="373" t="b">
        <v>1</v>
      </c>
      <c r="EA51" s="373" t="b">
        <v>1</v>
      </c>
      <c r="EB51" s="373" t="b">
        <v>1</v>
      </c>
      <c r="EC51" s="373" t="s">
        <v>435</v>
      </c>
      <c r="ED51" s="373" t="s">
        <v>435</v>
      </c>
      <c r="EE51" s="373" t="s">
        <v>435</v>
      </c>
      <c r="EF51" s="373" t="s">
        <v>435</v>
      </c>
      <c r="EG51" s="373" t="s">
        <v>435</v>
      </c>
      <c r="EH51" s="373" t="s">
        <v>435</v>
      </c>
      <c r="EI51" s="373" t="s">
        <v>435</v>
      </c>
      <c r="EJ51" s="373" t="s">
        <v>435</v>
      </c>
      <c r="EK51" s="373" t="s">
        <v>435</v>
      </c>
      <c r="EL51" s="373" t="s">
        <v>435</v>
      </c>
      <c r="EM51" s="373" t="s">
        <v>435</v>
      </c>
      <c r="EN51" s="373" t="s">
        <v>435</v>
      </c>
      <c r="EO51" s="373" t="s">
        <v>435</v>
      </c>
      <c r="EP51" s="373" t="s">
        <v>435</v>
      </c>
      <c r="EQ51" s="373" t="s">
        <v>435</v>
      </c>
      <c r="ER51" s="373" t="s">
        <v>435</v>
      </c>
      <c r="FA51" s="373" t="s">
        <v>435</v>
      </c>
      <c r="FB51" s="373" t="s">
        <v>435</v>
      </c>
      <c r="FC51" s="373" t="s">
        <v>435</v>
      </c>
      <c r="FD51" s="373" t="s">
        <v>435</v>
      </c>
      <c r="FE51" s="373" t="s">
        <v>435</v>
      </c>
      <c r="FF51" s="373" t="s">
        <v>435</v>
      </c>
      <c r="FG51" s="373" t="s">
        <v>435</v>
      </c>
      <c r="FH51" s="373" t="s">
        <v>435</v>
      </c>
      <c r="FI51" s="373" t="s">
        <v>435</v>
      </c>
      <c r="FJ51" s="373" t="s">
        <v>435</v>
      </c>
      <c r="FK51" s="373" t="s">
        <v>435</v>
      </c>
      <c r="FL51" s="373" t="s">
        <v>435</v>
      </c>
      <c r="FM51" s="373" t="s">
        <v>435</v>
      </c>
      <c r="FN51" s="373" t="s">
        <v>435</v>
      </c>
      <c r="FO51" s="373" t="s">
        <v>435</v>
      </c>
      <c r="FP51" s="373" t="s">
        <v>435</v>
      </c>
    </row>
    <row r="52" spans="1:172" s="376" customFormat="1">
      <c r="A52" s="376" t="s">
        <v>985</v>
      </c>
      <c r="B52" s="376" t="s">
        <v>249</v>
      </c>
      <c r="C52" s="376" t="s">
        <v>975</v>
      </c>
      <c r="D52" s="376" t="s">
        <v>986</v>
      </c>
      <c r="E52" s="376" t="s">
        <v>889</v>
      </c>
      <c r="F52" s="385" t="s">
        <v>356</v>
      </c>
      <c r="G52" s="385" t="s">
        <v>356</v>
      </c>
      <c r="H52" s="385">
        <v>28</v>
      </c>
      <c r="I52" s="385">
        <v>27.5</v>
      </c>
      <c r="J52" s="385"/>
      <c r="K52" s="385">
        <f t="shared" si="353"/>
        <v>28.000000000255</v>
      </c>
      <c r="L52" s="385">
        <f t="shared" si="354"/>
        <v>27.500000000255</v>
      </c>
      <c r="M52" s="385" t="s">
        <v>356</v>
      </c>
      <c r="N52" s="385" t="s">
        <v>356</v>
      </c>
      <c r="O52" s="385" t="s">
        <v>988</v>
      </c>
      <c r="P52" s="385" t="s">
        <v>2962</v>
      </c>
      <c r="Q52" s="385" t="s">
        <v>356</v>
      </c>
      <c r="R52" s="385" t="s">
        <v>987</v>
      </c>
      <c r="S52" s="385" t="s">
        <v>817</v>
      </c>
      <c r="T52" s="385">
        <v>46</v>
      </c>
      <c r="U52" s="385" cm="1">
        <f t="array" ref="U52">IFERROR(INDEX('Offer Statistics'!$Q$2:$Q$350,MATCH(1,(A52='Offer Statistics'!$B$2:$B$350)*($A$11='Offer Statistics'!$K$2:$K$350),0)),"/")</f>
        <v>56</v>
      </c>
      <c r="V52" s="385" cm="1">
        <f t="array" ref="V52">IFERROR(INDEX('Offer Statistics'!$D$2:$D$350,MATCH(1,(A52='Offer Statistics'!$B$2:$B$350)*($A$11='Offer Statistics'!$K$2:$K$350),0)),"/")</f>
        <v>321</v>
      </c>
      <c r="W52" s="385" cm="1">
        <f t="array" ref="W52">IFERROR(INDEX('Offer Statistics'!$L$2:$L$350,MATCH(1,(A52='Offer Statistics'!$B$2:$B$350)*($A$11='Offer Statistics'!$K$2:$K$350),0)),"/")</f>
        <v>50</v>
      </c>
      <c r="X52" s="385">
        <f t="shared" si="319"/>
        <v>6.42</v>
      </c>
      <c r="Y52" s="385" t="s">
        <v>817</v>
      </c>
      <c r="Z52" s="376" t="str">
        <f>入學要求!AF61</f>
        <v>以下一科選修取得Lv.3︰化學</v>
      </c>
      <c r="AA52" s="376" t="str">
        <f>入學要求!AG61</f>
        <v>若數學未有Lv.3，則以下一科選修需取得Lv.3: 生物、BAFS、DAT、ICT、物理</v>
      </c>
      <c r="AB52" s="377" t="s">
        <v>2814</v>
      </c>
      <c r="AC52" s="373" t="s">
        <v>2854</v>
      </c>
      <c r="AE52" s="376" t="s">
        <v>356</v>
      </c>
      <c r="AF52" s="376" t="s">
        <v>356</v>
      </c>
      <c r="AG52" s="376" t="s">
        <v>988</v>
      </c>
      <c r="AH52" s="377" t="s">
        <v>884</v>
      </c>
      <c r="AI52" s="376" t="s">
        <v>356</v>
      </c>
      <c r="AJ52" s="376" t="s">
        <v>958</v>
      </c>
      <c r="AK52" s="376" t="s">
        <v>818</v>
      </c>
      <c r="AL52" s="376" t="s">
        <v>907</v>
      </c>
      <c r="AM52" s="376" t="s">
        <v>356</v>
      </c>
      <c r="AN52" s="376" t="s">
        <v>435</v>
      </c>
      <c r="AO52" s="376" t="s">
        <v>435</v>
      </c>
      <c r="AP52" s="376" t="s">
        <v>435</v>
      </c>
      <c r="AQ52" s="376" t="s">
        <v>356</v>
      </c>
      <c r="AS52" s="376" t="s">
        <v>820</v>
      </c>
      <c r="AU52" s="376" t="s">
        <v>817</v>
      </c>
      <c r="AX52" s="384"/>
      <c r="AY52" s="376">
        <v>1</v>
      </c>
      <c r="AZ52" s="376">
        <v>2</v>
      </c>
      <c r="BA52" s="376">
        <v>1.5</v>
      </c>
      <c r="BB52" s="376">
        <v>1</v>
      </c>
      <c r="BC52" s="376">
        <v>1</v>
      </c>
      <c r="BD52" s="376">
        <v>2</v>
      </c>
      <c r="BE52" s="376">
        <v>1</v>
      </c>
      <c r="BF52" s="376">
        <v>1</v>
      </c>
      <c r="BG52" s="376" t="s">
        <v>985</v>
      </c>
      <c r="BH52" s="376">
        <v>5</v>
      </c>
      <c r="BI52" s="376">
        <v>3</v>
      </c>
      <c r="BJ52" s="376">
        <v>3</v>
      </c>
      <c r="BK52" s="376">
        <v>4</v>
      </c>
      <c r="BL52" s="376" t="s">
        <v>356</v>
      </c>
      <c r="BM52" s="376">
        <v>4</v>
      </c>
      <c r="BN52" s="376">
        <v>3</v>
      </c>
      <c r="BO52" s="376" t="s">
        <v>356</v>
      </c>
      <c r="BP52" s="206">
        <f t="shared" si="320"/>
        <v>5.00000000004</v>
      </c>
      <c r="BQ52" s="206">
        <f t="shared" si="321"/>
        <v>3.00000000002</v>
      </c>
      <c r="BR52" s="206">
        <f t="shared" si="322"/>
        <v>3.00000000003</v>
      </c>
      <c r="BS52" s="206">
        <f t="shared" si="323"/>
        <v>4.00000000001</v>
      </c>
      <c r="BT52" s="206">
        <f t="shared" si="324"/>
        <v>0</v>
      </c>
      <c r="BU52" s="206">
        <f t="shared" si="325"/>
        <v>4.00000000006</v>
      </c>
      <c r="BV52" s="206">
        <f t="shared" si="326"/>
        <v>3.00000000007</v>
      </c>
      <c r="BW52" s="206">
        <f t="shared" si="327"/>
        <v>0</v>
      </c>
      <c r="BX52" s="376">
        <f t="shared" si="337"/>
        <v>5.00000000004</v>
      </c>
      <c r="BY52" s="376">
        <f t="shared" si="338"/>
        <v>6.00000000004</v>
      </c>
      <c r="BZ52" s="376">
        <f t="shared" si="339"/>
        <v>4.5000000000450004</v>
      </c>
      <c r="CA52" s="376">
        <f t="shared" si="340"/>
        <v>4.00000000001</v>
      </c>
      <c r="CB52" s="376">
        <f t="shared" si="341"/>
        <v>0</v>
      </c>
      <c r="CC52" s="376">
        <f t="shared" si="342"/>
        <v>8.00000000012</v>
      </c>
      <c r="CD52" s="376">
        <f t="shared" si="343"/>
        <v>3.00000000007</v>
      </c>
      <c r="CE52" s="376">
        <f t="shared" si="344"/>
        <v>0</v>
      </c>
      <c r="CF52" s="376" t="b">
        <v>1</v>
      </c>
      <c r="CG52" s="376" t="b">
        <v>1</v>
      </c>
      <c r="CH52" s="376" t="b">
        <v>1</v>
      </c>
      <c r="CI52" s="376" t="b">
        <v>1</v>
      </c>
      <c r="CJ52" s="376" t="b">
        <v>0</v>
      </c>
      <c r="CK52" s="376" t="b">
        <v>1</v>
      </c>
      <c r="CL52" s="376" t="b">
        <v>0</v>
      </c>
      <c r="CM52" s="376" t="b">
        <v>0</v>
      </c>
      <c r="CN52" s="376">
        <v>1</v>
      </c>
      <c r="CO52" s="376">
        <v>2</v>
      </c>
      <c r="CP52" s="376">
        <v>1.5</v>
      </c>
      <c r="CQ52" s="376">
        <v>1</v>
      </c>
      <c r="CR52" s="376">
        <v>1</v>
      </c>
      <c r="CS52" s="376">
        <v>2</v>
      </c>
      <c r="CT52" s="376">
        <v>1</v>
      </c>
      <c r="CU52" s="376">
        <v>1</v>
      </c>
      <c r="CV52" s="376" t="s">
        <v>985</v>
      </c>
      <c r="CW52" s="376">
        <v>4</v>
      </c>
      <c r="CX52" s="376">
        <v>4</v>
      </c>
      <c r="CY52" s="376">
        <v>4</v>
      </c>
      <c r="CZ52" s="376">
        <v>4</v>
      </c>
      <c r="DA52" s="376" t="s">
        <v>356</v>
      </c>
      <c r="DB52" s="376">
        <v>3</v>
      </c>
      <c r="DC52" s="376">
        <v>3</v>
      </c>
      <c r="DD52" s="376" t="s">
        <v>356</v>
      </c>
      <c r="DE52" s="206">
        <f t="shared" si="328"/>
        <v>4.00000000004</v>
      </c>
      <c r="DF52" s="206">
        <f t="shared" si="329"/>
        <v>4.00000000002</v>
      </c>
      <c r="DG52" s="206">
        <f t="shared" si="330"/>
        <v>4.00000000003</v>
      </c>
      <c r="DH52" s="206">
        <f t="shared" si="331"/>
        <v>4.00000000001</v>
      </c>
      <c r="DI52" s="206">
        <f t="shared" si="332"/>
        <v>0</v>
      </c>
      <c r="DJ52" s="206">
        <f t="shared" si="333"/>
        <v>3.00000000006</v>
      </c>
      <c r="DK52" s="206">
        <f t="shared" si="334"/>
        <v>3.00000000007</v>
      </c>
      <c r="DL52" s="206">
        <f t="shared" si="335"/>
        <v>0</v>
      </c>
      <c r="DM52" s="376">
        <f t="shared" si="345"/>
        <v>4.00000000004</v>
      </c>
      <c r="DN52" s="376">
        <f t="shared" si="346"/>
        <v>8.00000000004</v>
      </c>
      <c r="DO52" s="376">
        <f t="shared" si="347"/>
        <v>6.0000000000450004</v>
      </c>
      <c r="DP52" s="376">
        <f t="shared" si="348"/>
        <v>4.00000000001</v>
      </c>
      <c r="DQ52" s="376">
        <f t="shared" si="349"/>
        <v>0</v>
      </c>
      <c r="DR52" s="376">
        <f t="shared" si="350"/>
        <v>6.00000000012</v>
      </c>
      <c r="DS52" s="376">
        <f t="shared" si="351"/>
        <v>3.00000000007</v>
      </c>
      <c r="DT52" s="376">
        <f t="shared" si="352"/>
        <v>0</v>
      </c>
      <c r="DU52" s="376" t="b">
        <v>1</v>
      </c>
      <c r="DV52" s="376" t="b">
        <v>1</v>
      </c>
      <c r="DW52" s="376" t="b">
        <v>1</v>
      </c>
      <c r="DX52" s="376" t="b">
        <v>1</v>
      </c>
      <c r="DY52" s="376" t="b">
        <v>0</v>
      </c>
      <c r="DZ52" s="376" t="b">
        <v>1</v>
      </c>
      <c r="EA52" s="376" t="b">
        <v>0</v>
      </c>
      <c r="EB52" s="376" t="b">
        <v>0</v>
      </c>
      <c r="EC52" s="376" t="s">
        <v>435</v>
      </c>
      <c r="ED52" s="376" t="s">
        <v>435</v>
      </c>
      <c r="EE52" s="376" t="s">
        <v>435</v>
      </c>
      <c r="EF52" s="376" t="s">
        <v>435</v>
      </c>
      <c r="EG52" s="376" t="s">
        <v>435</v>
      </c>
      <c r="EH52" s="376" t="s">
        <v>435</v>
      </c>
      <c r="EI52" s="376" t="s">
        <v>435</v>
      </c>
      <c r="EJ52" s="376" t="s">
        <v>435</v>
      </c>
      <c r="EK52" s="376" t="s">
        <v>435</v>
      </c>
      <c r="EL52" s="376" t="s">
        <v>435</v>
      </c>
      <c r="EM52" s="376" t="s">
        <v>435</v>
      </c>
      <c r="EN52" s="376" t="s">
        <v>435</v>
      </c>
      <c r="EO52" s="376" t="s">
        <v>435</v>
      </c>
      <c r="EP52" s="376" t="s">
        <v>435</v>
      </c>
      <c r="EQ52" s="376" t="s">
        <v>435</v>
      </c>
      <c r="ER52" s="376" t="s">
        <v>435</v>
      </c>
      <c r="FA52" s="376" t="s">
        <v>435</v>
      </c>
      <c r="FB52" s="376" t="s">
        <v>435</v>
      </c>
      <c r="FC52" s="376" t="s">
        <v>435</v>
      </c>
      <c r="FD52" s="376" t="s">
        <v>435</v>
      </c>
      <c r="FE52" s="376" t="s">
        <v>435</v>
      </c>
      <c r="FF52" s="376" t="s">
        <v>435</v>
      </c>
      <c r="FG52" s="376" t="s">
        <v>435</v>
      </c>
      <c r="FH52" s="376" t="s">
        <v>435</v>
      </c>
      <c r="FI52" s="376" t="s">
        <v>435</v>
      </c>
      <c r="FJ52" s="376" t="s">
        <v>435</v>
      </c>
      <c r="FK52" s="376" t="s">
        <v>435</v>
      </c>
      <c r="FL52" s="376" t="s">
        <v>435</v>
      </c>
      <c r="FM52" s="376" t="s">
        <v>435</v>
      </c>
      <c r="FN52" s="376" t="s">
        <v>435</v>
      </c>
      <c r="FO52" s="376" t="s">
        <v>435</v>
      </c>
      <c r="FP52" s="376" t="s">
        <v>435</v>
      </c>
    </row>
    <row r="53" spans="1:172" s="373" customFormat="1">
      <c r="A53" s="373" t="s">
        <v>989</v>
      </c>
      <c r="B53" s="373" t="s">
        <v>249</v>
      </c>
      <c r="C53" s="373" t="s">
        <v>980</v>
      </c>
      <c r="D53" s="373" t="s">
        <v>990</v>
      </c>
      <c r="E53" s="373" t="s">
        <v>889</v>
      </c>
      <c r="F53" s="385" t="s">
        <v>356</v>
      </c>
      <c r="G53" s="385" t="s">
        <v>356</v>
      </c>
      <c r="H53" s="385">
        <v>20</v>
      </c>
      <c r="I53" s="385">
        <v>19</v>
      </c>
      <c r="J53" s="385"/>
      <c r="K53" s="385">
        <f t="shared" si="353"/>
        <v>20.000000000220002</v>
      </c>
      <c r="L53" s="385">
        <f t="shared" si="354"/>
        <v>19.000000000220002</v>
      </c>
      <c r="M53" s="385" t="s">
        <v>894</v>
      </c>
      <c r="N53" s="385" t="s">
        <v>992</v>
      </c>
      <c r="O53" s="385" t="s">
        <v>356</v>
      </c>
      <c r="P53" s="385" t="s">
        <v>356</v>
      </c>
      <c r="Q53" s="385" t="s">
        <v>356</v>
      </c>
      <c r="R53" s="385" t="s">
        <v>991</v>
      </c>
      <c r="S53" s="385" t="s">
        <v>817</v>
      </c>
      <c r="T53" s="385">
        <v>99</v>
      </c>
      <c r="U53" s="385" cm="1">
        <f t="array" ref="U53">IFERROR(INDEX('Offer Statistics'!$Q$2:$Q$350,MATCH(1,(A53='Offer Statistics'!$B$2:$B$350)*($A$11='Offer Statistics'!$K$2:$K$350),0)),"/")</f>
        <v>91</v>
      </c>
      <c r="V53" s="385" cm="1">
        <f t="array" ref="V53">IFERROR(INDEX('Offer Statistics'!$D$2:$D$350,MATCH(1,(A53='Offer Statistics'!$B$2:$B$350)*($A$11='Offer Statistics'!$K$2:$K$350),0)),"/")</f>
        <v>862</v>
      </c>
      <c r="W53" s="385" cm="1">
        <f t="array" ref="W53">IFERROR(INDEX('Offer Statistics'!$L$2:$L$350,MATCH(1,(A53='Offer Statistics'!$B$2:$B$350)*($A$11='Offer Statistics'!$K$2:$K$350),0)),"/")</f>
        <v>78</v>
      </c>
      <c r="X53" s="385">
        <f t="shared" si="319"/>
        <v>11.051282051282051</v>
      </c>
      <c r="Y53" s="385" t="s">
        <v>817</v>
      </c>
      <c r="Z53" s="373" t="str">
        <f>入學要求!AF62</f>
        <v>以下一科選修取得Lv.3︰生物、化學、ICT、M1/2、物理</v>
      </c>
      <c r="AA53" s="373" t="str">
        <f>入學要求!AG62</f>
        <v>/</v>
      </c>
      <c r="AB53" s="375" t="s">
        <v>889</v>
      </c>
      <c r="AE53" s="373" t="s">
        <v>356</v>
      </c>
      <c r="AF53" s="373" t="s">
        <v>356</v>
      </c>
      <c r="AG53" s="373" t="s">
        <v>356</v>
      </c>
      <c r="AH53" s="373" t="s">
        <v>356</v>
      </c>
      <c r="AI53" s="373" t="s">
        <v>356</v>
      </c>
      <c r="AJ53" s="373" t="s">
        <v>958</v>
      </c>
      <c r="AK53" s="373" t="s">
        <v>818</v>
      </c>
      <c r="AL53" s="373" t="s">
        <v>993</v>
      </c>
      <c r="AM53" s="373" t="s">
        <v>356</v>
      </c>
      <c r="AN53" s="373" t="s">
        <v>435</v>
      </c>
      <c r="AO53" s="373" t="s">
        <v>435</v>
      </c>
      <c r="AP53" s="373" t="s">
        <v>435</v>
      </c>
      <c r="AQ53" s="373" t="s">
        <v>356</v>
      </c>
      <c r="AS53" s="373" t="s">
        <v>820</v>
      </c>
      <c r="AU53" s="373" t="s">
        <v>817</v>
      </c>
      <c r="AY53" s="373">
        <v>1</v>
      </c>
      <c r="AZ53" s="373">
        <v>1</v>
      </c>
      <c r="BA53" s="373">
        <v>1</v>
      </c>
      <c r="BB53" s="373">
        <v>1</v>
      </c>
      <c r="BC53" s="373">
        <v>1</v>
      </c>
      <c r="BD53" s="373">
        <v>1</v>
      </c>
      <c r="BE53" s="373">
        <v>1</v>
      </c>
      <c r="BF53" s="373">
        <v>1</v>
      </c>
      <c r="BG53" s="373" t="s">
        <v>989</v>
      </c>
      <c r="BH53" s="373">
        <v>4</v>
      </c>
      <c r="BI53" s="373">
        <v>4</v>
      </c>
      <c r="BJ53" s="373">
        <v>4</v>
      </c>
      <c r="BK53" s="373">
        <v>3</v>
      </c>
      <c r="BL53" s="373" t="s">
        <v>356</v>
      </c>
      <c r="BM53" s="373">
        <v>4</v>
      </c>
      <c r="BN53" s="373">
        <v>3</v>
      </c>
      <c r="BO53" s="373">
        <v>3</v>
      </c>
      <c r="BP53" s="206">
        <f t="shared" si="320"/>
        <v>4.00000000004</v>
      </c>
      <c r="BQ53" s="206">
        <f t="shared" si="321"/>
        <v>4.00000000002</v>
      </c>
      <c r="BR53" s="206">
        <f t="shared" si="322"/>
        <v>4.00000000003</v>
      </c>
      <c r="BS53" s="206">
        <f t="shared" si="323"/>
        <v>3.00000000001</v>
      </c>
      <c r="BT53" s="206">
        <f t="shared" si="324"/>
        <v>0</v>
      </c>
      <c r="BU53" s="206">
        <f t="shared" si="325"/>
        <v>4.00000000006</v>
      </c>
      <c r="BV53" s="206">
        <f t="shared" si="326"/>
        <v>3.00000000007</v>
      </c>
      <c r="BW53" s="206">
        <f t="shared" si="327"/>
        <v>3.00000000008</v>
      </c>
      <c r="BX53" s="373">
        <f t="shared" si="337"/>
        <v>4.00000000004</v>
      </c>
      <c r="BY53" s="373">
        <f t="shared" si="338"/>
        <v>4.00000000002</v>
      </c>
      <c r="BZ53" s="373">
        <f t="shared" si="339"/>
        <v>4.00000000003</v>
      </c>
      <c r="CA53" s="373">
        <f t="shared" si="340"/>
        <v>3.00000000001</v>
      </c>
      <c r="CB53" s="373">
        <f t="shared" si="341"/>
        <v>0</v>
      </c>
      <c r="CC53" s="373">
        <f t="shared" si="342"/>
        <v>4.00000000006</v>
      </c>
      <c r="CD53" s="373">
        <f t="shared" si="343"/>
        <v>3.00000000007</v>
      </c>
      <c r="CE53" s="373">
        <f t="shared" si="344"/>
        <v>3.00000000008</v>
      </c>
      <c r="CF53" s="373" t="b">
        <v>1</v>
      </c>
      <c r="CG53" s="373" t="b">
        <v>1</v>
      </c>
      <c r="CH53" s="373" t="b">
        <v>1</v>
      </c>
      <c r="CI53" s="373" t="b">
        <v>0</v>
      </c>
      <c r="CJ53" s="373" t="b">
        <v>0</v>
      </c>
      <c r="CK53" s="373" t="b">
        <v>1</v>
      </c>
      <c r="CL53" s="373" t="b">
        <v>1</v>
      </c>
      <c r="CM53" s="373" t="b">
        <v>0</v>
      </c>
      <c r="CN53" s="373">
        <v>1</v>
      </c>
      <c r="CO53" s="373">
        <v>1</v>
      </c>
      <c r="CP53" s="373">
        <v>1</v>
      </c>
      <c r="CQ53" s="373">
        <v>1</v>
      </c>
      <c r="CR53" s="373">
        <v>1</v>
      </c>
      <c r="CS53" s="373">
        <v>1</v>
      </c>
      <c r="CT53" s="373">
        <v>1</v>
      </c>
      <c r="CU53" s="373">
        <v>1</v>
      </c>
      <c r="CV53" s="373" t="s">
        <v>989</v>
      </c>
      <c r="CW53" s="373">
        <v>4</v>
      </c>
      <c r="CX53" s="373">
        <v>3</v>
      </c>
      <c r="CY53" s="373">
        <v>4</v>
      </c>
      <c r="CZ53" s="373">
        <v>4</v>
      </c>
      <c r="DA53" s="373" t="s">
        <v>356</v>
      </c>
      <c r="DB53" s="373">
        <v>5</v>
      </c>
      <c r="DC53" s="373">
        <v>4</v>
      </c>
      <c r="DD53" s="373">
        <v>3</v>
      </c>
      <c r="DE53" s="206">
        <f t="shared" si="328"/>
        <v>4.00000000004</v>
      </c>
      <c r="DF53" s="206">
        <f t="shared" si="329"/>
        <v>3.00000000002</v>
      </c>
      <c r="DG53" s="206">
        <f t="shared" si="330"/>
        <v>4.00000000003</v>
      </c>
      <c r="DH53" s="206">
        <f t="shared" si="331"/>
        <v>4.00000000001</v>
      </c>
      <c r="DI53" s="206">
        <f t="shared" si="332"/>
        <v>0</v>
      </c>
      <c r="DJ53" s="206">
        <f t="shared" si="333"/>
        <v>5.00000000006</v>
      </c>
      <c r="DK53" s="206">
        <f t="shared" si="334"/>
        <v>4.00000000007</v>
      </c>
      <c r="DL53" s="206">
        <f t="shared" si="335"/>
        <v>3.00000000008</v>
      </c>
      <c r="DM53" s="373">
        <f t="shared" si="345"/>
        <v>4.00000000004</v>
      </c>
      <c r="DN53" s="373">
        <f t="shared" si="346"/>
        <v>3.00000000002</v>
      </c>
      <c r="DO53" s="373">
        <f t="shared" si="347"/>
        <v>4.00000000003</v>
      </c>
      <c r="DP53" s="373">
        <f t="shared" si="348"/>
        <v>4.00000000001</v>
      </c>
      <c r="DQ53" s="373">
        <f t="shared" si="349"/>
        <v>0</v>
      </c>
      <c r="DR53" s="373">
        <f t="shared" si="350"/>
        <v>5.00000000006</v>
      </c>
      <c r="DS53" s="373">
        <f t="shared" si="351"/>
        <v>4.00000000007</v>
      </c>
      <c r="DT53" s="373">
        <f t="shared" si="352"/>
        <v>3.00000000008</v>
      </c>
      <c r="DU53" s="373" t="b">
        <v>1</v>
      </c>
      <c r="DV53" s="373" t="b">
        <v>1</v>
      </c>
      <c r="DW53" s="373" t="b">
        <v>1</v>
      </c>
      <c r="DX53" s="373" t="b">
        <v>0</v>
      </c>
      <c r="DY53" s="373" t="b">
        <v>0</v>
      </c>
      <c r="DZ53" s="373" t="b">
        <v>1</v>
      </c>
      <c r="EA53" s="373" t="b">
        <v>1</v>
      </c>
      <c r="EB53" s="373" t="b">
        <v>0</v>
      </c>
      <c r="EC53" s="373" t="s">
        <v>435</v>
      </c>
      <c r="ED53" s="373" t="s">
        <v>435</v>
      </c>
      <c r="EE53" s="373" t="s">
        <v>435</v>
      </c>
      <c r="EF53" s="373" t="s">
        <v>435</v>
      </c>
      <c r="EG53" s="373" t="s">
        <v>435</v>
      </c>
      <c r="EH53" s="373" t="s">
        <v>435</v>
      </c>
      <c r="EI53" s="373" t="s">
        <v>435</v>
      </c>
      <c r="EJ53" s="373" t="s">
        <v>435</v>
      </c>
      <c r="EK53" s="373" t="s">
        <v>435</v>
      </c>
      <c r="EL53" s="373" t="s">
        <v>435</v>
      </c>
      <c r="EM53" s="373" t="s">
        <v>435</v>
      </c>
      <c r="EN53" s="373" t="s">
        <v>435</v>
      </c>
      <c r="EO53" s="373" t="s">
        <v>435</v>
      </c>
      <c r="EP53" s="373" t="s">
        <v>435</v>
      </c>
      <c r="EQ53" s="373" t="s">
        <v>435</v>
      </c>
      <c r="ER53" s="373" t="s">
        <v>435</v>
      </c>
      <c r="FA53" s="373" t="s">
        <v>435</v>
      </c>
      <c r="FB53" s="373" t="s">
        <v>435</v>
      </c>
      <c r="FC53" s="373" t="s">
        <v>435</v>
      </c>
      <c r="FD53" s="373" t="s">
        <v>435</v>
      </c>
      <c r="FE53" s="373" t="s">
        <v>435</v>
      </c>
      <c r="FF53" s="373" t="s">
        <v>435</v>
      </c>
      <c r="FG53" s="373" t="s">
        <v>435</v>
      </c>
      <c r="FH53" s="373" t="s">
        <v>435</v>
      </c>
      <c r="FI53" s="373" t="s">
        <v>435</v>
      </c>
      <c r="FJ53" s="373" t="s">
        <v>435</v>
      </c>
      <c r="FK53" s="373" t="s">
        <v>435</v>
      </c>
      <c r="FL53" s="373" t="s">
        <v>435</v>
      </c>
      <c r="FM53" s="373" t="s">
        <v>435</v>
      </c>
      <c r="FN53" s="373" t="s">
        <v>435</v>
      </c>
      <c r="FO53" s="373" t="s">
        <v>435</v>
      </c>
      <c r="FP53" s="373" t="s">
        <v>435</v>
      </c>
    </row>
    <row r="54" spans="1:172" s="373" customFormat="1" ht="13.95" customHeight="1">
      <c r="A54" s="373" t="s">
        <v>994</v>
      </c>
      <c r="B54" s="373" t="s">
        <v>249</v>
      </c>
      <c r="C54" s="373" t="s">
        <v>980</v>
      </c>
      <c r="D54" s="373" t="s">
        <v>995</v>
      </c>
      <c r="E54" s="373" t="s">
        <v>889</v>
      </c>
      <c r="F54" s="385" t="s">
        <v>356</v>
      </c>
      <c r="G54" s="385" t="s">
        <v>356</v>
      </c>
      <c r="H54" s="385">
        <v>32</v>
      </c>
      <c r="I54" s="385">
        <v>30.5</v>
      </c>
      <c r="J54" s="385"/>
      <c r="K54" s="385">
        <f t="shared" si="353"/>
        <v>32.000000000340002</v>
      </c>
      <c r="L54" s="385">
        <f t="shared" si="354"/>
        <v>30.500000000364999</v>
      </c>
      <c r="M54" s="385" t="s">
        <v>998</v>
      </c>
      <c r="N54" s="385" t="s">
        <v>356</v>
      </c>
      <c r="O54" s="385" t="s">
        <v>2954</v>
      </c>
      <c r="P54" s="385" t="s">
        <v>999</v>
      </c>
      <c r="Q54" s="385" t="s">
        <v>356</v>
      </c>
      <c r="R54" s="385" t="s">
        <v>997</v>
      </c>
      <c r="S54" s="385" t="s">
        <v>817</v>
      </c>
      <c r="T54" s="385">
        <v>178</v>
      </c>
      <c r="U54" s="385" cm="1">
        <f t="array" ref="U54">IFERROR(INDEX('Offer Statistics'!$Q$2:$Q$350,MATCH(1,(A54='Offer Statistics'!$B$2:$B$350)*($A$11='Offer Statistics'!$K$2:$K$350),0)),"/")</f>
        <v>127</v>
      </c>
      <c r="V54" s="385" cm="1">
        <f t="array" ref="V54">IFERROR(INDEX('Offer Statistics'!$D$2:$D$350,MATCH(1,(A54='Offer Statistics'!$B$2:$B$350)*($A$11='Offer Statistics'!$K$2:$K$350),0)),"/")</f>
        <v>642</v>
      </c>
      <c r="W54" s="385" cm="1">
        <f t="array" ref="W54">IFERROR(INDEX('Offer Statistics'!$L$2:$L$350,MATCH(1,(A54='Offer Statistics'!$B$2:$B$350)*($A$11='Offer Statistics'!$K$2:$K$350),0)),"/")</f>
        <v>106</v>
      </c>
      <c r="X54" s="385">
        <f t="shared" si="319"/>
        <v>6.0566037735849054</v>
      </c>
      <c r="Y54" s="385" t="s">
        <v>817</v>
      </c>
      <c r="Z54" s="373" t="str">
        <f>入學要求!AF63</f>
        <v>以下一科選修取得Lv.3︰生物、化學、ICT、M1/2、物理</v>
      </c>
      <c r="AA54" s="373" t="str">
        <f>入學要求!AG63</f>
        <v>/</v>
      </c>
      <c r="AB54" s="374" t="s">
        <v>889</v>
      </c>
      <c r="AC54" s="373" t="s">
        <v>2854</v>
      </c>
      <c r="AE54" s="373" t="s">
        <v>998</v>
      </c>
      <c r="AF54" s="373" t="s">
        <v>356</v>
      </c>
      <c r="AG54" s="374" t="s">
        <v>1032</v>
      </c>
      <c r="AH54" s="374" t="s">
        <v>2822</v>
      </c>
      <c r="AI54" s="373" t="s">
        <v>356</v>
      </c>
      <c r="AJ54" s="373" t="s">
        <v>958</v>
      </c>
      <c r="AK54" s="373" t="s">
        <v>818</v>
      </c>
      <c r="AL54" s="373" t="s">
        <v>1000</v>
      </c>
      <c r="AM54" s="373" t="s">
        <v>1001</v>
      </c>
      <c r="AN54" s="373" t="s">
        <v>435</v>
      </c>
      <c r="AO54" s="373" t="s">
        <v>435</v>
      </c>
      <c r="AP54" s="373" t="s">
        <v>435</v>
      </c>
      <c r="AQ54" s="373" t="s">
        <v>356</v>
      </c>
      <c r="AS54" s="373" t="s">
        <v>820</v>
      </c>
      <c r="AU54" s="373" t="s">
        <v>817</v>
      </c>
      <c r="AY54" s="373">
        <v>1</v>
      </c>
      <c r="AZ54" s="373">
        <v>2</v>
      </c>
      <c r="BA54" s="373">
        <v>2</v>
      </c>
      <c r="BB54" s="373">
        <v>1</v>
      </c>
      <c r="BC54" s="373">
        <v>2</v>
      </c>
      <c r="BD54" s="373">
        <v>2</v>
      </c>
      <c r="BE54" s="373">
        <v>1.5</v>
      </c>
      <c r="BF54" s="373">
        <v>1</v>
      </c>
      <c r="BG54" s="373" t="s">
        <v>994</v>
      </c>
      <c r="BH54" s="373">
        <v>4</v>
      </c>
      <c r="BI54" s="373">
        <v>4</v>
      </c>
      <c r="BJ54" s="373">
        <v>4</v>
      </c>
      <c r="BK54" s="373">
        <v>3</v>
      </c>
      <c r="BL54" s="373" t="s">
        <v>356</v>
      </c>
      <c r="BM54" s="373">
        <v>3</v>
      </c>
      <c r="BN54" s="373">
        <v>3</v>
      </c>
      <c r="BO54" s="373" t="s">
        <v>356</v>
      </c>
      <c r="BP54" s="206">
        <f t="shared" si="320"/>
        <v>4.00000000004</v>
      </c>
      <c r="BQ54" s="206">
        <f t="shared" si="321"/>
        <v>4.00000000002</v>
      </c>
      <c r="BR54" s="206">
        <f t="shared" si="322"/>
        <v>4.00000000003</v>
      </c>
      <c r="BS54" s="206">
        <f t="shared" si="323"/>
        <v>3.00000000001</v>
      </c>
      <c r="BT54" s="206">
        <f t="shared" si="324"/>
        <v>0</v>
      </c>
      <c r="BU54" s="206">
        <f t="shared" si="325"/>
        <v>3.00000000006</v>
      </c>
      <c r="BV54" s="206">
        <f t="shared" si="326"/>
        <v>3.00000000007</v>
      </c>
      <c r="BW54" s="206">
        <f t="shared" si="327"/>
        <v>0</v>
      </c>
      <c r="BX54" s="373">
        <f t="shared" si="337"/>
        <v>4.00000000004</v>
      </c>
      <c r="BY54" s="373">
        <f t="shared" si="338"/>
        <v>8.00000000004</v>
      </c>
      <c r="BZ54" s="373">
        <f t="shared" si="339"/>
        <v>8.00000000006</v>
      </c>
      <c r="CA54" s="373">
        <f t="shared" si="340"/>
        <v>3.00000000001</v>
      </c>
      <c r="CB54" s="373">
        <f t="shared" si="341"/>
        <v>0</v>
      </c>
      <c r="CC54" s="373">
        <f t="shared" si="342"/>
        <v>6.00000000012</v>
      </c>
      <c r="CD54" s="373">
        <f t="shared" si="343"/>
        <v>4.5000000001050005</v>
      </c>
      <c r="CE54" s="373">
        <f t="shared" si="344"/>
        <v>0</v>
      </c>
      <c r="CF54" s="373" t="b">
        <v>1</v>
      </c>
      <c r="CG54" s="373" t="b">
        <v>1</v>
      </c>
      <c r="CH54" s="373" t="b">
        <v>1</v>
      </c>
      <c r="CI54" s="373" t="b">
        <v>0</v>
      </c>
      <c r="CJ54" s="373" t="b">
        <v>0</v>
      </c>
      <c r="CK54" s="373" t="b">
        <v>1</v>
      </c>
      <c r="CL54" s="373" t="b">
        <v>1</v>
      </c>
      <c r="CM54" s="373" t="b">
        <v>0</v>
      </c>
      <c r="CN54" s="373">
        <v>1</v>
      </c>
      <c r="CO54" s="373">
        <v>2</v>
      </c>
      <c r="CP54" s="373">
        <v>2</v>
      </c>
      <c r="CQ54" s="373">
        <v>1</v>
      </c>
      <c r="CR54" s="373">
        <v>2</v>
      </c>
      <c r="CS54" s="373">
        <v>1.5</v>
      </c>
      <c r="CT54" s="373">
        <v>2</v>
      </c>
      <c r="CU54" s="373">
        <v>2</v>
      </c>
      <c r="CV54" s="373" t="s">
        <v>994</v>
      </c>
      <c r="CW54" s="373">
        <v>3</v>
      </c>
      <c r="CX54" s="373">
        <v>4</v>
      </c>
      <c r="CY54" s="373">
        <v>4</v>
      </c>
      <c r="CZ54" s="373">
        <v>2</v>
      </c>
      <c r="DA54" s="373" t="s">
        <v>356</v>
      </c>
      <c r="DB54" s="373">
        <v>4</v>
      </c>
      <c r="DC54" s="373">
        <v>4</v>
      </c>
      <c r="DD54" s="373">
        <v>3</v>
      </c>
      <c r="DE54" s="206">
        <f t="shared" si="328"/>
        <v>3.00000000004</v>
      </c>
      <c r="DF54" s="206">
        <f t="shared" si="329"/>
        <v>4.00000000002</v>
      </c>
      <c r="DG54" s="206">
        <f t="shared" si="330"/>
        <v>4.00000000003</v>
      </c>
      <c r="DH54" s="206">
        <f t="shared" si="331"/>
        <v>2.00000000001</v>
      </c>
      <c r="DI54" s="206">
        <f t="shared" si="332"/>
        <v>0</v>
      </c>
      <c r="DJ54" s="206">
        <f t="shared" si="333"/>
        <v>4.00000000006</v>
      </c>
      <c r="DK54" s="206">
        <f t="shared" si="334"/>
        <v>4.00000000007</v>
      </c>
      <c r="DL54" s="206">
        <f t="shared" si="335"/>
        <v>3.00000000008</v>
      </c>
      <c r="DM54" s="373">
        <f t="shared" si="345"/>
        <v>3.00000000004</v>
      </c>
      <c r="DN54" s="373">
        <f t="shared" si="346"/>
        <v>8.00000000004</v>
      </c>
      <c r="DO54" s="373">
        <f t="shared" si="347"/>
        <v>8.00000000006</v>
      </c>
      <c r="DP54" s="373">
        <f t="shared" si="348"/>
        <v>2.00000000001</v>
      </c>
      <c r="DQ54" s="373">
        <f t="shared" si="349"/>
        <v>0</v>
      </c>
      <c r="DR54" s="373">
        <f t="shared" si="350"/>
        <v>6.00000000009</v>
      </c>
      <c r="DS54" s="373">
        <f t="shared" si="351"/>
        <v>8.00000000014</v>
      </c>
      <c r="DT54" s="373">
        <f t="shared" si="352"/>
        <v>6.00000000016</v>
      </c>
      <c r="DU54" s="373" t="b">
        <v>0</v>
      </c>
      <c r="DV54" s="373" t="b">
        <v>1</v>
      </c>
      <c r="DW54" s="373" t="b">
        <v>1</v>
      </c>
      <c r="DX54" s="373" t="b">
        <v>1</v>
      </c>
      <c r="DY54" s="373" t="b">
        <v>0</v>
      </c>
      <c r="DZ54" s="373" t="b">
        <v>1</v>
      </c>
      <c r="EA54" s="373" t="b">
        <v>1</v>
      </c>
      <c r="EB54" s="373" t="b">
        <v>0</v>
      </c>
      <c r="EC54" s="373" t="s">
        <v>435</v>
      </c>
      <c r="ED54" s="373" t="s">
        <v>435</v>
      </c>
      <c r="EE54" s="373" t="s">
        <v>435</v>
      </c>
      <c r="EF54" s="373" t="s">
        <v>435</v>
      </c>
      <c r="EG54" s="373" t="s">
        <v>435</v>
      </c>
      <c r="EH54" s="373" t="s">
        <v>435</v>
      </c>
      <c r="EI54" s="373" t="s">
        <v>435</v>
      </c>
      <c r="EJ54" s="373" t="s">
        <v>435</v>
      </c>
      <c r="EK54" s="373" t="s">
        <v>435</v>
      </c>
      <c r="EL54" s="373" t="s">
        <v>435</v>
      </c>
      <c r="EM54" s="373" t="s">
        <v>435</v>
      </c>
      <c r="EN54" s="373" t="s">
        <v>435</v>
      </c>
      <c r="EO54" s="373" t="s">
        <v>435</v>
      </c>
      <c r="EP54" s="373" t="s">
        <v>435</v>
      </c>
      <c r="EQ54" s="373" t="s">
        <v>435</v>
      </c>
      <c r="ER54" s="373" t="s">
        <v>435</v>
      </c>
      <c r="FA54" s="373" t="s">
        <v>435</v>
      </c>
      <c r="FB54" s="373" t="s">
        <v>435</v>
      </c>
      <c r="FC54" s="373" t="s">
        <v>435</v>
      </c>
      <c r="FD54" s="373" t="s">
        <v>435</v>
      </c>
      <c r="FE54" s="373" t="s">
        <v>435</v>
      </c>
      <c r="FF54" s="373" t="s">
        <v>435</v>
      </c>
      <c r="FG54" s="373" t="s">
        <v>435</v>
      </c>
      <c r="FH54" s="373" t="s">
        <v>435</v>
      </c>
      <c r="FI54" s="373" t="s">
        <v>435</v>
      </c>
      <c r="FJ54" s="373" t="s">
        <v>435</v>
      </c>
      <c r="FK54" s="373" t="s">
        <v>435</v>
      </c>
      <c r="FL54" s="373" t="s">
        <v>435</v>
      </c>
      <c r="FM54" s="373" t="s">
        <v>435</v>
      </c>
      <c r="FN54" s="373" t="s">
        <v>435</v>
      </c>
      <c r="FO54" s="373" t="s">
        <v>435</v>
      </c>
      <c r="FP54" s="373" t="s">
        <v>435</v>
      </c>
    </row>
    <row r="55" spans="1:172" s="376" customFormat="1">
      <c r="A55" s="376" t="s">
        <v>1002</v>
      </c>
      <c r="B55" s="376" t="s">
        <v>249</v>
      </c>
      <c r="C55" s="376" t="s">
        <v>975</v>
      </c>
      <c r="D55" s="376" t="s">
        <v>1003</v>
      </c>
      <c r="E55" s="376" t="s">
        <v>889</v>
      </c>
      <c r="F55" s="385" t="s">
        <v>356</v>
      </c>
      <c r="G55" s="385" t="s">
        <v>356</v>
      </c>
      <c r="H55" s="385">
        <v>31.5</v>
      </c>
      <c r="I55" s="385">
        <v>30</v>
      </c>
      <c r="J55" s="385"/>
      <c r="K55" s="385">
        <f t="shared" si="353"/>
        <v>31.500000000305004</v>
      </c>
      <c r="L55" s="385">
        <f t="shared" si="354"/>
        <v>30.000000000320004</v>
      </c>
      <c r="M55" s="385" t="s">
        <v>1004</v>
      </c>
      <c r="N55" s="385" t="s">
        <v>356</v>
      </c>
      <c r="O55" s="385" t="s">
        <v>1005</v>
      </c>
      <c r="P55" s="385" t="s">
        <v>1006</v>
      </c>
      <c r="Q55" s="385" t="s">
        <v>356</v>
      </c>
      <c r="R55" s="385" t="s">
        <v>883</v>
      </c>
      <c r="S55" s="385" t="s">
        <v>817</v>
      </c>
      <c r="T55" s="385">
        <v>31</v>
      </c>
      <c r="U55" s="385" cm="1">
        <f t="array" ref="U55">IFERROR(INDEX('Offer Statistics'!$Q$2:$Q$350,MATCH(1,(A55='Offer Statistics'!$B$2:$B$350)*($A$11='Offer Statistics'!$K$2:$K$350),0)),"/")</f>
        <v>30</v>
      </c>
      <c r="V55" s="385" cm="1">
        <f t="array" ref="V55">IFERROR(INDEX('Offer Statistics'!$D$2:$D$350,MATCH(1,(A55='Offer Statistics'!$B$2:$B$350)*($A$11='Offer Statistics'!$K$2:$K$350),0)),"/")</f>
        <v>156</v>
      </c>
      <c r="W55" s="385" cm="1">
        <f t="array" ref="W55">IFERROR(INDEX('Offer Statistics'!$L$2:$L$350,MATCH(1,(A55='Offer Statistics'!$B$2:$B$350)*($A$11='Offer Statistics'!$K$2:$K$350),0)),"/")</f>
        <v>20</v>
      </c>
      <c r="X55" s="385">
        <f t="shared" si="319"/>
        <v>7.8</v>
      </c>
      <c r="Y55" s="385" t="s">
        <v>817</v>
      </c>
      <c r="Z55" s="376" t="str">
        <f>入學要求!AF64</f>
        <v>以下一科選修取得Lv.3︰生物、BAFS、化學、DAT、ICT、M1/2、物理</v>
      </c>
      <c r="AA55" s="376" t="str">
        <f>入學要求!AG64</f>
        <v>/</v>
      </c>
      <c r="AB55" s="377" t="s">
        <v>2814</v>
      </c>
      <c r="AC55" s="373" t="s">
        <v>2854</v>
      </c>
      <c r="AE55" s="376" t="s">
        <v>2830</v>
      </c>
      <c r="AF55" s="376" t="s">
        <v>356</v>
      </c>
      <c r="AG55" s="376" t="s">
        <v>1005</v>
      </c>
      <c r="AH55" s="377" t="s">
        <v>2831</v>
      </c>
      <c r="AI55" s="376" t="s">
        <v>356</v>
      </c>
      <c r="AJ55" s="376" t="s">
        <v>918</v>
      </c>
      <c r="AK55" s="376" t="s">
        <v>818</v>
      </c>
      <c r="AL55" s="376" t="s">
        <v>907</v>
      </c>
      <c r="AM55" s="376" t="s">
        <v>356</v>
      </c>
      <c r="AN55" s="376" t="s">
        <v>435</v>
      </c>
      <c r="AO55" s="376" t="s">
        <v>435</v>
      </c>
      <c r="AP55" s="376" t="s">
        <v>435</v>
      </c>
      <c r="AQ55" s="376" t="s">
        <v>356</v>
      </c>
      <c r="AS55" s="376" t="s">
        <v>820</v>
      </c>
      <c r="AU55" s="376" t="s">
        <v>817</v>
      </c>
      <c r="AY55" s="376">
        <v>1</v>
      </c>
      <c r="AZ55" s="376">
        <v>2</v>
      </c>
      <c r="BA55" s="376">
        <v>2.5</v>
      </c>
      <c r="BB55" s="376">
        <v>1</v>
      </c>
      <c r="BC55" s="376">
        <v>2</v>
      </c>
      <c r="BD55" s="376">
        <v>1.5</v>
      </c>
      <c r="BE55" s="376">
        <v>1.5</v>
      </c>
      <c r="BF55" s="376">
        <v>1</v>
      </c>
      <c r="BG55" s="376" t="s">
        <v>1002</v>
      </c>
      <c r="BH55" s="376">
        <v>3</v>
      </c>
      <c r="BI55" s="376">
        <v>4</v>
      </c>
      <c r="BJ55" s="376">
        <v>4</v>
      </c>
      <c r="BK55" s="376">
        <v>3</v>
      </c>
      <c r="BL55" s="376" t="s">
        <v>356</v>
      </c>
      <c r="BM55" s="376">
        <v>3</v>
      </c>
      <c r="BN55" s="376">
        <v>3</v>
      </c>
      <c r="BO55" s="376" t="s">
        <v>356</v>
      </c>
      <c r="BP55" s="206">
        <f t="shared" si="320"/>
        <v>3.00000000004</v>
      </c>
      <c r="BQ55" s="206">
        <f t="shared" si="321"/>
        <v>4.00000000002</v>
      </c>
      <c r="BR55" s="206">
        <f t="shared" si="322"/>
        <v>4.00000000003</v>
      </c>
      <c r="BS55" s="206">
        <f t="shared" si="323"/>
        <v>3.00000000001</v>
      </c>
      <c r="BT55" s="206">
        <f t="shared" si="324"/>
        <v>0</v>
      </c>
      <c r="BU55" s="206">
        <f t="shared" si="325"/>
        <v>3.00000000006</v>
      </c>
      <c r="BV55" s="206">
        <f t="shared" si="326"/>
        <v>3.00000000007</v>
      </c>
      <c r="BW55" s="206">
        <f t="shared" si="327"/>
        <v>0</v>
      </c>
      <c r="BX55" s="376">
        <f t="shared" si="337"/>
        <v>3.00000000004</v>
      </c>
      <c r="BY55" s="376">
        <f t="shared" si="338"/>
        <v>8.00000000004</v>
      </c>
      <c r="BZ55" s="376">
        <f t="shared" si="339"/>
        <v>10.000000000075</v>
      </c>
      <c r="CA55" s="376">
        <f t="shared" si="340"/>
        <v>3.00000000001</v>
      </c>
      <c r="CB55" s="376">
        <f t="shared" si="341"/>
        <v>0</v>
      </c>
      <c r="CC55" s="376">
        <f t="shared" si="342"/>
        <v>4.50000000009</v>
      </c>
      <c r="CD55" s="376">
        <f t="shared" si="343"/>
        <v>4.5000000001050005</v>
      </c>
      <c r="CE55" s="376">
        <f t="shared" si="344"/>
        <v>0</v>
      </c>
      <c r="CF55" s="376" t="b">
        <v>0</v>
      </c>
      <c r="CG55" s="376" t="b">
        <v>1</v>
      </c>
      <c r="CH55" s="376" t="b">
        <v>1</v>
      </c>
      <c r="CI55" s="376" t="b">
        <v>1</v>
      </c>
      <c r="CJ55" s="376" t="b">
        <v>0</v>
      </c>
      <c r="CK55" s="376" t="b">
        <v>1</v>
      </c>
      <c r="CL55" s="376" t="b">
        <v>1</v>
      </c>
      <c r="CM55" s="376" t="b">
        <v>0</v>
      </c>
      <c r="CN55" s="376">
        <v>1</v>
      </c>
      <c r="CO55" s="376">
        <v>2</v>
      </c>
      <c r="CP55" s="376">
        <v>2.5</v>
      </c>
      <c r="CQ55" s="376">
        <v>1</v>
      </c>
      <c r="CR55" s="376">
        <v>2</v>
      </c>
      <c r="CS55" s="376">
        <v>1.5</v>
      </c>
      <c r="CT55" s="376">
        <v>1.5</v>
      </c>
      <c r="CU55" s="376">
        <v>1</v>
      </c>
      <c r="CV55" s="376" t="s">
        <v>1002</v>
      </c>
      <c r="CW55" s="376">
        <v>3</v>
      </c>
      <c r="CX55" s="376">
        <v>3</v>
      </c>
      <c r="CY55" s="376">
        <v>6</v>
      </c>
      <c r="CZ55" s="376">
        <v>2</v>
      </c>
      <c r="DA55" s="376">
        <v>3</v>
      </c>
      <c r="DB55" s="376">
        <v>3</v>
      </c>
      <c r="DC55" s="376" t="s">
        <v>356</v>
      </c>
      <c r="DD55" s="376" t="s">
        <v>356</v>
      </c>
      <c r="DE55" s="206">
        <f t="shared" si="328"/>
        <v>3.00000000004</v>
      </c>
      <c r="DF55" s="206">
        <f t="shared" si="329"/>
        <v>3.00000000002</v>
      </c>
      <c r="DG55" s="206">
        <f t="shared" si="330"/>
        <v>6.00000000003</v>
      </c>
      <c r="DH55" s="206">
        <f t="shared" si="331"/>
        <v>2.00000000001</v>
      </c>
      <c r="DI55" s="206">
        <f t="shared" si="332"/>
        <v>3.00000000005</v>
      </c>
      <c r="DJ55" s="206">
        <f t="shared" si="333"/>
        <v>3.00000000006</v>
      </c>
      <c r="DK55" s="206">
        <f t="shared" si="334"/>
        <v>0</v>
      </c>
      <c r="DL55" s="206">
        <f t="shared" si="335"/>
        <v>0</v>
      </c>
      <c r="DM55" s="376">
        <f t="shared" si="345"/>
        <v>3.00000000004</v>
      </c>
      <c r="DN55" s="376">
        <f t="shared" si="346"/>
        <v>6.00000000004</v>
      </c>
      <c r="DO55" s="376">
        <f t="shared" si="347"/>
        <v>15.000000000075</v>
      </c>
      <c r="DP55" s="376">
        <f t="shared" si="348"/>
        <v>2.00000000001</v>
      </c>
      <c r="DQ55" s="376">
        <f t="shared" si="349"/>
        <v>6.0000000001</v>
      </c>
      <c r="DR55" s="376">
        <f t="shared" si="350"/>
        <v>4.50000000009</v>
      </c>
      <c r="DS55" s="376">
        <f t="shared" si="351"/>
        <v>0</v>
      </c>
      <c r="DT55" s="376">
        <f t="shared" si="352"/>
        <v>0</v>
      </c>
      <c r="DU55" s="376" t="b">
        <v>0</v>
      </c>
      <c r="DV55" s="376" t="b">
        <v>1</v>
      </c>
      <c r="DW55" s="376" t="b">
        <v>1</v>
      </c>
      <c r="DX55" s="376" t="b">
        <v>0</v>
      </c>
      <c r="DY55" s="376" t="b">
        <v>1</v>
      </c>
      <c r="DZ55" s="376" t="b">
        <v>1</v>
      </c>
      <c r="EA55" s="376" t="b">
        <v>1</v>
      </c>
      <c r="EB55" s="376" t="b">
        <v>0</v>
      </c>
      <c r="EC55" s="376" t="s">
        <v>435</v>
      </c>
      <c r="ED55" s="376" t="s">
        <v>435</v>
      </c>
      <c r="EE55" s="376" t="s">
        <v>435</v>
      </c>
      <c r="EF55" s="376" t="s">
        <v>435</v>
      </c>
      <c r="EG55" s="376" t="s">
        <v>435</v>
      </c>
      <c r="EH55" s="376" t="s">
        <v>435</v>
      </c>
      <c r="EI55" s="376" t="s">
        <v>435</v>
      </c>
      <c r="EJ55" s="376" t="s">
        <v>435</v>
      </c>
      <c r="EK55" s="376" t="s">
        <v>435</v>
      </c>
      <c r="EL55" s="376" t="s">
        <v>435</v>
      </c>
      <c r="EM55" s="376" t="s">
        <v>435</v>
      </c>
      <c r="EN55" s="376" t="s">
        <v>435</v>
      </c>
      <c r="EO55" s="376" t="s">
        <v>435</v>
      </c>
      <c r="EP55" s="376" t="s">
        <v>435</v>
      </c>
      <c r="EQ55" s="376" t="s">
        <v>435</v>
      </c>
      <c r="ER55" s="376" t="s">
        <v>435</v>
      </c>
      <c r="FA55" s="376" t="s">
        <v>435</v>
      </c>
      <c r="FB55" s="376" t="s">
        <v>435</v>
      </c>
      <c r="FC55" s="376" t="s">
        <v>435</v>
      </c>
      <c r="FD55" s="376" t="s">
        <v>435</v>
      </c>
      <c r="FE55" s="376" t="s">
        <v>435</v>
      </c>
      <c r="FF55" s="376" t="s">
        <v>435</v>
      </c>
      <c r="FG55" s="376" t="s">
        <v>435</v>
      </c>
      <c r="FH55" s="376" t="s">
        <v>435</v>
      </c>
      <c r="FI55" s="376" t="s">
        <v>435</v>
      </c>
      <c r="FJ55" s="376" t="s">
        <v>435</v>
      </c>
      <c r="FK55" s="376" t="s">
        <v>435</v>
      </c>
      <c r="FL55" s="376" t="s">
        <v>435</v>
      </c>
      <c r="FM55" s="376" t="s">
        <v>435</v>
      </c>
      <c r="FN55" s="376" t="s">
        <v>435</v>
      </c>
      <c r="FO55" s="376" t="s">
        <v>435</v>
      </c>
      <c r="FP55" s="376" t="s">
        <v>435</v>
      </c>
    </row>
    <row r="56" spans="1:172" s="373" customFormat="1">
      <c r="A56" s="373" t="s">
        <v>1007</v>
      </c>
      <c r="B56" s="373" t="s">
        <v>249</v>
      </c>
      <c r="C56" s="373" t="s">
        <v>980</v>
      </c>
      <c r="D56" s="373" t="s">
        <v>1008</v>
      </c>
      <c r="E56" s="373" t="s">
        <v>828</v>
      </c>
      <c r="F56" s="385" t="s">
        <v>356</v>
      </c>
      <c r="G56" s="385" t="s">
        <v>356</v>
      </c>
      <c r="H56" s="385">
        <v>31</v>
      </c>
      <c r="I56" s="385">
        <v>30</v>
      </c>
      <c r="J56" s="385"/>
      <c r="K56" s="385">
        <f t="shared" si="353"/>
        <v>31.000000000349999</v>
      </c>
      <c r="L56" s="385">
        <f t="shared" si="354"/>
        <v>30.000000000349999</v>
      </c>
      <c r="M56" s="385" t="s">
        <v>1010</v>
      </c>
      <c r="N56" s="385" t="s">
        <v>356</v>
      </c>
      <c r="O56" s="385" t="s">
        <v>1011</v>
      </c>
      <c r="P56" s="385" t="s">
        <v>1012</v>
      </c>
      <c r="Q56" s="385" t="s">
        <v>356</v>
      </c>
      <c r="R56" s="385" t="s">
        <v>1009</v>
      </c>
      <c r="S56" s="385" t="s">
        <v>817</v>
      </c>
      <c r="T56" s="385">
        <v>108</v>
      </c>
      <c r="U56" s="385" cm="1">
        <f t="array" ref="U56">IFERROR(INDEX('Offer Statistics'!$Q$2:$Q$350,MATCH(1,(A56='Offer Statistics'!$B$2:$B$350)*($A$11='Offer Statistics'!$K$2:$K$350),0)),"/")</f>
        <v>102</v>
      </c>
      <c r="V56" s="385" cm="1">
        <f t="array" ref="V56">IFERROR(INDEX('Offer Statistics'!$D$2:$D$350,MATCH(1,(A56='Offer Statistics'!$B$2:$B$350)*($A$11='Offer Statistics'!$K$2:$K$350),0)),"/")</f>
        <v>399</v>
      </c>
      <c r="W56" s="385" cm="1">
        <f t="array" ref="W56">IFERROR(INDEX('Offer Statistics'!$L$2:$L$350,MATCH(1,(A56='Offer Statistics'!$B$2:$B$350)*($A$11='Offer Statistics'!$K$2:$K$350),0)),"/")</f>
        <v>84</v>
      </c>
      <c r="X56" s="385">
        <f t="shared" si="319"/>
        <v>4.75</v>
      </c>
      <c r="Y56" s="385" t="s">
        <v>817</v>
      </c>
      <c r="Z56" s="373" t="str">
        <f>入學要求!AF65</f>
        <v>以下一科選修取得Lv.3︰化學、DAT、M1/2、物理</v>
      </c>
      <c r="AA56" s="373" t="str">
        <f>入學要求!AG65</f>
        <v>/</v>
      </c>
      <c r="AB56" s="374" t="s">
        <v>889</v>
      </c>
      <c r="AC56" s="373" t="s">
        <v>2854</v>
      </c>
      <c r="AE56" s="373" t="s">
        <v>1004</v>
      </c>
      <c r="AF56" s="373" t="s">
        <v>356</v>
      </c>
      <c r="AG56" s="373" t="s">
        <v>1011</v>
      </c>
      <c r="AH56" s="374" t="s">
        <v>2823</v>
      </c>
      <c r="AI56" s="373" t="s">
        <v>356</v>
      </c>
      <c r="AJ56" s="373" t="s">
        <v>958</v>
      </c>
      <c r="AK56" s="373" t="s">
        <v>818</v>
      </c>
      <c r="AL56" s="373" t="s">
        <v>844</v>
      </c>
      <c r="AM56" s="373" t="s">
        <v>356</v>
      </c>
      <c r="AN56" s="373" t="s">
        <v>435</v>
      </c>
      <c r="AO56" s="373" t="s">
        <v>435</v>
      </c>
      <c r="AP56" s="373" t="s">
        <v>435</v>
      </c>
      <c r="AQ56" s="373" t="s">
        <v>356</v>
      </c>
      <c r="AS56" s="373" t="s">
        <v>820</v>
      </c>
      <c r="AU56" s="373" t="s">
        <v>817</v>
      </c>
      <c r="AY56" s="373">
        <v>1</v>
      </c>
      <c r="AZ56" s="373">
        <v>2</v>
      </c>
      <c r="BA56" s="373">
        <v>2</v>
      </c>
      <c r="BB56" s="373">
        <v>1</v>
      </c>
      <c r="BC56" s="373">
        <v>1.5</v>
      </c>
      <c r="BD56" s="373">
        <v>1</v>
      </c>
      <c r="BE56" s="373">
        <v>2</v>
      </c>
      <c r="BF56" s="373">
        <v>1</v>
      </c>
      <c r="BG56" s="373" t="s">
        <v>1007</v>
      </c>
      <c r="BH56" s="373">
        <v>3</v>
      </c>
      <c r="BI56" s="373">
        <v>3</v>
      </c>
      <c r="BJ56" s="373">
        <v>3</v>
      </c>
      <c r="BK56" s="373">
        <v>3</v>
      </c>
      <c r="BL56" s="373" t="s">
        <v>356</v>
      </c>
      <c r="BM56" s="373">
        <v>4</v>
      </c>
      <c r="BN56" s="373">
        <v>4</v>
      </c>
      <c r="BO56" s="373" t="s">
        <v>356</v>
      </c>
      <c r="BP56" s="206">
        <f t="shared" si="320"/>
        <v>3.00000000004</v>
      </c>
      <c r="BQ56" s="206">
        <f t="shared" si="321"/>
        <v>3.00000000002</v>
      </c>
      <c r="BR56" s="206">
        <f t="shared" si="322"/>
        <v>3.00000000003</v>
      </c>
      <c r="BS56" s="206">
        <f t="shared" si="323"/>
        <v>3.00000000001</v>
      </c>
      <c r="BT56" s="206">
        <f t="shared" si="324"/>
        <v>0</v>
      </c>
      <c r="BU56" s="206">
        <f t="shared" si="325"/>
        <v>4.00000000006</v>
      </c>
      <c r="BV56" s="206">
        <f t="shared" si="326"/>
        <v>4.00000000007</v>
      </c>
      <c r="BW56" s="206">
        <f t="shared" si="327"/>
        <v>0</v>
      </c>
      <c r="BX56" s="373">
        <f t="shared" si="337"/>
        <v>3.00000000004</v>
      </c>
      <c r="BY56" s="373">
        <f t="shared" si="338"/>
        <v>6.00000000004</v>
      </c>
      <c r="BZ56" s="373">
        <f t="shared" si="339"/>
        <v>6.00000000006</v>
      </c>
      <c r="CA56" s="373">
        <f t="shared" si="340"/>
        <v>3.00000000001</v>
      </c>
      <c r="CB56" s="373">
        <f t="shared" si="341"/>
        <v>0</v>
      </c>
      <c r="CC56" s="373">
        <f t="shared" si="342"/>
        <v>4.00000000006</v>
      </c>
      <c r="CD56" s="373">
        <f t="shared" si="343"/>
        <v>8.00000000014</v>
      </c>
      <c r="CE56" s="373">
        <f t="shared" si="344"/>
        <v>0</v>
      </c>
      <c r="CF56" s="373" t="b">
        <v>1</v>
      </c>
      <c r="CG56" s="373" t="b">
        <v>1</v>
      </c>
      <c r="CH56" s="373" t="b">
        <v>1</v>
      </c>
      <c r="CI56" s="373" t="b">
        <v>1</v>
      </c>
      <c r="CJ56" s="373" t="b">
        <v>0</v>
      </c>
      <c r="CK56" s="373" t="b">
        <v>1</v>
      </c>
      <c r="CL56" s="373" t="b">
        <v>1</v>
      </c>
      <c r="CM56" s="373" t="b">
        <v>0</v>
      </c>
      <c r="CN56" s="373">
        <v>1</v>
      </c>
      <c r="CO56" s="373">
        <v>2</v>
      </c>
      <c r="CP56" s="373">
        <v>2</v>
      </c>
      <c r="CQ56" s="373">
        <v>1</v>
      </c>
      <c r="CR56" s="373">
        <v>1.5</v>
      </c>
      <c r="CS56" s="373">
        <v>1</v>
      </c>
      <c r="CT56" s="373">
        <v>2</v>
      </c>
      <c r="CU56" s="373">
        <v>1</v>
      </c>
      <c r="CV56" s="373" t="s">
        <v>1007</v>
      </c>
      <c r="CW56" s="373">
        <v>3</v>
      </c>
      <c r="CX56" s="373">
        <v>3</v>
      </c>
      <c r="CY56" s="373">
        <v>4</v>
      </c>
      <c r="CZ56" s="373">
        <v>2</v>
      </c>
      <c r="DA56" s="373" t="s">
        <v>356</v>
      </c>
      <c r="DB56" s="373">
        <v>4</v>
      </c>
      <c r="DC56" s="373">
        <v>4</v>
      </c>
      <c r="DD56" s="373" t="s">
        <v>356</v>
      </c>
      <c r="DE56" s="206">
        <f t="shared" si="328"/>
        <v>3.00000000004</v>
      </c>
      <c r="DF56" s="206">
        <f t="shared" si="329"/>
        <v>3.00000000002</v>
      </c>
      <c r="DG56" s="206">
        <f t="shared" si="330"/>
        <v>4.00000000003</v>
      </c>
      <c r="DH56" s="206">
        <f t="shared" si="331"/>
        <v>2.00000000001</v>
      </c>
      <c r="DI56" s="206">
        <f t="shared" si="332"/>
        <v>0</v>
      </c>
      <c r="DJ56" s="206">
        <f t="shared" si="333"/>
        <v>4.00000000006</v>
      </c>
      <c r="DK56" s="206">
        <f t="shared" si="334"/>
        <v>4.00000000007</v>
      </c>
      <c r="DL56" s="206">
        <f t="shared" si="335"/>
        <v>0</v>
      </c>
      <c r="DM56" s="373">
        <f t="shared" si="345"/>
        <v>3.00000000004</v>
      </c>
      <c r="DN56" s="373">
        <f t="shared" si="346"/>
        <v>6.00000000004</v>
      </c>
      <c r="DO56" s="373">
        <f t="shared" si="347"/>
        <v>8.00000000006</v>
      </c>
      <c r="DP56" s="373">
        <f t="shared" si="348"/>
        <v>2.00000000001</v>
      </c>
      <c r="DQ56" s="373">
        <f t="shared" si="349"/>
        <v>0</v>
      </c>
      <c r="DR56" s="373">
        <f t="shared" si="350"/>
        <v>4.00000000006</v>
      </c>
      <c r="DS56" s="373">
        <f t="shared" si="351"/>
        <v>8.00000000014</v>
      </c>
      <c r="DT56" s="373">
        <f t="shared" si="352"/>
        <v>0</v>
      </c>
      <c r="DU56" s="373" t="b">
        <v>1</v>
      </c>
      <c r="DV56" s="373" t="b">
        <v>1</v>
      </c>
      <c r="DW56" s="373" t="b">
        <v>1</v>
      </c>
      <c r="DX56" s="373" t="b">
        <v>1</v>
      </c>
      <c r="DY56" s="373" t="b">
        <v>0</v>
      </c>
      <c r="DZ56" s="373" t="b">
        <v>1</v>
      </c>
      <c r="EA56" s="373" t="b">
        <v>1</v>
      </c>
      <c r="EB56" s="373" t="b">
        <v>0</v>
      </c>
      <c r="EC56" s="373" t="s">
        <v>435</v>
      </c>
      <c r="ED56" s="373" t="s">
        <v>435</v>
      </c>
      <c r="EE56" s="373" t="s">
        <v>435</v>
      </c>
      <c r="EF56" s="373" t="s">
        <v>435</v>
      </c>
      <c r="EG56" s="373" t="s">
        <v>435</v>
      </c>
      <c r="EH56" s="373" t="s">
        <v>435</v>
      </c>
      <c r="EI56" s="373" t="s">
        <v>435</v>
      </c>
      <c r="EJ56" s="373" t="s">
        <v>435</v>
      </c>
      <c r="EK56" s="373" t="s">
        <v>435</v>
      </c>
      <c r="EL56" s="373" t="s">
        <v>435</v>
      </c>
      <c r="EM56" s="373" t="s">
        <v>435</v>
      </c>
      <c r="EN56" s="373" t="s">
        <v>435</v>
      </c>
      <c r="EO56" s="373" t="s">
        <v>435</v>
      </c>
      <c r="EP56" s="373" t="s">
        <v>435</v>
      </c>
      <c r="EQ56" s="373" t="s">
        <v>435</v>
      </c>
      <c r="ER56" s="373" t="s">
        <v>435</v>
      </c>
      <c r="FA56" s="373" t="s">
        <v>435</v>
      </c>
      <c r="FB56" s="373" t="s">
        <v>435</v>
      </c>
      <c r="FC56" s="373" t="s">
        <v>435</v>
      </c>
      <c r="FD56" s="373" t="s">
        <v>435</v>
      </c>
      <c r="FE56" s="373" t="s">
        <v>435</v>
      </c>
      <c r="FF56" s="373" t="s">
        <v>435</v>
      </c>
      <c r="FG56" s="373" t="s">
        <v>435</v>
      </c>
      <c r="FH56" s="373" t="s">
        <v>435</v>
      </c>
      <c r="FI56" s="373" t="s">
        <v>435</v>
      </c>
      <c r="FJ56" s="373" t="s">
        <v>435</v>
      </c>
      <c r="FK56" s="373" t="s">
        <v>435</v>
      </c>
      <c r="FL56" s="373" t="s">
        <v>435</v>
      </c>
      <c r="FM56" s="373" t="s">
        <v>435</v>
      </c>
      <c r="FN56" s="373" t="s">
        <v>435</v>
      </c>
      <c r="FO56" s="373" t="s">
        <v>435</v>
      </c>
      <c r="FP56" s="373" t="s">
        <v>435</v>
      </c>
    </row>
    <row r="57" spans="1:172">
      <c r="A57" s="2" t="s">
        <v>1013</v>
      </c>
      <c r="B57" s="2" t="s">
        <v>249</v>
      </c>
      <c r="C57" s="2" t="s">
        <v>975</v>
      </c>
      <c r="D57" s="2" t="s">
        <v>1014</v>
      </c>
      <c r="E57" s="2" t="s">
        <v>889</v>
      </c>
      <c r="F57" s="385" t="s">
        <v>356</v>
      </c>
      <c r="G57" s="385" t="s">
        <v>356</v>
      </c>
      <c r="H57" s="385">
        <v>26</v>
      </c>
      <c r="I57" s="385">
        <v>25</v>
      </c>
      <c r="J57" s="385"/>
      <c r="K57" s="385">
        <f t="shared" si="353"/>
        <v>26.000000000282501</v>
      </c>
      <c r="L57" s="385">
        <f t="shared" si="354"/>
        <v>25.000000000307498</v>
      </c>
      <c r="M57" s="385" t="s">
        <v>1004</v>
      </c>
      <c r="N57" s="385" t="s">
        <v>356</v>
      </c>
      <c r="O57" s="385" t="s">
        <v>1016</v>
      </c>
      <c r="P57" s="385" t="s">
        <v>1017</v>
      </c>
      <c r="Q57" s="385" t="s">
        <v>356</v>
      </c>
      <c r="R57" s="385" t="s">
        <v>1015</v>
      </c>
      <c r="S57" s="385" t="s">
        <v>817</v>
      </c>
      <c r="T57" s="385">
        <v>22</v>
      </c>
      <c r="U57" s="385" cm="1">
        <f t="array" ref="U57">IFERROR(INDEX('Offer Statistics'!$Q$2:$Q$350,MATCH(1,(A57='Offer Statistics'!$B$2:$B$350)*($A$11='Offer Statistics'!$K$2:$K$350),0)),"/")</f>
        <v>25</v>
      </c>
      <c r="V57" s="385" cm="1">
        <f t="array" ref="V57">IFERROR(INDEX('Offer Statistics'!$D$2:$D$350,MATCH(1,(A57='Offer Statistics'!$B$2:$B$350)*($A$11='Offer Statistics'!$K$2:$K$350),0)),"/")</f>
        <v>119</v>
      </c>
      <c r="W57" s="385" cm="1">
        <f t="array" ref="W57">IFERROR(INDEX('Offer Statistics'!$L$2:$L$350,MATCH(1,(A57='Offer Statistics'!$B$2:$B$350)*($A$11='Offer Statistics'!$K$2:$K$350),0)),"/")</f>
        <v>15</v>
      </c>
      <c r="X57" s="385">
        <f t="shared" si="319"/>
        <v>7.9333333333333336</v>
      </c>
      <c r="Y57" s="385" t="s">
        <v>817</v>
      </c>
      <c r="Z57" s="95" t="str">
        <f>入學要求!AF66</f>
        <v>以下一科選修取得Lv.3︰化學、DAT、物理、M1/2</v>
      </c>
      <c r="AA57" s="51" t="str">
        <f>入學要求!AG66</f>
        <v>/</v>
      </c>
      <c r="AB57" s="386" t="s">
        <v>2814</v>
      </c>
      <c r="AC57" s="95"/>
      <c r="AD57" s="95"/>
      <c r="AE57" s="95" t="s">
        <v>2830</v>
      </c>
      <c r="AF57" s="95" t="s">
        <v>356</v>
      </c>
      <c r="AG57" s="95" t="s">
        <v>1016</v>
      </c>
      <c r="AH57" s="95" t="s">
        <v>1017</v>
      </c>
      <c r="AI57" s="95" t="s">
        <v>356</v>
      </c>
      <c r="AJ57" s="2" t="s">
        <v>958</v>
      </c>
      <c r="AK57" s="2" t="s">
        <v>818</v>
      </c>
      <c r="AL57" s="2" t="s">
        <v>907</v>
      </c>
      <c r="AM57" s="2" t="s">
        <v>356</v>
      </c>
      <c r="AN57" s="2" t="s">
        <v>435</v>
      </c>
      <c r="AO57" s="2" t="s">
        <v>435</v>
      </c>
      <c r="AP57" s="2" t="s">
        <v>435</v>
      </c>
      <c r="AQ57" s="2" t="s">
        <v>356</v>
      </c>
      <c r="AS57" s="2" t="s">
        <v>820</v>
      </c>
      <c r="AU57" s="2" t="s">
        <v>817</v>
      </c>
      <c r="AW57" s="202"/>
      <c r="AY57" s="51">
        <v>1</v>
      </c>
      <c r="AZ57" s="51">
        <v>2</v>
      </c>
      <c r="BA57" s="51">
        <v>1.25</v>
      </c>
      <c r="BB57" s="51">
        <v>1</v>
      </c>
      <c r="BC57" s="51">
        <v>1.5</v>
      </c>
      <c r="BD57" s="51">
        <v>2</v>
      </c>
      <c r="BE57" s="51">
        <v>1</v>
      </c>
      <c r="BF57" s="51">
        <v>1</v>
      </c>
      <c r="BG57" s="51" t="s">
        <v>1013</v>
      </c>
      <c r="BH57" s="2">
        <v>3</v>
      </c>
      <c r="BI57" s="2">
        <v>3</v>
      </c>
      <c r="BJ57" s="2">
        <v>4</v>
      </c>
      <c r="BK57" s="2">
        <v>2</v>
      </c>
      <c r="BL57" s="2" t="s">
        <v>356</v>
      </c>
      <c r="BM57" s="2">
        <v>4</v>
      </c>
      <c r="BN57" s="2">
        <v>3</v>
      </c>
      <c r="BO57" s="2" t="s">
        <v>356</v>
      </c>
      <c r="BP57" s="206">
        <f t="shared" si="320"/>
        <v>3.00000000004</v>
      </c>
      <c r="BQ57" s="206">
        <f t="shared" si="321"/>
        <v>3.00000000002</v>
      </c>
      <c r="BR57" s="206">
        <f t="shared" si="322"/>
        <v>4.00000000003</v>
      </c>
      <c r="BS57" s="206">
        <f t="shared" si="323"/>
        <v>2.00000000001</v>
      </c>
      <c r="BT57" s="206">
        <f t="shared" si="324"/>
        <v>0</v>
      </c>
      <c r="BU57" s="206">
        <f t="shared" si="325"/>
        <v>4.00000000006</v>
      </c>
      <c r="BV57" s="206">
        <f t="shared" si="326"/>
        <v>3.00000000007</v>
      </c>
      <c r="BW57" s="206">
        <f t="shared" si="327"/>
        <v>0</v>
      </c>
      <c r="BX57" s="2">
        <f t="shared" si="337"/>
        <v>3.00000000004</v>
      </c>
      <c r="BY57" s="2">
        <f t="shared" si="338"/>
        <v>6.00000000004</v>
      </c>
      <c r="BZ57" s="2">
        <f t="shared" si="339"/>
        <v>5.0000000000374998</v>
      </c>
      <c r="CA57" s="2">
        <f t="shared" si="340"/>
        <v>2.00000000001</v>
      </c>
      <c r="CB57" s="2">
        <f t="shared" si="341"/>
        <v>0</v>
      </c>
      <c r="CC57" s="2">
        <f t="shared" si="342"/>
        <v>8.00000000012</v>
      </c>
      <c r="CD57" s="2">
        <f t="shared" si="343"/>
        <v>3.00000000007</v>
      </c>
      <c r="CE57" s="2">
        <f t="shared" si="344"/>
        <v>0</v>
      </c>
      <c r="CF57" s="2" t="b">
        <v>1</v>
      </c>
      <c r="CG57" s="2" t="b">
        <v>1</v>
      </c>
      <c r="CH57" s="2" t="b">
        <v>1</v>
      </c>
      <c r="CI57" s="2" t="b">
        <v>0</v>
      </c>
      <c r="CJ57" s="2" t="b">
        <v>0</v>
      </c>
      <c r="CK57" s="2" t="b">
        <v>1</v>
      </c>
      <c r="CL57" s="2" t="b">
        <v>1</v>
      </c>
      <c r="CM57" s="2" t="b">
        <v>0</v>
      </c>
      <c r="CN57" s="51">
        <v>1</v>
      </c>
      <c r="CO57" s="51">
        <v>2</v>
      </c>
      <c r="CP57" s="51">
        <v>1.25</v>
      </c>
      <c r="CQ57" s="51">
        <v>1</v>
      </c>
      <c r="CR57" s="51">
        <v>1.5</v>
      </c>
      <c r="CS57" s="51">
        <v>2</v>
      </c>
      <c r="CT57" s="51">
        <v>1</v>
      </c>
      <c r="CU57" s="51">
        <v>1</v>
      </c>
      <c r="CV57" s="51" t="s">
        <v>1013</v>
      </c>
      <c r="CW57" s="2">
        <v>3</v>
      </c>
      <c r="CX57" s="2">
        <v>3</v>
      </c>
      <c r="CY57" s="2">
        <v>4</v>
      </c>
      <c r="CZ57" s="2">
        <v>3</v>
      </c>
      <c r="DA57" s="2">
        <v>4</v>
      </c>
      <c r="DB57" s="2">
        <v>3</v>
      </c>
      <c r="DC57" s="2">
        <v>3</v>
      </c>
      <c r="DD57" s="2" t="s">
        <v>356</v>
      </c>
      <c r="DE57" s="206">
        <f t="shared" si="328"/>
        <v>3.00000000004</v>
      </c>
      <c r="DF57" s="206">
        <f t="shared" si="329"/>
        <v>3.00000000002</v>
      </c>
      <c r="DG57" s="206">
        <f t="shared" si="330"/>
        <v>4.00000000003</v>
      </c>
      <c r="DH57" s="206">
        <f t="shared" si="331"/>
        <v>3.00000000001</v>
      </c>
      <c r="DI57" s="206">
        <f t="shared" si="332"/>
        <v>4.00000000005</v>
      </c>
      <c r="DJ57" s="206">
        <f t="shared" si="333"/>
        <v>3.00000000006</v>
      </c>
      <c r="DK57" s="206">
        <f t="shared" si="334"/>
        <v>3.00000000007</v>
      </c>
      <c r="DL57" s="206">
        <f t="shared" si="335"/>
        <v>0</v>
      </c>
      <c r="DM57" s="2">
        <f t="shared" si="345"/>
        <v>3.00000000004</v>
      </c>
      <c r="DN57" s="2">
        <f t="shared" si="346"/>
        <v>6.00000000004</v>
      </c>
      <c r="DO57" s="2">
        <f t="shared" si="347"/>
        <v>5.0000000000374998</v>
      </c>
      <c r="DP57" s="2">
        <f t="shared" si="348"/>
        <v>3.00000000001</v>
      </c>
      <c r="DQ57" s="2">
        <f t="shared" si="349"/>
        <v>6.0000000000749996</v>
      </c>
      <c r="DR57" s="2">
        <f t="shared" si="350"/>
        <v>6.00000000012</v>
      </c>
      <c r="DS57" s="2">
        <f t="shared" si="351"/>
        <v>3.00000000007</v>
      </c>
      <c r="DT57" s="2">
        <f t="shared" si="352"/>
        <v>0</v>
      </c>
      <c r="DU57" s="2" t="b">
        <v>0</v>
      </c>
      <c r="DV57" s="2" t="b">
        <v>1</v>
      </c>
      <c r="DW57" s="2" t="b">
        <v>1</v>
      </c>
      <c r="DX57" s="2" t="b">
        <v>1</v>
      </c>
      <c r="DY57" s="2" t="b">
        <v>1</v>
      </c>
      <c r="DZ57" s="2" t="b">
        <v>1</v>
      </c>
      <c r="EA57" s="2" t="b">
        <v>0</v>
      </c>
      <c r="EB57" s="2" t="b">
        <v>0</v>
      </c>
      <c r="EC57" s="2" t="s">
        <v>435</v>
      </c>
      <c r="ED57" s="2" t="s">
        <v>435</v>
      </c>
      <c r="EE57" s="2" t="s">
        <v>435</v>
      </c>
      <c r="EF57" s="2" t="s">
        <v>435</v>
      </c>
      <c r="EG57" s="2" t="s">
        <v>435</v>
      </c>
      <c r="EH57" s="2" t="s">
        <v>435</v>
      </c>
      <c r="EI57" s="2" t="s">
        <v>435</v>
      </c>
      <c r="EJ57" s="2" t="s">
        <v>435</v>
      </c>
      <c r="EK57" s="2" t="s">
        <v>435</v>
      </c>
      <c r="EL57" s="2" t="s">
        <v>435</v>
      </c>
      <c r="EM57" s="2" t="s">
        <v>435</v>
      </c>
      <c r="EN57" s="2" t="s">
        <v>435</v>
      </c>
      <c r="EO57" s="2" t="s">
        <v>435</v>
      </c>
      <c r="EP57" s="2" t="s">
        <v>435</v>
      </c>
      <c r="EQ57" s="2" t="s">
        <v>435</v>
      </c>
      <c r="ER57" s="2" t="s">
        <v>435</v>
      </c>
      <c r="FA57" s="2" t="s">
        <v>435</v>
      </c>
      <c r="FB57" s="2" t="s">
        <v>435</v>
      </c>
      <c r="FC57" s="2" t="s">
        <v>435</v>
      </c>
      <c r="FD57" s="2" t="s">
        <v>435</v>
      </c>
      <c r="FE57" s="2" t="s">
        <v>435</v>
      </c>
      <c r="FF57" s="2" t="s">
        <v>435</v>
      </c>
      <c r="FG57" s="2" t="s">
        <v>435</v>
      </c>
      <c r="FH57" s="2" t="s">
        <v>435</v>
      </c>
      <c r="FI57" s="2" t="s">
        <v>435</v>
      </c>
      <c r="FJ57" s="2" t="s">
        <v>435</v>
      </c>
      <c r="FK57" s="2" t="s">
        <v>435</v>
      </c>
      <c r="FL57" s="2" t="s">
        <v>435</v>
      </c>
      <c r="FM57" s="2" t="s">
        <v>435</v>
      </c>
      <c r="FN57" s="2" t="s">
        <v>435</v>
      </c>
      <c r="FO57" s="2" t="s">
        <v>435</v>
      </c>
      <c r="FP57" s="2" t="s">
        <v>435</v>
      </c>
    </row>
    <row r="58" spans="1:172" s="373" customFormat="1">
      <c r="A58" s="373" t="s">
        <v>1018</v>
      </c>
      <c r="B58" s="373" t="s">
        <v>249</v>
      </c>
      <c r="C58" s="373" t="s">
        <v>980</v>
      </c>
      <c r="D58" s="373" t="s">
        <v>1019</v>
      </c>
      <c r="E58" s="373" t="s">
        <v>828</v>
      </c>
      <c r="F58" s="385" t="s">
        <v>356</v>
      </c>
      <c r="G58" s="385" t="s">
        <v>356</v>
      </c>
      <c r="H58" s="385">
        <v>30.5</v>
      </c>
      <c r="I58" s="385">
        <v>29.5</v>
      </c>
      <c r="J58" s="385"/>
      <c r="K58" s="385">
        <f t="shared" si="353"/>
        <v>31.000000000365002</v>
      </c>
      <c r="L58" s="385">
        <f t="shared" si="354"/>
        <v>29.500000000340002</v>
      </c>
      <c r="M58" s="385" t="s">
        <v>1021</v>
      </c>
      <c r="N58" s="385" t="s">
        <v>2955</v>
      </c>
      <c r="O58" s="385" t="s">
        <v>1022</v>
      </c>
      <c r="P58" s="385" t="s">
        <v>1023</v>
      </c>
      <c r="Q58" s="385" t="s">
        <v>356</v>
      </c>
      <c r="R58" s="385" t="s">
        <v>1020</v>
      </c>
      <c r="S58" s="385" t="s">
        <v>817</v>
      </c>
      <c r="T58" s="385">
        <v>29</v>
      </c>
      <c r="U58" s="385" cm="1">
        <f t="array" ref="U58">IFERROR(INDEX('Offer Statistics'!$Q$2:$Q$350,MATCH(1,(A58='Offer Statistics'!$B$2:$B$350)*($A$11='Offer Statistics'!$K$2:$K$350),0)),"/")</f>
        <v>32</v>
      </c>
      <c r="V58" s="385" cm="1">
        <f t="array" ref="V58">IFERROR(INDEX('Offer Statistics'!$D$2:$D$350,MATCH(1,(A58='Offer Statistics'!$B$2:$B$350)*($A$11='Offer Statistics'!$K$2:$K$350),0)),"/")</f>
        <v>104</v>
      </c>
      <c r="W58" s="385" cm="1">
        <f t="array" ref="W58">IFERROR(INDEX('Offer Statistics'!$L$2:$L$350,MATCH(1,(A58='Offer Statistics'!$B$2:$B$350)*($A$11='Offer Statistics'!$K$2:$K$350),0)),"/")</f>
        <v>24</v>
      </c>
      <c r="X58" s="385">
        <f t="shared" si="319"/>
        <v>4.333333333333333</v>
      </c>
      <c r="Y58" s="385" t="s">
        <v>817</v>
      </c>
      <c r="Z58" s="373" t="str">
        <f>入學要求!AF67</f>
        <v>以下一科選修取得Lv.3︰化學、DAT、物理</v>
      </c>
      <c r="AA58" s="373" t="str">
        <f>入學要求!AG67</f>
        <v>/</v>
      </c>
      <c r="AB58" s="374" t="s">
        <v>889</v>
      </c>
      <c r="AC58" s="373" t="s">
        <v>2854</v>
      </c>
      <c r="AE58" s="374" t="s">
        <v>1004</v>
      </c>
      <c r="AG58" s="373" t="s">
        <v>1022</v>
      </c>
      <c r="AH58" s="373" t="s">
        <v>1023</v>
      </c>
      <c r="AI58" s="373" t="s">
        <v>356</v>
      </c>
      <c r="AJ58" s="373" t="s">
        <v>958</v>
      </c>
      <c r="AK58" s="373" t="s">
        <v>818</v>
      </c>
      <c r="AL58" s="373" t="s">
        <v>844</v>
      </c>
      <c r="AM58" s="373" t="s">
        <v>356</v>
      </c>
      <c r="AN58" s="373" t="s">
        <v>435</v>
      </c>
      <c r="AO58" s="373" t="s">
        <v>435</v>
      </c>
      <c r="AP58" s="373" t="s">
        <v>435</v>
      </c>
      <c r="AQ58" s="373" t="s">
        <v>356</v>
      </c>
      <c r="AS58" s="373" t="s">
        <v>820</v>
      </c>
      <c r="AU58" s="373" t="s">
        <v>817</v>
      </c>
      <c r="AY58" s="373">
        <v>1</v>
      </c>
      <c r="AZ58" s="373">
        <v>1.5</v>
      </c>
      <c r="BA58" s="373">
        <v>2</v>
      </c>
      <c r="BB58" s="373">
        <v>1</v>
      </c>
      <c r="BC58" s="373">
        <v>1.5</v>
      </c>
      <c r="BD58" s="373">
        <v>1</v>
      </c>
      <c r="BE58" s="373">
        <v>2</v>
      </c>
      <c r="BF58" s="373">
        <v>1</v>
      </c>
      <c r="BG58" s="373" t="s">
        <v>1018</v>
      </c>
      <c r="BH58" s="373">
        <v>3</v>
      </c>
      <c r="BI58" s="373">
        <v>3</v>
      </c>
      <c r="BJ58" s="373">
        <v>5</v>
      </c>
      <c r="BK58" s="373">
        <v>3</v>
      </c>
      <c r="BL58" s="373" t="s">
        <v>356</v>
      </c>
      <c r="BM58" s="373">
        <v>3</v>
      </c>
      <c r="BN58" s="373">
        <v>3</v>
      </c>
      <c r="BO58" s="373" t="s">
        <v>356</v>
      </c>
      <c r="BP58" s="206">
        <f t="shared" si="320"/>
        <v>3.00000000004</v>
      </c>
      <c r="BQ58" s="206">
        <f t="shared" si="321"/>
        <v>3.00000000002</v>
      </c>
      <c r="BR58" s="206">
        <f t="shared" si="322"/>
        <v>5.00000000003</v>
      </c>
      <c r="BS58" s="206">
        <f t="shared" si="323"/>
        <v>3.00000000001</v>
      </c>
      <c r="BT58" s="206">
        <f t="shared" si="324"/>
        <v>0</v>
      </c>
      <c r="BU58" s="206">
        <f t="shared" si="325"/>
        <v>3.00000000006</v>
      </c>
      <c r="BV58" s="206">
        <f t="shared" si="326"/>
        <v>3.00000000007</v>
      </c>
      <c r="BW58" s="206">
        <f t="shared" si="327"/>
        <v>0</v>
      </c>
      <c r="BX58" s="373">
        <f t="shared" si="337"/>
        <v>3.00000000004</v>
      </c>
      <c r="BY58" s="373">
        <f t="shared" si="338"/>
        <v>4.50000000003</v>
      </c>
      <c r="BZ58" s="373">
        <f t="shared" si="339"/>
        <v>10.00000000006</v>
      </c>
      <c r="CA58" s="373">
        <f t="shared" si="340"/>
        <v>3.00000000001</v>
      </c>
      <c r="CB58" s="373">
        <f t="shared" si="341"/>
        <v>0</v>
      </c>
      <c r="CC58" s="373">
        <f t="shared" si="342"/>
        <v>3.00000000006</v>
      </c>
      <c r="CD58" s="373">
        <f t="shared" si="343"/>
        <v>6.00000000014</v>
      </c>
      <c r="CE58" s="373">
        <f t="shared" si="344"/>
        <v>0</v>
      </c>
      <c r="CF58" s="373" t="b">
        <v>1</v>
      </c>
      <c r="CG58" s="373" t="b">
        <v>1</v>
      </c>
      <c r="CH58" s="373" t="b">
        <v>1</v>
      </c>
      <c r="CI58" s="373" t="b">
        <v>1</v>
      </c>
      <c r="CJ58" s="373" t="b">
        <v>0</v>
      </c>
      <c r="CK58" s="373" t="b">
        <v>1</v>
      </c>
      <c r="CL58" s="373" t="b">
        <v>1</v>
      </c>
      <c r="CM58" s="373" t="b">
        <v>0</v>
      </c>
      <c r="CN58" s="373">
        <v>1</v>
      </c>
      <c r="CO58" s="373">
        <v>1.5</v>
      </c>
      <c r="CP58" s="373">
        <v>2</v>
      </c>
      <c r="CQ58" s="373">
        <v>1</v>
      </c>
      <c r="CR58" s="373">
        <v>1.5</v>
      </c>
      <c r="CS58" s="373">
        <v>2</v>
      </c>
      <c r="CT58" s="373">
        <v>1.5</v>
      </c>
      <c r="CU58" s="373">
        <v>1</v>
      </c>
      <c r="CV58" s="373" t="s">
        <v>1018</v>
      </c>
      <c r="CW58" s="373">
        <v>3</v>
      </c>
      <c r="CX58" s="373">
        <v>3</v>
      </c>
      <c r="CY58" s="373">
        <v>4</v>
      </c>
      <c r="CZ58" s="373">
        <v>3</v>
      </c>
      <c r="DA58" s="373" t="s">
        <v>356</v>
      </c>
      <c r="DB58" s="373">
        <v>4</v>
      </c>
      <c r="DC58" s="373">
        <v>3</v>
      </c>
      <c r="DD58" s="373" t="s">
        <v>356</v>
      </c>
      <c r="DE58" s="206">
        <f t="shared" si="328"/>
        <v>3.00000000004</v>
      </c>
      <c r="DF58" s="206">
        <f t="shared" si="329"/>
        <v>3.00000000002</v>
      </c>
      <c r="DG58" s="206">
        <f t="shared" si="330"/>
        <v>4.00000000003</v>
      </c>
      <c r="DH58" s="206">
        <f t="shared" si="331"/>
        <v>3.00000000001</v>
      </c>
      <c r="DI58" s="206">
        <f t="shared" si="332"/>
        <v>0</v>
      </c>
      <c r="DJ58" s="206">
        <f t="shared" si="333"/>
        <v>4.00000000006</v>
      </c>
      <c r="DK58" s="206">
        <f t="shared" si="334"/>
        <v>3.00000000007</v>
      </c>
      <c r="DL58" s="206">
        <f t="shared" si="335"/>
        <v>0</v>
      </c>
      <c r="DM58" s="373">
        <f t="shared" si="345"/>
        <v>3.00000000004</v>
      </c>
      <c r="DN58" s="373">
        <f t="shared" si="346"/>
        <v>4.50000000003</v>
      </c>
      <c r="DO58" s="373">
        <f t="shared" si="347"/>
        <v>8.00000000006</v>
      </c>
      <c r="DP58" s="373">
        <f t="shared" si="348"/>
        <v>3.00000000001</v>
      </c>
      <c r="DQ58" s="373">
        <f t="shared" si="349"/>
        <v>0</v>
      </c>
      <c r="DR58" s="373">
        <f t="shared" si="350"/>
        <v>8.00000000012</v>
      </c>
      <c r="DS58" s="373">
        <f t="shared" si="351"/>
        <v>4.5000000001050005</v>
      </c>
      <c r="DT58" s="373">
        <f t="shared" si="352"/>
        <v>0</v>
      </c>
      <c r="DU58" s="373" t="b">
        <v>1</v>
      </c>
      <c r="DV58" s="373" t="b">
        <v>1</v>
      </c>
      <c r="DW58" s="373" t="b">
        <v>1</v>
      </c>
      <c r="DX58" s="373" t="b">
        <v>1</v>
      </c>
      <c r="DY58" s="373" t="b">
        <v>0</v>
      </c>
      <c r="DZ58" s="373" t="b">
        <v>1</v>
      </c>
      <c r="EA58" s="373" t="b">
        <v>1</v>
      </c>
      <c r="EB58" s="373" t="b">
        <v>0</v>
      </c>
      <c r="EC58" s="373" t="s">
        <v>435</v>
      </c>
      <c r="ED58" s="373" t="s">
        <v>435</v>
      </c>
      <c r="EE58" s="373" t="s">
        <v>435</v>
      </c>
      <c r="EF58" s="373" t="s">
        <v>435</v>
      </c>
      <c r="EG58" s="373" t="s">
        <v>435</v>
      </c>
      <c r="EH58" s="373" t="s">
        <v>435</v>
      </c>
      <c r="EI58" s="373" t="s">
        <v>435</v>
      </c>
      <c r="EJ58" s="373" t="s">
        <v>435</v>
      </c>
      <c r="EK58" s="373" t="s">
        <v>435</v>
      </c>
      <c r="EL58" s="373" t="s">
        <v>435</v>
      </c>
      <c r="EM58" s="373" t="s">
        <v>435</v>
      </c>
      <c r="EN58" s="373" t="s">
        <v>435</v>
      </c>
      <c r="EO58" s="373" t="s">
        <v>435</v>
      </c>
      <c r="EP58" s="373" t="s">
        <v>435</v>
      </c>
      <c r="EQ58" s="373" t="s">
        <v>435</v>
      </c>
      <c r="ER58" s="373" t="s">
        <v>435</v>
      </c>
      <c r="FA58" s="373" t="s">
        <v>435</v>
      </c>
      <c r="FB58" s="373" t="s">
        <v>435</v>
      </c>
      <c r="FC58" s="373" t="s">
        <v>435</v>
      </c>
      <c r="FD58" s="373" t="s">
        <v>435</v>
      </c>
      <c r="FE58" s="373" t="s">
        <v>435</v>
      </c>
      <c r="FF58" s="373" t="s">
        <v>435</v>
      </c>
      <c r="FG58" s="373" t="s">
        <v>435</v>
      </c>
      <c r="FH58" s="373" t="s">
        <v>435</v>
      </c>
      <c r="FI58" s="373" t="s">
        <v>435</v>
      </c>
      <c r="FJ58" s="373" t="s">
        <v>435</v>
      </c>
      <c r="FK58" s="373" t="s">
        <v>435</v>
      </c>
      <c r="FL58" s="373" t="s">
        <v>435</v>
      </c>
      <c r="FM58" s="373" t="s">
        <v>435</v>
      </c>
      <c r="FN58" s="373" t="s">
        <v>435</v>
      </c>
      <c r="FO58" s="373" t="s">
        <v>435</v>
      </c>
      <c r="FP58" s="373" t="s">
        <v>435</v>
      </c>
    </row>
    <row r="59" spans="1:172" s="373" customFormat="1">
      <c r="A59" s="373" t="s">
        <v>1024</v>
      </c>
      <c r="B59" s="373" t="s">
        <v>249</v>
      </c>
      <c r="C59" s="373" t="s">
        <v>980</v>
      </c>
      <c r="D59" s="373" t="s">
        <v>1025</v>
      </c>
      <c r="E59" s="373" t="s">
        <v>889</v>
      </c>
      <c r="F59" s="385" t="s">
        <v>356</v>
      </c>
      <c r="G59" s="385" t="s">
        <v>356</v>
      </c>
      <c r="H59" s="385">
        <v>34</v>
      </c>
      <c r="I59" s="385">
        <v>32</v>
      </c>
      <c r="J59" s="385"/>
      <c r="K59" s="385">
        <f t="shared" si="353"/>
        <v>34.000000000370001</v>
      </c>
      <c r="L59" s="385">
        <f t="shared" si="354"/>
        <v>32.000000000370001</v>
      </c>
      <c r="M59" s="385" t="s">
        <v>1027</v>
      </c>
      <c r="N59" s="385" t="s">
        <v>356</v>
      </c>
      <c r="O59" s="385" t="s">
        <v>1028</v>
      </c>
      <c r="P59" s="385" t="s">
        <v>356</v>
      </c>
      <c r="Q59" s="385" t="s">
        <v>356</v>
      </c>
      <c r="R59" s="385" t="s">
        <v>1026</v>
      </c>
      <c r="S59" s="385" t="s">
        <v>817</v>
      </c>
      <c r="T59" s="385">
        <v>44</v>
      </c>
      <c r="U59" s="385" cm="1">
        <f t="array" ref="U59">IFERROR(INDEX('Offer Statistics'!$Q$2:$Q$350,MATCH(1,(A59='Offer Statistics'!$B$2:$B$350)*($A$11='Offer Statistics'!$K$2:$K$350),0)),"/")</f>
        <v>59</v>
      </c>
      <c r="V59" s="385" cm="1">
        <f t="array" ref="V59">IFERROR(INDEX('Offer Statistics'!$D$2:$D$350,MATCH(1,(A59='Offer Statistics'!$B$2:$B$350)*($A$11='Offer Statistics'!$K$2:$K$350),0)),"/")</f>
        <v>244</v>
      </c>
      <c r="W59" s="385" cm="1">
        <f t="array" ref="W59">IFERROR(INDEX('Offer Statistics'!$L$2:$L$350,MATCH(1,(A59='Offer Statistics'!$B$2:$B$350)*($A$11='Offer Statistics'!$K$2:$K$350),0)),"/")</f>
        <v>49</v>
      </c>
      <c r="X59" s="385">
        <f t="shared" si="319"/>
        <v>4.9795918367346941</v>
      </c>
      <c r="Y59" s="385" t="s">
        <v>817</v>
      </c>
      <c r="Z59" s="373" t="str">
        <f>入學要求!AF68</f>
        <v>以下一科選修取得Lv.3︰生物、化學、物理</v>
      </c>
      <c r="AA59" s="373" t="str">
        <f>入學要求!AG68</f>
        <v>/</v>
      </c>
      <c r="AB59" s="374" t="s">
        <v>889</v>
      </c>
      <c r="AC59" s="373" t="s">
        <v>2854</v>
      </c>
      <c r="AE59" s="373" t="s">
        <v>1027</v>
      </c>
      <c r="AF59" s="373" t="s">
        <v>356</v>
      </c>
      <c r="AG59" s="374" t="s">
        <v>2824</v>
      </c>
      <c r="AH59" s="373" t="s">
        <v>356</v>
      </c>
      <c r="AI59" s="373" t="s">
        <v>356</v>
      </c>
      <c r="AJ59" s="373" t="s">
        <v>958</v>
      </c>
      <c r="AK59" s="373" t="s">
        <v>818</v>
      </c>
      <c r="AL59" s="373" t="s">
        <v>844</v>
      </c>
      <c r="AM59" s="373" t="s">
        <v>356</v>
      </c>
      <c r="AN59" s="373" t="s">
        <v>435</v>
      </c>
      <c r="AO59" s="373" t="s">
        <v>435</v>
      </c>
      <c r="AP59" s="373" t="s">
        <v>435</v>
      </c>
      <c r="AQ59" s="373" t="s">
        <v>356</v>
      </c>
      <c r="AS59" s="373" t="s">
        <v>820</v>
      </c>
      <c r="AU59" s="373" t="s">
        <v>817</v>
      </c>
      <c r="AY59" s="373">
        <v>1</v>
      </c>
      <c r="AZ59" s="373">
        <v>2</v>
      </c>
      <c r="BA59" s="373">
        <v>2</v>
      </c>
      <c r="BB59" s="373">
        <v>1</v>
      </c>
      <c r="BC59" s="373">
        <v>2</v>
      </c>
      <c r="BD59" s="373">
        <v>2</v>
      </c>
      <c r="BE59" s="373">
        <v>2</v>
      </c>
      <c r="BF59" s="373">
        <v>1</v>
      </c>
      <c r="BG59" s="373" t="s">
        <v>1024</v>
      </c>
      <c r="BH59" s="373">
        <v>3</v>
      </c>
      <c r="BI59" s="373">
        <v>4</v>
      </c>
      <c r="BJ59" s="373">
        <v>4</v>
      </c>
      <c r="BK59" s="373">
        <v>4</v>
      </c>
      <c r="BL59" s="373" t="s">
        <v>356</v>
      </c>
      <c r="BM59" s="373">
        <v>3</v>
      </c>
      <c r="BN59" s="373">
        <v>3</v>
      </c>
      <c r="BO59" s="373">
        <v>3</v>
      </c>
      <c r="BP59" s="206">
        <f t="shared" si="320"/>
        <v>3.00000000004</v>
      </c>
      <c r="BQ59" s="206">
        <f t="shared" si="321"/>
        <v>4.00000000002</v>
      </c>
      <c r="BR59" s="206">
        <f t="shared" si="322"/>
        <v>4.00000000003</v>
      </c>
      <c r="BS59" s="206">
        <f t="shared" si="323"/>
        <v>4.00000000001</v>
      </c>
      <c r="BT59" s="206">
        <f t="shared" si="324"/>
        <v>0</v>
      </c>
      <c r="BU59" s="206">
        <f t="shared" si="325"/>
        <v>3.00000000006</v>
      </c>
      <c r="BV59" s="206">
        <f t="shared" si="326"/>
        <v>3.00000000007</v>
      </c>
      <c r="BW59" s="206">
        <f t="shared" si="327"/>
        <v>3.00000000008</v>
      </c>
      <c r="BX59" s="373">
        <f t="shared" si="337"/>
        <v>3.00000000004</v>
      </c>
      <c r="BY59" s="373">
        <f t="shared" si="338"/>
        <v>8.00000000004</v>
      </c>
      <c r="BZ59" s="373">
        <f t="shared" si="339"/>
        <v>8.00000000006</v>
      </c>
      <c r="CA59" s="373">
        <f t="shared" si="340"/>
        <v>4.00000000001</v>
      </c>
      <c r="CB59" s="373">
        <f t="shared" si="341"/>
        <v>0</v>
      </c>
      <c r="CC59" s="373">
        <f t="shared" si="342"/>
        <v>6.00000000012</v>
      </c>
      <c r="CD59" s="373">
        <f t="shared" si="343"/>
        <v>6.00000000014</v>
      </c>
      <c r="CE59" s="373">
        <f t="shared" si="344"/>
        <v>3.00000000008</v>
      </c>
      <c r="CF59" s="373" t="b">
        <v>0</v>
      </c>
      <c r="CG59" s="373" t="b">
        <v>1</v>
      </c>
      <c r="CH59" s="373" t="b">
        <v>1</v>
      </c>
      <c r="CI59" s="373" t="b">
        <v>1</v>
      </c>
      <c r="CJ59" s="373" t="b">
        <v>0</v>
      </c>
      <c r="CK59" s="373" t="b">
        <v>1</v>
      </c>
      <c r="CL59" s="373" t="b">
        <v>1</v>
      </c>
      <c r="CM59" s="373" t="b">
        <v>0</v>
      </c>
      <c r="CN59" s="373">
        <v>1</v>
      </c>
      <c r="CO59" s="373">
        <v>2</v>
      </c>
      <c r="CP59" s="373">
        <v>2</v>
      </c>
      <c r="CQ59" s="373">
        <v>1</v>
      </c>
      <c r="CR59" s="373">
        <v>2</v>
      </c>
      <c r="CS59" s="373">
        <v>2</v>
      </c>
      <c r="CT59" s="373">
        <v>2</v>
      </c>
      <c r="CU59" s="373">
        <v>1</v>
      </c>
      <c r="CV59" s="373" t="s">
        <v>1024</v>
      </c>
      <c r="CW59" s="373">
        <v>3</v>
      </c>
      <c r="CX59" s="373">
        <v>3</v>
      </c>
      <c r="CY59" s="373">
        <v>4</v>
      </c>
      <c r="CZ59" s="373">
        <v>4</v>
      </c>
      <c r="DA59" s="373" t="s">
        <v>356</v>
      </c>
      <c r="DB59" s="373">
        <v>4</v>
      </c>
      <c r="DC59" s="373">
        <v>4</v>
      </c>
      <c r="DD59" s="373" t="s">
        <v>356</v>
      </c>
      <c r="DE59" s="206">
        <f t="shared" si="328"/>
        <v>3.00000000004</v>
      </c>
      <c r="DF59" s="206">
        <f t="shared" si="329"/>
        <v>3.00000000002</v>
      </c>
      <c r="DG59" s="206">
        <f t="shared" si="330"/>
        <v>4.00000000003</v>
      </c>
      <c r="DH59" s="206">
        <f t="shared" si="331"/>
        <v>4.00000000001</v>
      </c>
      <c r="DI59" s="206">
        <f t="shared" si="332"/>
        <v>0</v>
      </c>
      <c r="DJ59" s="206">
        <f t="shared" si="333"/>
        <v>4.00000000006</v>
      </c>
      <c r="DK59" s="206">
        <f t="shared" si="334"/>
        <v>4.00000000007</v>
      </c>
      <c r="DL59" s="206">
        <f t="shared" si="335"/>
        <v>0</v>
      </c>
      <c r="DM59" s="373">
        <f t="shared" si="345"/>
        <v>3.00000000004</v>
      </c>
      <c r="DN59" s="373">
        <f t="shared" si="346"/>
        <v>6.00000000004</v>
      </c>
      <c r="DO59" s="373">
        <f t="shared" si="347"/>
        <v>8.00000000006</v>
      </c>
      <c r="DP59" s="373">
        <f t="shared" si="348"/>
        <v>4.00000000001</v>
      </c>
      <c r="DQ59" s="373">
        <f t="shared" si="349"/>
        <v>0</v>
      </c>
      <c r="DR59" s="373">
        <f t="shared" si="350"/>
        <v>8.00000000012</v>
      </c>
      <c r="DS59" s="373">
        <f t="shared" si="351"/>
        <v>8.00000000014</v>
      </c>
      <c r="DT59" s="373">
        <f t="shared" si="352"/>
        <v>0</v>
      </c>
      <c r="DU59" s="373" t="b">
        <v>0</v>
      </c>
      <c r="DV59" s="373" t="b">
        <v>1</v>
      </c>
      <c r="DW59" s="373" t="b">
        <v>1</v>
      </c>
      <c r="DX59" s="373" t="b">
        <v>1</v>
      </c>
      <c r="DY59" s="373" t="b">
        <v>0</v>
      </c>
      <c r="DZ59" s="373" t="b">
        <v>1</v>
      </c>
      <c r="EA59" s="373" t="b">
        <v>1</v>
      </c>
      <c r="EB59" s="373" t="b">
        <v>0</v>
      </c>
      <c r="EC59" s="373" t="s">
        <v>435</v>
      </c>
      <c r="ED59" s="373" t="s">
        <v>435</v>
      </c>
      <c r="EE59" s="373" t="s">
        <v>435</v>
      </c>
      <c r="EF59" s="373" t="s">
        <v>435</v>
      </c>
      <c r="EG59" s="373" t="s">
        <v>435</v>
      </c>
      <c r="EH59" s="373" t="s">
        <v>435</v>
      </c>
      <c r="EI59" s="373" t="s">
        <v>435</v>
      </c>
      <c r="EJ59" s="373" t="s">
        <v>435</v>
      </c>
      <c r="EK59" s="373" t="s">
        <v>435</v>
      </c>
      <c r="EL59" s="373" t="s">
        <v>435</v>
      </c>
      <c r="EM59" s="373" t="s">
        <v>435</v>
      </c>
      <c r="EN59" s="373" t="s">
        <v>435</v>
      </c>
      <c r="EO59" s="373" t="s">
        <v>435</v>
      </c>
      <c r="EP59" s="373" t="s">
        <v>435</v>
      </c>
      <c r="EQ59" s="373" t="s">
        <v>435</v>
      </c>
      <c r="ER59" s="373" t="s">
        <v>435</v>
      </c>
      <c r="FA59" s="373" t="s">
        <v>435</v>
      </c>
      <c r="FB59" s="373" t="s">
        <v>435</v>
      </c>
      <c r="FC59" s="373" t="s">
        <v>435</v>
      </c>
      <c r="FD59" s="373" t="s">
        <v>435</v>
      </c>
      <c r="FE59" s="373" t="s">
        <v>435</v>
      </c>
      <c r="FF59" s="373" t="s">
        <v>435</v>
      </c>
      <c r="FG59" s="373" t="s">
        <v>435</v>
      </c>
      <c r="FH59" s="373" t="s">
        <v>435</v>
      </c>
      <c r="FI59" s="373" t="s">
        <v>435</v>
      </c>
      <c r="FJ59" s="373" t="s">
        <v>435</v>
      </c>
      <c r="FK59" s="373" t="s">
        <v>435</v>
      </c>
      <c r="FL59" s="373" t="s">
        <v>435</v>
      </c>
      <c r="FM59" s="373" t="s">
        <v>435</v>
      </c>
      <c r="FN59" s="373" t="s">
        <v>435</v>
      </c>
      <c r="FO59" s="373" t="s">
        <v>435</v>
      </c>
      <c r="FP59" s="373" t="s">
        <v>435</v>
      </c>
    </row>
    <row r="60" spans="1:172" s="373" customFormat="1">
      <c r="A60" s="373" t="s">
        <v>1029</v>
      </c>
      <c r="B60" s="373" t="s">
        <v>249</v>
      </c>
      <c r="C60" s="373" t="s">
        <v>980</v>
      </c>
      <c r="D60" s="373" t="s">
        <v>1030</v>
      </c>
      <c r="E60" s="373" t="s">
        <v>889</v>
      </c>
      <c r="F60" s="385" t="s">
        <v>356</v>
      </c>
      <c r="G60" s="385" t="s">
        <v>356</v>
      </c>
      <c r="H60" s="385">
        <v>30</v>
      </c>
      <c r="I60" s="385">
        <v>30</v>
      </c>
      <c r="J60" s="385"/>
      <c r="K60" s="385">
        <f t="shared" si="353"/>
        <v>30.000000000329997</v>
      </c>
      <c r="L60" s="385">
        <f t="shared" si="354"/>
        <v>30.000000000379998</v>
      </c>
      <c r="M60" s="385" t="s">
        <v>998</v>
      </c>
      <c r="N60" s="385" t="s">
        <v>356</v>
      </c>
      <c r="O60" s="385" t="s">
        <v>1032</v>
      </c>
      <c r="P60" s="385" t="s">
        <v>2956</v>
      </c>
      <c r="Q60" s="385" t="s">
        <v>356</v>
      </c>
      <c r="R60" s="385" t="s">
        <v>1031</v>
      </c>
      <c r="S60" s="385" t="s">
        <v>817</v>
      </c>
      <c r="T60" s="385">
        <v>24</v>
      </c>
      <c r="U60" s="385" cm="1">
        <f t="array" ref="U60">IFERROR(INDEX('Offer Statistics'!$Q$2:$Q$350,MATCH(1,(A60='Offer Statistics'!$B$2:$B$350)*($A$11='Offer Statistics'!$K$2:$K$350),0)),"/")</f>
        <v>21</v>
      </c>
      <c r="V60" s="385" cm="1">
        <f t="array" ref="V60">IFERROR(INDEX('Offer Statistics'!$D$2:$D$350,MATCH(1,(A60='Offer Statistics'!$B$2:$B$350)*($A$11='Offer Statistics'!$K$2:$K$350),0)),"/")</f>
        <v>233</v>
      </c>
      <c r="W60" s="385" cm="1">
        <f t="array" ref="W60">IFERROR(INDEX('Offer Statistics'!$L$2:$L$350,MATCH(1,(A60='Offer Statistics'!$B$2:$B$350)*($A$11='Offer Statistics'!$K$2:$K$350),0)),"/")</f>
        <v>14</v>
      </c>
      <c r="X60" s="385">
        <f t="shared" si="319"/>
        <v>16.642857142857142</v>
      </c>
      <c r="Y60" s="385" t="s">
        <v>817</v>
      </c>
      <c r="Z60" s="373" t="str">
        <f>入學要求!AF69</f>
        <v>以下一科選修取得Lv.3︰化學、DAT、ICT、M1/2、物理</v>
      </c>
      <c r="AA60" s="373" t="str">
        <f>入學要求!AG69</f>
        <v>/</v>
      </c>
      <c r="AB60" s="374" t="s">
        <v>889</v>
      </c>
      <c r="AC60" s="373" t="s">
        <v>2854</v>
      </c>
      <c r="AE60" s="373" t="s">
        <v>998</v>
      </c>
      <c r="AF60" s="373" t="s">
        <v>356</v>
      </c>
      <c r="AG60" s="373" t="s">
        <v>1032</v>
      </c>
      <c r="AH60" s="374" t="s">
        <v>2825</v>
      </c>
      <c r="AI60" s="373" t="s">
        <v>356</v>
      </c>
      <c r="AJ60" s="373" t="s">
        <v>958</v>
      </c>
      <c r="AK60" s="373" t="s">
        <v>818</v>
      </c>
      <c r="AL60" s="373" t="s">
        <v>844</v>
      </c>
      <c r="AM60" s="373" t="s">
        <v>356</v>
      </c>
      <c r="AN60" s="373" t="s">
        <v>435</v>
      </c>
      <c r="AO60" s="373" t="s">
        <v>435</v>
      </c>
      <c r="AP60" s="373" t="s">
        <v>435</v>
      </c>
      <c r="AQ60" s="373" t="s">
        <v>356</v>
      </c>
      <c r="AS60" s="373" t="s">
        <v>820</v>
      </c>
      <c r="AU60" s="373" t="s">
        <v>817</v>
      </c>
      <c r="AY60" s="373">
        <v>1</v>
      </c>
      <c r="AZ60" s="373">
        <v>2</v>
      </c>
      <c r="BA60" s="373">
        <v>2</v>
      </c>
      <c r="BB60" s="373">
        <v>1</v>
      </c>
      <c r="BC60" s="373">
        <v>2</v>
      </c>
      <c r="BD60" s="373">
        <v>1</v>
      </c>
      <c r="BE60" s="373">
        <v>2</v>
      </c>
      <c r="BF60" s="373">
        <v>1</v>
      </c>
      <c r="BG60" s="373" t="s">
        <v>1029</v>
      </c>
      <c r="BH60" s="373">
        <v>3</v>
      </c>
      <c r="BI60" s="373">
        <v>3</v>
      </c>
      <c r="BJ60" s="373">
        <v>4</v>
      </c>
      <c r="BK60" s="373">
        <v>3</v>
      </c>
      <c r="BL60" s="373" t="s">
        <v>356</v>
      </c>
      <c r="BM60" s="373">
        <v>4</v>
      </c>
      <c r="BN60" s="373">
        <v>4</v>
      </c>
      <c r="BO60" s="373">
        <v>4</v>
      </c>
      <c r="BP60" s="206">
        <f t="shared" si="320"/>
        <v>3.00000000004</v>
      </c>
      <c r="BQ60" s="206">
        <f t="shared" si="321"/>
        <v>3.00000000002</v>
      </c>
      <c r="BR60" s="206">
        <f t="shared" si="322"/>
        <v>4.00000000003</v>
      </c>
      <c r="BS60" s="206">
        <f t="shared" si="323"/>
        <v>3.00000000001</v>
      </c>
      <c r="BT60" s="206">
        <f t="shared" si="324"/>
        <v>0</v>
      </c>
      <c r="BU60" s="206">
        <f t="shared" si="325"/>
        <v>4.00000000006</v>
      </c>
      <c r="BV60" s="206">
        <f t="shared" si="326"/>
        <v>4.00000000007</v>
      </c>
      <c r="BW60" s="206">
        <f t="shared" si="327"/>
        <v>4.00000000008</v>
      </c>
      <c r="BX60" s="373">
        <f t="shared" si="337"/>
        <v>3.00000000004</v>
      </c>
      <c r="BY60" s="373">
        <f t="shared" si="338"/>
        <v>6.00000000004</v>
      </c>
      <c r="BZ60" s="373">
        <f t="shared" si="339"/>
        <v>8.00000000006</v>
      </c>
      <c r="CA60" s="373">
        <f t="shared" si="340"/>
        <v>3.00000000001</v>
      </c>
      <c r="CB60" s="373">
        <f t="shared" si="341"/>
        <v>0</v>
      </c>
      <c r="CC60" s="373">
        <f t="shared" si="342"/>
        <v>4.00000000006</v>
      </c>
      <c r="CD60" s="373">
        <f t="shared" si="343"/>
        <v>8.00000000014</v>
      </c>
      <c r="CE60" s="373">
        <f t="shared" si="344"/>
        <v>4.00000000008</v>
      </c>
      <c r="CF60" s="373" t="b">
        <v>0</v>
      </c>
      <c r="CG60" s="373" t="b">
        <v>1</v>
      </c>
      <c r="CH60" s="373" t="b">
        <v>1</v>
      </c>
      <c r="CI60" s="373" t="b">
        <v>0</v>
      </c>
      <c r="CJ60" s="373" t="b">
        <v>0</v>
      </c>
      <c r="CK60" s="373" t="b">
        <v>1</v>
      </c>
      <c r="CL60" s="373" t="b">
        <v>1</v>
      </c>
      <c r="CM60" s="373" t="b">
        <v>1</v>
      </c>
      <c r="CN60" s="373">
        <v>1</v>
      </c>
      <c r="CO60" s="373">
        <v>2</v>
      </c>
      <c r="CP60" s="373">
        <v>2</v>
      </c>
      <c r="CQ60" s="373">
        <v>1</v>
      </c>
      <c r="CR60" s="373">
        <v>2</v>
      </c>
      <c r="CS60" s="373">
        <v>2</v>
      </c>
      <c r="CT60" s="373">
        <v>1</v>
      </c>
      <c r="CU60" s="373">
        <v>1</v>
      </c>
      <c r="CV60" s="373" t="s">
        <v>1029</v>
      </c>
      <c r="CW60" s="373">
        <v>4</v>
      </c>
      <c r="CX60" s="373">
        <v>3</v>
      </c>
      <c r="CY60" s="373">
        <v>4</v>
      </c>
      <c r="CZ60" s="373">
        <v>3</v>
      </c>
      <c r="DA60" s="373" t="s">
        <v>356</v>
      </c>
      <c r="DB60" s="373">
        <v>4</v>
      </c>
      <c r="DC60" s="373">
        <v>4</v>
      </c>
      <c r="DD60" s="373" t="s">
        <v>356</v>
      </c>
      <c r="DE60" s="206">
        <f t="shared" si="328"/>
        <v>4.00000000004</v>
      </c>
      <c r="DF60" s="206">
        <f t="shared" si="329"/>
        <v>3.00000000002</v>
      </c>
      <c r="DG60" s="206">
        <f t="shared" si="330"/>
        <v>4.00000000003</v>
      </c>
      <c r="DH60" s="206">
        <f t="shared" si="331"/>
        <v>3.00000000001</v>
      </c>
      <c r="DI60" s="206">
        <f t="shared" si="332"/>
        <v>0</v>
      </c>
      <c r="DJ60" s="206">
        <f t="shared" si="333"/>
        <v>4.00000000006</v>
      </c>
      <c r="DK60" s="206">
        <f t="shared" si="334"/>
        <v>4.00000000007</v>
      </c>
      <c r="DL60" s="206">
        <f t="shared" si="335"/>
        <v>0</v>
      </c>
      <c r="DM60" s="373">
        <f t="shared" si="345"/>
        <v>4.00000000004</v>
      </c>
      <c r="DN60" s="373">
        <f t="shared" si="346"/>
        <v>6.00000000004</v>
      </c>
      <c r="DO60" s="373">
        <f t="shared" si="347"/>
        <v>8.00000000006</v>
      </c>
      <c r="DP60" s="373">
        <f t="shared" si="348"/>
        <v>3.00000000001</v>
      </c>
      <c r="DQ60" s="373">
        <f t="shared" si="349"/>
        <v>0</v>
      </c>
      <c r="DR60" s="373">
        <f t="shared" si="350"/>
        <v>8.00000000012</v>
      </c>
      <c r="DS60" s="373">
        <f t="shared" si="351"/>
        <v>4.00000000007</v>
      </c>
      <c r="DT60" s="373">
        <f t="shared" si="352"/>
        <v>0</v>
      </c>
      <c r="DU60" s="373" t="b">
        <v>1</v>
      </c>
      <c r="DV60" s="373" t="b">
        <v>1</v>
      </c>
      <c r="DW60" s="373" t="b">
        <v>1</v>
      </c>
      <c r="DX60" s="373" t="b">
        <v>0</v>
      </c>
      <c r="DY60" s="373" t="b">
        <v>0</v>
      </c>
      <c r="DZ60" s="373" t="b">
        <v>1</v>
      </c>
      <c r="EA60" s="373" t="b">
        <v>1</v>
      </c>
      <c r="EB60" s="373" t="b">
        <v>0</v>
      </c>
      <c r="EC60" s="373" t="s">
        <v>435</v>
      </c>
      <c r="ED60" s="373" t="s">
        <v>435</v>
      </c>
      <c r="EE60" s="373" t="s">
        <v>435</v>
      </c>
      <c r="EF60" s="373" t="s">
        <v>435</v>
      </c>
      <c r="EG60" s="373" t="s">
        <v>435</v>
      </c>
      <c r="EH60" s="373" t="s">
        <v>435</v>
      </c>
      <c r="EI60" s="373" t="s">
        <v>435</v>
      </c>
      <c r="EJ60" s="373" t="s">
        <v>435</v>
      </c>
      <c r="EK60" s="373" t="s">
        <v>435</v>
      </c>
      <c r="EL60" s="373" t="s">
        <v>435</v>
      </c>
      <c r="EM60" s="373" t="s">
        <v>435</v>
      </c>
      <c r="EN60" s="373" t="s">
        <v>435</v>
      </c>
      <c r="EO60" s="373" t="s">
        <v>435</v>
      </c>
      <c r="EP60" s="373" t="s">
        <v>435</v>
      </c>
      <c r="EQ60" s="373" t="s">
        <v>435</v>
      </c>
      <c r="ER60" s="373" t="s">
        <v>435</v>
      </c>
      <c r="FA60" s="373" t="s">
        <v>435</v>
      </c>
      <c r="FB60" s="373" t="s">
        <v>435</v>
      </c>
      <c r="FC60" s="373" t="s">
        <v>435</v>
      </c>
      <c r="FD60" s="373" t="s">
        <v>435</v>
      </c>
      <c r="FE60" s="373" t="s">
        <v>435</v>
      </c>
      <c r="FF60" s="373" t="s">
        <v>435</v>
      </c>
      <c r="FG60" s="373" t="s">
        <v>435</v>
      </c>
      <c r="FH60" s="373" t="s">
        <v>435</v>
      </c>
      <c r="FI60" s="373" t="s">
        <v>435</v>
      </c>
      <c r="FJ60" s="373" t="s">
        <v>435</v>
      </c>
      <c r="FK60" s="373" t="s">
        <v>435</v>
      </c>
      <c r="FL60" s="373" t="s">
        <v>435</v>
      </c>
      <c r="FM60" s="373" t="s">
        <v>435</v>
      </c>
      <c r="FN60" s="373" t="s">
        <v>435</v>
      </c>
      <c r="FO60" s="373" t="s">
        <v>435</v>
      </c>
      <c r="FP60" s="373" t="s">
        <v>435</v>
      </c>
    </row>
    <row r="61" spans="1:172" s="373" customFormat="1">
      <c r="A61" s="373" t="s">
        <v>1033</v>
      </c>
      <c r="B61" s="373" t="s">
        <v>249</v>
      </c>
      <c r="C61" s="373" t="s">
        <v>980</v>
      </c>
      <c r="D61" s="373" t="s">
        <v>1034</v>
      </c>
      <c r="E61" s="373" t="s">
        <v>828</v>
      </c>
      <c r="F61" s="385" t="s">
        <v>356</v>
      </c>
      <c r="G61" s="385" t="s">
        <v>356</v>
      </c>
      <c r="H61" s="385">
        <v>38</v>
      </c>
      <c r="I61" s="385">
        <v>37</v>
      </c>
      <c r="J61" s="385"/>
      <c r="K61" s="385">
        <f t="shared" si="353"/>
        <v>38.000000000409997</v>
      </c>
      <c r="L61" s="385">
        <f t="shared" si="354"/>
        <v>36.000000000409997</v>
      </c>
      <c r="M61" s="385" t="s">
        <v>906</v>
      </c>
      <c r="N61" s="385" t="s">
        <v>356</v>
      </c>
      <c r="O61" s="385" t="s">
        <v>1035</v>
      </c>
      <c r="P61" s="385" t="s">
        <v>356</v>
      </c>
      <c r="Q61" s="385" t="s">
        <v>356</v>
      </c>
      <c r="R61" s="385" t="s">
        <v>1036</v>
      </c>
      <c r="S61" s="385" t="s">
        <v>817</v>
      </c>
      <c r="T61" s="385">
        <v>10</v>
      </c>
      <c r="U61" s="385" cm="1">
        <f t="array" ref="U61">IFERROR(INDEX('Offer Statistics'!$Q$2:$Q$350,MATCH(1,(A61='Offer Statistics'!$B$2:$B$350)*($A$11='Offer Statistics'!$K$2:$K$350),0)),"/")</f>
        <v>7</v>
      </c>
      <c r="V61" s="385" cm="1">
        <f t="array" ref="V61">IFERROR(INDEX('Offer Statistics'!$D$2:$D$350,MATCH(1,(A61='Offer Statistics'!$B$2:$B$350)*($A$11='Offer Statistics'!$K$2:$K$350),0)),"/")</f>
        <v>49</v>
      </c>
      <c r="W61" s="385" cm="1">
        <f t="array" ref="W61">IFERROR(INDEX('Offer Statistics'!$L$2:$L$350,MATCH(1,(A61='Offer Statistics'!$B$2:$B$350)*($A$11='Offer Statistics'!$K$2:$K$350),0)),"/")</f>
        <v>5</v>
      </c>
      <c r="X61" s="385">
        <f t="shared" si="319"/>
        <v>9.8000000000000007</v>
      </c>
      <c r="Y61" s="385" t="s">
        <v>817</v>
      </c>
      <c r="Z61" s="373" t="str">
        <f>入學要求!AF70</f>
        <v xml:space="preserve">以下兩科選修取得Lv.3︰生物、化學、DAT、ICT、M1/2、物理 </v>
      </c>
      <c r="AA61" s="373" t="str">
        <f>入學要求!AG70</f>
        <v>/</v>
      </c>
      <c r="AB61" s="374" t="s">
        <v>889</v>
      </c>
      <c r="AC61" s="373" t="s">
        <v>2854</v>
      </c>
      <c r="AE61" s="373" t="s">
        <v>890</v>
      </c>
      <c r="AF61" s="373" t="s">
        <v>356</v>
      </c>
      <c r="AG61" s="373" t="s">
        <v>2826</v>
      </c>
      <c r="AH61" s="373" t="s">
        <v>356</v>
      </c>
      <c r="AI61" s="373" t="s">
        <v>356</v>
      </c>
      <c r="AJ61" s="373" t="s">
        <v>958</v>
      </c>
      <c r="AK61" s="373" t="s">
        <v>818</v>
      </c>
      <c r="AL61" s="373" t="s">
        <v>844</v>
      </c>
      <c r="AM61" s="373" t="s">
        <v>356</v>
      </c>
      <c r="AN61" s="373" t="s">
        <v>435</v>
      </c>
      <c r="AO61" s="373" t="s">
        <v>435</v>
      </c>
      <c r="AP61" s="373" t="s">
        <v>435</v>
      </c>
      <c r="AQ61" s="373" t="s">
        <v>356</v>
      </c>
      <c r="AS61" s="373" t="s">
        <v>820</v>
      </c>
      <c r="AU61" s="373" t="s">
        <v>817</v>
      </c>
      <c r="AY61" s="373">
        <v>1</v>
      </c>
      <c r="AZ61" s="373">
        <v>2</v>
      </c>
      <c r="BA61" s="373">
        <v>2</v>
      </c>
      <c r="BB61" s="373">
        <v>1</v>
      </c>
      <c r="BC61" s="373">
        <v>2</v>
      </c>
      <c r="BD61" s="373">
        <v>2</v>
      </c>
      <c r="BE61" s="373">
        <v>2</v>
      </c>
      <c r="BF61" s="373">
        <v>2</v>
      </c>
      <c r="BG61" s="373" t="s">
        <v>1033</v>
      </c>
      <c r="BH61" s="373">
        <v>3</v>
      </c>
      <c r="BI61" s="373">
        <v>3</v>
      </c>
      <c r="BJ61" s="373">
        <v>4</v>
      </c>
      <c r="BK61" s="373">
        <v>3</v>
      </c>
      <c r="BL61" s="373" t="s">
        <v>356</v>
      </c>
      <c r="BM61" s="373">
        <v>4</v>
      </c>
      <c r="BN61" s="373">
        <v>4</v>
      </c>
      <c r="BO61" s="373" t="s">
        <v>356</v>
      </c>
      <c r="BP61" s="206">
        <f t="shared" si="320"/>
        <v>3.00000000004</v>
      </c>
      <c r="BQ61" s="206">
        <f t="shared" si="321"/>
        <v>3.00000000002</v>
      </c>
      <c r="BR61" s="206">
        <f>IFERROR(BJ61+0.00000000003,0)</f>
        <v>4.00000000003</v>
      </c>
      <c r="BS61" s="206">
        <f t="shared" si="323"/>
        <v>3.00000000001</v>
      </c>
      <c r="BT61" s="206">
        <f t="shared" si="324"/>
        <v>0</v>
      </c>
      <c r="BU61" s="206">
        <f t="shared" si="325"/>
        <v>4.00000000006</v>
      </c>
      <c r="BV61" s="206">
        <f t="shared" si="326"/>
        <v>4.00000000007</v>
      </c>
      <c r="BW61" s="206">
        <f t="shared" si="327"/>
        <v>0</v>
      </c>
      <c r="BX61" s="373">
        <f t="shared" si="337"/>
        <v>3.00000000004</v>
      </c>
      <c r="BY61" s="373">
        <f t="shared" si="338"/>
        <v>6.00000000004</v>
      </c>
      <c r="BZ61" s="373">
        <f t="shared" si="339"/>
        <v>8.00000000006</v>
      </c>
      <c r="CA61" s="373">
        <f t="shared" si="340"/>
        <v>3.00000000001</v>
      </c>
      <c r="CB61" s="373">
        <f t="shared" si="341"/>
        <v>0</v>
      </c>
      <c r="CC61" s="373">
        <f t="shared" si="342"/>
        <v>8.00000000012</v>
      </c>
      <c r="CD61" s="373">
        <f t="shared" si="343"/>
        <v>8.00000000014</v>
      </c>
      <c r="CE61" s="373">
        <f t="shared" si="344"/>
        <v>0</v>
      </c>
      <c r="CF61" s="373" t="b">
        <v>1</v>
      </c>
      <c r="CG61" s="373" t="b">
        <v>1</v>
      </c>
      <c r="CH61" s="373" t="b">
        <v>1</v>
      </c>
      <c r="CI61" s="373" t="b">
        <v>1</v>
      </c>
      <c r="CJ61" s="373" t="b">
        <v>0</v>
      </c>
      <c r="CK61" s="373" t="b">
        <v>1</v>
      </c>
      <c r="CL61" s="373" t="b">
        <v>1</v>
      </c>
      <c r="CM61" s="373" t="b">
        <v>0</v>
      </c>
      <c r="CN61" s="373">
        <v>1</v>
      </c>
      <c r="CO61" s="373">
        <v>2</v>
      </c>
      <c r="CP61" s="373">
        <v>2</v>
      </c>
      <c r="CQ61" s="373">
        <v>1</v>
      </c>
      <c r="CR61" s="373">
        <v>2</v>
      </c>
      <c r="CS61" s="373">
        <v>2</v>
      </c>
      <c r="CT61" s="373">
        <v>2</v>
      </c>
      <c r="CU61" s="373">
        <v>2</v>
      </c>
      <c r="CV61" s="373" t="s">
        <v>1033</v>
      </c>
      <c r="CW61" s="373">
        <v>4</v>
      </c>
      <c r="CX61" s="373">
        <v>4</v>
      </c>
      <c r="CY61" s="373">
        <v>4</v>
      </c>
      <c r="CZ61" s="373">
        <v>4</v>
      </c>
      <c r="DA61" s="373" t="s">
        <v>356</v>
      </c>
      <c r="DB61" s="373">
        <v>4</v>
      </c>
      <c r="DC61" s="373">
        <v>3</v>
      </c>
      <c r="DD61" s="373" t="s">
        <v>356</v>
      </c>
      <c r="DE61" s="206">
        <f t="shared" si="328"/>
        <v>4.00000000004</v>
      </c>
      <c r="DF61" s="206">
        <f t="shared" si="329"/>
        <v>4.00000000002</v>
      </c>
      <c r="DG61" s="206">
        <f t="shared" si="330"/>
        <v>4.00000000003</v>
      </c>
      <c r="DH61" s="206">
        <f t="shared" si="331"/>
        <v>4.00000000001</v>
      </c>
      <c r="DI61" s="206">
        <f t="shared" si="332"/>
        <v>0</v>
      </c>
      <c r="DJ61" s="206">
        <f t="shared" si="333"/>
        <v>4.00000000006</v>
      </c>
      <c r="DK61" s="206">
        <f t="shared" si="334"/>
        <v>3.00000000007</v>
      </c>
      <c r="DL61" s="206">
        <f t="shared" si="335"/>
        <v>0</v>
      </c>
      <c r="DM61" s="373">
        <f t="shared" si="345"/>
        <v>4.00000000004</v>
      </c>
      <c r="DN61" s="373">
        <f t="shared" si="346"/>
        <v>8.00000000004</v>
      </c>
      <c r="DO61" s="373">
        <f t="shared" si="347"/>
        <v>8.00000000006</v>
      </c>
      <c r="DP61" s="373">
        <f t="shared" si="348"/>
        <v>4.00000000001</v>
      </c>
      <c r="DQ61" s="373">
        <f t="shared" si="349"/>
        <v>0</v>
      </c>
      <c r="DR61" s="373">
        <f t="shared" si="350"/>
        <v>8.00000000012</v>
      </c>
      <c r="DS61" s="373">
        <f t="shared" si="351"/>
        <v>6.00000000014</v>
      </c>
      <c r="DT61" s="373">
        <f t="shared" si="352"/>
        <v>0</v>
      </c>
      <c r="DU61" s="373" t="b">
        <v>1</v>
      </c>
      <c r="DV61" s="373" t="b">
        <v>1</v>
      </c>
      <c r="DW61" s="373" t="b">
        <v>1</v>
      </c>
      <c r="DX61" s="373" t="b">
        <v>1</v>
      </c>
      <c r="DY61" s="373" t="s">
        <v>435</v>
      </c>
      <c r="DZ61" s="373" t="b">
        <v>1</v>
      </c>
      <c r="EA61" s="373" t="b">
        <v>1</v>
      </c>
      <c r="EB61" s="373" t="s">
        <v>435</v>
      </c>
      <c r="EC61" s="373" t="s">
        <v>435</v>
      </c>
      <c r="ED61" s="373" t="s">
        <v>435</v>
      </c>
      <c r="EE61" s="373" t="s">
        <v>435</v>
      </c>
      <c r="EF61" s="373" t="s">
        <v>435</v>
      </c>
      <c r="EG61" s="373" t="s">
        <v>435</v>
      </c>
      <c r="EH61" s="373" t="s">
        <v>435</v>
      </c>
      <c r="EI61" s="373" t="s">
        <v>435</v>
      </c>
      <c r="EJ61" s="373" t="s">
        <v>435</v>
      </c>
      <c r="EK61" s="373" t="s">
        <v>435</v>
      </c>
      <c r="EL61" s="373" t="s">
        <v>435</v>
      </c>
      <c r="EM61" s="373" t="s">
        <v>435</v>
      </c>
      <c r="EN61" s="373" t="s">
        <v>435</v>
      </c>
      <c r="EO61" s="373" t="s">
        <v>435</v>
      </c>
      <c r="EP61" s="373" t="s">
        <v>435</v>
      </c>
      <c r="EQ61" s="373" t="s">
        <v>435</v>
      </c>
      <c r="ER61" s="373" t="s">
        <v>435</v>
      </c>
      <c r="FA61" s="373" t="s">
        <v>435</v>
      </c>
      <c r="FB61" s="373" t="s">
        <v>435</v>
      </c>
      <c r="FC61" s="373" t="s">
        <v>435</v>
      </c>
      <c r="FD61" s="373" t="s">
        <v>435</v>
      </c>
      <c r="FE61" s="373" t="s">
        <v>435</v>
      </c>
      <c r="FF61" s="373" t="s">
        <v>435</v>
      </c>
      <c r="FG61" s="373" t="s">
        <v>435</v>
      </c>
      <c r="FH61" s="373" t="s">
        <v>435</v>
      </c>
      <c r="FI61" s="373" t="s">
        <v>435</v>
      </c>
      <c r="FJ61" s="373" t="s">
        <v>435</v>
      </c>
      <c r="FK61" s="373" t="s">
        <v>435</v>
      </c>
      <c r="FL61" s="373" t="s">
        <v>435</v>
      </c>
      <c r="FM61" s="373" t="s">
        <v>435</v>
      </c>
      <c r="FN61" s="373" t="s">
        <v>435</v>
      </c>
      <c r="FO61" s="373" t="s">
        <v>435</v>
      </c>
      <c r="FP61" s="373" t="s">
        <v>435</v>
      </c>
    </row>
    <row r="62" spans="1:172">
      <c r="A62" s="2" t="s">
        <v>1037</v>
      </c>
      <c r="B62" s="2" t="s">
        <v>249</v>
      </c>
      <c r="C62" s="2" t="s">
        <v>1038</v>
      </c>
      <c r="D62" s="2" t="s">
        <v>1039</v>
      </c>
      <c r="E62" s="2" t="s">
        <v>889</v>
      </c>
      <c r="F62" s="385" t="s">
        <v>356</v>
      </c>
      <c r="G62" s="385" t="s">
        <v>356</v>
      </c>
      <c r="H62" s="385" t="s">
        <v>356</v>
      </c>
      <c r="I62" s="385" t="s">
        <v>356</v>
      </c>
      <c r="J62" s="385"/>
      <c r="K62" s="385">
        <f t="shared" si="353"/>
        <v>0</v>
      </c>
      <c r="L62" s="385">
        <f t="shared" si="354"/>
        <v>0</v>
      </c>
      <c r="M62" s="385" t="s">
        <v>998</v>
      </c>
      <c r="N62" s="385" t="s">
        <v>356</v>
      </c>
      <c r="O62" s="385" t="s">
        <v>1042</v>
      </c>
      <c r="P62" s="385" t="s">
        <v>356</v>
      </c>
      <c r="Q62" s="385" t="s">
        <v>356</v>
      </c>
      <c r="R62" s="385" t="s">
        <v>1040</v>
      </c>
      <c r="S62" s="385" t="s">
        <v>817</v>
      </c>
      <c r="T62" s="385">
        <v>9</v>
      </c>
      <c r="U62" s="385" cm="1">
        <f t="array" ref="U62">IFERROR(INDEX('Offer Statistics'!$Q$2:$Q$350,MATCH(1,(A62='Offer Statistics'!$B$2:$B$350)*($A$11='Offer Statistics'!$K$2:$K$350),0)),"/")</f>
        <v>0</v>
      </c>
      <c r="V62" s="385" cm="1">
        <f t="array" ref="V62">IFERROR(INDEX('Offer Statistics'!$D$2:$D$350,MATCH(1,(A62='Offer Statistics'!$B$2:$B$350)*($A$11='Offer Statistics'!$K$2:$K$350),0)),"/")</f>
        <v>6</v>
      </c>
      <c r="W62" s="385" cm="1">
        <f t="array" ref="W62">IFERROR(INDEX('Offer Statistics'!$L$2:$L$350,MATCH(1,(A62='Offer Statistics'!$B$2:$B$350)*($A$11='Offer Statistics'!$K$2:$K$350),0)),"/")</f>
        <v>0</v>
      </c>
      <c r="X62" s="385" t="s">
        <v>1041</v>
      </c>
      <c r="Y62" s="385" t="s">
        <v>817</v>
      </c>
      <c r="Z62" s="95" t="str">
        <f>入學要求!AF71</f>
        <v>以下一科選修取得Lv.3︰BAFS、化學、M1/2、物理</v>
      </c>
      <c r="AA62" s="95" t="str">
        <f>入學要求!AG71</f>
        <v>/</v>
      </c>
      <c r="AB62" s="386" t="s">
        <v>2814</v>
      </c>
      <c r="AC62" s="95"/>
      <c r="AD62" s="95"/>
      <c r="AE62" s="95" t="s">
        <v>2838</v>
      </c>
      <c r="AF62" s="95" t="s">
        <v>356</v>
      </c>
      <c r="AG62" s="95" t="s">
        <v>1042</v>
      </c>
      <c r="AH62" s="95" t="s">
        <v>356</v>
      </c>
      <c r="AI62" s="95" t="s">
        <v>356</v>
      </c>
      <c r="AJ62" s="2" t="s">
        <v>818</v>
      </c>
      <c r="AK62" s="2" t="s">
        <v>918</v>
      </c>
      <c r="AL62" s="2" t="s">
        <v>907</v>
      </c>
      <c r="AM62" s="2" t="s">
        <v>1332</v>
      </c>
      <c r="AN62" s="2" t="s">
        <v>356</v>
      </c>
      <c r="AO62" s="2" t="s">
        <v>356</v>
      </c>
      <c r="AP62" s="2" t="s">
        <v>356</v>
      </c>
      <c r="AQ62" s="2" t="s">
        <v>356</v>
      </c>
      <c r="AS62" s="2" t="s">
        <v>820</v>
      </c>
      <c r="AU62" s="2" t="s">
        <v>817</v>
      </c>
      <c r="AW62" s="202"/>
      <c r="AY62" s="51" t="s">
        <v>435</v>
      </c>
      <c r="AZ62" s="51" t="s">
        <v>435</v>
      </c>
      <c r="BA62" s="51" t="s">
        <v>435</v>
      </c>
      <c r="BB62" s="51" t="s">
        <v>435</v>
      </c>
      <c r="BC62" s="51" t="s">
        <v>435</v>
      </c>
      <c r="BD62" s="51" t="s">
        <v>435</v>
      </c>
      <c r="BE62" s="51" t="s">
        <v>435</v>
      </c>
      <c r="BF62" s="51" t="s">
        <v>435</v>
      </c>
      <c r="BG62" s="51"/>
      <c r="BP62" s="206">
        <f t="shared" si="320"/>
        <v>3.9999999999999998E-11</v>
      </c>
      <c r="BQ62" s="206">
        <f t="shared" si="321"/>
        <v>1.9999999999999999E-11</v>
      </c>
      <c r="BR62" s="206">
        <f t="shared" si="322"/>
        <v>3E-11</v>
      </c>
      <c r="BS62" s="206">
        <f t="shared" si="323"/>
        <v>9.9999999999999994E-12</v>
      </c>
      <c r="BT62" s="206">
        <f t="shared" si="324"/>
        <v>5.0000000000000002E-11</v>
      </c>
      <c r="BU62" s="206">
        <f t="shared" si="325"/>
        <v>6E-11</v>
      </c>
      <c r="BV62" s="206">
        <f t="shared" si="326"/>
        <v>7.0000000000000004E-11</v>
      </c>
      <c r="BW62" s="206">
        <f t="shared" si="327"/>
        <v>7.9999999999999995E-11</v>
      </c>
      <c r="BX62" s="2" t="e">
        <f t="shared" si="337"/>
        <v>#VALUE!</v>
      </c>
      <c r="BY62" s="2" t="e">
        <f t="shared" si="338"/>
        <v>#VALUE!</v>
      </c>
      <c r="BZ62" s="2" t="e">
        <f t="shared" si="339"/>
        <v>#VALUE!</v>
      </c>
      <c r="CA62" s="2" t="e">
        <f t="shared" si="340"/>
        <v>#VALUE!</v>
      </c>
      <c r="CB62" s="2" t="e">
        <f t="shared" si="341"/>
        <v>#VALUE!</v>
      </c>
      <c r="CC62" s="2" t="e">
        <f t="shared" si="342"/>
        <v>#VALUE!</v>
      </c>
      <c r="CD62" s="2" t="e">
        <f t="shared" si="343"/>
        <v>#VALUE!</v>
      </c>
      <c r="CE62" s="2" t="e">
        <f t="shared" si="344"/>
        <v>#VALUE!</v>
      </c>
      <c r="CF62" s="2" t="s">
        <v>435</v>
      </c>
      <c r="CG62" s="2" t="s">
        <v>435</v>
      </c>
      <c r="CH62" s="2" t="s">
        <v>435</v>
      </c>
      <c r="CI62" s="2" t="s">
        <v>435</v>
      </c>
      <c r="CJ62" s="2" t="s">
        <v>435</v>
      </c>
      <c r="CK62" s="2" t="s">
        <v>435</v>
      </c>
      <c r="CL62" s="2" t="s">
        <v>435</v>
      </c>
      <c r="CM62" s="2" t="s">
        <v>435</v>
      </c>
      <c r="CN62" s="51" t="s">
        <v>435</v>
      </c>
      <c r="CO62" s="51" t="s">
        <v>435</v>
      </c>
      <c r="CP62" s="51" t="s">
        <v>435</v>
      </c>
      <c r="CQ62" s="51" t="s">
        <v>435</v>
      </c>
      <c r="CR62" s="51" t="s">
        <v>435</v>
      </c>
      <c r="CS62" s="51" t="s">
        <v>435</v>
      </c>
      <c r="CT62" s="51" t="s">
        <v>435</v>
      </c>
      <c r="CU62" s="51" t="s">
        <v>435</v>
      </c>
      <c r="CV62" s="51"/>
      <c r="DE62" s="206">
        <f t="shared" si="328"/>
        <v>3.9999999999999998E-11</v>
      </c>
      <c r="DF62" s="206">
        <f t="shared" si="329"/>
        <v>1.9999999999999999E-11</v>
      </c>
      <c r="DG62" s="206">
        <f t="shared" si="330"/>
        <v>3E-11</v>
      </c>
      <c r="DH62" s="206">
        <f t="shared" si="331"/>
        <v>9.9999999999999994E-12</v>
      </c>
      <c r="DI62" s="206">
        <f t="shared" si="332"/>
        <v>5.0000000000000002E-11</v>
      </c>
      <c r="DJ62" s="206">
        <f t="shared" si="333"/>
        <v>6E-11</v>
      </c>
      <c r="DK62" s="206">
        <f t="shared" si="334"/>
        <v>7.0000000000000004E-11</v>
      </c>
      <c r="DL62" s="206">
        <f t="shared" si="335"/>
        <v>7.9999999999999995E-11</v>
      </c>
      <c r="DM62" s="2" t="e">
        <f t="shared" si="345"/>
        <v>#VALUE!</v>
      </c>
      <c r="DN62" s="2" t="e">
        <f t="shared" si="346"/>
        <v>#VALUE!</v>
      </c>
      <c r="DO62" s="2" t="e">
        <f t="shared" si="347"/>
        <v>#VALUE!</v>
      </c>
      <c r="DP62" s="2" t="e">
        <f t="shared" si="348"/>
        <v>#VALUE!</v>
      </c>
      <c r="DQ62" s="2" t="e">
        <f t="shared" si="349"/>
        <v>#VALUE!</v>
      </c>
      <c r="DR62" s="2" t="e">
        <f t="shared" si="350"/>
        <v>#VALUE!</v>
      </c>
      <c r="DS62" s="2" t="e">
        <f t="shared" si="351"/>
        <v>#VALUE!</v>
      </c>
      <c r="DT62" s="2" t="e">
        <f t="shared" si="352"/>
        <v>#VALUE!</v>
      </c>
      <c r="DU62" s="2" t="s">
        <v>435</v>
      </c>
      <c r="DV62" s="2" t="s">
        <v>435</v>
      </c>
      <c r="DW62" s="2" t="s">
        <v>435</v>
      </c>
      <c r="DX62" s="2" t="s">
        <v>435</v>
      </c>
      <c r="DY62" s="2" t="s">
        <v>435</v>
      </c>
      <c r="DZ62" s="2" t="s">
        <v>435</v>
      </c>
      <c r="EA62" s="2" t="s">
        <v>435</v>
      </c>
      <c r="EB62" s="2" t="s">
        <v>435</v>
      </c>
      <c r="EC62" s="2" t="s">
        <v>435</v>
      </c>
      <c r="ED62" s="2" t="s">
        <v>435</v>
      </c>
      <c r="EE62" s="2" t="s">
        <v>435</v>
      </c>
      <c r="EF62" s="2" t="s">
        <v>435</v>
      </c>
      <c r="EG62" s="2" t="s">
        <v>435</v>
      </c>
      <c r="EH62" s="2" t="s">
        <v>435</v>
      </c>
      <c r="EI62" s="2" t="s">
        <v>435</v>
      </c>
      <c r="EJ62" s="2" t="s">
        <v>435</v>
      </c>
      <c r="EK62" s="2" t="s">
        <v>435</v>
      </c>
      <c r="EL62" s="2" t="s">
        <v>435</v>
      </c>
      <c r="EM62" s="2" t="s">
        <v>435</v>
      </c>
      <c r="EN62" s="2" t="s">
        <v>435</v>
      </c>
      <c r="EO62" s="2" t="s">
        <v>435</v>
      </c>
      <c r="EP62" s="2" t="s">
        <v>435</v>
      </c>
      <c r="EQ62" s="2" t="s">
        <v>435</v>
      </c>
      <c r="ER62" s="2" t="s">
        <v>435</v>
      </c>
      <c r="FA62" s="2" t="s">
        <v>435</v>
      </c>
      <c r="FB62" s="2" t="s">
        <v>435</v>
      </c>
      <c r="FC62" s="2" t="s">
        <v>435</v>
      </c>
      <c r="FD62" s="2" t="s">
        <v>435</v>
      </c>
      <c r="FE62" s="2" t="s">
        <v>435</v>
      </c>
      <c r="FF62" s="2" t="s">
        <v>435</v>
      </c>
      <c r="FG62" s="2" t="s">
        <v>435</v>
      </c>
      <c r="FH62" s="2" t="s">
        <v>435</v>
      </c>
      <c r="FI62" s="2" t="s">
        <v>435</v>
      </c>
      <c r="FJ62" s="2" t="s">
        <v>435</v>
      </c>
      <c r="FK62" s="2" t="s">
        <v>435</v>
      </c>
      <c r="FL62" s="2" t="s">
        <v>435</v>
      </c>
      <c r="FM62" s="2" t="s">
        <v>435</v>
      </c>
      <c r="FN62" s="2" t="s">
        <v>435</v>
      </c>
      <c r="FO62" s="2" t="s">
        <v>435</v>
      </c>
      <c r="FP62" s="2" t="s">
        <v>435</v>
      </c>
    </row>
    <row r="63" spans="1:172" s="373" customFormat="1">
      <c r="A63" s="373" t="s">
        <v>1043</v>
      </c>
      <c r="B63" s="373" t="s">
        <v>249</v>
      </c>
      <c r="C63" s="373" t="s">
        <v>975</v>
      </c>
      <c r="D63" s="373" t="s">
        <v>1044</v>
      </c>
      <c r="E63" s="373" t="s">
        <v>815</v>
      </c>
      <c r="F63" s="385" t="s">
        <v>356</v>
      </c>
      <c r="G63" s="385" t="s">
        <v>356</v>
      </c>
      <c r="H63" s="385">
        <v>24</v>
      </c>
      <c r="I63" s="385">
        <v>23</v>
      </c>
      <c r="J63" s="385"/>
      <c r="K63" s="385">
        <f t="shared" si="353"/>
        <v>24.000000000229999</v>
      </c>
      <c r="L63" s="385">
        <f t="shared" si="354"/>
        <v>23.000000000229999</v>
      </c>
      <c r="M63" s="385" t="s">
        <v>356</v>
      </c>
      <c r="N63" s="385" t="s">
        <v>356</v>
      </c>
      <c r="O63" s="385" t="s">
        <v>356</v>
      </c>
      <c r="P63" s="385" t="s">
        <v>356</v>
      </c>
      <c r="Q63" s="385" t="s">
        <v>356</v>
      </c>
      <c r="R63" s="385" t="s">
        <v>1045</v>
      </c>
      <c r="S63" s="385" t="s">
        <v>817</v>
      </c>
      <c r="T63" s="385">
        <v>10</v>
      </c>
      <c r="U63" s="385" cm="1">
        <f t="array" ref="U63">IFERROR(INDEX('Offer Statistics'!$Q$2:$Q$350,MATCH(1,(A63='Offer Statistics'!$B$2:$B$350)*($A$11='Offer Statistics'!$K$2:$K$350),0)),"/")</f>
        <v>11</v>
      </c>
      <c r="V63" s="385" cm="1">
        <f t="array" ref="V63">IFERROR(INDEX('Offer Statistics'!$D$2:$D$350,MATCH(1,(A63='Offer Statistics'!$B$2:$B$350)*($A$11='Offer Statistics'!$K$2:$K$350),0)),"/")</f>
        <v>108</v>
      </c>
      <c r="W63" s="385" cm="1">
        <f t="array" ref="W63">IFERROR(INDEX('Offer Statistics'!$L$2:$L$350,MATCH(1,(A63='Offer Statistics'!$B$2:$B$350)*($A$11='Offer Statistics'!$K$2:$K$350),0)),"/")</f>
        <v>11</v>
      </c>
      <c r="X63" s="385">
        <f t="shared" si="319"/>
        <v>9.8181818181818183</v>
      </c>
      <c r="Y63" s="385" t="s">
        <v>817</v>
      </c>
      <c r="Z63" s="373" t="str">
        <f>入學要求!AF72</f>
        <v>以下一科選修取得Lv.3︰生物、化學、ICT、M1/2、物理</v>
      </c>
      <c r="AA63" s="373" t="str">
        <f>入學要求!AG72</f>
        <v>/</v>
      </c>
      <c r="AB63" s="375" t="s">
        <v>889</v>
      </c>
      <c r="AC63" s="373" t="s">
        <v>2888</v>
      </c>
      <c r="AE63" s="373" t="s">
        <v>356</v>
      </c>
      <c r="AF63" s="373" t="s">
        <v>356</v>
      </c>
      <c r="AG63" s="373" t="s">
        <v>356</v>
      </c>
      <c r="AH63" s="373" t="s">
        <v>356</v>
      </c>
      <c r="AI63" s="373" t="s">
        <v>356</v>
      </c>
      <c r="AJ63" s="373" t="s">
        <v>958</v>
      </c>
      <c r="AK63" s="373" t="s">
        <v>818</v>
      </c>
      <c r="AL63" s="373" t="s">
        <v>993</v>
      </c>
      <c r="AM63" s="373" t="s">
        <v>356</v>
      </c>
      <c r="AN63" s="373" t="s">
        <v>435</v>
      </c>
      <c r="AO63" s="373" t="s">
        <v>435</v>
      </c>
      <c r="AP63" s="373" t="s">
        <v>435</v>
      </c>
      <c r="AQ63" s="373" t="s">
        <v>356</v>
      </c>
      <c r="AS63" s="373" t="s">
        <v>820</v>
      </c>
      <c r="AU63" s="373" t="s">
        <v>817</v>
      </c>
      <c r="AY63" s="373">
        <v>1</v>
      </c>
      <c r="AZ63" s="373">
        <v>1</v>
      </c>
      <c r="BA63" s="373">
        <v>1</v>
      </c>
      <c r="BB63" s="373">
        <v>1</v>
      </c>
      <c r="BC63" s="373">
        <v>1</v>
      </c>
      <c r="BD63" s="373">
        <v>1</v>
      </c>
      <c r="BE63" s="373">
        <v>1</v>
      </c>
      <c r="BF63" s="373">
        <v>1</v>
      </c>
      <c r="BG63" s="373" t="s">
        <v>1043</v>
      </c>
      <c r="BH63" s="373">
        <v>3</v>
      </c>
      <c r="BI63" s="373">
        <v>4</v>
      </c>
      <c r="BJ63" s="373">
        <v>4</v>
      </c>
      <c r="BK63" s="373">
        <v>4</v>
      </c>
      <c r="BL63" s="373" t="s">
        <v>356</v>
      </c>
      <c r="BM63" s="373">
        <v>4</v>
      </c>
      <c r="BN63" s="373">
        <v>4</v>
      </c>
      <c r="BO63" s="373">
        <v>3</v>
      </c>
      <c r="BP63" s="206">
        <f t="shared" si="320"/>
        <v>3.00000000004</v>
      </c>
      <c r="BQ63" s="206">
        <f t="shared" si="321"/>
        <v>4.00000000002</v>
      </c>
      <c r="BR63" s="206">
        <f t="shared" si="322"/>
        <v>4.00000000003</v>
      </c>
      <c r="BS63" s="206">
        <f t="shared" si="323"/>
        <v>4.00000000001</v>
      </c>
      <c r="BT63" s="206">
        <f t="shared" si="324"/>
        <v>0</v>
      </c>
      <c r="BU63" s="206">
        <f t="shared" si="325"/>
        <v>4.00000000006</v>
      </c>
      <c r="BV63" s="206">
        <f t="shared" si="326"/>
        <v>4.00000000007</v>
      </c>
      <c r="BW63" s="206">
        <f t="shared" si="327"/>
        <v>3.00000000008</v>
      </c>
      <c r="BX63" s="373">
        <f t="shared" si="337"/>
        <v>3.00000000004</v>
      </c>
      <c r="BY63" s="373">
        <f t="shared" si="338"/>
        <v>4.00000000002</v>
      </c>
      <c r="BZ63" s="373">
        <f t="shared" si="339"/>
        <v>4.00000000003</v>
      </c>
      <c r="CA63" s="373">
        <f t="shared" si="340"/>
        <v>4.00000000001</v>
      </c>
      <c r="CB63" s="373">
        <f t="shared" si="341"/>
        <v>0</v>
      </c>
      <c r="CC63" s="373">
        <f t="shared" si="342"/>
        <v>4.00000000006</v>
      </c>
      <c r="CD63" s="373">
        <f t="shared" si="343"/>
        <v>4.00000000007</v>
      </c>
      <c r="CE63" s="373">
        <f t="shared" si="344"/>
        <v>3.00000000008</v>
      </c>
      <c r="CF63" s="373" t="b">
        <v>1</v>
      </c>
      <c r="CG63" s="373" t="b">
        <v>1</v>
      </c>
      <c r="CH63" s="373" t="b">
        <v>1</v>
      </c>
      <c r="CI63" s="373" t="b">
        <v>1</v>
      </c>
      <c r="CJ63" s="373" t="b">
        <v>0</v>
      </c>
      <c r="CK63" s="373" t="b">
        <v>1</v>
      </c>
      <c r="CL63" s="373" t="b">
        <v>1</v>
      </c>
      <c r="CM63" s="373" t="b">
        <v>0</v>
      </c>
      <c r="CN63" s="373">
        <v>1</v>
      </c>
      <c r="CO63" s="373">
        <v>1</v>
      </c>
      <c r="CP63" s="373">
        <v>1</v>
      </c>
      <c r="CQ63" s="373">
        <v>1</v>
      </c>
      <c r="CR63" s="373">
        <v>1</v>
      </c>
      <c r="CS63" s="373">
        <v>1</v>
      </c>
      <c r="CT63" s="373">
        <v>1</v>
      </c>
      <c r="CU63" s="373">
        <v>1</v>
      </c>
      <c r="CV63" s="373" t="s">
        <v>1043</v>
      </c>
      <c r="CW63" s="373">
        <v>3</v>
      </c>
      <c r="CX63" s="373">
        <v>3</v>
      </c>
      <c r="CY63" s="373">
        <v>4</v>
      </c>
      <c r="CZ63" s="373">
        <v>3</v>
      </c>
      <c r="DA63" s="373" t="s">
        <v>356</v>
      </c>
      <c r="DB63" s="373">
        <v>6</v>
      </c>
      <c r="DC63" s="373">
        <v>5</v>
      </c>
      <c r="DD63" s="373">
        <v>3</v>
      </c>
      <c r="DE63" s="206">
        <f t="shared" si="328"/>
        <v>3.00000000004</v>
      </c>
      <c r="DF63" s="206">
        <f t="shared" si="329"/>
        <v>3.00000000002</v>
      </c>
      <c r="DG63" s="206">
        <f t="shared" si="330"/>
        <v>4.00000000003</v>
      </c>
      <c r="DH63" s="206">
        <f t="shared" si="331"/>
        <v>3.00000000001</v>
      </c>
      <c r="DI63" s="206">
        <f t="shared" si="332"/>
        <v>0</v>
      </c>
      <c r="DJ63" s="206">
        <f t="shared" si="333"/>
        <v>6.00000000006</v>
      </c>
      <c r="DK63" s="206">
        <f t="shared" si="334"/>
        <v>5.00000000007</v>
      </c>
      <c r="DL63" s="206">
        <f t="shared" si="335"/>
        <v>3.00000000008</v>
      </c>
      <c r="DM63" s="373">
        <f t="shared" si="345"/>
        <v>3.00000000004</v>
      </c>
      <c r="DN63" s="373">
        <f t="shared" si="346"/>
        <v>3.00000000002</v>
      </c>
      <c r="DO63" s="373">
        <f t="shared" si="347"/>
        <v>4.00000000003</v>
      </c>
      <c r="DP63" s="373">
        <f t="shared" si="348"/>
        <v>3.00000000001</v>
      </c>
      <c r="DQ63" s="373">
        <f t="shared" si="349"/>
        <v>0</v>
      </c>
      <c r="DR63" s="373">
        <f t="shared" si="350"/>
        <v>6.00000000006</v>
      </c>
      <c r="DS63" s="373">
        <f t="shared" si="351"/>
        <v>5.00000000007</v>
      </c>
      <c r="DT63" s="373">
        <f t="shared" si="352"/>
        <v>3.00000000008</v>
      </c>
      <c r="DU63" s="373" t="b">
        <v>1</v>
      </c>
      <c r="DV63" s="373" t="b">
        <v>1</v>
      </c>
      <c r="DW63" s="373" t="b">
        <v>1</v>
      </c>
      <c r="DX63" s="373" t="b">
        <v>1</v>
      </c>
      <c r="DY63" s="373" t="s">
        <v>435</v>
      </c>
      <c r="DZ63" s="373" t="b">
        <v>1</v>
      </c>
      <c r="EA63" s="373" t="b">
        <v>1</v>
      </c>
      <c r="EB63" s="373" t="s">
        <v>435</v>
      </c>
      <c r="EC63" s="373" t="s">
        <v>435</v>
      </c>
      <c r="ED63" s="373" t="s">
        <v>435</v>
      </c>
      <c r="EE63" s="373" t="s">
        <v>435</v>
      </c>
      <c r="EF63" s="373" t="s">
        <v>435</v>
      </c>
      <c r="EG63" s="373" t="s">
        <v>435</v>
      </c>
      <c r="EH63" s="373" t="s">
        <v>435</v>
      </c>
      <c r="EI63" s="373" t="s">
        <v>435</v>
      </c>
      <c r="EJ63" s="373" t="s">
        <v>435</v>
      </c>
      <c r="EK63" s="373" t="s">
        <v>435</v>
      </c>
      <c r="EL63" s="373" t="s">
        <v>435</v>
      </c>
      <c r="EM63" s="373" t="s">
        <v>435</v>
      </c>
      <c r="EN63" s="373" t="s">
        <v>435</v>
      </c>
      <c r="EO63" s="373" t="s">
        <v>435</v>
      </c>
      <c r="EP63" s="373" t="s">
        <v>435</v>
      </c>
      <c r="EQ63" s="373" t="s">
        <v>435</v>
      </c>
      <c r="ER63" s="373" t="s">
        <v>435</v>
      </c>
      <c r="FA63" s="373" t="s">
        <v>435</v>
      </c>
      <c r="FB63" s="373" t="s">
        <v>435</v>
      </c>
      <c r="FC63" s="373" t="s">
        <v>435</v>
      </c>
      <c r="FD63" s="373" t="s">
        <v>435</v>
      </c>
      <c r="FE63" s="373" t="s">
        <v>435</v>
      </c>
      <c r="FF63" s="373" t="s">
        <v>435</v>
      </c>
      <c r="FG63" s="373" t="s">
        <v>435</v>
      </c>
      <c r="FH63" s="373" t="s">
        <v>435</v>
      </c>
      <c r="FI63" s="373" t="s">
        <v>435</v>
      </c>
      <c r="FJ63" s="373" t="s">
        <v>435</v>
      </c>
      <c r="FK63" s="373" t="s">
        <v>435</v>
      </c>
      <c r="FL63" s="373" t="s">
        <v>435</v>
      </c>
      <c r="FM63" s="373" t="s">
        <v>435</v>
      </c>
      <c r="FN63" s="373" t="s">
        <v>435</v>
      </c>
      <c r="FO63" s="373" t="s">
        <v>435</v>
      </c>
      <c r="FP63" s="373" t="s">
        <v>435</v>
      </c>
    </row>
    <row r="64" spans="1:172">
      <c r="A64" s="2" t="s">
        <v>1046</v>
      </c>
      <c r="B64" s="2" t="s">
        <v>249</v>
      </c>
      <c r="C64" s="2" t="s">
        <v>1047</v>
      </c>
      <c r="D64" s="2" t="s">
        <v>1048</v>
      </c>
      <c r="E64" s="2" t="s">
        <v>828</v>
      </c>
      <c r="F64" s="385" t="s">
        <v>356</v>
      </c>
      <c r="G64" s="385" t="s">
        <v>356</v>
      </c>
      <c r="H64" s="385">
        <v>35</v>
      </c>
      <c r="I64" s="385">
        <v>31</v>
      </c>
      <c r="J64" s="385"/>
      <c r="K64" s="385">
        <f t="shared" si="353"/>
        <v>35.000000000270006</v>
      </c>
      <c r="L64" s="385">
        <f t="shared" si="354"/>
        <v>31.000000000300002</v>
      </c>
      <c r="M64" s="385" t="s">
        <v>1049</v>
      </c>
      <c r="N64" s="385" t="s">
        <v>356</v>
      </c>
      <c r="O64" s="385" t="s">
        <v>356</v>
      </c>
      <c r="P64" s="385" t="s">
        <v>356</v>
      </c>
      <c r="Q64" s="385" t="s">
        <v>356</v>
      </c>
      <c r="R64" s="385" t="s">
        <v>1050</v>
      </c>
      <c r="S64" s="385" t="s">
        <v>817</v>
      </c>
      <c r="T64" s="385">
        <v>30</v>
      </c>
      <c r="U64" s="385" cm="1">
        <f t="array" ref="U64">IFERROR(INDEX('Offer Statistics'!$Q$2:$Q$350,MATCH(1,(A64='Offer Statistics'!$B$2:$B$350)*($A$11='Offer Statistics'!$K$2:$K$350),0)),"/")</f>
        <v>21</v>
      </c>
      <c r="V64" s="385" cm="1">
        <f t="array" ref="V64">IFERROR(INDEX('Offer Statistics'!$D$2:$D$350,MATCH(1,(A64='Offer Statistics'!$B$2:$B$350)*($A$11='Offer Statistics'!$K$2:$K$350),0)),"/")</f>
        <v>112</v>
      </c>
      <c r="W64" s="385" cm="1">
        <f t="array" ref="W64">IFERROR(INDEX('Offer Statistics'!$L$2:$L$350,MATCH(1,(A64='Offer Statistics'!$B$2:$B$350)*($A$11='Offer Statistics'!$K$2:$K$350),0)),"/")</f>
        <v>21</v>
      </c>
      <c r="X64" s="385">
        <f t="shared" si="319"/>
        <v>5.333333333333333</v>
      </c>
      <c r="Y64" s="385" t="s">
        <v>817</v>
      </c>
      <c r="Z64" s="95" t="str">
        <f>入學要求!AF73</f>
        <v>以下兩科選修取得Lv.3︰生物、化學</v>
      </c>
      <c r="AA64" s="95" t="str">
        <f>入學要求!AG73</f>
        <v>/</v>
      </c>
      <c r="AB64" s="365" t="s">
        <v>889</v>
      </c>
      <c r="AC64" s="95"/>
      <c r="AD64" s="95"/>
      <c r="AE64" s="95" t="s">
        <v>2832</v>
      </c>
      <c r="AF64" s="95" t="s">
        <v>356</v>
      </c>
      <c r="AG64" s="95" t="s">
        <v>356</v>
      </c>
      <c r="AH64" s="95" t="s">
        <v>356</v>
      </c>
      <c r="AI64" s="95" t="s">
        <v>356</v>
      </c>
      <c r="AJ64" s="2" t="s">
        <v>818</v>
      </c>
      <c r="AK64" s="2" t="s">
        <v>1051</v>
      </c>
      <c r="AL64" s="2" t="s">
        <v>1052</v>
      </c>
      <c r="AM64" s="2" t="s">
        <v>356</v>
      </c>
      <c r="AN64" s="2" t="s">
        <v>435</v>
      </c>
      <c r="AO64" s="2" t="s">
        <v>435</v>
      </c>
      <c r="AP64" s="2" t="s">
        <v>435</v>
      </c>
      <c r="AQ64" s="2" t="s">
        <v>356</v>
      </c>
      <c r="AS64" s="2" t="s">
        <v>820</v>
      </c>
      <c r="AU64" s="2" t="s">
        <v>817</v>
      </c>
      <c r="AY64" s="51">
        <v>1</v>
      </c>
      <c r="AZ64" s="51">
        <v>1</v>
      </c>
      <c r="BA64" s="51">
        <v>1</v>
      </c>
      <c r="BB64" s="51">
        <v>1</v>
      </c>
      <c r="BC64" s="51">
        <v>1</v>
      </c>
      <c r="BD64" s="51">
        <v>1</v>
      </c>
      <c r="BE64" s="51">
        <v>1</v>
      </c>
      <c r="BF64" s="51">
        <v>1</v>
      </c>
      <c r="BG64" s="51" t="s">
        <v>1046</v>
      </c>
      <c r="BH64" s="2">
        <v>6</v>
      </c>
      <c r="BI64" s="2">
        <v>5</v>
      </c>
      <c r="BJ64" s="2">
        <v>6</v>
      </c>
      <c r="BK64" s="2">
        <v>4</v>
      </c>
      <c r="BL64" s="2" t="s">
        <v>356</v>
      </c>
      <c r="BM64" s="2">
        <v>5</v>
      </c>
      <c r="BN64" s="2">
        <v>5</v>
      </c>
      <c r="BO64" s="2">
        <v>4</v>
      </c>
      <c r="BP64" s="206">
        <f t="shared" si="320"/>
        <v>6.00000000004</v>
      </c>
      <c r="BQ64" s="206">
        <f t="shared" si="321"/>
        <v>5.00000000002</v>
      </c>
      <c r="BR64" s="206">
        <f t="shared" si="322"/>
        <v>6.00000000003</v>
      </c>
      <c r="BS64" s="206">
        <f t="shared" si="323"/>
        <v>4.00000000001</v>
      </c>
      <c r="BT64" s="206">
        <f t="shared" si="324"/>
        <v>0</v>
      </c>
      <c r="BU64" s="206">
        <f t="shared" si="325"/>
        <v>5.00000000006</v>
      </c>
      <c r="BV64" s="206">
        <f t="shared" si="326"/>
        <v>5.00000000007</v>
      </c>
      <c r="BW64" s="206">
        <f t="shared" si="327"/>
        <v>4.00000000008</v>
      </c>
      <c r="BX64" s="2">
        <f t="shared" si="337"/>
        <v>6.00000000004</v>
      </c>
      <c r="BY64" s="2">
        <f t="shared" si="338"/>
        <v>5.00000000002</v>
      </c>
      <c r="BZ64" s="2">
        <f t="shared" si="339"/>
        <v>6.00000000003</v>
      </c>
      <c r="CA64" s="2">
        <f t="shared" si="340"/>
        <v>4.00000000001</v>
      </c>
      <c r="CB64" s="2">
        <f t="shared" si="341"/>
        <v>0</v>
      </c>
      <c r="CC64" s="2">
        <f t="shared" si="342"/>
        <v>5.00000000006</v>
      </c>
      <c r="CD64" s="2">
        <f t="shared" si="343"/>
        <v>5.00000000007</v>
      </c>
      <c r="CE64" s="2">
        <f t="shared" si="344"/>
        <v>4.00000000008</v>
      </c>
      <c r="CF64" s="2" t="b">
        <v>1</v>
      </c>
      <c r="CG64" s="2" t="b">
        <v>1</v>
      </c>
      <c r="CH64" s="2" t="b">
        <v>1</v>
      </c>
      <c r="CI64" s="2" t="b">
        <v>0</v>
      </c>
      <c r="CJ64" s="2" t="b">
        <v>0</v>
      </c>
      <c r="CK64" s="2" t="b">
        <v>1</v>
      </c>
      <c r="CL64" s="2" t="b">
        <v>1</v>
      </c>
      <c r="CM64" s="2" t="b">
        <v>1</v>
      </c>
      <c r="CN64" s="51">
        <v>1</v>
      </c>
      <c r="CO64" s="51">
        <v>1</v>
      </c>
      <c r="CP64" s="51">
        <v>1</v>
      </c>
      <c r="CQ64" s="51">
        <v>1</v>
      </c>
      <c r="CR64" s="51">
        <v>1</v>
      </c>
      <c r="CS64" s="51">
        <v>1</v>
      </c>
      <c r="CT64" s="51">
        <v>1</v>
      </c>
      <c r="CU64" s="51">
        <v>1</v>
      </c>
      <c r="CV64" s="51" t="s">
        <v>1046</v>
      </c>
      <c r="CW64" s="2">
        <v>4</v>
      </c>
      <c r="CX64" s="2">
        <v>5</v>
      </c>
      <c r="CY64" s="2">
        <v>6</v>
      </c>
      <c r="CZ64" s="2">
        <v>5</v>
      </c>
      <c r="DA64" s="2" t="s">
        <v>356</v>
      </c>
      <c r="DB64" s="2">
        <v>7</v>
      </c>
      <c r="DC64" s="2">
        <v>6</v>
      </c>
      <c r="DD64" s="2">
        <v>6</v>
      </c>
      <c r="DE64" s="206">
        <f t="shared" si="328"/>
        <v>4.00000000004</v>
      </c>
      <c r="DF64" s="206">
        <f t="shared" si="329"/>
        <v>5.00000000002</v>
      </c>
      <c r="DG64" s="206">
        <f t="shared" si="330"/>
        <v>6.00000000003</v>
      </c>
      <c r="DH64" s="206">
        <f t="shared" si="331"/>
        <v>5.00000000001</v>
      </c>
      <c r="DI64" s="206">
        <f t="shared" si="332"/>
        <v>0</v>
      </c>
      <c r="DJ64" s="206">
        <f t="shared" si="333"/>
        <v>7.00000000006</v>
      </c>
      <c r="DK64" s="206">
        <f t="shared" si="334"/>
        <v>6.00000000007</v>
      </c>
      <c r="DL64" s="206">
        <f t="shared" si="335"/>
        <v>6.00000000008</v>
      </c>
      <c r="DM64" s="2">
        <f t="shared" si="345"/>
        <v>4.00000000004</v>
      </c>
      <c r="DN64" s="2">
        <f>CO64*DF64</f>
        <v>5.00000000002</v>
      </c>
      <c r="DO64" s="2">
        <f t="shared" si="347"/>
        <v>6.00000000003</v>
      </c>
      <c r="DP64" s="2">
        <f t="shared" si="348"/>
        <v>5.00000000001</v>
      </c>
      <c r="DQ64" s="2">
        <f t="shared" si="349"/>
        <v>0</v>
      </c>
      <c r="DR64" s="2">
        <f t="shared" si="350"/>
        <v>7.00000000006</v>
      </c>
      <c r="DS64" s="2">
        <f t="shared" si="351"/>
        <v>6.00000000007</v>
      </c>
      <c r="DT64" s="2">
        <f t="shared" si="352"/>
        <v>6.00000000008</v>
      </c>
      <c r="DU64" s="2" t="b">
        <v>0</v>
      </c>
      <c r="DV64" s="2" t="b">
        <v>1</v>
      </c>
      <c r="DW64" s="2" t="b">
        <v>1</v>
      </c>
      <c r="DX64" s="2" t="b">
        <v>1</v>
      </c>
      <c r="DY64" s="2" t="b">
        <v>0</v>
      </c>
      <c r="DZ64" s="2" t="b">
        <v>1</v>
      </c>
      <c r="EA64" s="2" t="b">
        <v>1</v>
      </c>
      <c r="EB64" s="2" t="b">
        <v>1</v>
      </c>
      <c r="EC64" s="2" t="s">
        <v>435</v>
      </c>
      <c r="ED64" s="2" t="s">
        <v>435</v>
      </c>
      <c r="EE64" s="2" t="s">
        <v>435</v>
      </c>
      <c r="EF64" s="2" t="s">
        <v>435</v>
      </c>
      <c r="EG64" s="2" t="s">
        <v>435</v>
      </c>
      <c r="EH64" s="2" t="s">
        <v>435</v>
      </c>
      <c r="EI64" s="2" t="s">
        <v>435</v>
      </c>
      <c r="EJ64" s="2" t="s">
        <v>435</v>
      </c>
      <c r="EK64" s="2" t="s">
        <v>435</v>
      </c>
      <c r="EL64" s="2" t="s">
        <v>435</v>
      </c>
      <c r="EM64" s="2" t="s">
        <v>435</v>
      </c>
      <c r="EN64" s="2" t="s">
        <v>435</v>
      </c>
      <c r="EO64" s="2" t="s">
        <v>435</v>
      </c>
      <c r="EP64" s="2" t="s">
        <v>435</v>
      </c>
      <c r="EQ64" s="2" t="s">
        <v>435</v>
      </c>
      <c r="ER64" s="2" t="s">
        <v>435</v>
      </c>
      <c r="FA64" s="2" t="s">
        <v>435</v>
      </c>
      <c r="FB64" s="2" t="s">
        <v>435</v>
      </c>
      <c r="FC64" s="2" t="s">
        <v>435</v>
      </c>
      <c r="FD64" s="2" t="s">
        <v>435</v>
      </c>
      <c r="FE64" s="2" t="s">
        <v>435</v>
      </c>
      <c r="FF64" s="2" t="s">
        <v>435</v>
      </c>
      <c r="FG64" s="2" t="s">
        <v>435</v>
      </c>
      <c r="FH64" s="2" t="s">
        <v>435</v>
      </c>
      <c r="FI64" s="2" t="s">
        <v>435</v>
      </c>
      <c r="FJ64" s="2" t="s">
        <v>435</v>
      </c>
      <c r="FK64" s="2" t="s">
        <v>435</v>
      </c>
      <c r="FL64" s="2" t="s">
        <v>435</v>
      </c>
      <c r="FM64" s="2" t="s">
        <v>435</v>
      </c>
      <c r="FN64" s="2" t="s">
        <v>435</v>
      </c>
      <c r="FO64" s="2" t="s">
        <v>435</v>
      </c>
      <c r="FP64" s="2" t="s">
        <v>435</v>
      </c>
    </row>
    <row r="65" spans="1:194" s="373" customFormat="1">
      <c r="A65" s="373" t="s">
        <v>76</v>
      </c>
      <c r="B65" s="373" t="s">
        <v>249</v>
      </c>
      <c r="C65" s="373" t="s">
        <v>1047</v>
      </c>
      <c r="D65" s="373" t="s">
        <v>1053</v>
      </c>
      <c r="E65" s="373" t="s">
        <v>815</v>
      </c>
      <c r="F65" s="385" t="s">
        <v>356</v>
      </c>
      <c r="G65" s="385" t="s">
        <v>356</v>
      </c>
      <c r="H65" s="385">
        <v>39</v>
      </c>
      <c r="I65" s="385">
        <v>38</v>
      </c>
      <c r="J65" s="385"/>
      <c r="K65" s="385">
        <f t="shared" si="353"/>
        <v>39.000000000394998</v>
      </c>
      <c r="L65" s="385">
        <f t="shared" si="354"/>
        <v>38.000000000394998</v>
      </c>
      <c r="M65" s="385" t="s">
        <v>356</v>
      </c>
      <c r="N65" s="385" t="s">
        <v>356</v>
      </c>
      <c r="O65" s="385" t="s">
        <v>1055</v>
      </c>
      <c r="P65" s="385" t="s">
        <v>1056</v>
      </c>
      <c r="Q65" s="385" t="s">
        <v>356</v>
      </c>
      <c r="R65" s="385" t="s">
        <v>1054</v>
      </c>
      <c r="S65" s="385" t="s">
        <v>817</v>
      </c>
      <c r="T65" s="385">
        <v>24</v>
      </c>
      <c r="U65" s="385" cm="1">
        <f t="array" ref="U65">IFERROR(INDEX('Offer Statistics'!$Q$2:$Q$350,MATCH(1,(A65='Offer Statistics'!$B$2:$B$350)*($A$11='Offer Statistics'!$K$2:$K$350),0)),"/")</f>
        <v>23</v>
      </c>
      <c r="V65" s="385" cm="1">
        <f t="array" ref="V65">IFERROR(INDEX('Offer Statistics'!$D$2:$D$350,MATCH(1,(A65='Offer Statistics'!$B$2:$B$350)*($A$11='Offer Statistics'!$K$2:$K$350),0)),"/")</f>
        <v>160</v>
      </c>
      <c r="W65" s="385" cm="1">
        <f t="array" ref="W65">IFERROR(INDEX('Offer Statistics'!$L$2:$L$350,MATCH(1,(A65='Offer Statistics'!$B$2:$B$350)*($A$11='Offer Statistics'!$K$2:$K$350),0)),"/")</f>
        <v>21</v>
      </c>
      <c r="X65" s="385">
        <f t="shared" si="319"/>
        <v>7.6190476190476186</v>
      </c>
      <c r="Y65" s="385" t="s">
        <v>817</v>
      </c>
      <c r="Z65" s="373" t="str">
        <f>入學要求!AF74</f>
        <v>以下一科選修取得Lv.3︰生物、化學</v>
      </c>
      <c r="AA65" s="373" t="str">
        <f>入學要求!AG74</f>
        <v>以下一科選修取得Lv.3︰生物、BAFS、化學、DAT、ICT、M1/2、物理</v>
      </c>
      <c r="AB65" s="374" t="s">
        <v>2820</v>
      </c>
      <c r="AC65" s="373" t="s">
        <v>2854</v>
      </c>
      <c r="AE65" s="373" t="s">
        <v>356</v>
      </c>
      <c r="AF65" s="373" t="s">
        <v>356</v>
      </c>
      <c r="AG65" s="373" t="s">
        <v>2833</v>
      </c>
      <c r="AH65" s="373" t="s">
        <v>2834</v>
      </c>
      <c r="AI65" s="373" t="s">
        <v>356</v>
      </c>
      <c r="AJ65" s="373" t="s">
        <v>958</v>
      </c>
      <c r="AK65" s="373" t="s">
        <v>818</v>
      </c>
      <c r="AL65" s="373" t="s">
        <v>907</v>
      </c>
      <c r="AM65" s="373" t="s">
        <v>356</v>
      </c>
      <c r="AN65" s="373" t="s">
        <v>435</v>
      </c>
      <c r="AO65" s="373" t="s">
        <v>435</v>
      </c>
      <c r="AP65" s="373" t="s">
        <v>435</v>
      </c>
      <c r="AQ65" s="373" t="s">
        <v>356</v>
      </c>
      <c r="AS65" s="373" t="s">
        <v>820</v>
      </c>
      <c r="AU65" s="373" t="s">
        <v>817</v>
      </c>
      <c r="AY65" s="373">
        <v>1</v>
      </c>
      <c r="AZ65" s="373">
        <v>2</v>
      </c>
      <c r="BA65" s="373">
        <v>1.5</v>
      </c>
      <c r="BB65" s="373">
        <v>1</v>
      </c>
      <c r="BC65" s="373">
        <v>1.5</v>
      </c>
      <c r="BD65" s="373">
        <v>2</v>
      </c>
      <c r="BE65" s="373">
        <v>2</v>
      </c>
      <c r="BF65" s="373">
        <v>1</v>
      </c>
      <c r="BG65" s="373" t="s">
        <v>76</v>
      </c>
      <c r="BH65" s="373">
        <v>4</v>
      </c>
      <c r="BI65" s="373">
        <v>4</v>
      </c>
      <c r="BJ65" s="373">
        <v>4</v>
      </c>
      <c r="BK65" s="373">
        <v>4</v>
      </c>
      <c r="BL65" s="373" t="s">
        <v>356</v>
      </c>
      <c r="BM65" s="373">
        <v>4</v>
      </c>
      <c r="BN65" s="373">
        <v>4</v>
      </c>
      <c r="BO65" s="373" t="s">
        <v>356</v>
      </c>
      <c r="BP65" s="206">
        <f t="shared" si="320"/>
        <v>4.00000000004</v>
      </c>
      <c r="BQ65" s="206">
        <f t="shared" si="321"/>
        <v>4.00000000002</v>
      </c>
      <c r="BR65" s="206">
        <f t="shared" si="322"/>
        <v>4.00000000003</v>
      </c>
      <c r="BS65" s="206">
        <f t="shared" si="323"/>
        <v>4.00000000001</v>
      </c>
      <c r="BT65" s="206">
        <f t="shared" si="324"/>
        <v>0</v>
      </c>
      <c r="BU65" s="206">
        <f t="shared" si="325"/>
        <v>4.00000000006</v>
      </c>
      <c r="BV65" s="206">
        <f t="shared" si="326"/>
        <v>4.00000000007</v>
      </c>
      <c r="BW65" s="206">
        <f t="shared" si="327"/>
        <v>0</v>
      </c>
      <c r="BX65" s="373">
        <f t="shared" si="337"/>
        <v>4.00000000004</v>
      </c>
      <c r="BY65" s="373">
        <f t="shared" si="338"/>
        <v>8.00000000004</v>
      </c>
      <c r="BZ65" s="373">
        <f t="shared" si="339"/>
        <v>6.0000000000450004</v>
      </c>
      <c r="CA65" s="373">
        <f t="shared" si="340"/>
        <v>4.00000000001</v>
      </c>
      <c r="CB65" s="373">
        <f t="shared" si="341"/>
        <v>0</v>
      </c>
      <c r="CC65" s="373">
        <f t="shared" si="342"/>
        <v>8.00000000012</v>
      </c>
      <c r="CD65" s="373">
        <f t="shared" si="343"/>
        <v>8.00000000014</v>
      </c>
      <c r="CE65" s="373">
        <f t="shared" si="344"/>
        <v>0</v>
      </c>
      <c r="CF65" s="373" t="b">
        <v>1</v>
      </c>
      <c r="CG65" s="373" t="b">
        <v>1</v>
      </c>
      <c r="CH65" s="373" t="b">
        <v>1</v>
      </c>
      <c r="CI65" s="373" t="b">
        <v>1</v>
      </c>
      <c r="CJ65" s="373" t="b">
        <v>0</v>
      </c>
      <c r="CK65" s="373" t="b">
        <v>1</v>
      </c>
      <c r="CL65" s="373" t="b">
        <v>1</v>
      </c>
      <c r="CM65" s="373" t="b">
        <v>0</v>
      </c>
      <c r="CN65" s="373">
        <v>1</v>
      </c>
      <c r="CO65" s="373">
        <v>2</v>
      </c>
      <c r="CP65" s="373">
        <v>1.5</v>
      </c>
      <c r="CQ65" s="373">
        <v>1</v>
      </c>
      <c r="CR65" s="373">
        <v>1.5</v>
      </c>
      <c r="CS65" s="373">
        <v>2</v>
      </c>
      <c r="CT65" s="373">
        <v>2</v>
      </c>
      <c r="CU65" s="373">
        <v>1</v>
      </c>
      <c r="CV65" s="373" t="s">
        <v>76</v>
      </c>
      <c r="CW65" s="373">
        <v>3</v>
      </c>
      <c r="CX65" s="373">
        <v>3</v>
      </c>
      <c r="CY65" s="373">
        <v>4</v>
      </c>
      <c r="CZ65" s="373">
        <v>4</v>
      </c>
      <c r="DA65" s="373" t="s">
        <v>356</v>
      </c>
      <c r="DB65" s="373">
        <v>5</v>
      </c>
      <c r="DC65" s="373">
        <v>5</v>
      </c>
      <c r="DD65" s="373" t="s">
        <v>356</v>
      </c>
      <c r="DE65" s="206">
        <f t="shared" si="328"/>
        <v>3.00000000004</v>
      </c>
      <c r="DF65" s="206">
        <f t="shared" si="329"/>
        <v>3.00000000002</v>
      </c>
      <c r="DG65" s="206">
        <f t="shared" si="330"/>
        <v>4.00000000003</v>
      </c>
      <c r="DH65" s="206">
        <f t="shared" si="331"/>
        <v>4.00000000001</v>
      </c>
      <c r="DI65" s="206">
        <f t="shared" si="332"/>
        <v>0</v>
      </c>
      <c r="DJ65" s="206">
        <f t="shared" si="333"/>
        <v>5.00000000006</v>
      </c>
      <c r="DK65" s="206">
        <f t="shared" si="334"/>
        <v>5.00000000007</v>
      </c>
      <c r="DL65" s="206">
        <f t="shared" si="335"/>
        <v>0</v>
      </c>
      <c r="DM65" s="373">
        <f t="shared" si="345"/>
        <v>3.00000000004</v>
      </c>
      <c r="DN65" s="373">
        <f t="shared" si="346"/>
        <v>6.00000000004</v>
      </c>
      <c r="DO65" s="373">
        <f t="shared" si="347"/>
        <v>6.0000000000450004</v>
      </c>
      <c r="DP65" s="373">
        <f t="shared" si="348"/>
        <v>4.00000000001</v>
      </c>
      <c r="DQ65" s="373">
        <f t="shared" si="349"/>
        <v>0</v>
      </c>
      <c r="DR65" s="373">
        <f t="shared" si="350"/>
        <v>10.00000000012</v>
      </c>
      <c r="DS65" s="373">
        <f t="shared" si="351"/>
        <v>10.00000000014</v>
      </c>
      <c r="DT65" s="373">
        <f t="shared" si="352"/>
        <v>0</v>
      </c>
      <c r="DU65" s="373" t="b">
        <v>1</v>
      </c>
      <c r="DV65" s="373" t="b">
        <v>1</v>
      </c>
      <c r="DW65" s="373" t="b">
        <v>1</v>
      </c>
      <c r="DX65" s="373" t="b">
        <v>1</v>
      </c>
      <c r="DY65" s="373" t="b">
        <v>0</v>
      </c>
      <c r="DZ65" s="373" t="b">
        <v>1</v>
      </c>
      <c r="EA65" s="373" t="b">
        <v>1</v>
      </c>
      <c r="EB65" s="373" t="b">
        <v>0</v>
      </c>
      <c r="EC65" s="373" t="s">
        <v>435</v>
      </c>
      <c r="ED65" s="373" t="s">
        <v>435</v>
      </c>
      <c r="EE65" s="373" t="s">
        <v>435</v>
      </c>
      <c r="EF65" s="373" t="s">
        <v>435</v>
      </c>
      <c r="EG65" s="373" t="s">
        <v>435</v>
      </c>
      <c r="EH65" s="373" t="s">
        <v>435</v>
      </c>
      <c r="EI65" s="373" t="s">
        <v>435</v>
      </c>
      <c r="EJ65" s="373" t="s">
        <v>435</v>
      </c>
      <c r="EK65" s="373" t="s">
        <v>435</v>
      </c>
      <c r="EL65" s="373" t="s">
        <v>435</v>
      </c>
      <c r="EM65" s="373" t="s">
        <v>435</v>
      </c>
      <c r="EN65" s="373" t="s">
        <v>435</v>
      </c>
      <c r="EO65" s="373" t="s">
        <v>435</v>
      </c>
      <c r="EP65" s="373" t="s">
        <v>435</v>
      </c>
      <c r="EQ65" s="373" t="s">
        <v>435</v>
      </c>
      <c r="ER65" s="373" t="s">
        <v>435</v>
      </c>
      <c r="FA65" s="373" t="s">
        <v>435</v>
      </c>
      <c r="FB65" s="373" t="s">
        <v>435</v>
      </c>
      <c r="FC65" s="373" t="s">
        <v>435</v>
      </c>
      <c r="FD65" s="373" t="s">
        <v>435</v>
      </c>
      <c r="FE65" s="373" t="s">
        <v>435</v>
      </c>
      <c r="FF65" s="373" t="s">
        <v>435</v>
      </c>
      <c r="FG65" s="373" t="s">
        <v>435</v>
      </c>
      <c r="FH65" s="373" t="s">
        <v>435</v>
      </c>
      <c r="FI65" s="373" t="s">
        <v>435</v>
      </c>
      <c r="FJ65" s="373" t="s">
        <v>435</v>
      </c>
      <c r="FK65" s="373" t="s">
        <v>435</v>
      </c>
      <c r="FL65" s="373" t="s">
        <v>435</v>
      </c>
      <c r="FM65" s="373" t="s">
        <v>435</v>
      </c>
      <c r="FN65" s="373" t="s">
        <v>435</v>
      </c>
      <c r="FO65" s="373" t="s">
        <v>435</v>
      </c>
      <c r="FP65" s="373" t="s">
        <v>435</v>
      </c>
    </row>
    <row r="66" spans="1:194" s="373" customFormat="1">
      <c r="A66" s="373" t="s">
        <v>1057</v>
      </c>
      <c r="B66" s="373" t="s">
        <v>249</v>
      </c>
      <c r="C66" s="373" t="s">
        <v>1047</v>
      </c>
      <c r="D66" s="373" t="s">
        <v>1058</v>
      </c>
      <c r="E66" s="373" t="s">
        <v>815</v>
      </c>
      <c r="F66" s="385" t="s">
        <v>356</v>
      </c>
      <c r="G66" s="385" t="s">
        <v>356</v>
      </c>
      <c r="H66" s="385">
        <v>35.5</v>
      </c>
      <c r="I66" s="385">
        <v>35</v>
      </c>
      <c r="J66" s="385"/>
      <c r="K66" s="385">
        <f t="shared" si="353"/>
        <v>35.500000000394998</v>
      </c>
      <c r="L66" s="385">
        <f t="shared" si="354"/>
        <v>35.000000000394998</v>
      </c>
      <c r="M66" s="385" t="s">
        <v>356</v>
      </c>
      <c r="N66" s="385" t="s">
        <v>356</v>
      </c>
      <c r="O66" s="385" t="s">
        <v>1055</v>
      </c>
      <c r="P66" s="385" t="s">
        <v>1056</v>
      </c>
      <c r="Q66" s="385" t="s">
        <v>356</v>
      </c>
      <c r="R66" s="385" t="s">
        <v>1059</v>
      </c>
      <c r="S66" s="385" t="s">
        <v>817</v>
      </c>
      <c r="T66" s="385">
        <v>28</v>
      </c>
      <c r="U66" s="385" cm="1">
        <f t="array" ref="U66">IFERROR(INDEX('Offer Statistics'!$Q$2:$Q$350,MATCH(1,(A66='Offer Statistics'!$B$2:$B$350)*($A$11='Offer Statistics'!$K$2:$K$350),0)),"/")</f>
        <v>34</v>
      </c>
      <c r="V66" s="385" cm="1">
        <f t="array" ref="V66">IFERROR(INDEX('Offer Statistics'!$D$2:$D$350,MATCH(1,(A66='Offer Statistics'!$B$2:$B$350)*($A$11='Offer Statistics'!$K$2:$K$350),0)),"/")</f>
        <v>227</v>
      </c>
      <c r="W66" s="385" cm="1">
        <f t="array" ref="W66">IFERROR(INDEX('Offer Statistics'!$L$2:$L$350,MATCH(1,(A66='Offer Statistics'!$B$2:$B$350)*($A$11='Offer Statistics'!$K$2:$K$350),0)),"/")</f>
        <v>29</v>
      </c>
      <c r="X66" s="385">
        <f t="shared" si="319"/>
        <v>7.8275862068965516</v>
      </c>
      <c r="Y66" s="385" t="s">
        <v>817</v>
      </c>
      <c r="Z66" s="373" t="str">
        <f>入學要求!AF75</f>
        <v>以下一科選修取得Lv.3︰生物、化學</v>
      </c>
      <c r="AA66" s="373" t="str">
        <f>入學要求!AG75</f>
        <v>以下一科選修取得Lv.3︰生物、BAFS、化學、DAT、ICT、M1/2、物理</v>
      </c>
      <c r="AB66" s="374" t="s">
        <v>2820</v>
      </c>
      <c r="AC66" s="373" t="s">
        <v>2854</v>
      </c>
      <c r="AE66" s="373" t="s">
        <v>356</v>
      </c>
      <c r="AF66" s="373" t="s">
        <v>356</v>
      </c>
      <c r="AG66" s="373" t="s">
        <v>2833</v>
      </c>
      <c r="AH66" s="373" t="s">
        <v>2834</v>
      </c>
      <c r="AI66" s="373" t="s">
        <v>356</v>
      </c>
      <c r="AJ66" s="373" t="s">
        <v>958</v>
      </c>
      <c r="AK66" s="373" t="s">
        <v>818</v>
      </c>
      <c r="AL66" s="373" t="s">
        <v>907</v>
      </c>
      <c r="AM66" s="373" t="s">
        <v>356</v>
      </c>
      <c r="AN66" s="373" t="s">
        <v>435</v>
      </c>
      <c r="AO66" s="373" t="s">
        <v>435</v>
      </c>
      <c r="AP66" s="373" t="s">
        <v>435</v>
      </c>
      <c r="AQ66" s="373" t="s">
        <v>356</v>
      </c>
      <c r="AS66" s="373" t="s">
        <v>820</v>
      </c>
      <c r="AU66" s="373" t="s">
        <v>817</v>
      </c>
      <c r="AY66" s="373">
        <v>1</v>
      </c>
      <c r="AZ66" s="373">
        <v>2</v>
      </c>
      <c r="BA66" s="373">
        <v>1.5</v>
      </c>
      <c r="BB66" s="373">
        <v>1</v>
      </c>
      <c r="BC66" s="373">
        <v>1.5</v>
      </c>
      <c r="BD66" s="373">
        <v>2</v>
      </c>
      <c r="BE66" s="373">
        <v>2</v>
      </c>
      <c r="BF66" s="373">
        <v>1</v>
      </c>
      <c r="BG66" s="373" t="s">
        <v>1057</v>
      </c>
      <c r="BH66" s="373">
        <v>3</v>
      </c>
      <c r="BI66" s="373">
        <v>3</v>
      </c>
      <c r="BJ66" s="373">
        <v>4</v>
      </c>
      <c r="BK66" s="373">
        <v>4</v>
      </c>
      <c r="BL66" s="373" t="s">
        <v>356</v>
      </c>
      <c r="BM66" s="373">
        <v>4</v>
      </c>
      <c r="BN66" s="373">
        <v>4</v>
      </c>
      <c r="BO66" s="373" t="s">
        <v>356</v>
      </c>
      <c r="BP66" s="206">
        <f t="shared" si="320"/>
        <v>3.00000000004</v>
      </c>
      <c r="BQ66" s="206">
        <f t="shared" si="321"/>
        <v>3.00000000002</v>
      </c>
      <c r="BR66" s="206">
        <f t="shared" si="322"/>
        <v>4.00000000003</v>
      </c>
      <c r="BS66" s="206">
        <f t="shared" si="323"/>
        <v>4.00000000001</v>
      </c>
      <c r="BT66" s="206">
        <f t="shared" si="324"/>
        <v>0</v>
      </c>
      <c r="BU66" s="206">
        <f t="shared" si="325"/>
        <v>4.00000000006</v>
      </c>
      <c r="BV66" s="206">
        <f t="shared" si="326"/>
        <v>4.00000000007</v>
      </c>
      <c r="BW66" s="206">
        <f t="shared" si="327"/>
        <v>0</v>
      </c>
      <c r="BX66" s="373">
        <f t="shared" si="337"/>
        <v>3.00000000004</v>
      </c>
      <c r="BY66" s="373">
        <f t="shared" si="338"/>
        <v>6.00000000004</v>
      </c>
      <c r="BZ66" s="373">
        <f t="shared" si="339"/>
        <v>6.0000000000450004</v>
      </c>
      <c r="CA66" s="373">
        <f t="shared" si="340"/>
        <v>4.00000000001</v>
      </c>
      <c r="CB66" s="373">
        <f t="shared" si="341"/>
        <v>0</v>
      </c>
      <c r="CC66" s="373">
        <f t="shared" si="342"/>
        <v>8.00000000012</v>
      </c>
      <c r="CD66" s="373">
        <f t="shared" si="343"/>
        <v>8.00000000014</v>
      </c>
      <c r="CE66" s="373">
        <f t="shared" si="344"/>
        <v>0</v>
      </c>
      <c r="CF66" s="373" t="b">
        <v>1</v>
      </c>
      <c r="CG66" s="373" t="b">
        <v>1</v>
      </c>
      <c r="CH66" s="373" t="b">
        <v>1</v>
      </c>
      <c r="CI66" s="373" t="b">
        <v>1</v>
      </c>
      <c r="CJ66" s="373" t="b">
        <v>0</v>
      </c>
      <c r="CK66" s="373" t="b">
        <v>1</v>
      </c>
      <c r="CL66" s="373" t="b">
        <v>1</v>
      </c>
      <c r="CM66" s="373" t="b">
        <v>0</v>
      </c>
      <c r="CN66" s="373">
        <v>1</v>
      </c>
      <c r="CO66" s="373">
        <v>2</v>
      </c>
      <c r="CP66" s="373">
        <v>1.5</v>
      </c>
      <c r="CQ66" s="373">
        <v>1</v>
      </c>
      <c r="CR66" s="373">
        <v>1.5</v>
      </c>
      <c r="CS66" s="373">
        <v>2</v>
      </c>
      <c r="CT66" s="373">
        <v>2</v>
      </c>
      <c r="CU66" s="373">
        <v>1</v>
      </c>
      <c r="CV66" s="373" t="s">
        <v>1057</v>
      </c>
      <c r="CW66" s="373">
        <v>3</v>
      </c>
      <c r="CX66" s="373">
        <v>3</v>
      </c>
      <c r="CY66" s="373">
        <v>5</v>
      </c>
      <c r="CZ66" s="373">
        <v>3</v>
      </c>
      <c r="DA66" s="373" t="s">
        <v>356</v>
      </c>
      <c r="DB66" s="373">
        <v>4</v>
      </c>
      <c r="DC66" s="373">
        <v>4</v>
      </c>
      <c r="DD66" s="373">
        <v>4</v>
      </c>
      <c r="DE66" s="206">
        <f t="shared" si="328"/>
        <v>3.00000000004</v>
      </c>
      <c r="DF66" s="206">
        <f t="shared" si="329"/>
        <v>3.00000000002</v>
      </c>
      <c r="DG66" s="206">
        <f t="shared" si="330"/>
        <v>5.00000000003</v>
      </c>
      <c r="DH66" s="206">
        <f t="shared" si="331"/>
        <v>3.00000000001</v>
      </c>
      <c r="DI66" s="206">
        <f t="shared" si="332"/>
        <v>0</v>
      </c>
      <c r="DJ66" s="206">
        <f t="shared" si="333"/>
        <v>4.00000000006</v>
      </c>
      <c r="DK66" s="206">
        <f t="shared" si="334"/>
        <v>4.00000000007</v>
      </c>
      <c r="DL66" s="206">
        <f t="shared" si="335"/>
        <v>4.00000000008</v>
      </c>
      <c r="DM66" s="373">
        <f t="shared" si="345"/>
        <v>3.00000000004</v>
      </c>
      <c r="DN66" s="373">
        <f t="shared" si="346"/>
        <v>6.00000000004</v>
      </c>
      <c r="DO66" s="373">
        <f t="shared" si="347"/>
        <v>7.5000000000450004</v>
      </c>
      <c r="DP66" s="373">
        <f t="shared" si="348"/>
        <v>3.00000000001</v>
      </c>
      <c r="DQ66" s="373">
        <f t="shared" si="349"/>
        <v>0</v>
      </c>
      <c r="DR66" s="373">
        <f t="shared" si="350"/>
        <v>8.00000000012</v>
      </c>
      <c r="DS66" s="373">
        <f t="shared" si="351"/>
        <v>8.00000000014</v>
      </c>
      <c r="DT66" s="373">
        <f t="shared" si="352"/>
        <v>4.00000000008</v>
      </c>
      <c r="DU66" s="373" t="b">
        <v>1</v>
      </c>
      <c r="DV66" s="373" t="b">
        <v>1</v>
      </c>
      <c r="DW66" s="373" t="b">
        <v>1</v>
      </c>
      <c r="DX66" s="373" t="b">
        <v>1</v>
      </c>
      <c r="DY66" s="373" t="b">
        <v>0</v>
      </c>
      <c r="DZ66" s="373" t="b">
        <v>1</v>
      </c>
      <c r="EA66" s="373" t="b">
        <v>1</v>
      </c>
      <c r="EB66" s="373" t="b">
        <v>0</v>
      </c>
      <c r="EC66" s="373" t="s">
        <v>435</v>
      </c>
      <c r="ED66" s="373" t="s">
        <v>435</v>
      </c>
      <c r="EE66" s="373" t="s">
        <v>435</v>
      </c>
      <c r="EF66" s="373" t="s">
        <v>435</v>
      </c>
      <c r="EG66" s="373" t="s">
        <v>435</v>
      </c>
      <c r="EH66" s="373" t="s">
        <v>435</v>
      </c>
      <c r="EI66" s="373" t="s">
        <v>435</v>
      </c>
      <c r="EJ66" s="373" t="s">
        <v>435</v>
      </c>
      <c r="EK66" s="373" t="s">
        <v>435</v>
      </c>
      <c r="EL66" s="373" t="s">
        <v>435</v>
      </c>
      <c r="EM66" s="373" t="s">
        <v>435</v>
      </c>
      <c r="EN66" s="373" t="s">
        <v>435</v>
      </c>
      <c r="EO66" s="373" t="s">
        <v>435</v>
      </c>
      <c r="EP66" s="373" t="s">
        <v>435</v>
      </c>
      <c r="EQ66" s="373" t="s">
        <v>435</v>
      </c>
      <c r="ER66" s="373" t="s">
        <v>435</v>
      </c>
      <c r="FA66" s="373" t="s">
        <v>435</v>
      </c>
      <c r="FB66" s="373" t="s">
        <v>435</v>
      </c>
      <c r="FC66" s="373" t="s">
        <v>435</v>
      </c>
      <c r="FD66" s="373" t="s">
        <v>435</v>
      </c>
      <c r="FE66" s="373" t="s">
        <v>435</v>
      </c>
      <c r="FF66" s="373" t="s">
        <v>435</v>
      </c>
      <c r="FG66" s="373" t="s">
        <v>435</v>
      </c>
      <c r="FH66" s="373" t="s">
        <v>435</v>
      </c>
      <c r="FI66" s="373" t="s">
        <v>435</v>
      </c>
      <c r="FJ66" s="373" t="s">
        <v>435</v>
      </c>
      <c r="FK66" s="373" t="s">
        <v>435</v>
      </c>
      <c r="FL66" s="373" t="s">
        <v>435</v>
      </c>
      <c r="FM66" s="373" t="s">
        <v>435</v>
      </c>
      <c r="FN66" s="373" t="s">
        <v>435</v>
      </c>
      <c r="FO66" s="373" t="s">
        <v>435</v>
      </c>
      <c r="FP66" s="373" t="s">
        <v>435</v>
      </c>
    </row>
    <row r="67" spans="1:194" s="373" customFormat="1">
      <c r="A67" s="373" t="s">
        <v>162</v>
      </c>
      <c r="B67" s="373" t="s">
        <v>249</v>
      </c>
      <c r="C67" s="373" t="s">
        <v>1047</v>
      </c>
      <c r="D67" s="373" t="s">
        <v>1060</v>
      </c>
      <c r="E67" s="373" t="s">
        <v>815</v>
      </c>
      <c r="F67" s="385" t="s">
        <v>356</v>
      </c>
      <c r="G67" s="385" t="s">
        <v>356</v>
      </c>
      <c r="H67" s="385">
        <v>41</v>
      </c>
      <c r="I67" s="385">
        <v>40</v>
      </c>
      <c r="J67" s="385"/>
      <c r="K67" s="385">
        <f t="shared" si="353"/>
        <v>41.000000000394998</v>
      </c>
      <c r="L67" s="385">
        <f t="shared" si="354"/>
        <v>40.000000000394998</v>
      </c>
      <c r="M67" s="385" t="s">
        <v>356</v>
      </c>
      <c r="N67" s="385" t="s">
        <v>356</v>
      </c>
      <c r="O67" s="385" t="s">
        <v>1055</v>
      </c>
      <c r="P67" s="385" t="s">
        <v>1056</v>
      </c>
      <c r="Q67" s="385" t="s">
        <v>356</v>
      </c>
      <c r="R67" s="385" t="s">
        <v>1061</v>
      </c>
      <c r="S67" s="385" t="s">
        <v>817</v>
      </c>
      <c r="T67" s="385">
        <v>28</v>
      </c>
      <c r="U67" s="385" cm="1">
        <f t="array" ref="U67">IFERROR(INDEX('Offer Statistics'!$Q$2:$Q$350,MATCH(1,(A67='Offer Statistics'!$B$2:$B$350)*($A$11='Offer Statistics'!$K$2:$K$350),0)),"/")</f>
        <v>31</v>
      </c>
      <c r="V67" s="385" cm="1">
        <f t="array" ref="V67">IFERROR(INDEX('Offer Statistics'!$D$2:$D$350,MATCH(1,(A67='Offer Statistics'!$B$2:$B$350)*($A$11='Offer Statistics'!$K$2:$K$350),0)),"/")</f>
        <v>121</v>
      </c>
      <c r="W67" s="385" cm="1">
        <f t="array" ref="W67">IFERROR(INDEX('Offer Statistics'!$L$2:$L$350,MATCH(1,(A67='Offer Statistics'!$B$2:$B$350)*($A$11='Offer Statistics'!$K$2:$K$350),0)),"/")</f>
        <v>31</v>
      </c>
      <c r="X67" s="385">
        <f t="shared" si="319"/>
        <v>3.903225806451613</v>
      </c>
      <c r="Y67" s="385" t="s">
        <v>817</v>
      </c>
      <c r="Z67" s="373" t="str">
        <f>入學要求!AF76</f>
        <v>以下一科選修取得Lv.3︰生物、化學</v>
      </c>
      <c r="AA67" s="373" t="str">
        <f>入學要求!AG76</f>
        <v>以下一科選修取得Lv.3︰生物、BAFS、化學、DAT、ICT、M1/2、物理</v>
      </c>
      <c r="AB67" s="374" t="s">
        <v>2820</v>
      </c>
      <c r="AC67" s="373" t="s">
        <v>2854</v>
      </c>
      <c r="AE67" s="373" t="s">
        <v>356</v>
      </c>
      <c r="AF67" s="373" t="s">
        <v>356</v>
      </c>
      <c r="AG67" s="373" t="s">
        <v>2833</v>
      </c>
      <c r="AH67" s="373" t="s">
        <v>2834</v>
      </c>
      <c r="AI67" s="373" t="s">
        <v>356</v>
      </c>
      <c r="AJ67" s="373" t="s">
        <v>958</v>
      </c>
      <c r="AK67" s="373" t="s">
        <v>818</v>
      </c>
      <c r="AL67" s="373" t="s">
        <v>907</v>
      </c>
      <c r="AM67" s="373" t="s">
        <v>435</v>
      </c>
      <c r="AN67" s="373" t="s">
        <v>435</v>
      </c>
      <c r="AO67" s="373" t="s">
        <v>435</v>
      </c>
      <c r="AP67" s="373" t="s">
        <v>435</v>
      </c>
      <c r="AQ67" s="373" t="s">
        <v>356</v>
      </c>
      <c r="AS67" s="373" t="s">
        <v>820</v>
      </c>
      <c r="AU67" s="373" t="s">
        <v>817</v>
      </c>
      <c r="AY67" s="373">
        <v>1</v>
      </c>
      <c r="AZ67" s="373">
        <v>2</v>
      </c>
      <c r="BA67" s="373">
        <v>1.5</v>
      </c>
      <c r="BB67" s="373">
        <v>1</v>
      </c>
      <c r="BC67" s="373">
        <v>1.5</v>
      </c>
      <c r="BD67" s="373">
        <v>2</v>
      </c>
      <c r="BE67" s="373">
        <v>2</v>
      </c>
      <c r="BF67" s="373">
        <v>1</v>
      </c>
      <c r="BG67" s="373" t="s">
        <v>162</v>
      </c>
      <c r="BH67" s="373">
        <v>4</v>
      </c>
      <c r="BI67" s="373">
        <v>4</v>
      </c>
      <c r="BJ67" s="373">
        <v>4</v>
      </c>
      <c r="BK67" s="373">
        <v>4</v>
      </c>
      <c r="BL67" s="373" t="s">
        <v>356</v>
      </c>
      <c r="BM67" s="373">
        <v>5</v>
      </c>
      <c r="BN67" s="373">
        <v>4</v>
      </c>
      <c r="BO67" s="373">
        <v>4</v>
      </c>
      <c r="BP67" s="206">
        <f t="shared" si="320"/>
        <v>4.00000000004</v>
      </c>
      <c r="BQ67" s="206">
        <f t="shared" si="321"/>
        <v>4.00000000002</v>
      </c>
      <c r="BR67" s="206">
        <f t="shared" si="322"/>
        <v>4.00000000003</v>
      </c>
      <c r="BS67" s="206">
        <f t="shared" si="323"/>
        <v>4.00000000001</v>
      </c>
      <c r="BT67" s="206">
        <f t="shared" si="324"/>
        <v>0</v>
      </c>
      <c r="BU67" s="206">
        <f t="shared" si="325"/>
        <v>5.00000000006</v>
      </c>
      <c r="BV67" s="206">
        <f t="shared" si="326"/>
        <v>4.00000000007</v>
      </c>
      <c r="BW67" s="206">
        <f t="shared" si="327"/>
        <v>4.00000000008</v>
      </c>
      <c r="BX67" s="373">
        <f t="shared" si="337"/>
        <v>4.00000000004</v>
      </c>
      <c r="BY67" s="373">
        <f t="shared" si="338"/>
        <v>8.00000000004</v>
      </c>
      <c r="BZ67" s="373">
        <f t="shared" si="339"/>
        <v>6.0000000000450004</v>
      </c>
      <c r="CA67" s="373">
        <f t="shared" si="340"/>
        <v>4.00000000001</v>
      </c>
      <c r="CB67" s="373">
        <f t="shared" si="341"/>
        <v>0</v>
      </c>
      <c r="CC67" s="373">
        <f t="shared" si="342"/>
        <v>10.00000000012</v>
      </c>
      <c r="CD67" s="373">
        <f t="shared" si="343"/>
        <v>8.00000000014</v>
      </c>
      <c r="CE67" s="373">
        <f t="shared" si="344"/>
        <v>4.00000000008</v>
      </c>
      <c r="CF67" s="373" t="b">
        <v>1</v>
      </c>
      <c r="CG67" s="373" t="b">
        <v>1</v>
      </c>
      <c r="CH67" s="373" t="b">
        <v>1</v>
      </c>
      <c r="CI67" s="373" t="b">
        <v>1</v>
      </c>
      <c r="CJ67" s="373" t="b">
        <v>0</v>
      </c>
      <c r="CK67" s="373" t="b">
        <v>1</v>
      </c>
      <c r="CL67" s="373" t="b">
        <v>1</v>
      </c>
      <c r="CM67" s="373" t="b">
        <v>0</v>
      </c>
      <c r="CN67" s="373">
        <v>1</v>
      </c>
      <c r="CO67" s="373">
        <v>2</v>
      </c>
      <c r="CP67" s="373">
        <v>1.5</v>
      </c>
      <c r="CQ67" s="373">
        <v>1</v>
      </c>
      <c r="CR67" s="373">
        <v>1.5</v>
      </c>
      <c r="CS67" s="373">
        <v>2</v>
      </c>
      <c r="CT67" s="373">
        <v>2</v>
      </c>
      <c r="CU67" s="373">
        <v>1</v>
      </c>
      <c r="CV67" s="373" t="s">
        <v>162</v>
      </c>
      <c r="CW67" s="373">
        <v>3</v>
      </c>
      <c r="CX67" s="373">
        <v>6</v>
      </c>
      <c r="CY67" s="373">
        <v>4</v>
      </c>
      <c r="CZ67" s="373">
        <v>4</v>
      </c>
      <c r="DA67" s="373" t="s">
        <v>356</v>
      </c>
      <c r="DB67" s="373">
        <v>4</v>
      </c>
      <c r="DC67" s="373">
        <v>4</v>
      </c>
      <c r="DD67" s="373" t="s">
        <v>356</v>
      </c>
      <c r="DE67" s="206">
        <f t="shared" si="328"/>
        <v>3.00000000004</v>
      </c>
      <c r="DF67" s="206">
        <f t="shared" si="329"/>
        <v>6.00000000002</v>
      </c>
      <c r="DG67" s="206">
        <f t="shared" si="330"/>
        <v>4.00000000003</v>
      </c>
      <c r="DH67" s="206">
        <f t="shared" si="331"/>
        <v>4.00000000001</v>
      </c>
      <c r="DI67" s="206">
        <f t="shared" si="332"/>
        <v>0</v>
      </c>
      <c r="DJ67" s="206">
        <f t="shared" si="333"/>
        <v>4.00000000006</v>
      </c>
      <c r="DK67" s="206">
        <f t="shared" si="334"/>
        <v>4.00000000007</v>
      </c>
      <c r="DL67" s="206">
        <f t="shared" si="335"/>
        <v>0</v>
      </c>
      <c r="DM67" s="373">
        <f t="shared" si="345"/>
        <v>3.00000000004</v>
      </c>
      <c r="DN67" s="373">
        <f t="shared" si="346"/>
        <v>12.00000000004</v>
      </c>
      <c r="DO67" s="373">
        <f t="shared" si="347"/>
        <v>6.0000000000450004</v>
      </c>
      <c r="DP67" s="373">
        <f t="shared" si="348"/>
        <v>4.00000000001</v>
      </c>
      <c r="DQ67" s="373">
        <f t="shared" si="349"/>
        <v>0</v>
      </c>
      <c r="DR67" s="373">
        <f t="shared" si="350"/>
        <v>8.00000000012</v>
      </c>
      <c r="DS67" s="373">
        <f t="shared" si="351"/>
        <v>8.00000000014</v>
      </c>
      <c r="DT67" s="373">
        <f t="shared" si="352"/>
        <v>0</v>
      </c>
      <c r="DU67" s="373" t="b">
        <v>1</v>
      </c>
      <c r="DV67" s="373" t="b">
        <v>1</v>
      </c>
      <c r="DW67" s="373" t="b">
        <v>1</v>
      </c>
      <c r="DX67" s="373" t="b">
        <v>1</v>
      </c>
      <c r="DY67" s="373" t="b">
        <v>0</v>
      </c>
      <c r="DZ67" s="373" t="b">
        <v>1</v>
      </c>
      <c r="EA67" s="373" t="b">
        <v>1</v>
      </c>
      <c r="EB67" s="373" t="b">
        <v>0</v>
      </c>
      <c r="EC67" s="373" t="s">
        <v>435</v>
      </c>
      <c r="ED67" s="373" t="s">
        <v>435</v>
      </c>
      <c r="EE67" s="373" t="s">
        <v>435</v>
      </c>
      <c r="EF67" s="373" t="s">
        <v>435</v>
      </c>
      <c r="EG67" s="373" t="s">
        <v>435</v>
      </c>
      <c r="EH67" s="373" t="s">
        <v>435</v>
      </c>
      <c r="EI67" s="373" t="s">
        <v>435</v>
      </c>
      <c r="EJ67" s="373" t="s">
        <v>435</v>
      </c>
      <c r="EK67" s="373" t="s">
        <v>435</v>
      </c>
      <c r="EL67" s="373" t="s">
        <v>435</v>
      </c>
      <c r="EM67" s="373" t="s">
        <v>435</v>
      </c>
      <c r="EN67" s="373" t="s">
        <v>435</v>
      </c>
      <c r="EO67" s="373" t="s">
        <v>435</v>
      </c>
      <c r="EP67" s="373" t="s">
        <v>435</v>
      </c>
      <c r="EQ67" s="373" t="s">
        <v>435</v>
      </c>
      <c r="ER67" s="373" t="s">
        <v>435</v>
      </c>
      <c r="FA67" s="373" t="s">
        <v>435</v>
      </c>
      <c r="FB67" s="373" t="s">
        <v>435</v>
      </c>
      <c r="FC67" s="373" t="s">
        <v>435</v>
      </c>
      <c r="FD67" s="373" t="s">
        <v>435</v>
      </c>
      <c r="FE67" s="373" t="s">
        <v>435</v>
      </c>
      <c r="FF67" s="373" t="s">
        <v>435</v>
      </c>
      <c r="FG67" s="373" t="s">
        <v>435</v>
      </c>
      <c r="FH67" s="373" t="s">
        <v>435</v>
      </c>
      <c r="FI67" s="373" t="s">
        <v>435</v>
      </c>
      <c r="FJ67" s="373" t="s">
        <v>435</v>
      </c>
      <c r="FK67" s="373" t="s">
        <v>435</v>
      </c>
      <c r="FL67" s="373" t="s">
        <v>435</v>
      </c>
      <c r="FM67" s="373" t="s">
        <v>435</v>
      </c>
      <c r="FN67" s="373" t="s">
        <v>435</v>
      </c>
      <c r="FO67" s="373" t="s">
        <v>435</v>
      </c>
      <c r="FP67" s="373" t="s">
        <v>435</v>
      </c>
    </row>
    <row r="68" spans="1:194">
      <c r="B68" s="398" t="s">
        <v>2858</v>
      </c>
      <c r="C68" s="398"/>
      <c r="E68" s="11"/>
    </row>
    <row r="69" spans="1:194">
      <c r="B69" s="360"/>
      <c r="T69" s="2" t="s">
        <v>75</v>
      </c>
      <c r="U69" s="2" t="s">
        <v>124</v>
      </c>
      <c r="X69" s="2" t="s">
        <v>1062</v>
      </c>
      <c r="BP69" s="2"/>
      <c r="BQ69" s="2"/>
      <c r="BR69" s="2"/>
      <c r="BS69" s="2"/>
      <c r="BT69" s="2"/>
      <c r="BU69" s="2"/>
      <c r="BV69" s="2"/>
      <c r="BW69" s="2"/>
      <c r="CF69" s="2" t="s">
        <v>356</v>
      </c>
      <c r="CG69" s="2" t="s">
        <v>356</v>
      </c>
      <c r="CH69" s="2" t="s">
        <v>356</v>
      </c>
      <c r="CI69" s="2" t="s">
        <v>356</v>
      </c>
      <c r="CJ69" s="2" t="s">
        <v>356</v>
      </c>
      <c r="CK69" s="2" t="s">
        <v>356</v>
      </c>
      <c r="CL69" s="2" t="s">
        <v>356</v>
      </c>
      <c r="CM69" s="2" t="s">
        <v>356</v>
      </c>
    </row>
    <row r="70" spans="1:194">
      <c r="A70" s="2" t="s">
        <v>1063</v>
      </c>
      <c r="B70" s="2" t="s">
        <v>250</v>
      </c>
      <c r="C70" s="2" t="s">
        <v>1064</v>
      </c>
      <c r="D70" s="2" t="s">
        <v>1065</v>
      </c>
      <c r="E70" s="365" t="s">
        <v>815</v>
      </c>
      <c r="F70" s="368"/>
      <c r="G70" s="368"/>
      <c r="H70" s="368">
        <f>SUMIF(DU70:EB70,TRUE,DM70:DT70)</f>
        <v>24.000000000229999</v>
      </c>
      <c r="I70" s="368">
        <f>SUMIF(CF70:CM70,TRUE,BX70:CE70)</f>
        <v>24.000000000229999</v>
      </c>
      <c r="J70" s="368"/>
      <c r="K70" s="368"/>
      <c r="L70" s="368"/>
      <c r="M70" s="368" t="s">
        <v>356</v>
      </c>
      <c r="N70" s="368" t="s">
        <v>356</v>
      </c>
      <c r="O70" s="368" t="s">
        <v>356</v>
      </c>
      <c r="P70" s="368" t="s">
        <v>356</v>
      </c>
      <c r="Q70" s="368" t="s">
        <v>356</v>
      </c>
      <c r="R70" s="2" t="s">
        <v>1066</v>
      </c>
      <c r="S70" s="2" t="s">
        <v>817</v>
      </c>
      <c r="T70" s="2">
        <v>105</v>
      </c>
      <c r="U70" s="2" cm="1">
        <f t="array" ref="U70">IFERROR(INDEX('Offer Statistics'!$AI$2:$AI$350,MATCH(1,(A70='Offer Statistics'!$T$2:$T$350)*($A$11='Offer Statistics'!$U$2:$U$350),0)),"/")</f>
        <v>111</v>
      </c>
      <c r="V70" s="2" cm="1">
        <f t="array" ref="V70">IFERROR(INDEX('Offer Statistics'!$V$2:$V$350,MATCH(1,(A70='Offer Statistics'!$T$2:$T$350)*($A$11='Offer Statistics'!$U$2:$U$350),0)),"/")</f>
        <v>582</v>
      </c>
      <c r="W70" s="2" cm="1">
        <f t="array" ref="W70">IFERROR(INDEX('Offer Statistics'!$AD$2:$AD$350,MATCH(1,(A70='Offer Statistics'!$T$2:$T$350)*($A$11='Offer Statistics'!$U$2:$U$350),0)),"/")</f>
        <v>102</v>
      </c>
      <c r="X70" s="2">
        <f>IFERROR(V70/W70,"/")</f>
        <v>5.7058823529411766</v>
      </c>
      <c r="Y70" s="2" t="s">
        <v>817</v>
      </c>
      <c r="Z70" s="2" t="str">
        <f>入學要求!AF79</f>
        <v>/</v>
      </c>
      <c r="AA70" s="2" t="str">
        <f>入學要求!AG79</f>
        <v>/</v>
      </c>
      <c r="AB70" s="403" t="s">
        <v>889</v>
      </c>
      <c r="AC70" s="368" t="s">
        <v>2888</v>
      </c>
      <c r="AD70" s="368"/>
      <c r="AE70" s="368" t="s">
        <v>356</v>
      </c>
      <c r="AF70" s="368" t="s">
        <v>356</v>
      </c>
      <c r="AG70" s="368" t="s">
        <v>356</v>
      </c>
      <c r="AH70" s="368" t="s">
        <v>356</v>
      </c>
      <c r="AI70" s="368" t="s">
        <v>356</v>
      </c>
      <c r="AJ70" s="400" t="s">
        <v>1067</v>
      </c>
      <c r="AK70" s="400" t="s">
        <v>818</v>
      </c>
      <c r="AL70" s="400" t="s">
        <v>1068</v>
      </c>
      <c r="AM70" s="400" t="s">
        <v>356</v>
      </c>
      <c r="AN70" s="400" t="s">
        <v>356</v>
      </c>
      <c r="AO70" s="400" t="s">
        <v>356</v>
      </c>
      <c r="AP70" s="400" t="s">
        <v>435</v>
      </c>
      <c r="AQ70" s="400" t="s">
        <v>356</v>
      </c>
      <c r="AR70" s="400"/>
      <c r="AS70" s="2" t="s">
        <v>1069</v>
      </c>
      <c r="AT70" s="2" t="s">
        <v>1070</v>
      </c>
      <c r="AU70" s="2" t="s">
        <v>817</v>
      </c>
      <c r="AY70" s="2">
        <v>1</v>
      </c>
      <c r="AZ70" s="2">
        <v>1</v>
      </c>
      <c r="BA70" s="2">
        <v>1</v>
      </c>
      <c r="BB70" s="2">
        <v>1</v>
      </c>
      <c r="BC70" s="2">
        <v>1</v>
      </c>
      <c r="BD70" s="2">
        <v>1</v>
      </c>
      <c r="BE70" s="2">
        <v>1</v>
      </c>
      <c r="BF70" s="2">
        <v>1</v>
      </c>
      <c r="BH70" s="2">
        <v>6</v>
      </c>
      <c r="BI70" s="2">
        <v>3</v>
      </c>
      <c r="BJ70" s="2">
        <v>3</v>
      </c>
      <c r="BK70" s="2">
        <v>4</v>
      </c>
      <c r="BM70" s="2">
        <v>4</v>
      </c>
      <c r="BN70" s="2">
        <v>4</v>
      </c>
      <c r="BP70" s="206">
        <f t="shared" si="320"/>
        <v>6.00000000004</v>
      </c>
      <c r="BQ70" s="206">
        <f t="shared" si="321"/>
        <v>3.00000000002</v>
      </c>
      <c r="BR70" s="206">
        <f t="shared" si="322"/>
        <v>3.00000000003</v>
      </c>
      <c r="BS70" s="206">
        <f t="shared" si="323"/>
        <v>4.00000000001</v>
      </c>
      <c r="BT70" s="206">
        <f t="shared" si="324"/>
        <v>5.0000000000000002E-11</v>
      </c>
      <c r="BU70" s="206">
        <f t="shared" si="325"/>
        <v>4.00000000006</v>
      </c>
      <c r="BV70" s="206">
        <f t="shared" si="326"/>
        <v>4.00000000007</v>
      </c>
      <c r="BW70" s="206">
        <f t="shared" si="327"/>
        <v>7.9999999999999995E-11</v>
      </c>
      <c r="BX70" s="2">
        <f t="shared" ref="BX70:BX90" si="355">AY70*BP70</f>
        <v>6.00000000004</v>
      </c>
      <c r="BY70" s="2">
        <f t="shared" ref="BY70:BY90" si="356">AZ70*BQ70</f>
        <v>3.00000000002</v>
      </c>
      <c r="BZ70" s="2">
        <f t="shared" ref="BZ70:BZ90" si="357">BA70*BR70</f>
        <v>3.00000000003</v>
      </c>
      <c r="CA70" s="2">
        <f t="shared" ref="CA70:CA90" si="358">BB70*BS70</f>
        <v>4.00000000001</v>
      </c>
      <c r="CB70" s="2">
        <f t="shared" ref="CB70:CB90" si="359">BC70*BT70</f>
        <v>5.0000000000000002E-11</v>
      </c>
      <c r="CC70" s="2">
        <f t="shared" ref="CC70:CC90" si="360">BD70*BU70</f>
        <v>4.00000000006</v>
      </c>
      <c r="CD70" s="2">
        <f t="shared" ref="CD70:CD90" si="361">BE70*BV70</f>
        <v>4.00000000007</v>
      </c>
      <c r="CE70" s="2">
        <f t="shared" ref="CE70:CE90" si="362">BF70*BW70</f>
        <v>7.9999999999999995E-11</v>
      </c>
      <c r="CF70" s="406" t="b">
        <f t="shared" ref="CF70:CF90" si="363">IF($E70="4C2X",TRUE,IF($E70="Best 5",IF(BX70&gt;LARGE($BX70:$CE70,6),TRUE),IF($E70="Best 6",IF(BX70&gt;LARGE($BX70:$CE70,7),TRUE))))</f>
        <v>1</v>
      </c>
      <c r="CG70" s="406" t="b">
        <f t="shared" ref="CG70:CG90" si="364">IF($E70="4C2X",TRUE,IF($E70="Best 5",IF(BY70&gt;LARGE($BX70:$CE70,6),TRUE),IF($E70="Best 6",IF(BY70&gt;LARGE($BX70:$CE70,7),TRUE))))</f>
        <v>1</v>
      </c>
      <c r="CH70" s="406" t="b">
        <f t="shared" ref="CH70:CH90" si="365">IF($E70="4C2X",TRUE,IF($E70="Best 5",IF(BZ70&gt;LARGE($BX70:$CE70,6),TRUE),IF($E70="Best 6",IF(BZ70&gt;LARGE($BX70:$CE70,7),TRUE))))</f>
        <v>1</v>
      </c>
      <c r="CI70" s="406" t="b">
        <f t="shared" ref="CI70:CI90" si="366">IF($E70="4C2X",TRUE,IF($E70="Best 5",IF(CA70&gt;LARGE($BX70:$CE70,6),TRUE),IF($E70="Best 6",IF(CA70&gt;LARGE($BX70:$CE70,7),TRUE))))</f>
        <v>1</v>
      </c>
      <c r="CJ70" s="406" t="b">
        <f t="shared" ref="CJ70:CM74" si="367">IF($E70="4C2X",IF(CB70&gt;LARGE($CB70:$CE70,3),TRUE),IF($E70="Best 5",IF(CB70&gt;LARGE($BX70:$CE70,6),TRUE),IF($E70="Best 6",IF(CB70&gt;LARGE($BX70:$CE70,7),TRUE))))</f>
        <v>0</v>
      </c>
      <c r="CK70" s="406" t="b">
        <f t="shared" si="367"/>
        <v>1</v>
      </c>
      <c r="CL70" s="406" t="b">
        <f t="shared" si="367"/>
        <v>1</v>
      </c>
      <c r="CM70" s="406" t="b">
        <f t="shared" si="367"/>
        <v>0</v>
      </c>
      <c r="CN70" s="2">
        <v>1</v>
      </c>
      <c r="CO70" s="2">
        <v>1</v>
      </c>
      <c r="CP70" s="2">
        <v>1</v>
      </c>
      <c r="CQ70" s="2">
        <v>1</v>
      </c>
      <c r="CR70" s="2">
        <v>1</v>
      </c>
      <c r="CS70" s="2">
        <v>1</v>
      </c>
      <c r="CT70" s="2">
        <v>1</v>
      </c>
      <c r="CU70" s="2">
        <v>1</v>
      </c>
      <c r="CW70" s="2">
        <v>6</v>
      </c>
      <c r="CX70" s="2">
        <v>4</v>
      </c>
      <c r="CY70" s="2">
        <v>4</v>
      </c>
      <c r="CZ70" s="2">
        <v>4</v>
      </c>
      <c r="DB70" s="2">
        <v>3</v>
      </c>
      <c r="DC70" s="2">
        <v>3</v>
      </c>
      <c r="DE70" s="206">
        <f>IFERROR(CW70+0.00000000004,0)</f>
        <v>6.00000000004</v>
      </c>
      <c r="DF70" s="206">
        <f t="shared" ref="DF70" si="368">IFERROR(CX70+0.00000000002,0)</f>
        <v>4.00000000002</v>
      </c>
      <c r="DG70" s="206">
        <f t="shared" ref="DG70" si="369">IFERROR(CY70+0.00000000003,0)</f>
        <v>4.00000000003</v>
      </c>
      <c r="DH70" s="206">
        <f>IFERROR(CZ70+0.00000000001,0)</f>
        <v>4.00000000001</v>
      </c>
      <c r="DI70" s="206">
        <f t="shared" ref="DI70" si="370">IFERROR(DA70+0.00000000005,0)</f>
        <v>5.0000000000000002E-11</v>
      </c>
      <c r="DJ70" s="206">
        <f t="shared" ref="DJ70" si="371">IFERROR(DB70+0.00000000006,0)</f>
        <v>3.00000000006</v>
      </c>
      <c r="DK70" s="206">
        <f t="shared" ref="DK70" si="372">IFERROR(DC70+0.00000000007,0)</f>
        <v>3.00000000007</v>
      </c>
      <c r="DL70" s="206">
        <f t="shared" ref="DL70" si="373">IFERROR(DD70+0.00000000008,0)</f>
        <v>7.9999999999999995E-11</v>
      </c>
      <c r="DM70" s="2">
        <f t="shared" ref="DM70:DM90" si="374">CN70*DE70</f>
        <v>6.00000000004</v>
      </c>
      <c r="DN70" s="2">
        <f t="shared" ref="DN70:DN90" si="375">CO70*DF70</f>
        <v>4.00000000002</v>
      </c>
      <c r="DO70" s="2">
        <f t="shared" ref="DO70:DO90" si="376">CP70*DG70</f>
        <v>4.00000000003</v>
      </c>
      <c r="DP70" s="2">
        <f t="shared" ref="DP70:DP90" si="377">CQ70*DH70</f>
        <v>4.00000000001</v>
      </c>
      <c r="DQ70" s="2">
        <f t="shared" ref="DQ70:DQ90" si="378">CR70*DI70</f>
        <v>5.0000000000000002E-11</v>
      </c>
      <c r="DR70" s="2">
        <f t="shared" ref="DR70:DR90" si="379">CS70*DJ70</f>
        <v>3.00000000006</v>
      </c>
      <c r="DS70" s="2">
        <f t="shared" ref="DS70:DS90" si="380">CT70*DK70</f>
        <v>3.00000000007</v>
      </c>
      <c r="DT70" s="2">
        <f t="shared" ref="DT70:DT90" si="381">CU70*DL70</f>
        <v>7.9999999999999995E-11</v>
      </c>
      <c r="DU70" s="2" t="b">
        <f t="shared" ref="DU70:DU90" si="382">IF($E70="4C2X",TRUE,IF($E70="Best 5",IF(DM70&gt;LARGE($DM70:$DT70,6),TRUE),IF($E70="Best 6",IF(DM70&gt;LARGE($DM70:$DT70,7),TRUE))))</f>
        <v>1</v>
      </c>
      <c r="DV70" s="2" t="b">
        <f t="shared" ref="DV70:DV90" si="383">IF($E70="4C2X",TRUE,IF($E70="Best 5",IF(DN70&gt;LARGE($DM70:$DT70,6),TRUE),IF($E70="Best 6",IF(DN70&gt;LARGE($DM70:$DT70,7),TRUE))))</f>
        <v>1</v>
      </c>
      <c r="DW70" s="2" t="b">
        <f t="shared" ref="DW70:DW90" si="384">IF($E70="4C2X",TRUE,IF($E70="Best 5",IF(DO70&gt;LARGE($DM70:$DT70,6),TRUE),IF($E70="Best 6",IF(DO70&gt;LARGE($DM70:$DT70,7),TRUE))))</f>
        <v>1</v>
      </c>
      <c r="DX70" s="2" t="b">
        <f t="shared" ref="DX70:DX90" si="385">IF($E70="4C2X",TRUE,IF($E70="Best 5",IF(DP70&gt;LARGE($DM70:$DT70,6),TRUE),IF($E70="Best 6",IF(DP70&gt;LARGE($DM70:$DT70,7),TRUE))))</f>
        <v>1</v>
      </c>
      <c r="DY70" s="2" t="b">
        <f t="shared" ref="DY70:EB74" si="386">IF($E70="4C2X",IF(DQ70&gt;LARGE($DQ70:$DT70,3),TRUE),IF($E70="Best 5",IF(DQ70&gt;LARGE($DM70:$DT70,6),TRUE),IF($E70="Best 6",IF(DQ70&gt;LARGE($DM70:$DT70,7),TRUE))))</f>
        <v>0</v>
      </c>
      <c r="DZ70" s="2" t="b">
        <f t="shared" si="386"/>
        <v>1</v>
      </c>
      <c r="EA70" s="2" t="b">
        <f t="shared" si="386"/>
        <v>1</v>
      </c>
      <c r="EB70" s="2" t="b">
        <f t="shared" si="386"/>
        <v>0</v>
      </c>
      <c r="EC70" s="2" t="s">
        <v>435</v>
      </c>
      <c r="ED70" s="2" t="s">
        <v>435</v>
      </c>
      <c r="EE70" s="2" t="s">
        <v>435</v>
      </c>
      <c r="EF70" s="2" t="s">
        <v>435</v>
      </c>
      <c r="EG70" s="2" t="s">
        <v>435</v>
      </c>
      <c r="EH70" s="2" t="s">
        <v>435</v>
      </c>
      <c r="EI70" s="2" t="s">
        <v>435</v>
      </c>
      <c r="EJ70" s="2" t="s">
        <v>435</v>
      </c>
      <c r="EK70" s="2" t="s">
        <v>435</v>
      </c>
      <c r="EL70" s="2" t="s">
        <v>435</v>
      </c>
      <c r="EM70" s="2" t="s">
        <v>435</v>
      </c>
      <c r="EN70" s="2" t="s">
        <v>435</v>
      </c>
      <c r="EO70" s="2" t="s">
        <v>435</v>
      </c>
      <c r="EP70" s="2" t="s">
        <v>435</v>
      </c>
      <c r="EQ70" s="2" t="s">
        <v>435</v>
      </c>
      <c r="ER70" s="2" t="s">
        <v>435</v>
      </c>
      <c r="FA70" s="2" t="s">
        <v>435</v>
      </c>
      <c r="FB70" s="2" t="s">
        <v>435</v>
      </c>
      <c r="FC70" s="2" t="s">
        <v>435</v>
      </c>
      <c r="FD70" s="2" t="s">
        <v>435</v>
      </c>
      <c r="FE70" s="2" t="s">
        <v>435</v>
      </c>
      <c r="FF70" s="2" t="s">
        <v>435</v>
      </c>
      <c r="FG70" s="2" t="s">
        <v>435</v>
      </c>
      <c r="FH70" s="2" t="s">
        <v>435</v>
      </c>
      <c r="FI70" s="2" t="s">
        <v>435</v>
      </c>
      <c r="FJ70" s="2" t="s">
        <v>435</v>
      </c>
      <c r="FK70" s="2" t="s">
        <v>435</v>
      </c>
      <c r="FL70" s="2" t="s">
        <v>435</v>
      </c>
      <c r="FM70" s="2" t="s">
        <v>435</v>
      </c>
      <c r="FN70" s="2" t="s">
        <v>435</v>
      </c>
      <c r="FO70" s="2" t="s">
        <v>435</v>
      </c>
      <c r="FP70" s="2" t="s">
        <v>435</v>
      </c>
    </row>
    <row r="71" spans="1:194">
      <c r="A71" s="2" t="s">
        <v>1071</v>
      </c>
      <c r="B71" s="2" t="s">
        <v>250</v>
      </c>
      <c r="C71" s="2" t="s">
        <v>1072</v>
      </c>
      <c r="D71" s="2" t="s">
        <v>1073</v>
      </c>
      <c r="E71" s="365" t="s">
        <v>815</v>
      </c>
      <c r="F71" s="368"/>
      <c r="G71" s="368"/>
      <c r="H71" s="368">
        <f t="shared" ref="H71:H90" si="387">SUMIF(DU71:EB71,TRUE,DM71:DT71)</f>
        <v>22.000000000229999</v>
      </c>
      <c r="I71" s="368">
        <f t="shared" ref="I71:I90" si="388">SUMIF(CF71:CM71,TRUE,BX71:CE71)</f>
        <v>22.000000000229999</v>
      </c>
      <c r="J71" s="368"/>
      <c r="K71" s="368"/>
      <c r="L71" s="368"/>
      <c r="M71" s="368" t="s">
        <v>356</v>
      </c>
      <c r="N71" s="368" t="s">
        <v>356</v>
      </c>
      <c r="O71" s="368" t="s">
        <v>356</v>
      </c>
      <c r="P71" s="368" t="s">
        <v>356</v>
      </c>
      <c r="Q71" s="368" t="s">
        <v>356</v>
      </c>
      <c r="R71" s="2" t="s">
        <v>1074</v>
      </c>
      <c r="S71" s="2" t="s">
        <v>817</v>
      </c>
      <c r="T71" s="2">
        <v>15</v>
      </c>
      <c r="U71" s="2" cm="1">
        <f t="array" ref="U71">IFERROR(INDEX('Offer Statistics'!$AI$2:$AI$350,MATCH(1,(A71='Offer Statistics'!$T$2:$T$350)*($A$11='Offer Statistics'!$U$2:$U$350),0)),"/")</f>
        <v>15</v>
      </c>
      <c r="V71" s="2" cm="1">
        <f t="array" ref="V71">IFERROR(INDEX('Offer Statistics'!$V$2:$V$350,MATCH(1,(A71='Offer Statistics'!$T$2:$T$350)*($A$11='Offer Statistics'!$U$2:$U$350),0)),"/")</f>
        <v>159</v>
      </c>
      <c r="W71" s="2" cm="1">
        <f t="array" ref="W71">IFERROR(INDEX('Offer Statistics'!$AD$2:$AD$350,MATCH(1,(A71='Offer Statistics'!$T$2:$T$350)*($A$11='Offer Statistics'!$U$2:$U$350),0)),"/")</f>
        <v>13</v>
      </c>
      <c r="X71" s="2">
        <f t="shared" ref="X71:X90" si="389">IFERROR(V71/W71,"/")</f>
        <v>12.23076923076923</v>
      </c>
      <c r="Y71" s="2" t="s">
        <v>817</v>
      </c>
      <c r="Z71" s="2" t="str">
        <f>入學要求!AF80</f>
        <v>/</v>
      </c>
      <c r="AA71" s="2" t="str">
        <f>入學要求!AG80</f>
        <v>/</v>
      </c>
      <c r="AB71" s="403" t="s">
        <v>889</v>
      </c>
      <c r="AC71" s="368" t="s">
        <v>2888</v>
      </c>
      <c r="AD71" s="368"/>
      <c r="AE71" s="368" t="s">
        <v>356</v>
      </c>
      <c r="AF71" s="368" t="s">
        <v>356</v>
      </c>
      <c r="AG71" s="368" t="s">
        <v>356</v>
      </c>
      <c r="AH71" s="368" t="s">
        <v>356</v>
      </c>
      <c r="AI71" s="368" t="s">
        <v>356</v>
      </c>
      <c r="AJ71" s="400" t="s">
        <v>1067</v>
      </c>
      <c r="AK71" s="400" t="s">
        <v>818</v>
      </c>
      <c r="AL71" s="400" t="s">
        <v>1068</v>
      </c>
      <c r="AM71" s="400" t="s">
        <v>1075</v>
      </c>
      <c r="AN71" s="400" t="s">
        <v>356</v>
      </c>
      <c r="AO71" s="400" t="s">
        <v>356</v>
      </c>
      <c r="AP71" s="400" t="s">
        <v>435</v>
      </c>
      <c r="AQ71" s="400" t="s">
        <v>356</v>
      </c>
      <c r="AR71" s="400"/>
      <c r="AS71" s="2" t="s">
        <v>1069</v>
      </c>
      <c r="AT71" s="2" t="s">
        <v>1070</v>
      </c>
      <c r="AU71" s="2" t="s">
        <v>817</v>
      </c>
      <c r="AW71" s="203"/>
      <c r="AY71" s="2">
        <v>1</v>
      </c>
      <c r="AZ71" s="2">
        <v>1</v>
      </c>
      <c r="BA71" s="2">
        <v>1</v>
      </c>
      <c r="BB71" s="2">
        <v>1</v>
      </c>
      <c r="BC71" s="2">
        <v>1</v>
      </c>
      <c r="BD71" s="2">
        <v>1</v>
      </c>
      <c r="BE71" s="2">
        <v>1</v>
      </c>
      <c r="BF71" s="2">
        <v>1</v>
      </c>
      <c r="BH71" s="2">
        <v>5</v>
      </c>
      <c r="BI71" s="2">
        <v>3</v>
      </c>
      <c r="BJ71" s="2">
        <v>3</v>
      </c>
      <c r="BK71" s="2">
        <v>4</v>
      </c>
      <c r="BM71" s="2">
        <v>4</v>
      </c>
      <c r="BN71" s="2">
        <v>3</v>
      </c>
      <c r="BP71" s="206">
        <f t="shared" si="320"/>
        <v>5.00000000004</v>
      </c>
      <c r="BQ71" s="206">
        <f t="shared" si="321"/>
        <v>3.00000000002</v>
      </c>
      <c r="BR71" s="206">
        <f t="shared" si="322"/>
        <v>3.00000000003</v>
      </c>
      <c r="BS71" s="206">
        <f t="shared" si="323"/>
        <v>4.00000000001</v>
      </c>
      <c r="BT71" s="206">
        <f t="shared" si="324"/>
        <v>5.0000000000000002E-11</v>
      </c>
      <c r="BU71" s="206">
        <f t="shared" si="325"/>
        <v>4.00000000006</v>
      </c>
      <c r="BV71" s="206">
        <f t="shared" si="326"/>
        <v>3.00000000007</v>
      </c>
      <c r="BW71" s="206">
        <f t="shared" si="327"/>
        <v>7.9999999999999995E-11</v>
      </c>
      <c r="BX71" s="2">
        <f t="shared" si="355"/>
        <v>5.00000000004</v>
      </c>
      <c r="BY71" s="2">
        <f t="shared" si="356"/>
        <v>3.00000000002</v>
      </c>
      <c r="BZ71" s="2">
        <f t="shared" si="357"/>
        <v>3.00000000003</v>
      </c>
      <c r="CA71" s="2">
        <f t="shared" si="358"/>
        <v>4.00000000001</v>
      </c>
      <c r="CB71" s="2">
        <f t="shared" si="359"/>
        <v>5.0000000000000002E-11</v>
      </c>
      <c r="CC71" s="2">
        <f t="shared" si="360"/>
        <v>4.00000000006</v>
      </c>
      <c r="CD71" s="2">
        <f t="shared" si="361"/>
        <v>3.00000000007</v>
      </c>
      <c r="CE71" s="2">
        <f t="shared" si="362"/>
        <v>7.9999999999999995E-11</v>
      </c>
      <c r="CF71" s="406" t="b">
        <f t="shared" si="363"/>
        <v>1</v>
      </c>
      <c r="CG71" s="406" t="b">
        <f t="shared" si="364"/>
        <v>1</v>
      </c>
      <c r="CH71" s="406" t="b">
        <f t="shared" si="365"/>
        <v>1</v>
      </c>
      <c r="CI71" s="406" t="b">
        <f t="shared" si="366"/>
        <v>1</v>
      </c>
      <c r="CJ71" s="406" t="b">
        <f t="shared" si="367"/>
        <v>0</v>
      </c>
      <c r="CK71" s="406" t="b">
        <f t="shared" si="367"/>
        <v>1</v>
      </c>
      <c r="CL71" s="406" t="b">
        <f t="shared" si="367"/>
        <v>1</v>
      </c>
      <c r="CM71" s="406" t="b">
        <f t="shared" si="367"/>
        <v>0</v>
      </c>
      <c r="CN71" s="2">
        <v>1</v>
      </c>
      <c r="CO71" s="2">
        <v>1</v>
      </c>
      <c r="CP71" s="2">
        <v>1</v>
      </c>
      <c r="CQ71" s="2">
        <v>1</v>
      </c>
      <c r="CR71" s="2">
        <v>1</v>
      </c>
      <c r="CS71" s="2">
        <v>1</v>
      </c>
      <c r="CT71" s="2">
        <v>1</v>
      </c>
      <c r="CU71" s="2">
        <v>1</v>
      </c>
      <c r="CW71" s="2">
        <v>6</v>
      </c>
      <c r="CX71" s="2">
        <v>4</v>
      </c>
      <c r="CY71" s="2">
        <v>2</v>
      </c>
      <c r="CZ71" s="2">
        <v>3</v>
      </c>
      <c r="DB71" s="2">
        <v>4</v>
      </c>
      <c r="DC71" s="2">
        <v>3</v>
      </c>
      <c r="DE71" s="206">
        <f t="shared" ref="DE71:DE90" si="390">IFERROR(CW71+0.00000000004,0)</f>
        <v>6.00000000004</v>
      </c>
      <c r="DF71" s="206">
        <f t="shared" ref="DF71:DF90" si="391">IFERROR(CX71+0.00000000002,0)</f>
        <v>4.00000000002</v>
      </c>
      <c r="DG71" s="206">
        <f t="shared" ref="DG71:DG90" si="392">IFERROR(CY71+0.00000000003,0)</f>
        <v>2.00000000003</v>
      </c>
      <c r="DH71" s="206">
        <f t="shared" ref="DH71:DH90" si="393">IFERROR(CZ71+0.00000000001,0)</f>
        <v>3.00000000001</v>
      </c>
      <c r="DI71" s="206">
        <f t="shared" ref="DI71:DI90" si="394">IFERROR(DA71+0.00000000005,0)</f>
        <v>5.0000000000000002E-11</v>
      </c>
      <c r="DJ71" s="206">
        <f t="shared" ref="DJ71:DJ90" si="395">IFERROR(DB71+0.00000000006,0)</f>
        <v>4.00000000006</v>
      </c>
      <c r="DK71" s="206">
        <f t="shared" ref="DK71:DK90" si="396">IFERROR(DC71+0.00000000007,0)</f>
        <v>3.00000000007</v>
      </c>
      <c r="DL71" s="206">
        <f t="shared" ref="DL71:DL90" si="397">IFERROR(DD71+0.00000000008,0)</f>
        <v>7.9999999999999995E-11</v>
      </c>
      <c r="DM71" s="2">
        <f t="shared" si="374"/>
        <v>6.00000000004</v>
      </c>
      <c r="DN71" s="2">
        <f t="shared" si="375"/>
        <v>4.00000000002</v>
      </c>
      <c r="DO71" s="2">
        <f t="shared" si="376"/>
        <v>2.00000000003</v>
      </c>
      <c r="DP71" s="2">
        <f t="shared" si="377"/>
        <v>3.00000000001</v>
      </c>
      <c r="DQ71" s="2">
        <f t="shared" si="378"/>
        <v>5.0000000000000002E-11</v>
      </c>
      <c r="DR71" s="2">
        <f t="shared" si="379"/>
        <v>4.00000000006</v>
      </c>
      <c r="DS71" s="2">
        <f t="shared" si="380"/>
        <v>3.00000000007</v>
      </c>
      <c r="DT71" s="2">
        <f t="shared" si="381"/>
        <v>7.9999999999999995E-11</v>
      </c>
      <c r="DU71" s="2" t="b">
        <f t="shared" si="382"/>
        <v>1</v>
      </c>
      <c r="DV71" s="2" t="b">
        <f t="shared" si="383"/>
        <v>1</v>
      </c>
      <c r="DW71" s="2" t="b">
        <f t="shared" si="384"/>
        <v>1</v>
      </c>
      <c r="DX71" s="2" t="b">
        <f t="shared" si="385"/>
        <v>1</v>
      </c>
      <c r="DY71" s="2" t="b">
        <f t="shared" si="386"/>
        <v>0</v>
      </c>
      <c r="DZ71" s="2" t="b">
        <f t="shared" si="386"/>
        <v>1</v>
      </c>
      <c r="EA71" s="2" t="b">
        <f t="shared" si="386"/>
        <v>1</v>
      </c>
      <c r="EB71" s="2" t="b">
        <f t="shared" si="386"/>
        <v>0</v>
      </c>
      <c r="EC71" s="2" t="s">
        <v>435</v>
      </c>
      <c r="ED71" s="2" t="s">
        <v>435</v>
      </c>
      <c r="EE71" s="2" t="s">
        <v>435</v>
      </c>
      <c r="EF71" s="2" t="s">
        <v>435</v>
      </c>
      <c r="EG71" s="2" t="s">
        <v>435</v>
      </c>
      <c r="EH71" s="2" t="s">
        <v>435</v>
      </c>
      <c r="EI71" s="2" t="s">
        <v>435</v>
      </c>
      <c r="EJ71" s="2" t="s">
        <v>435</v>
      </c>
      <c r="EK71" s="2" t="s">
        <v>435</v>
      </c>
      <c r="EL71" s="2" t="s">
        <v>435</v>
      </c>
      <c r="EM71" s="2" t="s">
        <v>435</v>
      </c>
      <c r="EN71" s="2" t="s">
        <v>435</v>
      </c>
      <c r="EO71" s="2" t="s">
        <v>435</v>
      </c>
      <c r="EP71" s="2" t="s">
        <v>435</v>
      </c>
      <c r="EQ71" s="2" t="s">
        <v>435</v>
      </c>
      <c r="ER71" s="2" t="s">
        <v>435</v>
      </c>
      <c r="FA71" s="2" t="s">
        <v>435</v>
      </c>
      <c r="FB71" s="2" t="s">
        <v>435</v>
      </c>
      <c r="FC71" s="2" t="s">
        <v>435</v>
      </c>
      <c r="FD71" s="2" t="s">
        <v>435</v>
      </c>
      <c r="FE71" s="2" t="s">
        <v>435</v>
      </c>
      <c r="FF71" s="2" t="s">
        <v>435</v>
      </c>
      <c r="FG71" s="2" t="s">
        <v>435</v>
      </c>
      <c r="FH71" s="2" t="s">
        <v>435</v>
      </c>
      <c r="FI71" s="2" t="s">
        <v>435</v>
      </c>
      <c r="FJ71" s="2" t="s">
        <v>435</v>
      </c>
      <c r="FK71" s="2" t="s">
        <v>435</v>
      </c>
      <c r="FL71" s="2" t="s">
        <v>435</v>
      </c>
      <c r="FM71" s="2" t="s">
        <v>435</v>
      </c>
      <c r="FN71" s="2" t="s">
        <v>435</v>
      </c>
      <c r="FO71" s="2" t="s">
        <v>435</v>
      </c>
      <c r="FP71" s="2" t="s">
        <v>435</v>
      </c>
    </row>
    <row r="72" spans="1:194" ht="13.95" customHeight="1">
      <c r="A72" s="2" t="s">
        <v>1076</v>
      </c>
      <c r="B72" s="2" t="s">
        <v>250</v>
      </c>
      <c r="C72" s="2" t="s">
        <v>1072</v>
      </c>
      <c r="D72" s="2" t="s">
        <v>1077</v>
      </c>
      <c r="E72" s="365" t="s">
        <v>815</v>
      </c>
      <c r="F72" s="368"/>
      <c r="G72" s="368"/>
      <c r="H72" s="368">
        <f t="shared" si="387"/>
        <v>25.000000000229999</v>
      </c>
      <c r="I72" s="368">
        <f t="shared" si="388"/>
        <v>24.000000000229999</v>
      </c>
      <c r="J72" s="368"/>
      <c r="K72" s="368"/>
      <c r="L72" s="368"/>
      <c r="M72" s="368" t="s">
        <v>356</v>
      </c>
      <c r="N72" s="368" t="s">
        <v>356</v>
      </c>
      <c r="O72" s="368" t="s">
        <v>356</v>
      </c>
      <c r="P72" s="368" t="s">
        <v>356</v>
      </c>
      <c r="Q72" s="368" t="s">
        <v>356</v>
      </c>
      <c r="R72" s="2" t="s">
        <v>1078</v>
      </c>
      <c r="S72" s="2" t="s">
        <v>817</v>
      </c>
      <c r="T72" s="2">
        <v>43</v>
      </c>
      <c r="U72" s="2" cm="1">
        <f t="array" ref="U72">IFERROR(INDEX('Offer Statistics'!$AI$2:$AI$350,MATCH(1,(A72='Offer Statistics'!$T$2:$T$350)*($A$11='Offer Statistics'!$U$2:$U$350),0)),"/")</f>
        <v>25</v>
      </c>
      <c r="V72" s="2" cm="1">
        <f t="array" ref="V72">IFERROR(INDEX('Offer Statistics'!$V$2:$V$350,MATCH(1,(A72='Offer Statistics'!$T$2:$T$350)*($A$11='Offer Statistics'!$U$2:$U$350),0)),"/")</f>
        <v>277</v>
      </c>
      <c r="W72" s="2" cm="1">
        <f t="array" ref="W72">IFERROR(INDEX('Offer Statistics'!$AD$2:$AD$350,MATCH(1,(A72='Offer Statistics'!$T$2:$T$350)*($A$11='Offer Statistics'!$U$2:$U$350),0)),"/")</f>
        <v>25</v>
      </c>
      <c r="X72" s="2">
        <f t="shared" si="389"/>
        <v>11.08</v>
      </c>
      <c r="Y72" s="2" t="s">
        <v>817</v>
      </c>
      <c r="Z72" s="2" t="str">
        <f>入學要求!AF81</f>
        <v>/</v>
      </c>
      <c r="AA72" s="2" t="str">
        <f>入學要求!AG81</f>
        <v>/</v>
      </c>
      <c r="AB72" s="403" t="s">
        <v>889</v>
      </c>
      <c r="AC72" s="368" t="s">
        <v>2888</v>
      </c>
      <c r="AD72" s="368"/>
      <c r="AE72" s="368" t="s">
        <v>356</v>
      </c>
      <c r="AF72" s="368" t="s">
        <v>356</v>
      </c>
      <c r="AG72" s="368" t="s">
        <v>356</v>
      </c>
      <c r="AH72" s="368" t="s">
        <v>356</v>
      </c>
      <c r="AI72" s="368" t="s">
        <v>356</v>
      </c>
      <c r="AJ72" s="400" t="s">
        <v>1067</v>
      </c>
      <c r="AK72" s="400" t="s">
        <v>818</v>
      </c>
      <c r="AL72" s="400" t="s">
        <v>1068</v>
      </c>
      <c r="AM72" s="404" t="s">
        <v>1079</v>
      </c>
      <c r="AN72" s="400" t="s">
        <v>1080</v>
      </c>
      <c r="AO72" s="400" t="s">
        <v>1081</v>
      </c>
      <c r="AP72" s="400" t="s">
        <v>435</v>
      </c>
      <c r="AQ72" s="400" t="s">
        <v>356</v>
      </c>
      <c r="AR72" s="400"/>
      <c r="AS72" s="2" t="s">
        <v>1069</v>
      </c>
      <c r="AT72" s="2" t="s">
        <v>1070</v>
      </c>
      <c r="AU72" s="2" t="s">
        <v>817</v>
      </c>
      <c r="AY72" s="2">
        <v>1</v>
      </c>
      <c r="AZ72" s="2">
        <v>1</v>
      </c>
      <c r="BA72" s="2">
        <v>1</v>
      </c>
      <c r="BB72" s="2">
        <v>1</v>
      </c>
      <c r="BC72" s="2">
        <v>1</v>
      </c>
      <c r="BD72" s="2">
        <v>1</v>
      </c>
      <c r="BE72" s="2">
        <v>1</v>
      </c>
      <c r="BF72" s="2">
        <v>1</v>
      </c>
      <c r="BH72" s="2">
        <v>3</v>
      </c>
      <c r="BI72" s="2">
        <v>4</v>
      </c>
      <c r="BJ72" s="2">
        <v>4</v>
      </c>
      <c r="BK72" s="2">
        <v>4</v>
      </c>
      <c r="BM72" s="2">
        <v>5</v>
      </c>
      <c r="BN72" s="2">
        <v>4</v>
      </c>
      <c r="BP72" s="206">
        <f t="shared" si="320"/>
        <v>3.00000000004</v>
      </c>
      <c r="BQ72" s="206">
        <f t="shared" si="321"/>
        <v>4.00000000002</v>
      </c>
      <c r="BR72" s="206">
        <f t="shared" si="322"/>
        <v>4.00000000003</v>
      </c>
      <c r="BS72" s="206">
        <f t="shared" si="323"/>
        <v>4.00000000001</v>
      </c>
      <c r="BT72" s="206">
        <f t="shared" si="324"/>
        <v>5.0000000000000002E-11</v>
      </c>
      <c r="BU72" s="206">
        <f t="shared" si="325"/>
        <v>5.00000000006</v>
      </c>
      <c r="BV72" s="206">
        <f t="shared" si="326"/>
        <v>4.00000000007</v>
      </c>
      <c r="BW72" s="206">
        <f t="shared" si="327"/>
        <v>7.9999999999999995E-11</v>
      </c>
      <c r="BX72" s="2">
        <f t="shared" si="355"/>
        <v>3.00000000004</v>
      </c>
      <c r="BY72" s="2">
        <f t="shared" si="356"/>
        <v>4.00000000002</v>
      </c>
      <c r="BZ72" s="2">
        <f t="shared" si="357"/>
        <v>4.00000000003</v>
      </c>
      <c r="CA72" s="2">
        <f t="shared" si="358"/>
        <v>4.00000000001</v>
      </c>
      <c r="CB72" s="2">
        <f t="shared" si="359"/>
        <v>5.0000000000000002E-11</v>
      </c>
      <c r="CC72" s="2">
        <f t="shared" si="360"/>
        <v>5.00000000006</v>
      </c>
      <c r="CD72" s="2">
        <f t="shared" si="361"/>
        <v>4.00000000007</v>
      </c>
      <c r="CE72" s="2">
        <f t="shared" si="362"/>
        <v>7.9999999999999995E-11</v>
      </c>
      <c r="CF72" s="406" t="b">
        <f t="shared" si="363"/>
        <v>1</v>
      </c>
      <c r="CG72" s="406" t="b">
        <f t="shared" si="364"/>
        <v>1</v>
      </c>
      <c r="CH72" s="406" t="b">
        <f t="shared" si="365"/>
        <v>1</v>
      </c>
      <c r="CI72" s="406" t="b">
        <f t="shared" si="366"/>
        <v>1</v>
      </c>
      <c r="CJ72" s="406" t="b">
        <f t="shared" si="367"/>
        <v>0</v>
      </c>
      <c r="CK72" s="406" t="b">
        <f t="shared" si="367"/>
        <v>1</v>
      </c>
      <c r="CL72" s="406" t="b">
        <f t="shared" si="367"/>
        <v>1</v>
      </c>
      <c r="CM72" s="406" t="b">
        <f t="shared" si="367"/>
        <v>0</v>
      </c>
      <c r="CN72" s="2">
        <v>1</v>
      </c>
      <c r="CO72" s="2">
        <v>1</v>
      </c>
      <c r="CP72" s="2">
        <v>1</v>
      </c>
      <c r="CQ72" s="2">
        <v>1</v>
      </c>
      <c r="CR72" s="2">
        <v>1</v>
      </c>
      <c r="CS72" s="2">
        <v>1</v>
      </c>
      <c r="CT72" s="2">
        <v>1</v>
      </c>
      <c r="CU72" s="2">
        <v>1</v>
      </c>
      <c r="CW72" s="2">
        <v>3</v>
      </c>
      <c r="CX72" s="2">
        <v>5</v>
      </c>
      <c r="CY72" s="2">
        <v>4</v>
      </c>
      <c r="CZ72" s="2">
        <v>5</v>
      </c>
      <c r="DB72" s="2">
        <v>4</v>
      </c>
      <c r="DC72" s="2">
        <v>4</v>
      </c>
      <c r="DD72" s="2">
        <v>3</v>
      </c>
      <c r="DE72" s="206">
        <f t="shared" si="390"/>
        <v>3.00000000004</v>
      </c>
      <c r="DF72" s="206">
        <f t="shared" si="391"/>
        <v>5.00000000002</v>
      </c>
      <c r="DG72" s="206">
        <f t="shared" si="392"/>
        <v>4.00000000003</v>
      </c>
      <c r="DH72" s="206">
        <f t="shared" si="393"/>
        <v>5.00000000001</v>
      </c>
      <c r="DI72" s="206">
        <f t="shared" si="394"/>
        <v>5.0000000000000002E-11</v>
      </c>
      <c r="DJ72" s="206">
        <f t="shared" si="395"/>
        <v>4.00000000006</v>
      </c>
      <c r="DK72" s="206">
        <f t="shared" si="396"/>
        <v>4.00000000007</v>
      </c>
      <c r="DL72" s="206">
        <f t="shared" si="397"/>
        <v>3.00000000008</v>
      </c>
      <c r="DM72" s="2">
        <f t="shared" si="374"/>
        <v>3.00000000004</v>
      </c>
      <c r="DN72" s="2">
        <f t="shared" si="375"/>
        <v>5.00000000002</v>
      </c>
      <c r="DO72" s="2">
        <f t="shared" si="376"/>
        <v>4.00000000003</v>
      </c>
      <c r="DP72" s="2">
        <f t="shared" si="377"/>
        <v>5.00000000001</v>
      </c>
      <c r="DQ72" s="2">
        <f t="shared" si="378"/>
        <v>5.0000000000000002E-11</v>
      </c>
      <c r="DR72" s="2">
        <f t="shared" si="379"/>
        <v>4.00000000006</v>
      </c>
      <c r="DS72" s="2">
        <f t="shared" si="380"/>
        <v>4.00000000007</v>
      </c>
      <c r="DT72" s="2">
        <f t="shared" si="381"/>
        <v>3.00000000008</v>
      </c>
      <c r="DU72" s="2" t="b">
        <f t="shared" si="382"/>
        <v>1</v>
      </c>
      <c r="DV72" s="2" t="b">
        <f t="shared" si="383"/>
        <v>1</v>
      </c>
      <c r="DW72" s="2" t="b">
        <f t="shared" si="384"/>
        <v>1</v>
      </c>
      <c r="DX72" s="2" t="b">
        <f t="shared" si="385"/>
        <v>1</v>
      </c>
      <c r="DY72" s="2" t="b">
        <f t="shared" si="386"/>
        <v>0</v>
      </c>
      <c r="DZ72" s="2" t="b">
        <f t="shared" si="386"/>
        <v>1</v>
      </c>
      <c r="EA72" s="2" t="b">
        <f t="shared" si="386"/>
        <v>1</v>
      </c>
      <c r="EB72" s="2" t="b">
        <f t="shared" si="386"/>
        <v>0</v>
      </c>
      <c r="EC72" s="2" t="s">
        <v>435</v>
      </c>
      <c r="ED72" s="2" t="s">
        <v>435</v>
      </c>
      <c r="EE72" s="2" t="s">
        <v>435</v>
      </c>
      <c r="EF72" s="2" t="s">
        <v>435</v>
      </c>
      <c r="EG72" s="2" t="s">
        <v>435</v>
      </c>
      <c r="EH72" s="2" t="s">
        <v>435</v>
      </c>
      <c r="EI72" s="2" t="s">
        <v>435</v>
      </c>
      <c r="EJ72" s="2" t="s">
        <v>435</v>
      </c>
      <c r="EK72" s="2" t="s">
        <v>435</v>
      </c>
      <c r="EL72" s="2" t="s">
        <v>435</v>
      </c>
      <c r="EM72" s="2" t="s">
        <v>435</v>
      </c>
      <c r="EN72" s="2" t="s">
        <v>435</v>
      </c>
      <c r="EO72" s="2" t="s">
        <v>435</v>
      </c>
      <c r="EP72" s="2" t="s">
        <v>435</v>
      </c>
      <c r="EQ72" s="2" t="s">
        <v>435</v>
      </c>
      <c r="ER72" s="2" t="s">
        <v>435</v>
      </c>
      <c r="FA72" s="2" t="s">
        <v>435</v>
      </c>
      <c r="FB72" s="2" t="s">
        <v>435</v>
      </c>
      <c r="FC72" s="2" t="s">
        <v>435</v>
      </c>
      <c r="FD72" s="2" t="s">
        <v>435</v>
      </c>
      <c r="FE72" s="2" t="s">
        <v>435</v>
      </c>
      <c r="FF72" s="2" t="s">
        <v>435</v>
      </c>
      <c r="FG72" s="2" t="s">
        <v>435</v>
      </c>
      <c r="FH72" s="2" t="s">
        <v>435</v>
      </c>
      <c r="FI72" s="2" t="s">
        <v>435</v>
      </c>
      <c r="FJ72" s="2" t="s">
        <v>435</v>
      </c>
      <c r="FK72" s="2" t="s">
        <v>435</v>
      </c>
      <c r="FL72" s="2" t="s">
        <v>435</v>
      </c>
      <c r="FM72" s="2" t="s">
        <v>435</v>
      </c>
      <c r="FN72" s="2" t="s">
        <v>435</v>
      </c>
      <c r="FO72" s="2" t="s">
        <v>435</v>
      </c>
      <c r="FP72" s="2" t="s">
        <v>435</v>
      </c>
    </row>
    <row r="73" spans="1:194" s="406" customFormat="1" ht="16.95" customHeight="1">
      <c r="A73" s="406" t="s">
        <v>1082</v>
      </c>
      <c r="B73" s="406" t="s">
        <v>250</v>
      </c>
      <c r="C73" s="406" t="s">
        <v>813</v>
      </c>
      <c r="D73" s="406" t="s">
        <v>1083</v>
      </c>
      <c r="E73" s="406" t="s">
        <v>828</v>
      </c>
      <c r="F73" s="368"/>
      <c r="G73" s="368"/>
      <c r="H73" s="368">
        <f t="shared" si="387"/>
        <v>22.800000000274</v>
      </c>
      <c r="I73" s="368">
        <f t="shared" si="388"/>
        <v>22.600000000234001</v>
      </c>
      <c r="J73" s="368"/>
      <c r="K73" s="368"/>
      <c r="L73" s="368"/>
      <c r="M73" s="368" t="s">
        <v>356</v>
      </c>
      <c r="N73" s="368" t="s">
        <v>356</v>
      </c>
      <c r="O73" s="368" t="s">
        <v>1084</v>
      </c>
      <c r="P73" s="368" t="s">
        <v>356</v>
      </c>
      <c r="Q73" s="368" t="s">
        <v>356</v>
      </c>
      <c r="R73" s="406" t="s">
        <v>1085</v>
      </c>
      <c r="S73" s="406" t="s">
        <v>817</v>
      </c>
      <c r="T73" s="406">
        <v>47</v>
      </c>
      <c r="U73" s="406" cm="1">
        <f t="array" ref="U73">IFERROR(INDEX('Offer Statistics'!$AI$2:$AI$350,MATCH(1,(A73='Offer Statistics'!$T$2:$T$350)*($A$11='Offer Statistics'!$U$2:$U$350),0)),"/")</f>
        <v>54</v>
      </c>
      <c r="V73" s="406" cm="1">
        <f t="array" ref="V73">IFERROR(INDEX('Offer Statistics'!$V$2:$V$350,MATCH(1,(A73='Offer Statistics'!$T$2:$T$350)*($A$11='Offer Statistics'!$U$2:$U$350),0)),"/")</f>
        <v>492</v>
      </c>
      <c r="W73" s="406" cm="1">
        <f t="array" ref="W73">IFERROR(INDEX('Offer Statistics'!$AD$2:$AD$350,MATCH(1,(A73='Offer Statistics'!$T$2:$T$350)*($A$11='Offer Statistics'!$U$2:$U$350),0)),"/")</f>
        <v>50</v>
      </c>
      <c r="X73" s="406">
        <f t="shared" si="389"/>
        <v>9.84</v>
      </c>
      <c r="Y73" s="406" t="s">
        <v>817</v>
      </c>
      <c r="Z73" s="406" t="str">
        <f>入學要求!AF82</f>
        <v>/</v>
      </c>
      <c r="AA73" s="406" t="str">
        <f>入學要求!AG82</f>
        <v>/</v>
      </c>
      <c r="AB73" s="405" t="s">
        <v>889</v>
      </c>
      <c r="AC73" s="406" t="s">
        <v>2889</v>
      </c>
      <c r="AE73" s="406" t="s">
        <v>356</v>
      </c>
      <c r="AF73" s="406" t="s">
        <v>356</v>
      </c>
      <c r="AG73" s="405" t="s">
        <v>838</v>
      </c>
      <c r="AH73" s="406" t="s">
        <v>356</v>
      </c>
      <c r="AI73" s="406" t="s">
        <v>356</v>
      </c>
      <c r="AJ73" s="406" t="s">
        <v>1067</v>
      </c>
      <c r="AK73" s="406" t="s">
        <v>818</v>
      </c>
      <c r="AL73" s="406" t="s">
        <v>1086</v>
      </c>
      <c r="AM73" s="406" t="s">
        <v>1075</v>
      </c>
      <c r="AN73" s="406" t="s">
        <v>356</v>
      </c>
      <c r="AO73" s="406" t="s">
        <v>356</v>
      </c>
      <c r="AP73" s="406" t="s">
        <v>435</v>
      </c>
      <c r="AQ73" s="406" t="s">
        <v>356</v>
      </c>
      <c r="AS73" s="406" t="s">
        <v>1069</v>
      </c>
      <c r="AT73" s="406" t="s">
        <v>1070</v>
      </c>
      <c r="AU73" s="406" t="s">
        <v>817</v>
      </c>
      <c r="AY73" s="406">
        <v>1</v>
      </c>
      <c r="AZ73" s="406">
        <v>1.2</v>
      </c>
      <c r="BA73" s="406">
        <v>1</v>
      </c>
      <c r="BB73" s="406">
        <v>1</v>
      </c>
      <c r="BC73" s="406">
        <v>1</v>
      </c>
      <c r="BD73" s="406">
        <v>1</v>
      </c>
      <c r="BE73" s="406">
        <v>1</v>
      </c>
      <c r="BF73" s="406">
        <v>1</v>
      </c>
      <c r="BH73" s="406">
        <v>4</v>
      </c>
      <c r="BI73" s="406">
        <v>3</v>
      </c>
      <c r="BJ73" s="406">
        <v>4</v>
      </c>
      <c r="BK73" s="406">
        <v>4</v>
      </c>
      <c r="BM73" s="406">
        <v>4</v>
      </c>
      <c r="BN73" s="406">
        <v>3</v>
      </c>
      <c r="BP73" s="206">
        <f t="shared" si="320"/>
        <v>4.00000000004</v>
      </c>
      <c r="BQ73" s="206">
        <f t="shared" si="321"/>
        <v>3.00000000002</v>
      </c>
      <c r="BR73" s="206">
        <f t="shared" si="322"/>
        <v>4.00000000003</v>
      </c>
      <c r="BS73" s="206">
        <f t="shared" si="323"/>
        <v>4.00000000001</v>
      </c>
      <c r="BT73" s="206">
        <f t="shared" si="324"/>
        <v>5.0000000000000002E-11</v>
      </c>
      <c r="BU73" s="206">
        <f t="shared" si="325"/>
        <v>4.00000000006</v>
      </c>
      <c r="BV73" s="206">
        <f t="shared" si="326"/>
        <v>3.00000000007</v>
      </c>
      <c r="BW73" s="206">
        <f t="shared" si="327"/>
        <v>7.9999999999999995E-11</v>
      </c>
      <c r="BX73" s="406">
        <f t="shared" si="355"/>
        <v>4.00000000004</v>
      </c>
      <c r="BY73" s="406">
        <f t="shared" si="356"/>
        <v>3.600000000024</v>
      </c>
      <c r="BZ73" s="406">
        <f t="shared" si="357"/>
        <v>4.00000000003</v>
      </c>
      <c r="CA73" s="406">
        <f t="shared" si="358"/>
        <v>4.00000000001</v>
      </c>
      <c r="CB73" s="406">
        <f t="shared" si="359"/>
        <v>5.0000000000000002E-11</v>
      </c>
      <c r="CC73" s="406">
        <f t="shared" si="360"/>
        <v>4.00000000006</v>
      </c>
      <c r="CD73" s="406">
        <f t="shared" si="361"/>
        <v>3.00000000007</v>
      </c>
      <c r="CE73" s="406">
        <f t="shared" si="362"/>
        <v>7.9999999999999995E-11</v>
      </c>
      <c r="CF73" s="406" t="b">
        <f t="shared" si="363"/>
        <v>1</v>
      </c>
      <c r="CG73" s="406" t="b">
        <f t="shared" si="364"/>
        <v>1</v>
      </c>
      <c r="CH73" s="406" t="b">
        <f t="shared" si="365"/>
        <v>1</v>
      </c>
      <c r="CI73" s="406" t="b">
        <f t="shared" si="366"/>
        <v>1</v>
      </c>
      <c r="CJ73" s="406" t="b">
        <f t="shared" si="367"/>
        <v>0</v>
      </c>
      <c r="CK73" s="406" t="b">
        <f t="shared" si="367"/>
        <v>1</v>
      </c>
      <c r="CL73" s="406" t="b">
        <f t="shared" si="367"/>
        <v>1</v>
      </c>
      <c r="CM73" s="406" t="b">
        <f t="shared" si="367"/>
        <v>0</v>
      </c>
      <c r="CN73" s="406">
        <v>1</v>
      </c>
      <c r="CO73" s="406">
        <v>1.2</v>
      </c>
      <c r="CP73" s="406">
        <v>1</v>
      </c>
      <c r="CQ73" s="406">
        <v>1</v>
      </c>
      <c r="CR73" s="406">
        <v>1</v>
      </c>
      <c r="CS73" s="406">
        <v>1</v>
      </c>
      <c r="CT73" s="406">
        <v>1</v>
      </c>
      <c r="CU73" s="406">
        <v>1</v>
      </c>
      <c r="CW73" s="406">
        <v>3</v>
      </c>
      <c r="CX73" s="406">
        <v>4</v>
      </c>
      <c r="CY73" s="406">
        <v>4</v>
      </c>
      <c r="CZ73" s="406">
        <v>4</v>
      </c>
      <c r="DB73" s="406">
        <v>4</v>
      </c>
      <c r="DC73" s="406">
        <v>3</v>
      </c>
      <c r="DD73" s="406">
        <v>3</v>
      </c>
      <c r="DE73" s="206">
        <f t="shared" si="390"/>
        <v>3.00000000004</v>
      </c>
      <c r="DF73" s="206">
        <f t="shared" si="391"/>
        <v>4.00000000002</v>
      </c>
      <c r="DG73" s="206">
        <f t="shared" si="392"/>
        <v>4.00000000003</v>
      </c>
      <c r="DH73" s="206">
        <f t="shared" si="393"/>
        <v>4.00000000001</v>
      </c>
      <c r="DI73" s="206">
        <f t="shared" si="394"/>
        <v>5.0000000000000002E-11</v>
      </c>
      <c r="DJ73" s="206">
        <f t="shared" si="395"/>
        <v>4.00000000006</v>
      </c>
      <c r="DK73" s="206">
        <f t="shared" si="396"/>
        <v>3.00000000007</v>
      </c>
      <c r="DL73" s="206">
        <f t="shared" si="397"/>
        <v>3.00000000008</v>
      </c>
      <c r="DM73" s="406">
        <f t="shared" si="374"/>
        <v>3.00000000004</v>
      </c>
      <c r="DN73" s="406">
        <f t="shared" si="375"/>
        <v>4.8000000000240002</v>
      </c>
      <c r="DO73" s="406">
        <f t="shared" si="376"/>
        <v>4.00000000003</v>
      </c>
      <c r="DP73" s="406">
        <f t="shared" si="377"/>
        <v>4.00000000001</v>
      </c>
      <c r="DQ73" s="406">
        <f t="shared" si="378"/>
        <v>5.0000000000000002E-11</v>
      </c>
      <c r="DR73" s="406">
        <f t="shared" si="379"/>
        <v>4.00000000006</v>
      </c>
      <c r="DS73" s="406">
        <f t="shared" si="380"/>
        <v>3.00000000007</v>
      </c>
      <c r="DT73" s="406">
        <f t="shared" si="381"/>
        <v>3.00000000008</v>
      </c>
      <c r="DU73" s="2" t="b">
        <f t="shared" si="382"/>
        <v>0</v>
      </c>
      <c r="DV73" s="2" t="b">
        <f t="shared" si="383"/>
        <v>1</v>
      </c>
      <c r="DW73" s="2" t="b">
        <f t="shared" si="384"/>
        <v>1</v>
      </c>
      <c r="DX73" s="2" t="b">
        <f t="shared" si="385"/>
        <v>1</v>
      </c>
      <c r="DY73" s="2" t="b">
        <f t="shared" si="386"/>
        <v>0</v>
      </c>
      <c r="DZ73" s="2" t="b">
        <f t="shared" si="386"/>
        <v>1</v>
      </c>
      <c r="EA73" s="2" t="b">
        <f t="shared" si="386"/>
        <v>1</v>
      </c>
      <c r="EB73" s="2" t="b">
        <f t="shared" si="386"/>
        <v>1</v>
      </c>
      <c r="EC73" s="406" t="s">
        <v>435</v>
      </c>
      <c r="ED73" s="406" t="s">
        <v>435</v>
      </c>
      <c r="EE73" s="406" t="s">
        <v>435</v>
      </c>
      <c r="EF73" s="406" t="s">
        <v>435</v>
      </c>
      <c r="EG73" s="406" t="s">
        <v>435</v>
      </c>
      <c r="EH73" s="406" t="s">
        <v>435</v>
      </c>
      <c r="EI73" s="406" t="s">
        <v>435</v>
      </c>
      <c r="EJ73" s="406" t="s">
        <v>435</v>
      </c>
      <c r="EK73" s="406" t="s">
        <v>435</v>
      </c>
      <c r="EL73" s="406" t="s">
        <v>435</v>
      </c>
      <c r="EM73" s="406" t="s">
        <v>435</v>
      </c>
      <c r="EN73" s="406" t="s">
        <v>435</v>
      </c>
      <c r="EO73" s="406" t="s">
        <v>435</v>
      </c>
      <c r="EP73" s="406" t="s">
        <v>435</v>
      </c>
      <c r="EQ73" s="406" t="s">
        <v>435</v>
      </c>
      <c r="ER73" s="406" t="s">
        <v>435</v>
      </c>
      <c r="FA73" s="406" t="s">
        <v>435</v>
      </c>
      <c r="FB73" s="406" t="s">
        <v>435</v>
      </c>
      <c r="FC73" s="406" t="s">
        <v>435</v>
      </c>
      <c r="FD73" s="406" t="s">
        <v>435</v>
      </c>
      <c r="FE73" s="406" t="s">
        <v>435</v>
      </c>
      <c r="FF73" s="406" t="s">
        <v>435</v>
      </c>
      <c r="FG73" s="406" t="s">
        <v>435</v>
      </c>
      <c r="FH73" s="406" t="s">
        <v>435</v>
      </c>
      <c r="FI73" s="406" t="s">
        <v>435</v>
      </c>
      <c r="FJ73" s="406" t="s">
        <v>435</v>
      </c>
      <c r="FK73" s="406" t="s">
        <v>435</v>
      </c>
      <c r="FL73" s="406" t="s">
        <v>435</v>
      </c>
      <c r="FM73" s="406" t="s">
        <v>435</v>
      </c>
      <c r="FN73" s="406" t="s">
        <v>435</v>
      </c>
      <c r="FO73" s="406" t="s">
        <v>435</v>
      </c>
      <c r="FP73" s="406" t="s">
        <v>435</v>
      </c>
    </row>
    <row r="74" spans="1:194" s="406" customFormat="1">
      <c r="A74" s="406" t="s">
        <v>1087</v>
      </c>
      <c r="B74" s="406" t="s">
        <v>250</v>
      </c>
      <c r="C74" s="406" t="s">
        <v>813</v>
      </c>
      <c r="D74" s="406" t="s">
        <v>1088</v>
      </c>
      <c r="E74" s="406" t="s">
        <v>828</v>
      </c>
      <c r="F74" s="368"/>
      <c r="G74" s="368"/>
      <c r="H74" s="368">
        <f t="shared" si="387"/>
        <v>22.800000000233997</v>
      </c>
      <c r="I74" s="368">
        <f t="shared" si="388"/>
        <v>22.800000000233997</v>
      </c>
      <c r="J74" s="368"/>
      <c r="K74" s="368"/>
      <c r="L74" s="368"/>
      <c r="M74" s="368" t="s">
        <v>356</v>
      </c>
      <c r="N74" s="368" t="s">
        <v>356</v>
      </c>
      <c r="O74" s="368" t="s">
        <v>1084</v>
      </c>
      <c r="P74" s="368" t="s">
        <v>356</v>
      </c>
      <c r="Q74" s="368" t="s">
        <v>356</v>
      </c>
      <c r="R74" s="406" t="s">
        <v>1089</v>
      </c>
      <c r="S74" s="406" t="s">
        <v>817</v>
      </c>
      <c r="T74" s="406">
        <v>187</v>
      </c>
      <c r="U74" s="406" cm="1">
        <f t="array" ref="U74">IFERROR(INDEX('Offer Statistics'!$AI$2:$AI$350,MATCH(1,(A74='Offer Statistics'!$T$2:$T$350)*($A$11='Offer Statistics'!$U$2:$U$350),0)),"/")</f>
        <v>180</v>
      </c>
      <c r="V74" s="406" cm="1">
        <f t="array" ref="V74">IFERROR(INDEX('Offer Statistics'!$V$2:$V$350,MATCH(1,(A74='Offer Statistics'!$T$2:$T$350)*($A$11='Offer Statistics'!$U$2:$U$350),0)),"/")</f>
        <v>1466</v>
      </c>
      <c r="W74" s="406" cm="1">
        <f t="array" ref="W74">IFERROR(INDEX('Offer Statistics'!$AD$2:$AD$350,MATCH(1,(A74='Offer Statistics'!$T$2:$T$350)*($A$11='Offer Statistics'!$U$2:$U$350),0)),"/")</f>
        <v>148</v>
      </c>
      <c r="X74" s="406">
        <f t="shared" si="389"/>
        <v>9.9054054054054053</v>
      </c>
      <c r="Y74" s="406" t="s">
        <v>817</v>
      </c>
      <c r="Z74" s="406" t="str">
        <f>入學要求!AF83</f>
        <v>/</v>
      </c>
      <c r="AA74" s="406" t="str">
        <f>入學要求!AG83</f>
        <v>/</v>
      </c>
      <c r="AB74" s="405" t="s">
        <v>889</v>
      </c>
      <c r="AC74" s="406" t="s">
        <v>2889</v>
      </c>
      <c r="AE74" s="406" t="s">
        <v>356</v>
      </c>
      <c r="AF74" s="406" t="s">
        <v>356</v>
      </c>
      <c r="AG74" s="405" t="s">
        <v>838</v>
      </c>
      <c r="AH74" s="406" t="s">
        <v>356</v>
      </c>
      <c r="AI74" s="406" t="s">
        <v>356</v>
      </c>
      <c r="AJ74" s="406" t="s">
        <v>1067</v>
      </c>
      <c r="AK74" s="406" t="s">
        <v>818</v>
      </c>
      <c r="AL74" s="406" t="s">
        <v>1086</v>
      </c>
      <c r="AM74" s="406" t="s">
        <v>1075</v>
      </c>
      <c r="AN74" s="406" t="s">
        <v>356</v>
      </c>
      <c r="AO74" s="406" t="s">
        <v>356</v>
      </c>
      <c r="AP74" s="406" t="s">
        <v>435</v>
      </c>
      <c r="AQ74" s="406" t="s">
        <v>356</v>
      </c>
      <c r="AS74" s="406" t="s">
        <v>1069</v>
      </c>
      <c r="AT74" s="406" t="s">
        <v>1070</v>
      </c>
      <c r="AU74" s="406" t="s">
        <v>817</v>
      </c>
      <c r="AY74" s="406">
        <v>1</v>
      </c>
      <c r="AZ74" s="406">
        <v>1.2</v>
      </c>
      <c r="BA74" s="406">
        <v>1</v>
      </c>
      <c r="BB74" s="406">
        <v>1</v>
      </c>
      <c r="BC74" s="406">
        <v>1</v>
      </c>
      <c r="BD74" s="406">
        <v>1</v>
      </c>
      <c r="BE74" s="406">
        <v>1</v>
      </c>
      <c r="BF74" s="406">
        <v>1</v>
      </c>
      <c r="BH74" s="406">
        <v>4</v>
      </c>
      <c r="BI74" s="406">
        <v>4</v>
      </c>
      <c r="BJ74" s="406">
        <v>4</v>
      </c>
      <c r="BK74" s="406">
        <v>4</v>
      </c>
      <c r="BM74" s="406">
        <v>3</v>
      </c>
      <c r="BN74" s="406">
        <v>3</v>
      </c>
      <c r="BP74" s="206">
        <f t="shared" si="320"/>
        <v>4.00000000004</v>
      </c>
      <c r="BQ74" s="206">
        <f t="shared" si="321"/>
        <v>4.00000000002</v>
      </c>
      <c r="BR74" s="206">
        <f t="shared" si="322"/>
        <v>4.00000000003</v>
      </c>
      <c r="BS74" s="206">
        <f t="shared" si="323"/>
        <v>4.00000000001</v>
      </c>
      <c r="BT74" s="206">
        <f t="shared" si="324"/>
        <v>5.0000000000000002E-11</v>
      </c>
      <c r="BU74" s="206">
        <f t="shared" si="325"/>
        <v>3.00000000006</v>
      </c>
      <c r="BV74" s="206">
        <f t="shared" si="326"/>
        <v>3.00000000007</v>
      </c>
      <c r="BW74" s="206">
        <f t="shared" si="327"/>
        <v>7.9999999999999995E-11</v>
      </c>
      <c r="BX74" s="406">
        <f t="shared" si="355"/>
        <v>4.00000000004</v>
      </c>
      <c r="BY74" s="406">
        <f t="shared" si="356"/>
        <v>4.8000000000240002</v>
      </c>
      <c r="BZ74" s="406">
        <f t="shared" si="357"/>
        <v>4.00000000003</v>
      </c>
      <c r="CA74" s="406">
        <f t="shared" si="358"/>
        <v>4.00000000001</v>
      </c>
      <c r="CB74" s="406">
        <f t="shared" si="359"/>
        <v>5.0000000000000002E-11</v>
      </c>
      <c r="CC74" s="406">
        <f t="shared" si="360"/>
        <v>3.00000000006</v>
      </c>
      <c r="CD74" s="406">
        <f t="shared" si="361"/>
        <v>3.00000000007</v>
      </c>
      <c r="CE74" s="406">
        <f t="shared" si="362"/>
        <v>7.9999999999999995E-11</v>
      </c>
      <c r="CF74" s="406" t="b">
        <f t="shared" si="363"/>
        <v>1</v>
      </c>
      <c r="CG74" s="406" t="b">
        <f t="shared" si="364"/>
        <v>1</v>
      </c>
      <c r="CH74" s="406" t="b">
        <f t="shared" si="365"/>
        <v>1</v>
      </c>
      <c r="CI74" s="406" t="b">
        <f t="shared" si="366"/>
        <v>1</v>
      </c>
      <c r="CJ74" s="406" t="b">
        <f t="shared" si="367"/>
        <v>0</v>
      </c>
      <c r="CK74" s="406" t="b">
        <f t="shared" si="367"/>
        <v>1</v>
      </c>
      <c r="CL74" s="406" t="b">
        <f t="shared" si="367"/>
        <v>1</v>
      </c>
      <c r="CM74" s="406" t="b">
        <f t="shared" si="367"/>
        <v>0</v>
      </c>
      <c r="CN74" s="406">
        <v>1</v>
      </c>
      <c r="CO74" s="406">
        <v>1.2</v>
      </c>
      <c r="CP74" s="406">
        <v>1</v>
      </c>
      <c r="CQ74" s="406">
        <v>1</v>
      </c>
      <c r="CR74" s="406">
        <v>1</v>
      </c>
      <c r="CS74" s="406">
        <v>1</v>
      </c>
      <c r="CT74" s="406">
        <v>1</v>
      </c>
      <c r="CU74" s="406">
        <v>1</v>
      </c>
      <c r="CW74" s="406">
        <v>4</v>
      </c>
      <c r="CX74" s="406">
        <v>4</v>
      </c>
      <c r="CY74" s="406">
        <v>4</v>
      </c>
      <c r="CZ74" s="406">
        <v>4</v>
      </c>
      <c r="DB74" s="406">
        <v>3</v>
      </c>
      <c r="DC74" s="406">
        <v>3</v>
      </c>
      <c r="DD74" s="406">
        <v>2</v>
      </c>
      <c r="DE74" s="206">
        <f t="shared" si="390"/>
        <v>4.00000000004</v>
      </c>
      <c r="DF74" s="206">
        <f t="shared" si="391"/>
        <v>4.00000000002</v>
      </c>
      <c r="DG74" s="206">
        <f t="shared" si="392"/>
        <v>4.00000000003</v>
      </c>
      <c r="DH74" s="206">
        <f t="shared" si="393"/>
        <v>4.00000000001</v>
      </c>
      <c r="DI74" s="206">
        <f t="shared" si="394"/>
        <v>5.0000000000000002E-11</v>
      </c>
      <c r="DJ74" s="206">
        <f t="shared" si="395"/>
        <v>3.00000000006</v>
      </c>
      <c r="DK74" s="206">
        <f t="shared" si="396"/>
        <v>3.00000000007</v>
      </c>
      <c r="DL74" s="206">
        <f t="shared" si="397"/>
        <v>2.00000000008</v>
      </c>
      <c r="DM74" s="406">
        <f t="shared" si="374"/>
        <v>4.00000000004</v>
      </c>
      <c r="DN74" s="406">
        <f t="shared" si="375"/>
        <v>4.8000000000240002</v>
      </c>
      <c r="DO74" s="406">
        <f t="shared" si="376"/>
        <v>4.00000000003</v>
      </c>
      <c r="DP74" s="406">
        <f t="shared" si="377"/>
        <v>4.00000000001</v>
      </c>
      <c r="DQ74" s="406">
        <f t="shared" si="378"/>
        <v>5.0000000000000002E-11</v>
      </c>
      <c r="DR74" s="406">
        <f t="shared" si="379"/>
        <v>3.00000000006</v>
      </c>
      <c r="DS74" s="406">
        <f t="shared" si="380"/>
        <v>3.00000000007</v>
      </c>
      <c r="DT74" s="406">
        <f t="shared" si="381"/>
        <v>2.00000000008</v>
      </c>
      <c r="DU74" s="2" t="b">
        <f t="shared" si="382"/>
        <v>1</v>
      </c>
      <c r="DV74" s="2" t="b">
        <f t="shared" si="383"/>
        <v>1</v>
      </c>
      <c r="DW74" s="2" t="b">
        <f t="shared" si="384"/>
        <v>1</v>
      </c>
      <c r="DX74" s="2" t="b">
        <f t="shared" si="385"/>
        <v>1</v>
      </c>
      <c r="DY74" s="2" t="b">
        <f t="shared" si="386"/>
        <v>0</v>
      </c>
      <c r="DZ74" s="2" t="b">
        <f t="shared" si="386"/>
        <v>1</v>
      </c>
      <c r="EA74" s="2" t="b">
        <f t="shared" si="386"/>
        <v>1</v>
      </c>
      <c r="EB74" s="2" t="b">
        <f t="shared" si="386"/>
        <v>0</v>
      </c>
      <c r="EC74" s="406" t="s">
        <v>435</v>
      </c>
      <c r="ED74" s="406" t="s">
        <v>435</v>
      </c>
      <c r="EE74" s="406" t="s">
        <v>435</v>
      </c>
      <c r="EF74" s="406" t="s">
        <v>435</v>
      </c>
      <c r="EG74" s="406" t="s">
        <v>435</v>
      </c>
      <c r="EH74" s="406" t="s">
        <v>435</v>
      </c>
      <c r="EI74" s="406" t="s">
        <v>435</v>
      </c>
      <c r="EJ74" s="406" t="s">
        <v>435</v>
      </c>
      <c r="EK74" s="406" t="s">
        <v>435</v>
      </c>
      <c r="EL74" s="406" t="s">
        <v>435</v>
      </c>
      <c r="EM74" s="406" t="s">
        <v>435</v>
      </c>
      <c r="EN74" s="406" t="s">
        <v>435</v>
      </c>
      <c r="EO74" s="406" t="s">
        <v>435</v>
      </c>
      <c r="EP74" s="406" t="s">
        <v>435</v>
      </c>
      <c r="EQ74" s="406" t="s">
        <v>435</v>
      </c>
      <c r="ER74" s="406" t="s">
        <v>435</v>
      </c>
      <c r="FA74" s="406" t="s">
        <v>435</v>
      </c>
      <c r="FB74" s="406" t="s">
        <v>435</v>
      </c>
      <c r="FC74" s="406" t="s">
        <v>435</v>
      </c>
      <c r="FD74" s="406" t="s">
        <v>435</v>
      </c>
      <c r="FE74" s="406" t="s">
        <v>435</v>
      </c>
      <c r="FF74" s="406" t="s">
        <v>435</v>
      </c>
      <c r="FG74" s="406" t="s">
        <v>435</v>
      </c>
      <c r="FH74" s="406" t="s">
        <v>435</v>
      </c>
      <c r="FI74" s="406" t="s">
        <v>435</v>
      </c>
      <c r="FJ74" s="406" t="s">
        <v>435</v>
      </c>
      <c r="FK74" s="406" t="s">
        <v>435</v>
      </c>
      <c r="FL74" s="406" t="s">
        <v>435</v>
      </c>
      <c r="FM74" s="406" t="s">
        <v>435</v>
      </c>
      <c r="FN74" s="406" t="s">
        <v>435</v>
      </c>
      <c r="FO74" s="406" t="s">
        <v>435</v>
      </c>
      <c r="FP74" s="406" t="s">
        <v>435</v>
      </c>
    </row>
    <row r="75" spans="1:194">
      <c r="A75" s="2" t="s">
        <v>1090</v>
      </c>
      <c r="B75" s="2" t="s">
        <v>250</v>
      </c>
      <c r="C75" s="2" t="s">
        <v>1091</v>
      </c>
      <c r="D75" s="2" t="s">
        <v>1092</v>
      </c>
      <c r="E75" s="365" t="s">
        <v>889</v>
      </c>
      <c r="F75" s="368"/>
      <c r="G75" s="368"/>
      <c r="H75" s="368">
        <f t="shared" si="387"/>
        <v>22.500000000235001</v>
      </c>
      <c r="I75" s="368">
        <f t="shared" si="388"/>
        <v>22.000000000215</v>
      </c>
      <c r="J75" s="368"/>
      <c r="K75" s="368"/>
      <c r="L75" s="368"/>
      <c r="M75" s="368" t="s">
        <v>1093</v>
      </c>
      <c r="N75" s="368" t="s">
        <v>356</v>
      </c>
      <c r="O75" s="368" t="s">
        <v>942</v>
      </c>
      <c r="P75" s="368" t="s">
        <v>356</v>
      </c>
      <c r="Q75" s="368" t="s">
        <v>356</v>
      </c>
      <c r="R75" s="2" t="s">
        <v>1094</v>
      </c>
      <c r="S75" s="2" t="s">
        <v>817</v>
      </c>
      <c r="T75" s="2">
        <v>77</v>
      </c>
      <c r="U75" s="2" cm="1">
        <f t="array" ref="U75">IFERROR(INDEX('Offer Statistics'!$AI$2:$AI$350,MATCH(1,(A75='Offer Statistics'!$T$2:$T$350)*($A$11='Offer Statistics'!$U$2:$U$350),0)),"/")</f>
        <v>79</v>
      </c>
      <c r="V75" s="2" cm="1">
        <f t="array" ref="V75">IFERROR(INDEX('Offer Statistics'!$V$2:$V$350,MATCH(1,(A75='Offer Statistics'!$T$2:$T$350)*($A$11='Offer Statistics'!$U$2:$U$350),0)),"/")</f>
        <v>578</v>
      </c>
      <c r="W75" s="2" cm="1">
        <f t="array" ref="W75">IFERROR(INDEX('Offer Statistics'!$AD$2:$AD$350,MATCH(1,(A75='Offer Statistics'!$T$2:$T$350)*($A$11='Offer Statistics'!$U$2:$U$350),0)),"/")</f>
        <v>70</v>
      </c>
      <c r="X75" s="2">
        <f t="shared" si="389"/>
        <v>8.257142857142858</v>
      </c>
      <c r="Y75" s="2" t="s">
        <v>817</v>
      </c>
      <c r="Z75" s="2" t="str">
        <f>入學要求!AF84</f>
        <v>/</v>
      </c>
      <c r="AA75" s="2" t="str">
        <f>入學要求!AG84</f>
        <v>/</v>
      </c>
      <c r="AB75" s="402" t="s">
        <v>889</v>
      </c>
      <c r="AC75" s="368" t="s">
        <v>2890</v>
      </c>
      <c r="AD75" s="368" t="s">
        <v>2891</v>
      </c>
      <c r="AE75" s="368" t="s">
        <v>356</v>
      </c>
      <c r="AF75" s="368" t="s">
        <v>356</v>
      </c>
      <c r="AG75" s="368" t="s">
        <v>942</v>
      </c>
      <c r="AH75" s="368" t="s">
        <v>356</v>
      </c>
      <c r="AI75" s="368" t="s">
        <v>356</v>
      </c>
      <c r="AJ75" s="400" t="s">
        <v>1067</v>
      </c>
      <c r="AK75" s="400" t="s">
        <v>818</v>
      </c>
      <c r="AL75" s="400" t="s">
        <v>1095</v>
      </c>
      <c r="AM75" s="400" t="s">
        <v>356</v>
      </c>
      <c r="AN75" s="400" t="s">
        <v>356</v>
      </c>
      <c r="AO75" s="400" t="s">
        <v>356</v>
      </c>
      <c r="AP75" s="400" t="s">
        <v>435</v>
      </c>
      <c r="AQ75" s="400" t="s">
        <v>356</v>
      </c>
      <c r="AR75" s="400"/>
      <c r="AS75" s="2" t="s">
        <v>1069</v>
      </c>
      <c r="AT75" s="2" t="s">
        <v>1070</v>
      </c>
      <c r="AU75" s="2" t="s">
        <v>817</v>
      </c>
      <c r="AY75" s="2">
        <v>1.25</v>
      </c>
      <c r="AZ75" s="2">
        <v>1.25</v>
      </c>
      <c r="BA75" s="2">
        <v>1</v>
      </c>
      <c r="BB75" s="2">
        <v>1</v>
      </c>
      <c r="BC75" s="2">
        <v>1</v>
      </c>
      <c r="BD75" s="2">
        <v>1</v>
      </c>
      <c r="BE75" s="2">
        <v>1</v>
      </c>
      <c r="BF75" s="2">
        <v>1</v>
      </c>
      <c r="BH75" s="2">
        <v>4</v>
      </c>
      <c r="BI75" s="2">
        <v>4</v>
      </c>
      <c r="BJ75" s="2">
        <v>3</v>
      </c>
      <c r="BK75" s="2">
        <v>4</v>
      </c>
      <c r="BM75" s="2">
        <v>4</v>
      </c>
      <c r="BN75" s="2">
        <v>4</v>
      </c>
      <c r="BP75" s="206">
        <f t="shared" si="320"/>
        <v>4.00000000004</v>
      </c>
      <c r="BQ75" s="206">
        <f t="shared" si="321"/>
        <v>4.00000000002</v>
      </c>
      <c r="BR75" s="206">
        <f t="shared" si="322"/>
        <v>3.00000000003</v>
      </c>
      <c r="BS75" s="206">
        <f t="shared" si="323"/>
        <v>4.00000000001</v>
      </c>
      <c r="BT75" s="206">
        <f t="shared" si="324"/>
        <v>5.0000000000000002E-11</v>
      </c>
      <c r="BU75" s="206">
        <f t="shared" si="325"/>
        <v>4.00000000006</v>
      </c>
      <c r="BV75" s="206">
        <f t="shared" si="326"/>
        <v>4.00000000007</v>
      </c>
      <c r="BW75" s="206">
        <f t="shared" si="327"/>
        <v>7.9999999999999995E-11</v>
      </c>
      <c r="BX75" s="2">
        <f t="shared" si="355"/>
        <v>5.00000000005</v>
      </c>
      <c r="BY75" s="2">
        <f t="shared" si="356"/>
        <v>5.0000000000250004</v>
      </c>
      <c r="BZ75" s="2">
        <f t="shared" si="357"/>
        <v>3.00000000003</v>
      </c>
      <c r="CA75" s="2">
        <f t="shared" si="358"/>
        <v>4.00000000001</v>
      </c>
      <c r="CB75" s="2">
        <f t="shared" si="359"/>
        <v>5.0000000000000002E-11</v>
      </c>
      <c r="CC75" s="2">
        <f t="shared" si="360"/>
        <v>4.00000000006</v>
      </c>
      <c r="CD75" s="2">
        <f t="shared" si="361"/>
        <v>4.00000000007</v>
      </c>
      <c r="CE75" s="2">
        <f t="shared" si="362"/>
        <v>7.9999999999999995E-11</v>
      </c>
      <c r="CF75" s="2" t="b">
        <f t="shared" si="363"/>
        <v>1</v>
      </c>
      <c r="CG75" s="2" t="b">
        <f t="shared" si="364"/>
        <v>1</v>
      </c>
      <c r="CH75" s="2" t="b">
        <f t="shared" si="365"/>
        <v>0</v>
      </c>
      <c r="CI75" s="2" t="b">
        <f t="shared" si="366"/>
        <v>1</v>
      </c>
      <c r="CJ75" s="2" t="b">
        <f t="shared" ref="CJ75:CM78" si="398">IF($E75="4C2X",TRUE,IF($E75="Best 5",IF(CB75&gt;LARGE($BX75:$CE75,6),TRUE),IF($E75="Best 6",IF(CB75&gt;LARGE($BX75:$CE75,7),TRUE))))</f>
        <v>0</v>
      </c>
      <c r="CK75" s="2" t="b">
        <f t="shared" si="398"/>
        <v>1</v>
      </c>
      <c r="CL75" s="2" t="b">
        <f t="shared" si="398"/>
        <v>1</v>
      </c>
      <c r="CM75" s="2" t="b">
        <f t="shared" si="398"/>
        <v>0</v>
      </c>
      <c r="CN75" s="2">
        <v>1.25</v>
      </c>
      <c r="CO75" s="2">
        <v>1.25</v>
      </c>
      <c r="CP75" s="2">
        <v>1</v>
      </c>
      <c r="CQ75" s="2">
        <v>1</v>
      </c>
      <c r="CR75" s="2">
        <v>1</v>
      </c>
      <c r="CS75" s="2">
        <v>1</v>
      </c>
      <c r="CT75" s="2">
        <v>1</v>
      </c>
      <c r="CU75" s="2">
        <v>1</v>
      </c>
      <c r="CW75" s="2">
        <v>6</v>
      </c>
      <c r="CX75" s="2">
        <v>4</v>
      </c>
      <c r="CY75" s="2">
        <v>3</v>
      </c>
      <c r="CZ75" s="2">
        <v>3</v>
      </c>
      <c r="DB75" s="2">
        <v>4</v>
      </c>
      <c r="DC75" s="2">
        <v>3</v>
      </c>
      <c r="DE75" s="206">
        <f t="shared" si="390"/>
        <v>6.00000000004</v>
      </c>
      <c r="DF75" s="206">
        <f t="shared" si="391"/>
        <v>4.00000000002</v>
      </c>
      <c r="DG75" s="206">
        <f t="shared" si="392"/>
        <v>3.00000000003</v>
      </c>
      <c r="DH75" s="206">
        <f t="shared" si="393"/>
        <v>3.00000000001</v>
      </c>
      <c r="DI75" s="206">
        <f t="shared" si="394"/>
        <v>5.0000000000000002E-11</v>
      </c>
      <c r="DJ75" s="206">
        <f t="shared" si="395"/>
        <v>4.00000000006</v>
      </c>
      <c r="DK75" s="206">
        <f t="shared" si="396"/>
        <v>3.00000000007</v>
      </c>
      <c r="DL75" s="206">
        <f t="shared" si="397"/>
        <v>7.9999999999999995E-11</v>
      </c>
      <c r="DM75" s="2">
        <f t="shared" si="374"/>
        <v>7.50000000005</v>
      </c>
      <c r="DN75" s="2">
        <f t="shared" si="375"/>
        <v>5.0000000000250004</v>
      </c>
      <c r="DO75" s="2">
        <f t="shared" si="376"/>
        <v>3.00000000003</v>
      </c>
      <c r="DP75" s="2">
        <f t="shared" si="377"/>
        <v>3.00000000001</v>
      </c>
      <c r="DQ75" s="2">
        <f t="shared" si="378"/>
        <v>5.0000000000000002E-11</v>
      </c>
      <c r="DR75" s="2">
        <f t="shared" si="379"/>
        <v>4.00000000006</v>
      </c>
      <c r="DS75" s="2">
        <f t="shared" si="380"/>
        <v>3.00000000007</v>
      </c>
      <c r="DT75" s="2">
        <f t="shared" si="381"/>
        <v>7.9999999999999995E-11</v>
      </c>
      <c r="DU75" s="2" t="b">
        <f t="shared" si="382"/>
        <v>1</v>
      </c>
      <c r="DV75" s="2" t="b">
        <f t="shared" si="383"/>
        <v>1</v>
      </c>
      <c r="DW75" s="2" t="b">
        <f t="shared" si="384"/>
        <v>1</v>
      </c>
      <c r="DX75" s="2" t="b">
        <f t="shared" si="385"/>
        <v>0</v>
      </c>
      <c r="DY75" s="2" t="b">
        <f t="shared" ref="DY75:EB78" si="399">IF($E75="4C2X",TRUE,IF($E75="Best 5",IF(DQ75&gt;LARGE($DM75:$DT75,6),TRUE),IF($E75="Best 6",IF(DQ75&gt;LARGE($DM75:$DT75,7),TRUE))))</f>
        <v>0</v>
      </c>
      <c r="DZ75" s="2" t="b">
        <f t="shared" si="399"/>
        <v>1</v>
      </c>
      <c r="EA75" s="2" t="b">
        <f t="shared" si="399"/>
        <v>1</v>
      </c>
      <c r="EB75" s="2" t="b">
        <f t="shared" si="399"/>
        <v>0</v>
      </c>
      <c r="EC75" s="2" t="s">
        <v>435</v>
      </c>
      <c r="ED75" s="2" t="s">
        <v>435</v>
      </c>
      <c r="EE75" s="2" t="s">
        <v>435</v>
      </c>
      <c r="EF75" s="2" t="s">
        <v>435</v>
      </c>
      <c r="EG75" s="2" t="s">
        <v>435</v>
      </c>
      <c r="EH75" s="2" t="s">
        <v>435</v>
      </c>
      <c r="EI75" s="2" t="s">
        <v>435</v>
      </c>
      <c r="EJ75" s="2" t="s">
        <v>435</v>
      </c>
      <c r="EK75" s="2" t="s">
        <v>435</v>
      </c>
      <c r="EL75" s="2" t="s">
        <v>435</v>
      </c>
      <c r="EM75" s="2" t="s">
        <v>435</v>
      </c>
      <c r="EN75" s="2" t="s">
        <v>435</v>
      </c>
      <c r="EO75" s="2" t="s">
        <v>435</v>
      </c>
      <c r="EP75" s="2" t="s">
        <v>435</v>
      </c>
      <c r="EQ75" s="2" t="s">
        <v>435</v>
      </c>
      <c r="ER75" s="2" t="s">
        <v>435</v>
      </c>
      <c r="FA75" s="2" t="s">
        <v>435</v>
      </c>
      <c r="FB75" s="2" t="s">
        <v>435</v>
      </c>
      <c r="FC75" s="2" t="s">
        <v>435</v>
      </c>
      <c r="FD75" s="2" t="s">
        <v>435</v>
      </c>
      <c r="FE75" s="2" t="s">
        <v>435</v>
      </c>
      <c r="FF75" s="2" t="s">
        <v>435</v>
      </c>
      <c r="FG75" s="2" t="s">
        <v>435</v>
      </c>
      <c r="FH75" s="2" t="s">
        <v>435</v>
      </c>
      <c r="FI75" s="2" t="s">
        <v>435</v>
      </c>
      <c r="FJ75" s="2" t="s">
        <v>435</v>
      </c>
      <c r="FK75" s="2" t="s">
        <v>435</v>
      </c>
      <c r="FL75" s="2" t="s">
        <v>435</v>
      </c>
      <c r="FM75" s="2" t="s">
        <v>435</v>
      </c>
      <c r="FN75" s="2" t="s">
        <v>435</v>
      </c>
      <c r="FO75" s="2" t="s">
        <v>435</v>
      </c>
      <c r="FP75" s="2" t="s">
        <v>435</v>
      </c>
    </row>
    <row r="76" spans="1:194">
      <c r="A76" s="2" t="s">
        <v>1096</v>
      </c>
      <c r="B76" s="2" t="s">
        <v>250</v>
      </c>
      <c r="C76" s="2" t="s">
        <v>1091</v>
      </c>
      <c r="D76" s="2" t="s">
        <v>1097</v>
      </c>
      <c r="E76" s="365" t="s">
        <v>889</v>
      </c>
      <c r="F76" s="368"/>
      <c r="G76" s="368"/>
      <c r="H76" s="368">
        <f t="shared" si="387"/>
        <v>23.000000000175</v>
      </c>
      <c r="I76" s="368">
        <f t="shared" si="388"/>
        <v>22.000000000235001</v>
      </c>
      <c r="J76" s="368"/>
      <c r="K76" s="368"/>
      <c r="L76" s="368"/>
      <c r="M76" s="368" t="s">
        <v>1093</v>
      </c>
      <c r="N76" s="368" t="s">
        <v>356</v>
      </c>
      <c r="O76" s="368" t="s">
        <v>942</v>
      </c>
      <c r="P76" s="368" t="s">
        <v>356</v>
      </c>
      <c r="Q76" s="368" t="s">
        <v>356</v>
      </c>
      <c r="R76" s="2" t="s">
        <v>1098</v>
      </c>
      <c r="S76" s="2" t="s">
        <v>817</v>
      </c>
      <c r="T76" s="2">
        <v>18</v>
      </c>
      <c r="U76" s="2" cm="1">
        <f t="array" ref="U76">IFERROR(INDEX('Offer Statistics'!$AI$2:$AI$350,MATCH(1,(A76='Offer Statistics'!$T$2:$T$350)*($A$11='Offer Statistics'!$U$2:$U$350),0)),"/")</f>
        <v>19</v>
      </c>
      <c r="V76" s="2" cm="1">
        <f t="array" ref="V76">IFERROR(INDEX('Offer Statistics'!$V$2:$V$350,MATCH(1,(A76='Offer Statistics'!$T$2:$T$350)*($A$11='Offer Statistics'!$U$2:$U$350),0)),"/")</f>
        <v>453</v>
      </c>
      <c r="W76" s="2" cm="1">
        <f t="array" ref="W76">IFERROR(INDEX('Offer Statistics'!$AD$2:$AD$350,MATCH(1,(A76='Offer Statistics'!$T$2:$T$350)*($A$11='Offer Statistics'!$U$2:$U$350),0)),"/")</f>
        <v>19</v>
      </c>
      <c r="X76" s="2">
        <f t="shared" si="389"/>
        <v>23.842105263157894</v>
      </c>
      <c r="Y76" s="2" t="s">
        <v>817</v>
      </c>
      <c r="Z76" s="2" t="str">
        <f>入學要求!AF85</f>
        <v>/</v>
      </c>
      <c r="AA76" s="2" t="str">
        <f>入學要求!AG85</f>
        <v>/</v>
      </c>
      <c r="AB76" s="402" t="s">
        <v>889</v>
      </c>
      <c r="AC76" s="368" t="s">
        <v>2890</v>
      </c>
      <c r="AD76" s="368" t="s">
        <v>2891</v>
      </c>
      <c r="AE76" s="368" t="s">
        <v>356</v>
      </c>
      <c r="AF76" s="368" t="s">
        <v>356</v>
      </c>
      <c r="AG76" s="368" t="s">
        <v>942</v>
      </c>
      <c r="AH76" s="368" t="s">
        <v>356</v>
      </c>
      <c r="AI76" s="368" t="s">
        <v>356</v>
      </c>
      <c r="AJ76" s="400" t="s">
        <v>1067</v>
      </c>
      <c r="AK76" s="400" t="s">
        <v>1099</v>
      </c>
      <c r="AL76" s="400" t="s">
        <v>1100</v>
      </c>
      <c r="AM76" s="400" t="s">
        <v>1101</v>
      </c>
      <c r="AN76" s="400" t="s">
        <v>1102</v>
      </c>
      <c r="AO76" s="400" t="s">
        <v>356</v>
      </c>
      <c r="AP76" s="400" t="s">
        <v>435</v>
      </c>
      <c r="AQ76" s="400" t="s">
        <v>356</v>
      </c>
      <c r="AR76" s="400"/>
      <c r="AS76" s="2" t="s">
        <v>1069</v>
      </c>
      <c r="AT76" s="2" t="s">
        <v>1070</v>
      </c>
      <c r="AU76" s="2" t="s">
        <v>817</v>
      </c>
      <c r="AY76" s="2">
        <v>1.25</v>
      </c>
      <c r="AZ76" s="2">
        <v>1.25</v>
      </c>
      <c r="BA76" s="2">
        <v>1</v>
      </c>
      <c r="BB76" s="2">
        <v>1</v>
      </c>
      <c r="BC76" s="2">
        <v>1</v>
      </c>
      <c r="BD76" s="2">
        <v>1</v>
      </c>
      <c r="BE76" s="2">
        <v>1</v>
      </c>
      <c r="BF76" s="2">
        <v>1</v>
      </c>
      <c r="BH76" s="2">
        <v>4</v>
      </c>
      <c r="BI76" s="2">
        <v>4</v>
      </c>
      <c r="BJ76" s="2">
        <v>4</v>
      </c>
      <c r="BK76" s="2">
        <v>4</v>
      </c>
      <c r="BM76" s="2">
        <v>4</v>
      </c>
      <c r="BN76" s="2">
        <v>4</v>
      </c>
      <c r="BP76" s="206">
        <f t="shared" si="320"/>
        <v>4.00000000004</v>
      </c>
      <c r="BQ76" s="206">
        <f t="shared" si="321"/>
        <v>4.00000000002</v>
      </c>
      <c r="BR76" s="206">
        <f t="shared" si="322"/>
        <v>4.00000000003</v>
      </c>
      <c r="BS76" s="206">
        <f t="shared" si="323"/>
        <v>4.00000000001</v>
      </c>
      <c r="BT76" s="206">
        <f t="shared" si="324"/>
        <v>5.0000000000000002E-11</v>
      </c>
      <c r="BU76" s="206">
        <f t="shared" si="325"/>
        <v>4.00000000006</v>
      </c>
      <c r="BV76" s="206">
        <f t="shared" si="326"/>
        <v>4.00000000007</v>
      </c>
      <c r="BW76" s="206">
        <f t="shared" si="327"/>
        <v>7.9999999999999995E-11</v>
      </c>
      <c r="BX76" s="2">
        <f t="shared" si="355"/>
        <v>5.00000000005</v>
      </c>
      <c r="BY76" s="2">
        <f t="shared" si="356"/>
        <v>5.0000000000250004</v>
      </c>
      <c r="BZ76" s="2">
        <f t="shared" si="357"/>
        <v>4.00000000003</v>
      </c>
      <c r="CA76" s="2">
        <f t="shared" si="358"/>
        <v>4.00000000001</v>
      </c>
      <c r="CB76" s="2">
        <f t="shared" si="359"/>
        <v>5.0000000000000002E-11</v>
      </c>
      <c r="CC76" s="2">
        <f t="shared" si="360"/>
        <v>4.00000000006</v>
      </c>
      <c r="CD76" s="2">
        <f t="shared" si="361"/>
        <v>4.00000000007</v>
      </c>
      <c r="CE76" s="2">
        <f t="shared" si="362"/>
        <v>7.9999999999999995E-11</v>
      </c>
      <c r="CF76" s="2" t="b">
        <f t="shared" si="363"/>
        <v>1</v>
      </c>
      <c r="CG76" s="2" t="b">
        <f t="shared" si="364"/>
        <v>1</v>
      </c>
      <c r="CH76" s="2" t="b">
        <f t="shared" si="365"/>
        <v>1</v>
      </c>
      <c r="CI76" s="2" t="b">
        <f t="shared" si="366"/>
        <v>0</v>
      </c>
      <c r="CJ76" s="2" t="b">
        <f t="shared" si="398"/>
        <v>0</v>
      </c>
      <c r="CK76" s="2" t="b">
        <f t="shared" si="398"/>
        <v>1</v>
      </c>
      <c r="CL76" s="2" t="b">
        <f t="shared" si="398"/>
        <v>1</v>
      </c>
      <c r="CM76" s="2" t="b">
        <f t="shared" si="398"/>
        <v>0</v>
      </c>
      <c r="CN76" s="2">
        <v>1.25</v>
      </c>
      <c r="CO76" s="2">
        <v>1.25</v>
      </c>
      <c r="CP76" s="2">
        <v>1</v>
      </c>
      <c r="CQ76" s="2">
        <v>1</v>
      </c>
      <c r="CR76" s="2">
        <v>1</v>
      </c>
      <c r="CS76" s="2">
        <v>1</v>
      </c>
      <c r="CT76" s="2">
        <v>1</v>
      </c>
      <c r="CU76" s="2">
        <v>1</v>
      </c>
      <c r="CW76" s="2">
        <v>4</v>
      </c>
      <c r="CX76" s="2">
        <v>4</v>
      </c>
      <c r="CY76" s="2">
        <v>4</v>
      </c>
      <c r="CZ76" s="2">
        <v>5</v>
      </c>
      <c r="DB76" s="2">
        <v>4</v>
      </c>
      <c r="DC76" s="2">
        <v>3</v>
      </c>
      <c r="DE76" s="206">
        <f t="shared" si="390"/>
        <v>4.00000000004</v>
      </c>
      <c r="DF76" s="206">
        <f t="shared" si="391"/>
        <v>4.00000000002</v>
      </c>
      <c r="DG76" s="206">
        <f t="shared" si="392"/>
        <v>4.00000000003</v>
      </c>
      <c r="DH76" s="206">
        <f t="shared" si="393"/>
        <v>5.00000000001</v>
      </c>
      <c r="DI76" s="206">
        <f t="shared" si="394"/>
        <v>5.0000000000000002E-11</v>
      </c>
      <c r="DJ76" s="206">
        <f t="shared" si="395"/>
        <v>4.00000000006</v>
      </c>
      <c r="DK76" s="206">
        <f t="shared" si="396"/>
        <v>3.00000000007</v>
      </c>
      <c r="DL76" s="206">
        <f t="shared" si="397"/>
        <v>7.9999999999999995E-11</v>
      </c>
      <c r="DM76" s="2">
        <f t="shared" si="374"/>
        <v>5.00000000005</v>
      </c>
      <c r="DN76" s="2">
        <f t="shared" si="375"/>
        <v>5.0000000000250004</v>
      </c>
      <c r="DO76" s="2">
        <f t="shared" si="376"/>
        <v>4.00000000003</v>
      </c>
      <c r="DP76" s="2">
        <f t="shared" si="377"/>
        <v>5.00000000001</v>
      </c>
      <c r="DQ76" s="2">
        <f t="shared" si="378"/>
        <v>5.0000000000000002E-11</v>
      </c>
      <c r="DR76" s="2">
        <f t="shared" si="379"/>
        <v>4.00000000006</v>
      </c>
      <c r="DS76" s="2">
        <f t="shared" si="380"/>
        <v>3.00000000007</v>
      </c>
      <c r="DT76" s="2">
        <f t="shared" si="381"/>
        <v>7.9999999999999995E-11</v>
      </c>
      <c r="DU76" s="2" t="b">
        <f t="shared" si="382"/>
        <v>1</v>
      </c>
      <c r="DV76" s="2" t="b">
        <f t="shared" si="383"/>
        <v>1</v>
      </c>
      <c r="DW76" s="2" t="b">
        <f t="shared" si="384"/>
        <v>1</v>
      </c>
      <c r="DX76" s="2" t="b">
        <f t="shared" si="385"/>
        <v>1</v>
      </c>
      <c r="DY76" s="2" t="b">
        <f t="shared" si="399"/>
        <v>0</v>
      </c>
      <c r="DZ76" s="2" t="b">
        <f t="shared" si="399"/>
        <v>1</v>
      </c>
      <c r="EA76" s="2" t="b">
        <f t="shared" si="399"/>
        <v>0</v>
      </c>
      <c r="EB76" s="2" t="b">
        <f t="shared" si="399"/>
        <v>0</v>
      </c>
      <c r="EC76" s="2" t="s">
        <v>435</v>
      </c>
      <c r="ED76" s="2" t="s">
        <v>435</v>
      </c>
      <c r="EE76" s="2" t="s">
        <v>435</v>
      </c>
      <c r="EF76" s="2" t="s">
        <v>435</v>
      </c>
      <c r="EG76" s="2" t="s">
        <v>435</v>
      </c>
      <c r="EH76" s="2" t="s">
        <v>435</v>
      </c>
      <c r="EI76" s="2" t="s">
        <v>435</v>
      </c>
      <c r="EJ76" s="2" t="s">
        <v>435</v>
      </c>
      <c r="EK76" s="2" t="s">
        <v>435</v>
      </c>
      <c r="EL76" s="2" t="s">
        <v>435</v>
      </c>
      <c r="EM76" s="2" t="s">
        <v>435</v>
      </c>
      <c r="EN76" s="2" t="s">
        <v>435</v>
      </c>
      <c r="EO76" s="2" t="s">
        <v>435</v>
      </c>
      <c r="EP76" s="2" t="s">
        <v>435</v>
      </c>
      <c r="EQ76" s="2" t="s">
        <v>435</v>
      </c>
      <c r="ER76" s="2" t="s">
        <v>435</v>
      </c>
      <c r="FA76" s="2" t="s">
        <v>435</v>
      </c>
      <c r="FB76" s="2" t="s">
        <v>435</v>
      </c>
      <c r="FC76" s="2" t="s">
        <v>435</v>
      </c>
      <c r="FD76" s="2" t="s">
        <v>435</v>
      </c>
      <c r="FE76" s="2" t="s">
        <v>435</v>
      </c>
      <c r="FF76" s="2" t="s">
        <v>435</v>
      </c>
      <c r="FG76" s="2" t="s">
        <v>435</v>
      </c>
      <c r="FH76" s="2" t="s">
        <v>435</v>
      </c>
      <c r="FI76" s="2" t="s">
        <v>435</v>
      </c>
      <c r="FJ76" s="2" t="s">
        <v>435</v>
      </c>
      <c r="FK76" s="2" t="s">
        <v>435</v>
      </c>
      <c r="FL76" s="2" t="s">
        <v>435</v>
      </c>
      <c r="FM76" s="2" t="s">
        <v>435</v>
      </c>
      <c r="FN76" s="2" t="s">
        <v>435</v>
      </c>
      <c r="FO76" s="2" t="s">
        <v>435</v>
      </c>
      <c r="FP76" s="2" t="s">
        <v>435</v>
      </c>
    </row>
    <row r="77" spans="1:194">
      <c r="A77" s="2" t="s">
        <v>1103</v>
      </c>
      <c r="B77" s="2" t="s">
        <v>250</v>
      </c>
      <c r="C77" s="2" t="s">
        <v>1091</v>
      </c>
      <c r="D77" s="2" t="s">
        <v>1104</v>
      </c>
      <c r="E77" s="365" t="s">
        <v>889</v>
      </c>
      <c r="F77" s="368"/>
      <c r="G77" s="368"/>
      <c r="H77" s="368">
        <f t="shared" si="387"/>
        <v>20.00000000028</v>
      </c>
      <c r="I77" s="368">
        <f t="shared" si="388"/>
        <v>18.0000000002</v>
      </c>
      <c r="J77" s="368"/>
      <c r="K77" s="368"/>
      <c r="L77" s="368"/>
      <c r="M77" s="368" t="s">
        <v>887</v>
      </c>
      <c r="N77" s="368" t="s">
        <v>356</v>
      </c>
      <c r="O77" s="368" t="s">
        <v>356</v>
      </c>
      <c r="P77" s="368" t="s">
        <v>356</v>
      </c>
      <c r="Q77" s="368" t="s">
        <v>356</v>
      </c>
      <c r="R77" s="2" t="s">
        <v>1105</v>
      </c>
      <c r="S77" s="2" t="s">
        <v>817</v>
      </c>
      <c r="T77" s="2">
        <v>8</v>
      </c>
      <c r="U77" s="2" cm="1">
        <f t="array" ref="U77">IFERROR(INDEX('Offer Statistics'!$AI$2:$AI$350,MATCH(1,(A77='Offer Statistics'!$T$2:$T$350)*($A$11='Offer Statistics'!$U$2:$U$350),0)),"/")</f>
        <v>10</v>
      </c>
      <c r="V77" s="2" cm="1">
        <f t="array" ref="V77">IFERROR(INDEX('Offer Statistics'!$V$2:$V$350,MATCH(1,(A77='Offer Statistics'!$T$2:$T$350)*($A$11='Offer Statistics'!$U$2:$U$350),0)),"/")</f>
        <v>154</v>
      </c>
      <c r="W77" s="2" cm="1">
        <f t="array" ref="W77">IFERROR(INDEX('Offer Statistics'!$AD$2:$AD$350,MATCH(1,(A77='Offer Statistics'!$T$2:$T$350)*($A$11='Offer Statistics'!$U$2:$U$350),0)),"/")</f>
        <v>10</v>
      </c>
      <c r="X77" s="2">
        <f t="shared" si="389"/>
        <v>15.4</v>
      </c>
      <c r="Y77" s="2" t="s">
        <v>817</v>
      </c>
      <c r="Z77" s="2" t="str">
        <f>入學要求!AF86</f>
        <v>/</v>
      </c>
      <c r="AA77" s="2" t="str">
        <f>入學要求!AG86</f>
        <v>/</v>
      </c>
      <c r="AB77" s="403" t="s">
        <v>889</v>
      </c>
      <c r="AC77" s="368" t="s">
        <v>2890</v>
      </c>
      <c r="AD77" s="368" t="s">
        <v>2891</v>
      </c>
      <c r="AE77" s="368" t="s">
        <v>356</v>
      </c>
      <c r="AF77" s="368" t="s">
        <v>356</v>
      </c>
      <c r="AG77" s="368" t="s">
        <v>356</v>
      </c>
      <c r="AH77" s="368" t="s">
        <v>356</v>
      </c>
      <c r="AI77" s="368" t="s">
        <v>356</v>
      </c>
      <c r="AJ77" s="400" t="s">
        <v>1067</v>
      </c>
      <c r="AK77" s="400" t="s">
        <v>1099</v>
      </c>
      <c r="AL77" s="400" t="s">
        <v>1086</v>
      </c>
      <c r="AM77" s="400" t="s">
        <v>1106</v>
      </c>
      <c r="AN77" s="400" t="s">
        <v>1107</v>
      </c>
      <c r="AO77" s="400" t="s">
        <v>1108</v>
      </c>
      <c r="AP77" s="400" t="s">
        <v>435</v>
      </c>
      <c r="AQ77" s="400" t="s">
        <v>356</v>
      </c>
      <c r="AR77" s="400"/>
      <c r="AS77" s="2" t="s">
        <v>1069</v>
      </c>
      <c r="AT77" s="2" t="s">
        <v>1070</v>
      </c>
      <c r="AU77" s="2" t="s">
        <v>817</v>
      </c>
      <c r="AX77" s="203"/>
      <c r="AY77" s="2">
        <v>1</v>
      </c>
      <c r="AZ77" s="2">
        <v>1</v>
      </c>
      <c r="BA77" s="2">
        <v>1</v>
      </c>
      <c r="BB77" s="2">
        <v>1</v>
      </c>
      <c r="BC77" s="2">
        <v>1</v>
      </c>
      <c r="BD77" s="2">
        <v>1</v>
      </c>
      <c r="BE77" s="2">
        <v>1</v>
      </c>
      <c r="BF77" s="2">
        <v>1</v>
      </c>
      <c r="BH77" s="2">
        <v>4</v>
      </c>
      <c r="BI77" s="2">
        <v>3</v>
      </c>
      <c r="BJ77" s="2">
        <v>2</v>
      </c>
      <c r="BK77" s="2">
        <v>4</v>
      </c>
      <c r="BM77" s="2">
        <v>4</v>
      </c>
      <c r="BN77" s="2">
        <v>3</v>
      </c>
      <c r="BP77" s="206">
        <f t="shared" si="320"/>
        <v>4.00000000004</v>
      </c>
      <c r="BQ77" s="206">
        <f t="shared" si="321"/>
        <v>3.00000000002</v>
      </c>
      <c r="BR77" s="206">
        <f t="shared" si="322"/>
        <v>2.00000000003</v>
      </c>
      <c r="BS77" s="206">
        <f t="shared" si="323"/>
        <v>4.00000000001</v>
      </c>
      <c r="BT77" s="206">
        <f t="shared" si="324"/>
        <v>5.0000000000000002E-11</v>
      </c>
      <c r="BU77" s="206">
        <f t="shared" si="325"/>
        <v>4.00000000006</v>
      </c>
      <c r="BV77" s="206">
        <f t="shared" si="326"/>
        <v>3.00000000007</v>
      </c>
      <c r="BW77" s="206">
        <f t="shared" si="327"/>
        <v>7.9999999999999995E-11</v>
      </c>
      <c r="BX77" s="2">
        <f t="shared" si="355"/>
        <v>4.00000000004</v>
      </c>
      <c r="BY77" s="2">
        <f t="shared" si="356"/>
        <v>3.00000000002</v>
      </c>
      <c r="BZ77" s="2">
        <f t="shared" si="357"/>
        <v>2.00000000003</v>
      </c>
      <c r="CA77" s="2">
        <f t="shared" si="358"/>
        <v>4.00000000001</v>
      </c>
      <c r="CB77" s="2">
        <f t="shared" si="359"/>
        <v>5.0000000000000002E-11</v>
      </c>
      <c r="CC77" s="2">
        <f t="shared" si="360"/>
        <v>4.00000000006</v>
      </c>
      <c r="CD77" s="2">
        <f t="shared" si="361"/>
        <v>3.00000000007</v>
      </c>
      <c r="CE77" s="2">
        <f t="shared" si="362"/>
        <v>7.9999999999999995E-11</v>
      </c>
      <c r="CF77" s="2" t="b">
        <f t="shared" si="363"/>
        <v>1</v>
      </c>
      <c r="CG77" s="2" t="b">
        <f t="shared" si="364"/>
        <v>1</v>
      </c>
      <c r="CH77" s="2" t="b">
        <f t="shared" si="365"/>
        <v>0</v>
      </c>
      <c r="CI77" s="2" t="b">
        <f t="shared" si="366"/>
        <v>1</v>
      </c>
      <c r="CJ77" s="2" t="b">
        <f t="shared" si="398"/>
        <v>0</v>
      </c>
      <c r="CK77" s="2" t="b">
        <f t="shared" si="398"/>
        <v>1</v>
      </c>
      <c r="CL77" s="2" t="b">
        <f t="shared" si="398"/>
        <v>1</v>
      </c>
      <c r="CM77" s="2" t="b">
        <f t="shared" si="398"/>
        <v>0</v>
      </c>
      <c r="CN77" s="2">
        <v>1</v>
      </c>
      <c r="CO77" s="2">
        <v>1</v>
      </c>
      <c r="CP77" s="2">
        <v>1</v>
      </c>
      <c r="CQ77" s="2">
        <v>1</v>
      </c>
      <c r="CR77" s="2">
        <v>1</v>
      </c>
      <c r="CS77" s="2">
        <v>1</v>
      </c>
      <c r="CT77" s="2">
        <v>1</v>
      </c>
      <c r="CU77" s="2">
        <v>1</v>
      </c>
      <c r="CW77" s="2">
        <v>4</v>
      </c>
      <c r="CX77" s="2">
        <v>3</v>
      </c>
      <c r="CY77" s="2">
        <v>4</v>
      </c>
      <c r="CZ77" s="2">
        <v>3</v>
      </c>
      <c r="DB77" s="2">
        <v>4</v>
      </c>
      <c r="DC77" s="2">
        <v>4</v>
      </c>
      <c r="DD77" s="2">
        <v>4</v>
      </c>
      <c r="DE77" s="206">
        <f t="shared" si="390"/>
        <v>4.00000000004</v>
      </c>
      <c r="DF77" s="206">
        <f t="shared" si="391"/>
        <v>3.00000000002</v>
      </c>
      <c r="DG77" s="206">
        <f t="shared" si="392"/>
        <v>4.00000000003</v>
      </c>
      <c r="DH77" s="206">
        <f t="shared" si="393"/>
        <v>3.00000000001</v>
      </c>
      <c r="DI77" s="206">
        <f t="shared" si="394"/>
        <v>5.0000000000000002E-11</v>
      </c>
      <c r="DJ77" s="206">
        <f t="shared" si="395"/>
        <v>4.00000000006</v>
      </c>
      <c r="DK77" s="206">
        <f t="shared" si="396"/>
        <v>4.00000000007</v>
      </c>
      <c r="DL77" s="206">
        <f t="shared" si="397"/>
        <v>4.00000000008</v>
      </c>
      <c r="DM77" s="2">
        <f t="shared" si="374"/>
        <v>4.00000000004</v>
      </c>
      <c r="DN77" s="2">
        <f t="shared" si="375"/>
        <v>3.00000000002</v>
      </c>
      <c r="DO77" s="2">
        <f t="shared" si="376"/>
        <v>4.00000000003</v>
      </c>
      <c r="DP77" s="2">
        <f t="shared" si="377"/>
        <v>3.00000000001</v>
      </c>
      <c r="DQ77" s="2">
        <f t="shared" si="378"/>
        <v>5.0000000000000002E-11</v>
      </c>
      <c r="DR77" s="2">
        <f t="shared" si="379"/>
        <v>4.00000000006</v>
      </c>
      <c r="DS77" s="2">
        <f t="shared" si="380"/>
        <v>4.00000000007</v>
      </c>
      <c r="DT77" s="2">
        <f t="shared" si="381"/>
        <v>4.00000000008</v>
      </c>
      <c r="DU77" s="2" t="b">
        <f t="shared" si="382"/>
        <v>1</v>
      </c>
      <c r="DV77" s="2" t="b">
        <f t="shared" si="383"/>
        <v>0</v>
      </c>
      <c r="DW77" s="2" t="b">
        <f t="shared" si="384"/>
        <v>1</v>
      </c>
      <c r="DX77" s="2" t="b">
        <f t="shared" si="385"/>
        <v>0</v>
      </c>
      <c r="DY77" s="2" t="b">
        <f t="shared" si="399"/>
        <v>0</v>
      </c>
      <c r="DZ77" s="2" t="b">
        <f t="shared" si="399"/>
        <v>1</v>
      </c>
      <c r="EA77" s="2" t="b">
        <f t="shared" si="399"/>
        <v>1</v>
      </c>
      <c r="EB77" s="2" t="b">
        <f t="shared" si="399"/>
        <v>1</v>
      </c>
      <c r="EC77" s="2" t="s">
        <v>435</v>
      </c>
      <c r="ED77" s="2" t="s">
        <v>435</v>
      </c>
      <c r="EE77" s="2" t="s">
        <v>435</v>
      </c>
      <c r="EF77" s="2" t="s">
        <v>435</v>
      </c>
      <c r="EG77" s="2" t="s">
        <v>435</v>
      </c>
      <c r="EH77" s="2" t="s">
        <v>435</v>
      </c>
      <c r="EI77" s="2" t="s">
        <v>435</v>
      </c>
      <c r="EJ77" s="2" t="s">
        <v>435</v>
      </c>
      <c r="EK77" s="2" t="s">
        <v>435</v>
      </c>
      <c r="EL77" s="2" t="s">
        <v>435</v>
      </c>
      <c r="EM77" s="2" t="s">
        <v>435</v>
      </c>
      <c r="EN77" s="2" t="s">
        <v>435</v>
      </c>
      <c r="EO77" s="2" t="s">
        <v>435</v>
      </c>
      <c r="EP77" s="2" t="s">
        <v>435</v>
      </c>
      <c r="EQ77" s="2" t="s">
        <v>435</v>
      </c>
      <c r="ER77" s="2" t="s">
        <v>435</v>
      </c>
      <c r="FA77" s="2" t="s">
        <v>435</v>
      </c>
      <c r="FB77" s="2" t="s">
        <v>435</v>
      </c>
      <c r="FC77" s="2" t="s">
        <v>435</v>
      </c>
      <c r="FD77" s="2" t="s">
        <v>435</v>
      </c>
      <c r="FE77" s="2" t="s">
        <v>435</v>
      </c>
      <c r="FF77" s="2" t="s">
        <v>435</v>
      </c>
      <c r="FG77" s="2" t="s">
        <v>435</v>
      </c>
      <c r="FH77" s="2" t="s">
        <v>435</v>
      </c>
      <c r="FI77" s="2" t="s">
        <v>435</v>
      </c>
      <c r="FJ77" s="2" t="s">
        <v>435</v>
      </c>
      <c r="FK77" s="2" t="s">
        <v>435</v>
      </c>
      <c r="FL77" s="2" t="s">
        <v>435</v>
      </c>
      <c r="FM77" s="2" t="s">
        <v>435</v>
      </c>
      <c r="FN77" s="2" t="s">
        <v>435</v>
      </c>
      <c r="FO77" s="2" t="s">
        <v>435</v>
      </c>
      <c r="FP77" s="2" t="s">
        <v>435</v>
      </c>
    </row>
    <row r="78" spans="1:194">
      <c r="A78" s="2" t="s">
        <v>1109</v>
      </c>
      <c r="B78" s="2" t="s">
        <v>250</v>
      </c>
      <c r="C78" s="2" t="s">
        <v>1091</v>
      </c>
      <c r="D78" s="2" t="s">
        <v>1110</v>
      </c>
      <c r="E78" s="365" t="s">
        <v>889</v>
      </c>
      <c r="F78" s="368"/>
      <c r="G78" s="368"/>
      <c r="H78" s="368">
        <f t="shared" si="387"/>
        <v>29.700000000276997</v>
      </c>
      <c r="I78" s="368">
        <f t="shared" si="388"/>
        <v>22.000000000236998</v>
      </c>
      <c r="J78" s="368"/>
      <c r="K78" s="368"/>
      <c r="L78" s="368"/>
      <c r="M78" s="368" t="s">
        <v>1093</v>
      </c>
      <c r="N78" s="368" t="s">
        <v>356</v>
      </c>
      <c r="O78" s="368" t="s">
        <v>1112</v>
      </c>
      <c r="P78" s="368" t="s">
        <v>1113</v>
      </c>
      <c r="Q78" s="368" t="s">
        <v>1114</v>
      </c>
      <c r="R78" s="2" t="s">
        <v>1111</v>
      </c>
      <c r="S78" s="2" t="s">
        <v>817</v>
      </c>
      <c r="T78" s="2">
        <v>20</v>
      </c>
      <c r="U78" s="2" cm="1">
        <f t="array" ref="U78">IFERROR(INDEX('Offer Statistics'!$AI$2:$AI$350,MATCH(1,(A78='Offer Statistics'!$T$2:$T$350)*($A$11='Offer Statistics'!$U$2:$U$350),0)),"/")</f>
        <v>14</v>
      </c>
      <c r="V78" s="2" cm="1">
        <f t="array" ref="V78">IFERROR(INDEX('Offer Statistics'!$V$2:$V$350,MATCH(1,(A78='Offer Statistics'!$T$2:$T$350)*($A$11='Offer Statistics'!$U$2:$U$350),0)),"/")</f>
        <v>661</v>
      </c>
      <c r="W78" s="2" cm="1">
        <f t="array" ref="W78">IFERROR(INDEX('Offer Statistics'!$AD$2:$AD$350,MATCH(1,(A78='Offer Statistics'!$T$2:$T$350)*($A$11='Offer Statistics'!$U$2:$U$350),0)),"/")</f>
        <v>14</v>
      </c>
      <c r="X78" s="2">
        <f t="shared" si="389"/>
        <v>47.214285714285715</v>
      </c>
      <c r="Y78" s="2" t="s">
        <v>817</v>
      </c>
      <c r="Z78" s="2" t="str">
        <f>入學要求!AF87</f>
        <v>/</v>
      </c>
      <c r="AA78" s="2" t="str">
        <f>入學要求!AG87</f>
        <v>/</v>
      </c>
      <c r="AB78" s="402" t="s">
        <v>889</v>
      </c>
      <c r="AC78" s="368" t="s">
        <v>2890</v>
      </c>
      <c r="AD78" s="368" t="s">
        <v>2891</v>
      </c>
      <c r="AE78" s="368" t="s">
        <v>356</v>
      </c>
      <c r="AF78" s="368" t="s">
        <v>356</v>
      </c>
      <c r="AG78" s="368" t="s">
        <v>1112</v>
      </c>
      <c r="AH78" s="368" t="s">
        <v>1113</v>
      </c>
      <c r="AI78" s="368" t="s">
        <v>1114</v>
      </c>
      <c r="AJ78" s="400" t="s">
        <v>1067</v>
      </c>
      <c r="AK78" s="400" t="s">
        <v>1099</v>
      </c>
      <c r="AL78" s="400" t="s">
        <v>1100</v>
      </c>
      <c r="AM78" s="400" t="s">
        <v>1115</v>
      </c>
      <c r="AN78" s="400" t="s">
        <v>1116</v>
      </c>
      <c r="AO78" s="400" t="s">
        <v>356</v>
      </c>
      <c r="AP78" s="400" t="s">
        <v>435</v>
      </c>
      <c r="AQ78" s="400" t="s">
        <v>356</v>
      </c>
      <c r="AR78" s="400"/>
      <c r="AS78" s="2" t="s">
        <v>1069</v>
      </c>
      <c r="AT78" s="2" t="s">
        <v>1070</v>
      </c>
      <c r="AU78" s="2" t="s">
        <v>817</v>
      </c>
      <c r="AV78" s="95"/>
      <c r="AW78" s="95"/>
      <c r="AX78" s="95"/>
      <c r="AY78" s="2">
        <v>1</v>
      </c>
      <c r="AZ78" s="2">
        <v>1.25</v>
      </c>
      <c r="BA78" s="2">
        <v>1.1000000000000001</v>
      </c>
      <c r="BB78" s="2">
        <v>1</v>
      </c>
      <c r="BC78" s="2">
        <v>1</v>
      </c>
      <c r="BD78" s="2">
        <v>1.1499999999999999</v>
      </c>
      <c r="BE78" s="2">
        <v>1</v>
      </c>
      <c r="BF78" s="2">
        <v>1</v>
      </c>
      <c r="BH78" s="2">
        <v>4</v>
      </c>
      <c r="BI78" s="2">
        <v>4</v>
      </c>
      <c r="BJ78" s="2">
        <v>4</v>
      </c>
      <c r="BK78" s="2">
        <v>4</v>
      </c>
      <c r="BM78" s="2">
        <v>4</v>
      </c>
      <c r="BN78" s="2">
        <v>4</v>
      </c>
      <c r="BP78" s="206">
        <f t="shared" ref="BP78:BP90" si="400">IFERROR(BH78+0.00000000004,0)</f>
        <v>4.00000000004</v>
      </c>
      <c r="BQ78" s="206">
        <f t="shared" ref="BQ78:BQ90" si="401">IFERROR(BI78+0.00000000002,0)</f>
        <v>4.00000000002</v>
      </c>
      <c r="BR78" s="206">
        <f t="shared" ref="BR78:BR90" si="402">IFERROR(BJ78+0.00000000003,0)</f>
        <v>4.00000000003</v>
      </c>
      <c r="BS78" s="206">
        <f t="shared" ref="BS78:BS90" si="403">IFERROR(BK78+0.00000000001,0)</f>
        <v>4.00000000001</v>
      </c>
      <c r="BT78" s="206">
        <f t="shared" ref="BT78:BT90" si="404">IFERROR(BL78+0.00000000005,0)</f>
        <v>5.0000000000000002E-11</v>
      </c>
      <c r="BU78" s="206">
        <f t="shared" ref="BU78:BU90" si="405">IFERROR(BM78+0.00000000006,0)</f>
        <v>4.00000000006</v>
      </c>
      <c r="BV78" s="206">
        <f t="shared" ref="BV78:BV90" si="406">IFERROR(BN78+0.00000000007,0)</f>
        <v>4.00000000007</v>
      </c>
      <c r="BW78" s="206">
        <f t="shared" ref="BW78:BW90" si="407">IFERROR(BO78+0.00000000008,0)</f>
        <v>7.9999999999999995E-11</v>
      </c>
      <c r="BX78" s="2">
        <f t="shared" si="355"/>
        <v>4.00000000004</v>
      </c>
      <c r="BY78" s="2">
        <f t="shared" si="356"/>
        <v>5.0000000000250004</v>
      </c>
      <c r="BZ78" s="2">
        <f t="shared" si="357"/>
        <v>4.4000000000330006</v>
      </c>
      <c r="CA78" s="2">
        <f t="shared" si="358"/>
        <v>4.00000000001</v>
      </c>
      <c r="CB78" s="2">
        <f t="shared" si="359"/>
        <v>5.0000000000000002E-11</v>
      </c>
      <c r="CC78" s="2">
        <f t="shared" si="360"/>
        <v>4.6000000000689996</v>
      </c>
      <c r="CD78" s="2">
        <f t="shared" si="361"/>
        <v>4.00000000007</v>
      </c>
      <c r="CE78" s="2">
        <f t="shared" si="362"/>
        <v>7.9999999999999995E-11</v>
      </c>
      <c r="CF78" s="2" t="b">
        <f t="shared" si="363"/>
        <v>1</v>
      </c>
      <c r="CG78" s="2" t="b">
        <f t="shared" si="364"/>
        <v>1</v>
      </c>
      <c r="CH78" s="2" t="b">
        <f t="shared" si="365"/>
        <v>1</v>
      </c>
      <c r="CI78" s="2" t="b">
        <f t="shared" si="366"/>
        <v>0</v>
      </c>
      <c r="CJ78" s="2" t="b">
        <f t="shared" si="398"/>
        <v>0</v>
      </c>
      <c r="CK78" s="2" t="b">
        <f t="shared" si="398"/>
        <v>1</v>
      </c>
      <c r="CL78" s="2" t="b">
        <f t="shared" si="398"/>
        <v>1</v>
      </c>
      <c r="CM78" s="2" t="b">
        <f t="shared" si="398"/>
        <v>0</v>
      </c>
      <c r="CN78" s="2">
        <v>1</v>
      </c>
      <c r="CO78" s="2">
        <v>1.25</v>
      </c>
      <c r="CP78" s="2">
        <v>1.1000000000000001</v>
      </c>
      <c r="CQ78" s="2">
        <v>1</v>
      </c>
      <c r="CR78" s="2">
        <v>1</v>
      </c>
      <c r="CS78" s="2">
        <v>1.1499999999999999</v>
      </c>
      <c r="CT78" s="2">
        <v>1</v>
      </c>
      <c r="CU78" s="2">
        <v>1</v>
      </c>
      <c r="CW78" s="2">
        <v>3</v>
      </c>
      <c r="CX78" s="2">
        <v>5</v>
      </c>
      <c r="CY78" s="2">
        <v>4</v>
      </c>
      <c r="CZ78" s="2">
        <v>2</v>
      </c>
      <c r="DB78" s="2">
        <v>7</v>
      </c>
      <c r="DC78" s="2">
        <v>6</v>
      </c>
      <c r="DD78" s="2">
        <v>5</v>
      </c>
      <c r="DE78" s="206">
        <f t="shared" si="390"/>
        <v>3.00000000004</v>
      </c>
      <c r="DF78" s="206">
        <f t="shared" si="391"/>
        <v>5.00000000002</v>
      </c>
      <c r="DG78" s="206">
        <f t="shared" si="392"/>
        <v>4.00000000003</v>
      </c>
      <c r="DH78" s="206">
        <f t="shared" si="393"/>
        <v>2.00000000001</v>
      </c>
      <c r="DI78" s="206">
        <f t="shared" si="394"/>
        <v>5.0000000000000002E-11</v>
      </c>
      <c r="DJ78" s="206">
        <f t="shared" si="395"/>
        <v>7.00000000006</v>
      </c>
      <c r="DK78" s="206">
        <f t="shared" si="396"/>
        <v>6.00000000007</v>
      </c>
      <c r="DL78" s="206">
        <f t="shared" si="397"/>
        <v>5.00000000008</v>
      </c>
      <c r="DM78" s="2">
        <f t="shared" si="374"/>
        <v>3.00000000004</v>
      </c>
      <c r="DN78" s="2">
        <f t="shared" si="375"/>
        <v>6.2500000000250004</v>
      </c>
      <c r="DO78" s="2">
        <f t="shared" si="376"/>
        <v>4.4000000000330006</v>
      </c>
      <c r="DP78" s="2">
        <f t="shared" si="377"/>
        <v>2.00000000001</v>
      </c>
      <c r="DQ78" s="2">
        <f t="shared" si="378"/>
        <v>5.0000000000000002E-11</v>
      </c>
      <c r="DR78" s="2">
        <f t="shared" si="379"/>
        <v>8.0500000000689997</v>
      </c>
      <c r="DS78" s="2">
        <f t="shared" si="380"/>
        <v>6.00000000007</v>
      </c>
      <c r="DT78" s="2">
        <f t="shared" si="381"/>
        <v>5.00000000008</v>
      </c>
      <c r="DU78" s="2" t="b">
        <f t="shared" si="382"/>
        <v>0</v>
      </c>
      <c r="DV78" s="2" t="b">
        <f t="shared" si="383"/>
        <v>1</v>
      </c>
      <c r="DW78" s="2" t="b">
        <f t="shared" si="384"/>
        <v>1</v>
      </c>
      <c r="DX78" s="2" t="b">
        <f t="shared" si="385"/>
        <v>0</v>
      </c>
      <c r="DY78" s="2" t="b">
        <f t="shared" si="399"/>
        <v>0</v>
      </c>
      <c r="DZ78" s="2" t="b">
        <f t="shared" si="399"/>
        <v>1</v>
      </c>
      <c r="EA78" s="2" t="b">
        <f t="shared" si="399"/>
        <v>1</v>
      </c>
      <c r="EB78" s="2" t="b">
        <f t="shared" si="399"/>
        <v>1</v>
      </c>
      <c r="EC78" s="2" t="s">
        <v>435</v>
      </c>
      <c r="ED78" s="2" t="s">
        <v>435</v>
      </c>
      <c r="EE78" s="2" t="s">
        <v>435</v>
      </c>
      <c r="EF78" s="2" t="s">
        <v>435</v>
      </c>
      <c r="EG78" s="2" t="s">
        <v>435</v>
      </c>
      <c r="EH78" s="2" t="s">
        <v>435</v>
      </c>
      <c r="EI78" s="2" t="s">
        <v>435</v>
      </c>
      <c r="EJ78" s="2" t="s">
        <v>435</v>
      </c>
      <c r="EK78" s="2" t="s">
        <v>435</v>
      </c>
      <c r="EL78" s="2" t="s">
        <v>435</v>
      </c>
      <c r="EM78" s="2" t="s">
        <v>435</v>
      </c>
      <c r="EN78" s="2" t="s">
        <v>435</v>
      </c>
      <c r="EO78" s="2" t="s">
        <v>435</v>
      </c>
      <c r="EP78" s="2" t="s">
        <v>435</v>
      </c>
      <c r="EQ78" s="2" t="s">
        <v>435</v>
      </c>
      <c r="ER78" s="2" t="s">
        <v>435</v>
      </c>
      <c r="FA78" s="2" t="s">
        <v>435</v>
      </c>
      <c r="FB78" s="2" t="s">
        <v>435</v>
      </c>
      <c r="FC78" s="2" t="s">
        <v>435</v>
      </c>
      <c r="FD78" s="2" t="s">
        <v>435</v>
      </c>
      <c r="FE78" s="2" t="s">
        <v>435</v>
      </c>
      <c r="FF78" s="2" t="s">
        <v>435</v>
      </c>
      <c r="FG78" s="2" t="s">
        <v>435</v>
      </c>
      <c r="FH78" s="2" t="s">
        <v>435</v>
      </c>
      <c r="FI78" s="2" t="s">
        <v>435</v>
      </c>
      <c r="FJ78" s="2" t="s">
        <v>435</v>
      </c>
      <c r="FK78" s="2" t="s">
        <v>435</v>
      </c>
      <c r="FL78" s="2" t="s">
        <v>435</v>
      </c>
      <c r="FM78" s="2" t="s">
        <v>435</v>
      </c>
      <c r="FN78" s="2" t="s">
        <v>435</v>
      </c>
      <c r="FO78" s="2" t="s">
        <v>435</v>
      </c>
      <c r="FP78" s="2" t="s">
        <v>435</v>
      </c>
    </row>
    <row r="79" spans="1:194" s="51" customFormat="1">
      <c r="A79" s="95" t="s">
        <v>1119</v>
      </c>
      <c r="B79" s="95" t="s">
        <v>250</v>
      </c>
      <c r="C79" s="95" t="s">
        <v>1120</v>
      </c>
      <c r="D79" s="95" t="s">
        <v>1121</v>
      </c>
      <c r="E79" s="365" t="s">
        <v>889</v>
      </c>
      <c r="F79" s="368"/>
      <c r="G79" s="368"/>
      <c r="H79" s="368">
        <f t="shared" si="387"/>
        <v>30.500000000277502</v>
      </c>
      <c r="I79" s="368">
        <f t="shared" si="388"/>
        <v>30.000000000220002</v>
      </c>
      <c r="J79" s="368"/>
      <c r="K79" s="368"/>
      <c r="L79" s="368"/>
      <c r="M79" s="368" t="s">
        <v>356</v>
      </c>
      <c r="N79" s="368" t="s">
        <v>356</v>
      </c>
      <c r="O79" s="368" t="s">
        <v>1122</v>
      </c>
      <c r="P79" s="368" t="s">
        <v>1123</v>
      </c>
      <c r="Q79" s="368"/>
      <c r="R79" s="95" t="s">
        <v>1124</v>
      </c>
      <c r="S79" s="95" t="s">
        <v>817</v>
      </c>
      <c r="T79" s="2">
        <v>40</v>
      </c>
      <c r="U79" s="2" cm="1">
        <f t="array" ref="U79">IFERROR(INDEX('Offer Statistics'!$AI$2:$AI$350,MATCH(1,(A79='Offer Statistics'!$T$2:$T$350)*($A$11='Offer Statistics'!$U$2:$U$350),0)),"/")</f>
        <v>33</v>
      </c>
      <c r="V79" s="2" cm="1">
        <f t="array" ref="V79">IFERROR(INDEX('Offer Statistics'!$V$2:$V$350,MATCH(1,(A79='Offer Statistics'!$T$2:$T$350)*($A$11='Offer Statistics'!$U$2:$U$350),0)),"/")</f>
        <v>239</v>
      </c>
      <c r="W79" s="2" cm="1">
        <f t="array" ref="W79">IFERROR(INDEX('Offer Statistics'!$AD$2:$AD$350,MATCH(1,(A79='Offer Statistics'!$T$2:$T$350)*($A$11='Offer Statistics'!$U$2:$U$350),0)),"/")</f>
        <v>33</v>
      </c>
      <c r="X79" s="2">
        <f t="shared" si="389"/>
        <v>7.2424242424242422</v>
      </c>
      <c r="Y79" s="95" t="s">
        <v>817</v>
      </c>
      <c r="Z79" s="2" t="str">
        <f>入學要求!AF88</f>
        <v>以下一科選修取得Lv.3︰生物、化學</v>
      </c>
      <c r="AA79" s="2" t="str">
        <f>入學要求!AG88</f>
        <v>/</v>
      </c>
      <c r="AB79" s="402" t="s">
        <v>889</v>
      </c>
      <c r="AC79" s="368"/>
      <c r="AD79" s="368"/>
      <c r="AE79" s="368" t="s">
        <v>356</v>
      </c>
      <c r="AF79" s="368" t="s">
        <v>356</v>
      </c>
      <c r="AG79" s="368" t="s">
        <v>1122</v>
      </c>
      <c r="AH79" s="368" t="s">
        <v>1123</v>
      </c>
      <c r="AI79" s="368"/>
      <c r="AJ79" s="400" t="s">
        <v>1067</v>
      </c>
      <c r="AK79" s="400" t="s">
        <v>818</v>
      </c>
      <c r="AL79" s="400" t="s">
        <v>1068</v>
      </c>
      <c r="AM79" s="400" t="s">
        <v>1075</v>
      </c>
      <c r="AN79" s="400" t="s">
        <v>356</v>
      </c>
      <c r="AO79" s="400" t="s">
        <v>356</v>
      </c>
      <c r="AP79" s="400" t="s">
        <v>435</v>
      </c>
      <c r="AQ79" s="400" t="s">
        <v>356</v>
      </c>
      <c r="AR79" s="400"/>
      <c r="AS79" s="2" t="s">
        <v>1069</v>
      </c>
      <c r="AT79" s="2" t="s">
        <v>1070</v>
      </c>
      <c r="AU79" s="95" t="s">
        <v>817</v>
      </c>
      <c r="AV79" s="95"/>
      <c r="AW79" s="95"/>
      <c r="AX79" s="95"/>
      <c r="AY79" s="95">
        <v>1.5</v>
      </c>
      <c r="AZ79" s="95">
        <v>1.5</v>
      </c>
      <c r="BA79" s="95">
        <v>1</v>
      </c>
      <c r="BB79" s="95">
        <v>1</v>
      </c>
      <c r="BC79" s="95">
        <v>1</v>
      </c>
      <c r="BD79" s="95">
        <v>1.5</v>
      </c>
      <c r="BE79" s="95">
        <v>1.25</v>
      </c>
      <c r="BF79" s="95">
        <v>1</v>
      </c>
      <c r="BG79" s="95"/>
      <c r="BH79" s="95">
        <v>5</v>
      </c>
      <c r="BI79" s="95">
        <v>5</v>
      </c>
      <c r="BJ79" s="95">
        <v>5</v>
      </c>
      <c r="BK79" s="95">
        <v>4</v>
      </c>
      <c r="BL79" s="95"/>
      <c r="BM79" s="95">
        <v>4</v>
      </c>
      <c r="BN79" s="95">
        <v>3</v>
      </c>
      <c r="BO79" s="95"/>
      <c r="BP79" s="206">
        <f t="shared" si="400"/>
        <v>5.00000000004</v>
      </c>
      <c r="BQ79" s="206">
        <f t="shared" si="401"/>
        <v>5.00000000002</v>
      </c>
      <c r="BR79" s="206">
        <f t="shared" si="402"/>
        <v>5.00000000003</v>
      </c>
      <c r="BS79" s="206">
        <f t="shared" si="403"/>
        <v>4.00000000001</v>
      </c>
      <c r="BT79" s="206">
        <f t="shared" si="404"/>
        <v>5.0000000000000002E-11</v>
      </c>
      <c r="BU79" s="206">
        <f t="shared" si="405"/>
        <v>4.00000000006</v>
      </c>
      <c r="BV79" s="206">
        <f t="shared" si="406"/>
        <v>3.00000000007</v>
      </c>
      <c r="BW79" s="206">
        <f t="shared" si="407"/>
        <v>7.9999999999999995E-11</v>
      </c>
      <c r="BX79" s="2">
        <f t="shared" si="355"/>
        <v>7.50000000006</v>
      </c>
      <c r="BY79" s="2">
        <f t="shared" si="356"/>
        <v>7.50000000003</v>
      </c>
      <c r="BZ79" s="2">
        <f t="shared" si="357"/>
        <v>5.00000000003</v>
      </c>
      <c r="CA79" s="2">
        <f t="shared" si="358"/>
        <v>4.00000000001</v>
      </c>
      <c r="CB79" s="2">
        <f t="shared" si="359"/>
        <v>5.0000000000000002E-11</v>
      </c>
      <c r="CC79" s="2">
        <f t="shared" si="360"/>
        <v>6.00000000009</v>
      </c>
      <c r="CD79" s="2">
        <f t="shared" si="361"/>
        <v>3.7500000000874998</v>
      </c>
      <c r="CE79" s="2">
        <f t="shared" si="362"/>
        <v>7.9999999999999995E-11</v>
      </c>
      <c r="CF79" s="2" t="b">
        <f t="shared" si="363"/>
        <v>1</v>
      </c>
      <c r="CG79" s="2" t="b">
        <f t="shared" si="364"/>
        <v>1</v>
      </c>
      <c r="CH79" s="2" t="b">
        <f t="shared" si="365"/>
        <v>1</v>
      </c>
      <c r="CI79" s="2" t="b">
        <f t="shared" si="366"/>
        <v>1</v>
      </c>
      <c r="CJ79" s="2" t="b">
        <f t="shared" ref="CJ79:CJ90" si="408">IF($E79="4C2X",IF(CB79&gt;LARGE($CB79:$CE79,3),TRUE),IF($E79="Best 5",IF(CB79&gt;LARGE($BX79:$CE79,6),TRUE),IF($E79="Best 6",IF(CB79&gt;LARGE($BX79:$CE79,7),TRUE))))</f>
        <v>0</v>
      </c>
      <c r="CK79" s="2" t="b">
        <f t="shared" ref="CK79:CK90" si="409">IF($E79="4C2X",IF(CC79&gt;LARGE($CB79:$CE79,3),TRUE),IF($E79="Best 5",IF(CC79&gt;LARGE($BX79:$CE79,6),TRUE),IF($E79="Best 6",IF(CC79&gt;LARGE($BX79:$CE79,7),TRUE))))</f>
        <v>1</v>
      </c>
      <c r="CL79" s="2" t="b">
        <f t="shared" ref="CL79:CL90" si="410">IF($E79="4C2X",IF(CD79&gt;LARGE($CB79:$CE79,3),TRUE),IF($E79="Best 5",IF(CD79&gt;LARGE($BX79:$CE79,6),TRUE),IF($E79="Best 6",IF(CD79&gt;LARGE($BX79:$CE79,7),TRUE))))</f>
        <v>0</v>
      </c>
      <c r="CM79" s="2" t="b">
        <f t="shared" ref="CM79:CM90" si="411">IF($E79="4C2X",IF(CE79&gt;LARGE($CB79:$CE79,3),TRUE),IF($E79="Best 5",IF(CE79&gt;LARGE($BX79:$CE79,6),TRUE),IF($E79="Best 6",IF(CE79&gt;LARGE($BX79:$CE79,7),TRUE))))</f>
        <v>0</v>
      </c>
      <c r="CN79" s="95">
        <v>1.5</v>
      </c>
      <c r="CO79" s="95">
        <v>1.5</v>
      </c>
      <c r="CP79" s="95">
        <v>1</v>
      </c>
      <c r="CQ79" s="95">
        <v>1</v>
      </c>
      <c r="CR79" s="95">
        <v>1</v>
      </c>
      <c r="CS79" s="95">
        <v>1.5</v>
      </c>
      <c r="CT79" s="95">
        <v>1.25</v>
      </c>
      <c r="CU79" s="95">
        <v>1</v>
      </c>
      <c r="CV79" s="95"/>
      <c r="CW79" s="95">
        <v>4</v>
      </c>
      <c r="CX79" s="95">
        <v>4</v>
      </c>
      <c r="CY79" s="95">
        <v>5</v>
      </c>
      <c r="CZ79" s="95">
        <v>6</v>
      </c>
      <c r="DA79" s="95"/>
      <c r="DB79" s="95">
        <v>5</v>
      </c>
      <c r="DC79" s="95">
        <v>4</v>
      </c>
      <c r="DD79" s="95">
        <v>4</v>
      </c>
      <c r="DE79" s="206">
        <f t="shared" si="390"/>
        <v>4.00000000004</v>
      </c>
      <c r="DF79" s="206">
        <f t="shared" si="391"/>
        <v>4.00000000002</v>
      </c>
      <c r="DG79" s="206">
        <f t="shared" si="392"/>
        <v>5.00000000003</v>
      </c>
      <c r="DH79" s="206">
        <f t="shared" si="393"/>
        <v>6.00000000001</v>
      </c>
      <c r="DI79" s="206">
        <f t="shared" si="394"/>
        <v>5.0000000000000002E-11</v>
      </c>
      <c r="DJ79" s="206">
        <f t="shared" si="395"/>
        <v>5.00000000006</v>
      </c>
      <c r="DK79" s="206">
        <f t="shared" si="396"/>
        <v>4.00000000007</v>
      </c>
      <c r="DL79" s="206">
        <f t="shared" si="397"/>
        <v>4.00000000008</v>
      </c>
      <c r="DM79" s="2">
        <f t="shared" si="374"/>
        <v>6.00000000006</v>
      </c>
      <c r="DN79" s="2">
        <f t="shared" si="375"/>
        <v>6.00000000003</v>
      </c>
      <c r="DO79" s="2">
        <f t="shared" si="376"/>
        <v>5.00000000003</v>
      </c>
      <c r="DP79" s="2">
        <f t="shared" si="377"/>
        <v>6.00000000001</v>
      </c>
      <c r="DQ79" s="2">
        <f t="shared" si="378"/>
        <v>5.0000000000000002E-11</v>
      </c>
      <c r="DR79" s="2">
        <f t="shared" si="379"/>
        <v>7.50000000009</v>
      </c>
      <c r="DS79" s="2">
        <f t="shared" si="380"/>
        <v>5.0000000000874998</v>
      </c>
      <c r="DT79" s="2">
        <f t="shared" si="381"/>
        <v>4.00000000008</v>
      </c>
      <c r="DU79" s="2" t="b">
        <f t="shared" si="382"/>
        <v>1</v>
      </c>
      <c r="DV79" s="2" t="b">
        <f t="shared" si="383"/>
        <v>1</v>
      </c>
      <c r="DW79" s="2" t="b">
        <f t="shared" si="384"/>
        <v>0</v>
      </c>
      <c r="DX79" s="2" t="b">
        <f t="shared" si="385"/>
        <v>1</v>
      </c>
      <c r="DY79" s="2" t="b">
        <f t="shared" ref="DY79:EB84" si="412">IF($E79="4C2X",IF(DQ79&gt;LARGE($DQ79:$DT79,3),TRUE),IF($E79="Best 5",IF(DQ79&gt;LARGE($DM79:$DT79,6),TRUE),IF($E79="Best 6",IF(DQ79&gt;LARGE($DM79:$DT79,7),TRUE))))</f>
        <v>0</v>
      </c>
      <c r="DZ79" s="2" t="b">
        <f t="shared" si="412"/>
        <v>1</v>
      </c>
      <c r="EA79" s="2" t="b">
        <f t="shared" si="412"/>
        <v>1</v>
      </c>
      <c r="EB79" s="2" t="b">
        <f t="shared" si="412"/>
        <v>0</v>
      </c>
      <c r="EC79" s="2" t="s">
        <v>435</v>
      </c>
      <c r="ED79" s="2" t="s">
        <v>435</v>
      </c>
      <c r="EE79" s="2" t="s">
        <v>435</v>
      </c>
      <c r="EF79" s="2" t="s">
        <v>435</v>
      </c>
      <c r="EG79" s="2" t="s">
        <v>435</v>
      </c>
      <c r="EH79" s="2" t="s">
        <v>435</v>
      </c>
      <c r="EI79" s="2" t="s">
        <v>435</v>
      </c>
      <c r="EJ79" s="2" t="s">
        <v>435</v>
      </c>
      <c r="EK79" s="2" t="s">
        <v>435</v>
      </c>
      <c r="EL79" s="2" t="s">
        <v>435</v>
      </c>
      <c r="EM79" s="2" t="s">
        <v>435</v>
      </c>
      <c r="EN79" s="2" t="s">
        <v>435</v>
      </c>
      <c r="EO79" s="2" t="s">
        <v>435</v>
      </c>
      <c r="EP79" s="2" t="s">
        <v>435</v>
      </c>
      <c r="EQ79" s="2" t="s">
        <v>435</v>
      </c>
      <c r="ER79" s="2" t="s">
        <v>435</v>
      </c>
      <c r="ES79" s="2"/>
      <c r="ET79" s="2"/>
      <c r="EU79" s="2"/>
      <c r="EV79" s="2"/>
      <c r="EW79" s="2"/>
      <c r="EX79" s="2"/>
      <c r="EY79" s="2"/>
      <c r="EZ79" s="2"/>
      <c r="FA79" s="2" t="s">
        <v>435</v>
      </c>
      <c r="FB79" s="2" t="s">
        <v>435</v>
      </c>
      <c r="FC79" s="2" t="s">
        <v>435</v>
      </c>
      <c r="FD79" s="2" t="s">
        <v>435</v>
      </c>
      <c r="FE79" s="2" t="s">
        <v>435</v>
      </c>
      <c r="FF79" s="2" t="s">
        <v>435</v>
      </c>
      <c r="FG79" s="2" t="s">
        <v>435</v>
      </c>
      <c r="FH79" s="2" t="s">
        <v>435</v>
      </c>
      <c r="FI79" s="2" t="s">
        <v>435</v>
      </c>
      <c r="FJ79" s="2" t="s">
        <v>435</v>
      </c>
      <c r="FK79" s="2" t="s">
        <v>435</v>
      </c>
      <c r="FL79" s="2" t="s">
        <v>435</v>
      </c>
      <c r="FM79" s="2" t="s">
        <v>435</v>
      </c>
      <c r="FN79" s="2" t="s">
        <v>435</v>
      </c>
      <c r="FO79" s="2" t="s">
        <v>435</v>
      </c>
      <c r="FP79" s="2" t="s">
        <v>435</v>
      </c>
      <c r="FQ79" s="2"/>
      <c r="GJ79" s="2"/>
      <c r="GL79" s="2"/>
    </row>
    <row r="80" spans="1:194" s="51" customFormat="1">
      <c r="A80" s="95" t="s">
        <v>1125</v>
      </c>
      <c r="B80" s="95" t="s">
        <v>250</v>
      </c>
      <c r="C80" s="95" t="s">
        <v>1120</v>
      </c>
      <c r="D80" s="95" t="s">
        <v>1126</v>
      </c>
      <c r="E80" s="365" t="s">
        <v>889</v>
      </c>
      <c r="F80" s="368"/>
      <c r="G80" s="368"/>
      <c r="H80" s="368">
        <f t="shared" si="387"/>
        <v>24.500000000284999</v>
      </c>
      <c r="I80" s="368">
        <f t="shared" si="388"/>
        <v>23.750000000324999</v>
      </c>
      <c r="J80" s="368"/>
      <c r="K80" s="368"/>
      <c r="L80" s="368"/>
      <c r="M80" s="368" t="s">
        <v>356</v>
      </c>
      <c r="N80" s="368" t="s">
        <v>356</v>
      </c>
      <c r="O80" s="368" t="s">
        <v>1127</v>
      </c>
      <c r="P80" s="368" t="s">
        <v>1128</v>
      </c>
      <c r="Q80" s="368"/>
      <c r="R80" s="95" t="s">
        <v>1129</v>
      </c>
      <c r="S80" s="95" t="s">
        <v>817</v>
      </c>
      <c r="T80" s="2">
        <v>20</v>
      </c>
      <c r="U80" s="2" cm="1">
        <f t="array" ref="U80">IFERROR(INDEX('Offer Statistics'!$AI$2:$AI$350,MATCH(1,(A80='Offer Statistics'!$T$2:$T$350)*($A$11='Offer Statistics'!$U$2:$U$350),0)),"/")</f>
        <v>28</v>
      </c>
      <c r="V80" s="2" cm="1">
        <f t="array" ref="V80">IFERROR(INDEX('Offer Statistics'!$V$2:$V$350,MATCH(1,(A80='Offer Statistics'!$T$2:$T$350)*($A$11='Offer Statistics'!$U$2:$U$350),0)),"/")</f>
        <v>218</v>
      </c>
      <c r="W80" s="2" cm="1">
        <f t="array" ref="W80">IFERROR(INDEX('Offer Statistics'!$AD$2:$AD$350,MATCH(1,(A80='Offer Statistics'!$T$2:$T$350)*($A$11='Offer Statistics'!$U$2:$U$350),0)),"/")</f>
        <v>27</v>
      </c>
      <c r="X80" s="2">
        <f t="shared" si="389"/>
        <v>8.0740740740740744</v>
      </c>
      <c r="Y80" s="95" t="s">
        <v>817</v>
      </c>
      <c r="Z80" s="2" t="str">
        <f>入學要求!AF89</f>
        <v>以下一科選修取得Lv.3︰化學</v>
      </c>
      <c r="AA80" s="2" t="str">
        <f>入學要求!AG89</f>
        <v>/</v>
      </c>
      <c r="AB80" s="402" t="s">
        <v>889</v>
      </c>
      <c r="AC80" s="368"/>
      <c r="AD80" s="368"/>
      <c r="AE80" s="368" t="s">
        <v>356</v>
      </c>
      <c r="AF80" s="368" t="s">
        <v>356</v>
      </c>
      <c r="AG80" s="368" t="s">
        <v>1127</v>
      </c>
      <c r="AH80" s="368" t="s">
        <v>1128</v>
      </c>
      <c r="AI80" s="368"/>
      <c r="AJ80" s="400" t="s">
        <v>1067</v>
      </c>
      <c r="AK80" s="400" t="s">
        <v>818</v>
      </c>
      <c r="AL80" s="400" t="s">
        <v>1068</v>
      </c>
      <c r="AM80" s="400" t="s">
        <v>1075</v>
      </c>
      <c r="AN80" s="400" t="s">
        <v>356</v>
      </c>
      <c r="AO80" s="400" t="s">
        <v>356</v>
      </c>
      <c r="AP80" s="400" t="s">
        <v>435</v>
      </c>
      <c r="AQ80" s="400" t="s">
        <v>356</v>
      </c>
      <c r="AR80" s="400"/>
      <c r="AS80" s="2" t="s">
        <v>1069</v>
      </c>
      <c r="AT80" s="2" t="s">
        <v>1070</v>
      </c>
      <c r="AU80" s="95" t="s">
        <v>817</v>
      </c>
      <c r="AV80" s="2"/>
      <c r="AW80" s="2"/>
      <c r="AX80" s="2"/>
      <c r="AY80" s="95">
        <v>1</v>
      </c>
      <c r="AZ80" s="95">
        <v>1.5</v>
      </c>
      <c r="BA80" s="95">
        <v>1.25</v>
      </c>
      <c r="BB80" s="95">
        <v>1</v>
      </c>
      <c r="BC80" s="95">
        <v>1</v>
      </c>
      <c r="BD80" s="95">
        <v>1.5</v>
      </c>
      <c r="BE80" s="95">
        <v>1.25</v>
      </c>
      <c r="BF80" s="95">
        <v>1</v>
      </c>
      <c r="BG80" s="95"/>
      <c r="BH80" s="95">
        <v>3</v>
      </c>
      <c r="BI80" s="95">
        <v>4</v>
      </c>
      <c r="BJ80" s="95">
        <v>4</v>
      </c>
      <c r="BK80" s="95">
        <v>3</v>
      </c>
      <c r="BL80" s="95"/>
      <c r="BM80" s="95">
        <v>4</v>
      </c>
      <c r="BN80" s="95">
        <v>3</v>
      </c>
      <c r="BO80" s="95">
        <v>3</v>
      </c>
      <c r="BP80" s="206">
        <f t="shared" si="400"/>
        <v>3.00000000004</v>
      </c>
      <c r="BQ80" s="206">
        <f t="shared" si="401"/>
        <v>4.00000000002</v>
      </c>
      <c r="BR80" s="206">
        <f t="shared" si="402"/>
        <v>4.00000000003</v>
      </c>
      <c r="BS80" s="206">
        <f t="shared" si="403"/>
        <v>3.00000000001</v>
      </c>
      <c r="BT80" s="206">
        <f t="shared" si="404"/>
        <v>5.0000000000000002E-11</v>
      </c>
      <c r="BU80" s="206">
        <f t="shared" si="405"/>
        <v>4.00000000006</v>
      </c>
      <c r="BV80" s="206">
        <f t="shared" si="406"/>
        <v>3.00000000007</v>
      </c>
      <c r="BW80" s="206">
        <f t="shared" si="407"/>
        <v>3.00000000008</v>
      </c>
      <c r="BX80" s="2">
        <f t="shared" si="355"/>
        <v>3.00000000004</v>
      </c>
      <c r="BY80" s="2">
        <f t="shared" si="356"/>
        <v>6.00000000003</v>
      </c>
      <c r="BZ80" s="2">
        <f t="shared" si="357"/>
        <v>5.0000000000374998</v>
      </c>
      <c r="CA80" s="2">
        <f t="shared" si="358"/>
        <v>3.00000000001</v>
      </c>
      <c r="CB80" s="2">
        <f t="shared" si="359"/>
        <v>5.0000000000000002E-11</v>
      </c>
      <c r="CC80" s="2">
        <f t="shared" si="360"/>
        <v>6.00000000009</v>
      </c>
      <c r="CD80" s="2">
        <f t="shared" si="361"/>
        <v>3.7500000000874998</v>
      </c>
      <c r="CE80" s="2">
        <f t="shared" si="362"/>
        <v>3.00000000008</v>
      </c>
      <c r="CF80" s="2" t="b">
        <f t="shared" si="363"/>
        <v>0</v>
      </c>
      <c r="CG80" s="2" t="b">
        <f t="shared" si="364"/>
        <v>1</v>
      </c>
      <c r="CH80" s="2" t="b">
        <f t="shared" si="365"/>
        <v>1</v>
      </c>
      <c r="CI80" s="2" t="b">
        <f t="shared" si="366"/>
        <v>0</v>
      </c>
      <c r="CJ80" s="2" t="b">
        <f t="shared" si="408"/>
        <v>0</v>
      </c>
      <c r="CK80" s="2" t="b">
        <f t="shared" si="409"/>
        <v>1</v>
      </c>
      <c r="CL80" s="2" t="b">
        <f t="shared" si="410"/>
        <v>1</v>
      </c>
      <c r="CM80" s="2" t="b">
        <f t="shared" si="411"/>
        <v>1</v>
      </c>
      <c r="CN80" s="95">
        <v>1</v>
      </c>
      <c r="CO80" s="95">
        <v>1.5</v>
      </c>
      <c r="CP80" s="95">
        <v>1.25</v>
      </c>
      <c r="CQ80" s="95">
        <v>1</v>
      </c>
      <c r="CR80" s="95">
        <v>1</v>
      </c>
      <c r="CS80" s="95">
        <v>1.5</v>
      </c>
      <c r="CT80" s="95">
        <v>1.25</v>
      </c>
      <c r="CU80" s="95">
        <v>1</v>
      </c>
      <c r="CV80" s="95"/>
      <c r="CW80" s="95">
        <v>4</v>
      </c>
      <c r="CX80" s="95">
        <v>3</v>
      </c>
      <c r="CY80" s="95">
        <v>4</v>
      </c>
      <c r="CZ80" s="95">
        <v>4</v>
      </c>
      <c r="DA80" s="95"/>
      <c r="DB80" s="95">
        <v>4</v>
      </c>
      <c r="DC80" s="95">
        <v>4</v>
      </c>
      <c r="DD80" s="95">
        <v>2</v>
      </c>
      <c r="DE80" s="206">
        <f t="shared" si="390"/>
        <v>4.00000000004</v>
      </c>
      <c r="DF80" s="206">
        <f t="shared" si="391"/>
        <v>3.00000000002</v>
      </c>
      <c r="DG80" s="206">
        <f t="shared" si="392"/>
        <v>4.00000000003</v>
      </c>
      <c r="DH80" s="206">
        <f t="shared" si="393"/>
        <v>4.00000000001</v>
      </c>
      <c r="DI80" s="206">
        <f t="shared" si="394"/>
        <v>5.0000000000000002E-11</v>
      </c>
      <c r="DJ80" s="206">
        <f t="shared" si="395"/>
        <v>4.00000000006</v>
      </c>
      <c r="DK80" s="206">
        <f t="shared" si="396"/>
        <v>4.00000000007</v>
      </c>
      <c r="DL80" s="206">
        <f t="shared" si="397"/>
        <v>2.00000000008</v>
      </c>
      <c r="DM80" s="2">
        <f t="shared" si="374"/>
        <v>4.00000000004</v>
      </c>
      <c r="DN80" s="2">
        <f t="shared" si="375"/>
        <v>4.50000000003</v>
      </c>
      <c r="DO80" s="2">
        <f t="shared" si="376"/>
        <v>5.0000000000374998</v>
      </c>
      <c r="DP80" s="2">
        <f t="shared" si="377"/>
        <v>4.00000000001</v>
      </c>
      <c r="DQ80" s="2">
        <f t="shared" si="378"/>
        <v>5.0000000000000002E-11</v>
      </c>
      <c r="DR80" s="2">
        <f t="shared" si="379"/>
        <v>6.00000000009</v>
      </c>
      <c r="DS80" s="2">
        <f t="shared" si="380"/>
        <v>5.0000000000874998</v>
      </c>
      <c r="DT80" s="2">
        <f t="shared" si="381"/>
        <v>2.00000000008</v>
      </c>
      <c r="DU80" s="2" t="b">
        <f t="shared" si="382"/>
        <v>1</v>
      </c>
      <c r="DV80" s="2" t="b">
        <f t="shared" si="383"/>
        <v>1</v>
      </c>
      <c r="DW80" s="2" t="b">
        <f t="shared" si="384"/>
        <v>1</v>
      </c>
      <c r="DX80" s="2" t="b">
        <f t="shared" si="385"/>
        <v>0</v>
      </c>
      <c r="DY80" s="2" t="b">
        <f t="shared" si="412"/>
        <v>0</v>
      </c>
      <c r="DZ80" s="2" t="b">
        <f t="shared" si="412"/>
        <v>1</v>
      </c>
      <c r="EA80" s="2" t="b">
        <f t="shared" si="412"/>
        <v>1</v>
      </c>
      <c r="EB80" s="2" t="b">
        <f t="shared" si="412"/>
        <v>0</v>
      </c>
      <c r="EC80" s="2" t="s">
        <v>435</v>
      </c>
      <c r="ED80" s="2" t="s">
        <v>435</v>
      </c>
      <c r="EE80" s="2" t="s">
        <v>435</v>
      </c>
      <c r="EF80" s="2" t="s">
        <v>435</v>
      </c>
      <c r="EG80" s="2" t="s">
        <v>435</v>
      </c>
      <c r="EH80" s="2" t="s">
        <v>435</v>
      </c>
      <c r="EI80" s="2" t="s">
        <v>435</v>
      </c>
      <c r="EJ80" s="2" t="s">
        <v>435</v>
      </c>
      <c r="EK80" s="2" t="s">
        <v>435</v>
      </c>
      <c r="EL80" s="2" t="s">
        <v>435</v>
      </c>
      <c r="EM80" s="2" t="s">
        <v>435</v>
      </c>
      <c r="EN80" s="2" t="s">
        <v>435</v>
      </c>
      <c r="EO80" s="2" t="s">
        <v>435</v>
      </c>
      <c r="EP80" s="2" t="s">
        <v>435</v>
      </c>
      <c r="EQ80" s="2" t="s">
        <v>435</v>
      </c>
      <c r="ER80" s="2" t="s">
        <v>435</v>
      </c>
      <c r="ES80" s="2"/>
      <c r="ET80" s="2"/>
      <c r="EU80" s="2"/>
      <c r="EV80" s="2"/>
      <c r="EW80" s="2"/>
      <c r="EX80" s="2"/>
      <c r="EY80" s="2"/>
      <c r="EZ80" s="2"/>
      <c r="FA80" s="2" t="s">
        <v>435</v>
      </c>
      <c r="FB80" s="2" t="s">
        <v>435</v>
      </c>
      <c r="FC80" s="2" t="s">
        <v>435</v>
      </c>
      <c r="FD80" s="2" t="s">
        <v>435</v>
      </c>
      <c r="FE80" s="2" t="s">
        <v>435</v>
      </c>
      <c r="FF80" s="2" t="s">
        <v>435</v>
      </c>
      <c r="FG80" s="2" t="s">
        <v>435</v>
      </c>
      <c r="FH80" s="2" t="s">
        <v>435</v>
      </c>
      <c r="FI80" s="2" t="s">
        <v>435</v>
      </c>
      <c r="FJ80" s="2" t="s">
        <v>435</v>
      </c>
      <c r="FK80" s="2" t="s">
        <v>435</v>
      </c>
      <c r="FL80" s="2" t="s">
        <v>435</v>
      </c>
      <c r="FM80" s="2" t="s">
        <v>435</v>
      </c>
      <c r="FN80" s="2" t="s">
        <v>435</v>
      </c>
      <c r="FO80" s="2" t="s">
        <v>435</v>
      </c>
      <c r="FP80" s="2" t="s">
        <v>435</v>
      </c>
      <c r="FQ80" s="2"/>
      <c r="GJ80" s="2"/>
      <c r="GL80" s="2"/>
    </row>
    <row r="81" spans="1:172">
      <c r="A81" s="2" t="s">
        <v>1130</v>
      </c>
      <c r="B81" s="2" t="s">
        <v>250</v>
      </c>
      <c r="C81" s="2" t="s">
        <v>975</v>
      </c>
      <c r="D81" s="2" t="s">
        <v>1131</v>
      </c>
      <c r="E81" s="365" t="s">
        <v>815</v>
      </c>
      <c r="F81" s="368"/>
      <c r="G81" s="368"/>
      <c r="H81" s="368">
        <f t="shared" si="387"/>
        <v>20.000000000229999</v>
      </c>
      <c r="I81" s="368">
        <f t="shared" si="388"/>
        <v>20.000000000229999</v>
      </c>
      <c r="J81" s="368"/>
      <c r="K81" s="368"/>
      <c r="L81" s="368"/>
      <c r="M81" s="368" t="s">
        <v>1132</v>
      </c>
      <c r="N81" s="368" t="s">
        <v>356</v>
      </c>
      <c r="O81" s="368" t="s">
        <v>356</v>
      </c>
      <c r="P81" s="368" t="s">
        <v>356</v>
      </c>
      <c r="Q81" s="368" t="s">
        <v>356</v>
      </c>
      <c r="R81" s="366" t="s">
        <v>1133</v>
      </c>
      <c r="S81" s="2" t="s">
        <v>817</v>
      </c>
      <c r="T81" s="2">
        <v>195</v>
      </c>
      <c r="U81" s="2" cm="1">
        <f t="array" ref="U81">IFERROR(INDEX('Offer Statistics'!$AI$2:$AI$350,MATCH(1,(A81='Offer Statistics'!$T$2:$T$350)*($A$11='Offer Statistics'!$U$2:$U$350),0)),"/")</f>
        <v>223</v>
      </c>
      <c r="V81" s="2" cm="1">
        <f t="array" ref="V81">IFERROR(INDEX('Offer Statistics'!$V$2:$V$350,MATCH(1,(A81='Offer Statistics'!$T$2:$T$350)*($A$11='Offer Statistics'!$U$2:$U$350),0)),"/")</f>
        <v>848</v>
      </c>
      <c r="W81" s="2" cm="1">
        <f t="array" ref="W81">IFERROR(INDEX('Offer Statistics'!$AD$2:$AD$350,MATCH(1,(A81='Offer Statistics'!$T$2:$T$350)*($A$11='Offer Statistics'!$U$2:$U$350),0)),"/")</f>
        <v>175</v>
      </c>
      <c r="X81" s="2">
        <f t="shared" si="389"/>
        <v>4.8457142857142861</v>
      </c>
      <c r="Y81" s="2" t="s">
        <v>817</v>
      </c>
      <c r="Z81" s="2" t="str">
        <f>入學要求!AF90</f>
        <v>/</v>
      </c>
      <c r="AA81" s="2" t="str">
        <f>入學要求!AG90</f>
        <v>/</v>
      </c>
      <c r="AB81" s="403" t="s">
        <v>889</v>
      </c>
      <c r="AC81" s="368" t="s">
        <v>2888</v>
      </c>
      <c r="AD81" s="368"/>
      <c r="AE81" s="368" t="s">
        <v>356</v>
      </c>
      <c r="AF81" s="368" t="s">
        <v>356</v>
      </c>
      <c r="AG81" s="368" t="s">
        <v>356</v>
      </c>
      <c r="AH81" s="368" t="s">
        <v>356</v>
      </c>
      <c r="AI81" s="368" t="s">
        <v>356</v>
      </c>
      <c r="AJ81" s="400" t="s">
        <v>1067</v>
      </c>
      <c r="AK81" s="400" t="s">
        <v>1099</v>
      </c>
      <c r="AL81" s="400" t="s">
        <v>1068</v>
      </c>
      <c r="AM81" s="400" t="s">
        <v>1134</v>
      </c>
      <c r="AN81" s="400" t="s">
        <v>1135</v>
      </c>
      <c r="AO81" s="400" t="s">
        <v>356</v>
      </c>
      <c r="AP81" s="400" t="s">
        <v>435</v>
      </c>
      <c r="AQ81" s="400" t="s">
        <v>356</v>
      </c>
      <c r="AR81" s="400"/>
      <c r="AS81" s="2" t="s">
        <v>1069</v>
      </c>
      <c r="AT81" s="2" t="s">
        <v>1070</v>
      </c>
      <c r="AU81" s="2" t="s">
        <v>817</v>
      </c>
      <c r="AY81" s="2">
        <v>1</v>
      </c>
      <c r="AZ81" s="2">
        <v>1</v>
      </c>
      <c r="BA81" s="2">
        <v>1</v>
      </c>
      <c r="BB81" s="2">
        <v>1</v>
      </c>
      <c r="BC81" s="2">
        <v>1</v>
      </c>
      <c r="BD81" s="2">
        <v>1</v>
      </c>
      <c r="BE81" s="2">
        <v>1</v>
      </c>
      <c r="BF81" s="2">
        <v>1</v>
      </c>
      <c r="BH81" s="2">
        <v>3</v>
      </c>
      <c r="BI81" s="2">
        <v>3</v>
      </c>
      <c r="BJ81" s="2">
        <v>3</v>
      </c>
      <c r="BK81" s="2">
        <v>3</v>
      </c>
      <c r="BM81" s="2">
        <v>4</v>
      </c>
      <c r="BN81" s="2">
        <v>4</v>
      </c>
      <c r="BP81" s="206">
        <f t="shared" si="400"/>
        <v>3.00000000004</v>
      </c>
      <c r="BQ81" s="206">
        <f t="shared" si="401"/>
        <v>3.00000000002</v>
      </c>
      <c r="BR81" s="206">
        <f t="shared" si="402"/>
        <v>3.00000000003</v>
      </c>
      <c r="BS81" s="206">
        <f t="shared" si="403"/>
        <v>3.00000000001</v>
      </c>
      <c r="BT81" s="206">
        <f t="shared" si="404"/>
        <v>5.0000000000000002E-11</v>
      </c>
      <c r="BU81" s="206">
        <f t="shared" si="405"/>
        <v>4.00000000006</v>
      </c>
      <c r="BV81" s="206">
        <f t="shared" si="406"/>
        <v>4.00000000007</v>
      </c>
      <c r="BW81" s="206">
        <f t="shared" si="407"/>
        <v>7.9999999999999995E-11</v>
      </c>
      <c r="BX81" s="2">
        <f t="shared" si="355"/>
        <v>3.00000000004</v>
      </c>
      <c r="BY81" s="2">
        <f t="shared" si="356"/>
        <v>3.00000000002</v>
      </c>
      <c r="BZ81" s="2">
        <f t="shared" si="357"/>
        <v>3.00000000003</v>
      </c>
      <c r="CA81" s="2">
        <f t="shared" si="358"/>
        <v>3.00000000001</v>
      </c>
      <c r="CB81" s="2">
        <f t="shared" si="359"/>
        <v>5.0000000000000002E-11</v>
      </c>
      <c r="CC81" s="2">
        <f t="shared" si="360"/>
        <v>4.00000000006</v>
      </c>
      <c r="CD81" s="2">
        <f t="shared" si="361"/>
        <v>4.00000000007</v>
      </c>
      <c r="CE81" s="2">
        <f t="shared" si="362"/>
        <v>7.9999999999999995E-11</v>
      </c>
      <c r="CF81" s="2" t="b">
        <f t="shared" si="363"/>
        <v>1</v>
      </c>
      <c r="CG81" s="2" t="b">
        <f t="shared" si="364"/>
        <v>1</v>
      </c>
      <c r="CH81" s="2" t="b">
        <f t="shared" si="365"/>
        <v>1</v>
      </c>
      <c r="CI81" s="2" t="b">
        <f t="shared" si="366"/>
        <v>1</v>
      </c>
      <c r="CJ81" s="2" t="b">
        <f t="shared" si="408"/>
        <v>0</v>
      </c>
      <c r="CK81" s="2" t="b">
        <f t="shared" si="409"/>
        <v>1</v>
      </c>
      <c r="CL81" s="2" t="b">
        <f t="shared" si="410"/>
        <v>1</v>
      </c>
      <c r="CM81" s="2" t="b">
        <f t="shared" si="411"/>
        <v>0</v>
      </c>
      <c r="CN81" s="2">
        <v>1</v>
      </c>
      <c r="CO81" s="2">
        <v>1</v>
      </c>
      <c r="CP81" s="2">
        <v>1</v>
      </c>
      <c r="CQ81" s="2">
        <v>1</v>
      </c>
      <c r="CR81" s="2">
        <v>1</v>
      </c>
      <c r="CS81" s="2">
        <v>1</v>
      </c>
      <c r="CT81" s="2">
        <v>1</v>
      </c>
      <c r="CU81" s="2">
        <v>1</v>
      </c>
      <c r="CW81" s="2">
        <v>3</v>
      </c>
      <c r="CX81" s="2">
        <v>3</v>
      </c>
      <c r="CY81" s="2">
        <v>4</v>
      </c>
      <c r="CZ81" s="2">
        <v>3</v>
      </c>
      <c r="DB81" s="2">
        <v>4</v>
      </c>
      <c r="DC81" s="2">
        <v>3</v>
      </c>
      <c r="DD81" s="2">
        <v>2</v>
      </c>
      <c r="DE81" s="206">
        <f t="shared" si="390"/>
        <v>3.00000000004</v>
      </c>
      <c r="DF81" s="206">
        <f t="shared" si="391"/>
        <v>3.00000000002</v>
      </c>
      <c r="DG81" s="206">
        <f t="shared" si="392"/>
        <v>4.00000000003</v>
      </c>
      <c r="DH81" s="206">
        <f t="shared" si="393"/>
        <v>3.00000000001</v>
      </c>
      <c r="DI81" s="206">
        <f t="shared" si="394"/>
        <v>5.0000000000000002E-11</v>
      </c>
      <c r="DJ81" s="206">
        <f t="shared" si="395"/>
        <v>4.00000000006</v>
      </c>
      <c r="DK81" s="206">
        <f t="shared" si="396"/>
        <v>3.00000000007</v>
      </c>
      <c r="DL81" s="206">
        <f t="shared" si="397"/>
        <v>2.00000000008</v>
      </c>
      <c r="DM81" s="2">
        <f t="shared" si="374"/>
        <v>3.00000000004</v>
      </c>
      <c r="DN81" s="2">
        <f t="shared" si="375"/>
        <v>3.00000000002</v>
      </c>
      <c r="DO81" s="2">
        <f t="shared" si="376"/>
        <v>4.00000000003</v>
      </c>
      <c r="DP81" s="2">
        <f t="shared" si="377"/>
        <v>3.00000000001</v>
      </c>
      <c r="DQ81" s="2">
        <f t="shared" si="378"/>
        <v>5.0000000000000002E-11</v>
      </c>
      <c r="DR81" s="2">
        <f t="shared" si="379"/>
        <v>4.00000000006</v>
      </c>
      <c r="DS81" s="2">
        <f t="shared" si="380"/>
        <v>3.00000000007</v>
      </c>
      <c r="DT81" s="2">
        <f t="shared" si="381"/>
        <v>2.00000000008</v>
      </c>
      <c r="DU81" s="2" t="b">
        <f t="shared" si="382"/>
        <v>1</v>
      </c>
      <c r="DV81" s="2" t="b">
        <f t="shared" si="383"/>
        <v>1</v>
      </c>
      <c r="DW81" s="2" t="b">
        <f t="shared" si="384"/>
        <v>1</v>
      </c>
      <c r="DX81" s="2" t="b">
        <f t="shared" si="385"/>
        <v>1</v>
      </c>
      <c r="DY81" s="2" t="b">
        <f t="shared" si="412"/>
        <v>0</v>
      </c>
      <c r="DZ81" s="2" t="b">
        <f t="shared" si="412"/>
        <v>1</v>
      </c>
      <c r="EA81" s="2" t="b">
        <f t="shared" si="412"/>
        <v>1</v>
      </c>
      <c r="EB81" s="2" t="b">
        <f t="shared" si="412"/>
        <v>0</v>
      </c>
      <c r="EC81" s="2" t="s">
        <v>435</v>
      </c>
      <c r="ED81" s="2" t="s">
        <v>435</v>
      </c>
      <c r="EE81" s="2" t="s">
        <v>435</v>
      </c>
      <c r="EF81" s="2" t="s">
        <v>435</v>
      </c>
      <c r="EG81" s="2" t="s">
        <v>435</v>
      </c>
      <c r="EH81" s="2" t="s">
        <v>435</v>
      </c>
      <c r="EI81" s="2" t="s">
        <v>435</v>
      </c>
      <c r="EJ81" s="2" t="s">
        <v>435</v>
      </c>
      <c r="EK81" s="2" t="s">
        <v>435</v>
      </c>
      <c r="EL81" s="2" t="s">
        <v>435</v>
      </c>
      <c r="EM81" s="2" t="s">
        <v>435</v>
      </c>
      <c r="EN81" s="2" t="s">
        <v>435</v>
      </c>
      <c r="EO81" s="2" t="s">
        <v>435</v>
      </c>
      <c r="EP81" s="2" t="s">
        <v>435</v>
      </c>
      <c r="EQ81" s="2" t="s">
        <v>435</v>
      </c>
      <c r="ER81" s="2" t="s">
        <v>435</v>
      </c>
      <c r="FA81" s="2" t="s">
        <v>435</v>
      </c>
      <c r="FB81" s="2" t="s">
        <v>435</v>
      </c>
      <c r="FC81" s="2" t="s">
        <v>435</v>
      </c>
      <c r="FD81" s="2" t="s">
        <v>435</v>
      </c>
      <c r="FE81" s="2" t="s">
        <v>435</v>
      </c>
      <c r="FF81" s="2" t="s">
        <v>435</v>
      </c>
      <c r="FG81" s="2" t="s">
        <v>435</v>
      </c>
      <c r="FH81" s="2" t="s">
        <v>435</v>
      </c>
      <c r="FI81" s="2" t="s">
        <v>435</v>
      </c>
      <c r="FJ81" s="2" t="s">
        <v>435</v>
      </c>
      <c r="FK81" s="2" t="s">
        <v>435</v>
      </c>
      <c r="FL81" s="2" t="s">
        <v>435</v>
      </c>
      <c r="FM81" s="2" t="s">
        <v>435</v>
      </c>
      <c r="FN81" s="2" t="s">
        <v>435</v>
      </c>
      <c r="FO81" s="2" t="s">
        <v>435</v>
      </c>
      <c r="FP81" s="2" t="s">
        <v>435</v>
      </c>
    </row>
    <row r="82" spans="1:172">
      <c r="A82" s="2" t="s">
        <v>1136</v>
      </c>
      <c r="B82" s="2" t="s">
        <v>250</v>
      </c>
      <c r="C82" s="2" t="s">
        <v>1137</v>
      </c>
      <c r="D82" s="2" t="s">
        <v>1138</v>
      </c>
      <c r="E82" s="365" t="s">
        <v>815</v>
      </c>
      <c r="F82" s="368"/>
      <c r="G82" s="368"/>
      <c r="H82" s="368">
        <f t="shared" si="387"/>
        <v>27.000000000269999</v>
      </c>
      <c r="I82" s="368">
        <f t="shared" si="388"/>
        <v>27.000000000260002</v>
      </c>
      <c r="J82" s="368"/>
      <c r="K82" s="368"/>
      <c r="L82" s="368"/>
      <c r="M82" s="368" t="s">
        <v>356</v>
      </c>
      <c r="N82" s="368" t="s">
        <v>356</v>
      </c>
      <c r="O82" s="368" t="s">
        <v>872</v>
      </c>
      <c r="P82" s="368" t="s">
        <v>356</v>
      </c>
      <c r="Q82" s="368" t="s">
        <v>356</v>
      </c>
      <c r="R82" s="366" t="s">
        <v>1139</v>
      </c>
      <c r="S82" s="2" t="s">
        <v>817</v>
      </c>
      <c r="T82" s="2">
        <v>135</v>
      </c>
      <c r="U82" s="2" cm="1">
        <f t="array" ref="U82">IFERROR(INDEX('Offer Statistics'!$AI$2:$AI$350,MATCH(1,(A82='Offer Statistics'!$T$2:$T$350)*($A$11='Offer Statistics'!$U$2:$U$350),0)),"/")</f>
        <v>148</v>
      </c>
      <c r="V82" s="2" cm="1">
        <f t="array" ref="V82">IFERROR(INDEX('Offer Statistics'!$V$2:$V$350,MATCH(1,(A82='Offer Statistics'!$T$2:$T$350)*($A$11='Offer Statistics'!$U$2:$U$350),0)),"/")</f>
        <v>879</v>
      </c>
      <c r="W82" s="2" cm="1">
        <f t="array" ref="W82">IFERROR(INDEX('Offer Statistics'!$AD$2:$AD$350,MATCH(1,(A82='Offer Statistics'!$T$2:$T$350)*($A$11='Offer Statistics'!$U$2:$U$350),0)),"/")</f>
        <v>132</v>
      </c>
      <c r="X82" s="2">
        <f t="shared" si="389"/>
        <v>6.6590909090909092</v>
      </c>
      <c r="Y82" s="2" t="s">
        <v>817</v>
      </c>
      <c r="Z82" s="2" t="str">
        <f>入學要求!AF91</f>
        <v>/</v>
      </c>
      <c r="AA82" s="2" t="str">
        <f>入學要求!AG91</f>
        <v>/</v>
      </c>
      <c r="AB82" s="402" t="s">
        <v>889</v>
      </c>
      <c r="AC82" s="368" t="s">
        <v>2888</v>
      </c>
      <c r="AD82" s="368"/>
      <c r="AE82" s="368" t="s">
        <v>356</v>
      </c>
      <c r="AF82" s="368" t="s">
        <v>356</v>
      </c>
      <c r="AG82" s="368" t="s">
        <v>872</v>
      </c>
      <c r="AH82" s="368" t="s">
        <v>356</v>
      </c>
      <c r="AI82" s="368" t="s">
        <v>356</v>
      </c>
      <c r="AJ82" s="400" t="s">
        <v>1067</v>
      </c>
      <c r="AK82" s="400" t="s">
        <v>818</v>
      </c>
      <c r="AL82" s="400" t="s">
        <v>1068</v>
      </c>
      <c r="AM82" s="400" t="s">
        <v>1140</v>
      </c>
      <c r="AN82" s="400" t="s">
        <v>356</v>
      </c>
      <c r="AO82" s="400" t="s">
        <v>356</v>
      </c>
      <c r="AP82" s="400" t="s">
        <v>435</v>
      </c>
      <c r="AQ82" s="400" t="s">
        <v>356</v>
      </c>
      <c r="AR82" s="400"/>
      <c r="AS82" s="2" t="s">
        <v>1069</v>
      </c>
      <c r="AT82" s="2" t="s">
        <v>1070</v>
      </c>
      <c r="AU82" s="2" t="s">
        <v>817</v>
      </c>
      <c r="AY82" s="2">
        <v>1</v>
      </c>
      <c r="AZ82" s="2">
        <v>2</v>
      </c>
      <c r="BA82" s="2">
        <v>1</v>
      </c>
      <c r="BB82" s="2">
        <v>1</v>
      </c>
      <c r="BC82" s="2">
        <v>1</v>
      </c>
      <c r="BD82" s="2">
        <v>1</v>
      </c>
      <c r="BE82" s="2">
        <v>1</v>
      </c>
      <c r="BF82" s="2">
        <v>1</v>
      </c>
      <c r="BH82" s="2">
        <v>4</v>
      </c>
      <c r="BI82" s="2">
        <v>4</v>
      </c>
      <c r="BJ82" s="2">
        <v>4</v>
      </c>
      <c r="BK82" s="2">
        <v>3</v>
      </c>
      <c r="BM82" s="2">
        <v>5</v>
      </c>
      <c r="BN82" s="2">
        <v>3</v>
      </c>
      <c r="BO82" s="2">
        <v>3</v>
      </c>
      <c r="BP82" s="206">
        <f t="shared" si="400"/>
        <v>4.00000000004</v>
      </c>
      <c r="BQ82" s="206">
        <f t="shared" si="401"/>
        <v>4.00000000002</v>
      </c>
      <c r="BR82" s="206">
        <f t="shared" si="402"/>
        <v>4.00000000003</v>
      </c>
      <c r="BS82" s="206">
        <f t="shared" si="403"/>
        <v>3.00000000001</v>
      </c>
      <c r="BT82" s="206">
        <f t="shared" si="404"/>
        <v>5.0000000000000002E-11</v>
      </c>
      <c r="BU82" s="206">
        <f t="shared" si="405"/>
        <v>5.00000000006</v>
      </c>
      <c r="BV82" s="206">
        <f t="shared" si="406"/>
        <v>3.00000000007</v>
      </c>
      <c r="BW82" s="206">
        <f t="shared" si="407"/>
        <v>3.00000000008</v>
      </c>
      <c r="BX82" s="2">
        <f t="shared" si="355"/>
        <v>4.00000000004</v>
      </c>
      <c r="BY82" s="2">
        <f t="shared" si="356"/>
        <v>8.00000000004</v>
      </c>
      <c r="BZ82" s="2">
        <f t="shared" si="357"/>
        <v>4.00000000003</v>
      </c>
      <c r="CA82" s="2">
        <f t="shared" si="358"/>
        <v>3.00000000001</v>
      </c>
      <c r="CB82" s="2">
        <f t="shared" si="359"/>
        <v>5.0000000000000002E-11</v>
      </c>
      <c r="CC82" s="2">
        <f t="shared" si="360"/>
        <v>5.00000000006</v>
      </c>
      <c r="CD82" s="2">
        <f t="shared" si="361"/>
        <v>3.00000000007</v>
      </c>
      <c r="CE82" s="2">
        <f t="shared" si="362"/>
        <v>3.00000000008</v>
      </c>
      <c r="CF82" s="373" t="b">
        <f t="shared" si="363"/>
        <v>1</v>
      </c>
      <c r="CG82" s="373" t="b">
        <f t="shared" si="364"/>
        <v>1</v>
      </c>
      <c r="CH82" s="373" t="b">
        <f t="shared" si="365"/>
        <v>1</v>
      </c>
      <c r="CI82" s="373" t="b">
        <f t="shared" si="366"/>
        <v>1</v>
      </c>
      <c r="CJ82" s="373" t="b">
        <f t="shared" si="408"/>
        <v>0</v>
      </c>
      <c r="CK82" s="373" t="b">
        <f t="shared" si="409"/>
        <v>1</v>
      </c>
      <c r="CL82" s="373" t="b">
        <f t="shared" si="410"/>
        <v>0</v>
      </c>
      <c r="CM82" s="373" t="b">
        <f t="shared" si="411"/>
        <v>1</v>
      </c>
      <c r="CN82" s="2">
        <v>1</v>
      </c>
      <c r="CO82" s="2">
        <v>2</v>
      </c>
      <c r="CP82" s="2">
        <v>1</v>
      </c>
      <c r="CQ82" s="2">
        <v>1</v>
      </c>
      <c r="CR82" s="2">
        <v>1</v>
      </c>
      <c r="CS82" s="2">
        <v>1</v>
      </c>
      <c r="CT82" s="2">
        <v>1</v>
      </c>
      <c r="CU82" s="2">
        <v>1</v>
      </c>
      <c r="CW82" s="2">
        <v>4</v>
      </c>
      <c r="CX82" s="2">
        <v>4</v>
      </c>
      <c r="CY82" s="2">
        <v>4</v>
      </c>
      <c r="CZ82" s="2">
        <v>3</v>
      </c>
      <c r="DB82" s="2">
        <v>4</v>
      </c>
      <c r="DC82" s="2">
        <v>4</v>
      </c>
      <c r="DD82" s="2">
        <v>4</v>
      </c>
      <c r="DE82" s="206">
        <f t="shared" si="390"/>
        <v>4.00000000004</v>
      </c>
      <c r="DF82" s="206">
        <f t="shared" si="391"/>
        <v>4.00000000002</v>
      </c>
      <c r="DG82" s="206">
        <f t="shared" si="392"/>
        <v>4.00000000003</v>
      </c>
      <c r="DH82" s="206">
        <f t="shared" si="393"/>
        <v>3.00000000001</v>
      </c>
      <c r="DI82" s="206">
        <f t="shared" si="394"/>
        <v>5.0000000000000002E-11</v>
      </c>
      <c r="DJ82" s="206">
        <f t="shared" si="395"/>
        <v>4.00000000006</v>
      </c>
      <c r="DK82" s="206">
        <f t="shared" si="396"/>
        <v>4.00000000007</v>
      </c>
      <c r="DL82" s="206">
        <f t="shared" si="397"/>
        <v>4.00000000008</v>
      </c>
      <c r="DM82" s="2">
        <f t="shared" si="374"/>
        <v>4.00000000004</v>
      </c>
      <c r="DN82" s="2">
        <f t="shared" si="375"/>
        <v>8.00000000004</v>
      </c>
      <c r="DO82" s="2">
        <f t="shared" si="376"/>
        <v>4.00000000003</v>
      </c>
      <c r="DP82" s="2">
        <f t="shared" si="377"/>
        <v>3.00000000001</v>
      </c>
      <c r="DQ82" s="2">
        <f t="shared" si="378"/>
        <v>5.0000000000000002E-11</v>
      </c>
      <c r="DR82" s="2">
        <f t="shared" si="379"/>
        <v>4.00000000006</v>
      </c>
      <c r="DS82" s="2">
        <f t="shared" si="380"/>
        <v>4.00000000007</v>
      </c>
      <c r="DT82" s="2">
        <f t="shared" si="381"/>
        <v>4.00000000008</v>
      </c>
      <c r="DU82" s="373" t="b">
        <f t="shared" si="382"/>
        <v>1</v>
      </c>
      <c r="DV82" s="373" t="b">
        <f t="shared" si="383"/>
        <v>1</v>
      </c>
      <c r="DW82" s="373" t="b">
        <f t="shared" si="384"/>
        <v>1</v>
      </c>
      <c r="DX82" s="373" t="b">
        <f t="shared" si="385"/>
        <v>1</v>
      </c>
      <c r="DY82" s="373" t="b">
        <f t="shared" si="412"/>
        <v>0</v>
      </c>
      <c r="DZ82" s="373" t="b">
        <f t="shared" si="412"/>
        <v>0</v>
      </c>
      <c r="EA82" s="373" t="b">
        <f t="shared" si="412"/>
        <v>1</v>
      </c>
      <c r="EB82" s="373" t="b">
        <f t="shared" si="412"/>
        <v>1</v>
      </c>
      <c r="EC82" s="2" t="s">
        <v>435</v>
      </c>
      <c r="ED82" s="2" t="s">
        <v>435</v>
      </c>
      <c r="EE82" s="2" t="s">
        <v>435</v>
      </c>
      <c r="EF82" s="2" t="s">
        <v>435</v>
      </c>
      <c r="EG82" s="2" t="s">
        <v>435</v>
      </c>
      <c r="EH82" s="2" t="s">
        <v>435</v>
      </c>
      <c r="EI82" s="2" t="s">
        <v>435</v>
      </c>
      <c r="EJ82" s="2" t="s">
        <v>435</v>
      </c>
      <c r="EK82" s="2" t="s">
        <v>435</v>
      </c>
      <c r="EL82" s="2" t="s">
        <v>435</v>
      </c>
      <c r="EM82" s="2" t="s">
        <v>435</v>
      </c>
      <c r="EN82" s="2" t="s">
        <v>435</v>
      </c>
      <c r="EO82" s="2" t="s">
        <v>435</v>
      </c>
      <c r="EP82" s="2" t="s">
        <v>435</v>
      </c>
      <c r="EQ82" s="2" t="s">
        <v>435</v>
      </c>
      <c r="ER82" s="2" t="s">
        <v>435</v>
      </c>
      <c r="FA82" s="2" t="s">
        <v>435</v>
      </c>
      <c r="FB82" s="2" t="s">
        <v>435</v>
      </c>
      <c r="FC82" s="2" t="s">
        <v>435</v>
      </c>
      <c r="FD82" s="2" t="s">
        <v>435</v>
      </c>
      <c r="FE82" s="2" t="s">
        <v>435</v>
      </c>
      <c r="FF82" s="2" t="s">
        <v>435</v>
      </c>
      <c r="FG82" s="2" t="s">
        <v>435</v>
      </c>
      <c r="FH82" s="2" t="s">
        <v>435</v>
      </c>
      <c r="FI82" s="2" t="s">
        <v>435</v>
      </c>
      <c r="FJ82" s="2" t="s">
        <v>435</v>
      </c>
      <c r="FK82" s="2" t="s">
        <v>435</v>
      </c>
      <c r="FL82" s="2" t="s">
        <v>435</v>
      </c>
      <c r="FM82" s="2" t="s">
        <v>435</v>
      </c>
      <c r="FN82" s="2" t="s">
        <v>435</v>
      </c>
      <c r="FO82" s="2" t="s">
        <v>435</v>
      </c>
      <c r="FP82" s="2" t="s">
        <v>435</v>
      </c>
    </row>
    <row r="83" spans="1:172">
      <c r="A83" s="2" t="s">
        <v>1141</v>
      </c>
      <c r="B83" s="2" t="s">
        <v>250</v>
      </c>
      <c r="C83" s="2" t="s">
        <v>1137</v>
      </c>
      <c r="D83" s="2" t="s">
        <v>1142</v>
      </c>
      <c r="E83" s="365" t="s">
        <v>815</v>
      </c>
      <c r="F83" s="368"/>
      <c r="G83" s="368"/>
      <c r="H83" s="368">
        <f t="shared" si="387"/>
        <v>25.00000000024</v>
      </c>
      <c r="I83" s="368">
        <f t="shared" si="388"/>
        <v>24.000000000250001</v>
      </c>
      <c r="J83" s="368"/>
      <c r="K83" s="368"/>
      <c r="L83" s="368"/>
      <c r="M83" s="368" t="s">
        <v>356</v>
      </c>
      <c r="N83" s="368" t="s">
        <v>356</v>
      </c>
      <c r="O83" s="368" t="s">
        <v>356</v>
      </c>
      <c r="P83" s="368" t="s">
        <v>356</v>
      </c>
      <c r="Q83" s="368" t="s">
        <v>356</v>
      </c>
      <c r="R83" s="366" t="s">
        <v>1143</v>
      </c>
      <c r="S83" s="2" t="s">
        <v>817</v>
      </c>
      <c r="T83" s="2">
        <v>22</v>
      </c>
      <c r="U83" s="2" cm="1">
        <f t="array" ref="U83">IFERROR(INDEX('Offer Statistics'!$AI$2:$AI$350,MATCH(1,(A83='Offer Statistics'!$T$2:$T$350)*($A$11='Offer Statistics'!$U$2:$U$350),0)),"/")</f>
        <v>22</v>
      </c>
      <c r="V83" s="2" cm="1">
        <f t="array" ref="V83">IFERROR(INDEX('Offer Statistics'!$V$2:$V$350,MATCH(1,(A83='Offer Statistics'!$T$2:$T$350)*($A$11='Offer Statistics'!$U$2:$U$350),0)),"/")</f>
        <v>516</v>
      </c>
      <c r="W83" s="2" cm="1">
        <f t="array" ref="W83">IFERROR(INDEX('Offer Statistics'!$AD$2:$AD$350,MATCH(1,(A83='Offer Statistics'!$T$2:$T$350)*($A$11='Offer Statistics'!$U$2:$U$350),0)),"/")</f>
        <v>21</v>
      </c>
      <c r="X83" s="2">
        <f t="shared" si="389"/>
        <v>24.571428571428573</v>
      </c>
      <c r="Y83" s="2" t="s">
        <v>817</v>
      </c>
      <c r="Z83" s="2" t="str">
        <f>入學要求!AF92</f>
        <v>/</v>
      </c>
      <c r="AA83" s="2" t="str">
        <f>入學要求!AG92</f>
        <v>/</v>
      </c>
      <c r="AB83" s="403" t="s">
        <v>889</v>
      </c>
      <c r="AC83" s="368" t="s">
        <v>2888</v>
      </c>
      <c r="AD83" s="368"/>
      <c r="AE83" s="368" t="s">
        <v>356</v>
      </c>
      <c r="AF83" s="368" t="s">
        <v>356</v>
      </c>
      <c r="AG83" s="368" t="s">
        <v>356</v>
      </c>
      <c r="AH83" s="368" t="s">
        <v>356</v>
      </c>
      <c r="AI83" s="368" t="s">
        <v>356</v>
      </c>
      <c r="AJ83" s="400" t="s">
        <v>1067</v>
      </c>
      <c r="AK83" s="400" t="s">
        <v>1099</v>
      </c>
      <c r="AL83" s="400" t="s">
        <v>1068</v>
      </c>
      <c r="AM83" s="400" t="s">
        <v>356</v>
      </c>
      <c r="AN83" s="400" t="s">
        <v>356</v>
      </c>
      <c r="AO83" s="400" t="s">
        <v>356</v>
      </c>
      <c r="AP83" s="400" t="s">
        <v>435</v>
      </c>
      <c r="AQ83" s="400" t="s">
        <v>356</v>
      </c>
      <c r="AR83" s="400"/>
      <c r="AS83" s="2" t="s">
        <v>1069</v>
      </c>
      <c r="AT83" s="2" t="s">
        <v>1070</v>
      </c>
      <c r="AU83" s="2" t="s">
        <v>817</v>
      </c>
      <c r="AY83" s="2">
        <v>1</v>
      </c>
      <c r="AZ83" s="2">
        <v>1</v>
      </c>
      <c r="BA83" s="2">
        <v>1</v>
      </c>
      <c r="BB83" s="2">
        <v>1</v>
      </c>
      <c r="BC83" s="2">
        <v>1</v>
      </c>
      <c r="BD83" s="2">
        <v>1</v>
      </c>
      <c r="BE83" s="2">
        <v>1</v>
      </c>
      <c r="BF83" s="2">
        <v>1</v>
      </c>
      <c r="BH83" s="2">
        <v>3</v>
      </c>
      <c r="BI83" s="2">
        <v>4</v>
      </c>
      <c r="BJ83" s="2">
        <v>5</v>
      </c>
      <c r="BK83" s="2">
        <v>4</v>
      </c>
      <c r="BL83" s="2">
        <v>2</v>
      </c>
      <c r="BM83" s="2">
        <v>4</v>
      </c>
      <c r="BN83" s="2">
        <v>4</v>
      </c>
      <c r="BO83" s="2">
        <v>4</v>
      </c>
      <c r="BP83" s="206">
        <f t="shared" si="400"/>
        <v>3.00000000004</v>
      </c>
      <c r="BQ83" s="206">
        <f t="shared" si="401"/>
        <v>4.00000000002</v>
      </c>
      <c r="BR83" s="206">
        <f t="shared" si="402"/>
        <v>5.00000000003</v>
      </c>
      <c r="BS83" s="206">
        <f t="shared" si="403"/>
        <v>4.00000000001</v>
      </c>
      <c r="BT83" s="206">
        <f t="shared" si="404"/>
        <v>2.00000000005</v>
      </c>
      <c r="BU83" s="206">
        <f t="shared" si="405"/>
        <v>4.00000000006</v>
      </c>
      <c r="BV83" s="206">
        <f t="shared" si="406"/>
        <v>4.00000000007</v>
      </c>
      <c r="BW83" s="206">
        <f t="shared" si="407"/>
        <v>4.00000000008</v>
      </c>
      <c r="BX83" s="2">
        <f t="shared" si="355"/>
        <v>3.00000000004</v>
      </c>
      <c r="BY83" s="2">
        <f t="shared" si="356"/>
        <v>4.00000000002</v>
      </c>
      <c r="BZ83" s="2">
        <f t="shared" si="357"/>
        <v>5.00000000003</v>
      </c>
      <c r="CA83" s="2">
        <f t="shared" si="358"/>
        <v>4.00000000001</v>
      </c>
      <c r="CB83" s="2">
        <f t="shared" si="359"/>
        <v>2.00000000005</v>
      </c>
      <c r="CC83" s="2">
        <f t="shared" si="360"/>
        <v>4.00000000006</v>
      </c>
      <c r="CD83" s="2">
        <f t="shared" si="361"/>
        <v>4.00000000007</v>
      </c>
      <c r="CE83" s="2">
        <f t="shared" si="362"/>
        <v>4.00000000008</v>
      </c>
      <c r="CF83" s="373" t="b">
        <f t="shared" si="363"/>
        <v>1</v>
      </c>
      <c r="CG83" s="373" t="b">
        <f t="shared" si="364"/>
        <v>1</v>
      </c>
      <c r="CH83" s="373" t="b">
        <f t="shared" si="365"/>
        <v>1</v>
      </c>
      <c r="CI83" s="373" t="b">
        <f t="shared" si="366"/>
        <v>1</v>
      </c>
      <c r="CJ83" s="373" t="b">
        <f t="shared" si="408"/>
        <v>0</v>
      </c>
      <c r="CK83" s="373" t="b">
        <f t="shared" si="409"/>
        <v>0</v>
      </c>
      <c r="CL83" s="373" t="b">
        <f t="shared" si="410"/>
        <v>1</v>
      </c>
      <c r="CM83" s="373" t="b">
        <f t="shared" si="411"/>
        <v>1</v>
      </c>
      <c r="CN83" s="2">
        <v>1</v>
      </c>
      <c r="CO83" s="2">
        <v>1</v>
      </c>
      <c r="CP83" s="2">
        <v>1</v>
      </c>
      <c r="CQ83" s="2">
        <v>1</v>
      </c>
      <c r="CR83" s="2">
        <v>1</v>
      </c>
      <c r="CS83" s="2">
        <v>1</v>
      </c>
      <c r="CT83" s="2">
        <v>1</v>
      </c>
      <c r="CU83" s="2">
        <v>1</v>
      </c>
      <c r="CW83" s="2">
        <v>3</v>
      </c>
      <c r="CX83" s="2">
        <v>4</v>
      </c>
      <c r="CY83" s="2">
        <v>4</v>
      </c>
      <c r="CZ83" s="2">
        <v>5</v>
      </c>
      <c r="DB83" s="2">
        <v>5</v>
      </c>
      <c r="DC83" s="2">
        <v>4</v>
      </c>
      <c r="DD83" s="2">
        <v>4</v>
      </c>
      <c r="DE83" s="206">
        <f t="shared" si="390"/>
        <v>3.00000000004</v>
      </c>
      <c r="DF83" s="206">
        <f t="shared" si="391"/>
        <v>4.00000000002</v>
      </c>
      <c r="DG83" s="206">
        <f t="shared" si="392"/>
        <v>4.00000000003</v>
      </c>
      <c r="DH83" s="206">
        <f t="shared" si="393"/>
        <v>5.00000000001</v>
      </c>
      <c r="DI83" s="206">
        <f t="shared" si="394"/>
        <v>5.0000000000000002E-11</v>
      </c>
      <c r="DJ83" s="206">
        <f t="shared" si="395"/>
        <v>5.00000000006</v>
      </c>
      <c r="DK83" s="206">
        <f t="shared" si="396"/>
        <v>4.00000000007</v>
      </c>
      <c r="DL83" s="206">
        <f t="shared" si="397"/>
        <v>4.00000000008</v>
      </c>
      <c r="DM83" s="2">
        <f t="shared" si="374"/>
        <v>3.00000000004</v>
      </c>
      <c r="DN83" s="2">
        <f t="shared" si="375"/>
        <v>4.00000000002</v>
      </c>
      <c r="DO83" s="2">
        <f t="shared" si="376"/>
        <v>4.00000000003</v>
      </c>
      <c r="DP83" s="2">
        <f t="shared" si="377"/>
        <v>5.00000000001</v>
      </c>
      <c r="DQ83" s="2">
        <f t="shared" si="378"/>
        <v>5.0000000000000002E-11</v>
      </c>
      <c r="DR83" s="2">
        <f t="shared" si="379"/>
        <v>5.00000000006</v>
      </c>
      <c r="DS83" s="2">
        <f t="shared" si="380"/>
        <v>4.00000000007</v>
      </c>
      <c r="DT83" s="2">
        <f t="shared" si="381"/>
        <v>4.00000000008</v>
      </c>
      <c r="DU83" s="373" t="b">
        <f t="shared" si="382"/>
        <v>1</v>
      </c>
      <c r="DV83" s="373" t="b">
        <f t="shared" si="383"/>
        <v>1</v>
      </c>
      <c r="DW83" s="373" t="b">
        <f t="shared" si="384"/>
        <v>1</v>
      </c>
      <c r="DX83" s="373" t="b">
        <f t="shared" si="385"/>
        <v>1</v>
      </c>
      <c r="DY83" s="373" t="b">
        <f t="shared" si="412"/>
        <v>0</v>
      </c>
      <c r="DZ83" s="373" t="b">
        <f t="shared" si="412"/>
        <v>1</v>
      </c>
      <c r="EA83" s="373" t="b">
        <f t="shared" si="412"/>
        <v>0</v>
      </c>
      <c r="EB83" s="373" t="b">
        <f t="shared" si="412"/>
        <v>1</v>
      </c>
      <c r="EC83" s="2" t="s">
        <v>435</v>
      </c>
      <c r="ED83" s="2" t="s">
        <v>435</v>
      </c>
      <c r="EE83" s="2" t="s">
        <v>435</v>
      </c>
      <c r="EF83" s="2" t="s">
        <v>435</v>
      </c>
      <c r="EG83" s="2" t="s">
        <v>435</v>
      </c>
      <c r="EH83" s="2" t="s">
        <v>435</v>
      </c>
      <c r="EI83" s="2" t="s">
        <v>435</v>
      </c>
      <c r="EJ83" s="2" t="s">
        <v>435</v>
      </c>
      <c r="EK83" s="2" t="s">
        <v>435</v>
      </c>
      <c r="EL83" s="2" t="s">
        <v>435</v>
      </c>
      <c r="EM83" s="2" t="s">
        <v>435</v>
      </c>
      <c r="EN83" s="2" t="s">
        <v>435</v>
      </c>
      <c r="EO83" s="2" t="s">
        <v>435</v>
      </c>
      <c r="EP83" s="2" t="s">
        <v>435</v>
      </c>
      <c r="EQ83" s="2" t="s">
        <v>435</v>
      </c>
      <c r="ER83" s="2" t="s">
        <v>435</v>
      </c>
      <c r="FA83" s="2" t="s">
        <v>435</v>
      </c>
      <c r="FB83" s="2" t="s">
        <v>435</v>
      </c>
      <c r="FC83" s="2" t="s">
        <v>435</v>
      </c>
      <c r="FD83" s="2" t="s">
        <v>435</v>
      </c>
      <c r="FE83" s="2" t="s">
        <v>435</v>
      </c>
      <c r="FF83" s="2" t="s">
        <v>435</v>
      </c>
      <c r="FG83" s="2" t="s">
        <v>435</v>
      </c>
      <c r="FH83" s="2" t="s">
        <v>435</v>
      </c>
      <c r="FI83" s="2" t="s">
        <v>435</v>
      </c>
      <c r="FJ83" s="2" t="s">
        <v>435</v>
      </c>
      <c r="FK83" s="2" t="s">
        <v>435</v>
      </c>
      <c r="FL83" s="2" t="s">
        <v>435</v>
      </c>
      <c r="FM83" s="2" t="s">
        <v>435</v>
      </c>
      <c r="FN83" s="2" t="s">
        <v>435</v>
      </c>
      <c r="FO83" s="2" t="s">
        <v>435</v>
      </c>
      <c r="FP83" s="2" t="s">
        <v>435</v>
      </c>
    </row>
    <row r="84" spans="1:172" s="373" customFormat="1">
      <c r="A84" s="373" t="s">
        <v>1144</v>
      </c>
      <c r="B84" s="373" t="s">
        <v>250</v>
      </c>
      <c r="C84" s="373" t="s">
        <v>1137</v>
      </c>
      <c r="D84" s="373" t="s">
        <v>1145</v>
      </c>
      <c r="E84" s="373" t="s">
        <v>815</v>
      </c>
      <c r="F84" s="368"/>
      <c r="G84" s="368"/>
      <c r="H84" s="368">
        <f t="shared" si="387"/>
        <v>31.000000000254996</v>
      </c>
      <c r="I84" s="368">
        <f t="shared" si="388"/>
        <v>31.000000000254996</v>
      </c>
      <c r="J84" s="368"/>
      <c r="K84" s="368"/>
      <c r="L84" s="368"/>
      <c r="M84" s="368" t="s">
        <v>356</v>
      </c>
      <c r="N84" s="368" t="s">
        <v>356</v>
      </c>
      <c r="O84" s="368" t="s">
        <v>872</v>
      </c>
      <c r="P84" s="368" t="s">
        <v>1146</v>
      </c>
      <c r="Q84" s="368" t="s">
        <v>356</v>
      </c>
      <c r="R84" s="373" t="s">
        <v>1147</v>
      </c>
      <c r="S84" s="373" t="s">
        <v>817</v>
      </c>
      <c r="T84" s="373">
        <v>30</v>
      </c>
      <c r="U84" s="373" cm="1">
        <f t="array" ref="U84">IFERROR(INDEX('Offer Statistics'!$AI$2:$AI$350,MATCH(1,(A84='Offer Statistics'!$T$2:$T$350)*($A$11='Offer Statistics'!$U$2:$U$350),0)),"/")</f>
        <v>31</v>
      </c>
      <c r="V84" s="373" cm="1">
        <f t="array" ref="V84">IFERROR(INDEX('Offer Statistics'!$V$2:$V$350,MATCH(1,(A84='Offer Statistics'!$T$2:$T$350)*($A$11='Offer Statistics'!$U$2:$U$350),0)),"/")</f>
        <v>697</v>
      </c>
      <c r="W84" s="373" cm="1">
        <f t="array" ref="W84">IFERROR(INDEX('Offer Statistics'!$AD$2:$AD$350,MATCH(1,(A84='Offer Statistics'!$T$2:$T$350)*($A$11='Offer Statistics'!$U$2:$U$350),0)),"/")</f>
        <v>26</v>
      </c>
      <c r="X84" s="373">
        <f t="shared" si="389"/>
        <v>26.807692307692307</v>
      </c>
      <c r="Y84" s="373" t="s">
        <v>817</v>
      </c>
      <c r="Z84" s="373" t="str">
        <f>入學要求!AF93</f>
        <v>/</v>
      </c>
      <c r="AA84" s="373" t="str">
        <f>入學要求!AG93</f>
        <v>/</v>
      </c>
      <c r="AB84" s="374" t="s">
        <v>889</v>
      </c>
      <c r="AC84" s="373" t="s">
        <v>2888</v>
      </c>
      <c r="AD84" s="373" t="s">
        <v>2855</v>
      </c>
      <c r="AE84" s="373" t="s">
        <v>356</v>
      </c>
      <c r="AF84" s="373" t="s">
        <v>356</v>
      </c>
      <c r="AG84" s="374" t="s">
        <v>872</v>
      </c>
      <c r="AH84" s="374" t="s">
        <v>2893</v>
      </c>
      <c r="AI84" s="373" t="s">
        <v>356</v>
      </c>
      <c r="AJ84" s="373" t="s">
        <v>1067</v>
      </c>
      <c r="AK84" s="373" t="s">
        <v>1099</v>
      </c>
      <c r="AL84" s="373" t="s">
        <v>1068</v>
      </c>
      <c r="AM84" s="373" t="s">
        <v>356</v>
      </c>
      <c r="AN84" s="373" t="s">
        <v>356</v>
      </c>
      <c r="AO84" s="373" t="s">
        <v>356</v>
      </c>
      <c r="AP84" s="373" t="s">
        <v>435</v>
      </c>
      <c r="AQ84" s="373" t="s">
        <v>356</v>
      </c>
      <c r="AS84" s="373" t="s">
        <v>1069</v>
      </c>
      <c r="AT84" s="373" t="s">
        <v>1070</v>
      </c>
      <c r="AU84" s="373" t="s">
        <v>817</v>
      </c>
      <c r="AY84" s="373">
        <v>1</v>
      </c>
      <c r="AZ84" s="373">
        <v>2</v>
      </c>
      <c r="BA84" s="373">
        <v>1</v>
      </c>
      <c r="BB84" s="373">
        <v>1.5</v>
      </c>
      <c r="BC84" s="373">
        <v>1</v>
      </c>
      <c r="BD84" s="373">
        <v>1</v>
      </c>
      <c r="BE84" s="373">
        <v>1</v>
      </c>
      <c r="BF84" s="373">
        <v>1</v>
      </c>
      <c r="BH84" s="373">
        <v>4</v>
      </c>
      <c r="BI84" s="373">
        <v>5</v>
      </c>
      <c r="BJ84" s="373">
        <v>4</v>
      </c>
      <c r="BK84" s="373">
        <v>4</v>
      </c>
      <c r="BM84" s="373">
        <v>4</v>
      </c>
      <c r="BN84" s="373">
        <v>3</v>
      </c>
      <c r="BP84" s="206">
        <f t="shared" si="400"/>
        <v>4.00000000004</v>
      </c>
      <c r="BQ84" s="206">
        <f t="shared" si="401"/>
        <v>5.00000000002</v>
      </c>
      <c r="BR84" s="206">
        <f t="shared" si="402"/>
        <v>4.00000000003</v>
      </c>
      <c r="BS84" s="206">
        <f t="shared" si="403"/>
        <v>4.00000000001</v>
      </c>
      <c r="BT84" s="206">
        <f t="shared" si="404"/>
        <v>5.0000000000000002E-11</v>
      </c>
      <c r="BU84" s="206">
        <f t="shared" si="405"/>
        <v>4.00000000006</v>
      </c>
      <c r="BV84" s="206">
        <f t="shared" si="406"/>
        <v>3.00000000007</v>
      </c>
      <c r="BW84" s="206">
        <f t="shared" si="407"/>
        <v>7.9999999999999995E-11</v>
      </c>
      <c r="BX84" s="373">
        <f t="shared" si="355"/>
        <v>4.00000000004</v>
      </c>
      <c r="BY84" s="373">
        <f t="shared" si="356"/>
        <v>10.00000000004</v>
      </c>
      <c r="BZ84" s="373">
        <f t="shared" si="357"/>
        <v>4.00000000003</v>
      </c>
      <c r="CA84" s="373">
        <f t="shared" si="358"/>
        <v>6.0000000000149996</v>
      </c>
      <c r="CB84" s="373">
        <f t="shared" si="359"/>
        <v>5.0000000000000002E-11</v>
      </c>
      <c r="CC84" s="373">
        <f t="shared" si="360"/>
        <v>4.00000000006</v>
      </c>
      <c r="CD84" s="373">
        <f t="shared" si="361"/>
        <v>3.00000000007</v>
      </c>
      <c r="CE84" s="373">
        <f t="shared" si="362"/>
        <v>7.9999999999999995E-11</v>
      </c>
      <c r="CF84" s="373" t="b">
        <f t="shared" si="363"/>
        <v>1</v>
      </c>
      <c r="CG84" s="373" t="b">
        <f t="shared" si="364"/>
        <v>1</v>
      </c>
      <c r="CH84" s="373" t="b">
        <f t="shared" si="365"/>
        <v>1</v>
      </c>
      <c r="CI84" s="373" t="b">
        <f t="shared" si="366"/>
        <v>1</v>
      </c>
      <c r="CJ84" s="373" t="b">
        <f t="shared" si="408"/>
        <v>0</v>
      </c>
      <c r="CK84" s="373" t="b">
        <f t="shared" si="409"/>
        <v>1</v>
      </c>
      <c r="CL84" s="373" t="b">
        <f t="shared" si="410"/>
        <v>1</v>
      </c>
      <c r="CM84" s="373" t="b">
        <f t="shared" si="411"/>
        <v>0</v>
      </c>
      <c r="CN84" s="373">
        <v>1</v>
      </c>
      <c r="CO84" s="373">
        <v>2</v>
      </c>
      <c r="CP84" s="373">
        <v>1</v>
      </c>
      <c r="CQ84" s="373">
        <v>1.5</v>
      </c>
      <c r="CR84" s="373">
        <v>1</v>
      </c>
      <c r="CS84" s="373">
        <v>1</v>
      </c>
      <c r="CT84" s="373">
        <v>1</v>
      </c>
      <c r="CU84" s="373">
        <v>1</v>
      </c>
      <c r="CW84" s="373">
        <v>5</v>
      </c>
      <c r="CX84" s="373">
        <v>4</v>
      </c>
      <c r="CY84" s="373">
        <v>4</v>
      </c>
      <c r="CZ84" s="373">
        <v>4</v>
      </c>
      <c r="DB84" s="373">
        <v>4</v>
      </c>
      <c r="DC84" s="373">
        <v>4</v>
      </c>
      <c r="DE84" s="206">
        <f t="shared" si="390"/>
        <v>5.00000000004</v>
      </c>
      <c r="DF84" s="206">
        <f t="shared" si="391"/>
        <v>4.00000000002</v>
      </c>
      <c r="DG84" s="206">
        <f t="shared" si="392"/>
        <v>4.00000000003</v>
      </c>
      <c r="DH84" s="206">
        <f t="shared" si="393"/>
        <v>4.00000000001</v>
      </c>
      <c r="DI84" s="206">
        <f t="shared" si="394"/>
        <v>5.0000000000000002E-11</v>
      </c>
      <c r="DJ84" s="206">
        <f t="shared" si="395"/>
        <v>4.00000000006</v>
      </c>
      <c r="DK84" s="206">
        <f t="shared" si="396"/>
        <v>4.00000000007</v>
      </c>
      <c r="DL84" s="206">
        <f t="shared" si="397"/>
        <v>7.9999999999999995E-11</v>
      </c>
      <c r="DM84" s="373">
        <f t="shared" si="374"/>
        <v>5.00000000004</v>
      </c>
      <c r="DN84" s="373">
        <f t="shared" si="375"/>
        <v>8.00000000004</v>
      </c>
      <c r="DO84" s="373">
        <f t="shared" si="376"/>
        <v>4.00000000003</v>
      </c>
      <c r="DP84" s="373">
        <f t="shared" si="377"/>
        <v>6.0000000000149996</v>
      </c>
      <c r="DQ84" s="373">
        <f t="shared" si="378"/>
        <v>5.0000000000000002E-11</v>
      </c>
      <c r="DR84" s="373">
        <f t="shared" si="379"/>
        <v>4.00000000006</v>
      </c>
      <c r="DS84" s="373">
        <f t="shared" si="380"/>
        <v>4.00000000007</v>
      </c>
      <c r="DT84" s="373">
        <f t="shared" si="381"/>
        <v>7.9999999999999995E-11</v>
      </c>
      <c r="DU84" s="373" t="b">
        <f t="shared" si="382"/>
        <v>1</v>
      </c>
      <c r="DV84" s="373" t="b">
        <f t="shared" si="383"/>
        <v>1</v>
      </c>
      <c r="DW84" s="373" t="b">
        <f t="shared" si="384"/>
        <v>1</v>
      </c>
      <c r="DX84" s="373" t="b">
        <f t="shared" si="385"/>
        <v>1</v>
      </c>
      <c r="DY84" s="373" t="b">
        <f t="shared" si="412"/>
        <v>0</v>
      </c>
      <c r="DZ84" s="373" t="b">
        <f t="shared" si="412"/>
        <v>1</v>
      </c>
      <c r="EA84" s="373" t="b">
        <f t="shared" si="412"/>
        <v>1</v>
      </c>
      <c r="EB84" s="373" t="b">
        <f t="shared" si="412"/>
        <v>0</v>
      </c>
      <c r="EC84" s="373" t="s">
        <v>435</v>
      </c>
      <c r="ED84" s="373" t="s">
        <v>435</v>
      </c>
      <c r="EE84" s="373" t="s">
        <v>435</v>
      </c>
      <c r="EF84" s="373" t="s">
        <v>435</v>
      </c>
      <c r="EG84" s="373" t="s">
        <v>435</v>
      </c>
      <c r="EH84" s="373" t="s">
        <v>435</v>
      </c>
      <c r="EI84" s="373" t="s">
        <v>435</v>
      </c>
      <c r="EJ84" s="373" t="s">
        <v>435</v>
      </c>
      <c r="EK84" s="373" t="s">
        <v>435</v>
      </c>
      <c r="EL84" s="373" t="s">
        <v>435</v>
      </c>
      <c r="EM84" s="373" t="s">
        <v>435</v>
      </c>
      <c r="EN84" s="373" t="s">
        <v>435</v>
      </c>
      <c r="EO84" s="373" t="s">
        <v>435</v>
      </c>
      <c r="EP84" s="373" t="s">
        <v>435</v>
      </c>
      <c r="EQ84" s="373" t="s">
        <v>435</v>
      </c>
      <c r="ER84" s="373" t="s">
        <v>435</v>
      </c>
      <c r="FA84" s="373" t="s">
        <v>435</v>
      </c>
      <c r="FB84" s="373" t="s">
        <v>435</v>
      </c>
      <c r="FC84" s="373" t="s">
        <v>435</v>
      </c>
      <c r="FD84" s="373" t="s">
        <v>435</v>
      </c>
      <c r="FE84" s="373" t="s">
        <v>435</v>
      </c>
      <c r="FF84" s="373" t="s">
        <v>435</v>
      </c>
      <c r="FG84" s="373" t="s">
        <v>435</v>
      </c>
      <c r="FH84" s="373" t="s">
        <v>435</v>
      </c>
      <c r="FI84" s="373" t="s">
        <v>435</v>
      </c>
      <c r="FJ84" s="373" t="s">
        <v>435</v>
      </c>
      <c r="FK84" s="373" t="s">
        <v>435</v>
      </c>
      <c r="FL84" s="373" t="s">
        <v>435</v>
      </c>
      <c r="FM84" s="373" t="s">
        <v>435</v>
      </c>
      <c r="FN84" s="373" t="s">
        <v>435</v>
      </c>
      <c r="FO84" s="373" t="s">
        <v>435</v>
      </c>
      <c r="FP84" s="373" t="s">
        <v>435</v>
      </c>
    </row>
    <row r="85" spans="1:172" ht="13.95" customHeight="1">
      <c r="A85" s="2" t="s">
        <v>1148</v>
      </c>
      <c r="B85" s="2" t="s">
        <v>250</v>
      </c>
      <c r="C85" s="2" t="s">
        <v>1149</v>
      </c>
      <c r="D85" s="2" t="s">
        <v>1150</v>
      </c>
      <c r="E85" s="365" t="s">
        <v>889</v>
      </c>
      <c r="F85" s="368"/>
      <c r="G85" s="368"/>
      <c r="H85" s="368">
        <f t="shared" si="387"/>
        <v>20.000000000209997</v>
      </c>
      <c r="I85" s="368">
        <f t="shared" si="388"/>
        <v>20.000000000209997</v>
      </c>
      <c r="J85" s="368"/>
      <c r="K85" s="368"/>
      <c r="L85" s="368"/>
      <c r="M85" s="368" t="s">
        <v>887</v>
      </c>
      <c r="N85" s="368" t="s">
        <v>356</v>
      </c>
      <c r="O85" s="368" t="s">
        <v>356</v>
      </c>
      <c r="P85" s="368" t="s">
        <v>356</v>
      </c>
      <c r="Q85" s="368" t="s">
        <v>356</v>
      </c>
      <c r="R85" s="366" t="s">
        <v>1151</v>
      </c>
      <c r="S85" s="2" t="s">
        <v>817</v>
      </c>
      <c r="T85" s="2">
        <v>40</v>
      </c>
      <c r="U85" s="2" cm="1">
        <f t="array" ref="U85">IFERROR(INDEX('Offer Statistics'!$AI$2:$AI$350,MATCH(1,(A85='Offer Statistics'!$T$2:$T$350)*($A$11='Offer Statistics'!$U$2:$U$350),0)),"/")</f>
        <v>40</v>
      </c>
      <c r="V85" s="2" cm="1">
        <f t="array" ref="V85">IFERROR(INDEX('Offer Statistics'!$V$2:$V$350,MATCH(1,(A85='Offer Statistics'!$T$2:$T$350)*($A$11='Offer Statistics'!$U$2:$U$350),0)),"/")</f>
        <v>585</v>
      </c>
      <c r="W85" s="2" cm="1">
        <f t="array" ref="W85">IFERROR(INDEX('Offer Statistics'!$AD$2:$AD$350,MATCH(1,(A85='Offer Statistics'!$T$2:$T$350)*($A$11='Offer Statistics'!$U$2:$U$350),0)),"/")</f>
        <v>40</v>
      </c>
      <c r="X85" s="2">
        <f t="shared" si="389"/>
        <v>14.625</v>
      </c>
      <c r="Y85" s="2" t="s">
        <v>817</v>
      </c>
      <c r="Z85" s="2" t="str">
        <f>入學要求!AF94</f>
        <v>/</v>
      </c>
      <c r="AA85" s="2" t="str">
        <f>入學要求!AG94</f>
        <v>/</v>
      </c>
      <c r="AB85" s="403" t="s">
        <v>889</v>
      </c>
      <c r="AC85" s="368" t="s">
        <v>2890</v>
      </c>
      <c r="AD85" s="368" t="s">
        <v>2891</v>
      </c>
      <c r="AE85" s="368" t="s">
        <v>356</v>
      </c>
      <c r="AF85" s="368" t="s">
        <v>356</v>
      </c>
      <c r="AG85" s="368" t="s">
        <v>356</v>
      </c>
      <c r="AH85" s="368" t="s">
        <v>356</v>
      </c>
      <c r="AI85" s="368" t="s">
        <v>356</v>
      </c>
      <c r="AJ85" s="400" t="s">
        <v>1067</v>
      </c>
      <c r="AK85" s="400" t="s">
        <v>1099</v>
      </c>
      <c r="AL85" s="400" t="s">
        <v>1068</v>
      </c>
      <c r="AM85" s="400" t="s">
        <v>1152</v>
      </c>
      <c r="AN85" s="404" t="s">
        <v>1153</v>
      </c>
      <c r="AO85" s="400" t="s">
        <v>356</v>
      </c>
      <c r="AP85" s="400" t="s">
        <v>435</v>
      </c>
      <c r="AQ85" s="400" t="s">
        <v>356</v>
      </c>
      <c r="AR85" s="400"/>
      <c r="AS85" s="2" t="s">
        <v>1069</v>
      </c>
      <c r="AT85" s="2" t="s">
        <v>1070</v>
      </c>
      <c r="AU85" s="2" t="s">
        <v>817</v>
      </c>
      <c r="AX85" s="203"/>
      <c r="AY85" s="2">
        <v>1</v>
      </c>
      <c r="AZ85" s="2">
        <v>1</v>
      </c>
      <c r="BA85" s="2">
        <v>1</v>
      </c>
      <c r="BB85" s="2">
        <v>1</v>
      </c>
      <c r="BC85" s="2">
        <v>1</v>
      </c>
      <c r="BD85" s="2">
        <v>1</v>
      </c>
      <c r="BE85" s="2">
        <v>1</v>
      </c>
      <c r="BF85" s="2">
        <v>1</v>
      </c>
      <c r="BH85" s="2">
        <v>6</v>
      </c>
      <c r="BI85" s="2">
        <v>3</v>
      </c>
      <c r="BJ85" s="2">
        <v>3</v>
      </c>
      <c r="BK85" s="2">
        <v>4</v>
      </c>
      <c r="BM85" s="2">
        <v>4</v>
      </c>
      <c r="BN85" s="2">
        <v>3</v>
      </c>
      <c r="BP85" s="206">
        <f t="shared" si="400"/>
        <v>6.00000000004</v>
      </c>
      <c r="BQ85" s="206">
        <f t="shared" si="401"/>
        <v>3.00000000002</v>
      </c>
      <c r="BR85" s="206">
        <f t="shared" si="402"/>
        <v>3.00000000003</v>
      </c>
      <c r="BS85" s="206">
        <f t="shared" si="403"/>
        <v>4.00000000001</v>
      </c>
      <c r="BT85" s="206">
        <f t="shared" si="404"/>
        <v>5.0000000000000002E-11</v>
      </c>
      <c r="BU85" s="206">
        <f t="shared" si="405"/>
        <v>4.00000000006</v>
      </c>
      <c r="BV85" s="206">
        <f t="shared" si="406"/>
        <v>3.00000000007</v>
      </c>
      <c r="BW85" s="206">
        <f t="shared" si="407"/>
        <v>7.9999999999999995E-11</v>
      </c>
      <c r="BX85" s="2">
        <f t="shared" si="355"/>
        <v>6.00000000004</v>
      </c>
      <c r="BY85" s="2">
        <f t="shared" si="356"/>
        <v>3.00000000002</v>
      </c>
      <c r="BZ85" s="2">
        <f t="shared" si="357"/>
        <v>3.00000000003</v>
      </c>
      <c r="CA85" s="2">
        <f t="shared" si="358"/>
        <v>4.00000000001</v>
      </c>
      <c r="CB85" s="2">
        <f t="shared" si="359"/>
        <v>5.0000000000000002E-11</v>
      </c>
      <c r="CC85" s="2">
        <f t="shared" si="360"/>
        <v>4.00000000006</v>
      </c>
      <c r="CD85" s="2">
        <f t="shared" si="361"/>
        <v>3.00000000007</v>
      </c>
      <c r="CE85" s="2">
        <f t="shared" si="362"/>
        <v>7.9999999999999995E-11</v>
      </c>
      <c r="CF85" s="2" t="b">
        <f t="shared" si="363"/>
        <v>1</v>
      </c>
      <c r="CG85" s="2" t="b">
        <f t="shared" si="364"/>
        <v>0</v>
      </c>
      <c r="CH85" s="2" t="b">
        <f t="shared" si="365"/>
        <v>1</v>
      </c>
      <c r="CI85" s="2" t="b">
        <f t="shared" si="366"/>
        <v>1</v>
      </c>
      <c r="CJ85" s="2" t="b">
        <f t="shared" si="408"/>
        <v>0</v>
      </c>
      <c r="CK85" s="2" t="b">
        <f t="shared" si="409"/>
        <v>1</v>
      </c>
      <c r="CL85" s="2" t="b">
        <f t="shared" si="410"/>
        <v>1</v>
      </c>
      <c r="CM85" s="2" t="b">
        <f t="shared" si="411"/>
        <v>0</v>
      </c>
      <c r="CN85" s="2">
        <v>1</v>
      </c>
      <c r="CO85" s="2">
        <v>1</v>
      </c>
      <c r="CP85" s="2">
        <v>1</v>
      </c>
      <c r="CQ85" s="2">
        <v>1</v>
      </c>
      <c r="CR85" s="2">
        <v>1</v>
      </c>
      <c r="CS85" s="2">
        <v>1</v>
      </c>
      <c r="CT85" s="2">
        <v>1</v>
      </c>
      <c r="CU85" s="2">
        <v>1</v>
      </c>
      <c r="CW85" s="2">
        <v>5</v>
      </c>
      <c r="CX85" s="2">
        <v>3</v>
      </c>
      <c r="CY85" s="2">
        <v>4</v>
      </c>
      <c r="CZ85" s="2">
        <v>4</v>
      </c>
      <c r="DB85" s="2">
        <v>4</v>
      </c>
      <c r="DC85" s="2">
        <v>3</v>
      </c>
      <c r="DE85" s="206">
        <f t="shared" si="390"/>
        <v>5.00000000004</v>
      </c>
      <c r="DF85" s="206">
        <f t="shared" si="391"/>
        <v>3.00000000002</v>
      </c>
      <c r="DG85" s="206">
        <f t="shared" si="392"/>
        <v>4.00000000003</v>
      </c>
      <c r="DH85" s="206">
        <f t="shared" si="393"/>
        <v>4.00000000001</v>
      </c>
      <c r="DI85" s="206">
        <f t="shared" si="394"/>
        <v>5.0000000000000002E-11</v>
      </c>
      <c r="DJ85" s="206">
        <f t="shared" si="395"/>
        <v>4.00000000006</v>
      </c>
      <c r="DK85" s="206">
        <f t="shared" si="396"/>
        <v>3.00000000007</v>
      </c>
      <c r="DL85" s="206">
        <f t="shared" si="397"/>
        <v>7.9999999999999995E-11</v>
      </c>
      <c r="DM85" s="2">
        <f t="shared" si="374"/>
        <v>5.00000000004</v>
      </c>
      <c r="DN85" s="2">
        <f t="shared" si="375"/>
        <v>3.00000000002</v>
      </c>
      <c r="DO85" s="2">
        <f t="shared" si="376"/>
        <v>4.00000000003</v>
      </c>
      <c r="DP85" s="2">
        <f t="shared" si="377"/>
        <v>4.00000000001</v>
      </c>
      <c r="DQ85" s="2">
        <f t="shared" si="378"/>
        <v>5.0000000000000002E-11</v>
      </c>
      <c r="DR85" s="2">
        <f t="shared" si="379"/>
        <v>4.00000000006</v>
      </c>
      <c r="DS85" s="2">
        <f t="shared" si="380"/>
        <v>3.00000000007</v>
      </c>
      <c r="DT85" s="2">
        <f t="shared" si="381"/>
        <v>7.9999999999999995E-11</v>
      </c>
      <c r="DU85" s="2" t="b">
        <f t="shared" si="382"/>
        <v>1</v>
      </c>
      <c r="DV85" s="2" t="b">
        <f t="shared" si="383"/>
        <v>0</v>
      </c>
      <c r="DW85" s="2" t="b">
        <f t="shared" si="384"/>
        <v>1</v>
      </c>
      <c r="DX85" s="2" t="b">
        <f t="shared" si="385"/>
        <v>1</v>
      </c>
      <c r="DY85" s="2" t="b">
        <f>IF($E85="4C2X",TRUE,IF($E85="Best 5",IF(DQ85&gt;LARGE($DM85:$DT85,6),TRUE),IF($E85="Best 6",IF(DQ85&gt;LARGE($DM85:$DT85,7),TRUE))))</f>
        <v>0</v>
      </c>
      <c r="DZ85" s="2" t="b">
        <f>IF($E85="4C2X",TRUE,IF($E85="Best 5",IF(DR85&gt;LARGE($DM85:$DT85,6),TRUE),IF($E85="Best 6",IF(DR85&gt;LARGE($DM85:$DT85,7),TRUE))))</f>
        <v>1</v>
      </c>
      <c r="EA85" s="2" t="b">
        <f>IF($E85="4C2X",TRUE,IF($E85="Best 5",IF(DS85&gt;LARGE($DM85:$DT85,6),TRUE),IF($E85="Best 6",IF(DS85&gt;LARGE($DM85:$DT85,7),TRUE))))</f>
        <v>1</v>
      </c>
      <c r="EB85" s="2" t="b">
        <f>IF($E85="4C2X",TRUE,IF($E85="Best 5",IF(DT85&gt;LARGE($DM85:$DT85,6),TRUE),IF($E85="Best 6",IF(DT85&gt;LARGE($DM85:$DT85,7),TRUE))))</f>
        <v>0</v>
      </c>
      <c r="EC85" s="2" t="s">
        <v>435</v>
      </c>
      <c r="ED85" s="2" t="s">
        <v>435</v>
      </c>
      <c r="EE85" s="2" t="s">
        <v>435</v>
      </c>
      <c r="EF85" s="2" t="s">
        <v>435</v>
      </c>
      <c r="EG85" s="2" t="s">
        <v>435</v>
      </c>
      <c r="EH85" s="2" t="s">
        <v>435</v>
      </c>
      <c r="EI85" s="2" t="s">
        <v>435</v>
      </c>
      <c r="EJ85" s="2" t="s">
        <v>435</v>
      </c>
      <c r="EK85" s="2" t="s">
        <v>435</v>
      </c>
      <c r="EL85" s="2" t="s">
        <v>435</v>
      </c>
      <c r="EM85" s="2" t="s">
        <v>435</v>
      </c>
      <c r="EN85" s="2" t="s">
        <v>435</v>
      </c>
      <c r="EO85" s="2" t="s">
        <v>435</v>
      </c>
      <c r="EP85" s="2" t="s">
        <v>435</v>
      </c>
      <c r="EQ85" s="2" t="s">
        <v>435</v>
      </c>
      <c r="ER85" s="2" t="s">
        <v>435</v>
      </c>
      <c r="FA85" s="2" t="s">
        <v>435</v>
      </c>
      <c r="FB85" s="2" t="s">
        <v>435</v>
      </c>
      <c r="FC85" s="2" t="s">
        <v>435</v>
      </c>
      <c r="FD85" s="2" t="s">
        <v>435</v>
      </c>
      <c r="FE85" s="2" t="s">
        <v>435</v>
      </c>
      <c r="FF85" s="2" t="s">
        <v>435</v>
      </c>
      <c r="FG85" s="2" t="s">
        <v>435</v>
      </c>
      <c r="FH85" s="2" t="s">
        <v>435</v>
      </c>
      <c r="FI85" s="2" t="s">
        <v>435</v>
      </c>
      <c r="FJ85" s="2" t="s">
        <v>435</v>
      </c>
      <c r="FK85" s="2" t="s">
        <v>435</v>
      </c>
      <c r="FL85" s="2" t="s">
        <v>435</v>
      </c>
      <c r="FM85" s="2" t="s">
        <v>435</v>
      </c>
      <c r="FN85" s="2" t="s">
        <v>435</v>
      </c>
      <c r="FO85" s="2" t="s">
        <v>435</v>
      </c>
      <c r="FP85" s="2" t="s">
        <v>435</v>
      </c>
    </row>
    <row r="86" spans="1:172">
      <c r="A86" s="2" t="s">
        <v>1154</v>
      </c>
      <c r="B86" s="2" t="s">
        <v>250</v>
      </c>
      <c r="C86" s="2" t="s">
        <v>1155</v>
      </c>
      <c r="D86" s="2" t="s">
        <v>1156</v>
      </c>
      <c r="E86" s="365" t="s">
        <v>828</v>
      </c>
      <c r="F86" s="368"/>
      <c r="G86" s="368"/>
      <c r="H86" s="368">
        <f t="shared" si="387"/>
        <v>22.000000000229999</v>
      </c>
      <c r="I86" s="368">
        <f t="shared" si="388"/>
        <v>22.000000000229999</v>
      </c>
      <c r="J86" s="368"/>
      <c r="K86" s="368"/>
      <c r="L86" s="368"/>
      <c r="M86" s="368" t="s">
        <v>356</v>
      </c>
      <c r="N86" s="368" t="s">
        <v>356</v>
      </c>
      <c r="O86" s="368" t="s">
        <v>356</v>
      </c>
      <c r="P86" s="368" t="s">
        <v>356</v>
      </c>
      <c r="Q86" s="368" t="s">
        <v>356</v>
      </c>
      <c r="R86" s="366" t="s">
        <v>1157</v>
      </c>
      <c r="S86" s="2" t="s">
        <v>817</v>
      </c>
      <c r="T86" s="2">
        <v>15</v>
      </c>
      <c r="U86" s="2" cm="1">
        <f t="array" ref="U86">IFERROR(INDEX('Offer Statistics'!$AI$2:$AI$350,MATCH(1,(A86='Offer Statistics'!$T$2:$T$350)*($A$11='Offer Statistics'!$U$2:$U$350),0)),"/")</f>
        <v>16</v>
      </c>
      <c r="V86" s="2" cm="1">
        <f t="array" ref="V86">IFERROR(INDEX('Offer Statistics'!$V$2:$V$350,MATCH(1,(A86='Offer Statistics'!$T$2:$T$350)*($A$11='Offer Statistics'!$U$2:$U$350),0)),"/")</f>
        <v>122</v>
      </c>
      <c r="W86" s="2" cm="1">
        <f t="array" ref="W86">IFERROR(INDEX('Offer Statistics'!$AD$2:$AD$350,MATCH(1,(A86='Offer Statistics'!$T$2:$T$350)*($A$11='Offer Statistics'!$U$2:$U$350),0)),"/")</f>
        <v>13</v>
      </c>
      <c r="X86" s="2">
        <f t="shared" si="389"/>
        <v>9.384615384615385</v>
      </c>
      <c r="Y86" s="2" t="s">
        <v>817</v>
      </c>
      <c r="Z86" s="2" t="str">
        <f>入學要求!AF95</f>
        <v>/</v>
      </c>
      <c r="AA86" s="2" t="str">
        <f>入學要求!AG95</f>
        <v>/</v>
      </c>
      <c r="AB86" s="403" t="s">
        <v>889</v>
      </c>
      <c r="AC86" s="368" t="s">
        <v>2889</v>
      </c>
      <c r="AD86" s="368"/>
      <c r="AE86" s="368" t="s">
        <v>356</v>
      </c>
      <c r="AF86" s="368" t="s">
        <v>356</v>
      </c>
      <c r="AG86" s="368" t="s">
        <v>356</v>
      </c>
      <c r="AH86" s="368" t="s">
        <v>356</v>
      </c>
      <c r="AI86" s="368" t="s">
        <v>356</v>
      </c>
      <c r="AJ86" s="400" t="s">
        <v>1067</v>
      </c>
      <c r="AK86" s="400" t="s">
        <v>818</v>
      </c>
      <c r="AL86" s="400" t="s">
        <v>1068</v>
      </c>
      <c r="AM86" s="400" t="s">
        <v>356</v>
      </c>
      <c r="AN86" s="400" t="s">
        <v>356</v>
      </c>
      <c r="AO86" s="400" t="s">
        <v>356</v>
      </c>
      <c r="AP86" s="400" t="s">
        <v>435</v>
      </c>
      <c r="AQ86" s="400" t="s">
        <v>356</v>
      </c>
      <c r="AR86" s="400"/>
      <c r="AS86" s="2" t="s">
        <v>1069</v>
      </c>
      <c r="AT86" s="2" t="s">
        <v>1070</v>
      </c>
      <c r="AU86" s="2" t="s">
        <v>817</v>
      </c>
      <c r="AY86" s="2">
        <v>1</v>
      </c>
      <c r="AZ86" s="2">
        <v>1</v>
      </c>
      <c r="BA86" s="2">
        <v>1</v>
      </c>
      <c r="BB86" s="2">
        <v>1</v>
      </c>
      <c r="BC86" s="2">
        <v>1</v>
      </c>
      <c r="BD86" s="2">
        <v>1</v>
      </c>
      <c r="BE86" s="2">
        <v>1</v>
      </c>
      <c r="BF86" s="2">
        <v>1</v>
      </c>
      <c r="BH86" s="2">
        <v>4</v>
      </c>
      <c r="BI86" s="2">
        <v>3</v>
      </c>
      <c r="BJ86" s="2">
        <v>3</v>
      </c>
      <c r="BK86" s="2">
        <v>5</v>
      </c>
      <c r="BM86" s="2">
        <v>4</v>
      </c>
      <c r="BN86" s="2">
        <v>3</v>
      </c>
      <c r="BP86" s="206">
        <f t="shared" si="400"/>
        <v>4.00000000004</v>
      </c>
      <c r="BQ86" s="206">
        <f t="shared" si="401"/>
        <v>3.00000000002</v>
      </c>
      <c r="BR86" s="206">
        <f t="shared" si="402"/>
        <v>3.00000000003</v>
      </c>
      <c r="BS86" s="206">
        <f t="shared" si="403"/>
        <v>5.00000000001</v>
      </c>
      <c r="BT86" s="206">
        <f t="shared" si="404"/>
        <v>5.0000000000000002E-11</v>
      </c>
      <c r="BU86" s="206">
        <f t="shared" si="405"/>
        <v>4.00000000006</v>
      </c>
      <c r="BV86" s="206">
        <f t="shared" si="406"/>
        <v>3.00000000007</v>
      </c>
      <c r="BW86" s="206">
        <f t="shared" si="407"/>
        <v>7.9999999999999995E-11</v>
      </c>
      <c r="BX86" s="2">
        <f t="shared" si="355"/>
        <v>4.00000000004</v>
      </c>
      <c r="BY86" s="2">
        <f t="shared" si="356"/>
        <v>3.00000000002</v>
      </c>
      <c r="BZ86" s="2">
        <f t="shared" si="357"/>
        <v>3.00000000003</v>
      </c>
      <c r="CA86" s="2">
        <f t="shared" si="358"/>
        <v>5.00000000001</v>
      </c>
      <c r="CB86" s="2">
        <f t="shared" si="359"/>
        <v>5.0000000000000002E-11</v>
      </c>
      <c r="CC86" s="2">
        <f t="shared" si="360"/>
        <v>4.00000000006</v>
      </c>
      <c r="CD86" s="2">
        <f t="shared" si="361"/>
        <v>3.00000000007</v>
      </c>
      <c r="CE86" s="2">
        <f t="shared" si="362"/>
        <v>7.9999999999999995E-11</v>
      </c>
      <c r="CF86" s="2" t="b">
        <f t="shared" si="363"/>
        <v>1</v>
      </c>
      <c r="CG86" s="2" t="b">
        <f t="shared" si="364"/>
        <v>1</v>
      </c>
      <c r="CH86" s="2" t="b">
        <f t="shared" si="365"/>
        <v>1</v>
      </c>
      <c r="CI86" s="2" t="b">
        <f t="shared" si="366"/>
        <v>1</v>
      </c>
      <c r="CJ86" s="2" t="b">
        <f t="shared" si="408"/>
        <v>0</v>
      </c>
      <c r="CK86" s="2" t="b">
        <f t="shared" si="409"/>
        <v>1</v>
      </c>
      <c r="CL86" s="2" t="b">
        <f t="shared" si="410"/>
        <v>1</v>
      </c>
      <c r="CM86" s="2" t="b">
        <f t="shared" si="411"/>
        <v>0</v>
      </c>
      <c r="CN86" s="2">
        <v>1</v>
      </c>
      <c r="CO86" s="2">
        <v>1</v>
      </c>
      <c r="CP86" s="2">
        <v>1</v>
      </c>
      <c r="CQ86" s="2">
        <v>1</v>
      </c>
      <c r="CR86" s="2">
        <v>1</v>
      </c>
      <c r="CS86" s="2">
        <v>1</v>
      </c>
      <c r="CT86" s="2">
        <v>1</v>
      </c>
      <c r="CU86" s="2">
        <v>1</v>
      </c>
      <c r="CW86" s="2">
        <v>3</v>
      </c>
      <c r="CX86" s="2">
        <v>4</v>
      </c>
      <c r="CY86" s="2">
        <v>3</v>
      </c>
      <c r="CZ86" s="2">
        <v>4</v>
      </c>
      <c r="DB86" s="2">
        <v>4</v>
      </c>
      <c r="DC86" s="2">
        <v>4</v>
      </c>
      <c r="DE86" s="206">
        <f t="shared" si="390"/>
        <v>3.00000000004</v>
      </c>
      <c r="DF86" s="206">
        <f t="shared" si="391"/>
        <v>4.00000000002</v>
      </c>
      <c r="DG86" s="206">
        <f t="shared" si="392"/>
        <v>3.00000000003</v>
      </c>
      <c r="DH86" s="206">
        <f t="shared" si="393"/>
        <v>4.00000000001</v>
      </c>
      <c r="DI86" s="206">
        <f t="shared" si="394"/>
        <v>5.0000000000000002E-11</v>
      </c>
      <c r="DJ86" s="206">
        <f t="shared" si="395"/>
        <v>4.00000000006</v>
      </c>
      <c r="DK86" s="206">
        <f t="shared" si="396"/>
        <v>4.00000000007</v>
      </c>
      <c r="DL86" s="206">
        <f t="shared" si="397"/>
        <v>7.9999999999999995E-11</v>
      </c>
      <c r="DM86" s="2">
        <f t="shared" si="374"/>
        <v>3.00000000004</v>
      </c>
      <c r="DN86" s="2">
        <f t="shared" si="375"/>
        <v>4.00000000002</v>
      </c>
      <c r="DO86" s="2">
        <f t="shared" si="376"/>
        <v>3.00000000003</v>
      </c>
      <c r="DP86" s="2">
        <f t="shared" si="377"/>
        <v>4.00000000001</v>
      </c>
      <c r="DQ86" s="2">
        <f t="shared" si="378"/>
        <v>5.0000000000000002E-11</v>
      </c>
      <c r="DR86" s="2">
        <f t="shared" si="379"/>
        <v>4.00000000006</v>
      </c>
      <c r="DS86" s="2">
        <f t="shared" si="380"/>
        <v>4.00000000007</v>
      </c>
      <c r="DT86" s="2">
        <f t="shared" si="381"/>
        <v>7.9999999999999995E-11</v>
      </c>
      <c r="DU86" s="2" t="b">
        <f t="shared" si="382"/>
        <v>1</v>
      </c>
      <c r="DV86" s="2" t="b">
        <f t="shared" si="383"/>
        <v>1</v>
      </c>
      <c r="DW86" s="2" t="b">
        <f t="shared" si="384"/>
        <v>1</v>
      </c>
      <c r="DX86" s="2" t="b">
        <f t="shared" si="385"/>
        <v>1</v>
      </c>
      <c r="DY86" s="2" t="b">
        <f t="shared" ref="DY86:EB90" si="413">IF($E86="4C2X",IF(DQ86&gt;LARGE($DQ86:$DT86,3),TRUE),IF($E86="Best 5",IF(DQ86&gt;LARGE($DM86:$DT86,6),TRUE),IF($E86="Best 6",IF(DQ86&gt;LARGE($DM86:$DT86,7),TRUE))))</f>
        <v>0</v>
      </c>
      <c r="DZ86" s="2" t="b">
        <f t="shared" si="413"/>
        <v>1</v>
      </c>
      <c r="EA86" s="2" t="b">
        <f t="shared" si="413"/>
        <v>1</v>
      </c>
      <c r="EB86" s="2" t="b">
        <f t="shared" si="413"/>
        <v>0</v>
      </c>
      <c r="EC86" s="2" t="s">
        <v>435</v>
      </c>
      <c r="ED86" s="2" t="s">
        <v>435</v>
      </c>
      <c r="EE86" s="2" t="s">
        <v>435</v>
      </c>
      <c r="EF86" s="2" t="s">
        <v>435</v>
      </c>
      <c r="EG86" s="2" t="s">
        <v>435</v>
      </c>
      <c r="EH86" s="2" t="s">
        <v>435</v>
      </c>
      <c r="EI86" s="2" t="s">
        <v>435</v>
      </c>
      <c r="EJ86" s="2" t="s">
        <v>435</v>
      </c>
      <c r="EK86" s="2" t="s">
        <v>435</v>
      </c>
      <c r="EL86" s="2" t="s">
        <v>435</v>
      </c>
      <c r="EM86" s="2" t="s">
        <v>435</v>
      </c>
      <c r="EN86" s="2" t="s">
        <v>435</v>
      </c>
      <c r="EO86" s="2" t="s">
        <v>435</v>
      </c>
      <c r="EP86" s="2" t="s">
        <v>435</v>
      </c>
      <c r="EQ86" s="2" t="s">
        <v>435</v>
      </c>
      <c r="ER86" s="2" t="s">
        <v>435</v>
      </c>
      <c r="FA86" s="2" t="s">
        <v>435</v>
      </c>
      <c r="FB86" s="2" t="s">
        <v>435</v>
      </c>
      <c r="FC86" s="2" t="s">
        <v>435</v>
      </c>
      <c r="FD86" s="2" t="s">
        <v>435</v>
      </c>
      <c r="FE86" s="2" t="s">
        <v>435</v>
      </c>
      <c r="FF86" s="2" t="s">
        <v>435</v>
      </c>
      <c r="FG86" s="2" t="s">
        <v>435</v>
      </c>
      <c r="FH86" s="2" t="s">
        <v>435</v>
      </c>
      <c r="FI86" s="2" t="s">
        <v>435</v>
      </c>
      <c r="FJ86" s="2" t="s">
        <v>435</v>
      </c>
      <c r="FK86" s="2" t="s">
        <v>435</v>
      </c>
      <c r="FL86" s="2" t="s">
        <v>435</v>
      </c>
      <c r="FM86" s="2" t="s">
        <v>435</v>
      </c>
      <c r="FN86" s="2" t="s">
        <v>435</v>
      </c>
      <c r="FO86" s="2" t="s">
        <v>435</v>
      </c>
      <c r="FP86" s="2" t="s">
        <v>435</v>
      </c>
    </row>
    <row r="87" spans="1:172">
      <c r="A87" s="2" t="s">
        <v>1158</v>
      </c>
      <c r="B87" s="2" t="s">
        <v>250</v>
      </c>
      <c r="C87" s="2" t="s">
        <v>1155</v>
      </c>
      <c r="D87" s="2" t="s">
        <v>1159</v>
      </c>
      <c r="E87" s="365" t="s">
        <v>815</v>
      </c>
      <c r="F87" s="368"/>
      <c r="G87" s="368"/>
      <c r="H87" s="368">
        <f t="shared" si="387"/>
        <v>21.600000000235998</v>
      </c>
      <c r="I87" s="368">
        <f t="shared" si="388"/>
        <v>21.800000000236</v>
      </c>
      <c r="J87" s="368"/>
      <c r="K87" s="368"/>
      <c r="L87" s="368"/>
      <c r="M87" s="368" t="s">
        <v>356</v>
      </c>
      <c r="N87" s="368" t="s">
        <v>356</v>
      </c>
      <c r="O87" s="368" t="s">
        <v>2919</v>
      </c>
      <c r="P87" s="368" t="s">
        <v>356</v>
      </c>
      <c r="Q87" s="368" t="s">
        <v>356</v>
      </c>
      <c r="R87" s="366" t="s">
        <v>1161</v>
      </c>
      <c r="S87" s="2" t="s">
        <v>817</v>
      </c>
      <c r="T87" s="2">
        <v>40</v>
      </c>
      <c r="U87" s="2" cm="1">
        <f t="array" ref="U87">IFERROR(INDEX('Offer Statistics'!$AI$2:$AI$350,MATCH(1,(A87='Offer Statistics'!$T$2:$T$350)*($A$11='Offer Statistics'!$U$2:$U$350),0)),"/")</f>
        <v>39</v>
      </c>
      <c r="V87" s="2" cm="1">
        <f t="array" ref="V87">IFERROR(INDEX('Offer Statistics'!$V$2:$V$350,MATCH(1,(A87='Offer Statistics'!$T$2:$T$350)*($A$11='Offer Statistics'!$U$2:$U$350),0)),"/")</f>
        <v>258</v>
      </c>
      <c r="W87" s="2" cm="1">
        <f t="array" ref="W87">IFERROR(INDEX('Offer Statistics'!$AD$2:$AD$350,MATCH(1,(A87='Offer Statistics'!$T$2:$T$350)*($A$11='Offer Statistics'!$U$2:$U$350),0)),"/")</f>
        <v>39</v>
      </c>
      <c r="X87" s="2">
        <f t="shared" si="389"/>
        <v>6.615384615384615</v>
      </c>
      <c r="Y87" s="2" t="s">
        <v>817</v>
      </c>
      <c r="Z87" s="2" t="str">
        <f>入學要求!AF96</f>
        <v>/</v>
      </c>
      <c r="AA87" s="2" t="str">
        <f>入學要求!AG96</f>
        <v>/</v>
      </c>
      <c r="AB87" s="402" t="s">
        <v>889</v>
      </c>
      <c r="AC87" s="368" t="s">
        <v>2888</v>
      </c>
      <c r="AD87" s="368"/>
      <c r="AE87" s="368" t="s">
        <v>356</v>
      </c>
      <c r="AF87" s="368" t="s">
        <v>356</v>
      </c>
      <c r="AG87" s="368" t="s">
        <v>1160</v>
      </c>
      <c r="AH87" s="368" t="s">
        <v>356</v>
      </c>
      <c r="AI87" s="368" t="s">
        <v>356</v>
      </c>
      <c r="AJ87" s="400" t="s">
        <v>1067</v>
      </c>
      <c r="AK87" s="400" t="s">
        <v>818</v>
      </c>
      <c r="AL87" s="400" t="s">
        <v>1068</v>
      </c>
      <c r="AM87" s="400" t="s">
        <v>1162</v>
      </c>
      <c r="AN87" s="400" t="s">
        <v>356</v>
      </c>
      <c r="AO87" s="400" t="s">
        <v>356</v>
      </c>
      <c r="AP87" s="400" t="s">
        <v>1117</v>
      </c>
      <c r="AQ87" s="400" t="s">
        <v>1169</v>
      </c>
      <c r="AR87" s="400" t="s">
        <v>1118</v>
      </c>
      <c r="AS87" s="2" t="s">
        <v>1069</v>
      </c>
      <c r="AT87" s="2" t="s">
        <v>1070</v>
      </c>
      <c r="AU87" s="2" t="s">
        <v>817</v>
      </c>
      <c r="AY87" s="2">
        <v>1</v>
      </c>
      <c r="AZ87" s="2">
        <v>1</v>
      </c>
      <c r="BA87" s="2">
        <v>1.2</v>
      </c>
      <c r="BB87" s="2">
        <v>1</v>
      </c>
      <c r="BC87" s="2">
        <v>1</v>
      </c>
      <c r="BD87" s="2">
        <v>1</v>
      </c>
      <c r="BE87" s="2">
        <v>1</v>
      </c>
      <c r="BF87" s="2">
        <v>1</v>
      </c>
      <c r="BH87" s="2">
        <v>3</v>
      </c>
      <c r="BI87" s="2">
        <v>4</v>
      </c>
      <c r="BJ87" s="2">
        <v>4</v>
      </c>
      <c r="BK87" s="2">
        <v>3</v>
      </c>
      <c r="BM87" s="2">
        <v>4</v>
      </c>
      <c r="BN87" s="2">
        <v>3</v>
      </c>
      <c r="BP87" s="206">
        <f t="shared" si="400"/>
        <v>3.00000000004</v>
      </c>
      <c r="BQ87" s="206">
        <f t="shared" si="401"/>
        <v>4.00000000002</v>
      </c>
      <c r="BR87" s="206">
        <f t="shared" si="402"/>
        <v>4.00000000003</v>
      </c>
      <c r="BS87" s="206">
        <f t="shared" si="403"/>
        <v>3.00000000001</v>
      </c>
      <c r="BT87" s="206">
        <f t="shared" si="404"/>
        <v>5.0000000000000002E-11</v>
      </c>
      <c r="BU87" s="206">
        <f t="shared" si="405"/>
        <v>4.00000000006</v>
      </c>
      <c r="BV87" s="206">
        <f t="shared" si="406"/>
        <v>3.00000000007</v>
      </c>
      <c r="BW87" s="206">
        <f t="shared" si="407"/>
        <v>7.9999999999999995E-11</v>
      </c>
      <c r="BX87" s="2">
        <f t="shared" si="355"/>
        <v>3.00000000004</v>
      </c>
      <c r="BY87" s="2">
        <f t="shared" si="356"/>
        <v>4.00000000002</v>
      </c>
      <c r="BZ87" s="2">
        <f t="shared" si="357"/>
        <v>4.8000000000359995</v>
      </c>
      <c r="CA87" s="2">
        <f t="shared" si="358"/>
        <v>3.00000000001</v>
      </c>
      <c r="CB87" s="2">
        <f t="shared" si="359"/>
        <v>5.0000000000000002E-11</v>
      </c>
      <c r="CC87" s="2">
        <f t="shared" si="360"/>
        <v>4.00000000006</v>
      </c>
      <c r="CD87" s="2">
        <f t="shared" si="361"/>
        <v>3.00000000007</v>
      </c>
      <c r="CE87" s="2">
        <f t="shared" si="362"/>
        <v>7.9999999999999995E-11</v>
      </c>
      <c r="CF87" s="2" t="b">
        <f t="shared" si="363"/>
        <v>1</v>
      </c>
      <c r="CG87" s="2" t="b">
        <f t="shared" si="364"/>
        <v>1</v>
      </c>
      <c r="CH87" s="2" t="b">
        <f t="shared" si="365"/>
        <v>1</v>
      </c>
      <c r="CI87" s="2" t="b">
        <f t="shared" si="366"/>
        <v>1</v>
      </c>
      <c r="CJ87" s="2" t="b">
        <f t="shared" si="408"/>
        <v>0</v>
      </c>
      <c r="CK87" s="2" t="b">
        <f t="shared" si="409"/>
        <v>1</v>
      </c>
      <c r="CL87" s="2" t="b">
        <f t="shared" si="410"/>
        <v>1</v>
      </c>
      <c r="CM87" s="2" t="b">
        <f t="shared" si="411"/>
        <v>0</v>
      </c>
      <c r="CN87" s="2">
        <v>1</v>
      </c>
      <c r="CO87" s="2">
        <v>1</v>
      </c>
      <c r="CP87" s="2">
        <v>1.2</v>
      </c>
      <c r="CQ87" s="2">
        <v>1</v>
      </c>
      <c r="CR87" s="2">
        <v>1</v>
      </c>
      <c r="CS87" s="2">
        <v>1</v>
      </c>
      <c r="CT87" s="2">
        <v>1</v>
      </c>
      <c r="CU87" s="2">
        <v>1</v>
      </c>
      <c r="CW87" s="2">
        <v>3</v>
      </c>
      <c r="CX87" s="2">
        <v>4</v>
      </c>
      <c r="CY87" s="2">
        <v>3</v>
      </c>
      <c r="CZ87" s="2">
        <v>4</v>
      </c>
      <c r="DB87" s="2">
        <v>4</v>
      </c>
      <c r="DC87" s="2">
        <v>3</v>
      </c>
      <c r="DE87" s="206">
        <f t="shared" si="390"/>
        <v>3.00000000004</v>
      </c>
      <c r="DF87" s="206">
        <f t="shared" si="391"/>
        <v>4.00000000002</v>
      </c>
      <c r="DG87" s="206">
        <f t="shared" si="392"/>
        <v>3.00000000003</v>
      </c>
      <c r="DH87" s="206">
        <f t="shared" si="393"/>
        <v>4.00000000001</v>
      </c>
      <c r="DI87" s="206">
        <f t="shared" si="394"/>
        <v>5.0000000000000002E-11</v>
      </c>
      <c r="DJ87" s="206">
        <f t="shared" si="395"/>
        <v>4.00000000006</v>
      </c>
      <c r="DK87" s="206">
        <f t="shared" si="396"/>
        <v>3.00000000007</v>
      </c>
      <c r="DL87" s="206">
        <f t="shared" si="397"/>
        <v>7.9999999999999995E-11</v>
      </c>
      <c r="DM87" s="2">
        <f t="shared" si="374"/>
        <v>3.00000000004</v>
      </c>
      <c r="DN87" s="2">
        <f t="shared" si="375"/>
        <v>4.00000000002</v>
      </c>
      <c r="DO87" s="2">
        <f t="shared" si="376"/>
        <v>3.6000000000359997</v>
      </c>
      <c r="DP87" s="2">
        <f t="shared" si="377"/>
        <v>4.00000000001</v>
      </c>
      <c r="DQ87" s="2">
        <f t="shared" si="378"/>
        <v>5.0000000000000002E-11</v>
      </c>
      <c r="DR87" s="2">
        <f t="shared" si="379"/>
        <v>4.00000000006</v>
      </c>
      <c r="DS87" s="2">
        <f t="shared" si="380"/>
        <v>3.00000000007</v>
      </c>
      <c r="DT87" s="2">
        <f t="shared" si="381"/>
        <v>7.9999999999999995E-11</v>
      </c>
      <c r="DU87" s="2" t="b">
        <f t="shared" si="382"/>
        <v>1</v>
      </c>
      <c r="DV87" s="2" t="b">
        <f t="shared" si="383"/>
        <v>1</v>
      </c>
      <c r="DW87" s="2" t="b">
        <f t="shared" si="384"/>
        <v>1</v>
      </c>
      <c r="DX87" s="2" t="b">
        <f t="shared" si="385"/>
        <v>1</v>
      </c>
      <c r="DY87" s="2" t="b">
        <f t="shared" si="413"/>
        <v>0</v>
      </c>
      <c r="DZ87" s="2" t="b">
        <f t="shared" si="413"/>
        <v>1</v>
      </c>
      <c r="EA87" s="2" t="b">
        <f t="shared" si="413"/>
        <v>1</v>
      </c>
      <c r="EB87" s="2" t="b">
        <f t="shared" si="413"/>
        <v>0</v>
      </c>
      <c r="EC87" s="2" t="s">
        <v>435</v>
      </c>
      <c r="ED87" s="2" t="s">
        <v>435</v>
      </c>
      <c r="EE87" s="2" t="s">
        <v>435</v>
      </c>
      <c r="EF87" s="2" t="s">
        <v>435</v>
      </c>
      <c r="EG87" s="2" t="s">
        <v>435</v>
      </c>
      <c r="EH87" s="2" t="s">
        <v>435</v>
      </c>
      <c r="EI87" s="2" t="s">
        <v>435</v>
      </c>
      <c r="EJ87" s="2" t="s">
        <v>435</v>
      </c>
      <c r="EK87" s="2" t="s">
        <v>435</v>
      </c>
      <c r="EL87" s="2" t="s">
        <v>435</v>
      </c>
      <c r="EM87" s="2" t="s">
        <v>435</v>
      </c>
      <c r="EN87" s="2" t="s">
        <v>435</v>
      </c>
      <c r="EO87" s="2" t="s">
        <v>435</v>
      </c>
      <c r="EP87" s="2" t="s">
        <v>435</v>
      </c>
      <c r="EQ87" s="2" t="s">
        <v>435</v>
      </c>
      <c r="ER87" s="2" t="s">
        <v>435</v>
      </c>
      <c r="FA87" s="2" t="s">
        <v>435</v>
      </c>
      <c r="FB87" s="2" t="s">
        <v>435</v>
      </c>
      <c r="FC87" s="2" t="s">
        <v>435</v>
      </c>
      <c r="FD87" s="2" t="s">
        <v>435</v>
      </c>
      <c r="FE87" s="2" t="s">
        <v>435</v>
      </c>
      <c r="FF87" s="2" t="s">
        <v>435</v>
      </c>
      <c r="FG87" s="2" t="s">
        <v>435</v>
      </c>
      <c r="FH87" s="2" t="s">
        <v>435</v>
      </c>
      <c r="FI87" s="2" t="s">
        <v>435</v>
      </c>
      <c r="FJ87" s="2" t="s">
        <v>435</v>
      </c>
      <c r="FK87" s="2" t="s">
        <v>435</v>
      </c>
      <c r="FL87" s="2" t="s">
        <v>435</v>
      </c>
      <c r="FM87" s="2" t="s">
        <v>435</v>
      </c>
      <c r="FN87" s="2" t="s">
        <v>435</v>
      </c>
      <c r="FO87" s="2" t="s">
        <v>435</v>
      </c>
      <c r="FP87" s="2" t="s">
        <v>435</v>
      </c>
    </row>
    <row r="88" spans="1:172" s="366" customFormat="1">
      <c r="A88" s="366" t="s">
        <v>1163</v>
      </c>
      <c r="B88" s="366" t="s">
        <v>250</v>
      </c>
      <c r="C88" s="366" t="s">
        <v>1155</v>
      </c>
      <c r="D88" s="366" t="s">
        <v>1164</v>
      </c>
      <c r="E88" s="365" t="s">
        <v>815</v>
      </c>
      <c r="F88" s="368"/>
      <c r="G88" s="368"/>
      <c r="H88" s="368">
        <f t="shared" si="387"/>
        <v>21.000000000229999</v>
      </c>
      <c r="I88" s="368">
        <f t="shared" si="388"/>
        <v>21.000000000229999</v>
      </c>
      <c r="J88" s="368"/>
      <c r="K88" s="368"/>
      <c r="L88" s="368"/>
      <c r="M88" s="368" t="s">
        <v>356</v>
      </c>
      <c r="N88" s="368" t="s">
        <v>356</v>
      </c>
      <c r="O88" s="368" t="s">
        <v>356</v>
      </c>
      <c r="P88" s="368" t="s">
        <v>356</v>
      </c>
      <c r="Q88" s="368" t="s">
        <v>356</v>
      </c>
      <c r="R88" s="366" t="s">
        <v>1165</v>
      </c>
      <c r="S88" s="366" t="s">
        <v>817</v>
      </c>
      <c r="T88" s="366">
        <v>15</v>
      </c>
      <c r="U88" s="366" cm="1">
        <f t="array" ref="U88">IFERROR(INDEX('Offer Statistics'!$AI$2:$AI$350,MATCH(1,(A88='Offer Statistics'!$T$2:$T$350)*($A$11='Offer Statistics'!$U$2:$U$350),0)),"/")</f>
        <v>13</v>
      </c>
      <c r="V88" s="366" cm="1">
        <f t="array" ref="V88">IFERROR(INDEX('Offer Statistics'!$V$2:$V$350,MATCH(1,(A88='Offer Statistics'!$T$2:$T$350)*($A$11='Offer Statistics'!$U$2:$U$350),0)),"/")</f>
        <v>132</v>
      </c>
      <c r="W88" s="366" cm="1">
        <f t="array" ref="W88">IFERROR(INDEX('Offer Statistics'!$AD$2:$AD$350,MATCH(1,(A88='Offer Statistics'!$T$2:$T$350)*($A$11='Offer Statistics'!$U$2:$U$350),0)),"/")</f>
        <v>13</v>
      </c>
      <c r="X88" s="366">
        <f t="shared" si="389"/>
        <v>10.153846153846153</v>
      </c>
      <c r="Y88" s="366" t="s">
        <v>817</v>
      </c>
      <c r="Z88" s="366" t="str">
        <f>入學要求!AF97</f>
        <v>/</v>
      </c>
      <c r="AA88" s="366" t="str">
        <f>入學要求!AG97</f>
        <v>/</v>
      </c>
      <c r="AB88" s="403" t="s">
        <v>889</v>
      </c>
      <c r="AC88" s="368" t="s">
        <v>2888</v>
      </c>
      <c r="AD88" s="368"/>
      <c r="AE88" s="368" t="s">
        <v>356</v>
      </c>
      <c r="AF88" s="368" t="s">
        <v>356</v>
      </c>
      <c r="AG88" s="368" t="s">
        <v>356</v>
      </c>
      <c r="AH88" s="368" t="s">
        <v>356</v>
      </c>
      <c r="AI88" s="368" t="s">
        <v>356</v>
      </c>
      <c r="AJ88" s="400" t="s">
        <v>1067</v>
      </c>
      <c r="AK88" s="400" t="s">
        <v>818</v>
      </c>
      <c r="AL88" s="400" t="s">
        <v>1068</v>
      </c>
      <c r="AM88" s="400" t="s">
        <v>1162</v>
      </c>
      <c r="AN88" s="400" t="s">
        <v>356</v>
      </c>
      <c r="AO88" s="400" t="s">
        <v>356</v>
      </c>
      <c r="AP88" s="400" t="s">
        <v>435</v>
      </c>
      <c r="AQ88" s="400" t="s">
        <v>356</v>
      </c>
      <c r="AR88" s="400"/>
      <c r="AS88" s="366" t="s">
        <v>1069</v>
      </c>
      <c r="AT88" s="366" t="s">
        <v>1070</v>
      </c>
      <c r="AU88" s="366" t="s">
        <v>817</v>
      </c>
      <c r="AY88" s="366">
        <v>1</v>
      </c>
      <c r="AZ88" s="366">
        <v>1</v>
      </c>
      <c r="BA88" s="366">
        <v>1</v>
      </c>
      <c r="BB88" s="366">
        <v>1</v>
      </c>
      <c r="BC88" s="366">
        <v>1</v>
      </c>
      <c r="BD88" s="366">
        <v>1</v>
      </c>
      <c r="BE88" s="366">
        <v>1</v>
      </c>
      <c r="BF88" s="366">
        <v>1</v>
      </c>
      <c r="BH88" s="366">
        <v>3</v>
      </c>
      <c r="BI88" s="366">
        <v>3</v>
      </c>
      <c r="BJ88" s="366">
        <v>4</v>
      </c>
      <c r="BK88" s="366">
        <v>4</v>
      </c>
      <c r="BM88" s="366">
        <v>4</v>
      </c>
      <c r="BN88" s="366">
        <v>3</v>
      </c>
      <c r="BP88" s="206">
        <f t="shared" si="400"/>
        <v>3.00000000004</v>
      </c>
      <c r="BQ88" s="206">
        <f t="shared" si="401"/>
        <v>3.00000000002</v>
      </c>
      <c r="BR88" s="206">
        <f t="shared" si="402"/>
        <v>4.00000000003</v>
      </c>
      <c r="BS88" s="206">
        <f t="shared" si="403"/>
        <v>4.00000000001</v>
      </c>
      <c r="BT88" s="206">
        <f t="shared" si="404"/>
        <v>5.0000000000000002E-11</v>
      </c>
      <c r="BU88" s="206">
        <f t="shared" si="405"/>
        <v>4.00000000006</v>
      </c>
      <c r="BV88" s="206">
        <f t="shared" si="406"/>
        <v>3.00000000007</v>
      </c>
      <c r="BW88" s="206">
        <f t="shared" si="407"/>
        <v>7.9999999999999995E-11</v>
      </c>
      <c r="BX88" s="366">
        <f t="shared" si="355"/>
        <v>3.00000000004</v>
      </c>
      <c r="BY88" s="366">
        <f t="shared" si="356"/>
        <v>3.00000000002</v>
      </c>
      <c r="BZ88" s="366">
        <f t="shared" si="357"/>
        <v>4.00000000003</v>
      </c>
      <c r="CA88" s="366">
        <f t="shared" si="358"/>
        <v>4.00000000001</v>
      </c>
      <c r="CB88" s="366">
        <f t="shared" si="359"/>
        <v>5.0000000000000002E-11</v>
      </c>
      <c r="CC88" s="366">
        <f t="shared" si="360"/>
        <v>4.00000000006</v>
      </c>
      <c r="CD88" s="366">
        <f t="shared" si="361"/>
        <v>3.00000000007</v>
      </c>
      <c r="CE88" s="366">
        <f t="shared" si="362"/>
        <v>7.9999999999999995E-11</v>
      </c>
      <c r="CF88" s="2" t="b">
        <f t="shared" si="363"/>
        <v>1</v>
      </c>
      <c r="CG88" s="2" t="b">
        <f t="shared" si="364"/>
        <v>1</v>
      </c>
      <c r="CH88" s="2" t="b">
        <f t="shared" si="365"/>
        <v>1</v>
      </c>
      <c r="CI88" s="2" t="b">
        <f t="shared" si="366"/>
        <v>1</v>
      </c>
      <c r="CJ88" s="2" t="b">
        <f t="shared" si="408"/>
        <v>0</v>
      </c>
      <c r="CK88" s="2" t="b">
        <f t="shared" si="409"/>
        <v>1</v>
      </c>
      <c r="CL88" s="2" t="b">
        <f t="shared" si="410"/>
        <v>1</v>
      </c>
      <c r="CM88" s="2" t="b">
        <f t="shared" si="411"/>
        <v>0</v>
      </c>
      <c r="CN88" s="366">
        <v>1</v>
      </c>
      <c r="CO88" s="366">
        <v>1</v>
      </c>
      <c r="CP88" s="366">
        <v>1</v>
      </c>
      <c r="CQ88" s="366">
        <v>1</v>
      </c>
      <c r="CR88" s="366">
        <v>1</v>
      </c>
      <c r="CS88" s="366">
        <v>1</v>
      </c>
      <c r="CT88" s="366">
        <v>1</v>
      </c>
      <c r="CU88" s="366">
        <v>1</v>
      </c>
      <c r="CW88" s="366">
        <v>3</v>
      </c>
      <c r="CX88" s="366">
        <v>4</v>
      </c>
      <c r="CY88" s="366">
        <v>4</v>
      </c>
      <c r="CZ88" s="366">
        <v>3</v>
      </c>
      <c r="DB88" s="366">
        <v>4</v>
      </c>
      <c r="DC88" s="366">
        <v>3</v>
      </c>
      <c r="DE88" s="206">
        <f t="shared" si="390"/>
        <v>3.00000000004</v>
      </c>
      <c r="DF88" s="206">
        <f t="shared" si="391"/>
        <v>4.00000000002</v>
      </c>
      <c r="DG88" s="206">
        <f t="shared" si="392"/>
        <v>4.00000000003</v>
      </c>
      <c r="DH88" s="206">
        <f t="shared" si="393"/>
        <v>3.00000000001</v>
      </c>
      <c r="DI88" s="206">
        <f t="shared" si="394"/>
        <v>5.0000000000000002E-11</v>
      </c>
      <c r="DJ88" s="206">
        <f t="shared" si="395"/>
        <v>4.00000000006</v>
      </c>
      <c r="DK88" s="206">
        <f t="shared" si="396"/>
        <v>3.00000000007</v>
      </c>
      <c r="DL88" s="206">
        <f t="shared" si="397"/>
        <v>7.9999999999999995E-11</v>
      </c>
      <c r="DM88" s="366">
        <f t="shared" si="374"/>
        <v>3.00000000004</v>
      </c>
      <c r="DN88" s="366">
        <f t="shared" si="375"/>
        <v>4.00000000002</v>
      </c>
      <c r="DO88" s="366">
        <f t="shared" si="376"/>
        <v>4.00000000003</v>
      </c>
      <c r="DP88" s="366">
        <f t="shared" si="377"/>
        <v>3.00000000001</v>
      </c>
      <c r="DQ88" s="366">
        <f t="shared" si="378"/>
        <v>5.0000000000000002E-11</v>
      </c>
      <c r="DR88" s="366">
        <f t="shared" si="379"/>
        <v>4.00000000006</v>
      </c>
      <c r="DS88" s="366">
        <f t="shared" si="380"/>
        <v>3.00000000007</v>
      </c>
      <c r="DT88" s="366">
        <f t="shared" si="381"/>
        <v>7.9999999999999995E-11</v>
      </c>
      <c r="DU88" s="2" t="b">
        <f t="shared" si="382"/>
        <v>1</v>
      </c>
      <c r="DV88" s="2" t="b">
        <f t="shared" si="383"/>
        <v>1</v>
      </c>
      <c r="DW88" s="2" t="b">
        <f t="shared" si="384"/>
        <v>1</v>
      </c>
      <c r="DX88" s="2" t="b">
        <f t="shared" si="385"/>
        <v>1</v>
      </c>
      <c r="DY88" s="2" t="b">
        <f t="shared" si="413"/>
        <v>0</v>
      </c>
      <c r="DZ88" s="2" t="b">
        <f t="shared" si="413"/>
        <v>1</v>
      </c>
      <c r="EA88" s="2" t="b">
        <f t="shared" si="413"/>
        <v>1</v>
      </c>
      <c r="EB88" s="2" t="b">
        <f t="shared" si="413"/>
        <v>0</v>
      </c>
      <c r="EC88" s="366" t="s">
        <v>435</v>
      </c>
      <c r="ED88" s="366" t="s">
        <v>435</v>
      </c>
      <c r="EE88" s="366" t="s">
        <v>435</v>
      </c>
      <c r="EF88" s="366" t="s">
        <v>435</v>
      </c>
      <c r="EG88" s="366" t="s">
        <v>435</v>
      </c>
      <c r="EH88" s="366" t="s">
        <v>435</v>
      </c>
      <c r="EI88" s="366" t="s">
        <v>435</v>
      </c>
      <c r="EJ88" s="366" t="s">
        <v>435</v>
      </c>
      <c r="EK88" s="366" t="s">
        <v>435</v>
      </c>
      <c r="EL88" s="366" t="s">
        <v>435</v>
      </c>
      <c r="EM88" s="366" t="s">
        <v>435</v>
      </c>
      <c r="EN88" s="366" t="s">
        <v>435</v>
      </c>
      <c r="EO88" s="366" t="s">
        <v>435</v>
      </c>
      <c r="EP88" s="366" t="s">
        <v>435</v>
      </c>
      <c r="EQ88" s="366" t="s">
        <v>435</v>
      </c>
      <c r="ER88" s="366" t="s">
        <v>435</v>
      </c>
      <c r="FA88" s="366" t="s">
        <v>435</v>
      </c>
      <c r="FB88" s="366" t="s">
        <v>435</v>
      </c>
      <c r="FC88" s="366" t="s">
        <v>435</v>
      </c>
      <c r="FD88" s="366" t="s">
        <v>435</v>
      </c>
      <c r="FE88" s="366" t="s">
        <v>435</v>
      </c>
      <c r="FF88" s="366" t="s">
        <v>435</v>
      </c>
      <c r="FG88" s="366" t="s">
        <v>435</v>
      </c>
      <c r="FH88" s="366" t="s">
        <v>435</v>
      </c>
      <c r="FI88" s="366" t="s">
        <v>435</v>
      </c>
      <c r="FJ88" s="366" t="s">
        <v>435</v>
      </c>
      <c r="FK88" s="366" t="s">
        <v>435</v>
      </c>
      <c r="FL88" s="366" t="s">
        <v>435</v>
      </c>
      <c r="FM88" s="366" t="s">
        <v>435</v>
      </c>
      <c r="FN88" s="366" t="s">
        <v>435</v>
      </c>
      <c r="FO88" s="366" t="s">
        <v>435</v>
      </c>
      <c r="FP88" s="366" t="s">
        <v>435</v>
      </c>
    </row>
    <row r="89" spans="1:172">
      <c r="A89" s="2" t="s">
        <v>1166</v>
      </c>
      <c r="B89" s="2" t="s">
        <v>250</v>
      </c>
      <c r="C89" s="2" t="s">
        <v>1155</v>
      </c>
      <c r="D89" s="2" t="s">
        <v>1167</v>
      </c>
      <c r="E89" s="365" t="s">
        <v>815</v>
      </c>
      <c r="F89" s="368"/>
      <c r="G89" s="368"/>
      <c r="H89" s="368">
        <f t="shared" si="387"/>
        <v>22.000000000229999</v>
      </c>
      <c r="I89" s="368">
        <f t="shared" si="388"/>
        <v>21.000000000229999</v>
      </c>
      <c r="J89" s="368"/>
      <c r="K89" s="368"/>
      <c r="L89" s="368"/>
      <c r="M89" s="368" t="s">
        <v>356</v>
      </c>
      <c r="N89" s="368" t="s">
        <v>356</v>
      </c>
      <c r="O89" s="368" t="s">
        <v>356</v>
      </c>
      <c r="P89" s="368" t="s">
        <v>356</v>
      </c>
      <c r="Q89" s="368" t="s">
        <v>356</v>
      </c>
      <c r="R89" s="366" t="s">
        <v>1168</v>
      </c>
      <c r="S89" s="2" t="s">
        <v>817</v>
      </c>
      <c r="T89" s="2">
        <v>35</v>
      </c>
      <c r="U89" s="2" cm="1">
        <f t="array" ref="U89">IFERROR(INDEX('Offer Statistics'!$AI$2:$AI$350,MATCH(1,(A89='Offer Statistics'!$T$2:$T$350)*($A$11='Offer Statistics'!$U$2:$U$350),0)),"/")</f>
        <v>47</v>
      </c>
      <c r="V89" s="2" cm="1">
        <f t="array" ref="V89">IFERROR(INDEX('Offer Statistics'!$V$2:$V$350,MATCH(1,(A89='Offer Statistics'!$T$2:$T$350)*($A$11='Offer Statistics'!$U$2:$U$350),0)),"/")</f>
        <v>487</v>
      </c>
      <c r="W89" s="2" cm="1">
        <f t="array" ref="W89">IFERROR(INDEX('Offer Statistics'!$AD$2:$AD$350,MATCH(1,(A89='Offer Statistics'!$T$2:$T$350)*($A$11='Offer Statistics'!$U$2:$U$350),0)),"/")</f>
        <v>47</v>
      </c>
      <c r="X89" s="2">
        <f t="shared" si="389"/>
        <v>10.361702127659575</v>
      </c>
      <c r="Y89" s="2" t="s">
        <v>817</v>
      </c>
      <c r="Z89" s="2" t="str">
        <f>入學要求!AF98</f>
        <v>/</v>
      </c>
      <c r="AA89" s="2" t="str">
        <f>入學要求!AG98</f>
        <v>/</v>
      </c>
      <c r="AB89" s="403" t="s">
        <v>889</v>
      </c>
      <c r="AC89" s="368" t="s">
        <v>2888</v>
      </c>
      <c r="AD89" s="368"/>
      <c r="AE89" s="368" t="s">
        <v>356</v>
      </c>
      <c r="AF89" s="368" t="s">
        <v>356</v>
      </c>
      <c r="AG89" s="368" t="s">
        <v>356</v>
      </c>
      <c r="AH89" s="368" t="s">
        <v>356</v>
      </c>
      <c r="AI89" s="368" t="s">
        <v>356</v>
      </c>
      <c r="AJ89" s="400" t="s">
        <v>1067</v>
      </c>
      <c r="AK89" s="400" t="s">
        <v>818</v>
      </c>
      <c r="AL89" s="400" t="s">
        <v>1068</v>
      </c>
      <c r="AM89" s="400" t="s">
        <v>356</v>
      </c>
      <c r="AN89" s="400" t="s">
        <v>356</v>
      </c>
      <c r="AO89" s="400" t="s">
        <v>356</v>
      </c>
      <c r="AP89" s="400"/>
      <c r="AQ89" s="400"/>
      <c r="AR89" s="400"/>
      <c r="AS89" s="2" t="s">
        <v>1069</v>
      </c>
      <c r="AT89" s="2" t="s">
        <v>1070</v>
      </c>
      <c r="AU89" s="2" t="s">
        <v>817</v>
      </c>
      <c r="AY89" s="2">
        <v>1</v>
      </c>
      <c r="AZ89" s="2">
        <v>1</v>
      </c>
      <c r="BA89" s="2">
        <v>1</v>
      </c>
      <c r="BB89" s="2">
        <v>1</v>
      </c>
      <c r="BC89" s="2">
        <v>1</v>
      </c>
      <c r="BD89" s="2">
        <v>1</v>
      </c>
      <c r="BE89" s="2">
        <v>1</v>
      </c>
      <c r="BF89" s="2">
        <v>1</v>
      </c>
      <c r="BH89" s="2">
        <v>4</v>
      </c>
      <c r="BI89" s="2">
        <v>4</v>
      </c>
      <c r="BJ89" s="2">
        <v>2</v>
      </c>
      <c r="BK89" s="2">
        <v>4</v>
      </c>
      <c r="BM89" s="2">
        <v>4</v>
      </c>
      <c r="BN89" s="2">
        <v>3</v>
      </c>
      <c r="BP89" s="206">
        <f t="shared" si="400"/>
        <v>4.00000000004</v>
      </c>
      <c r="BQ89" s="206">
        <f t="shared" si="401"/>
        <v>4.00000000002</v>
      </c>
      <c r="BR89" s="206">
        <f t="shared" si="402"/>
        <v>2.00000000003</v>
      </c>
      <c r="BS89" s="206">
        <f t="shared" si="403"/>
        <v>4.00000000001</v>
      </c>
      <c r="BT89" s="206">
        <f t="shared" si="404"/>
        <v>5.0000000000000002E-11</v>
      </c>
      <c r="BU89" s="206">
        <f t="shared" si="405"/>
        <v>4.00000000006</v>
      </c>
      <c r="BV89" s="206">
        <f t="shared" si="406"/>
        <v>3.00000000007</v>
      </c>
      <c r="BW89" s="206">
        <f t="shared" si="407"/>
        <v>7.9999999999999995E-11</v>
      </c>
      <c r="BX89" s="2">
        <f t="shared" si="355"/>
        <v>4.00000000004</v>
      </c>
      <c r="BY89" s="2">
        <f t="shared" si="356"/>
        <v>4.00000000002</v>
      </c>
      <c r="BZ89" s="2">
        <f t="shared" si="357"/>
        <v>2.00000000003</v>
      </c>
      <c r="CA89" s="2">
        <f t="shared" si="358"/>
        <v>4.00000000001</v>
      </c>
      <c r="CB89" s="2">
        <f t="shared" si="359"/>
        <v>5.0000000000000002E-11</v>
      </c>
      <c r="CC89" s="2">
        <f t="shared" si="360"/>
        <v>4.00000000006</v>
      </c>
      <c r="CD89" s="2">
        <f t="shared" si="361"/>
        <v>3.00000000007</v>
      </c>
      <c r="CE89" s="2">
        <f t="shared" si="362"/>
        <v>7.9999999999999995E-11</v>
      </c>
      <c r="CF89" s="2" t="b">
        <f t="shared" si="363"/>
        <v>1</v>
      </c>
      <c r="CG89" s="2" t="b">
        <f t="shared" si="364"/>
        <v>1</v>
      </c>
      <c r="CH89" s="2" t="b">
        <f t="shared" si="365"/>
        <v>1</v>
      </c>
      <c r="CI89" s="2" t="b">
        <f t="shared" si="366"/>
        <v>1</v>
      </c>
      <c r="CJ89" s="2" t="b">
        <f t="shared" si="408"/>
        <v>0</v>
      </c>
      <c r="CK89" s="2" t="b">
        <f t="shared" si="409"/>
        <v>1</v>
      </c>
      <c r="CL89" s="2" t="b">
        <f t="shared" si="410"/>
        <v>1</v>
      </c>
      <c r="CM89" s="2" t="b">
        <f t="shared" si="411"/>
        <v>0</v>
      </c>
      <c r="CN89" s="2">
        <v>1</v>
      </c>
      <c r="CO89" s="2">
        <v>1</v>
      </c>
      <c r="CP89" s="2">
        <v>1</v>
      </c>
      <c r="CQ89" s="2">
        <v>1</v>
      </c>
      <c r="CR89" s="2">
        <v>1</v>
      </c>
      <c r="CS89" s="2">
        <v>1</v>
      </c>
      <c r="CT89" s="2">
        <v>1</v>
      </c>
      <c r="CU89" s="2">
        <v>1</v>
      </c>
      <c r="CW89" s="2">
        <v>4</v>
      </c>
      <c r="CX89" s="2">
        <v>3</v>
      </c>
      <c r="CY89" s="2">
        <v>3</v>
      </c>
      <c r="CZ89" s="2">
        <v>5</v>
      </c>
      <c r="DB89" s="2">
        <v>4</v>
      </c>
      <c r="DC89" s="2">
        <v>3</v>
      </c>
      <c r="DE89" s="206">
        <f t="shared" si="390"/>
        <v>4.00000000004</v>
      </c>
      <c r="DF89" s="206">
        <f t="shared" si="391"/>
        <v>3.00000000002</v>
      </c>
      <c r="DG89" s="206">
        <f t="shared" si="392"/>
        <v>3.00000000003</v>
      </c>
      <c r="DH89" s="206">
        <f t="shared" si="393"/>
        <v>5.00000000001</v>
      </c>
      <c r="DI89" s="206">
        <f t="shared" si="394"/>
        <v>5.0000000000000002E-11</v>
      </c>
      <c r="DJ89" s="206">
        <f t="shared" si="395"/>
        <v>4.00000000006</v>
      </c>
      <c r="DK89" s="206">
        <f t="shared" si="396"/>
        <v>3.00000000007</v>
      </c>
      <c r="DL89" s="206">
        <f t="shared" si="397"/>
        <v>7.9999999999999995E-11</v>
      </c>
      <c r="DM89" s="2">
        <f t="shared" si="374"/>
        <v>4.00000000004</v>
      </c>
      <c r="DN89" s="2">
        <f t="shared" si="375"/>
        <v>3.00000000002</v>
      </c>
      <c r="DO89" s="2">
        <f t="shared" si="376"/>
        <v>3.00000000003</v>
      </c>
      <c r="DP89" s="2">
        <f t="shared" si="377"/>
        <v>5.00000000001</v>
      </c>
      <c r="DQ89" s="2">
        <f t="shared" si="378"/>
        <v>5.0000000000000002E-11</v>
      </c>
      <c r="DR89" s="2">
        <f t="shared" si="379"/>
        <v>4.00000000006</v>
      </c>
      <c r="DS89" s="2">
        <f t="shared" si="380"/>
        <v>3.00000000007</v>
      </c>
      <c r="DT89" s="2">
        <f t="shared" si="381"/>
        <v>7.9999999999999995E-11</v>
      </c>
      <c r="DU89" s="2" t="b">
        <f t="shared" si="382"/>
        <v>1</v>
      </c>
      <c r="DV89" s="2" t="b">
        <f t="shared" si="383"/>
        <v>1</v>
      </c>
      <c r="DW89" s="2" t="b">
        <f t="shared" si="384"/>
        <v>1</v>
      </c>
      <c r="DX89" s="2" t="b">
        <f t="shared" si="385"/>
        <v>1</v>
      </c>
      <c r="DY89" s="2" t="b">
        <f t="shared" si="413"/>
        <v>0</v>
      </c>
      <c r="DZ89" s="2" t="b">
        <f t="shared" si="413"/>
        <v>1</v>
      </c>
      <c r="EA89" s="2" t="b">
        <f t="shared" si="413"/>
        <v>1</v>
      </c>
      <c r="EB89" s="2" t="b">
        <f t="shared" si="413"/>
        <v>0</v>
      </c>
      <c r="EC89" s="2" t="s">
        <v>435</v>
      </c>
      <c r="ED89" s="2" t="s">
        <v>435</v>
      </c>
      <c r="EE89" s="2" t="s">
        <v>435</v>
      </c>
      <c r="EF89" s="2" t="s">
        <v>435</v>
      </c>
      <c r="EG89" s="2" t="s">
        <v>435</v>
      </c>
      <c r="EH89" s="2" t="s">
        <v>435</v>
      </c>
      <c r="EI89" s="2" t="s">
        <v>435</v>
      </c>
      <c r="EJ89" s="2" t="s">
        <v>435</v>
      </c>
      <c r="EK89" s="2" t="s">
        <v>435</v>
      </c>
      <c r="EL89" s="2" t="s">
        <v>435</v>
      </c>
      <c r="EM89" s="2" t="s">
        <v>435</v>
      </c>
      <c r="EN89" s="2" t="s">
        <v>435</v>
      </c>
      <c r="EO89" s="2" t="s">
        <v>435</v>
      </c>
      <c r="EP89" s="2" t="s">
        <v>435</v>
      </c>
      <c r="EQ89" s="2" t="s">
        <v>435</v>
      </c>
      <c r="ER89" s="2" t="s">
        <v>435</v>
      </c>
      <c r="FA89" s="2" t="s">
        <v>435</v>
      </c>
      <c r="FB89" s="2" t="s">
        <v>435</v>
      </c>
      <c r="FC89" s="2" t="s">
        <v>435</v>
      </c>
      <c r="FD89" s="2" t="s">
        <v>435</v>
      </c>
      <c r="FE89" s="2" t="s">
        <v>435</v>
      </c>
      <c r="FF89" s="2" t="s">
        <v>435</v>
      </c>
      <c r="FG89" s="2" t="s">
        <v>435</v>
      </c>
      <c r="FH89" s="2" t="s">
        <v>435</v>
      </c>
      <c r="FI89" s="2" t="s">
        <v>435</v>
      </c>
      <c r="FJ89" s="2" t="s">
        <v>435</v>
      </c>
      <c r="FK89" s="2" t="s">
        <v>435</v>
      </c>
      <c r="FL89" s="2" t="s">
        <v>435</v>
      </c>
      <c r="FM89" s="2" t="s">
        <v>435</v>
      </c>
      <c r="FN89" s="2" t="s">
        <v>435</v>
      </c>
      <c r="FO89" s="2" t="s">
        <v>435</v>
      </c>
      <c r="FP89" s="2" t="s">
        <v>435</v>
      </c>
    </row>
    <row r="90" spans="1:172">
      <c r="A90" s="2" t="s">
        <v>1170</v>
      </c>
      <c r="B90" s="2" t="s">
        <v>250</v>
      </c>
      <c r="C90" s="2" t="s">
        <v>1155</v>
      </c>
      <c r="D90" s="2" t="s">
        <v>1171</v>
      </c>
      <c r="E90" s="365" t="s">
        <v>889</v>
      </c>
      <c r="F90" s="368"/>
      <c r="G90" s="368"/>
      <c r="H90" s="368">
        <f t="shared" si="387"/>
        <v>18.000000000210001</v>
      </c>
      <c r="I90" s="368">
        <f t="shared" si="388"/>
        <v>19.0000000002</v>
      </c>
      <c r="J90" s="368"/>
      <c r="K90" s="368"/>
      <c r="L90" s="368"/>
      <c r="M90" s="368" t="s">
        <v>356</v>
      </c>
      <c r="N90" s="368" t="s">
        <v>356</v>
      </c>
      <c r="O90" s="368" t="s">
        <v>356</v>
      </c>
      <c r="P90" s="368" t="s">
        <v>356</v>
      </c>
      <c r="Q90" s="368" t="s">
        <v>356</v>
      </c>
      <c r="R90" s="366" t="s">
        <v>1172</v>
      </c>
      <c r="S90" s="2" t="s">
        <v>817</v>
      </c>
      <c r="T90" s="2">
        <v>15</v>
      </c>
      <c r="U90" s="2" cm="1">
        <f t="array" ref="U90">IFERROR(INDEX('Offer Statistics'!$AI$2:$AI$350,MATCH(1,(A90='Offer Statistics'!$T$2:$T$350)*($A$11='Offer Statistics'!$U$2:$U$350),0)),"/")</f>
        <v>16</v>
      </c>
      <c r="V90" s="2" cm="1">
        <f t="array" ref="V90">IFERROR(INDEX('Offer Statistics'!$V$2:$V$350,MATCH(1,(A90='Offer Statistics'!$T$2:$T$350)*($A$11='Offer Statistics'!$U$2:$U$350),0)),"/")</f>
        <v>86</v>
      </c>
      <c r="W90" s="2" cm="1">
        <f t="array" ref="W90">IFERROR(INDEX('Offer Statistics'!$AD$2:$AD$350,MATCH(1,(A90='Offer Statistics'!$T$2:$T$350)*($A$11='Offer Statistics'!$U$2:$U$350),0)),"/")</f>
        <v>11</v>
      </c>
      <c r="X90" s="2">
        <f t="shared" si="389"/>
        <v>7.8181818181818183</v>
      </c>
      <c r="Y90" s="2" t="s">
        <v>817</v>
      </c>
      <c r="Z90" s="2" t="str">
        <f>入學要求!AF99</f>
        <v>/</v>
      </c>
      <c r="AA90" s="2" t="str">
        <f>入學要求!AG99</f>
        <v>/</v>
      </c>
      <c r="AB90" s="403" t="s">
        <v>889</v>
      </c>
      <c r="AC90" s="368"/>
      <c r="AD90" s="368"/>
      <c r="AE90" s="368" t="s">
        <v>356</v>
      </c>
      <c r="AF90" s="368" t="s">
        <v>356</v>
      </c>
      <c r="AG90" s="368" t="s">
        <v>356</v>
      </c>
      <c r="AH90" s="368" t="s">
        <v>356</v>
      </c>
      <c r="AI90" s="368" t="s">
        <v>356</v>
      </c>
      <c r="AJ90" s="400" t="s">
        <v>1067</v>
      </c>
      <c r="AK90" s="400" t="s">
        <v>818</v>
      </c>
      <c r="AL90" s="400" t="s">
        <v>1068</v>
      </c>
      <c r="AM90" s="400" t="s">
        <v>1162</v>
      </c>
      <c r="AN90" s="400" t="s">
        <v>356</v>
      </c>
      <c r="AO90" s="400" t="s">
        <v>356</v>
      </c>
      <c r="AP90" s="400" t="s">
        <v>1117</v>
      </c>
      <c r="AQ90" s="400" t="s">
        <v>1169</v>
      </c>
      <c r="AR90" s="400" t="s">
        <v>1118</v>
      </c>
      <c r="AS90" s="2" t="s">
        <v>1069</v>
      </c>
      <c r="AT90" s="2" t="s">
        <v>1070</v>
      </c>
      <c r="AU90" s="2" t="s">
        <v>817</v>
      </c>
      <c r="AY90" s="2">
        <v>1</v>
      </c>
      <c r="AZ90" s="2">
        <v>1</v>
      </c>
      <c r="BA90" s="2">
        <v>1</v>
      </c>
      <c r="BB90" s="2">
        <v>1</v>
      </c>
      <c r="BC90" s="2">
        <v>1</v>
      </c>
      <c r="BD90" s="2">
        <v>1</v>
      </c>
      <c r="BE90" s="2">
        <v>1</v>
      </c>
      <c r="BF90" s="2">
        <v>1</v>
      </c>
      <c r="BH90" s="2">
        <v>4</v>
      </c>
      <c r="BI90" s="2">
        <v>4</v>
      </c>
      <c r="BJ90" s="2">
        <v>2</v>
      </c>
      <c r="BK90" s="2">
        <v>4</v>
      </c>
      <c r="BM90" s="2">
        <v>4</v>
      </c>
      <c r="BN90" s="2">
        <v>3</v>
      </c>
      <c r="BP90" s="206">
        <f t="shared" si="400"/>
        <v>4.00000000004</v>
      </c>
      <c r="BQ90" s="206">
        <f t="shared" si="401"/>
        <v>4.00000000002</v>
      </c>
      <c r="BR90" s="206">
        <f t="shared" si="402"/>
        <v>2.00000000003</v>
      </c>
      <c r="BS90" s="206">
        <f t="shared" si="403"/>
        <v>4.00000000001</v>
      </c>
      <c r="BT90" s="206">
        <f t="shared" si="404"/>
        <v>5.0000000000000002E-11</v>
      </c>
      <c r="BU90" s="206">
        <f t="shared" si="405"/>
        <v>4.00000000006</v>
      </c>
      <c r="BV90" s="206">
        <f t="shared" si="406"/>
        <v>3.00000000007</v>
      </c>
      <c r="BW90" s="206">
        <f t="shared" si="407"/>
        <v>7.9999999999999995E-11</v>
      </c>
      <c r="BX90" s="2">
        <f t="shared" si="355"/>
        <v>4.00000000004</v>
      </c>
      <c r="BY90" s="2">
        <f t="shared" si="356"/>
        <v>4.00000000002</v>
      </c>
      <c r="BZ90" s="2">
        <f t="shared" si="357"/>
        <v>2.00000000003</v>
      </c>
      <c r="CA90" s="2">
        <f t="shared" si="358"/>
        <v>4.00000000001</v>
      </c>
      <c r="CB90" s="2">
        <f t="shared" si="359"/>
        <v>5.0000000000000002E-11</v>
      </c>
      <c r="CC90" s="2">
        <f t="shared" si="360"/>
        <v>4.00000000006</v>
      </c>
      <c r="CD90" s="2">
        <f t="shared" si="361"/>
        <v>3.00000000007</v>
      </c>
      <c r="CE90" s="2">
        <f t="shared" si="362"/>
        <v>7.9999999999999995E-11</v>
      </c>
      <c r="CF90" s="2" t="b">
        <f t="shared" si="363"/>
        <v>1</v>
      </c>
      <c r="CG90" s="2" t="b">
        <f t="shared" si="364"/>
        <v>1</v>
      </c>
      <c r="CH90" s="2" t="b">
        <f t="shared" si="365"/>
        <v>0</v>
      </c>
      <c r="CI90" s="2" t="b">
        <f t="shared" si="366"/>
        <v>1</v>
      </c>
      <c r="CJ90" s="2" t="b">
        <f t="shared" si="408"/>
        <v>0</v>
      </c>
      <c r="CK90" s="2" t="b">
        <f t="shared" si="409"/>
        <v>1</v>
      </c>
      <c r="CL90" s="2" t="b">
        <f t="shared" si="410"/>
        <v>1</v>
      </c>
      <c r="CM90" s="2" t="b">
        <f t="shared" si="411"/>
        <v>0</v>
      </c>
      <c r="CN90" s="2">
        <v>1</v>
      </c>
      <c r="CO90" s="2">
        <v>1</v>
      </c>
      <c r="CP90" s="2">
        <v>1</v>
      </c>
      <c r="CQ90" s="2">
        <v>1</v>
      </c>
      <c r="CR90" s="2">
        <v>1</v>
      </c>
      <c r="CS90" s="2">
        <v>1</v>
      </c>
      <c r="CT90" s="2">
        <v>1</v>
      </c>
      <c r="CU90" s="2">
        <v>1</v>
      </c>
      <c r="CW90" s="2">
        <v>3</v>
      </c>
      <c r="CX90" s="2">
        <v>3</v>
      </c>
      <c r="CY90" s="2">
        <v>4</v>
      </c>
      <c r="CZ90" s="2">
        <v>4</v>
      </c>
      <c r="DB90" s="2">
        <v>4</v>
      </c>
      <c r="DC90" s="2">
        <v>3</v>
      </c>
      <c r="DE90" s="206">
        <f t="shared" si="390"/>
        <v>3.00000000004</v>
      </c>
      <c r="DF90" s="206">
        <f t="shared" si="391"/>
        <v>3.00000000002</v>
      </c>
      <c r="DG90" s="206">
        <f t="shared" si="392"/>
        <v>4.00000000003</v>
      </c>
      <c r="DH90" s="206">
        <f t="shared" si="393"/>
        <v>4.00000000001</v>
      </c>
      <c r="DI90" s="206">
        <f t="shared" si="394"/>
        <v>5.0000000000000002E-11</v>
      </c>
      <c r="DJ90" s="206">
        <f t="shared" si="395"/>
        <v>4.00000000006</v>
      </c>
      <c r="DK90" s="206">
        <f t="shared" si="396"/>
        <v>3.00000000007</v>
      </c>
      <c r="DL90" s="206">
        <f t="shared" si="397"/>
        <v>7.9999999999999995E-11</v>
      </c>
      <c r="DM90" s="2">
        <f t="shared" si="374"/>
        <v>3.00000000004</v>
      </c>
      <c r="DN90" s="2">
        <f t="shared" si="375"/>
        <v>3.00000000002</v>
      </c>
      <c r="DO90" s="2">
        <f t="shared" si="376"/>
        <v>4.00000000003</v>
      </c>
      <c r="DP90" s="2">
        <f t="shared" si="377"/>
        <v>4.00000000001</v>
      </c>
      <c r="DQ90" s="2">
        <f t="shared" si="378"/>
        <v>5.0000000000000002E-11</v>
      </c>
      <c r="DR90" s="2">
        <f t="shared" si="379"/>
        <v>4.00000000006</v>
      </c>
      <c r="DS90" s="2">
        <f t="shared" si="380"/>
        <v>3.00000000007</v>
      </c>
      <c r="DT90" s="2">
        <f t="shared" si="381"/>
        <v>7.9999999999999995E-11</v>
      </c>
      <c r="DU90" s="2" t="b">
        <f t="shared" si="382"/>
        <v>1</v>
      </c>
      <c r="DV90" s="2" t="b">
        <f t="shared" si="383"/>
        <v>0</v>
      </c>
      <c r="DW90" s="2" t="b">
        <f t="shared" si="384"/>
        <v>1</v>
      </c>
      <c r="DX90" s="2" t="b">
        <f t="shared" si="385"/>
        <v>1</v>
      </c>
      <c r="DY90" s="2" t="b">
        <f t="shared" si="413"/>
        <v>0</v>
      </c>
      <c r="DZ90" s="2" t="b">
        <f t="shared" si="413"/>
        <v>1</v>
      </c>
      <c r="EA90" s="2" t="b">
        <f t="shared" si="413"/>
        <v>1</v>
      </c>
      <c r="EB90" s="2" t="b">
        <f t="shared" si="413"/>
        <v>0</v>
      </c>
      <c r="EC90" s="2" t="s">
        <v>435</v>
      </c>
      <c r="ED90" s="2" t="s">
        <v>435</v>
      </c>
      <c r="EE90" s="2" t="s">
        <v>435</v>
      </c>
      <c r="EF90" s="2" t="s">
        <v>435</v>
      </c>
      <c r="EG90" s="2" t="s">
        <v>435</v>
      </c>
      <c r="EH90" s="2" t="s">
        <v>435</v>
      </c>
      <c r="EI90" s="2" t="s">
        <v>435</v>
      </c>
      <c r="EJ90" s="2" t="s">
        <v>435</v>
      </c>
      <c r="EK90" s="2" t="s">
        <v>435</v>
      </c>
      <c r="EL90" s="2" t="s">
        <v>435</v>
      </c>
      <c r="EM90" s="2" t="s">
        <v>435</v>
      </c>
      <c r="EN90" s="2" t="s">
        <v>435</v>
      </c>
      <c r="EO90" s="2" t="s">
        <v>435</v>
      </c>
      <c r="EP90" s="2" t="s">
        <v>435</v>
      </c>
      <c r="EQ90" s="2" t="s">
        <v>435</v>
      </c>
      <c r="ER90" s="2" t="s">
        <v>435</v>
      </c>
      <c r="FA90" s="2" t="s">
        <v>435</v>
      </c>
      <c r="FB90" s="2" t="s">
        <v>435</v>
      </c>
      <c r="FC90" s="2" t="s">
        <v>435</v>
      </c>
      <c r="FD90" s="2" t="s">
        <v>435</v>
      </c>
      <c r="FE90" s="2" t="s">
        <v>435</v>
      </c>
      <c r="FF90" s="2" t="s">
        <v>435</v>
      </c>
      <c r="FG90" s="2" t="s">
        <v>435</v>
      </c>
      <c r="FH90" s="2" t="s">
        <v>435</v>
      </c>
      <c r="FI90" s="2" t="s">
        <v>435</v>
      </c>
      <c r="FJ90" s="2" t="s">
        <v>435</v>
      </c>
      <c r="FK90" s="2" t="s">
        <v>435</v>
      </c>
      <c r="FL90" s="2" t="s">
        <v>435</v>
      </c>
      <c r="FM90" s="2" t="s">
        <v>435</v>
      </c>
      <c r="FN90" s="2" t="s">
        <v>435</v>
      </c>
      <c r="FO90" s="2" t="s">
        <v>435</v>
      </c>
      <c r="FP90" s="2" t="s">
        <v>435</v>
      </c>
    </row>
    <row r="91" spans="1:172">
      <c r="B91" s="359" t="s">
        <v>2896</v>
      </c>
      <c r="E91" s="11"/>
    </row>
    <row r="92" spans="1:172">
      <c r="E92" s="128"/>
      <c r="T92" s="2" t="s">
        <v>75</v>
      </c>
      <c r="U92" s="2" t="s">
        <v>124</v>
      </c>
      <c r="X92" s="2" t="s">
        <v>1062</v>
      </c>
      <c r="AE92" s="364"/>
      <c r="AF92" s="364"/>
    </row>
    <row r="93" spans="1:172" s="406" customFormat="1">
      <c r="A93" s="406" t="s">
        <v>2557</v>
      </c>
      <c r="B93" s="406" t="s">
        <v>253</v>
      </c>
      <c r="C93" s="406" t="s">
        <v>975</v>
      </c>
      <c r="D93" s="406" t="s">
        <v>2901</v>
      </c>
      <c r="E93" s="410" t="s">
        <v>889</v>
      </c>
      <c r="H93" s="406">
        <v>188</v>
      </c>
      <c r="I93" s="406">
        <v>179</v>
      </c>
      <c r="M93" s="406" t="s">
        <v>2902</v>
      </c>
      <c r="N93" s="406" t="s">
        <v>2903</v>
      </c>
      <c r="O93" s="406" t="s">
        <v>2969</v>
      </c>
      <c r="P93" s="406" t="s">
        <v>1175</v>
      </c>
      <c r="Q93" s="406" t="s">
        <v>2922</v>
      </c>
      <c r="R93" s="406" t="s">
        <v>2846</v>
      </c>
      <c r="S93" s="406" t="s">
        <v>1177</v>
      </c>
      <c r="T93" s="406">
        <v>63</v>
      </c>
      <c r="U93" s="406" t="str" cm="1">
        <f t="array" ref="U93">IFERROR(INDEX('Offer Statistics'!$AZ$2:$AZ$350,MATCH(1,(A93='Offer Statistics'!$AK$2:$AK$350)*($A$11='Offer Statistics'!$AL$2:$AL$350),0)),"/")</f>
        <v>/</v>
      </c>
      <c r="V93" s="406" t="str" cm="1">
        <f t="array" ref="V93">IFERROR(INDEX('Offer Statistics'!$AM$2:$AM$350,MATCH(1,(A93='Offer Statistics'!$AK$2:$AK$350)*($A$11='Offer Statistics'!$AL$2:$AL$350),0)),"/")</f>
        <v>/</v>
      </c>
      <c r="W93" s="406" t="str" cm="1">
        <f t="array" ref="W93">IFERROR(INDEX('Offer Statistics'!$AU$2:$AU$350,MATCH(1,(A93='Offer Statistics'!$AK$2:$AK$350)*($A$11='Offer Statistics'!$AL$2:$AL$350),0)),"/")</f>
        <v>/</v>
      </c>
      <c r="X93" s="406" t="str">
        <f>IFERROR(V93/W93,"新科目")</f>
        <v>新科目</v>
      </c>
      <c r="Y93" s="406" t="s">
        <v>1177</v>
      </c>
      <c r="Z93" s="406" t="str">
        <f>入學要求!AF102</f>
        <v>/</v>
      </c>
      <c r="AA93" s="406" t="str">
        <f>入學要求!AG102</f>
        <v>/</v>
      </c>
      <c r="AB93" s="368" t="s">
        <v>889</v>
      </c>
      <c r="AE93" s="406" t="s">
        <v>356</v>
      </c>
      <c r="AF93" s="406" t="s">
        <v>356</v>
      </c>
      <c r="AG93" s="405" t="s">
        <v>2936</v>
      </c>
      <c r="AH93" s="406" t="s">
        <v>2905</v>
      </c>
      <c r="AI93" s="406" t="s">
        <v>2922</v>
      </c>
      <c r="AJ93" s="406" t="s">
        <v>356</v>
      </c>
      <c r="AK93" s="406" t="s">
        <v>356</v>
      </c>
      <c r="AL93" s="406" t="s">
        <v>356</v>
      </c>
      <c r="AM93" s="406" t="s">
        <v>356</v>
      </c>
      <c r="AN93" s="406" t="s">
        <v>356</v>
      </c>
      <c r="AO93" s="406" t="s">
        <v>356</v>
      </c>
      <c r="AP93" s="406" t="s">
        <v>356</v>
      </c>
      <c r="AQ93" s="406" t="s">
        <v>356</v>
      </c>
      <c r="AS93" s="95" t="s">
        <v>820</v>
      </c>
      <c r="AT93" s="95"/>
      <c r="AU93" s="406" t="s">
        <v>817</v>
      </c>
      <c r="AV93" s="406" t="s">
        <v>356</v>
      </c>
      <c r="AW93" s="406" t="s">
        <v>356</v>
      </c>
      <c r="AX93" s="406" t="s">
        <v>356</v>
      </c>
      <c r="BP93" s="407">
        <f>IFERROR(BH93+0.00000000004,0)</f>
        <v>3.9999999999999998E-11</v>
      </c>
      <c r="BQ93" s="407">
        <f t="shared" ref="BQ93" si="414">IFERROR(BI93+0.00000000002,0)</f>
        <v>1.9999999999999999E-11</v>
      </c>
      <c r="BR93" s="407">
        <f t="shared" ref="BR93" si="415">IFERROR(BJ93+0.00000000003,0)</f>
        <v>3E-11</v>
      </c>
      <c r="BS93" s="407">
        <f>IFERROR(BK93+0.00000000001,0)</f>
        <v>9.9999999999999994E-12</v>
      </c>
      <c r="BT93" s="407">
        <f t="shared" ref="BT93" si="416">IFERROR(BL93+0.00000000005,0)</f>
        <v>5.0000000000000002E-11</v>
      </c>
      <c r="BU93" s="407">
        <f t="shared" ref="BU93" si="417">IFERROR(BM93+0.00000000006,0)</f>
        <v>6E-11</v>
      </c>
      <c r="BV93" s="407">
        <f t="shared" ref="BV93" si="418">IFERROR(BN93+0.00000000007,0)</f>
        <v>7.0000000000000004E-11</v>
      </c>
      <c r="BW93" s="407">
        <f t="shared" ref="BW93" si="419">IFERROR(BO93+0.00000000008,0)</f>
        <v>7.9999999999999995E-11</v>
      </c>
      <c r="BX93" s="406">
        <f t="shared" ref="BX93:BX124" si="420">AY93*BP93</f>
        <v>0</v>
      </c>
      <c r="BY93" s="406">
        <f t="shared" ref="BY93:BY124" si="421">AZ93*BQ93</f>
        <v>0</v>
      </c>
      <c r="BZ93" s="406">
        <f t="shared" ref="BZ93:BZ124" si="422">BA93*BR93</f>
        <v>0</v>
      </c>
      <c r="CA93" s="406">
        <f t="shared" ref="CA93:CA124" si="423">BB93*BS93</f>
        <v>0</v>
      </c>
      <c r="CB93" s="406">
        <f t="shared" ref="CB93:CB124" si="424">BC93*BT93</f>
        <v>0</v>
      </c>
      <c r="CC93" s="406">
        <f t="shared" ref="CC93:CC124" si="425">BD93*BU93</f>
        <v>0</v>
      </c>
      <c r="CD93" s="406">
        <f t="shared" ref="CD93:CD124" si="426">BE93*BV93</f>
        <v>0</v>
      </c>
      <c r="CE93" s="406">
        <f t="shared" ref="CE93:CE124" si="427">BF93*BW93</f>
        <v>0</v>
      </c>
      <c r="CF93" s="406" t="b">
        <f t="shared" ref="CF93:CF107" si="428">IF($E93="4C2X",TRUE,IF($E93="Best 5",IF(BX93&gt;LARGE($BX93:$CE93,6),TRUE),IF($E93="Best 6",IF(BX93&gt;LARGE($BX93:$CE93,7),TRUE))))</f>
        <v>0</v>
      </c>
      <c r="CG93" s="406" t="b">
        <f t="shared" ref="CG93:CG107" si="429">IF($E93="4C2X",TRUE,IF($E93="Best 5",IF(BY93&gt;LARGE($BX93:$CE93,6),TRUE),IF($E93="Best 6",IF(BY93&gt;LARGE($BX93:$CE93,7),TRUE))))</f>
        <v>0</v>
      </c>
      <c r="CH93" s="406" t="b">
        <f t="shared" ref="CH93:CH107" si="430">IF($E93="4C2X",TRUE,IF($E93="Best 5",IF(BZ93&gt;LARGE($BX93:$CE93,6),TRUE),IF($E93="Best 6",IF(BZ93&gt;LARGE($BX93:$CE93,7),TRUE))))</f>
        <v>0</v>
      </c>
      <c r="CI93" s="406" t="b">
        <f t="shared" ref="CI93:CI107" si="431">IF($E93="4C2X",TRUE,IF($E93="Best 5",IF(CA93&gt;LARGE($BX93:$CE93,6),TRUE),IF($E93="Best 6",IF(CA93&gt;LARGE($BX93:$CE93,7),TRUE))))</f>
        <v>0</v>
      </c>
      <c r="CJ93" s="406" t="b">
        <f t="shared" ref="CJ93:CJ107" si="432">IF($E93="4C2X",IF(CB93&gt;LARGE($CB93:$CE93,3),TRUE),IF($E93="Best 5",IF(CB93&gt;LARGE($BX93:$CE93,6),TRUE),IF($E93="Best 6",IF(CB93&gt;LARGE($BX93:$CE93,7),TRUE))))</f>
        <v>0</v>
      </c>
      <c r="CK93" s="406" t="b">
        <f t="shared" ref="CK93:CK107" si="433">IF($E93="4C2X",IF(CC93&gt;LARGE($CB93:$CE93,3),TRUE),IF($E93="Best 5",IF(CC93&gt;LARGE($BX93:$CE93,6),TRUE),IF($E93="Best 6",IF(CC93&gt;LARGE($BX93:$CE93,7),TRUE))))</f>
        <v>0</v>
      </c>
      <c r="CL93" s="406" t="b">
        <f t="shared" ref="CL93:CL107" si="434">IF($E93="4C2X",IF(CD93&gt;LARGE($CB93:$CE93,3),TRUE),IF($E93="Best 5",IF(CD93&gt;LARGE($BX93:$CE93,6),TRUE),IF($E93="Best 6",IF(CD93&gt;LARGE($BX93:$CE93,7),TRUE))))</f>
        <v>0</v>
      </c>
      <c r="CM93" s="406" t="b">
        <f t="shared" ref="CM93:CM107" si="435">IF($E93="4C2X",IF(CE93&gt;LARGE($CB93:$CE93,3),TRUE),IF($E93="Best 5",IF(CE93&gt;LARGE($BX93:$CE93,6),TRUE),IF($E93="Best 6",IF(CE93&gt;LARGE($BX93:$CE93,7),TRUE))))</f>
        <v>0</v>
      </c>
      <c r="DE93" s="407">
        <f t="shared" ref="DE93:DE124" si="436">IFERROR(CW93+0.00000000001,0)</f>
        <v>9.9999999999999994E-12</v>
      </c>
      <c r="DF93" s="407">
        <f>IFERROR(CX93+0.00000000002,0)</f>
        <v>1.9999999999999999E-11</v>
      </c>
      <c r="DG93" s="407">
        <f>IFERROR(CY93+0.00000000003,0)</f>
        <v>3E-11</v>
      </c>
      <c r="DH93" s="407">
        <f>IFERROR(CZ93+0.00000000004,0)</f>
        <v>3.9999999999999998E-11</v>
      </c>
      <c r="DI93" s="407">
        <f>IFERROR(DA93+0.00000000005,0)</f>
        <v>5.0000000000000002E-11</v>
      </c>
      <c r="DJ93" s="407">
        <f>IFERROR(DB93+0.00000000006,0)</f>
        <v>6E-11</v>
      </c>
      <c r="DK93" s="407">
        <f>IFERROR(DC93+0.00000000007,0)</f>
        <v>7.0000000000000004E-11</v>
      </c>
      <c r="DL93" s="407">
        <f>IFERROR(DD93+0.00000000008,0)</f>
        <v>7.9999999999999995E-11</v>
      </c>
      <c r="DM93" s="406">
        <f t="shared" ref="DM93:DM124" si="437">CN93*DE93</f>
        <v>0</v>
      </c>
      <c r="DN93" s="406">
        <f t="shared" ref="DN93:DN124" si="438">CO93*DF93</f>
        <v>0</v>
      </c>
      <c r="DO93" s="406">
        <f t="shared" ref="DO93:DO124" si="439">CP93*DG93</f>
        <v>0</v>
      </c>
      <c r="DP93" s="406">
        <f t="shared" ref="DP93:DP124" si="440">CQ93*DH93</f>
        <v>0</v>
      </c>
      <c r="DQ93" s="406">
        <f t="shared" ref="DQ93:DQ124" si="441">CR93*DI93</f>
        <v>0</v>
      </c>
      <c r="DR93" s="406">
        <f t="shared" ref="DR93:DR124" si="442">CS93*DJ93</f>
        <v>0</v>
      </c>
      <c r="DS93" s="406">
        <f t="shared" ref="DS93:DS124" si="443">CT93*DK93</f>
        <v>0</v>
      </c>
      <c r="DT93" s="406">
        <f t="shared" ref="DT93:DT124" si="444">CU93*DL93</f>
        <v>0</v>
      </c>
      <c r="DU93" s="406" t="b">
        <f t="shared" ref="DU93:DU107" si="445">IF($E93="4C2X",TRUE,IF($E93="Best 5",IF(DM93&gt;LARGE($DM93:$DT93,6),TRUE),IF($E93="Best 6",IF(DM93&gt;LARGE($DM93:$DT93,7),TRUE))))</f>
        <v>0</v>
      </c>
      <c r="DV93" s="406" t="b">
        <f t="shared" ref="DV93:DV107" si="446">IF($E93="4C2X",TRUE,IF($E93="Best 5",IF(DN93&gt;LARGE($DM93:$DT93,6),TRUE),IF($E93="Best 6",IF(DN93&gt;LARGE($DM93:$DT93,7),TRUE))))</f>
        <v>0</v>
      </c>
      <c r="DW93" s="406" t="b">
        <f t="shared" ref="DW93:DW107" si="447">IF($E93="4C2X",TRUE,IF($E93="Best 5",IF(DO93&gt;LARGE($DM93:$DT93,6),TRUE),IF($E93="Best 6",IF(DO93&gt;LARGE($DM93:$DT93,7),TRUE))))</f>
        <v>0</v>
      </c>
      <c r="DX93" s="406" t="b">
        <f t="shared" ref="DX93:DX107" si="448">IF($E93="4C2X",TRUE,IF($E93="Best 5",IF(DP93&gt;LARGE($DM93:$DT93,6),TRUE),IF($E93="Best 6",IF(DP93&gt;LARGE($DM93:$DT93,7),TRUE))))</f>
        <v>0</v>
      </c>
      <c r="DY93" s="406" t="b">
        <f t="shared" ref="DY93:DY107" si="449">IF($E93="4C2X",IF(DQ93&gt;LARGE($DQ93:$DT93,3),TRUE),IF($E93="Best 5",IF(DQ93&gt;LARGE($DM93:$DT93,6),TRUE),IF($E93="Best 6",IF(DQ93&gt;LARGE($DM93:$DT93,7),TRUE))))</f>
        <v>0</v>
      </c>
      <c r="DZ93" s="406" t="b">
        <f t="shared" ref="DZ93:DZ107" si="450">IF($E93="4C2X",IF(DR93&gt;LARGE($DQ93:$DT93,3),TRUE),IF($E93="Best 5",IF(DR93&gt;LARGE($DM93:$DT93,6),TRUE),IF($E93="Best 6",IF(DR93&gt;LARGE($DM93:$DT93,7),TRUE))))</f>
        <v>0</v>
      </c>
      <c r="EA93" s="406" t="b">
        <f t="shared" ref="EA93:EA107" si="451">IF($E93="4C2X",IF(DS93&gt;LARGE($DQ93:$DT93,3),TRUE),IF($E93="Best 5",IF(DS93&gt;LARGE($DM93:$DT93,6),TRUE),IF($E93="Best 6",IF(DS93&gt;LARGE($DM93:$DT93,7),TRUE))))</f>
        <v>0</v>
      </c>
      <c r="EB93" s="406" t="b">
        <f t="shared" ref="EB93:EB107" si="452">IF($E93="4C2X",IF(DT93&gt;LARGE($DQ93:$DT93,3),TRUE),IF($E93="Best 5",IF(DT93&gt;LARGE($DM93:$DT93,6),TRUE),IF($E93="Best 6",IF(DT93&gt;LARGE($DM93:$DT93,7),TRUE))))</f>
        <v>0</v>
      </c>
      <c r="EC93" s="406" t="s">
        <v>435</v>
      </c>
      <c r="ED93" s="406" t="s">
        <v>435</v>
      </c>
      <c r="EE93" s="406" t="s">
        <v>435</v>
      </c>
      <c r="EF93" s="406" t="s">
        <v>435</v>
      </c>
      <c r="EG93" s="406" t="s">
        <v>435</v>
      </c>
      <c r="EH93" s="406" t="s">
        <v>435</v>
      </c>
      <c r="EI93" s="406" t="s">
        <v>435</v>
      </c>
      <c r="EJ93" s="406" t="s">
        <v>435</v>
      </c>
      <c r="EK93" s="406" t="s">
        <v>435</v>
      </c>
      <c r="EL93" s="406" t="s">
        <v>435</v>
      </c>
      <c r="EM93" s="406" t="s">
        <v>435</v>
      </c>
      <c r="EN93" s="406" t="s">
        <v>435</v>
      </c>
      <c r="EO93" s="406" t="s">
        <v>435</v>
      </c>
      <c r="EP93" s="406" t="s">
        <v>435</v>
      </c>
      <c r="EQ93" s="406" t="s">
        <v>435</v>
      </c>
      <c r="ER93" s="406" t="s">
        <v>435</v>
      </c>
      <c r="FA93" s="406" t="s">
        <v>435</v>
      </c>
      <c r="FB93" s="406" t="s">
        <v>435</v>
      </c>
      <c r="FC93" s="406" t="s">
        <v>435</v>
      </c>
      <c r="FD93" s="406" t="s">
        <v>435</v>
      </c>
      <c r="FE93" s="406" t="s">
        <v>435</v>
      </c>
      <c r="FF93" s="406" t="s">
        <v>435</v>
      </c>
      <c r="FG93" s="406" t="s">
        <v>435</v>
      </c>
      <c r="FH93" s="406" t="s">
        <v>435</v>
      </c>
      <c r="FI93" s="406" t="s">
        <v>435</v>
      </c>
      <c r="FJ93" s="406" t="s">
        <v>435</v>
      </c>
      <c r="FK93" s="406" t="s">
        <v>435</v>
      </c>
      <c r="FL93" s="406" t="s">
        <v>435</v>
      </c>
      <c r="FM93" s="406" t="s">
        <v>435</v>
      </c>
      <c r="FN93" s="406" t="s">
        <v>435</v>
      </c>
      <c r="FO93" s="406" t="s">
        <v>435</v>
      </c>
      <c r="FP93" s="406" t="s">
        <v>435</v>
      </c>
    </row>
    <row r="94" spans="1:172" s="95" customFormat="1">
      <c r="A94" s="95" t="s">
        <v>1178</v>
      </c>
      <c r="B94" s="95" t="s">
        <v>253</v>
      </c>
      <c r="C94" s="95" t="s">
        <v>975</v>
      </c>
      <c r="D94" s="95" t="s">
        <v>1179</v>
      </c>
      <c r="E94" s="386" t="s">
        <v>889</v>
      </c>
      <c r="H94" s="95">
        <v>180.5</v>
      </c>
      <c r="I94" s="95">
        <v>174.5</v>
      </c>
      <c r="O94" s="95" t="s">
        <v>2921</v>
      </c>
      <c r="P94" s="95" t="s">
        <v>2970</v>
      </c>
      <c r="Q94" s="95" t="s">
        <v>2922</v>
      </c>
      <c r="R94" s="95" t="s">
        <v>1180</v>
      </c>
      <c r="S94" s="95" t="s">
        <v>1177</v>
      </c>
      <c r="T94" s="95">
        <v>21</v>
      </c>
      <c r="U94" s="95" cm="1">
        <f t="array" ref="U94">IFERROR(INDEX('Offer Statistics'!$AZ$2:$AZ$350,MATCH(1,(A94='Offer Statistics'!$AK$2:$AK$350)*($A$11='Offer Statistics'!$AL$2:$AL$350),0)),"/")</f>
        <v>34</v>
      </c>
      <c r="V94" s="95" cm="1">
        <f t="array" ref="V94">IFERROR(INDEX('Offer Statistics'!$AM$2:$AM$350,MATCH(1,(A94='Offer Statistics'!$AK$2:$AK$350)*($A$11='Offer Statistics'!$AL$2:$AL$350),0)),"/")</f>
        <v>231</v>
      </c>
      <c r="W94" s="95" cm="1">
        <f t="array" ref="W94">IFERROR(INDEX('Offer Statistics'!$AU$2:$AU$350,MATCH(1,(A94='Offer Statistics'!$AK$2:$AK$350)*($A$11='Offer Statistics'!$AL$2:$AL$350),0)),"/")</f>
        <v>33</v>
      </c>
      <c r="X94" s="95">
        <f t="shared" ref="X94:X124" si="453">IFERROR(V94/W94,"新科目")</f>
        <v>7</v>
      </c>
      <c r="Y94" s="95" t="s">
        <v>1177</v>
      </c>
      <c r="Z94" s="95" t="str">
        <f>入學要求!AF103</f>
        <v>/</v>
      </c>
      <c r="AA94" s="95" t="str">
        <f>入學要求!AG103</f>
        <v>/</v>
      </c>
      <c r="AB94" s="368" t="s">
        <v>889</v>
      </c>
      <c r="AC94" s="364"/>
      <c r="AD94" s="364"/>
      <c r="AE94" s="364" t="s">
        <v>356</v>
      </c>
      <c r="AF94" s="364" t="s">
        <v>356</v>
      </c>
      <c r="AG94" s="364" t="s">
        <v>2921</v>
      </c>
      <c r="AH94" s="364" t="s">
        <v>2906</v>
      </c>
      <c r="AI94" s="364" t="s">
        <v>2922</v>
      </c>
      <c r="AJ94" s="95" t="s">
        <v>356</v>
      </c>
      <c r="AK94" s="95" t="s">
        <v>356</v>
      </c>
      <c r="AL94" s="95" t="s">
        <v>356</v>
      </c>
      <c r="AM94" s="95" t="s">
        <v>356</v>
      </c>
      <c r="AN94" s="95" t="s">
        <v>356</v>
      </c>
      <c r="AO94" s="95" t="s">
        <v>356</v>
      </c>
      <c r="AP94" s="95" t="s">
        <v>356</v>
      </c>
      <c r="AQ94" s="95" t="s">
        <v>356</v>
      </c>
      <c r="AS94" s="95" t="s">
        <v>820</v>
      </c>
      <c r="AU94" s="95" t="s">
        <v>817</v>
      </c>
      <c r="AV94" s="95" t="s">
        <v>356</v>
      </c>
      <c r="AW94" s="95" t="s">
        <v>356</v>
      </c>
      <c r="AX94" s="95" t="s">
        <v>356</v>
      </c>
      <c r="BP94" s="407">
        <f t="shared" ref="BP94:BP124" si="454">IFERROR(BH94+0.00000000004,0)</f>
        <v>3.9999999999999998E-11</v>
      </c>
      <c r="BQ94" s="407">
        <f t="shared" ref="BQ94:BQ124" si="455">IFERROR(BI94+0.00000000002,0)</f>
        <v>1.9999999999999999E-11</v>
      </c>
      <c r="BR94" s="407">
        <f t="shared" ref="BR94:BR124" si="456">IFERROR(BJ94+0.00000000003,0)</f>
        <v>3E-11</v>
      </c>
      <c r="BS94" s="407">
        <f t="shared" ref="BS94:BS124" si="457">IFERROR(BK94+0.00000000001,0)</f>
        <v>9.9999999999999994E-12</v>
      </c>
      <c r="BT94" s="407">
        <f t="shared" ref="BT94:BT124" si="458">IFERROR(BL94+0.00000000005,0)</f>
        <v>5.0000000000000002E-11</v>
      </c>
      <c r="BU94" s="407">
        <f t="shared" ref="BU94:BU124" si="459">IFERROR(BM94+0.00000000006,0)</f>
        <v>6E-11</v>
      </c>
      <c r="BV94" s="407">
        <f t="shared" ref="BV94:BV124" si="460">IFERROR(BN94+0.00000000007,0)</f>
        <v>7.0000000000000004E-11</v>
      </c>
      <c r="BW94" s="407">
        <f t="shared" ref="BW94:BW124" si="461">IFERROR(BO94+0.00000000008,0)</f>
        <v>7.9999999999999995E-11</v>
      </c>
      <c r="BX94" s="95">
        <f t="shared" si="420"/>
        <v>0</v>
      </c>
      <c r="BY94" s="95">
        <f t="shared" si="421"/>
        <v>0</v>
      </c>
      <c r="BZ94" s="95">
        <f t="shared" si="422"/>
        <v>0</v>
      </c>
      <c r="CA94" s="95">
        <f t="shared" si="423"/>
        <v>0</v>
      </c>
      <c r="CB94" s="95">
        <f t="shared" si="424"/>
        <v>0</v>
      </c>
      <c r="CC94" s="95">
        <f t="shared" si="425"/>
        <v>0</v>
      </c>
      <c r="CD94" s="95">
        <f t="shared" si="426"/>
        <v>0</v>
      </c>
      <c r="CE94" s="95">
        <f t="shared" si="427"/>
        <v>0</v>
      </c>
      <c r="CF94" s="95" t="b">
        <f t="shared" si="428"/>
        <v>0</v>
      </c>
      <c r="CG94" s="95" t="b">
        <f t="shared" si="429"/>
        <v>0</v>
      </c>
      <c r="CH94" s="95" t="b">
        <f t="shared" si="430"/>
        <v>0</v>
      </c>
      <c r="CI94" s="95" t="b">
        <f t="shared" si="431"/>
        <v>0</v>
      </c>
      <c r="CJ94" s="95" t="b">
        <f t="shared" si="432"/>
        <v>0</v>
      </c>
      <c r="CK94" s="95" t="b">
        <f t="shared" si="433"/>
        <v>0</v>
      </c>
      <c r="CL94" s="95" t="b">
        <f t="shared" si="434"/>
        <v>0</v>
      </c>
      <c r="CM94" s="95" t="b">
        <f t="shared" si="435"/>
        <v>0</v>
      </c>
      <c r="DE94" s="222">
        <f t="shared" si="436"/>
        <v>9.9999999999999994E-12</v>
      </c>
      <c r="DF94" s="222">
        <f t="shared" ref="DF94:DF124" si="462">IFERROR(CX94+0.00000000002,0)</f>
        <v>1.9999999999999999E-11</v>
      </c>
      <c r="DG94" s="222">
        <f t="shared" ref="DG94:DG124" si="463">IFERROR(CY94+0.00000000003,0)</f>
        <v>3E-11</v>
      </c>
      <c r="DH94" s="222">
        <f t="shared" ref="DH94:DH124" si="464">IFERROR(CZ94+0.00000000004,0)</f>
        <v>3.9999999999999998E-11</v>
      </c>
      <c r="DI94" s="222">
        <f t="shared" ref="DI94:DI124" si="465">IFERROR(DA94+0.00000000005,0)</f>
        <v>5.0000000000000002E-11</v>
      </c>
      <c r="DJ94" s="222">
        <f t="shared" ref="DJ94:DJ124" si="466">IFERROR(DB94+0.00000000006,0)</f>
        <v>6E-11</v>
      </c>
      <c r="DK94" s="222">
        <f t="shared" ref="DK94:DK124" si="467">IFERROR(DC94+0.00000000007,0)</f>
        <v>7.0000000000000004E-11</v>
      </c>
      <c r="DL94" s="222">
        <f t="shared" ref="DL94:DL124" si="468">IFERROR(DD94+0.00000000008,0)</f>
        <v>7.9999999999999995E-11</v>
      </c>
      <c r="DM94" s="95">
        <f t="shared" si="437"/>
        <v>0</v>
      </c>
      <c r="DN94" s="95">
        <f t="shared" si="438"/>
        <v>0</v>
      </c>
      <c r="DO94" s="95">
        <f t="shared" si="439"/>
        <v>0</v>
      </c>
      <c r="DP94" s="95">
        <f t="shared" si="440"/>
        <v>0</v>
      </c>
      <c r="DQ94" s="95">
        <f t="shared" si="441"/>
        <v>0</v>
      </c>
      <c r="DR94" s="95">
        <f t="shared" si="442"/>
        <v>0</v>
      </c>
      <c r="DS94" s="95">
        <f t="shared" si="443"/>
        <v>0</v>
      </c>
      <c r="DT94" s="95">
        <f t="shared" si="444"/>
        <v>0</v>
      </c>
      <c r="DU94" s="95" t="b">
        <f t="shared" si="445"/>
        <v>0</v>
      </c>
      <c r="DV94" s="95" t="b">
        <f t="shared" si="446"/>
        <v>0</v>
      </c>
      <c r="DW94" s="95" t="b">
        <f t="shared" si="447"/>
        <v>0</v>
      </c>
      <c r="DX94" s="95" t="b">
        <f t="shared" si="448"/>
        <v>0</v>
      </c>
      <c r="DY94" s="95" t="b">
        <f t="shared" si="449"/>
        <v>0</v>
      </c>
      <c r="DZ94" s="95" t="b">
        <f t="shared" si="450"/>
        <v>0</v>
      </c>
      <c r="EA94" s="95" t="b">
        <f t="shared" si="451"/>
        <v>0</v>
      </c>
      <c r="EB94" s="95" t="b">
        <f t="shared" si="452"/>
        <v>0</v>
      </c>
      <c r="EC94" s="95" t="s">
        <v>435</v>
      </c>
      <c r="ED94" s="95" t="s">
        <v>435</v>
      </c>
      <c r="EE94" s="95" t="s">
        <v>435</v>
      </c>
      <c r="EF94" s="95" t="s">
        <v>435</v>
      </c>
      <c r="EG94" s="95" t="s">
        <v>435</v>
      </c>
      <c r="EH94" s="95" t="s">
        <v>435</v>
      </c>
      <c r="EI94" s="95" t="s">
        <v>435</v>
      </c>
      <c r="EJ94" s="95" t="s">
        <v>435</v>
      </c>
      <c r="EK94" s="95" t="s">
        <v>435</v>
      </c>
      <c r="EL94" s="95" t="s">
        <v>435</v>
      </c>
      <c r="EM94" s="95" t="s">
        <v>435</v>
      </c>
      <c r="EN94" s="95" t="s">
        <v>435</v>
      </c>
      <c r="EO94" s="95" t="s">
        <v>435</v>
      </c>
      <c r="EP94" s="95" t="s">
        <v>435</v>
      </c>
      <c r="EQ94" s="95" t="s">
        <v>435</v>
      </c>
      <c r="ER94" s="95" t="s">
        <v>435</v>
      </c>
      <c r="FA94" s="95" t="s">
        <v>435</v>
      </c>
      <c r="FB94" s="95" t="s">
        <v>435</v>
      </c>
      <c r="FC94" s="95" t="s">
        <v>435</v>
      </c>
      <c r="FD94" s="95" t="s">
        <v>435</v>
      </c>
      <c r="FE94" s="95" t="s">
        <v>435</v>
      </c>
      <c r="FF94" s="95" t="s">
        <v>435</v>
      </c>
      <c r="FG94" s="95" t="s">
        <v>435</v>
      </c>
      <c r="FH94" s="95" t="s">
        <v>435</v>
      </c>
      <c r="FI94" s="95" t="s">
        <v>435</v>
      </c>
      <c r="FJ94" s="95" t="s">
        <v>435</v>
      </c>
      <c r="FK94" s="95" t="s">
        <v>435</v>
      </c>
      <c r="FL94" s="95" t="s">
        <v>435</v>
      </c>
      <c r="FM94" s="95" t="s">
        <v>435</v>
      </c>
      <c r="FN94" s="95" t="s">
        <v>435</v>
      </c>
      <c r="FO94" s="95" t="s">
        <v>435</v>
      </c>
      <c r="FP94" s="95" t="s">
        <v>435</v>
      </c>
    </row>
    <row r="95" spans="1:172" s="406" customFormat="1">
      <c r="A95" s="406" t="s">
        <v>1181</v>
      </c>
      <c r="B95" s="406" t="s">
        <v>253</v>
      </c>
      <c r="C95" s="406" t="s">
        <v>975</v>
      </c>
      <c r="D95" s="406" t="s">
        <v>1182</v>
      </c>
      <c r="E95" s="410" t="s">
        <v>889</v>
      </c>
      <c r="H95" s="406">
        <v>188</v>
      </c>
      <c r="I95" s="406">
        <v>188</v>
      </c>
      <c r="O95" s="406" t="s">
        <v>2957</v>
      </c>
      <c r="P95" s="406" t="s">
        <v>1183</v>
      </c>
      <c r="Q95" s="406" t="s">
        <v>2922</v>
      </c>
      <c r="R95" s="406" t="s">
        <v>1184</v>
      </c>
      <c r="S95" s="406" t="s">
        <v>1177</v>
      </c>
      <c r="T95" s="406">
        <v>25</v>
      </c>
      <c r="U95" s="406" cm="1">
        <f t="array" ref="U95">IFERROR(INDEX('Offer Statistics'!$AZ$2:$AZ$350,MATCH(1,(A95='Offer Statistics'!$AK$2:$AK$350)*($A$11='Offer Statistics'!$AL$2:$AL$350),0)),"/")</f>
        <v>29</v>
      </c>
      <c r="V95" s="406" cm="1">
        <f t="array" ref="V95">IFERROR(INDEX('Offer Statistics'!$AM$2:$AM$350,MATCH(1,(A95='Offer Statistics'!$AK$2:$AK$350)*($A$11='Offer Statistics'!$AL$2:$AL$350),0)),"/")</f>
        <v>481</v>
      </c>
      <c r="W95" s="406" cm="1">
        <f t="array" ref="W95">IFERROR(INDEX('Offer Statistics'!$AU$2:$AU$350,MATCH(1,(A95='Offer Statistics'!$AK$2:$AK$350)*($A$11='Offer Statistics'!$AL$2:$AL$350),0)),"/")</f>
        <v>24</v>
      </c>
      <c r="X95" s="406">
        <f t="shared" si="453"/>
        <v>20.041666666666668</v>
      </c>
      <c r="Y95" s="406" t="s">
        <v>1177</v>
      </c>
      <c r="Z95" s="406" t="str">
        <f>入學要求!AF104</f>
        <v>/</v>
      </c>
      <c r="AA95" s="406" t="str">
        <f>入學要求!AG104</f>
        <v>/</v>
      </c>
      <c r="AB95" s="368" t="s">
        <v>889</v>
      </c>
      <c r="AE95" s="406" t="s">
        <v>356</v>
      </c>
      <c r="AF95" s="406" t="s">
        <v>356</v>
      </c>
      <c r="AG95" s="405" t="s">
        <v>2935</v>
      </c>
      <c r="AH95" s="405" t="s">
        <v>2907</v>
      </c>
      <c r="AI95" s="406" t="s">
        <v>2922</v>
      </c>
      <c r="AJ95" s="406" t="s">
        <v>356</v>
      </c>
      <c r="AK95" s="406" t="s">
        <v>356</v>
      </c>
      <c r="AL95" s="406" t="s">
        <v>356</v>
      </c>
      <c r="AM95" s="406" t="s">
        <v>356</v>
      </c>
      <c r="AN95" s="406" t="s">
        <v>356</v>
      </c>
      <c r="AO95" s="406" t="s">
        <v>356</v>
      </c>
      <c r="AP95" s="406" t="s">
        <v>356</v>
      </c>
      <c r="AQ95" s="406" t="s">
        <v>356</v>
      </c>
      <c r="AS95" s="95" t="s">
        <v>820</v>
      </c>
      <c r="AT95" s="95"/>
      <c r="AU95" s="406" t="s">
        <v>817</v>
      </c>
      <c r="AV95" s="406" t="s">
        <v>356</v>
      </c>
      <c r="AW95" s="406" t="s">
        <v>356</v>
      </c>
      <c r="AX95" s="406" t="s">
        <v>356</v>
      </c>
      <c r="BP95" s="407">
        <f t="shared" si="454"/>
        <v>3.9999999999999998E-11</v>
      </c>
      <c r="BQ95" s="407">
        <f t="shared" si="455"/>
        <v>1.9999999999999999E-11</v>
      </c>
      <c r="BR95" s="407">
        <f t="shared" si="456"/>
        <v>3E-11</v>
      </c>
      <c r="BS95" s="407">
        <f t="shared" si="457"/>
        <v>9.9999999999999994E-12</v>
      </c>
      <c r="BT95" s="407">
        <f t="shared" si="458"/>
        <v>5.0000000000000002E-11</v>
      </c>
      <c r="BU95" s="407">
        <f t="shared" si="459"/>
        <v>6E-11</v>
      </c>
      <c r="BV95" s="407">
        <f t="shared" si="460"/>
        <v>7.0000000000000004E-11</v>
      </c>
      <c r="BW95" s="407">
        <f t="shared" si="461"/>
        <v>7.9999999999999995E-11</v>
      </c>
      <c r="BX95" s="406">
        <f t="shared" si="420"/>
        <v>0</v>
      </c>
      <c r="BY95" s="406">
        <f t="shared" si="421"/>
        <v>0</v>
      </c>
      <c r="BZ95" s="406">
        <f t="shared" si="422"/>
        <v>0</v>
      </c>
      <c r="CA95" s="406">
        <f t="shared" si="423"/>
        <v>0</v>
      </c>
      <c r="CB95" s="406">
        <f t="shared" si="424"/>
        <v>0</v>
      </c>
      <c r="CC95" s="406">
        <f t="shared" si="425"/>
        <v>0</v>
      </c>
      <c r="CD95" s="406">
        <f t="shared" si="426"/>
        <v>0</v>
      </c>
      <c r="CE95" s="406">
        <f t="shared" si="427"/>
        <v>0</v>
      </c>
      <c r="CF95" s="406" t="b">
        <f t="shared" si="428"/>
        <v>0</v>
      </c>
      <c r="CG95" s="406" t="b">
        <f t="shared" si="429"/>
        <v>0</v>
      </c>
      <c r="CH95" s="406" t="b">
        <f t="shared" si="430"/>
        <v>0</v>
      </c>
      <c r="CI95" s="406" t="b">
        <f t="shared" si="431"/>
        <v>0</v>
      </c>
      <c r="CJ95" s="406" t="b">
        <f t="shared" si="432"/>
        <v>0</v>
      </c>
      <c r="CK95" s="406" t="b">
        <f t="shared" si="433"/>
        <v>0</v>
      </c>
      <c r="CL95" s="406" t="b">
        <f t="shared" si="434"/>
        <v>0</v>
      </c>
      <c r="CM95" s="406" t="b">
        <f t="shared" si="435"/>
        <v>0</v>
      </c>
      <c r="DE95" s="407">
        <f t="shared" si="436"/>
        <v>9.9999999999999994E-12</v>
      </c>
      <c r="DF95" s="407">
        <f t="shared" si="462"/>
        <v>1.9999999999999999E-11</v>
      </c>
      <c r="DG95" s="407">
        <f t="shared" si="463"/>
        <v>3E-11</v>
      </c>
      <c r="DH95" s="407">
        <f t="shared" si="464"/>
        <v>3.9999999999999998E-11</v>
      </c>
      <c r="DI95" s="407">
        <f t="shared" si="465"/>
        <v>5.0000000000000002E-11</v>
      </c>
      <c r="DJ95" s="407">
        <f t="shared" si="466"/>
        <v>6E-11</v>
      </c>
      <c r="DK95" s="407">
        <f t="shared" si="467"/>
        <v>7.0000000000000004E-11</v>
      </c>
      <c r="DL95" s="407">
        <f t="shared" si="468"/>
        <v>7.9999999999999995E-11</v>
      </c>
      <c r="DM95" s="406">
        <f t="shared" si="437"/>
        <v>0</v>
      </c>
      <c r="DN95" s="406">
        <f t="shared" si="438"/>
        <v>0</v>
      </c>
      <c r="DO95" s="406">
        <f t="shared" si="439"/>
        <v>0</v>
      </c>
      <c r="DP95" s="406">
        <f t="shared" si="440"/>
        <v>0</v>
      </c>
      <c r="DQ95" s="406">
        <f t="shared" si="441"/>
        <v>0</v>
      </c>
      <c r="DR95" s="406">
        <f t="shared" si="442"/>
        <v>0</v>
      </c>
      <c r="DS95" s="406">
        <f t="shared" si="443"/>
        <v>0</v>
      </c>
      <c r="DT95" s="406">
        <f t="shared" si="444"/>
        <v>0</v>
      </c>
      <c r="DU95" s="406" t="b">
        <f t="shared" si="445"/>
        <v>0</v>
      </c>
      <c r="DV95" s="406" t="b">
        <f t="shared" si="446"/>
        <v>0</v>
      </c>
      <c r="DW95" s="406" t="b">
        <f t="shared" si="447"/>
        <v>0</v>
      </c>
      <c r="DX95" s="406" t="b">
        <f t="shared" si="448"/>
        <v>0</v>
      </c>
      <c r="DY95" s="406" t="b">
        <f t="shared" si="449"/>
        <v>0</v>
      </c>
      <c r="DZ95" s="406" t="b">
        <f t="shared" si="450"/>
        <v>0</v>
      </c>
      <c r="EA95" s="406" t="b">
        <f t="shared" si="451"/>
        <v>0</v>
      </c>
      <c r="EB95" s="406" t="b">
        <f t="shared" si="452"/>
        <v>0</v>
      </c>
      <c r="EC95" s="406" t="s">
        <v>435</v>
      </c>
      <c r="ED95" s="406" t="s">
        <v>435</v>
      </c>
      <c r="EE95" s="406" t="s">
        <v>435</v>
      </c>
      <c r="EF95" s="406" t="s">
        <v>435</v>
      </c>
      <c r="EG95" s="406" t="s">
        <v>435</v>
      </c>
      <c r="EH95" s="406" t="s">
        <v>435</v>
      </c>
      <c r="EI95" s="406" t="s">
        <v>435</v>
      </c>
      <c r="EJ95" s="406" t="s">
        <v>435</v>
      </c>
      <c r="EK95" s="406" t="s">
        <v>435</v>
      </c>
      <c r="EL95" s="406" t="s">
        <v>435</v>
      </c>
      <c r="EM95" s="406" t="s">
        <v>435</v>
      </c>
      <c r="EN95" s="406" t="s">
        <v>435</v>
      </c>
      <c r="EO95" s="406" t="s">
        <v>435</v>
      </c>
      <c r="EP95" s="406" t="s">
        <v>435</v>
      </c>
      <c r="EQ95" s="406" t="s">
        <v>435</v>
      </c>
      <c r="ER95" s="406" t="s">
        <v>435</v>
      </c>
      <c r="FA95" s="406" t="s">
        <v>435</v>
      </c>
      <c r="FB95" s="406" t="s">
        <v>435</v>
      </c>
      <c r="FC95" s="406" t="s">
        <v>435</v>
      </c>
      <c r="FD95" s="406" t="s">
        <v>435</v>
      </c>
      <c r="FE95" s="406" t="s">
        <v>435</v>
      </c>
      <c r="FF95" s="406" t="s">
        <v>435</v>
      </c>
      <c r="FG95" s="406" t="s">
        <v>435</v>
      </c>
      <c r="FH95" s="406" t="s">
        <v>435</v>
      </c>
      <c r="FI95" s="406" t="s">
        <v>435</v>
      </c>
      <c r="FJ95" s="406" t="s">
        <v>435</v>
      </c>
      <c r="FK95" s="406" t="s">
        <v>435</v>
      </c>
      <c r="FL95" s="406" t="s">
        <v>435</v>
      </c>
      <c r="FM95" s="406" t="s">
        <v>435</v>
      </c>
      <c r="FN95" s="406" t="s">
        <v>435</v>
      </c>
      <c r="FO95" s="406" t="s">
        <v>435</v>
      </c>
      <c r="FP95" s="406" t="s">
        <v>435</v>
      </c>
    </row>
    <row r="96" spans="1:172" s="406" customFormat="1">
      <c r="A96" s="406" t="s">
        <v>1185</v>
      </c>
      <c r="B96" s="406" t="s">
        <v>253</v>
      </c>
      <c r="C96" s="406" t="s">
        <v>1186</v>
      </c>
      <c r="D96" s="406" t="s">
        <v>1187</v>
      </c>
      <c r="E96" s="410" t="s">
        <v>889</v>
      </c>
      <c r="H96" s="406">
        <v>142</v>
      </c>
      <c r="I96" s="406">
        <v>152</v>
      </c>
      <c r="O96" s="406" t="s">
        <v>2925</v>
      </c>
      <c r="P96" s="406" t="s">
        <v>1189</v>
      </c>
      <c r="Q96" s="406" t="s">
        <v>2922</v>
      </c>
      <c r="R96" s="406" t="s">
        <v>1188</v>
      </c>
      <c r="S96" s="406" t="s">
        <v>1177</v>
      </c>
      <c r="T96" s="406">
        <v>110</v>
      </c>
      <c r="U96" s="406" cm="1">
        <f t="array" ref="U96">IFERROR(INDEX('Offer Statistics'!$AZ$2:$AZ$350,MATCH(1,(A96='Offer Statistics'!$AK$2:$AK$350)*($A$11='Offer Statistics'!$AL$2:$AL$350),0)),"/")</f>
        <v>80</v>
      </c>
      <c r="V96" s="406" cm="1">
        <f t="array" ref="V96">IFERROR(INDEX('Offer Statistics'!$AM$2:$AM$350,MATCH(1,(A96='Offer Statistics'!$AK$2:$AK$350)*($A$11='Offer Statistics'!$AL$2:$AL$350),0)),"/")</f>
        <v>757</v>
      </c>
      <c r="W96" s="406" cm="1">
        <f t="array" ref="W96">IFERROR(INDEX('Offer Statistics'!$AU$2:$AU$350,MATCH(1,(A96='Offer Statistics'!$AK$2:$AK$350)*($A$11='Offer Statistics'!$AL$2:$AL$350),0)),"/")</f>
        <v>76</v>
      </c>
      <c r="X96" s="406">
        <f t="shared" si="453"/>
        <v>9.9605263157894743</v>
      </c>
      <c r="Y96" s="406" t="s">
        <v>1177</v>
      </c>
      <c r="Z96" s="406" t="str">
        <f>入學要求!AF105</f>
        <v>/</v>
      </c>
      <c r="AA96" s="406" t="str">
        <f>入學要求!AG105</f>
        <v>/</v>
      </c>
      <c r="AB96" s="368" t="s">
        <v>889</v>
      </c>
      <c r="AE96" s="406" t="s">
        <v>356</v>
      </c>
      <c r="AF96" s="406" t="s">
        <v>356</v>
      </c>
      <c r="AG96" s="405" t="s">
        <v>2934</v>
      </c>
      <c r="AH96" s="405" t="s">
        <v>2908</v>
      </c>
      <c r="AI96" s="406" t="s">
        <v>2922</v>
      </c>
      <c r="AJ96" s="406" t="s">
        <v>356</v>
      </c>
      <c r="AK96" s="406" t="s">
        <v>356</v>
      </c>
      <c r="AL96" s="406" t="s">
        <v>356</v>
      </c>
      <c r="AM96" s="406" t="s">
        <v>356</v>
      </c>
      <c r="AN96" s="406" t="s">
        <v>356</v>
      </c>
      <c r="AO96" s="406" t="s">
        <v>356</v>
      </c>
      <c r="AP96" s="406" t="s">
        <v>2904</v>
      </c>
      <c r="AQ96" s="406" t="s">
        <v>1169</v>
      </c>
      <c r="AR96" s="406" t="s">
        <v>1118</v>
      </c>
      <c r="AS96" s="95" t="s">
        <v>820</v>
      </c>
      <c r="AT96" s="95"/>
      <c r="AU96" s="406" t="s">
        <v>817</v>
      </c>
      <c r="AV96" s="406" t="s">
        <v>356</v>
      </c>
      <c r="AW96" s="406" t="s">
        <v>356</v>
      </c>
      <c r="AX96" s="406" t="s">
        <v>356</v>
      </c>
      <c r="BP96" s="407">
        <f t="shared" si="454"/>
        <v>3.9999999999999998E-11</v>
      </c>
      <c r="BQ96" s="407">
        <f t="shared" si="455"/>
        <v>1.9999999999999999E-11</v>
      </c>
      <c r="BR96" s="407">
        <f t="shared" si="456"/>
        <v>3E-11</v>
      </c>
      <c r="BS96" s="407">
        <f t="shared" si="457"/>
        <v>9.9999999999999994E-12</v>
      </c>
      <c r="BT96" s="407">
        <f t="shared" si="458"/>
        <v>5.0000000000000002E-11</v>
      </c>
      <c r="BU96" s="407">
        <f t="shared" si="459"/>
        <v>6E-11</v>
      </c>
      <c r="BV96" s="407">
        <f t="shared" si="460"/>
        <v>7.0000000000000004E-11</v>
      </c>
      <c r="BW96" s="407">
        <f t="shared" si="461"/>
        <v>7.9999999999999995E-11</v>
      </c>
      <c r="BX96" s="406">
        <f t="shared" si="420"/>
        <v>0</v>
      </c>
      <c r="BY96" s="406">
        <f t="shared" si="421"/>
        <v>0</v>
      </c>
      <c r="BZ96" s="406">
        <f t="shared" si="422"/>
        <v>0</v>
      </c>
      <c r="CA96" s="406">
        <f t="shared" si="423"/>
        <v>0</v>
      </c>
      <c r="CB96" s="406">
        <f t="shared" si="424"/>
        <v>0</v>
      </c>
      <c r="CC96" s="406">
        <f t="shared" si="425"/>
        <v>0</v>
      </c>
      <c r="CD96" s="406">
        <f t="shared" si="426"/>
        <v>0</v>
      </c>
      <c r="CE96" s="406">
        <f t="shared" si="427"/>
        <v>0</v>
      </c>
      <c r="CF96" s="406" t="b">
        <f t="shared" si="428"/>
        <v>0</v>
      </c>
      <c r="CG96" s="406" t="b">
        <f t="shared" si="429"/>
        <v>0</v>
      </c>
      <c r="CH96" s="406" t="b">
        <f t="shared" si="430"/>
        <v>0</v>
      </c>
      <c r="CI96" s="406" t="b">
        <f t="shared" si="431"/>
        <v>0</v>
      </c>
      <c r="CJ96" s="406" t="b">
        <f t="shared" si="432"/>
        <v>0</v>
      </c>
      <c r="CK96" s="406" t="b">
        <f t="shared" si="433"/>
        <v>0</v>
      </c>
      <c r="CL96" s="406" t="b">
        <f t="shared" si="434"/>
        <v>0</v>
      </c>
      <c r="CM96" s="406" t="b">
        <f t="shared" si="435"/>
        <v>0</v>
      </c>
      <c r="DE96" s="407">
        <f t="shared" si="436"/>
        <v>9.9999999999999994E-12</v>
      </c>
      <c r="DF96" s="407">
        <f t="shared" si="462"/>
        <v>1.9999999999999999E-11</v>
      </c>
      <c r="DG96" s="407">
        <f t="shared" si="463"/>
        <v>3E-11</v>
      </c>
      <c r="DH96" s="407">
        <f t="shared" si="464"/>
        <v>3.9999999999999998E-11</v>
      </c>
      <c r="DI96" s="407">
        <f t="shared" si="465"/>
        <v>5.0000000000000002E-11</v>
      </c>
      <c r="DJ96" s="407">
        <f t="shared" si="466"/>
        <v>6E-11</v>
      </c>
      <c r="DK96" s="407">
        <f t="shared" si="467"/>
        <v>7.0000000000000004E-11</v>
      </c>
      <c r="DL96" s="407">
        <f t="shared" si="468"/>
        <v>7.9999999999999995E-11</v>
      </c>
      <c r="DM96" s="406">
        <f t="shared" si="437"/>
        <v>0</v>
      </c>
      <c r="DN96" s="406">
        <f t="shared" si="438"/>
        <v>0</v>
      </c>
      <c r="DO96" s="406">
        <f t="shared" si="439"/>
        <v>0</v>
      </c>
      <c r="DP96" s="406">
        <f t="shared" si="440"/>
        <v>0</v>
      </c>
      <c r="DQ96" s="406">
        <f t="shared" si="441"/>
        <v>0</v>
      </c>
      <c r="DR96" s="406">
        <f t="shared" si="442"/>
        <v>0</v>
      </c>
      <c r="DS96" s="406">
        <f t="shared" si="443"/>
        <v>0</v>
      </c>
      <c r="DT96" s="406">
        <f t="shared" si="444"/>
        <v>0</v>
      </c>
      <c r="DU96" s="406" t="b">
        <f t="shared" si="445"/>
        <v>0</v>
      </c>
      <c r="DV96" s="406" t="b">
        <f t="shared" si="446"/>
        <v>0</v>
      </c>
      <c r="DW96" s="406" t="b">
        <f t="shared" si="447"/>
        <v>0</v>
      </c>
      <c r="DX96" s="406" t="b">
        <f t="shared" si="448"/>
        <v>0</v>
      </c>
      <c r="DY96" s="406" t="b">
        <f t="shared" si="449"/>
        <v>0</v>
      </c>
      <c r="DZ96" s="406" t="b">
        <f t="shared" si="450"/>
        <v>0</v>
      </c>
      <c r="EA96" s="406" t="b">
        <f t="shared" si="451"/>
        <v>0</v>
      </c>
      <c r="EB96" s="406" t="b">
        <f t="shared" si="452"/>
        <v>0</v>
      </c>
      <c r="EC96" s="406" t="s">
        <v>356</v>
      </c>
      <c r="ED96" s="406" t="s">
        <v>356</v>
      </c>
      <c r="EE96" s="406" t="s">
        <v>356</v>
      </c>
      <c r="EF96" s="406" t="s">
        <v>356</v>
      </c>
      <c r="EG96" s="406" t="s">
        <v>356</v>
      </c>
      <c r="EH96" s="406" t="s">
        <v>356</v>
      </c>
      <c r="EI96" s="406" t="s">
        <v>356</v>
      </c>
      <c r="EJ96" s="406" t="s">
        <v>356</v>
      </c>
      <c r="EK96" s="406" t="s">
        <v>356</v>
      </c>
      <c r="EL96" s="406" t="s">
        <v>356</v>
      </c>
      <c r="EM96" s="406" t="s">
        <v>435</v>
      </c>
      <c r="EN96" s="406" t="s">
        <v>435</v>
      </c>
      <c r="EO96" s="406" t="s">
        <v>435</v>
      </c>
      <c r="EP96" s="406" t="s">
        <v>435</v>
      </c>
      <c r="EQ96" s="406" t="s">
        <v>435</v>
      </c>
      <c r="ER96" s="406" t="s">
        <v>435</v>
      </c>
      <c r="FA96" s="406" t="s">
        <v>435</v>
      </c>
      <c r="FB96" s="406" t="s">
        <v>435</v>
      </c>
      <c r="FC96" s="406" t="s">
        <v>435</v>
      </c>
      <c r="FD96" s="406" t="s">
        <v>435</v>
      </c>
      <c r="FE96" s="406" t="s">
        <v>435</v>
      </c>
      <c r="FF96" s="406" t="s">
        <v>435</v>
      </c>
      <c r="FG96" s="406" t="s">
        <v>435</v>
      </c>
      <c r="FH96" s="406" t="s">
        <v>435</v>
      </c>
      <c r="FI96" s="406" t="s">
        <v>435</v>
      </c>
      <c r="FJ96" s="406" t="s">
        <v>435</v>
      </c>
      <c r="FK96" s="406" t="s">
        <v>435</v>
      </c>
      <c r="FL96" s="406" t="s">
        <v>435</v>
      </c>
      <c r="FM96" s="406" t="s">
        <v>435</v>
      </c>
      <c r="FN96" s="406" t="s">
        <v>435</v>
      </c>
      <c r="FO96" s="406" t="s">
        <v>435</v>
      </c>
      <c r="FP96" s="406" t="s">
        <v>435</v>
      </c>
    </row>
    <row r="97" spans="1:172" s="95" customFormat="1">
      <c r="A97" s="95" t="s">
        <v>1190</v>
      </c>
      <c r="B97" s="95" t="s">
        <v>253</v>
      </c>
      <c r="C97" s="95" t="s">
        <v>1191</v>
      </c>
      <c r="D97" s="95" t="s">
        <v>1192</v>
      </c>
      <c r="E97" s="386" t="s">
        <v>889</v>
      </c>
      <c r="H97" s="95">
        <v>179.5</v>
      </c>
      <c r="I97" s="95">
        <v>179</v>
      </c>
      <c r="O97" s="95" t="s">
        <v>2921</v>
      </c>
      <c r="P97" s="95" t="s">
        <v>1244</v>
      </c>
      <c r="Q97" s="95" t="s">
        <v>2920</v>
      </c>
      <c r="R97" s="95" t="s">
        <v>1193</v>
      </c>
      <c r="S97" s="95" t="s">
        <v>1177</v>
      </c>
      <c r="T97" s="95">
        <v>126</v>
      </c>
      <c r="U97" s="95" cm="1">
        <f t="array" ref="U97">IFERROR(INDEX('Offer Statistics'!$AZ$2:$AZ$350,MATCH(1,(A97='Offer Statistics'!$AK$2:$AK$350)*($A$11='Offer Statistics'!$AL$2:$AL$350),0)),"/")</f>
        <v>103</v>
      </c>
      <c r="V97" s="95" cm="1">
        <f t="array" ref="V97">IFERROR(INDEX('Offer Statistics'!$AM$2:$AM$350,MATCH(1,(A97='Offer Statistics'!$AK$2:$AK$350)*($A$11='Offer Statistics'!$AL$2:$AL$350),0)),"/")</f>
        <v>1099</v>
      </c>
      <c r="W97" s="95" cm="1">
        <f t="array" ref="W97">IFERROR(INDEX('Offer Statistics'!$AU$2:$AU$350,MATCH(1,(A97='Offer Statistics'!$AK$2:$AK$350)*($A$11='Offer Statistics'!$AL$2:$AL$350),0)),"/")</f>
        <v>100</v>
      </c>
      <c r="X97" s="95">
        <f t="shared" si="453"/>
        <v>10.99</v>
      </c>
      <c r="Y97" s="95" t="s">
        <v>1177</v>
      </c>
      <c r="Z97" s="95" t="str">
        <f>入學要求!AF106</f>
        <v>/</v>
      </c>
      <c r="AA97" s="95" t="str">
        <f>入學要求!AG106</f>
        <v>/</v>
      </c>
      <c r="AB97" s="368" t="s">
        <v>889</v>
      </c>
      <c r="AC97" s="51"/>
      <c r="AD97" s="51"/>
      <c r="AE97" s="364" t="s">
        <v>356</v>
      </c>
      <c r="AF97" s="411" t="s">
        <v>356</v>
      </c>
      <c r="AG97" s="368" t="s">
        <v>2921</v>
      </c>
      <c r="AH97" s="368" t="s">
        <v>1244</v>
      </c>
      <c r="AI97" s="368" t="s">
        <v>2920</v>
      </c>
      <c r="AJ97" s="95" t="s">
        <v>356</v>
      </c>
      <c r="AK97" s="95" t="s">
        <v>356</v>
      </c>
      <c r="AL97" s="95" t="s">
        <v>356</v>
      </c>
      <c r="AM97" s="95" t="s">
        <v>356</v>
      </c>
      <c r="AN97" s="95" t="s">
        <v>356</v>
      </c>
      <c r="AO97" s="95" t="s">
        <v>356</v>
      </c>
      <c r="AP97" s="95" t="s">
        <v>356</v>
      </c>
      <c r="AQ97" s="95" t="s">
        <v>356</v>
      </c>
      <c r="AS97" s="95" t="s">
        <v>820</v>
      </c>
      <c r="AU97" s="95" t="s">
        <v>817</v>
      </c>
      <c r="AV97" s="95" t="s">
        <v>356</v>
      </c>
      <c r="AW97" s="95" t="s">
        <v>356</v>
      </c>
      <c r="AX97" s="95" t="s">
        <v>356</v>
      </c>
      <c r="BP97" s="407">
        <f t="shared" si="454"/>
        <v>3.9999999999999998E-11</v>
      </c>
      <c r="BQ97" s="407">
        <f t="shared" si="455"/>
        <v>1.9999999999999999E-11</v>
      </c>
      <c r="BR97" s="407">
        <f t="shared" si="456"/>
        <v>3E-11</v>
      </c>
      <c r="BS97" s="407">
        <f t="shared" si="457"/>
        <v>9.9999999999999994E-12</v>
      </c>
      <c r="BT97" s="407">
        <f t="shared" si="458"/>
        <v>5.0000000000000002E-11</v>
      </c>
      <c r="BU97" s="407">
        <f t="shared" si="459"/>
        <v>6E-11</v>
      </c>
      <c r="BV97" s="407">
        <f t="shared" si="460"/>
        <v>7.0000000000000004E-11</v>
      </c>
      <c r="BW97" s="407">
        <f t="shared" si="461"/>
        <v>7.9999999999999995E-11</v>
      </c>
      <c r="BX97" s="95">
        <f t="shared" si="420"/>
        <v>0</v>
      </c>
      <c r="BY97" s="95">
        <f t="shared" si="421"/>
        <v>0</v>
      </c>
      <c r="BZ97" s="95">
        <f t="shared" si="422"/>
        <v>0</v>
      </c>
      <c r="CA97" s="95">
        <f t="shared" si="423"/>
        <v>0</v>
      </c>
      <c r="CB97" s="95">
        <f t="shared" si="424"/>
        <v>0</v>
      </c>
      <c r="CC97" s="95">
        <f t="shared" si="425"/>
        <v>0</v>
      </c>
      <c r="CD97" s="95">
        <f t="shared" si="426"/>
        <v>0</v>
      </c>
      <c r="CE97" s="95">
        <f t="shared" si="427"/>
        <v>0</v>
      </c>
      <c r="CF97" s="95" t="b">
        <f t="shared" si="428"/>
        <v>0</v>
      </c>
      <c r="CG97" s="95" t="b">
        <f t="shared" si="429"/>
        <v>0</v>
      </c>
      <c r="CH97" s="95" t="b">
        <f t="shared" si="430"/>
        <v>0</v>
      </c>
      <c r="CI97" s="95" t="b">
        <f t="shared" si="431"/>
        <v>0</v>
      </c>
      <c r="CJ97" s="95" t="b">
        <f t="shared" si="432"/>
        <v>0</v>
      </c>
      <c r="CK97" s="95" t="b">
        <f t="shared" si="433"/>
        <v>0</v>
      </c>
      <c r="CL97" s="95" t="b">
        <f t="shared" si="434"/>
        <v>0</v>
      </c>
      <c r="CM97" s="95" t="b">
        <f t="shared" si="435"/>
        <v>0</v>
      </c>
      <c r="DE97" s="222">
        <f t="shared" si="436"/>
        <v>9.9999999999999994E-12</v>
      </c>
      <c r="DF97" s="222">
        <f t="shared" si="462"/>
        <v>1.9999999999999999E-11</v>
      </c>
      <c r="DG97" s="222">
        <f t="shared" si="463"/>
        <v>3E-11</v>
      </c>
      <c r="DH97" s="222">
        <f t="shared" si="464"/>
        <v>3.9999999999999998E-11</v>
      </c>
      <c r="DI97" s="222">
        <f t="shared" si="465"/>
        <v>5.0000000000000002E-11</v>
      </c>
      <c r="DJ97" s="222">
        <f t="shared" si="466"/>
        <v>6E-11</v>
      </c>
      <c r="DK97" s="222">
        <f t="shared" si="467"/>
        <v>7.0000000000000004E-11</v>
      </c>
      <c r="DL97" s="222">
        <f t="shared" si="468"/>
        <v>7.9999999999999995E-11</v>
      </c>
      <c r="DM97" s="95">
        <f t="shared" si="437"/>
        <v>0</v>
      </c>
      <c r="DN97" s="95">
        <f t="shared" si="438"/>
        <v>0</v>
      </c>
      <c r="DO97" s="95">
        <f t="shared" si="439"/>
        <v>0</v>
      </c>
      <c r="DP97" s="95">
        <f t="shared" si="440"/>
        <v>0</v>
      </c>
      <c r="DQ97" s="95">
        <f t="shared" si="441"/>
        <v>0</v>
      </c>
      <c r="DR97" s="95">
        <f t="shared" si="442"/>
        <v>0</v>
      </c>
      <c r="DS97" s="95">
        <f t="shared" si="443"/>
        <v>0</v>
      </c>
      <c r="DT97" s="95">
        <f t="shared" si="444"/>
        <v>0</v>
      </c>
      <c r="DU97" s="95" t="b">
        <f t="shared" si="445"/>
        <v>0</v>
      </c>
      <c r="DV97" s="95" t="b">
        <f t="shared" si="446"/>
        <v>0</v>
      </c>
      <c r="DW97" s="95" t="b">
        <f t="shared" si="447"/>
        <v>0</v>
      </c>
      <c r="DX97" s="95" t="b">
        <f t="shared" si="448"/>
        <v>0</v>
      </c>
      <c r="DY97" s="95" t="b">
        <f t="shared" si="449"/>
        <v>0</v>
      </c>
      <c r="DZ97" s="95" t="b">
        <f t="shared" si="450"/>
        <v>0</v>
      </c>
      <c r="EA97" s="95" t="b">
        <f t="shared" si="451"/>
        <v>0</v>
      </c>
      <c r="EB97" s="95" t="b">
        <f t="shared" si="452"/>
        <v>0</v>
      </c>
      <c r="EC97" s="95" t="s">
        <v>435</v>
      </c>
      <c r="ED97" s="95" t="s">
        <v>435</v>
      </c>
      <c r="EE97" s="95" t="s">
        <v>435</v>
      </c>
      <c r="EF97" s="95" t="s">
        <v>435</v>
      </c>
      <c r="EG97" s="95" t="s">
        <v>435</v>
      </c>
      <c r="EH97" s="95" t="s">
        <v>435</v>
      </c>
      <c r="EI97" s="95" t="s">
        <v>435</v>
      </c>
      <c r="EJ97" s="95" t="s">
        <v>435</v>
      </c>
      <c r="EK97" s="95" t="s">
        <v>435</v>
      </c>
      <c r="EL97" s="95" t="s">
        <v>435</v>
      </c>
      <c r="EM97" s="95" t="s">
        <v>435</v>
      </c>
      <c r="EN97" s="95" t="s">
        <v>435</v>
      </c>
      <c r="EO97" s="95" t="s">
        <v>435</v>
      </c>
      <c r="EP97" s="95" t="s">
        <v>435</v>
      </c>
      <c r="EQ97" s="95" t="s">
        <v>435</v>
      </c>
      <c r="ER97" s="95" t="s">
        <v>435</v>
      </c>
      <c r="FA97" s="95" t="s">
        <v>435</v>
      </c>
      <c r="FB97" s="95" t="s">
        <v>435</v>
      </c>
      <c r="FC97" s="95" t="s">
        <v>435</v>
      </c>
      <c r="FD97" s="95" t="s">
        <v>435</v>
      </c>
      <c r="FE97" s="95" t="s">
        <v>435</v>
      </c>
      <c r="FF97" s="95" t="s">
        <v>435</v>
      </c>
      <c r="FG97" s="95" t="s">
        <v>435</v>
      </c>
      <c r="FH97" s="95" t="s">
        <v>435</v>
      </c>
      <c r="FI97" s="95" t="s">
        <v>435</v>
      </c>
      <c r="FJ97" s="95" t="s">
        <v>435</v>
      </c>
      <c r="FK97" s="95" t="s">
        <v>435</v>
      </c>
      <c r="FL97" s="95" t="s">
        <v>435</v>
      </c>
      <c r="FM97" s="95" t="s">
        <v>435</v>
      </c>
      <c r="FN97" s="95" t="s">
        <v>435</v>
      </c>
      <c r="FO97" s="95" t="s">
        <v>435</v>
      </c>
      <c r="FP97" s="95" t="s">
        <v>435</v>
      </c>
    </row>
    <row r="98" spans="1:172" s="95" customFormat="1">
      <c r="A98" s="95" t="s">
        <v>1194</v>
      </c>
      <c r="B98" s="95" t="s">
        <v>253</v>
      </c>
      <c r="C98" s="95" t="s">
        <v>1191</v>
      </c>
      <c r="D98" s="95" t="s">
        <v>1195</v>
      </c>
      <c r="E98" s="386" t="s">
        <v>889</v>
      </c>
      <c r="H98" s="95">
        <v>164</v>
      </c>
      <c r="I98" s="95">
        <v>161.5</v>
      </c>
      <c r="O98" s="95" t="s">
        <v>2921</v>
      </c>
      <c r="P98" s="95" t="s">
        <v>1244</v>
      </c>
      <c r="Q98" s="95" t="s">
        <v>2920</v>
      </c>
      <c r="R98" s="95" t="s">
        <v>1196</v>
      </c>
      <c r="S98" s="95" t="s">
        <v>1177</v>
      </c>
      <c r="T98" s="95">
        <v>54</v>
      </c>
      <c r="U98" s="95" cm="1">
        <f t="array" ref="U98">IFERROR(INDEX('Offer Statistics'!$AZ$2:$AZ$350,MATCH(1,(A98='Offer Statistics'!$AK$2:$AK$350)*($A$11='Offer Statistics'!$AL$2:$AL$350),0)),"/")</f>
        <v>51</v>
      </c>
      <c r="V98" s="95" cm="1">
        <f t="array" ref="V98">IFERROR(INDEX('Offer Statistics'!$AM$2:$AM$350,MATCH(1,(A98='Offer Statistics'!$AK$2:$AK$350)*($A$11='Offer Statistics'!$AL$2:$AL$350),0)),"/")</f>
        <v>718</v>
      </c>
      <c r="W98" s="95" cm="1">
        <f t="array" ref="W98">IFERROR(INDEX('Offer Statistics'!$AU$2:$AU$350,MATCH(1,(A98='Offer Statistics'!$AK$2:$AK$350)*($A$11='Offer Statistics'!$AL$2:$AL$350),0)),"/")</f>
        <v>45</v>
      </c>
      <c r="X98" s="95">
        <f t="shared" si="453"/>
        <v>15.955555555555556</v>
      </c>
      <c r="Y98" s="95" t="s">
        <v>1177</v>
      </c>
      <c r="Z98" s="95" t="str">
        <f>入學要求!AF107</f>
        <v>/</v>
      </c>
      <c r="AA98" s="95" t="str">
        <f>入學要求!AG107</f>
        <v>/</v>
      </c>
      <c r="AB98" s="368" t="s">
        <v>889</v>
      </c>
      <c r="AC98" s="51"/>
      <c r="AD98" s="51"/>
      <c r="AE98" s="364" t="s">
        <v>356</v>
      </c>
      <c r="AF98" s="399" t="s">
        <v>356</v>
      </c>
      <c r="AG98" s="368" t="s">
        <v>2921</v>
      </c>
      <c r="AH98" s="368" t="s">
        <v>1244</v>
      </c>
      <c r="AI98" s="368" t="s">
        <v>2920</v>
      </c>
      <c r="AJ98" s="95" t="s">
        <v>356</v>
      </c>
      <c r="AK98" s="95" t="s">
        <v>356</v>
      </c>
      <c r="AL98" s="95" t="s">
        <v>356</v>
      </c>
      <c r="AM98" s="95" t="s">
        <v>356</v>
      </c>
      <c r="AN98" s="95" t="s">
        <v>356</v>
      </c>
      <c r="AO98" s="95" t="s">
        <v>356</v>
      </c>
      <c r="AP98" s="95" t="s">
        <v>356</v>
      </c>
      <c r="AQ98" s="95" t="s">
        <v>356</v>
      </c>
      <c r="AS98" s="95" t="s">
        <v>820</v>
      </c>
      <c r="AU98" s="95" t="s">
        <v>817</v>
      </c>
      <c r="AV98" s="95" t="s">
        <v>356</v>
      </c>
      <c r="AW98" s="95" t="s">
        <v>356</v>
      </c>
      <c r="AX98" s="95" t="s">
        <v>356</v>
      </c>
      <c r="BP98" s="407">
        <f t="shared" si="454"/>
        <v>3.9999999999999998E-11</v>
      </c>
      <c r="BQ98" s="407">
        <f t="shared" si="455"/>
        <v>1.9999999999999999E-11</v>
      </c>
      <c r="BR98" s="407">
        <f t="shared" si="456"/>
        <v>3E-11</v>
      </c>
      <c r="BS98" s="407">
        <f t="shared" si="457"/>
        <v>9.9999999999999994E-12</v>
      </c>
      <c r="BT98" s="407">
        <f t="shared" si="458"/>
        <v>5.0000000000000002E-11</v>
      </c>
      <c r="BU98" s="407">
        <f t="shared" si="459"/>
        <v>6E-11</v>
      </c>
      <c r="BV98" s="407">
        <f t="shared" si="460"/>
        <v>7.0000000000000004E-11</v>
      </c>
      <c r="BW98" s="407">
        <f t="shared" si="461"/>
        <v>7.9999999999999995E-11</v>
      </c>
      <c r="BX98" s="95">
        <f t="shared" si="420"/>
        <v>0</v>
      </c>
      <c r="BY98" s="95">
        <f t="shared" si="421"/>
        <v>0</v>
      </c>
      <c r="BZ98" s="95">
        <f t="shared" si="422"/>
        <v>0</v>
      </c>
      <c r="CA98" s="95">
        <f t="shared" si="423"/>
        <v>0</v>
      </c>
      <c r="CB98" s="95">
        <f t="shared" si="424"/>
        <v>0</v>
      </c>
      <c r="CC98" s="95">
        <f t="shared" si="425"/>
        <v>0</v>
      </c>
      <c r="CD98" s="95">
        <f t="shared" si="426"/>
        <v>0</v>
      </c>
      <c r="CE98" s="95">
        <f t="shared" si="427"/>
        <v>0</v>
      </c>
      <c r="CF98" s="95" t="b">
        <f t="shared" si="428"/>
        <v>0</v>
      </c>
      <c r="CG98" s="95" t="b">
        <f t="shared" si="429"/>
        <v>0</v>
      </c>
      <c r="CH98" s="95" t="b">
        <f t="shared" si="430"/>
        <v>0</v>
      </c>
      <c r="CI98" s="95" t="b">
        <f t="shared" si="431"/>
        <v>0</v>
      </c>
      <c r="CJ98" s="95" t="b">
        <f t="shared" si="432"/>
        <v>0</v>
      </c>
      <c r="CK98" s="95" t="b">
        <f t="shared" si="433"/>
        <v>0</v>
      </c>
      <c r="CL98" s="95" t="b">
        <f t="shared" si="434"/>
        <v>0</v>
      </c>
      <c r="CM98" s="95" t="b">
        <f t="shared" si="435"/>
        <v>0</v>
      </c>
      <c r="DE98" s="222">
        <f t="shared" si="436"/>
        <v>9.9999999999999994E-12</v>
      </c>
      <c r="DF98" s="222">
        <f t="shared" si="462"/>
        <v>1.9999999999999999E-11</v>
      </c>
      <c r="DG98" s="222">
        <f t="shared" si="463"/>
        <v>3E-11</v>
      </c>
      <c r="DH98" s="222">
        <f t="shared" si="464"/>
        <v>3.9999999999999998E-11</v>
      </c>
      <c r="DI98" s="222">
        <f t="shared" si="465"/>
        <v>5.0000000000000002E-11</v>
      </c>
      <c r="DJ98" s="222">
        <f t="shared" si="466"/>
        <v>6E-11</v>
      </c>
      <c r="DK98" s="222">
        <f t="shared" si="467"/>
        <v>7.0000000000000004E-11</v>
      </c>
      <c r="DL98" s="222">
        <f t="shared" si="468"/>
        <v>7.9999999999999995E-11</v>
      </c>
      <c r="DM98" s="95">
        <f t="shared" si="437"/>
        <v>0</v>
      </c>
      <c r="DN98" s="95">
        <f t="shared" si="438"/>
        <v>0</v>
      </c>
      <c r="DO98" s="95">
        <f t="shared" si="439"/>
        <v>0</v>
      </c>
      <c r="DP98" s="95">
        <f t="shared" si="440"/>
        <v>0</v>
      </c>
      <c r="DQ98" s="95">
        <f t="shared" si="441"/>
        <v>0</v>
      </c>
      <c r="DR98" s="95">
        <f t="shared" si="442"/>
        <v>0</v>
      </c>
      <c r="DS98" s="95">
        <f t="shared" si="443"/>
        <v>0</v>
      </c>
      <c r="DT98" s="95">
        <f t="shared" si="444"/>
        <v>0</v>
      </c>
      <c r="DU98" s="95" t="b">
        <f t="shared" si="445"/>
        <v>0</v>
      </c>
      <c r="DV98" s="95" t="b">
        <f t="shared" si="446"/>
        <v>0</v>
      </c>
      <c r="DW98" s="95" t="b">
        <f t="shared" si="447"/>
        <v>0</v>
      </c>
      <c r="DX98" s="95" t="b">
        <f t="shared" si="448"/>
        <v>0</v>
      </c>
      <c r="DY98" s="95" t="b">
        <f t="shared" si="449"/>
        <v>0</v>
      </c>
      <c r="DZ98" s="95" t="b">
        <f t="shared" si="450"/>
        <v>0</v>
      </c>
      <c r="EA98" s="95" t="b">
        <f t="shared" si="451"/>
        <v>0</v>
      </c>
      <c r="EB98" s="95" t="b">
        <f t="shared" si="452"/>
        <v>0</v>
      </c>
      <c r="EC98" s="95" t="s">
        <v>435</v>
      </c>
      <c r="ED98" s="95" t="s">
        <v>435</v>
      </c>
      <c r="EE98" s="95" t="s">
        <v>435</v>
      </c>
      <c r="EF98" s="95" t="s">
        <v>435</v>
      </c>
      <c r="EG98" s="95" t="s">
        <v>435</v>
      </c>
      <c r="EH98" s="95" t="s">
        <v>435</v>
      </c>
      <c r="EI98" s="95" t="s">
        <v>435</v>
      </c>
      <c r="EJ98" s="95" t="s">
        <v>435</v>
      </c>
      <c r="EK98" s="95" t="s">
        <v>435</v>
      </c>
      <c r="EL98" s="95" t="s">
        <v>435</v>
      </c>
      <c r="EM98" s="95" t="s">
        <v>435</v>
      </c>
      <c r="EN98" s="95" t="s">
        <v>435</v>
      </c>
      <c r="EO98" s="95" t="s">
        <v>435</v>
      </c>
      <c r="EP98" s="95" t="s">
        <v>435</v>
      </c>
      <c r="EQ98" s="95" t="s">
        <v>435</v>
      </c>
      <c r="ER98" s="95" t="s">
        <v>435</v>
      </c>
      <c r="FA98" s="95" t="s">
        <v>435</v>
      </c>
      <c r="FB98" s="95" t="s">
        <v>435</v>
      </c>
      <c r="FC98" s="95" t="s">
        <v>435</v>
      </c>
      <c r="FD98" s="95" t="s">
        <v>435</v>
      </c>
      <c r="FE98" s="95" t="s">
        <v>435</v>
      </c>
      <c r="FF98" s="95" t="s">
        <v>435</v>
      </c>
      <c r="FG98" s="95" t="s">
        <v>435</v>
      </c>
      <c r="FH98" s="95" t="s">
        <v>435</v>
      </c>
      <c r="FI98" s="95" t="s">
        <v>435</v>
      </c>
      <c r="FJ98" s="95" t="s">
        <v>435</v>
      </c>
      <c r="FK98" s="95" t="s">
        <v>435</v>
      </c>
      <c r="FL98" s="95" t="s">
        <v>435</v>
      </c>
      <c r="FM98" s="95" t="s">
        <v>435</v>
      </c>
      <c r="FN98" s="95" t="s">
        <v>435</v>
      </c>
      <c r="FO98" s="95" t="s">
        <v>435</v>
      </c>
      <c r="FP98" s="95" t="s">
        <v>435</v>
      </c>
    </row>
    <row r="99" spans="1:172" s="95" customFormat="1">
      <c r="A99" s="95" t="s">
        <v>1197</v>
      </c>
      <c r="B99" s="95" t="s">
        <v>253</v>
      </c>
      <c r="C99" s="95" t="s">
        <v>1191</v>
      </c>
      <c r="D99" s="95" t="s">
        <v>1198</v>
      </c>
      <c r="E99" s="386" t="s">
        <v>889</v>
      </c>
      <c r="H99" s="95">
        <v>174.5</v>
      </c>
      <c r="I99" s="95">
        <v>172</v>
      </c>
      <c r="O99" s="95" t="s">
        <v>2921</v>
      </c>
      <c r="P99" s="95" t="s">
        <v>1244</v>
      </c>
      <c r="Q99" s="95" t="s">
        <v>2920</v>
      </c>
      <c r="R99" s="95" t="s">
        <v>1199</v>
      </c>
      <c r="S99" s="95" t="s">
        <v>1177</v>
      </c>
      <c r="T99" s="95">
        <v>87</v>
      </c>
      <c r="U99" s="95" cm="1">
        <f t="array" ref="U99">IFERROR(INDEX('Offer Statistics'!$AZ$2:$AZ$350,MATCH(1,(A99='Offer Statistics'!$AK$2:$AK$350)*($A$11='Offer Statistics'!$AL$2:$AL$350),0)),"/")</f>
        <v>79</v>
      </c>
      <c r="V99" s="95" cm="1">
        <f t="array" ref="V99">IFERROR(INDEX('Offer Statistics'!$AM$2:$AM$350,MATCH(1,(A99='Offer Statistics'!$AK$2:$AK$350)*($A$11='Offer Statistics'!$AL$2:$AL$350),0)),"/")</f>
        <v>1023</v>
      </c>
      <c r="W99" s="95" cm="1">
        <f t="array" ref="W99">IFERROR(INDEX('Offer Statistics'!$AU$2:$AU$350,MATCH(1,(A99='Offer Statistics'!$AK$2:$AK$350)*($A$11='Offer Statistics'!$AL$2:$AL$350),0)),"/")</f>
        <v>70</v>
      </c>
      <c r="X99" s="95">
        <f t="shared" si="453"/>
        <v>14.614285714285714</v>
      </c>
      <c r="Y99" s="95" t="s">
        <v>1177</v>
      </c>
      <c r="Z99" s="95" t="str">
        <f>入學要求!AF108</f>
        <v>/</v>
      </c>
      <c r="AA99" s="95" t="str">
        <f>入學要求!AG108</f>
        <v>/</v>
      </c>
      <c r="AB99" s="368" t="s">
        <v>889</v>
      </c>
      <c r="AC99" s="51"/>
      <c r="AD99" s="51"/>
      <c r="AE99" s="364" t="s">
        <v>356</v>
      </c>
      <c r="AF99" s="364" t="s">
        <v>356</v>
      </c>
      <c r="AG99" s="368" t="s">
        <v>2921</v>
      </c>
      <c r="AH99" s="368" t="s">
        <v>1244</v>
      </c>
      <c r="AI99" s="368" t="s">
        <v>2920</v>
      </c>
      <c r="AJ99" s="95" t="s">
        <v>356</v>
      </c>
      <c r="AK99" s="95" t="s">
        <v>356</v>
      </c>
      <c r="AL99" s="95" t="s">
        <v>356</v>
      </c>
      <c r="AM99" s="95" t="s">
        <v>356</v>
      </c>
      <c r="AN99" s="95" t="s">
        <v>356</v>
      </c>
      <c r="AO99" s="95" t="s">
        <v>356</v>
      </c>
      <c r="AP99" s="95" t="s">
        <v>356</v>
      </c>
      <c r="AQ99" s="95" t="s">
        <v>356</v>
      </c>
      <c r="AS99" s="95" t="s">
        <v>820</v>
      </c>
      <c r="AU99" s="95" t="s">
        <v>817</v>
      </c>
      <c r="AV99" s="95" t="s">
        <v>356</v>
      </c>
      <c r="AW99" s="95" t="s">
        <v>356</v>
      </c>
      <c r="AX99" s="95" t="s">
        <v>356</v>
      </c>
      <c r="BP99" s="407">
        <f t="shared" si="454"/>
        <v>3.9999999999999998E-11</v>
      </c>
      <c r="BQ99" s="407">
        <f t="shared" si="455"/>
        <v>1.9999999999999999E-11</v>
      </c>
      <c r="BR99" s="407">
        <f t="shared" si="456"/>
        <v>3E-11</v>
      </c>
      <c r="BS99" s="407">
        <f t="shared" si="457"/>
        <v>9.9999999999999994E-12</v>
      </c>
      <c r="BT99" s="407">
        <f t="shared" si="458"/>
        <v>5.0000000000000002E-11</v>
      </c>
      <c r="BU99" s="407">
        <f t="shared" si="459"/>
        <v>6E-11</v>
      </c>
      <c r="BV99" s="407">
        <f t="shared" si="460"/>
        <v>7.0000000000000004E-11</v>
      </c>
      <c r="BW99" s="407">
        <f t="shared" si="461"/>
        <v>7.9999999999999995E-11</v>
      </c>
      <c r="BX99" s="95">
        <f t="shared" si="420"/>
        <v>0</v>
      </c>
      <c r="BY99" s="95">
        <f t="shared" si="421"/>
        <v>0</v>
      </c>
      <c r="BZ99" s="95">
        <f t="shared" si="422"/>
        <v>0</v>
      </c>
      <c r="CA99" s="95">
        <f t="shared" si="423"/>
        <v>0</v>
      </c>
      <c r="CB99" s="95">
        <f t="shared" si="424"/>
        <v>0</v>
      </c>
      <c r="CC99" s="95">
        <f t="shared" si="425"/>
        <v>0</v>
      </c>
      <c r="CD99" s="95">
        <f t="shared" si="426"/>
        <v>0</v>
      </c>
      <c r="CE99" s="95">
        <f t="shared" si="427"/>
        <v>0</v>
      </c>
      <c r="CF99" s="95" t="b">
        <f t="shared" si="428"/>
        <v>0</v>
      </c>
      <c r="CG99" s="95" t="b">
        <f t="shared" si="429"/>
        <v>0</v>
      </c>
      <c r="CH99" s="95" t="b">
        <f t="shared" si="430"/>
        <v>0</v>
      </c>
      <c r="CI99" s="95" t="b">
        <f t="shared" si="431"/>
        <v>0</v>
      </c>
      <c r="CJ99" s="95" t="b">
        <f t="shared" si="432"/>
        <v>0</v>
      </c>
      <c r="CK99" s="95" t="b">
        <f t="shared" si="433"/>
        <v>0</v>
      </c>
      <c r="CL99" s="95" t="b">
        <f t="shared" si="434"/>
        <v>0</v>
      </c>
      <c r="CM99" s="95" t="b">
        <f t="shared" si="435"/>
        <v>0</v>
      </c>
      <c r="DE99" s="222">
        <f t="shared" si="436"/>
        <v>9.9999999999999994E-12</v>
      </c>
      <c r="DF99" s="222">
        <f t="shared" si="462"/>
        <v>1.9999999999999999E-11</v>
      </c>
      <c r="DG99" s="222">
        <f t="shared" si="463"/>
        <v>3E-11</v>
      </c>
      <c r="DH99" s="222">
        <f t="shared" si="464"/>
        <v>3.9999999999999998E-11</v>
      </c>
      <c r="DI99" s="222">
        <f t="shared" si="465"/>
        <v>5.0000000000000002E-11</v>
      </c>
      <c r="DJ99" s="222">
        <f t="shared" si="466"/>
        <v>6E-11</v>
      </c>
      <c r="DK99" s="222">
        <f t="shared" si="467"/>
        <v>7.0000000000000004E-11</v>
      </c>
      <c r="DL99" s="222">
        <f t="shared" si="468"/>
        <v>7.9999999999999995E-11</v>
      </c>
      <c r="DM99" s="95">
        <f t="shared" si="437"/>
        <v>0</v>
      </c>
      <c r="DN99" s="95">
        <f t="shared" si="438"/>
        <v>0</v>
      </c>
      <c r="DO99" s="95">
        <f t="shared" si="439"/>
        <v>0</v>
      </c>
      <c r="DP99" s="95">
        <f t="shared" si="440"/>
        <v>0</v>
      </c>
      <c r="DQ99" s="95">
        <f t="shared" si="441"/>
        <v>0</v>
      </c>
      <c r="DR99" s="95">
        <f t="shared" si="442"/>
        <v>0</v>
      </c>
      <c r="DS99" s="95">
        <f t="shared" si="443"/>
        <v>0</v>
      </c>
      <c r="DT99" s="95">
        <f t="shared" si="444"/>
        <v>0</v>
      </c>
      <c r="DU99" s="95" t="b">
        <f t="shared" si="445"/>
        <v>0</v>
      </c>
      <c r="DV99" s="95" t="b">
        <f t="shared" si="446"/>
        <v>0</v>
      </c>
      <c r="DW99" s="95" t="b">
        <f t="shared" si="447"/>
        <v>0</v>
      </c>
      <c r="DX99" s="95" t="b">
        <f t="shared" si="448"/>
        <v>0</v>
      </c>
      <c r="DY99" s="95" t="b">
        <f t="shared" si="449"/>
        <v>0</v>
      </c>
      <c r="DZ99" s="95" t="b">
        <f t="shared" si="450"/>
        <v>0</v>
      </c>
      <c r="EA99" s="95" t="b">
        <f t="shared" si="451"/>
        <v>0</v>
      </c>
      <c r="EB99" s="95" t="b">
        <f t="shared" si="452"/>
        <v>0</v>
      </c>
      <c r="EC99" s="95" t="s">
        <v>435</v>
      </c>
      <c r="ED99" s="95" t="s">
        <v>435</v>
      </c>
      <c r="EE99" s="95" t="s">
        <v>435</v>
      </c>
      <c r="EF99" s="95" t="s">
        <v>435</v>
      </c>
      <c r="EG99" s="95" t="s">
        <v>435</v>
      </c>
      <c r="EH99" s="95" t="s">
        <v>435</v>
      </c>
      <c r="EI99" s="95" t="s">
        <v>435</v>
      </c>
      <c r="EJ99" s="95" t="s">
        <v>435</v>
      </c>
      <c r="EK99" s="95" t="s">
        <v>435</v>
      </c>
      <c r="EL99" s="95" t="s">
        <v>435</v>
      </c>
      <c r="EM99" s="95" t="s">
        <v>435</v>
      </c>
      <c r="EN99" s="95" t="s">
        <v>435</v>
      </c>
      <c r="EO99" s="95" t="s">
        <v>435</v>
      </c>
      <c r="EP99" s="95" t="s">
        <v>435</v>
      </c>
      <c r="EQ99" s="95" t="s">
        <v>435</v>
      </c>
      <c r="ER99" s="95" t="s">
        <v>435</v>
      </c>
      <c r="FA99" s="95" t="s">
        <v>435</v>
      </c>
      <c r="FB99" s="95" t="s">
        <v>435</v>
      </c>
      <c r="FC99" s="95" t="s">
        <v>435</v>
      </c>
      <c r="FD99" s="95" t="s">
        <v>435</v>
      </c>
      <c r="FE99" s="95" t="s">
        <v>435</v>
      </c>
      <c r="FF99" s="95" t="s">
        <v>435</v>
      </c>
      <c r="FG99" s="95" t="s">
        <v>435</v>
      </c>
      <c r="FH99" s="95" t="s">
        <v>435</v>
      </c>
      <c r="FI99" s="95" t="s">
        <v>435</v>
      </c>
      <c r="FJ99" s="95" t="s">
        <v>435</v>
      </c>
      <c r="FK99" s="95" t="s">
        <v>435</v>
      </c>
      <c r="FL99" s="95" t="s">
        <v>435</v>
      </c>
      <c r="FM99" s="95" t="s">
        <v>435</v>
      </c>
      <c r="FN99" s="95" t="s">
        <v>435</v>
      </c>
      <c r="FO99" s="95" t="s">
        <v>435</v>
      </c>
      <c r="FP99" s="95" t="s">
        <v>435</v>
      </c>
    </row>
    <row r="100" spans="1:172" s="406" customFormat="1">
      <c r="A100" s="406" t="s">
        <v>1200</v>
      </c>
      <c r="B100" s="406" t="s">
        <v>253</v>
      </c>
      <c r="C100" s="406" t="s">
        <v>1201</v>
      </c>
      <c r="D100" s="406" t="s">
        <v>1202</v>
      </c>
      <c r="E100" s="410" t="s">
        <v>889</v>
      </c>
      <c r="H100" s="406">
        <v>163</v>
      </c>
      <c r="I100" s="406">
        <v>152</v>
      </c>
      <c r="O100" s="406" t="s">
        <v>1243</v>
      </c>
      <c r="P100" s="406" t="s">
        <v>1244</v>
      </c>
      <c r="Q100" s="406" t="s">
        <v>2918</v>
      </c>
      <c r="R100" s="406" t="s">
        <v>1203</v>
      </c>
      <c r="S100" s="406" t="s">
        <v>1177</v>
      </c>
      <c r="T100" s="406">
        <v>101</v>
      </c>
      <c r="U100" s="406" cm="1">
        <f t="array" ref="U100">IFERROR(INDEX('Offer Statistics'!$AZ$2:$AZ$350,MATCH(1,(A100='Offer Statistics'!$AK$2:$AK$350)*($A$11='Offer Statistics'!$AL$2:$AL$350),0)),"/")</f>
        <v>100</v>
      </c>
      <c r="V100" s="406" cm="1">
        <f t="array" ref="V100">IFERROR(INDEX('Offer Statistics'!$AM$2:$AM$350,MATCH(1,(A100='Offer Statistics'!$AK$2:$AK$350)*($A$11='Offer Statistics'!$AL$2:$AL$350),0)),"/")</f>
        <v>293</v>
      </c>
      <c r="W100" s="406" cm="1">
        <f t="array" ref="W100">IFERROR(INDEX('Offer Statistics'!$AU$2:$AU$350,MATCH(1,(A100='Offer Statistics'!$AK$2:$AK$350)*($A$11='Offer Statistics'!$AL$2:$AL$350),0)),"/")</f>
        <v>94</v>
      </c>
      <c r="X100" s="406">
        <f t="shared" si="453"/>
        <v>3.1170212765957448</v>
      </c>
      <c r="Y100" s="406" t="s">
        <v>1177</v>
      </c>
      <c r="Z100" s="406" t="str">
        <f>入學要求!AF109</f>
        <v>/</v>
      </c>
      <c r="AA100" s="406" t="str">
        <f>入學要求!AG109</f>
        <v>/</v>
      </c>
      <c r="AB100" s="368" t="s">
        <v>889</v>
      </c>
      <c r="AE100" s="406" t="s">
        <v>356</v>
      </c>
      <c r="AF100" s="406" t="s">
        <v>356</v>
      </c>
      <c r="AG100" s="405" t="s">
        <v>2933</v>
      </c>
      <c r="AH100" s="405" t="s">
        <v>1244</v>
      </c>
      <c r="AI100" s="405" t="s">
        <v>2909</v>
      </c>
      <c r="AJ100" s="406" t="s">
        <v>356</v>
      </c>
      <c r="AK100" s="406" t="s">
        <v>356</v>
      </c>
      <c r="AL100" s="406" t="s">
        <v>356</v>
      </c>
      <c r="AM100" s="406" t="s">
        <v>356</v>
      </c>
      <c r="AN100" s="406" t="s">
        <v>356</v>
      </c>
      <c r="AO100" s="406" t="s">
        <v>356</v>
      </c>
      <c r="AP100" s="406" t="s">
        <v>356</v>
      </c>
      <c r="AQ100" s="406" t="s">
        <v>356</v>
      </c>
      <c r="AS100" s="95" t="s">
        <v>820</v>
      </c>
      <c r="AT100" s="95"/>
      <c r="AU100" s="406" t="s">
        <v>817</v>
      </c>
      <c r="AV100" s="406" t="s">
        <v>356</v>
      </c>
      <c r="AW100" s="406" t="s">
        <v>356</v>
      </c>
      <c r="AX100" s="406" t="s">
        <v>356</v>
      </c>
      <c r="BP100" s="407">
        <f t="shared" si="454"/>
        <v>3.9999999999999998E-11</v>
      </c>
      <c r="BQ100" s="407">
        <f t="shared" si="455"/>
        <v>1.9999999999999999E-11</v>
      </c>
      <c r="BR100" s="407">
        <f t="shared" si="456"/>
        <v>3E-11</v>
      </c>
      <c r="BS100" s="407">
        <f t="shared" si="457"/>
        <v>9.9999999999999994E-12</v>
      </c>
      <c r="BT100" s="407">
        <f t="shared" si="458"/>
        <v>5.0000000000000002E-11</v>
      </c>
      <c r="BU100" s="407">
        <f t="shared" si="459"/>
        <v>6E-11</v>
      </c>
      <c r="BV100" s="407">
        <f t="shared" si="460"/>
        <v>7.0000000000000004E-11</v>
      </c>
      <c r="BW100" s="407">
        <f t="shared" si="461"/>
        <v>7.9999999999999995E-11</v>
      </c>
      <c r="BX100" s="406">
        <f t="shared" si="420"/>
        <v>0</v>
      </c>
      <c r="BY100" s="406">
        <f t="shared" si="421"/>
        <v>0</v>
      </c>
      <c r="BZ100" s="406">
        <f t="shared" si="422"/>
        <v>0</v>
      </c>
      <c r="CA100" s="406">
        <f t="shared" si="423"/>
        <v>0</v>
      </c>
      <c r="CB100" s="406">
        <f t="shared" si="424"/>
        <v>0</v>
      </c>
      <c r="CC100" s="406">
        <f t="shared" si="425"/>
        <v>0</v>
      </c>
      <c r="CD100" s="406">
        <f t="shared" si="426"/>
        <v>0</v>
      </c>
      <c r="CE100" s="406">
        <f t="shared" si="427"/>
        <v>0</v>
      </c>
      <c r="CF100" s="406" t="b">
        <f t="shared" si="428"/>
        <v>0</v>
      </c>
      <c r="CG100" s="406" t="b">
        <f t="shared" si="429"/>
        <v>0</v>
      </c>
      <c r="CH100" s="406" t="b">
        <f t="shared" si="430"/>
        <v>0</v>
      </c>
      <c r="CI100" s="406" t="b">
        <f t="shared" si="431"/>
        <v>0</v>
      </c>
      <c r="CJ100" s="406" t="b">
        <f t="shared" si="432"/>
        <v>0</v>
      </c>
      <c r="CK100" s="406" t="b">
        <f t="shared" si="433"/>
        <v>0</v>
      </c>
      <c r="CL100" s="406" t="b">
        <f t="shared" si="434"/>
        <v>0</v>
      </c>
      <c r="CM100" s="406" t="b">
        <f t="shared" si="435"/>
        <v>0</v>
      </c>
      <c r="DE100" s="407">
        <f t="shared" si="436"/>
        <v>9.9999999999999994E-12</v>
      </c>
      <c r="DF100" s="407">
        <f t="shared" si="462"/>
        <v>1.9999999999999999E-11</v>
      </c>
      <c r="DG100" s="407">
        <f t="shared" si="463"/>
        <v>3E-11</v>
      </c>
      <c r="DH100" s="407">
        <f t="shared" si="464"/>
        <v>3.9999999999999998E-11</v>
      </c>
      <c r="DI100" s="407">
        <f t="shared" si="465"/>
        <v>5.0000000000000002E-11</v>
      </c>
      <c r="DJ100" s="407">
        <f t="shared" si="466"/>
        <v>6E-11</v>
      </c>
      <c r="DK100" s="407">
        <f t="shared" si="467"/>
        <v>7.0000000000000004E-11</v>
      </c>
      <c r="DL100" s="407">
        <f t="shared" si="468"/>
        <v>7.9999999999999995E-11</v>
      </c>
      <c r="DM100" s="406">
        <f t="shared" si="437"/>
        <v>0</v>
      </c>
      <c r="DN100" s="406">
        <f t="shared" si="438"/>
        <v>0</v>
      </c>
      <c r="DO100" s="406">
        <f t="shared" si="439"/>
        <v>0</v>
      </c>
      <c r="DP100" s="406">
        <f t="shared" si="440"/>
        <v>0</v>
      </c>
      <c r="DQ100" s="406">
        <f t="shared" si="441"/>
        <v>0</v>
      </c>
      <c r="DR100" s="406">
        <f t="shared" si="442"/>
        <v>0</v>
      </c>
      <c r="DS100" s="406">
        <f t="shared" si="443"/>
        <v>0</v>
      </c>
      <c r="DT100" s="406">
        <f t="shared" si="444"/>
        <v>0</v>
      </c>
      <c r="DU100" s="406" t="b">
        <f t="shared" si="445"/>
        <v>0</v>
      </c>
      <c r="DV100" s="406" t="b">
        <f t="shared" si="446"/>
        <v>0</v>
      </c>
      <c r="DW100" s="406" t="b">
        <f t="shared" si="447"/>
        <v>0</v>
      </c>
      <c r="DX100" s="406" t="b">
        <f t="shared" si="448"/>
        <v>0</v>
      </c>
      <c r="DY100" s="406" t="b">
        <f t="shared" si="449"/>
        <v>0</v>
      </c>
      <c r="DZ100" s="406" t="b">
        <f t="shared" si="450"/>
        <v>0</v>
      </c>
      <c r="EA100" s="406" t="b">
        <f t="shared" si="451"/>
        <v>0</v>
      </c>
      <c r="EB100" s="406" t="b">
        <f t="shared" si="452"/>
        <v>0</v>
      </c>
      <c r="EC100" s="406" t="s">
        <v>435</v>
      </c>
      <c r="ED100" s="406" t="s">
        <v>435</v>
      </c>
      <c r="EE100" s="406" t="s">
        <v>435</v>
      </c>
      <c r="EF100" s="406" t="s">
        <v>435</v>
      </c>
      <c r="EG100" s="406" t="s">
        <v>435</v>
      </c>
      <c r="EH100" s="406" t="s">
        <v>435</v>
      </c>
      <c r="EI100" s="406" t="s">
        <v>435</v>
      </c>
      <c r="EJ100" s="406" t="s">
        <v>435</v>
      </c>
      <c r="EK100" s="406" t="s">
        <v>435</v>
      </c>
      <c r="EL100" s="406" t="s">
        <v>435</v>
      </c>
      <c r="EM100" s="406" t="s">
        <v>435</v>
      </c>
      <c r="EN100" s="406" t="s">
        <v>435</v>
      </c>
      <c r="EO100" s="406" t="s">
        <v>435</v>
      </c>
      <c r="EP100" s="406" t="s">
        <v>435</v>
      </c>
      <c r="EQ100" s="406" t="s">
        <v>435</v>
      </c>
      <c r="ER100" s="406" t="s">
        <v>435</v>
      </c>
      <c r="FA100" s="406" t="s">
        <v>435</v>
      </c>
      <c r="FB100" s="406" t="s">
        <v>435</v>
      </c>
      <c r="FC100" s="406" t="s">
        <v>435</v>
      </c>
      <c r="FD100" s="406" t="s">
        <v>435</v>
      </c>
      <c r="FE100" s="406" t="s">
        <v>435</v>
      </c>
      <c r="FF100" s="406" t="s">
        <v>435</v>
      </c>
      <c r="FG100" s="406" t="s">
        <v>435</v>
      </c>
      <c r="FH100" s="406" t="s">
        <v>435</v>
      </c>
      <c r="FI100" s="406" t="s">
        <v>435</v>
      </c>
      <c r="FJ100" s="406" t="s">
        <v>435</v>
      </c>
      <c r="FK100" s="406" t="s">
        <v>435</v>
      </c>
      <c r="FL100" s="406" t="s">
        <v>435</v>
      </c>
      <c r="FM100" s="406" t="s">
        <v>435</v>
      </c>
      <c r="FN100" s="406" t="s">
        <v>435</v>
      </c>
      <c r="FO100" s="406" t="s">
        <v>435</v>
      </c>
      <c r="FP100" s="406" t="s">
        <v>435</v>
      </c>
    </row>
    <row r="101" spans="1:172" s="95" customFormat="1">
      <c r="A101" s="95" t="s">
        <v>1204</v>
      </c>
      <c r="B101" s="95" t="s">
        <v>253</v>
      </c>
      <c r="C101" s="95" t="s">
        <v>1201</v>
      </c>
      <c r="D101" s="95" t="s">
        <v>1205</v>
      </c>
      <c r="E101" s="386" t="s">
        <v>889</v>
      </c>
      <c r="H101" s="95">
        <v>176</v>
      </c>
      <c r="I101" s="95">
        <v>171</v>
      </c>
      <c r="O101" s="95" t="s">
        <v>2958</v>
      </c>
      <c r="P101" s="95" t="s">
        <v>1244</v>
      </c>
      <c r="Q101" s="95" t="s">
        <v>2923</v>
      </c>
      <c r="R101" s="95" t="s">
        <v>1206</v>
      </c>
      <c r="S101" s="95" t="s">
        <v>1177</v>
      </c>
      <c r="T101" s="95">
        <v>42</v>
      </c>
      <c r="U101" s="95" cm="1">
        <f t="array" ref="U101">IFERROR(INDEX('Offer Statistics'!$AZ$2:$AZ$350,MATCH(1,(A101='Offer Statistics'!$AK$2:$AK$350)*($A$11='Offer Statistics'!$AL$2:$AL$350),0)),"/")</f>
        <v>25</v>
      </c>
      <c r="V101" s="95" cm="1">
        <f t="array" ref="V101">IFERROR(INDEX('Offer Statistics'!$AM$2:$AM$350,MATCH(1,(A101='Offer Statistics'!$AK$2:$AK$350)*($A$11='Offer Statistics'!$AL$2:$AL$350),0)),"/")</f>
        <v>446</v>
      </c>
      <c r="W101" s="95" cm="1">
        <f t="array" ref="W101">IFERROR(INDEX('Offer Statistics'!$AU$2:$AU$350,MATCH(1,(A101='Offer Statistics'!$AK$2:$AK$350)*($A$11='Offer Statistics'!$AL$2:$AL$350),0)),"/")</f>
        <v>21</v>
      </c>
      <c r="X101" s="95">
        <f t="shared" si="453"/>
        <v>21.238095238095237</v>
      </c>
      <c r="Y101" s="95" t="s">
        <v>1177</v>
      </c>
      <c r="Z101" s="95" t="str">
        <f>入學要求!AF110</f>
        <v>/</v>
      </c>
      <c r="AA101" s="95" t="str">
        <f>入學要求!AG110</f>
        <v>/</v>
      </c>
      <c r="AB101" s="368" t="s">
        <v>889</v>
      </c>
      <c r="AC101" s="51"/>
      <c r="AD101" s="51"/>
      <c r="AE101" s="364" t="s">
        <v>356</v>
      </c>
      <c r="AF101" s="364" t="s">
        <v>356</v>
      </c>
      <c r="AG101" s="364" t="s">
        <v>2958</v>
      </c>
      <c r="AH101" s="364" t="s">
        <v>1244</v>
      </c>
      <c r="AI101" s="364" t="s">
        <v>2923</v>
      </c>
      <c r="AJ101" s="95" t="s">
        <v>356</v>
      </c>
      <c r="AK101" s="95" t="s">
        <v>356</v>
      </c>
      <c r="AL101" s="95" t="s">
        <v>356</v>
      </c>
      <c r="AM101" s="95" t="s">
        <v>356</v>
      </c>
      <c r="AN101" s="95" t="s">
        <v>356</v>
      </c>
      <c r="AO101" s="95" t="s">
        <v>356</v>
      </c>
      <c r="AP101" s="95" t="s">
        <v>356</v>
      </c>
      <c r="AQ101" s="95" t="s">
        <v>356</v>
      </c>
      <c r="AS101" s="95" t="s">
        <v>820</v>
      </c>
      <c r="AU101" s="95" t="s">
        <v>817</v>
      </c>
      <c r="AV101" s="95" t="s">
        <v>356</v>
      </c>
      <c r="AW101" s="95" t="s">
        <v>356</v>
      </c>
      <c r="AX101" s="95" t="s">
        <v>356</v>
      </c>
      <c r="BP101" s="407">
        <f t="shared" si="454"/>
        <v>3.9999999999999998E-11</v>
      </c>
      <c r="BQ101" s="407">
        <f t="shared" si="455"/>
        <v>1.9999999999999999E-11</v>
      </c>
      <c r="BR101" s="407">
        <f t="shared" si="456"/>
        <v>3E-11</v>
      </c>
      <c r="BS101" s="407">
        <f t="shared" si="457"/>
        <v>9.9999999999999994E-12</v>
      </c>
      <c r="BT101" s="407">
        <f t="shared" si="458"/>
        <v>5.0000000000000002E-11</v>
      </c>
      <c r="BU101" s="407">
        <f t="shared" si="459"/>
        <v>6E-11</v>
      </c>
      <c r="BV101" s="407">
        <f t="shared" si="460"/>
        <v>7.0000000000000004E-11</v>
      </c>
      <c r="BW101" s="407">
        <f t="shared" si="461"/>
        <v>7.9999999999999995E-11</v>
      </c>
      <c r="BX101" s="95">
        <f t="shared" si="420"/>
        <v>0</v>
      </c>
      <c r="BY101" s="95">
        <f t="shared" si="421"/>
        <v>0</v>
      </c>
      <c r="BZ101" s="95">
        <f t="shared" si="422"/>
        <v>0</v>
      </c>
      <c r="CA101" s="95">
        <f t="shared" si="423"/>
        <v>0</v>
      </c>
      <c r="CB101" s="95">
        <f t="shared" si="424"/>
        <v>0</v>
      </c>
      <c r="CC101" s="95">
        <f t="shared" si="425"/>
        <v>0</v>
      </c>
      <c r="CD101" s="95">
        <f t="shared" si="426"/>
        <v>0</v>
      </c>
      <c r="CE101" s="95">
        <f t="shared" si="427"/>
        <v>0</v>
      </c>
      <c r="CF101" s="95" t="b">
        <f t="shared" si="428"/>
        <v>0</v>
      </c>
      <c r="CG101" s="95" t="b">
        <f t="shared" si="429"/>
        <v>0</v>
      </c>
      <c r="CH101" s="95" t="b">
        <f t="shared" si="430"/>
        <v>0</v>
      </c>
      <c r="CI101" s="95" t="b">
        <f t="shared" si="431"/>
        <v>0</v>
      </c>
      <c r="CJ101" s="95" t="b">
        <f t="shared" si="432"/>
        <v>0</v>
      </c>
      <c r="CK101" s="95" t="b">
        <f t="shared" si="433"/>
        <v>0</v>
      </c>
      <c r="CL101" s="95" t="b">
        <f t="shared" si="434"/>
        <v>0</v>
      </c>
      <c r="CM101" s="95" t="b">
        <f t="shared" si="435"/>
        <v>0</v>
      </c>
      <c r="CS101" s="60"/>
      <c r="DE101" s="222">
        <f t="shared" si="436"/>
        <v>9.9999999999999994E-12</v>
      </c>
      <c r="DF101" s="222">
        <f t="shared" si="462"/>
        <v>1.9999999999999999E-11</v>
      </c>
      <c r="DG101" s="222">
        <f t="shared" si="463"/>
        <v>3E-11</v>
      </c>
      <c r="DH101" s="222">
        <f t="shared" si="464"/>
        <v>3.9999999999999998E-11</v>
      </c>
      <c r="DI101" s="222">
        <f t="shared" si="465"/>
        <v>5.0000000000000002E-11</v>
      </c>
      <c r="DJ101" s="222">
        <f t="shared" si="466"/>
        <v>6E-11</v>
      </c>
      <c r="DK101" s="222">
        <f t="shared" si="467"/>
        <v>7.0000000000000004E-11</v>
      </c>
      <c r="DL101" s="222">
        <f t="shared" si="468"/>
        <v>7.9999999999999995E-11</v>
      </c>
      <c r="DM101" s="95">
        <f t="shared" si="437"/>
        <v>0</v>
      </c>
      <c r="DN101" s="95">
        <f t="shared" si="438"/>
        <v>0</v>
      </c>
      <c r="DO101" s="95">
        <f t="shared" si="439"/>
        <v>0</v>
      </c>
      <c r="DP101" s="95">
        <f t="shared" si="440"/>
        <v>0</v>
      </c>
      <c r="DQ101" s="95">
        <f t="shared" si="441"/>
        <v>0</v>
      </c>
      <c r="DR101" s="95">
        <f t="shared" si="442"/>
        <v>0</v>
      </c>
      <c r="DS101" s="95">
        <f t="shared" si="443"/>
        <v>0</v>
      </c>
      <c r="DT101" s="95">
        <f t="shared" si="444"/>
        <v>0</v>
      </c>
      <c r="DU101" s="95" t="b">
        <f t="shared" si="445"/>
        <v>0</v>
      </c>
      <c r="DV101" s="95" t="b">
        <f t="shared" si="446"/>
        <v>0</v>
      </c>
      <c r="DW101" s="95" t="b">
        <f t="shared" si="447"/>
        <v>0</v>
      </c>
      <c r="DX101" s="95" t="b">
        <f t="shared" si="448"/>
        <v>0</v>
      </c>
      <c r="DY101" s="95" t="b">
        <f t="shared" si="449"/>
        <v>0</v>
      </c>
      <c r="DZ101" s="95" t="b">
        <f t="shared" si="450"/>
        <v>0</v>
      </c>
      <c r="EA101" s="95" t="b">
        <f t="shared" si="451"/>
        <v>0</v>
      </c>
      <c r="EB101" s="95" t="b">
        <f t="shared" si="452"/>
        <v>0</v>
      </c>
      <c r="EC101" s="95" t="s">
        <v>435</v>
      </c>
      <c r="ED101" s="95" t="s">
        <v>435</v>
      </c>
      <c r="EE101" s="95" t="s">
        <v>435</v>
      </c>
      <c r="EF101" s="95" t="s">
        <v>435</v>
      </c>
      <c r="EG101" s="95" t="s">
        <v>435</v>
      </c>
      <c r="EH101" s="95" t="s">
        <v>435</v>
      </c>
      <c r="EI101" s="95" t="s">
        <v>435</v>
      </c>
      <c r="EJ101" s="95" t="s">
        <v>435</v>
      </c>
      <c r="EK101" s="95" t="s">
        <v>435</v>
      </c>
      <c r="EL101" s="95" t="s">
        <v>435</v>
      </c>
      <c r="EM101" s="95" t="s">
        <v>435</v>
      </c>
      <c r="EN101" s="95" t="s">
        <v>435</v>
      </c>
      <c r="EO101" s="95" t="s">
        <v>435</v>
      </c>
      <c r="EP101" s="95" t="s">
        <v>435</v>
      </c>
      <c r="EQ101" s="95" t="s">
        <v>435</v>
      </c>
      <c r="ER101" s="95" t="s">
        <v>435</v>
      </c>
      <c r="FA101" s="95" t="s">
        <v>435</v>
      </c>
      <c r="FB101" s="95" t="s">
        <v>435</v>
      </c>
      <c r="FC101" s="95" t="s">
        <v>435</v>
      </c>
      <c r="FD101" s="95" t="s">
        <v>435</v>
      </c>
      <c r="FE101" s="95" t="s">
        <v>435</v>
      </c>
      <c r="FF101" s="95" t="s">
        <v>435</v>
      </c>
      <c r="FG101" s="95" t="s">
        <v>435</v>
      </c>
      <c r="FH101" s="95" t="s">
        <v>435</v>
      </c>
      <c r="FI101" s="95" t="s">
        <v>435</v>
      </c>
      <c r="FJ101" s="95" t="s">
        <v>435</v>
      </c>
      <c r="FK101" s="95" t="s">
        <v>435</v>
      </c>
      <c r="FL101" s="95" t="s">
        <v>435</v>
      </c>
      <c r="FM101" s="95" t="s">
        <v>435</v>
      </c>
      <c r="FN101" s="95" t="s">
        <v>435</v>
      </c>
      <c r="FO101" s="95" t="s">
        <v>435</v>
      </c>
      <c r="FP101" s="95" t="s">
        <v>435</v>
      </c>
    </row>
    <row r="102" spans="1:172" s="95" customFormat="1">
      <c r="A102" s="95" t="s">
        <v>1207</v>
      </c>
      <c r="B102" s="95" t="s">
        <v>253</v>
      </c>
      <c r="C102" s="95" t="s">
        <v>1201</v>
      </c>
      <c r="D102" s="95" t="s">
        <v>1208</v>
      </c>
      <c r="E102" s="386" t="s">
        <v>889</v>
      </c>
      <c r="H102" s="95">
        <v>205</v>
      </c>
      <c r="I102" s="95">
        <v>200</v>
      </c>
      <c r="O102" s="95" t="s">
        <v>2971</v>
      </c>
      <c r="P102" s="95" t="s">
        <v>2924</v>
      </c>
      <c r="Q102" s="95" t="s">
        <v>2922</v>
      </c>
      <c r="R102" s="95" t="s">
        <v>1209</v>
      </c>
      <c r="S102" s="95" t="s">
        <v>1177</v>
      </c>
      <c r="T102" s="95">
        <v>123</v>
      </c>
      <c r="U102" s="95" cm="1">
        <f t="array" ref="U102">IFERROR(INDEX('Offer Statistics'!$AZ$2:$AZ$350,MATCH(1,(A102='Offer Statistics'!$AK$2:$AK$350)*($A$11='Offer Statistics'!$AL$2:$AL$350),0)),"/")</f>
        <v>100</v>
      </c>
      <c r="V102" s="95" cm="1">
        <f t="array" ref="V102">IFERROR(INDEX('Offer Statistics'!$AM$2:$AM$350,MATCH(1,(A102='Offer Statistics'!$AK$2:$AK$350)*($A$11='Offer Statistics'!$AL$2:$AL$350),0)),"/")</f>
        <v>865</v>
      </c>
      <c r="W102" s="95" cm="1">
        <f t="array" ref="W102">IFERROR(INDEX('Offer Statistics'!$AU$2:$AU$350,MATCH(1,(A102='Offer Statistics'!$AK$2:$AK$350)*($A$11='Offer Statistics'!$AL$2:$AL$350),0)),"/")</f>
        <v>95</v>
      </c>
      <c r="X102" s="95">
        <f t="shared" si="453"/>
        <v>9.1052631578947363</v>
      </c>
      <c r="Y102" s="95" t="s">
        <v>1177</v>
      </c>
      <c r="Z102" s="95" t="str">
        <f>入學要求!AF111</f>
        <v>/</v>
      </c>
      <c r="AA102" s="95" t="str">
        <f>入學要求!AG111</f>
        <v>/</v>
      </c>
      <c r="AB102" s="368" t="s">
        <v>889</v>
      </c>
      <c r="AC102" s="51"/>
      <c r="AD102" s="51"/>
      <c r="AE102" s="364" t="s">
        <v>356</v>
      </c>
      <c r="AF102" s="364" t="s">
        <v>356</v>
      </c>
      <c r="AG102" s="364" t="s">
        <v>2971</v>
      </c>
      <c r="AH102" s="364" t="s">
        <v>2938</v>
      </c>
      <c r="AI102" s="364" t="s">
        <v>2922</v>
      </c>
      <c r="AJ102" s="95" t="s">
        <v>356</v>
      </c>
      <c r="AK102" s="95" t="s">
        <v>356</v>
      </c>
      <c r="AL102" s="95" t="s">
        <v>356</v>
      </c>
      <c r="AM102" s="95" t="s">
        <v>356</v>
      </c>
      <c r="AN102" s="95" t="s">
        <v>356</v>
      </c>
      <c r="AO102" s="95" t="s">
        <v>356</v>
      </c>
      <c r="AP102" s="95" t="s">
        <v>356</v>
      </c>
      <c r="AQ102" s="95" t="s">
        <v>356</v>
      </c>
      <c r="AS102" s="95" t="s">
        <v>820</v>
      </c>
      <c r="AU102" s="95" t="s">
        <v>817</v>
      </c>
      <c r="AV102" s="95" t="s">
        <v>356</v>
      </c>
      <c r="AW102" s="95" t="s">
        <v>356</v>
      </c>
      <c r="AX102" s="95" t="s">
        <v>356</v>
      </c>
      <c r="BP102" s="407">
        <f t="shared" si="454"/>
        <v>3.9999999999999998E-11</v>
      </c>
      <c r="BQ102" s="407">
        <f t="shared" si="455"/>
        <v>1.9999999999999999E-11</v>
      </c>
      <c r="BR102" s="407">
        <f t="shared" si="456"/>
        <v>3E-11</v>
      </c>
      <c r="BS102" s="407">
        <f t="shared" si="457"/>
        <v>9.9999999999999994E-12</v>
      </c>
      <c r="BT102" s="407">
        <f t="shared" si="458"/>
        <v>5.0000000000000002E-11</v>
      </c>
      <c r="BU102" s="407">
        <f t="shared" si="459"/>
        <v>6E-11</v>
      </c>
      <c r="BV102" s="407">
        <f t="shared" si="460"/>
        <v>7.0000000000000004E-11</v>
      </c>
      <c r="BW102" s="407">
        <f t="shared" si="461"/>
        <v>7.9999999999999995E-11</v>
      </c>
      <c r="BX102" s="95">
        <f t="shared" si="420"/>
        <v>0</v>
      </c>
      <c r="BY102" s="95">
        <f t="shared" si="421"/>
        <v>0</v>
      </c>
      <c r="BZ102" s="95">
        <f t="shared" si="422"/>
        <v>0</v>
      </c>
      <c r="CA102" s="95">
        <f t="shared" si="423"/>
        <v>0</v>
      </c>
      <c r="CB102" s="95">
        <f t="shared" si="424"/>
        <v>0</v>
      </c>
      <c r="CC102" s="95">
        <f t="shared" si="425"/>
        <v>0</v>
      </c>
      <c r="CD102" s="95">
        <f t="shared" si="426"/>
        <v>0</v>
      </c>
      <c r="CE102" s="95">
        <f t="shared" si="427"/>
        <v>0</v>
      </c>
      <c r="CF102" s="95" t="b">
        <f t="shared" si="428"/>
        <v>0</v>
      </c>
      <c r="CG102" s="95" t="b">
        <f t="shared" si="429"/>
        <v>0</v>
      </c>
      <c r="CH102" s="95" t="b">
        <f t="shared" si="430"/>
        <v>0</v>
      </c>
      <c r="CI102" s="95" t="b">
        <f t="shared" si="431"/>
        <v>0</v>
      </c>
      <c r="CJ102" s="95" t="b">
        <f t="shared" si="432"/>
        <v>0</v>
      </c>
      <c r="CK102" s="95" t="b">
        <f t="shared" si="433"/>
        <v>0</v>
      </c>
      <c r="CL102" s="95" t="b">
        <f t="shared" si="434"/>
        <v>0</v>
      </c>
      <c r="CM102" s="95" t="b">
        <f t="shared" si="435"/>
        <v>0</v>
      </c>
      <c r="DE102" s="222">
        <f t="shared" si="436"/>
        <v>9.9999999999999994E-12</v>
      </c>
      <c r="DF102" s="222">
        <f>IFERROR(CX102+0.00000000002,0)</f>
        <v>1.9999999999999999E-11</v>
      </c>
      <c r="DG102" s="222">
        <f>IFERROR(CY102+0.00000000003,0)</f>
        <v>3E-11</v>
      </c>
      <c r="DH102" s="222">
        <f>IFERROR(CZ102+0.00000000004,0)</f>
        <v>3.9999999999999998E-11</v>
      </c>
      <c r="DI102" s="222">
        <f>IFERROR(DA102+0.00000000005,0)</f>
        <v>5.0000000000000002E-11</v>
      </c>
      <c r="DJ102" s="222">
        <f>IFERROR(DB102+0.00000000006,0)</f>
        <v>6E-11</v>
      </c>
      <c r="DK102" s="222">
        <f>IFERROR(DC102+0.00000000007,0)</f>
        <v>7.0000000000000004E-11</v>
      </c>
      <c r="DL102" s="222">
        <f>IFERROR(DD102+0.00000000008,0)</f>
        <v>7.9999999999999995E-11</v>
      </c>
      <c r="DM102" s="95">
        <f t="shared" si="437"/>
        <v>0</v>
      </c>
      <c r="DN102" s="95">
        <f t="shared" si="438"/>
        <v>0</v>
      </c>
      <c r="DO102" s="95">
        <f t="shared" si="439"/>
        <v>0</v>
      </c>
      <c r="DP102" s="95">
        <f t="shared" si="440"/>
        <v>0</v>
      </c>
      <c r="DQ102" s="95">
        <f t="shared" si="441"/>
        <v>0</v>
      </c>
      <c r="DR102" s="95">
        <f t="shared" si="442"/>
        <v>0</v>
      </c>
      <c r="DS102" s="95">
        <f t="shared" si="443"/>
        <v>0</v>
      </c>
      <c r="DT102" s="95">
        <f t="shared" si="444"/>
        <v>0</v>
      </c>
      <c r="DU102" s="95" t="b">
        <f t="shared" si="445"/>
        <v>0</v>
      </c>
      <c r="DV102" s="95" t="b">
        <f t="shared" si="446"/>
        <v>0</v>
      </c>
      <c r="DW102" s="95" t="b">
        <f t="shared" si="447"/>
        <v>0</v>
      </c>
      <c r="DX102" s="95" t="b">
        <f t="shared" si="448"/>
        <v>0</v>
      </c>
      <c r="DY102" s="95" t="b">
        <f t="shared" si="449"/>
        <v>0</v>
      </c>
      <c r="DZ102" s="95" t="b">
        <f t="shared" si="450"/>
        <v>0</v>
      </c>
      <c r="EA102" s="95" t="b">
        <f t="shared" si="451"/>
        <v>0</v>
      </c>
      <c r="EB102" s="95" t="b">
        <f t="shared" si="452"/>
        <v>0</v>
      </c>
      <c r="EC102" s="95" t="s">
        <v>435</v>
      </c>
      <c r="ED102" s="95" t="s">
        <v>435</v>
      </c>
      <c r="EE102" s="95" t="s">
        <v>435</v>
      </c>
      <c r="EF102" s="95" t="s">
        <v>435</v>
      </c>
      <c r="EG102" s="95" t="s">
        <v>435</v>
      </c>
      <c r="EH102" s="95" t="s">
        <v>435</v>
      </c>
      <c r="EI102" s="95" t="s">
        <v>435</v>
      </c>
      <c r="EJ102" s="95" t="s">
        <v>435</v>
      </c>
      <c r="EK102" s="95" t="s">
        <v>435</v>
      </c>
      <c r="EL102" s="95" t="s">
        <v>435</v>
      </c>
      <c r="EM102" s="95" t="s">
        <v>435</v>
      </c>
      <c r="EN102" s="95" t="s">
        <v>435</v>
      </c>
      <c r="EO102" s="95" t="s">
        <v>435</v>
      </c>
      <c r="EP102" s="95" t="s">
        <v>435</v>
      </c>
      <c r="EQ102" s="95" t="s">
        <v>435</v>
      </c>
      <c r="ER102" s="95" t="s">
        <v>435</v>
      </c>
      <c r="FA102" s="95" t="s">
        <v>435</v>
      </c>
      <c r="FB102" s="95" t="s">
        <v>435</v>
      </c>
      <c r="FC102" s="95" t="s">
        <v>435</v>
      </c>
      <c r="FD102" s="95" t="s">
        <v>435</v>
      </c>
      <c r="FE102" s="95" t="s">
        <v>435</v>
      </c>
      <c r="FF102" s="95" t="s">
        <v>435</v>
      </c>
      <c r="FG102" s="95" t="s">
        <v>435</v>
      </c>
      <c r="FH102" s="95" t="s">
        <v>435</v>
      </c>
      <c r="FI102" s="95" t="s">
        <v>435</v>
      </c>
      <c r="FJ102" s="95" t="s">
        <v>435</v>
      </c>
      <c r="FK102" s="95" t="s">
        <v>435</v>
      </c>
      <c r="FL102" s="95" t="s">
        <v>435</v>
      </c>
      <c r="FM102" s="95" t="s">
        <v>435</v>
      </c>
      <c r="FN102" s="95" t="s">
        <v>435</v>
      </c>
      <c r="FO102" s="95" t="s">
        <v>435</v>
      </c>
      <c r="FP102" s="95" t="s">
        <v>435</v>
      </c>
    </row>
    <row r="103" spans="1:172" s="95" customFormat="1">
      <c r="A103" s="95" t="s">
        <v>1210</v>
      </c>
      <c r="B103" s="95" t="s">
        <v>253</v>
      </c>
      <c r="C103" s="95" t="s">
        <v>1201</v>
      </c>
      <c r="D103" s="95" t="s">
        <v>1211</v>
      </c>
      <c r="E103" s="386" t="s">
        <v>889</v>
      </c>
      <c r="H103" s="95">
        <v>201.5</v>
      </c>
      <c r="I103" s="95">
        <v>193</v>
      </c>
      <c r="O103" s="95" t="s">
        <v>2959</v>
      </c>
      <c r="P103" s="95" t="s">
        <v>1244</v>
      </c>
      <c r="Q103" s="95" t="s">
        <v>356</v>
      </c>
      <c r="R103" s="95" t="s">
        <v>1212</v>
      </c>
      <c r="S103" s="95" t="s">
        <v>1177</v>
      </c>
      <c r="T103" s="95">
        <v>40</v>
      </c>
      <c r="U103" s="95" cm="1">
        <f t="array" ref="U103">IFERROR(INDEX('Offer Statistics'!$AZ$2:$AZ$350,MATCH(1,(A103='Offer Statistics'!$AK$2:$AK$350)*($A$11='Offer Statistics'!$AL$2:$AL$350),0)),"/")</f>
        <v>31</v>
      </c>
      <c r="V103" s="95" cm="1">
        <f t="array" ref="V103">IFERROR(INDEX('Offer Statistics'!$AM$2:$AM$350,MATCH(1,(A103='Offer Statistics'!$AK$2:$AK$350)*($A$11='Offer Statistics'!$AL$2:$AL$350),0)),"/")</f>
        <v>218</v>
      </c>
      <c r="W103" s="95" cm="1">
        <f t="array" ref="W103">IFERROR(INDEX('Offer Statistics'!$AU$2:$AU$350,MATCH(1,(A103='Offer Statistics'!$AK$2:$AK$350)*($A$11='Offer Statistics'!$AL$2:$AL$350),0)),"/")</f>
        <v>27</v>
      </c>
      <c r="X103" s="95">
        <f t="shared" si="453"/>
        <v>8.0740740740740744</v>
      </c>
      <c r="Y103" s="95" t="s">
        <v>1177</v>
      </c>
      <c r="Z103" s="95" t="str">
        <f>入學要求!AF112</f>
        <v>/</v>
      </c>
      <c r="AA103" s="95" t="str">
        <f>入學要求!AG112</f>
        <v>/</v>
      </c>
      <c r="AB103" s="368" t="s">
        <v>889</v>
      </c>
      <c r="AC103" s="365"/>
      <c r="AD103" s="51"/>
      <c r="AE103" s="364" t="s">
        <v>356</v>
      </c>
      <c r="AF103" s="364" t="s">
        <v>356</v>
      </c>
      <c r="AG103" s="364" t="s">
        <v>2959</v>
      </c>
      <c r="AH103" s="364" t="s">
        <v>1244</v>
      </c>
      <c r="AI103" s="364" t="s">
        <v>356</v>
      </c>
      <c r="AJ103" s="95" t="s">
        <v>356</v>
      </c>
      <c r="AK103" s="95" t="s">
        <v>356</v>
      </c>
      <c r="AL103" s="95" t="s">
        <v>356</v>
      </c>
      <c r="AM103" s="95" t="s">
        <v>356</v>
      </c>
      <c r="AN103" s="95" t="s">
        <v>356</v>
      </c>
      <c r="AO103" s="95" t="s">
        <v>356</v>
      </c>
      <c r="AP103" s="95" t="s">
        <v>356</v>
      </c>
      <c r="AQ103" s="95" t="s">
        <v>356</v>
      </c>
      <c r="AS103" s="95" t="s">
        <v>820</v>
      </c>
      <c r="AU103" s="95" t="s">
        <v>817</v>
      </c>
      <c r="AV103" s="95" t="s">
        <v>356</v>
      </c>
      <c r="AW103" s="95" t="s">
        <v>356</v>
      </c>
      <c r="AX103" s="95" t="s">
        <v>356</v>
      </c>
      <c r="BP103" s="407">
        <f t="shared" si="454"/>
        <v>3.9999999999999998E-11</v>
      </c>
      <c r="BQ103" s="407">
        <f t="shared" si="455"/>
        <v>1.9999999999999999E-11</v>
      </c>
      <c r="BR103" s="407">
        <f t="shared" si="456"/>
        <v>3E-11</v>
      </c>
      <c r="BS103" s="407">
        <f t="shared" si="457"/>
        <v>9.9999999999999994E-12</v>
      </c>
      <c r="BT103" s="407">
        <f t="shared" si="458"/>
        <v>5.0000000000000002E-11</v>
      </c>
      <c r="BU103" s="407">
        <f t="shared" si="459"/>
        <v>6E-11</v>
      </c>
      <c r="BV103" s="407">
        <f t="shared" si="460"/>
        <v>7.0000000000000004E-11</v>
      </c>
      <c r="BW103" s="407">
        <f t="shared" si="461"/>
        <v>7.9999999999999995E-11</v>
      </c>
      <c r="BX103" s="95">
        <f t="shared" si="420"/>
        <v>0</v>
      </c>
      <c r="BY103" s="95">
        <f t="shared" si="421"/>
        <v>0</v>
      </c>
      <c r="BZ103" s="95">
        <f t="shared" si="422"/>
        <v>0</v>
      </c>
      <c r="CA103" s="95">
        <f t="shared" si="423"/>
        <v>0</v>
      </c>
      <c r="CB103" s="95">
        <f t="shared" si="424"/>
        <v>0</v>
      </c>
      <c r="CC103" s="95">
        <f t="shared" si="425"/>
        <v>0</v>
      </c>
      <c r="CD103" s="95">
        <f t="shared" si="426"/>
        <v>0</v>
      </c>
      <c r="CE103" s="95">
        <f t="shared" si="427"/>
        <v>0</v>
      </c>
      <c r="CF103" s="95" t="b">
        <f t="shared" si="428"/>
        <v>0</v>
      </c>
      <c r="CG103" s="95" t="b">
        <f t="shared" si="429"/>
        <v>0</v>
      </c>
      <c r="CH103" s="95" t="b">
        <f t="shared" si="430"/>
        <v>0</v>
      </c>
      <c r="CI103" s="95" t="b">
        <f t="shared" si="431"/>
        <v>0</v>
      </c>
      <c r="CJ103" s="95" t="b">
        <f t="shared" si="432"/>
        <v>0</v>
      </c>
      <c r="CK103" s="95" t="b">
        <f t="shared" si="433"/>
        <v>0</v>
      </c>
      <c r="CL103" s="95" t="b">
        <f t="shared" si="434"/>
        <v>0</v>
      </c>
      <c r="CM103" s="95" t="b">
        <f t="shared" si="435"/>
        <v>0</v>
      </c>
      <c r="DE103" s="222">
        <f t="shared" si="436"/>
        <v>9.9999999999999994E-12</v>
      </c>
      <c r="DF103" s="222">
        <f>IFERROR(CX103+0.00000000002,0)</f>
        <v>1.9999999999999999E-11</v>
      </c>
      <c r="DG103" s="222">
        <f>IFERROR(CY103+0.00000000003,0)</f>
        <v>3E-11</v>
      </c>
      <c r="DH103" s="222">
        <f>IFERROR(CZ103+0.00000000004,0)</f>
        <v>3.9999999999999998E-11</v>
      </c>
      <c r="DI103" s="222">
        <f>IFERROR(DA103+0.00000000005,0)</f>
        <v>5.0000000000000002E-11</v>
      </c>
      <c r="DJ103" s="222">
        <f>IFERROR(DB103+0.00000000006,0)</f>
        <v>6E-11</v>
      </c>
      <c r="DK103" s="222">
        <f>IFERROR(DC103+0.00000000007,0)</f>
        <v>7.0000000000000004E-11</v>
      </c>
      <c r="DL103" s="222">
        <f>IFERROR(DD103+0.00000000008,0)</f>
        <v>7.9999999999999995E-11</v>
      </c>
      <c r="DM103" s="95">
        <f t="shared" si="437"/>
        <v>0</v>
      </c>
      <c r="DN103" s="95">
        <f t="shared" si="438"/>
        <v>0</v>
      </c>
      <c r="DO103" s="95">
        <f t="shared" si="439"/>
        <v>0</v>
      </c>
      <c r="DP103" s="95">
        <f t="shared" si="440"/>
        <v>0</v>
      </c>
      <c r="DQ103" s="95">
        <f t="shared" si="441"/>
        <v>0</v>
      </c>
      <c r="DR103" s="95">
        <f t="shared" si="442"/>
        <v>0</v>
      </c>
      <c r="DS103" s="95">
        <f t="shared" si="443"/>
        <v>0</v>
      </c>
      <c r="DT103" s="95">
        <f t="shared" si="444"/>
        <v>0</v>
      </c>
      <c r="DU103" s="95" t="b">
        <f t="shared" si="445"/>
        <v>0</v>
      </c>
      <c r="DV103" s="95" t="b">
        <f t="shared" si="446"/>
        <v>0</v>
      </c>
      <c r="DW103" s="95" t="b">
        <f t="shared" si="447"/>
        <v>0</v>
      </c>
      <c r="DX103" s="95" t="b">
        <f t="shared" si="448"/>
        <v>0</v>
      </c>
      <c r="DY103" s="95" t="b">
        <f t="shared" si="449"/>
        <v>0</v>
      </c>
      <c r="DZ103" s="95" t="b">
        <f t="shared" si="450"/>
        <v>0</v>
      </c>
      <c r="EA103" s="95" t="b">
        <f t="shared" si="451"/>
        <v>0</v>
      </c>
      <c r="EB103" s="95" t="b">
        <f t="shared" si="452"/>
        <v>0</v>
      </c>
      <c r="EC103" s="95" t="s">
        <v>435</v>
      </c>
      <c r="ED103" s="95" t="s">
        <v>435</v>
      </c>
      <c r="EE103" s="95" t="s">
        <v>435</v>
      </c>
      <c r="EF103" s="95" t="s">
        <v>435</v>
      </c>
      <c r="EG103" s="95" t="s">
        <v>435</v>
      </c>
      <c r="EH103" s="95" t="s">
        <v>435</v>
      </c>
      <c r="EI103" s="95" t="s">
        <v>435</v>
      </c>
      <c r="EJ103" s="95" t="s">
        <v>435</v>
      </c>
      <c r="EK103" s="95" t="s">
        <v>435</v>
      </c>
      <c r="EL103" s="95" t="s">
        <v>435</v>
      </c>
      <c r="EM103" s="95" t="s">
        <v>435</v>
      </c>
      <c r="EN103" s="95" t="s">
        <v>435</v>
      </c>
      <c r="EO103" s="95" t="s">
        <v>435</v>
      </c>
      <c r="EP103" s="95" t="s">
        <v>435</v>
      </c>
      <c r="EQ103" s="95" t="s">
        <v>435</v>
      </c>
      <c r="ER103" s="95" t="s">
        <v>435</v>
      </c>
      <c r="FA103" s="95" t="s">
        <v>435</v>
      </c>
      <c r="FB103" s="95" t="s">
        <v>435</v>
      </c>
      <c r="FC103" s="95" t="s">
        <v>435</v>
      </c>
      <c r="FD103" s="95" t="s">
        <v>435</v>
      </c>
      <c r="FE103" s="95" t="s">
        <v>435</v>
      </c>
      <c r="FF103" s="95" t="s">
        <v>435</v>
      </c>
      <c r="FG103" s="95" t="s">
        <v>435</v>
      </c>
      <c r="FH103" s="95" t="s">
        <v>435</v>
      </c>
      <c r="FI103" s="95" t="s">
        <v>435</v>
      </c>
      <c r="FJ103" s="95" t="s">
        <v>435</v>
      </c>
      <c r="FK103" s="95" t="s">
        <v>435</v>
      </c>
      <c r="FL103" s="95" t="s">
        <v>435</v>
      </c>
      <c r="FM103" s="95" t="s">
        <v>435</v>
      </c>
      <c r="FN103" s="95" t="s">
        <v>435</v>
      </c>
      <c r="FO103" s="95" t="s">
        <v>435</v>
      </c>
      <c r="FP103" s="95" t="s">
        <v>435</v>
      </c>
    </row>
    <row r="104" spans="1:172" s="95" customFormat="1">
      <c r="A104" s="95" t="s">
        <v>1213</v>
      </c>
      <c r="B104" s="95" t="s">
        <v>253</v>
      </c>
      <c r="C104" s="95" t="s">
        <v>1214</v>
      </c>
      <c r="D104" s="95" t="s">
        <v>1215</v>
      </c>
      <c r="E104" s="386" t="s">
        <v>889</v>
      </c>
      <c r="H104" s="95">
        <v>184</v>
      </c>
      <c r="I104" s="95">
        <v>176.5</v>
      </c>
      <c r="O104" s="95" t="s">
        <v>2926</v>
      </c>
      <c r="P104" s="95" t="s">
        <v>2965</v>
      </c>
      <c r="Q104" s="95" t="s">
        <v>2922</v>
      </c>
      <c r="R104" s="95" t="s">
        <v>1216</v>
      </c>
      <c r="S104" s="95" t="s">
        <v>1177</v>
      </c>
      <c r="T104" s="95">
        <v>56</v>
      </c>
      <c r="U104" s="95" cm="1">
        <f t="array" ref="U104">IFERROR(INDEX('Offer Statistics'!$AZ$2:$AZ$350,MATCH(1,(A104='Offer Statistics'!$AK$2:$AK$350)*($A$11='Offer Statistics'!$AL$2:$AL$350),0)),"/")</f>
        <v>41</v>
      </c>
      <c r="V104" s="95" cm="1">
        <f t="array" ref="V104">IFERROR(INDEX('Offer Statistics'!$AM$2:$AM$350,MATCH(1,(A104='Offer Statistics'!$AK$2:$AK$350)*($A$11='Offer Statistics'!$AL$2:$AL$350),0)),"/")</f>
        <v>736</v>
      </c>
      <c r="W104" s="95" cm="1">
        <f t="array" ref="W104">IFERROR(INDEX('Offer Statistics'!$AU$2:$AU$350,MATCH(1,(A104='Offer Statistics'!$AK$2:$AK$350)*($A$11='Offer Statistics'!$AL$2:$AL$350),0)),"/")</f>
        <v>37</v>
      </c>
      <c r="X104" s="95">
        <f t="shared" si="453"/>
        <v>19.891891891891891</v>
      </c>
      <c r="Y104" s="95" t="s">
        <v>1177</v>
      </c>
      <c r="Z104" s="95" t="str">
        <f>入學要求!AF113</f>
        <v>/</v>
      </c>
      <c r="AA104" s="95" t="str">
        <f>入學要求!AG113</f>
        <v>/</v>
      </c>
      <c r="AB104" s="368" t="s">
        <v>889</v>
      </c>
      <c r="AC104" s="365"/>
      <c r="AD104" s="51"/>
      <c r="AE104" s="364" t="s">
        <v>356</v>
      </c>
      <c r="AF104" s="364" t="s">
        <v>356</v>
      </c>
      <c r="AG104" s="364" t="s">
        <v>2926</v>
      </c>
      <c r="AH104" s="364" t="s">
        <v>2966</v>
      </c>
      <c r="AI104" s="364" t="s">
        <v>2922</v>
      </c>
      <c r="AJ104" s="95" t="s">
        <v>356</v>
      </c>
      <c r="AK104" s="95" t="s">
        <v>356</v>
      </c>
      <c r="AL104" s="95" t="s">
        <v>356</v>
      </c>
      <c r="AM104" s="95" t="s">
        <v>356</v>
      </c>
      <c r="AN104" s="95" t="s">
        <v>356</v>
      </c>
      <c r="AO104" s="95" t="s">
        <v>356</v>
      </c>
      <c r="AP104" s="95" t="s">
        <v>356</v>
      </c>
      <c r="AQ104" s="95" t="s">
        <v>356</v>
      </c>
      <c r="AS104" s="95" t="s">
        <v>820</v>
      </c>
      <c r="AU104" s="95" t="s">
        <v>817</v>
      </c>
      <c r="AV104" s="95" t="s">
        <v>356</v>
      </c>
      <c r="AW104" s="95" t="s">
        <v>356</v>
      </c>
      <c r="AX104" s="95" t="s">
        <v>356</v>
      </c>
      <c r="BP104" s="407">
        <f t="shared" si="454"/>
        <v>3.9999999999999998E-11</v>
      </c>
      <c r="BQ104" s="407">
        <f t="shared" si="455"/>
        <v>1.9999999999999999E-11</v>
      </c>
      <c r="BR104" s="407">
        <f t="shared" si="456"/>
        <v>3E-11</v>
      </c>
      <c r="BS104" s="407">
        <f t="shared" si="457"/>
        <v>9.9999999999999994E-12</v>
      </c>
      <c r="BT104" s="407">
        <f t="shared" si="458"/>
        <v>5.0000000000000002E-11</v>
      </c>
      <c r="BU104" s="407">
        <f t="shared" si="459"/>
        <v>6E-11</v>
      </c>
      <c r="BV104" s="407">
        <f t="shared" si="460"/>
        <v>7.0000000000000004E-11</v>
      </c>
      <c r="BW104" s="407">
        <f t="shared" si="461"/>
        <v>7.9999999999999995E-11</v>
      </c>
      <c r="BX104" s="95">
        <f t="shared" si="420"/>
        <v>0</v>
      </c>
      <c r="BY104" s="95">
        <f t="shared" si="421"/>
        <v>0</v>
      </c>
      <c r="BZ104" s="95">
        <f t="shared" si="422"/>
        <v>0</v>
      </c>
      <c r="CA104" s="95">
        <f t="shared" si="423"/>
        <v>0</v>
      </c>
      <c r="CB104" s="95">
        <f t="shared" si="424"/>
        <v>0</v>
      </c>
      <c r="CC104" s="95">
        <f t="shared" si="425"/>
        <v>0</v>
      </c>
      <c r="CD104" s="95">
        <f t="shared" si="426"/>
        <v>0</v>
      </c>
      <c r="CE104" s="95">
        <f t="shared" si="427"/>
        <v>0</v>
      </c>
      <c r="CF104" s="95" t="b">
        <f t="shared" si="428"/>
        <v>0</v>
      </c>
      <c r="CG104" s="95" t="b">
        <f t="shared" si="429"/>
        <v>0</v>
      </c>
      <c r="CH104" s="95" t="b">
        <f t="shared" si="430"/>
        <v>0</v>
      </c>
      <c r="CI104" s="95" t="b">
        <f t="shared" si="431"/>
        <v>0</v>
      </c>
      <c r="CJ104" s="95" t="b">
        <f t="shared" si="432"/>
        <v>0</v>
      </c>
      <c r="CK104" s="95" t="b">
        <f t="shared" si="433"/>
        <v>0</v>
      </c>
      <c r="CL104" s="95" t="b">
        <f t="shared" si="434"/>
        <v>0</v>
      </c>
      <c r="CM104" s="95" t="b">
        <f t="shared" si="435"/>
        <v>0</v>
      </c>
      <c r="DE104" s="222">
        <f t="shared" si="436"/>
        <v>9.9999999999999994E-12</v>
      </c>
      <c r="DF104" s="222">
        <f t="shared" si="462"/>
        <v>1.9999999999999999E-11</v>
      </c>
      <c r="DG104" s="222">
        <f t="shared" si="463"/>
        <v>3E-11</v>
      </c>
      <c r="DH104" s="222">
        <f t="shared" si="464"/>
        <v>3.9999999999999998E-11</v>
      </c>
      <c r="DI104" s="222">
        <f t="shared" si="465"/>
        <v>5.0000000000000002E-11</v>
      </c>
      <c r="DJ104" s="222">
        <f t="shared" si="466"/>
        <v>6E-11</v>
      </c>
      <c r="DK104" s="222">
        <f t="shared" si="467"/>
        <v>7.0000000000000004E-11</v>
      </c>
      <c r="DL104" s="222">
        <f t="shared" si="468"/>
        <v>7.9999999999999995E-11</v>
      </c>
      <c r="DM104" s="95">
        <f t="shared" si="437"/>
        <v>0</v>
      </c>
      <c r="DN104" s="95">
        <f t="shared" si="438"/>
        <v>0</v>
      </c>
      <c r="DO104" s="95">
        <f t="shared" si="439"/>
        <v>0</v>
      </c>
      <c r="DP104" s="95">
        <f t="shared" si="440"/>
        <v>0</v>
      </c>
      <c r="DQ104" s="95">
        <f t="shared" si="441"/>
        <v>0</v>
      </c>
      <c r="DR104" s="95">
        <f t="shared" si="442"/>
        <v>0</v>
      </c>
      <c r="DS104" s="95">
        <f t="shared" si="443"/>
        <v>0</v>
      </c>
      <c r="DT104" s="95">
        <f t="shared" si="444"/>
        <v>0</v>
      </c>
      <c r="DU104" s="95" t="b">
        <f t="shared" si="445"/>
        <v>0</v>
      </c>
      <c r="DV104" s="95" t="b">
        <f t="shared" si="446"/>
        <v>0</v>
      </c>
      <c r="DW104" s="95" t="b">
        <f t="shared" si="447"/>
        <v>0</v>
      </c>
      <c r="DX104" s="95" t="b">
        <f t="shared" si="448"/>
        <v>0</v>
      </c>
      <c r="DY104" s="95" t="b">
        <f t="shared" si="449"/>
        <v>0</v>
      </c>
      <c r="DZ104" s="95" t="b">
        <f t="shared" si="450"/>
        <v>0</v>
      </c>
      <c r="EA104" s="95" t="b">
        <f t="shared" si="451"/>
        <v>0</v>
      </c>
      <c r="EB104" s="95" t="b">
        <f t="shared" si="452"/>
        <v>0</v>
      </c>
      <c r="EC104" s="95" t="s">
        <v>435</v>
      </c>
      <c r="ED104" s="95" t="s">
        <v>435</v>
      </c>
      <c r="EE104" s="95" t="s">
        <v>435</v>
      </c>
      <c r="EF104" s="95" t="s">
        <v>435</v>
      </c>
      <c r="EG104" s="95" t="s">
        <v>435</v>
      </c>
      <c r="EH104" s="95" t="s">
        <v>435</v>
      </c>
      <c r="EI104" s="95" t="s">
        <v>435</v>
      </c>
      <c r="EJ104" s="95" t="s">
        <v>435</v>
      </c>
      <c r="EK104" s="95" t="s">
        <v>435</v>
      </c>
      <c r="EL104" s="95" t="s">
        <v>435</v>
      </c>
      <c r="EM104" s="95" t="s">
        <v>435</v>
      </c>
      <c r="EN104" s="95" t="s">
        <v>435</v>
      </c>
      <c r="EO104" s="95" t="s">
        <v>435</v>
      </c>
      <c r="EP104" s="95" t="s">
        <v>435</v>
      </c>
      <c r="EQ104" s="95" t="s">
        <v>435</v>
      </c>
      <c r="ER104" s="95" t="s">
        <v>435</v>
      </c>
      <c r="FA104" s="95" t="s">
        <v>435</v>
      </c>
      <c r="FB104" s="95" t="s">
        <v>435</v>
      </c>
      <c r="FC104" s="95" t="s">
        <v>435</v>
      </c>
      <c r="FD104" s="95" t="s">
        <v>435</v>
      </c>
      <c r="FE104" s="95" t="s">
        <v>435</v>
      </c>
      <c r="FF104" s="95" t="s">
        <v>435</v>
      </c>
      <c r="FG104" s="95" t="s">
        <v>435</v>
      </c>
      <c r="FH104" s="95" t="s">
        <v>435</v>
      </c>
      <c r="FI104" s="95" t="s">
        <v>435</v>
      </c>
      <c r="FJ104" s="95" t="s">
        <v>435</v>
      </c>
      <c r="FK104" s="95" t="s">
        <v>435</v>
      </c>
      <c r="FL104" s="95" t="s">
        <v>435</v>
      </c>
      <c r="FM104" s="95" t="s">
        <v>435</v>
      </c>
      <c r="FN104" s="95" t="s">
        <v>435</v>
      </c>
      <c r="FO104" s="95" t="s">
        <v>435</v>
      </c>
      <c r="FP104" s="95" t="s">
        <v>435</v>
      </c>
    </row>
    <row r="105" spans="1:172" s="95" customFormat="1">
      <c r="A105" s="95" t="s">
        <v>1217</v>
      </c>
      <c r="B105" s="95" t="s">
        <v>253</v>
      </c>
      <c r="C105" s="95" t="s">
        <v>1214</v>
      </c>
      <c r="D105" s="95" t="s">
        <v>1218</v>
      </c>
      <c r="E105" s="386" t="s">
        <v>889</v>
      </c>
      <c r="H105" s="95">
        <v>227</v>
      </c>
      <c r="I105" s="95">
        <v>218</v>
      </c>
      <c r="O105" s="95" t="s">
        <v>2972</v>
      </c>
      <c r="P105" s="95" t="s">
        <v>1219</v>
      </c>
      <c r="Q105" s="95" t="s">
        <v>2922</v>
      </c>
      <c r="R105" s="95" t="s">
        <v>1220</v>
      </c>
      <c r="S105" s="95" t="s">
        <v>1177</v>
      </c>
      <c r="T105" s="95">
        <v>24</v>
      </c>
      <c r="U105" s="95" cm="1">
        <f t="array" ref="U105">IFERROR(INDEX('Offer Statistics'!$AZ$2:$AZ$350,MATCH(1,(A105='Offer Statistics'!$AK$2:$AK$350)*($A$11='Offer Statistics'!$AL$2:$AL$350),0)),"/")</f>
        <v>32</v>
      </c>
      <c r="V105" s="95" cm="1">
        <f t="array" ref="V105">IFERROR(INDEX('Offer Statistics'!$AM$2:$AM$350,MATCH(1,(A105='Offer Statistics'!$AK$2:$AK$350)*($A$11='Offer Statistics'!$AL$2:$AL$350),0)),"/")</f>
        <v>206</v>
      </c>
      <c r="W105" s="95" cm="1">
        <f t="array" ref="W105">IFERROR(INDEX('Offer Statistics'!$AU$2:$AU$350,MATCH(1,(A105='Offer Statistics'!$AK$2:$AK$350)*($A$11='Offer Statistics'!$AL$2:$AL$350),0)),"/")</f>
        <v>31</v>
      </c>
      <c r="X105" s="95">
        <f t="shared" si="453"/>
        <v>6.645161290322581</v>
      </c>
      <c r="Y105" s="95" t="s">
        <v>1177</v>
      </c>
      <c r="Z105" s="95" t="str">
        <f>入學要求!AF114</f>
        <v>/</v>
      </c>
      <c r="AA105" s="95" t="str">
        <f>入學要求!AG114</f>
        <v>/</v>
      </c>
      <c r="AB105" s="368" t="s">
        <v>889</v>
      </c>
      <c r="AC105" s="365"/>
      <c r="AD105" s="51"/>
      <c r="AE105" s="364" t="s">
        <v>356</v>
      </c>
      <c r="AF105" s="364" t="s">
        <v>356</v>
      </c>
      <c r="AG105" s="364" t="s">
        <v>2972</v>
      </c>
      <c r="AH105" s="364" t="s">
        <v>2910</v>
      </c>
      <c r="AI105" s="364" t="s">
        <v>2922</v>
      </c>
      <c r="AJ105" s="95" t="s">
        <v>356</v>
      </c>
      <c r="AK105" s="95" t="s">
        <v>356</v>
      </c>
      <c r="AL105" s="95" t="s">
        <v>356</v>
      </c>
      <c r="AM105" s="95" t="s">
        <v>356</v>
      </c>
      <c r="AN105" s="95" t="s">
        <v>356</v>
      </c>
      <c r="AO105" s="95" t="s">
        <v>356</v>
      </c>
      <c r="AP105" s="95" t="s">
        <v>356</v>
      </c>
      <c r="AQ105" s="95" t="s">
        <v>356</v>
      </c>
      <c r="AS105" s="95" t="s">
        <v>820</v>
      </c>
      <c r="AU105" s="95" t="s">
        <v>817</v>
      </c>
      <c r="AV105" s="95" t="s">
        <v>356</v>
      </c>
      <c r="AW105" s="95" t="s">
        <v>356</v>
      </c>
      <c r="AX105" s="95" t="s">
        <v>356</v>
      </c>
      <c r="BP105" s="407">
        <f t="shared" si="454"/>
        <v>3.9999999999999998E-11</v>
      </c>
      <c r="BQ105" s="407">
        <f t="shared" si="455"/>
        <v>1.9999999999999999E-11</v>
      </c>
      <c r="BR105" s="407">
        <f t="shared" si="456"/>
        <v>3E-11</v>
      </c>
      <c r="BS105" s="407">
        <f t="shared" si="457"/>
        <v>9.9999999999999994E-12</v>
      </c>
      <c r="BT105" s="407">
        <f t="shared" si="458"/>
        <v>5.0000000000000002E-11</v>
      </c>
      <c r="BU105" s="407">
        <f t="shared" si="459"/>
        <v>6E-11</v>
      </c>
      <c r="BV105" s="407">
        <f t="shared" si="460"/>
        <v>7.0000000000000004E-11</v>
      </c>
      <c r="BW105" s="407">
        <f t="shared" si="461"/>
        <v>7.9999999999999995E-11</v>
      </c>
      <c r="BX105" s="95">
        <f t="shared" si="420"/>
        <v>0</v>
      </c>
      <c r="BY105" s="95">
        <f t="shared" si="421"/>
        <v>0</v>
      </c>
      <c r="BZ105" s="95">
        <f t="shared" si="422"/>
        <v>0</v>
      </c>
      <c r="CA105" s="95">
        <f t="shared" si="423"/>
        <v>0</v>
      </c>
      <c r="CB105" s="95">
        <f t="shared" si="424"/>
        <v>0</v>
      </c>
      <c r="CC105" s="95">
        <f t="shared" si="425"/>
        <v>0</v>
      </c>
      <c r="CD105" s="95">
        <f t="shared" si="426"/>
        <v>0</v>
      </c>
      <c r="CE105" s="95">
        <f t="shared" si="427"/>
        <v>0</v>
      </c>
      <c r="CF105" s="95" t="b">
        <f t="shared" si="428"/>
        <v>0</v>
      </c>
      <c r="CG105" s="95" t="b">
        <f t="shared" si="429"/>
        <v>0</v>
      </c>
      <c r="CH105" s="95" t="b">
        <f t="shared" si="430"/>
        <v>0</v>
      </c>
      <c r="CI105" s="95" t="b">
        <f t="shared" si="431"/>
        <v>0</v>
      </c>
      <c r="CJ105" s="95" t="b">
        <f t="shared" si="432"/>
        <v>0</v>
      </c>
      <c r="CK105" s="95" t="b">
        <f t="shared" si="433"/>
        <v>0</v>
      </c>
      <c r="CL105" s="95" t="b">
        <f t="shared" si="434"/>
        <v>0</v>
      </c>
      <c r="CM105" s="95" t="b">
        <f t="shared" si="435"/>
        <v>0</v>
      </c>
      <c r="DE105" s="222">
        <f t="shared" si="436"/>
        <v>9.9999999999999994E-12</v>
      </c>
      <c r="DF105" s="222">
        <f t="shared" si="462"/>
        <v>1.9999999999999999E-11</v>
      </c>
      <c r="DG105" s="222">
        <f t="shared" si="463"/>
        <v>3E-11</v>
      </c>
      <c r="DH105" s="222">
        <f t="shared" si="464"/>
        <v>3.9999999999999998E-11</v>
      </c>
      <c r="DI105" s="222">
        <f t="shared" si="465"/>
        <v>5.0000000000000002E-11</v>
      </c>
      <c r="DJ105" s="222">
        <f t="shared" si="466"/>
        <v>6E-11</v>
      </c>
      <c r="DK105" s="222">
        <f t="shared" si="467"/>
        <v>7.0000000000000004E-11</v>
      </c>
      <c r="DL105" s="222">
        <f t="shared" si="468"/>
        <v>7.9999999999999995E-11</v>
      </c>
      <c r="DM105" s="95">
        <f t="shared" si="437"/>
        <v>0</v>
      </c>
      <c r="DN105" s="95">
        <f t="shared" si="438"/>
        <v>0</v>
      </c>
      <c r="DO105" s="95">
        <f t="shared" si="439"/>
        <v>0</v>
      </c>
      <c r="DP105" s="95">
        <f t="shared" si="440"/>
        <v>0</v>
      </c>
      <c r="DQ105" s="95">
        <f t="shared" si="441"/>
        <v>0</v>
      </c>
      <c r="DR105" s="95">
        <f t="shared" si="442"/>
        <v>0</v>
      </c>
      <c r="DS105" s="95">
        <f t="shared" si="443"/>
        <v>0</v>
      </c>
      <c r="DT105" s="95">
        <f t="shared" si="444"/>
        <v>0</v>
      </c>
      <c r="DU105" s="95" t="b">
        <f t="shared" si="445"/>
        <v>0</v>
      </c>
      <c r="DV105" s="95" t="b">
        <f t="shared" si="446"/>
        <v>0</v>
      </c>
      <c r="DW105" s="95" t="b">
        <f t="shared" si="447"/>
        <v>0</v>
      </c>
      <c r="DX105" s="95" t="b">
        <f t="shared" si="448"/>
        <v>0</v>
      </c>
      <c r="DY105" s="95" t="b">
        <f t="shared" si="449"/>
        <v>0</v>
      </c>
      <c r="DZ105" s="95" t="b">
        <f t="shared" si="450"/>
        <v>0</v>
      </c>
      <c r="EA105" s="95" t="b">
        <f t="shared" si="451"/>
        <v>0</v>
      </c>
      <c r="EB105" s="95" t="b">
        <f t="shared" si="452"/>
        <v>0</v>
      </c>
      <c r="EC105" s="95" t="s">
        <v>435</v>
      </c>
      <c r="ED105" s="95" t="s">
        <v>435</v>
      </c>
      <c r="EE105" s="95" t="s">
        <v>435</v>
      </c>
      <c r="EF105" s="95" t="s">
        <v>435</v>
      </c>
      <c r="EG105" s="95" t="s">
        <v>435</v>
      </c>
      <c r="EH105" s="95" t="s">
        <v>435</v>
      </c>
      <c r="EI105" s="95" t="s">
        <v>435</v>
      </c>
      <c r="EJ105" s="95" t="s">
        <v>435</v>
      </c>
      <c r="EK105" s="95" t="s">
        <v>435</v>
      </c>
      <c r="EL105" s="95" t="s">
        <v>435</v>
      </c>
      <c r="EM105" s="95" t="s">
        <v>435</v>
      </c>
      <c r="EN105" s="95" t="s">
        <v>435</v>
      </c>
      <c r="EO105" s="95" t="s">
        <v>435</v>
      </c>
      <c r="EP105" s="95" t="s">
        <v>435</v>
      </c>
      <c r="EQ105" s="95" t="s">
        <v>435</v>
      </c>
      <c r="ER105" s="95" t="s">
        <v>435</v>
      </c>
      <c r="FA105" s="95" t="s">
        <v>435</v>
      </c>
      <c r="FB105" s="95" t="s">
        <v>435</v>
      </c>
      <c r="FC105" s="95" t="s">
        <v>435</v>
      </c>
      <c r="FD105" s="95" t="s">
        <v>435</v>
      </c>
      <c r="FE105" s="95" t="s">
        <v>435</v>
      </c>
      <c r="FF105" s="95" t="s">
        <v>435</v>
      </c>
      <c r="FG105" s="95" t="s">
        <v>435</v>
      </c>
      <c r="FH105" s="95" t="s">
        <v>435</v>
      </c>
      <c r="FI105" s="95" t="s">
        <v>435</v>
      </c>
      <c r="FJ105" s="95" t="s">
        <v>435</v>
      </c>
      <c r="FK105" s="95" t="s">
        <v>435</v>
      </c>
      <c r="FL105" s="95" t="s">
        <v>435</v>
      </c>
      <c r="FM105" s="95" t="s">
        <v>435</v>
      </c>
      <c r="FN105" s="95" t="s">
        <v>435</v>
      </c>
      <c r="FO105" s="95" t="s">
        <v>435</v>
      </c>
      <c r="FP105" s="95" t="s">
        <v>435</v>
      </c>
    </row>
    <row r="106" spans="1:172" s="95" customFormat="1">
      <c r="A106" s="95" t="s">
        <v>1221</v>
      </c>
      <c r="B106" s="95" t="s">
        <v>253</v>
      </c>
      <c r="C106" s="95" t="s">
        <v>1214</v>
      </c>
      <c r="D106" s="95" t="s">
        <v>1222</v>
      </c>
      <c r="E106" s="386" t="s">
        <v>889</v>
      </c>
      <c r="H106" s="95">
        <v>180</v>
      </c>
      <c r="I106" s="95">
        <v>176</v>
      </c>
      <c r="O106" s="95" t="s">
        <v>2973</v>
      </c>
      <c r="P106" s="95" t="s">
        <v>1223</v>
      </c>
      <c r="Q106" s="95" t="s">
        <v>2922</v>
      </c>
      <c r="R106" s="95" t="s">
        <v>1224</v>
      </c>
      <c r="S106" s="95" t="s">
        <v>1177</v>
      </c>
      <c r="T106" s="95">
        <v>60</v>
      </c>
      <c r="U106" s="95" cm="1">
        <f t="array" ref="U106">IFERROR(INDEX('Offer Statistics'!$AZ$2:$AZ$350,MATCH(1,(A106='Offer Statistics'!$AK$2:$AK$350)*($A$11='Offer Statistics'!$AL$2:$AL$350),0)),"/")</f>
        <v>56</v>
      </c>
      <c r="V106" s="95" cm="1">
        <f t="array" ref="V106">IFERROR(INDEX('Offer Statistics'!$AM$2:$AM$350,MATCH(1,(A106='Offer Statistics'!$AK$2:$AK$350)*($A$11='Offer Statistics'!$AL$2:$AL$350),0)),"/")</f>
        <v>542</v>
      </c>
      <c r="W106" s="95" cm="1">
        <f t="array" ref="W106">IFERROR(INDEX('Offer Statistics'!$AU$2:$AU$350,MATCH(1,(A106='Offer Statistics'!$AK$2:$AK$350)*($A$11='Offer Statistics'!$AL$2:$AL$350),0)),"/")</f>
        <v>50</v>
      </c>
      <c r="X106" s="95">
        <f t="shared" si="453"/>
        <v>10.84</v>
      </c>
      <c r="Y106" s="95" t="s">
        <v>1177</v>
      </c>
      <c r="Z106" s="95" t="str">
        <f>入學要求!AF115</f>
        <v>/</v>
      </c>
      <c r="AA106" s="95" t="str">
        <f>入學要求!AG115</f>
        <v>/</v>
      </c>
      <c r="AB106" s="368" t="s">
        <v>889</v>
      </c>
      <c r="AC106" s="365"/>
      <c r="AD106" s="51"/>
      <c r="AE106" s="364" t="s">
        <v>356</v>
      </c>
      <c r="AF106" s="364" t="s">
        <v>356</v>
      </c>
      <c r="AG106" s="364" t="s">
        <v>2973</v>
      </c>
      <c r="AH106" s="364" t="s">
        <v>2911</v>
      </c>
      <c r="AI106" s="364" t="s">
        <v>2922</v>
      </c>
      <c r="AJ106" s="95" t="s">
        <v>356</v>
      </c>
      <c r="AK106" s="95" t="s">
        <v>356</v>
      </c>
      <c r="AL106" s="95" t="s">
        <v>356</v>
      </c>
      <c r="AM106" s="95" t="s">
        <v>356</v>
      </c>
      <c r="AN106" s="95" t="s">
        <v>356</v>
      </c>
      <c r="AO106" s="95" t="s">
        <v>356</v>
      </c>
      <c r="AP106" s="95" t="s">
        <v>356</v>
      </c>
      <c r="AQ106" s="95" t="s">
        <v>356</v>
      </c>
      <c r="AS106" s="95" t="s">
        <v>820</v>
      </c>
      <c r="AU106" s="95" t="s">
        <v>817</v>
      </c>
      <c r="AV106" s="95" t="s">
        <v>356</v>
      </c>
      <c r="AW106" s="95" t="s">
        <v>356</v>
      </c>
      <c r="AX106" s="95" t="s">
        <v>356</v>
      </c>
      <c r="BP106" s="407">
        <f t="shared" si="454"/>
        <v>3.9999999999999998E-11</v>
      </c>
      <c r="BQ106" s="407">
        <f t="shared" si="455"/>
        <v>1.9999999999999999E-11</v>
      </c>
      <c r="BR106" s="407">
        <f t="shared" si="456"/>
        <v>3E-11</v>
      </c>
      <c r="BS106" s="407">
        <f t="shared" si="457"/>
        <v>9.9999999999999994E-12</v>
      </c>
      <c r="BT106" s="407">
        <f t="shared" si="458"/>
        <v>5.0000000000000002E-11</v>
      </c>
      <c r="BU106" s="407">
        <f t="shared" si="459"/>
        <v>6E-11</v>
      </c>
      <c r="BV106" s="407">
        <f t="shared" si="460"/>
        <v>7.0000000000000004E-11</v>
      </c>
      <c r="BW106" s="407">
        <f t="shared" si="461"/>
        <v>7.9999999999999995E-11</v>
      </c>
      <c r="BX106" s="95">
        <f t="shared" si="420"/>
        <v>0</v>
      </c>
      <c r="BY106" s="95">
        <f t="shared" si="421"/>
        <v>0</v>
      </c>
      <c r="BZ106" s="95">
        <f t="shared" si="422"/>
        <v>0</v>
      </c>
      <c r="CA106" s="95">
        <f t="shared" si="423"/>
        <v>0</v>
      </c>
      <c r="CB106" s="95">
        <f t="shared" si="424"/>
        <v>0</v>
      </c>
      <c r="CC106" s="95">
        <f t="shared" si="425"/>
        <v>0</v>
      </c>
      <c r="CD106" s="95">
        <f t="shared" si="426"/>
        <v>0</v>
      </c>
      <c r="CE106" s="95">
        <f t="shared" si="427"/>
        <v>0</v>
      </c>
      <c r="CF106" s="95" t="b">
        <f t="shared" si="428"/>
        <v>0</v>
      </c>
      <c r="CG106" s="95" t="b">
        <f t="shared" si="429"/>
        <v>0</v>
      </c>
      <c r="CH106" s="95" t="b">
        <f t="shared" si="430"/>
        <v>0</v>
      </c>
      <c r="CI106" s="95" t="b">
        <f t="shared" si="431"/>
        <v>0</v>
      </c>
      <c r="CJ106" s="95" t="b">
        <f t="shared" si="432"/>
        <v>0</v>
      </c>
      <c r="CK106" s="95" t="b">
        <f t="shared" si="433"/>
        <v>0</v>
      </c>
      <c r="CL106" s="95" t="b">
        <f t="shared" si="434"/>
        <v>0</v>
      </c>
      <c r="CM106" s="95" t="b">
        <f t="shared" si="435"/>
        <v>0</v>
      </c>
      <c r="DE106" s="222">
        <f t="shared" si="436"/>
        <v>9.9999999999999994E-12</v>
      </c>
      <c r="DF106" s="222">
        <f t="shared" si="462"/>
        <v>1.9999999999999999E-11</v>
      </c>
      <c r="DG106" s="222">
        <f t="shared" si="463"/>
        <v>3E-11</v>
      </c>
      <c r="DH106" s="222">
        <f t="shared" si="464"/>
        <v>3.9999999999999998E-11</v>
      </c>
      <c r="DI106" s="222">
        <f t="shared" si="465"/>
        <v>5.0000000000000002E-11</v>
      </c>
      <c r="DJ106" s="222">
        <f t="shared" si="466"/>
        <v>6E-11</v>
      </c>
      <c r="DK106" s="222">
        <f t="shared" si="467"/>
        <v>7.0000000000000004E-11</v>
      </c>
      <c r="DL106" s="222">
        <f t="shared" si="468"/>
        <v>7.9999999999999995E-11</v>
      </c>
      <c r="DM106" s="95">
        <f t="shared" si="437"/>
        <v>0</v>
      </c>
      <c r="DN106" s="95">
        <f t="shared" si="438"/>
        <v>0</v>
      </c>
      <c r="DO106" s="95">
        <f t="shared" si="439"/>
        <v>0</v>
      </c>
      <c r="DP106" s="95">
        <f t="shared" si="440"/>
        <v>0</v>
      </c>
      <c r="DQ106" s="95">
        <f t="shared" si="441"/>
        <v>0</v>
      </c>
      <c r="DR106" s="95">
        <f t="shared" si="442"/>
        <v>0</v>
      </c>
      <c r="DS106" s="95">
        <f t="shared" si="443"/>
        <v>0</v>
      </c>
      <c r="DT106" s="95">
        <f t="shared" si="444"/>
        <v>0</v>
      </c>
      <c r="DU106" s="95" t="b">
        <f t="shared" si="445"/>
        <v>0</v>
      </c>
      <c r="DV106" s="95" t="b">
        <f t="shared" si="446"/>
        <v>0</v>
      </c>
      <c r="DW106" s="95" t="b">
        <f t="shared" si="447"/>
        <v>0</v>
      </c>
      <c r="DX106" s="95" t="b">
        <f t="shared" si="448"/>
        <v>0</v>
      </c>
      <c r="DY106" s="95" t="b">
        <f t="shared" si="449"/>
        <v>0</v>
      </c>
      <c r="DZ106" s="95" t="b">
        <f t="shared" si="450"/>
        <v>0</v>
      </c>
      <c r="EA106" s="95" t="b">
        <f t="shared" si="451"/>
        <v>0</v>
      </c>
      <c r="EB106" s="95" t="b">
        <f t="shared" si="452"/>
        <v>0</v>
      </c>
      <c r="EC106" s="95" t="s">
        <v>435</v>
      </c>
      <c r="ED106" s="95" t="s">
        <v>435</v>
      </c>
      <c r="EE106" s="95" t="s">
        <v>435</v>
      </c>
      <c r="EF106" s="95" t="s">
        <v>435</v>
      </c>
      <c r="EG106" s="95" t="s">
        <v>435</v>
      </c>
      <c r="EH106" s="95" t="s">
        <v>435</v>
      </c>
      <c r="EI106" s="95" t="s">
        <v>435</v>
      </c>
      <c r="EJ106" s="95" t="s">
        <v>435</v>
      </c>
      <c r="EK106" s="95" t="s">
        <v>435</v>
      </c>
      <c r="EL106" s="95" t="s">
        <v>435</v>
      </c>
      <c r="EM106" s="95" t="s">
        <v>435</v>
      </c>
      <c r="EN106" s="95" t="s">
        <v>435</v>
      </c>
      <c r="EO106" s="95" t="s">
        <v>435</v>
      </c>
      <c r="EP106" s="95" t="s">
        <v>435</v>
      </c>
      <c r="EQ106" s="95" t="s">
        <v>435</v>
      </c>
      <c r="ER106" s="95" t="s">
        <v>435</v>
      </c>
      <c r="FA106" s="95" t="s">
        <v>435</v>
      </c>
      <c r="FB106" s="95" t="s">
        <v>435</v>
      </c>
      <c r="FC106" s="95" t="s">
        <v>435</v>
      </c>
      <c r="FD106" s="95" t="s">
        <v>435</v>
      </c>
      <c r="FE106" s="95" t="s">
        <v>435</v>
      </c>
      <c r="FF106" s="95" t="s">
        <v>435</v>
      </c>
      <c r="FG106" s="95" t="s">
        <v>435</v>
      </c>
      <c r="FH106" s="95" t="s">
        <v>435</v>
      </c>
      <c r="FI106" s="95" t="s">
        <v>435</v>
      </c>
      <c r="FJ106" s="95" t="s">
        <v>435</v>
      </c>
      <c r="FK106" s="95" t="s">
        <v>435</v>
      </c>
      <c r="FL106" s="95" t="s">
        <v>435</v>
      </c>
      <c r="FM106" s="95" t="s">
        <v>435</v>
      </c>
      <c r="FN106" s="95" t="s">
        <v>435</v>
      </c>
      <c r="FO106" s="95" t="s">
        <v>435</v>
      </c>
      <c r="FP106" s="95" t="s">
        <v>435</v>
      </c>
    </row>
    <row r="107" spans="1:172" s="95" customFormat="1">
      <c r="A107" s="95" t="s">
        <v>1225</v>
      </c>
      <c r="B107" s="95" t="s">
        <v>253</v>
      </c>
      <c r="C107" s="95" t="s">
        <v>1214</v>
      </c>
      <c r="D107" s="95" t="s">
        <v>1226</v>
      </c>
      <c r="E107" s="386" t="s">
        <v>889</v>
      </c>
      <c r="H107" s="95">
        <v>191</v>
      </c>
      <c r="I107" s="95">
        <v>186</v>
      </c>
      <c r="O107" s="95" t="s">
        <v>2973</v>
      </c>
      <c r="P107" s="95" t="s">
        <v>1227</v>
      </c>
      <c r="Q107" s="95" t="s">
        <v>2922</v>
      </c>
      <c r="R107" s="95" t="s">
        <v>1228</v>
      </c>
      <c r="S107" s="95" t="s">
        <v>1177</v>
      </c>
      <c r="T107" s="95">
        <v>67</v>
      </c>
      <c r="U107" s="95" cm="1">
        <f t="array" ref="U107">IFERROR(INDEX('Offer Statistics'!$AZ$2:$AZ$350,MATCH(1,(A107='Offer Statistics'!$AK$2:$AK$350)*($A$11='Offer Statistics'!$AL$2:$AL$350),0)),"/")</f>
        <v>57</v>
      </c>
      <c r="V107" s="95" cm="1">
        <f t="array" ref="V107">IFERROR(INDEX('Offer Statistics'!$AM$2:$AM$350,MATCH(1,(A107='Offer Statistics'!$AK$2:$AK$350)*($A$11='Offer Statistics'!$AL$2:$AL$350),0)),"/")</f>
        <v>818</v>
      </c>
      <c r="W107" s="95" cm="1">
        <f t="array" ref="W107">IFERROR(INDEX('Offer Statistics'!$AU$2:$AU$350,MATCH(1,(A107='Offer Statistics'!$AK$2:$AK$350)*($A$11='Offer Statistics'!$AL$2:$AL$350),0)),"/")</f>
        <v>52</v>
      </c>
      <c r="X107" s="95">
        <f t="shared" si="453"/>
        <v>15.73076923076923</v>
      </c>
      <c r="Y107" s="95" t="s">
        <v>1177</v>
      </c>
      <c r="Z107" s="95" t="str">
        <f>入學要求!AF116</f>
        <v>/</v>
      </c>
      <c r="AA107" s="95" t="str">
        <f>入學要求!AG116</f>
        <v>/</v>
      </c>
      <c r="AB107" s="368" t="s">
        <v>889</v>
      </c>
      <c r="AC107" s="365"/>
      <c r="AD107" s="51"/>
      <c r="AE107" s="364" t="s">
        <v>356</v>
      </c>
      <c r="AF107" s="364" t="s">
        <v>356</v>
      </c>
      <c r="AG107" s="364" t="s">
        <v>2973</v>
      </c>
      <c r="AH107" s="364" t="s">
        <v>2912</v>
      </c>
      <c r="AI107" s="364" t="s">
        <v>2922</v>
      </c>
      <c r="AJ107" s="95" t="s">
        <v>356</v>
      </c>
      <c r="AK107" s="95" t="s">
        <v>356</v>
      </c>
      <c r="AL107" s="95" t="s">
        <v>356</v>
      </c>
      <c r="AM107" s="95" t="s">
        <v>356</v>
      </c>
      <c r="AN107" s="95" t="s">
        <v>356</v>
      </c>
      <c r="AO107" s="95" t="s">
        <v>356</v>
      </c>
      <c r="AP107" s="95" t="s">
        <v>356</v>
      </c>
      <c r="AQ107" s="95" t="s">
        <v>356</v>
      </c>
      <c r="AS107" s="95" t="s">
        <v>820</v>
      </c>
      <c r="AU107" s="95" t="s">
        <v>817</v>
      </c>
      <c r="AV107" s="95" t="s">
        <v>356</v>
      </c>
      <c r="AW107" s="95" t="s">
        <v>356</v>
      </c>
      <c r="AX107" s="95" t="s">
        <v>356</v>
      </c>
      <c r="BP107" s="407">
        <f t="shared" si="454"/>
        <v>3.9999999999999998E-11</v>
      </c>
      <c r="BQ107" s="407">
        <f t="shared" si="455"/>
        <v>1.9999999999999999E-11</v>
      </c>
      <c r="BR107" s="407">
        <f t="shared" si="456"/>
        <v>3E-11</v>
      </c>
      <c r="BS107" s="407">
        <f t="shared" si="457"/>
        <v>9.9999999999999994E-12</v>
      </c>
      <c r="BT107" s="407">
        <f t="shared" si="458"/>
        <v>5.0000000000000002E-11</v>
      </c>
      <c r="BU107" s="407">
        <f t="shared" si="459"/>
        <v>6E-11</v>
      </c>
      <c r="BV107" s="407">
        <f t="shared" si="460"/>
        <v>7.0000000000000004E-11</v>
      </c>
      <c r="BW107" s="407">
        <f t="shared" si="461"/>
        <v>7.9999999999999995E-11</v>
      </c>
      <c r="BX107" s="95">
        <f t="shared" si="420"/>
        <v>0</v>
      </c>
      <c r="BY107" s="95">
        <f t="shared" si="421"/>
        <v>0</v>
      </c>
      <c r="BZ107" s="95">
        <f t="shared" si="422"/>
        <v>0</v>
      </c>
      <c r="CA107" s="95">
        <f t="shared" si="423"/>
        <v>0</v>
      </c>
      <c r="CB107" s="95">
        <f t="shared" si="424"/>
        <v>0</v>
      </c>
      <c r="CC107" s="95">
        <f t="shared" si="425"/>
        <v>0</v>
      </c>
      <c r="CD107" s="95">
        <f t="shared" si="426"/>
        <v>0</v>
      </c>
      <c r="CE107" s="95">
        <f t="shared" si="427"/>
        <v>0</v>
      </c>
      <c r="CF107" s="95" t="b">
        <f t="shared" si="428"/>
        <v>0</v>
      </c>
      <c r="CG107" s="95" t="b">
        <f t="shared" si="429"/>
        <v>0</v>
      </c>
      <c r="CH107" s="95" t="b">
        <f t="shared" si="430"/>
        <v>0</v>
      </c>
      <c r="CI107" s="95" t="b">
        <f t="shared" si="431"/>
        <v>0</v>
      </c>
      <c r="CJ107" s="95" t="b">
        <f t="shared" si="432"/>
        <v>0</v>
      </c>
      <c r="CK107" s="95" t="b">
        <f t="shared" si="433"/>
        <v>0</v>
      </c>
      <c r="CL107" s="95" t="b">
        <f t="shared" si="434"/>
        <v>0</v>
      </c>
      <c r="CM107" s="95" t="b">
        <f t="shared" si="435"/>
        <v>0</v>
      </c>
      <c r="DE107" s="222">
        <f t="shared" si="436"/>
        <v>9.9999999999999994E-12</v>
      </c>
      <c r="DF107" s="222">
        <f t="shared" si="462"/>
        <v>1.9999999999999999E-11</v>
      </c>
      <c r="DG107" s="222">
        <f t="shared" si="463"/>
        <v>3E-11</v>
      </c>
      <c r="DH107" s="222">
        <f t="shared" si="464"/>
        <v>3.9999999999999998E-11</v>
      </c>
      <c r="DI107" s="222">
        <f t="shared" si="465"/>
        <v>5.0000000000000002E-11</v>
      </c>
      <c r="DJ107" s="222">
        <f t="shared" si="466"/>
        <v>6E-11</v>
      </c>
      <c r="DK107" s="222">
        <f t="shared" si="467"/>
        <v>7.0000000000000004E-11</v>
      </c>
      <c r="DL107" s="222">
        <f t="shared" si="468"/>
        <v>7.9999999999999995E-11</v>
      </c>
      <c r="DM107" s="95">
        <f t="shared" si="437"/>
        <v>0</v>
      </c>
      <c r="DN107" s="95">
        <f t="shared" si="438"/>
        <v>0</v>
      </c>
      <c r="DO107" s="95">
        <f t="shared" si="439"/>
        <v>0</v>
      </c>
      <c r="DP107" s="95">
        <f t="shared" si="440"/>
        <v>0</v>
      </c>
      <c r="DQ107" s="95">
        <f t="shared" si="441"/>
        <v>0</v>
      </c>
      <c r="DR107" s="95">
        <f t="shared" si="442"/>
        <v>0</v>
      </c>
      <c r="DS107" s="95">
        <f t="shared" si="443"/>
        <v>0</v>
      </c>
      <c r="DT107" s="95">
        <f t="shared" si="444"/>
        <v>0</v>
      </c>
      <c r="DU107" s="95" t="b">
        <f t="shared" si="445"/>
        <v>0</v>
      </c>
      <c r="DV107" s="95" t="b">
        <f t="shared" si="446"/>
        <v>0</v>
      </c>
      <c r="DW107" s="95" t="b">
        <f t="shared" si="447"/>
        <v>0</v>
      </c>
      <c r="DX107" s="95" t="b">
        <f t="shared" si="448"/>
        <v>0</v>
      </c>
      <c r="DY107" s="95" t="b">
        <f t="shared" si="449"/>
        <v>0</v>
      </c>
      <c r="DZ107" s="95" t="b">
        <f t="shared" si="450"/>
        <v>0</v>
      </c>
      <c r="EA107" s="95" t="b">
        <f t="shared" si="451"/>
        <v>0</v>
      </c>
      <c r="EB107" s="95" t="b">
        <f t="shared" si="452"/>
        <v>0</v>
      </c>
      <c r="EC107" s="95" t="s">
        <v>435</v>
      </c>
      <c r="ED107" s="95" t="s">
        <v>435</v>
      </c>
      <c r="EE107" s="95" t="s">
        <v>435</v>
      </c>
      <c r="EF107" s="95" t="s">
        <v>435</v>
      </c>
      <c r="EG107" s="95" t="s">
        <v>435</v>
      </c>
      <c r="EH107" s="95" t="s">
        <v>435</v>
      </c>
      <c r="EI107" s="95" t="s">
        <v>435</v>
      </c>
      <c r="EJ107" s="95" t="s">
        <v>435</v>
      </c>
      <c r="EK107" s="95" t="s">
        <v>435</v>
      </c>
      <c r="EL107" s="95" t="s">
        <v>435</v>
      </c>
      <c r="EM107" s="95" t="s">
        <v>435</v>
      </c>
      <c r="EN107" s="95" t="s">
        <v>435</v>
      </c>
      <c r="EO107" s="95" t="s">
        <v>435</v>
      </c>
      <c r="EP107" s="95" t="s">
        <v>435</v>
      </c>
      <c r="EQ107" s="95" t="s">
        <v>435</v>
      </c>
      <c r="ER107" s="95" t="s">
        <v>435</v>
      </c>
      <c r="FA107" s="95" t="s">
        <v>435</v>
      </c>
      <c r="FB107" s="95" t="s">
        <v>435</v>
      </c>
      <c r="FC107" s="95" t="s">
        <v>435</v>
      </c>
      <c r="FD107" s="95" t="s">
        <v>435</v>
      </c>
      <c r="FE107" s="95" t="s">
        <v>435</v>
      </c>
      <c r="FF107" s="95" t="s">
        <v>435</v>
      </c>
      <c r="FG107" s="95" t="s">
        <v>435</v>
      </c>
      <c r="FH107" s="95" t="s">
        <v>435</v>
      </c>
      <c r="FI107" s="95" t="s">
        <v>435</v>
      </c>
      <c r="FJ107" s="95" t="s">
        <v>435</v>
      </c>
      <c r="FK107" s="95" t="s">
        <v>435</v>
      </c>
      <c r="FL107" s="95" t="s">
        <v>435</v>
      </c>
      <c r="FM107" s="95" t="s">
        <v>435</v>
      </c>
      <c r="FN107" s="95" t="s">
        <v>435</v>
      </c>
      <c r="FO107" s="95" t="s">
        <v>435</v>
      </c>
      <c r="FP107" s="95" t="s">
        <v>435</v>
      </c>
    </row>
    <row r="108" spans="1:172" s="95" customFormat="1">
      <c r="A108" s="95" t="s">
        <v>1229</v>
      </c>
      <c r="B108" s="95" t="s">
        <v>253</v>
      </c>
      <c r="C108" s="95" t="s">
        <v>1230</v>
      </c>
      <c r="D108" s="95" t="s">
        <v>1231</v>
      </c>
      <c r="E108" s="386" t="s">
        <v>1232</v>
      </c>
      <c r="H108" s="95">
        <v>176.5</v>
      </c>
      <c r="I108" s="95">
        <v>172</v>
      </c>
      <c r="O108" s="95" t="s">
        <v>2927</v>
      </c>
      <c r="P108" s="95" t="s">
        <v>1244</v>
      </c>
      <c r="Q108" s="95" t="s">
        <v>2974</v>
      </c>
      <c r="R108" s="95" t="s">
        <v>1233</v>
      </c>
      <c r="S108" s="95" t="s">
        <v>1177</v>
      </c>
      <c r="T108" s="95">
        <v>39</v>
      </c>
      <c r="U108" s="95" cm="1">
        <f t="array" ref="U108">IFERROR(INDEX('Offer Statistics'!$AZ$2:$AZ$350,MATCH(1,(A108='Offer Statistics'!$AK$2:$AK$350)*($A$11='Offer Statistics'!$AL$2:$AL$350),0)),"/")</f>
        <v>30</v>
      </c>
      <c r="V108" s="95" cm="1">
        <f t="array" ref="V108">IFERROR(INDEX('Offer Statistics'!$AM$2:$AM$350,MATCH(1,(A108='Offer Statistics'!$AK$2:$AK$350)*($A$11='Offer Statistics'!$AL$2:$AL$350),0)),"/")</f>
        <v>260</v>
      </c>
      <c r="W108" s="95" cm="1">
        <f t="array" ref="W108">IFERROR(INDEX('Offer Statistics'!$AU$2:$AU$350,MATCH(1,(A108='Offer Statistics'!$AK$2:$AK$350)*($A$11='Offer Statistics'!$AL$2:$AL$350),0)),"/")</f>
        <v>26</v>
      </c>
      <c r="X108" s="95">
        <f t="shared" si="453"/>
        <v>10</v>
      </c>
      <c r="Y108" s="95" t="s">
        <v>1177</v>
      </c>
      <c r="Z108" s="95" t="str">
        <f>入學要求!AF117</f>
        <v>/</v>
      </c>
      <c r="AA108" s="95" t="str">
        <f>入學要求!AG117</f>
        <v>/</v>
      </c>
      <c r="AB108" s="368" t="s">
        <v>1232</v>
      </c>
      <c r="AC108" s="365"/>
      <c r="AD108" s="51"/>
      <c r="AE108" s="364" t="s">
        <v>356</v>
      </c>
      <c r="AF108" s="364" t="s">
        <v>356</v>
      </c>
      <c r="AG108" s="364" t="s">
        <v>2927</v>
      </c>
      <c r="AH108" s="364" t="s">
        <v>1244</v>
      </c>
      <c r="AI108" s="364" t="s">
        <v>2974</v>
      </c>
      <c r="AJ108" s="95" t="s">
        <v>356</v>
      </c>
      <c r="AK108" s="95" t="s">
        <v>356</v>
      </c>
      <c r="AL108" s="95" t="s">
        <v>356</v>
      </c>
      <c r="AM108" s="95" t="s">
        <v>356</v>
      </c>
      <c r="AN108" s="95" t="s">
        <v>356</v>
      </c>
      <c r="AO108" s="95" t="s">
        <v>356</v>
      </c>
      <c r="AP108" s="95" t="s">
        <v>356</v>
      </c>
      <c r="AQ108" s="95" t="s">
        <v>356</v>
      </c>
      <c r="AS108" s="95" t="s">
        <v>820</v>
      </c>
      <c r="AU108" s="95" t="s">
        <v>817</v>
      </c>
      <c r="AV108" s="95" t="s">
        <v>356</v>
      </c>
      <c r="AW108" s="95" t="s">
        <v>356</v>
      </c>
      <c r="AX108" s="95" t="s">
        <v>356</v>
      </c>
      <c r="BP108" s="407">
        <f t="shared" si="454"/>
        <v>3.9999999999999998E-11</v>
      </c>
      <c r="BQ108" s="407">
        <f t="shared" si="455"/>
        <v>1.9999999999999999E-11</v>
      </c>
      <c r="BR108" s="407">
        <f t="shared" si="456"/>
        <v>3E-11</v>
      </c>
      <c r="BS108" s="407">
        <f t="shared" si="457"/>
        <v>9.9999999999999994E-12</v>
      </c>
      <c r="BT108" s="407">
        <f t="shared" si="458"/>
        <v>5.0000000000000002E-11</v>
      </c>
      <c r="BU108" s="407">
        <f t="shared" si="459"/>
        <v>6E-11</v>
      </c>
      <c r="BV108" s="407">
        <f t="shared" si="460"/>
        <v>7.0000000000000004E-11</v>
      </c>
      <c r="BW108" s="407">
        <f t="shared" si="461"/>
        <v>7.9999999999999995E-11</v>
      </c>
      <c r="BX108" s="95">
        <f t="shared" si="420"/>
        <v>0</v>
      </c>
      <c r="BY108" s="95">
        <f t="shared" si="421"/>
        <v>0</v>
      </c>
      <c r="BZ108" s="95">
        <f t="shared" si="422"/>
        <v>0</v>
      </c>
      <c r="CA108" s="95">
        <f t="shared" si="423"/>
        <v>0</v>
      </c>
      <c r="CB108" s="95">
        <f t="shared" si="424"/>
        <v>0</v>
      </c>
      <c r="CC108" s="95">
        <f t="shared" si="425"/>
        <v>0</v>
      </c>
      <c r="CD108" s="95">
        <f t="shared" si="426"/>
        <v>0</v>
      </c>
      <c r="CE108" s="95">
        <f t="shared" si="427"/>
        <v>0</v>
      </c>
      <c r="CF108" s="95" t="b">
        <v>1</v>
      </c>
      <c r="CG108" s="95" t="b">
        <v>1</v>
      </c>
      <c r="CH108" s="95" t="b">
        <f>IF(BZ108&gt;LARGE($BZ108:$CE108,4),TRUE)</f>
        <v>0</v>
      </c>
      <c r="CI108" s="95" t="b">
        <f>IF(CA108&gt;LARGE($BZ108:$CE108,4),TRUE)</f>
        <v>0</v>
      </c>
      <c r="CJ108" s="95" t="b">
        <f t="shared" ref="CJ108:CM108" si="469">IF(CB108&gt;LARGE($BZ108:$CE108,4),TRUE)</f>
        <v>0</v>
      </c>
      <c r="CK108" s="95" t="b">
        <f t="shared" si="469"/>
        <v>0</v>
      </c>
      <c r="CL108" s="95" t="b">
        <f t="shared" si="469"/>
        <v>0</v>
      </c>
      <c r="CM108" s="95" t="b">
        <f t="shared" si="469"/>
        <v>0</v>
      </c>
      <c r="DE108" s="222">
        <f t="shared" si="436"/>
        <v>9.9999999999999994E-12</v>
      </c>
      <c r="DF108" s="222">
        <f t="shared" si="462"/>
        <v>1.9999999999999999E-11</v>
      </c>
      <c r="DG108" s="222">
        <f t="shared" si="463"/>
        <v>3E-11</v>
      </c>
      <c r="DH108" s="222">
        <f t="shared" si="464"/>
        <v>3.9999999999999998E-11</v>
      </c>
      <c r="DI108" s="222">
        <f t="shared" si="465"/>
        <v>5.0000000000000002E-11</v>
      </c>
      <c r="DJ108" s="222">
        <f t="shared" si="466"/>
        <v>6E-11</v>
      </c>
      <c r="DK108" s="222">
        <f t="shared" si="467"/>
        <v>7.0000000000000004E-11</v>
      </c>
      <c r="DL108" s="222">
        <f t="shared" si="468"/>
        <v>7.9999999999999995E-11</v>
      </c>
      <c r="DM108" s="95">
        <f t="shared" si="437"/>
        <v>0</v>
      </c>
      <c r="DN108" s="95">
        <f t="shared" si="438"/>
        <v>0</v>
      </c>
      <c r="DO108" s="95">
        <f t="shared" si="439"/>
        <v>0</v>
      </c>
      <c r="DP108" s="95">
        <f t="shared" si="440"/>
        <v>0</v>
      </c>
      <c r="DQ108" s="95">
        <f t="shared" si="441"/>
        <v>0</v>
      </c>
      <c r="DR108" s="95">
        <f t="shared" si="442"/>
        <v>0</v>
      </c>
      <c r="DS108" s="95">
        <f t="shared" si="443"/>
        <v>0</v>
      </c>
      <c r="DT108" s="95">
        <f t="shared" si="444"/>
        <v>0</v>
      </c>
      <c r="DU108" s="95" t="b">
        <v>1</v>
      </c>
      <c r="DV108" s="95" t="b">
        <v>1</v>
      </c>
      <c r="DW108" s="95" t="b">
        <f>IF(DO108&gt;LARGE($DO108:$DT108,4),TRUE)</f>
        <v>0</v>
      </c>
      <c r="DX108" s="95" t="b">
        <f t="shared" ref="DX108" si="470">IF(DP108&gt;LARGE($DO108:$DT108,4),TRUE)</f>
        <v>0</v>
      </c>
      <c r="DY108" s="95" t="b">
        <f t="shared" ref="DY108" si="471">IF(DQ108&gt;LARGE($DO108:$DT108,4),TRUE)</f>
        <v>0</v>
      </c>
      <c r="DZ108" s="95" t="b">
        <f t="shared" ref="DZ108" si="472">IF(DR108&gt;LARGE($DO108:$DT108,4),TRUE)</f>
        <v>0</v>
      </c>
      <c r="EA108" s="95" t="b">
        <f t="shared" ref="EA108" si="473">IF(DS108&gt;LARGE($DO108:$DT108,4),TRUE)</f>
        <v>0</v>
      </c>
      <c r="EB108" s="95" t="b">
        <f t="shared" ref="EB108" si="474">IF(DT108&gt;LARGE($DO108:$DT108,4),TRUE)</f>
        <v>0</v>
      </c>
      <c r="EC108" s="95" t="s">
        <v>435</v>
      </c>
      <c r="ED108" s="95" t="s">
        <v>435</v>
      </c>
      <c r="EE108" s="95" t="s">
        <v>435</v>
      </c>
      <c r="EF108" s="95" t="s">
        <v>435</v>
      </c>
      <c r="EG108" s="95" t="s">
        <v>435</v>
      </c>
      <c r="EH108" s="95" t="s">
        <v>435</v>
      </c>
      <c r="EI108" s="95" t="s">
        <v>435</v>
      </c>
      <c r="EJ108" s="95" t="s">
        <v>435</v>
      </c>
      <c r="EK108" s="95" t="s">
        <v>435</v>
      </c>
      <c r="EL108" s="95" t="s">
        <v>435</v>
      </c>
      <c r="EM108" s="95" t="s">
        <v>435</v>
      </c>
      <c r="EN108" s="95" t="s">
        <v>435</v>
      </c>
      <c r="EO108" s="95" t="s">
        <v>435</v>
      </c>
      <c r="EP108" s="95" t="s">
        <v>435</v>
      </c>
      <c r="EQ108" s="95" t="s">
        <v>435</v>
      </c>
      <c r="ER108" s="95" t="s">
        <v>435</v>
      </c>
      <c r="FA108" s="95" t="s">
        <v>435</v>
      </c>
      <c r="FB108" s="95" t="s">
        <v>435</v>
      </c>
      <c r="FC108" s="95" t="s">
        <v>435</v>
      </c>
      <c r="FD108" s="95" t="s">
        <v>435</v>
      </c>
      <c r="FE108" s="95" t="s">
        <v>435</v>
      </c>
      <c r="FF108" s="95" t="s">
        <v>435</v>
      </c>
      <c r="FG108" s="95" t="s">
        <v>435</v>
      </c>
      <c r="FH108" s="95" t="s">
        <v>435</v>
      </c>
      <c r="FI108" s="95" t="s">
        <v>435</v>
      </c>
      <c r="FJ108" s="95" t="s">
        <v>435</v>
      </c>
      <c r="FK108" s="95" t="s">
        <v>435</v>
      </c>
      <c r="FL108" s="95" t="s">
        <v>435</v>
      </c>
      <c r="FM108" s="95" t="s">
        <v>435</v>
      </c>
      <c r="FN108" s="95" t="s">
        <v>435</v>
      </c>
      <c r="FO108" s="95" t="s">
        <v>435</v>
      </c>
      <c r="FP108" s="95" t="s">
        <v>435</v>
      </c>
    </row>
    <row r="109" spans="1:172" s="95" customFormat="1">
      <c r="A109" s="95" t="s">
        <v>1234</v>
      </c>
      <c r="B109" s="95" t="s">
        <v>253</v>
      </c>
      <c r="C109" s="95" t="s">
        <v>1230</v>
      </c>
      <c r="D109" s="95" t="s">
        <v>1235</v>
      </c>
      <c r="E109" s="365" t="s">
        <v>815</v>
      </c>
      <c r="H109" s="95">
        <v>196</v>
      </c>
      <c r="I109" s="95">
        <v>189</v>
      </c>
      <c r="O109" s="95" t="s">
        <v>356</v>
      </c>
      <c r="P109" s="95" t="s">
        <v>1244</v>
      </c>
      <c r="Q109" s="95" t="s">
        <v>356</v>
      </c>
      <c r="R109" s="95" t="s">
        <v>1236</v>
      </c>
      <c r="S109" s="95" t="s">
        <v>1177</v>
      </c>
      <c r="T109" s="95">
        <v>46</v>
      </c>
      <c r="U109" s="95" cm="1">
        <f t="array" ref="U109">IFERROR(INDEX('Offer Statistics'!$AZ$2:$AZ$350,MATCH(1,(A109='Offer Statistics'!$AK$2:$AK$350)*($A$11='Offer Statistics'!$AL$2:$AL$350),0)),"/")</f>
        <v>38</v>
      </c>
      <c r="V109" s="95" cm="1">
        <f t="array" ref="V109">IFERROR(INDEX('Offer Statistics'!$AM$2:$AM$350,MATCH(1,(A109='Offer Statistics'!$AK$2:$AK$350)*($A$11='Offer Statistics'!$AL$2:$AL$350),0)),"/")</f>
        <v>327</v>
      </c>
      <c r="W109" s="95" cm="1">
        <f t="array" ref="W109">IFERROR(INDEX('Offer Statistics'!$AU$2:$AU$350,MATCH(1,(A109='Offer Statistics'!$AK$2:$AK$350)*($A$11='Offer Statistics'!$AL$2:$AL$350),0)),"/")</f>
        <v>38</v>
      </c>
      <c r="X109" s="95">
        <f t="shared" si="453"/>
        <v>8.6052631578947363</v>
      </c>
      <c r="Y109" s="95" t="s">
        <v>1177</v>
      </c>
      <c r="Z109" s="95" t="str">
        <f>入學要求!AF118</f>
        <v>/</v>
      </c>
      <c r="AA109" s="95" t="str">
        <f>入學要求!AG118</f>
        <v>/</v>
      </c>
      <c r="AB109" s="413" t="s">
        <v>889</v>
      </c>
      <c r="AC109" s="365" t="s">
        <v>2888</v>
      </c>
      <c r="AD109" s="51"/>
      <c r="AE109" s="364" t="s">
        <v>356</v>
      </c>
      <c r="AF109" s="364" t="s">
        <v>356</v>
      </c>
      <c r="AG109" s="364" t="s">
        <v>356</v>
      </c>
      <c r="AH109" s="364" t="s">
        <v>1244</v>
      </c>
      <c r="AI109" s="364" t="s">
        <v>356</v>
      </c>
      <c r="AJ109" s="95" t="s">
        <v>356</v>
      </c>
      <c r="AK109" s="95" t="s">
        <v>356</v>
      </c>
      <c r="AL109" s="95" t="s">
        <v>356</v>
      </c>
      <c r="AM109" s="95" t="s">
        <v>356</v>
      </c>
      <c r="AN109" s="95" t="s">
        <v>356</v>
      </c>
      <c r="AO109" s="95" t="s">
        <v>356</v>
      </c>
      <c r="AP109" s="95" t="s">
        <v>356</v>
      </c>
      <c r="AQ109" s="95" t="s">
        <v>356</v>
      </c>
      <c r="AS109" s="95" t="s">
        <v>820</v>
      </c>
      <c r="AU109" s="95" t="s">
        <v>817</v>
      </c>
      <c r="AV109" s="95" t="s">
        <v>356</v>
      </c>
      <c r="AW109" s="95" t="s">
        <v>356</v>
      </c>
      <c r="AX109" s="95" t="s">
        <v>356</v>
      </c>
      <c r="BP109" s="407">
        <f t="shared" si="454"/>
        <v>3.9999999999999998E-11</v>
      </c>
      <c r="BQ109" s="407">
        <f t="shared" si="455"/>
        <v>1.9999999999999999E-11</v>
      </c>
      <c r="BR109" s="407">
        <f t="shared" si="456"/>
        <v>3E-11</v>
      </c>
      <c r="BS109" s="407">
        <f t="shared" si="457"/>
        <v>9.9999999999999994E-12</v>
      </c>
      <c r="BT109" s="407">
        <f t="shared" si="458"/>
        <v>5.0000000000000002E-11</v>
      </c>
      <c r="BU109" s="407">
        <f t="shared" si="459"/>
        <v>6E-11</v>
      </c>
      <c r="BV109" s="407">
        <f t="shared" si="460"/>
        <v>7.0000000000000004E-11</v>
      </c>
      <c r="BW109" s="407">
        <f t="shared" si="461"/>
        <v>7.9999999999999995E-11</v>
      </c>
      <c r="BX109" s="95">
        <f t="shared" si="420"/>
        <v>0</v>
      </c>
      <c r="BY109" s="95">
        <f t="shared" si="421"/>
        <v>0</v>
      </c>
      <c r="BZ109" s="95">
        <f t="shared" si="422"/>
        <v>0</v>
      </c>
      <c r="CA109" s="95">
        <f t="shared" si="423"/>
        <v>0</v>
      </c>
      <c r="CB109" s="95">
        <f t="shared" si="424"/>
        <v>0</v>
      </c>
      <c r="CC109" s="95">
        <f t="shared" si="425"/>
        <v>0</v>
      </c>
      <c r="CD109" s="95">
        <f t="shared" si="426"/>
        <v>0</v>
      </c>
      <c r="CE109" s="95">
        <f t="shared" si="427"/>
        <v>0</v>
      </c>
      <c r="CF109" s="95" t="b">
        <f t="shared" ref="CF109:CI112" si="475">IF($E109="4C2X",TRUE,IF($E109="Best 5",IF(BX109&gt;LARGE($BX109:$CE109,6),TRUE),IF($E109="Best 6",IF(BX109&gt;LARGE($BX109:$CE109,7),TRUE))))</f>
        <v>1</v>
      </c>
      <c r="CG109" s="95" t="b">
        <f t="shared" si="475"/>
        <v>1</v>
      </c>
      <c r="CH109" s="95" t="b">
        <f t="shared" si="475"/>
        <v>1</v>
      </c>
      <c r="CI109" s="95" t="b">
        <f t="shared" si="475"/>
        <v>1</v>
      </c>
      <c r="CJ109" s="95" t="b">
        <f t="shared" ref="CJ109:CM112" si="476">IF($E109="4C2X",IF(CB109&gt;LARGE($CB109:$CE109,3),TRUE),IF($E109="Best 5",IF(CB109&gt;LARGE($BX109:$CE109,6),TRUE),IF($E109="Best 6",IF(CB109&gt;LARGE($BX109:$CE109,7),TRUE))))</f>
        <v>0</v>
      </c>
      <c r="CK109" s="95" t="b">
        <f t="shared" si="476"/>
        <v>0</v>
      </c>
      <c r="CL109" s="95" t="b">
        <f t="shared" si="476"/>
        <v>0</v>
      </c>
      <c r="CM109" s="95" t="b">
        <f t="shared" si="476"/>
        <v>0</v>
      </c>
      <c r="DE109" s="222">
        <f t="shared" si="436"/>
        <v>9.9999999999999994E-12</v>
      </c>
      <c r="DF109" s="222">
        <f t="shared" si="462"/>
        <v>1.9999999999999999E-11</v>
      </c>
      <c r="DG109" s="222">
        <f t="shared" si="463"/>
        <v>3E-11</v>
      </c>
      <c r="DH109" s="222">
        <f t="shared" si="464"/>
        <v>3.9999999999999998E-11</v>
      </c>
      <c r="DI109" s="222">
        <f t="shared" si="465"/>
        <v>5.0000000000000002E-11</v>
      </c>
      <c r="DJ109" s="222">
        <f t="shared" si="466"/>
        <v>6E-11</v>
      </c>
      <c r="DK109" s="222">
        <f t="shared" si="467"/>
        <v>7.0000000000000004E-11</v>
      </c>
      <c r="DL109" s="222">
        <f t="shared" si="468"/>
        <v>7.9999999999999995E-11</v>
      </c>
      <c r="DM109" s="95">
        <f t="shared" si="437"/>
        <v>0</v>
      </c>
      <c r="DN109" s="95">
        <f t="shared" si="438"/>
        <v>0</v>
      </c>
      <c r="DO109" s="95">
        <f t="shared" si="439"/>
        <v>0</v>
      </c>
      <c r="DP109" s="95">
        <f t="shared" si="440"/>
        <v>0</v>
      </c>
      <c r="DQ109" s="95">
        <f t="shared" si="441"/>
        <v>0</v>
      </c>
      <c r="DR109" s="95">
        <f t="shared" si="442"/>
        <v>0</v>
      </c>
      <c r="DS109" s="95">
        <f t="shared" si="443"/>
        <v>0</v>
      </c>
      <c r="DT109" s="95">
        <f t="shared" si="444"/>
        <v>0</v>
      </c>
      <c r="DU109" s="95" t="b">
        <f t="shared" ref="DU109:DX112" si="477">IF($E109="4C2X",TRUE,IF($E109="Best 5",IF(DM109&gt;LARGE($DM109:$DT109,6),TRUE),IF($E109="Best 6",IF(DM109&gt;LARGE($DM109:$DT109,7),TRUE))))</f>
        <v>1</v>
      </c>
      <c r="DV109" s="95" t="b">
        <f t="shared" si="477"/>
        <v>1</v>
      </c>
      <c r="DW109" s="95" t="b">
        <f t="shared" si="477"/>
        <v>1</v>
      </c>
      <c r="DX109" s="95" t="b">
        <f t="shared" si="477"/>
        <v>1</v>
      </c>
      <c r="DY109" s="95" t="b">
        <f t="shared" ref="DY109:EB112" si="478">IF($E109="4C2X",IF(DQ109&gt;LARGE($DQ109:$DT109,3),TRUE),IF($E109="Best 5",IF(DQ109&gt;LARGE($DM109:$DT109,6),TRUE),IF($E109="Best 6",IF(DQ109&gt;LARGE($DM109:$DT109,7),TRUE))))</f>
        <v>0</v>
      </c>
      <c r="DZ109" s="95" t="b">
        <f t="shared" si="478"/>
        <v>0</v>
      </c>
      <c r="EA109" s="95" t="b">
        <f t="shared" si="478"/>
        <v>0</v>
      </c>
      <c r="EB109" s="95" t="b">
        <f t="shared" si="478"/>
        <v>0</v>
      </c>
      <c r="EC109" s="95" t="s">
        <v>435</v>
      </c>
      <c r="ED109" s="95" t="s">
        <v>435</v>
      </c>
      <c r="EE109" s="95" t="s">
        <v>435</v>
      </c>
      <c r="EF109" s="95" t="s">
        <v>435</v>
      </c>
      <c r="EG109" s="95" t="s">
        <v>435</v>
      </c>
      <c r="EH109" s="95" t="s">
        <v>435</v>
      </c>
      <c r="EI109" s="95" t="s">
        <v>435</v>
      </c>
      <c r="EJ109" s="95" t="s">
        <v>435</v>
      </c>
      <c r="EK109" s="95" t="s">
        <v>435</v>
      </c>
      <c r="EL109" s="95" t="s">
        <v>435</v>
      </c>
      <c r="EM109" s="95" t="s">
        <v>435</v>
      </c>
      <c r="EN109" s="95" t="s">
        <v>435</v>
      </c>
      <c r="EO109" s="95" t="s">
        <v>435</v>
      </c>
      <c r="EP109" s="95" t="s">
        <v>435</v>
      </c>
      <c r="EQ109" s="95" t="s">
        <v>435</v>
      </c>
      <c r="ER109" s="95" t="s">
        <v>435</v>
      </c>
      <c r="FA109" s="95" t="s">
        <v>435</v>
      </c>
      <c r="FB109" s="95" t="s">
        <v>435</v>
      </c>
      <c r="FC109" s="95" t="s">
        <v>435</v>
      </c>
      <c r="FD109" s="95" t="s">
        <v>435</v>
      </c>
      <c r="FE109" s="95" t="s">
        <v>435</v>
      </c>
      <c r="FF109" s="95" t="s">
        <v>435</v>
      </c>
      <c r="FG109" s="95" t="s">
        <v>435</v>
      </c>
      <c r="FH109" s="95" t="s">
        <v>435</v>
      </c>
      <c r="FI109" s="95" t="s">
        <v>435</v>
      </c>
      <c r="FJ109" s="95" t="s">
        <v>435</v>
      </c>
      <c r="FK109" s="95" t="s">
        <v>435</v>
      </c>
      <c r="FL109" s="95" t="s">
        <v>435</v>
      </c>
      <c r="FM109" s="95" t="s">
        <v>435</v>
      </c>
      <c r="FN109" s="95" t="s">
        <v>435</v>
      </c>
      <c r="FO109" s="95" t="s">
        <v>435</v>
      </c>
      <c r="FP109" s="95" t="s">
        <v>435</v>
      </c>
    </row>
    <row r="110" spans="1:172" s="365" customFormat="1">
      <c r="A110" s="365" t="s">
        <v>1237</v>
      </c>
      <c r="B110" s="365" t="s">
        <v>253</v>
      </c>
      <c r="C110" s="365" t="s">
        <v>1230</v>
      </c>
      <c r="D110" s="365" t="s">
        <v>1238</v>
      </c>
      <c r="E110" s="386" t="s">
        <v>828</v>
      </c>
      <c r="H110" s="365">
        <v>317.5</v>
      </c>
      <c r="I110" s="365">
        <v>298.5</v>
      </c>
      <c r="O110" s="365" t="s">
        <v>2975</v>
      </c>
      <c r="P110" s="365" t="s">
        <v>2913</v>
      </c>
      <c r="Q110" s="95" t="s">
        <v>2922</v>
      </c>
      <c r="R110" s="365" t="s">
        <v>1239</v>
      </c>
      <c r="S110" s="365" t="s">
        <v>1177</v>
      </c>
      <c r="T110" s="365">
        <v>51</v>
      </c>
      <c r="U110" s="365" cm="1">
        <f t="array" ref="U110">IFERROR(INDEX('Offer Statistics'!$AZ$2:$AZ$350,MATCH(1,(A110='Offer Statistics'!$AK$2:$AK$350)*($A$11='Offer Statistics'!$AL$2:$AL$350),0)),"/")</f>
        <v>64</v>
      </c>
      <c r="V110" s="365" cm="1">
        <f t="array" ref="V110">IFERROR(INDEX('Offer Statistics'!$AM$2:$AM$350,MATCH(1,(A110='Offer Statistics'!$AK$2:$AK$350)*($A$11='Offer Statistics'!$AL$2:$AL$350),0)),"/")</f>
        <v>131</v>
      </c>
      <c r="W110" s="365" cm="1">
        <f t="array" ref="W110">IFERROR(INDEX('Offer Statistics'!$AU$2:$AU$350,MATCH(1,(A110='Offer Statistics'!$AK$2:$AK$350)*($A$11='Offer Statistics'!$AL$2:$AL$350),0)),"/")</f>
        <v>58</v>
      </c>
      <c r="X110" s="365">
        <f t="shared" si="453"/>
        <v>2.2586206896551726</v>
      </c>
      <c r="Y110" s="365" t="s">
        <v>1177</v>
      </c>
      <c r="Z110" s="365" t="str">
        <f>入學要求!AF119</f>
        <v>/</v>
      </c>
      <c r="AA110" s="365" t="str">
        <f>入學要求!AG119</f>
        <v>/</v>
      </c>
      <c r="AB110" s="368" t="s">
        <v>889</v>
      </c>
      <c r="AC110" s="365" t="s">
        <v>2889</v>
      </c>
      <c r="AE110" s="365" t="s">
        <v>356</v>
      </c>
      <c r="AF110" s="368" t="s">
        <v>356</v>
      </c>
      <c r="AG110" s="368" t="s">
        <v>2975</v>
      </c>
      <c r="AH110" s="368" t="s">
        <v>2907</v>
      </c>
      <c r="AI110" s="368" t="s">
        <v>2922</v>
      </c>
      <c r="AJ110" s="365" t="s">
        <v>356</v>
      </c>
      <c r="AK110" s="365" t="s">
        <v>356</v>
      </c>
      <c r="AL110" s="365" t="s">
        <v>356</v>
      </c>
      <c r="AM110" s="365" t="s">
        <v>356</v>
      </c>
      <c r="AN110" s="365" t="s">
        <v>356</v>
      </c>
      <c r="AO110" s="365" t="s">
        <v>356</v>
      </c>
      <c r="AP110" s="365" t="s">
        <v>356</v>
      </c>
      <c r="AQ110" s="365" t="s">
        <v>356</v>
      </c>
      <c r="AS110" s="95" t="s">
        <v>820</v>
      </c>
      <c r="AT110" s="95"/>
      <c r="AU110" s="365" t="s">
        <v>817</v>
      </c>
      <c r="AV110" s="365" t="s">
        <v>356</v>
      </c>
      <c r="AW110" s="365" t="s">
        <v>356</v>
      </c>
      <c r="AX110" s="365" t="s">
        <v>356</v>
      </c>
      <c r="BP110" s="407">
        <f t="shared" si="454"/>
        <v>3.9999999999999998E-11</v>
      </c>
      <c r="BQ110" s="407">
        <f t="shared" si="455"/>
        <v>1.9999999999999999E-11</v>
      </c>
      <c r="BR110" s="407">
        <f t="shared" si="456"/>
        <v>3E-11</v>
      </c>
      <c r="BS110" s="407">
        <f t="shared" si="457"/>
        <v>9.9999999999999994E-12</v>
      </c>
      <c r="BT110" s="407">
        <f t="shared" si="458"/>
        <v>5.0000000000000002E-11</v>
      </c>
      <c r="BU110" s="407">
        <f t="shared" si="459"/>
        <v>6E-11</v>
      </c>
      <c r="BV110" s="407">
        <f t="shared" si="460"/>
        <v>7.0000000000000004E-11</v>
      </c>
      <c r="BW110" s="407">
        <f t="shared" si="461"/>
        <v>7.9999999999999995E-11</v>
      </c>
      <c r="BX110" s="365">
        <f t="shared" si="420"/>
        <v>0</v>
      </c>
      <c r="BY110" s="365">
        <f t="shared" si="421"/>
        <v>0</v>
      </c>
      <c r="BZ110" s="365">
        <f t="shared" si="422"/>
        <v>0</v>
      </c>
      <c r="CA110" s="365">
        <f t="shared" si="423"/>
        <v>0</v>
      </c>
      <c r="CB110" s="365">
        <f t="shared" si="424"/>
        <v>0</v>
      </c>
      <c r="CC110" s="365">
        <f t="shared" si="425"/>
        <v>0</v>
      </c>
      <c r="CD110" s="365">
        <f t="shared" si="426"/>
        <v>0</v>
      </c>
      <c r="CE110" s="365">
        <f t="shared" si="427"/>
        <v>0</v>
      </c>
      <c r="CF110" s="365" t="b">
        <f t="shared" si="475"/>
        <v>0</v>
      </c>
      <c r="CG110" s="365" t="b">
        <f t="shared" si="475"/>
        <v>0</v>
      </c>
      <c r="CH110" s="365" t="b">
        <f t="shared" si="475"/>
        <v>0</v>
      </c>
      <c r="CI110" s="365" t="b">
        <f t="shared" si="475"/>
        <v>0</v>
      </c>
      <c r="CJ110" s="365" t="b">
        <f t="shared" si="476"/>
        <v>0</v>
      </c>
      <c r="CK110" s="365" t="b">
        <f t="shared" si="476"/>
        <v>0</v>
      </c>
      <c r="CL110" s="365" t="b">
        <f t="shared" si="476"/>
        <v>0</v>
      </c>
      <c r="CM110" s="365" t="b">
        <f t="shared" si="476"/>
        <v>0</v>
      </c>
      <c r="DE110" s="390">
        <f t="shared" si="436"/>
        <v>9.9999999999999994E-12</v>
      </c>
      <c r="DF110" s="390">
        <f t="shared" si="462"/>
        <v>1.9999999999999999E-11</v>
      </c>
      <c r="DG110" s="390">
        <f t="shared" si="463"/>
        <v>3E-11</v>
      </c>
      <c r="DH110" s="390">
        <f t="shared" si="464"/>
        <v>3.9999999999999998E-11</v>
      </c>
      <c r="DI110" s="390">
        <f t="shared" si="465"/>
        <v>5.0000000000000002E-11</v>
      </c>
      <c r="DJ110" s="390">
        <f t="shared" si="466"/>
        <v>6E-11</v>
      </c>
      <c r="DK110" s="390">
        <f t="shared" si="467"/>
        <v>7.0000000000000004E-11</v>
      </c>
      <c r="DL110" s="390">
        <f t="shared" si="468"/>
        <v>7.9999999999999995E-11</v>
      </c>
      <c r="DM110" s="365">
        <f t="shared" si="437"/>
        <v>0</v>
      </c>
      <c r="DN110" s="365">
        <f t="shared" si="438"/>
        <v>0</v>
      </c>
      <c r="DO110" s="365">
        <f t="shared" si="439"/>
        <v>0</v>
      </c>
      <c r="DP110" s="365">
        <f t="shared" si="440"/>
        <v>0</v>
      </c>
      <c r="DQ110" s="365">
        <f t="shared" si="441"/>
        <v>0</v>
      </c>
      <c r="DR110" s="365">
        <f t="shared" si="442"/>
        <v>0</v>
      </c>
      <c r="DS110" s="365">
        <f t="shared" si="443"/>
        <v>0</v>
      </c>
      <c r="DT110" s="365">
        <f t="shared" si="444"/>
        <v>0</v>
      </c>
      <c r="DU110" s="365" t="b">
        <f t="shared" si="477"/>
        <v>0</v>
      </c>
      <c r="DV110" s="365" t="b">
        <f t="shared" si="477"/>
        <v>0</v>
      </c>
      <c r="DW110" s="365" t="b">
        <f t="shared" si="477"/>
        <v>0</v>
      </c>
      <c r="DX110" s="365" t="b">
        <f t="shared" si="477"/>
        <v>0</v>
      </c>
      <c r="DY110" s="365" t="b">
        <f t="shared" si="478"/>
        <v>0</v>
      </c>
      <c r="DZ110" s="365" t="b">
        <f t="shared" si="478"/>
        <v>0</v>
      </c>
      <c r="EA110" s="365" t="b">
        <f t="shared" si="478"/>
        <v>0</v>
      </c>
      <c r="EB110" s="365" t="b">
        <f t="shared" si="478"/>
        <v>0</v>
      </c>
      <c r="EC110" s="365" t="s">
        <v>435</v>
      </c>
      <c r="ED110" s="365" t="s">
        <v>435</v>
      </c>
      <c r="EE110" s="365" t="s">
        <v>435</v>
      </c>
      <c r="EF110" s="365" t="s">
        <v>435</v>
      </c>
      <c r="EG110" s="365" t="s">
        <v>435</v>
      </c>
      <c r="EH110" s="365" t="s">
        <v>435</v>
      </c>
      <c r="EI110" s="365" t="s">
        <v>435</v>
      </c>
      <c r="EJ110" s="365" t="s">
        <v>435</v>
      </c>
      <c r="EK110" s="365" t="s">
        <v>435</v>
      </c>
      <c r="EL110" s="365" t="s">
        <v>435</v>
      </c>
      <c r="EM110" s="365" t="s">
        <v>435</v>
      </c>
      <c r="EN110" s="365" t="s">
        <v>435</v>
      </c>
      <c r="EO110" s="365" t="s">
        <v>435</v>
      </c>
      <c r="EP110" s="365" t="s">
        <v>435</v>
      </c>
      <c r="EQ110" s="365" t="s">
        <v>435</v>
      </c>
      <c r="ER110" s="365" t="s">
        <v>435</v>
      </c>
      <c r="FA110" s="365" t="s">
        <v>435</v>
      </c>
      <c r="FB110" s="365" t="s">
        <v>435</v>
      </c>
      <c r="FC110" s="365" t="s">
        <v>435</v>
      </c>
      <c r="FD110" s="365" t="s">
        <v>435</v>
      </c>
      <c r="FE110" s="365" t="s">
        <v>435</v>
      </c>
      <c r="FF110" s="365" t="s">
        <v>435</v>
      </c>
      <c r="FG110" s="365" t="s">
        <v>435</v>
      </c>
      <c r="FH110" s="365" t="s">
        <v>435</v>
      </c>
      <c r="FI110" s="365" t="s">
        <v>435</v>
      </c>
      <c r="FJ110" s="365" t="s">
        <v>435</v>
      </c>
      <c r="FK110" s="365" t="s">
        <v>435</v>
      </c>
      <c r="FL110" s="365" t="s">
        <v>435</v>
      </c>
      <c r="FM110" s="365" t="s">
        <v>435</v>
      </c>
      <c r="FN110" s="365" t="s">
        <v>435</v>
      </c>
      <c r="FO110" s="365" t="s">
        <v>435</v>
      </c>
      <c r="FP110" s="365" t="s">
        <v>435</v>
      </c>
    </row>
    <row r="111" spans="1:172" s="95" customFormat="1">
      <c r="A111" s="95" t="s">
        <v>1240</v>
      </c>
      <c r="B111" s="95" t="s">
        <v>253</v>
      </c>
      <c r="C111" s="95" t="s">
        <v>1241</v>
      </c>
      <c r="D111" s="95" t="s">
        <v>1242</v>
      </c>
      <c r="E111" s="386" t="s">
        <v>889</v>
      </c>
      <c r="H111" s="95">
        <v>162.5</v>
      </c>
      <c r="I111" s="95">
        <v>156</v>
      </c>
      <c r="O111" s="95" t="s">
        <v>1243</v>
      </c>
      <c r="P111" s="95" t="s">
        <v>1244</v>
      </c>
      <c r="Q111" s="95" t="s">
        <v>356</v>
      </c>
      <c r="R111" s="95" t="s">
        <v>1245</v>
      </c>
      <c r="S111" s="95" t="s">
        <v>1177</v>
      </c>
      <c r="T111" s="95">
        <v>81</v>
      </c>
      <c r="U111" s="95" cm="1">
        <f t="array" ref="U111">IFERROR(INDEX('Offer Statistics'!$AZ$2:$AZ$350,MATCH(1,(A111='Offer Statistics'!$AK$2:$AK$350)*($A$11='Offer Statistics'!$AL$2:$AL$350),0)),"/")</f>
        <v>90</v>
      </c>
      <c r="V111" s="95" cm="1">
        <f t="array" ref="V111">IFERROR(INDEX('Offer Statistics'!$AM$2:$AM$350,MATCH(1,(A111='Offer Statistics'!$AK$2:$AK$350)*($A$11='Offer Statistics'!$AL$2:$AL$350),0)),"/")</f>
        <v>1403</v>
      </c>
      <c r="W111" s="95" cm="1">
        <f t="array" ref="W111">IFERROR(INDEX('Offer Statistics'!$AU$2:$AU$350,MATCH(1,(A111='Offer Statistics'!$AK$2:$AK$350)*($A$11='Offer Statistics'!$AL$2:$AL$350),0)),"/")</f>
        <v>90</v>
      </c>
      <c r="X111" s="95">
        <f t="shared" si="453"/>
        <v>15.588888888888889</v>
      </c>
      <c r="Y111" s="95" t="s">
        <v>1177</v>
      </c>
      <c r="Z111" s="95" t="str">
        <f>入學要求!AF120</f>
        <v>/</v>
      </c>
      <c r="AA111" s="95" t="str">
        <f>入學要求!AG120</f>
        <v>/</v>
      </c>
      <c r="AB111" s="368" t="s">
        <v>889</v>
      </c>
      <c r="AC111" s="365"/>
      <c r="AD111" s="51"/>
      <c r="AE111" s="364" t="s">
        <v>356</v>
      </c>
      <c r="AF111" s="368" t="s">
        <v>356</v>
      </c>
      <c r="AG111" s="368" t="s">
        <v>1243</v>
      </c>
      <c r="AH111" s="368" t="s">
        <v>1244</v>
      </c>
      <c r="AI111" s="368" t="s">
        <v>356</v>
      </c>
      <c r="AJ111" s="95" t="s">
        <v>356</v>
      </c>
      <c r="AK111" s="95" t="s">
        <v>356</v>
      </c>
      <c r="AL111" s="95" t="s">
        <v>356</v>
      </c>
      <c r="AM111" s="95" t="s">
        <v>356</v>
      </c>
      <c r="AN111" s="95" t="s">
        <v>356</v>
      </c>
      <c r="AO111" s="95" t="s">
        <v>356</v>
      </c>
      <c r="AP111" s="95" t="s">
        <v>356</v>
      </c>
      <c r="AQ111" s="95" t="s">
        <v>356</v>
      </c>
      <c r="AS111" s="95" t="s">
        <v>820</v>
      </c>
      <c r="AU111" s="95" t="s">
        <v>817</v>
      </c>
      <c r="AV111" s="95" t="s">
        <v>356</v>
      </c>
      <c r="AW111" s="95" t="s">
        <v>356</v>
      </c>
      <c r="AX111" s="95" t="s">
        <v>356</v>
      </c>
      <c r="BP111" s="407">
        <f t="shared" si="454"/>
        <v>3.9999999999999998E-11</v>
      </c>
      <c r="BQ111" s="407">
        <f t="shared" si="455"/>
        <v>1.9999999999999999E-11</v>
      </c>
      <c r="BR111" s="407">
        <f t="shared" si="456"/>
        <v>3E-11</v>
      </c>
      <c r="BS111" s="407">
        <f t="shared" si="457"/>
        <v>9.9999999999999994E-12</v>
      </c>
      <c r="BT111" s="407">
        <f t="shared" si="458"/>
        <v>5.0000000000000002E-11</v>
      </c>
      <c r="BU111" s="407">
        <f t="shared" si="459"/>
        <v>6E-11</v>
      </c>
      <c r="BV111" s="407">
        <f t="shared" si="460"/>
        <v>7.0000000000000004E-11</v>
      </c>
      <c r="BW111" s="407">
        <f t="shared" si="461"/>
        <v>7.9999999999999995E-11</v>
      </c>
      <c r="BX111" s="95">
        <f t="shared" si="420"/>
        <v>0</v>
      </c>
      <c r="BY111" s="95">
        <f t="shared" si="421"/>
        <v>0</v>
      </c>
      <c r="BZ111" s="95">
        <f t="shared" si="422"/>
        <v>0</v>
      </c>
      <c r="CA111" s="95">
        <f t="shared" si="423"/>
        <v>0</v>
      </c>
      <c r="CB111" s="95">
        <f t="shared" si="424"/>
        <v>0</v>
      </c>
      <c r="CC111" s="95">
        <f t="shared" si="425"/>
        <v>0</v>
      </c>
      <c r="CD111" s="95">
        <f t="shared" si="426"/>
        <v>0</v>
      </c>
      <c r="CE111" s="95">
        <f t="shared" si="427"/>
        <v>0</v>
      </c>
      <c r="CF111" s="95" t="b">
        <f t="shared" si="475"/>
        <v>0</v>
      </c>
      <c r="CG111" s="95" t="b">
        <f t="shared" si="475"/>
        <v>0</v>
      </c>
      <c r="CH111" s="95" t="b">
        <f t="shared" si="475"/>
        <v>0</v>
      </c>
      <c r="CI111" s="95" t="b">
        <f t="shared" si="475"/>
        <v>0</v>
      </c>
      <c r="CJ111" s="95" t="b">
        <f t="shared" si="476"/>
        <v>0</v>
      </c>
      <c r="CK111" s="95" t="b">
        <f t="shared" si="476"/>
        <v>0</v>
      </c>
      <c r="CL111" s="95" t="b">
        <f t="shared" si="476"/>
        <v>0</v>
      </c>
      <c r="CM111" s="95" t="b">
        <f t="shared" si="476"/>
        <v>0</v>
      </c>
      <c r="DE111" s="222">
        <f t="shared" si="436"/>
        <v>9.9999999999999994E-12</v>
      </c>
      <c r="DF111" s="222">
        <f t="shared" si="462"/>
        <v>1.9999999999999999E-11</v>
      </c>
      <c r="DG111" s="222">
        <f t="shared" si="463"/>
        <v>3E-11</v>
      </c>
      <c r="DH111" s="222">
        <f t="shared" si="464"/>
        <v>3.9999999999999998E-11</v>
      </c>
      <c r="DI111" s="222">
        <f t="shared" si="465"/>
        <v>5.0000000000000002E-11</v>
      </c>
      <c r="DJ111" s="222">
        <f t="shared" si="466"/>
        <v>6E-11</v>
      </c>
      <c r="DK111" s="222">
        <f t="shared" si="467"/>
        <v>7.0000000000000004E-11</v>
      </c>
      <c r="DL111" s="222">
        <f t="shared" si="468"/>
        <v>7.9999999999999995E-11</v>
      </c>
      <c r="DM111" s="95">
        <f t="shared" si="437"/>
        <v>0</v>
      </c>
      <c r="DN111" s="95">
        <f t="shared" si="438"/>
        <v>0</v>
      </c>
      <c r="DO111" s="95">
        <f t="shared" si="439"/>
        <v>0</v>
      </c>
      <c r="DP111" s="95">
        <f t="shared" si="440"/>
        <v>0</v>
      </c>
      <c r="DQ111" s="95">
        <f t="shared" si="441"/>
        <v>0</v>
      </c>
      <c r="DR111" s="95">
        <f t="shared" si="442"/>
        <v>0</v>
      </c>
      <c r="DS111" s="95">
        <f t="shared" si="443"/>
        <v>0</v>
      </c>
      <c r="DT111" s="95">
        <f t="shared" si="444"/>
        <v>0</v>
      </c>
      <c r="DU111" s="95" t="b">
        <f t="shared" si="477"/>
        <v>0</v>
      </c>
      <c r="DV111" s="95" t="b">
        <f t="shared" si="477"/>
        <v>0</v>
      </c>
      <c r="DW111" s="95" t="b">
        <f t="shared" si="477"/>
        <v>0</v>
      </c>
      <c r="DX111" s="95" t="b">
        <f t="shared" si="477"/>
        <v>0</v>
      </c>
      <c r="DY111" s="95" t="b">
        <f t="shared" si="478"/>
        <v>0</v>
      </c>
      <c r="DZ111" s="95" t="b">
        <f t="shared" si="478"/>
        <v>0</v>
      </c>
      <c r="EA111" s="95" t="b">
        <f t="shared" si="478"/>
        <v>0</v>
      </c>
      <c r="EB111" s="95" t="b">
        <f t="shared" si="478"/>
        <v>0</v>
      </c>
      <c r="EC111" s="95" t="s">
        <v>435</v>
      </c>
      <c r="ED111" s="95" t="s">
        <v>435</v>
      </c>
      <c r="EE111" s="95" t="s">
        <v>435</v>
      </c>
      <c r="EF111" s="95" t="s">
        <v>435</v>
      </c>
      <c r="EG111" s="95" t="s">
        <v>435</v>
      </c>
      <c r="EH111" s="95" t="s">
        <v>435</v>
      </c>
      <c r="EI111" s="95" t="s">
        <v>435</v>
      </c>
      <c r="EJ111" s="95" t="s">
        <v>435</v>
      </c>
      <c r="EK111" s="95" t="s">
        <v>435</v>
      </c>
      <c r="EL111" s="95" t="s">
        <v>435</v>
      </c>
      <c r="EM111" s="95" t="s">
        <v>435</v>
      </c>
      <c r="EN111" s="95" t="s">
        <v>435</v>
      </c>
      <c r="EO111" s="95" t="s">
        <v>435</v>
      </c>
      <c r="EP111" s="95" t="s">
        <v>435</v>
      </c>
      <c r="EQ111" s="95" t="s">
        <v>435</v>
      </c>
      <c r="ER111" s="95" t="s">
        <v>435</v>
      </c>
      <c r="FA111" s="95" t="s">
        <v>435</v>
      </c>
      <c r="FB111" s="95" t="s">
        <v>435</v>
      </c>
      <c r="FC111" s="95" t="s">
        <v>435</v>
      </c>
      <c r="FD111" s="95" t="s">
        <v>435</v>
      </c>
      <c r="FE111" s="95" t="s">
        <v>435</v>
      </c>
      <c r="FF111" s="95" t="s">
        <v>435</v>
      </c>
      <c r="FG111" s="95" t="s">
        <v>435</v>
      </c>
      <c r="FH111" s="95" t="s">
        <v>435</v>
      </c>
      <c r="FI111" s="95" t="s">
        <v>435</v>
      </c>
      <c r="FJ111" s="95" t="s">
        <v>435</v>
      </c>
      <c r="FK111" s="95" t="s">
        <v>435</v>
      </c>
      <c r="FL111" s="95" t="s">
        <v>435</v>
      </c>
      <c r="FM111" s="95" t="s">
        <v>435</v>
      </c>
      <c r="FN111" s="95" t="s">
        <v>435</v>
      </c>
      <c r="FO111" s="95" t="s">
        <v>435</v>
      </c>
      <c r="FP111" s="95" t="s">
        <v>435</v>
      </c>
    </row>
    <row r="112" spans="1:172" s="95" customFormat="1">
      <c r="A112" s="95" t="s">
        <v>1246</v>
      </c>
      <c r="B112" s="95" t="s">
        <v>253</v>
      </c>
      <c r="C112" s="95" t="s">
        <v>1247</v>
      </c>
      <c r="D112" s="95" t="s">
        <v>1248</v>
      </c>
      <c r="E112" s="386" t="s">
        <v>1232</v>
      </c>
      <c r="H112" s="95">
        <v>201</v>
      </c>
      <c r="I112" s="95">
        <v>180</v>
      </c>
      <c r="O112" s="95" t="s">
        <v>2928</v>
      </c>
      <c r="P112" s="95" t="s">
        <v>1251</v>
      </c>
      <c r="Q112" s="95" t="s">
        <v>2922</v>
      </c>
      <c r="R112" s="95" t="s">
        <v>1250</v>
      </c>
      <c r="S112" s="95" t="s">
        <v>356</v>
      </c>
      <c r="T112" s="95">
        <v>20</v>
      </c>
      <c r="U112" s="95" cm="1">
        <f t="array" ref="U112">IFERROR(INDEX('Offer Statistics'!$AZ$2:$AZ$350,MATCH(1,(A112='Offer Statistics'!$AK$2:$AK$350)*($A$11='Offer Statistics'!$AL$2:$AL$350),0)),"/")</f>
        <v>22</v>
      </c>
      <c r="V112" s="95" cm="1">
        <f t="array" ref="V112">IFERROR(INDEX('Offer Statistics'!$AM$2:$AM$350,MATCH(1,(A112='Offer Statistics'!$AK$2:$AK$350)*($A$11='Offer Statistics'!$AL$2:$AL$350),0)),"/")</f>
        <v>323</v>
      </c>
      <c r="W112" s="95" cm="1">
        <f t="array" ref="W112">IFERROR(INDEX('Offer Statistics'!$AU$2:$AU$350,MATCH(1,(A112='Offer Statistics'!$AK$2:$AK$350)*($A$11='Offer Statistics'!$AL$2:$AL$350),0)),"/")</f>
        <v>18</v>
      </c>
      <c r="X112" s="95">
        <f t="shared" ref="X112" si="479">IFERROR(V112/W112,"新科目")</f>
        <v>17.944444444444443</v>
      </c>
      <c r="Y112" s="95" t="s">
        <v>1177</v>
      </c>
      <c r="Z112" s="95" t="str">
        <f>入學要求!AF121</f>
        <v>/</v>
      </c>
      <c r="AA112" s="95" t="str">
        <f>入學要求!AG121</f>
        <v>/</v>
      </c>
      <c r="AB112" s="368" t="s">
        <v>1232</v>
      </c>
      <c r="AC112" s="365"/>
      <c r="AD112" s="51"/>
      <c r="AE112" s="364" t="s">
        <v>356</v>
      </c>
      <c r="AF112" s="364" t="s">
        <v>356</v>
      </c>
      <c r="AG112" s="368" t="s">
        <v>2928</v>
      </c>
      <c r="AH112" s="368" t="s">
        <v>2914</v>
      </c>
      <c r="AI112" s="368" t="s">
        <v>2922</v>
      </c>
      <c r="AJ112" s="95" t="s">
        <v>356</v>
      </c>
      <c r="AK112" s="95" t="s">
        <v>356</v>
      </c>
      <c r="AL112" s="95" t="s">
        <v>356</v>
      </c>
      <c r="AM112" s="95" t="s">
        <v>356</v>
      </c>
      <c r="AN112" s="95" t="s">
        <v>356</v>
      </c>
      <c r="AO112" s="95" t="s">
        <v>356</v>
      </c>
      <c r="AP112" s="95" t="s">
        <v>356</v>
      </c>
      <c r="AQ112" s="95" t="s">
        <v>356</v>
      </c>
      <c r="AS112" s="95" t="s">
        <v>820</v>
      </c>
      <c r="AU112" s="95" t="s">
        <v>817</v>
      </c>
      <c r="AV112" s="95" t="s">
        <v>356</v>
      </c>
      <c r="AW112" s="95" t="s">
        <v>356</v>
      </c>
      <c r="AX112" s="95" t="s">
        <v>356</v>
      </c>
      <c r="BP112" s="407">
        <f t="shared" si="454"/>
        <v>3.9999999999999998E-11</v>
      </c>
      <c r="BQ112" s="407">
        <f t="shared" si="455"/>
        <v>1.9999999999999999E-11</v>
      </c>
      <c r="BR112" s="407">
        <f t="shared" si="456"/>
        <v>3E-11</v>
      </c>
      <c r="BS112" s="407">
        <f t="shared" si="457"/>
        <v>9.9999999999999994E-12</v>
      </c>
      <c r="BT112" s="407">
        <f t="shared" si="458"/>
        <v>5.0000000000000002E-11</v>
      </c>
      <c r="BU112" s="407">
        <f t="shared" si="459"/>
        <v>6E-11</v>
      </c>
      <c r="BV112" s="407">
        <f t="shared" si="460"/>
        <v>7.0000000000000004E-11</v>
      </c>
      <c r="BW112" s="407">
        <f t="shared" si="461"/>
        <v>7.9999999999999995E-11</v>
      </c>
      <c r="BX112" s="95">
        <f t="shared" si="420"/>
        <v>0</v>
      </c>
      <c r="BY112" s="95">
        <f t="shared" si="421"/>
        <v>0</v>
      </c>
      <c r="BZ112" s="95">
        <f t="shared" si="422"/>
        <v>0</v>
      </c>
      <c r="CA112" s="95">
        <f t="shared" si="423"/>
        <v>0</v>
      </c>
      <c r="CB112" s="95">
        <f t="shared" si="424"/>
        <v>0</v>
      </c>
      <c r="CC112" s="95">
        <f t="shared" si="425"/>
        <v>0</v>
      </c>
      <c r="CD112" s="95">
        <f t="shared" si="426"/>
        <v>0</v>
      </c>
      <c r="CE112" s="95">
        <f t="shared" si="427"/>
        <v>0</v>
      </c>
      <c r="CF112" s="95" t="b">
        <f t="shared" si="475"/>
        <v>0</v>
      </c>
      <c r="CG112" s="95" t="b">
        <f t="shared" si="475"/>
        <v>0</v>
      </c>
      <c r="CH112" s="95" t="b">
        <f t="shared" si="475"/>
        <v>0</v>
      </c>
      <c r="CI112" s="95" t="b">
        <f t="shared" si="475"/>
        <v>0</v>
      </c>
      <c r="CJ112" s="95" t="b">
        <f t="shared" si="476"/>
        <v>0</v>
      </c>
      <c r="CK112" s="95" t="b">
        <f t="shared" si="476"/>
        <v>0</v>
      </c>
      <c r="CL112" s="95" t="b">
        <f t="shared" si="476"/>
        <v>0</v>
      </c>
      <c r="CM112" s="95" t="b">
        <f t="shared" si="476"/>
        <v>0</v>
      </c>
      <c r="DE112" s="222">
        <f t="shared" si="436"/>
        <v>9.9999999999999994E-12</v>
      </c>
      <c r="DF112" s="222">
        <f t="shared" si="462"/>
        <v>1.9999999999999999E-11</v>
      </c>
      <c r="DG112" s="222">
        <f t="shared" si="463"/>
        <v>3E-11</v>
      </c>
      <c r="DH112" s="222">
        <f t="shared" si="464"/>
        <v>3.9999999999999998E-11</v>
      </c>
      <c r="DI112" s="222">
        <f t="shared" si="465"/>
        <v>5.0000000000000002E-11</v>
      </c>
      <c r="DJ112" s="222">
        <f t="shared" si="466"/>
        <v>6E-11</v>
      </c>
      <c r="DK112" s="222">
        <f t="shared" si="467"/>
        <v>7.0000000000000004E-11</v>
      </c>
      <c r="DL112" s="222">
        <f t="shared" si="468"/>
        <v>7.9999999999999995E-11</v>
      </c>
      <c r="DM112" s="95">
        <f t="shared" si="437"/>
        <v>0</v>
      </c>
      <c r="DN112" s="95">
        <f t="shared" si="438"/>
        <v>0</v>
      </c>
      <c r="DO112" s="95">
        <f t="shared" si="439"/>
        <v>0</v>
      </c>
      <c r="DP112" s="95">
        <f t="shared" si="440"/>
        <v>0</v>
      </c>
      <c r="DQ112" s="95">
        <f t="shared" si="441"/>
        <v>0</v>
      </c>
      <c r="DR112" s="95">
        <f t="shared" si="442"/>
        <v>0</v>
      </c>
      <c r="DS112" s="95">
        <f t="shared" si="443"/>
        <v>0</v>
      </c>
      <c r="DT112" s="95">
        <f t="shared" si="444"/>
        <v>0</v>
      </c>
      <c r="DU112" s="95" t="b">
        <f t="shared" si="477"/>
        <v>0</v>
      </c>
      <c r="DV112" s="95" t="b">
        <f t="shared" si="477"/>
        <v>0</v>
      </c>
      <c r="DW112" s="95" t="b">
        <f t="shared" si="477"/>
        <v>0</v>
      </c>
      <c r="DX112" s="95" t="b">
        <f t="shared" si="477"/>
        <v>0</v>
      </c>
      <c r="DY112" s="95" t="b">
        <f t="shared" si="478"/>
        <v>0</v>
      </c>
      <c r="DZ112" s="95" t="b">
        <f t="shared" si="478"/>
        <v>0</v>
      </c>
      <c r="EA112" s="95" t="b">
        <f t="shared" si="478"/>
        <v>0</v>
      </c>
      <c r="EB112" s="95" t="b">
        <f t="shared" si="478"/>
        <v>0</v>
      </c>
      <c r="EC112" s="95" t="s">
        <v>356</v>
      </c>
      <c r="ED112" s="95" t="s">
        <v>356</v>
      </c>
      <c r="EE112" s="95" t="s">
        <v>356</v>
      </c>
      <c r="EF112" s="95" t="s">
        <v>356</v>
      </c>
      <c r="EG112" s="95" t="s">
        <v>356</v>
      </c>
      <c r="EH112" s="95" t="s">
        <v>356</v>
      </c>
      <c r="EI112" s="95" t="s">
        <v>356</v>
      </c>
      <c r="EJ112" s="95" t="s">
        <v>356</v>
      </c>
      <c r="EK112" s="95" t="s">
        <v>356</v>
      </c>
      <c r="EL112" s="95" t="s">
        <v>356</v>
      </c>
      <c r="EM112" s="95" t="s">
        <v>356</v>
      </c>
      <c r="EN112" s="95" t="s">
        <v>356</v>
      </c>
      <c r="EO112" s="95" t="s">
        <v>356</v>
      </c>
      <c r="EP112" s="95" t="s">
        <v>356</v>
      </c>
      <c r="EQ112" s="95" t="s">
        <v>356</v>
      </c>
      <c r="ER112" s="95" t="s">
        <v>356</v>
      </c>
      <c r="FA112" s="95" t="s">
        <v>435</v>
      </c>
      <c r="FB112" s="95" t="s">
        <v>435</v>
      </c>
      <c r="FC112" s="95" t="s">
        <v>435</v>
      </c>
      <c r="FD112" s="95" t="s">
        <v>435</v>
      </c>
      <c r="FE112" s="95" t="s">
        <v>435</v>
      </c>
      <c r="FF112" s="95" t="s">
        <v>435</v>
      </c>
      <c r="FG112" s="95" t="s">
        <v>435</v>
      </c>
      <c r="FH112" s="95" t="s">
        <v>435</v>
      </c>
      <c r="FI112" s="95" t="s">
        <v>435</v>
      </c>
      <c r="FJ112" s="95" t="s">
        <v>435</v>
      </c>
      <c r="FK112" s="95" t="s">
        <v>435</v>
      </c>
      <c r="FL112" s="95" t="s">
        <v>435</v>
      </c>
      <c r="FM112" s="95" t="s">
        <v>435</v>
      </c>
      <c r="FN112" s="95" t="s">
        <v>435</v>
      </c>
      <c r="FO112" s="95" t="s">
        <v>435</v>
      </c>
      <c r="FP112" s="95" t="s">
        <v>435</v>
      </c>
    </row>
    <row r="113" spans="1:172" s="365" customFormat="1">
      <c r="A113" s="365" t="s">
        <v>1252</v>
      </c>
      <c r="B113" s="365" t="s">
        <v>253</v>
      </c>
      <c r="C113" s="365" t="s">
        <v>1247</v>
      </c>
      <c r="D113" s="365" t="s">
        <v>1253</v>
      </c>
      <c r="E113" s="386" t="s">
        <v>889</v>
      </c>
      <c r="H113" s="365">
        <v>221.5</v>
      </c>
      <c r="I113" s="365">
        <v>206</v>
      </c>
      <c r="O113" s="365" t="s">
        <v>2929</v>
      </c>
      <c r="P113" s="365" t="s">
        <v>1244</v>
      </c>
      <c r="Q113" s="365" t="s">
        <v>2915</v>
      </c>
      <c r="R113" s="365" t="s">
        <v>1254</v>
      </c>
      <c r="S113" s="365" t="s">
        <v>1177</v>
      </c>
      <c r="T113" s="365">
        <v>37</v>
      </c>
      <c r="U113" s="365" cm="1">
        <f t="array" ref="U113">IFERROR(INDEX('Offer Statistics'!$AZ$2:$AZ$350,MATCH(1,(A113='Offer Statistics'!$AK$2:$AK$350)*($A$11='Offer Statistics'!$AL$2:$AL$350),0)),"/")</f>
        <v>41</v>
      </c>
      <c r="V113" s="365" cm="1">
        <f t="array" ref="V113">IFERROR(INDEX('Offer Statistics'!$AM$2:$AM$350,MATCH(1,(A113='Offer Statistics'!$AK$2:$AK$350)*($A$11='Offer Statistics'!$AL$2:$AL$350),0)),"/")</f>
        <v>369</v>
      </c>
      <c r="W113" s="365" cm="1">
        <f t="array" ref="W113">IFERROR(INDEX('Offer Statistics'!$AU$2:$AU$350,MATCH(1,(A113='Offer Statistics'!$AK$2:$AK$350)*($A$11='Offer Statistics'!$AL$2:$AL$350),0)),"/")</f>
        <v>40</v>
      </c>
      <c r="X113" s="365">
        <f t="shared" si="453"/>
        <v>9.2249999999999996</v>
      </c>
      <c r="Y113" s="365" t="s">
        <v>1177</v>
      </c>
      <c r="Z113" s="365" t="str">
        <f>入學要求!AF122</f>
        <v>/</v>
      </c>
      <c r="AA113" s="365" t="str">
        <f>入學要求!AG122</f>
        <v>/</v>
      </c>
      <c r="AB113" s="368" t="s">
        <v>889</v>
      </c>
      <c r="AE113" s="365" t="s">
        <v>356</v>
      </c>
      <c r="AF113" s="365" t="s">
        <v>356</v>
      </c>
      <c r="AG113" s="368" t="s">
        <v>2929</v>
      </c>
      <c r="AH113" s="368" t="s">
        <v>1244</v>
      </c>
      <c r="AI113" s="368" t="s">
        <v>2915</v>
      </c>
      <c r="AJ113" s="365" t="s">
        <v>356</v>
      </c>
      <c r="AK113" s="365" t="s">
        <v>356</v>
      </c>
      <c r="AL113" s="365" t="s">
        <v>356</v>
      </c>
      <c r="AM113" s="365" t="s">
        <v>356</v>
      </c>
      <c r="AN113" s="365" t="s">
        <v>356</v>
      </c>
      <c r="AO113" s="365" t="s">
        <v>356</v>
      </c>
      <c r="AP113" s="365" t="s">
        <v>356</v>
      </c>
      <c r="AQ113" s="365" t="s">
        <v>356</v>
      </c>
      <c r="AS113" s="95" t="s">
        <v>820</v>
      </c>
      <c r="AT113" s="95"/>
      <c r="AU113" s="365" t="s">
        <v>817</v>
      </c>
      <c r="AV113" s="365" t="s">
        <v>356</v>
      </c>
      <c r="AW113" s="365" t="s">
        <v>356</v>
      </c>
      <c r="AX113" s="365" t="s">
        <v>356</v>
      </c>
      <c r="BP113" s="407">
        <f t="shared" si="454"/>
        <v>3.9999999999999998E-11</v>
      </c>
      <c r="BQ113" s="407">
        <f t="shared" si="455"/>
        <v>1.9999999999999999E-11</v>
      </c>
      <c r="BR113" s="407">
        <f t="shared" si="456"/>
        <v>3E-11</v>
      </c>
      <c r="BS113" s="407">
        <f t="shared" si="457"/>
        <v>9.9999999999999994E-12</v>
      </c>
      <c r="BT113" s="407">
        <f t="shared" si="458"/>
        <v>5.0000000000000002E-11</v>
      </c>
      <c r="BU113" s="407">
        <f t="shared" si="459"/>
        <v>6E-11</v>
      </c>
      <c r="BV113" s="407">
        <f t="shared" si="460"/>
        <v>7.0000000000000004E-11</v>
      </c>
      <c r="BW113" s="407">
        <f t="shared" si="461"/>
        <v>7.9999999999999995E-11</v>
      </c>
      <c r="BX113" s="365">
        <f t="shared" si="420"/>
        <v>0</v>
      </c>
      <c r="BY113" s="365">
        <f t="shared" si="421"/>
        <v>0</v>
      </c>
      <c r="BZ113" s="365">
        <f t="shared" si="422"/>
        <v>0</v>
      </c>
      <c r="CA113" s="365">
        <f t="shared" si="423"/>
        <v>0</v>
      </c>
      <c r="CB113" s="365">
        <f t="shared" si="424"/>
        <v>0</v>
      </c>
      <c r="CC113" s="365">
        <f t="shared" si="425"/>
        <v>0</v>
      </c>
      <c r="CD113" s="365">
        <f t="shared" si="426"/>
        <v>0</v>
      </c>
      <c r="CE113" s="365">
        <f t="shared" si="427"/>
        <v>0</v>
      </c>
      <c r="CF113" s="365" t="b">
        <v>1</v>
      </c>
      <c r="CG113" s="365" t="b">
        <v>1</v>
      </c>
      <c r="CH113" s="365" t="b">
        <f>IF(BZ113&gt;LARGE($BZ113:$CE113,4),TRUE)</f>
        <v>0</v>
      </c>
      <c r="CI113" s="365" t="b">
        <f t="shared" ref="CI113" si="480">IF(CA113&gt;LARGE($BZ113:$CE113,4),TRUE)</f>
        <v>0</v>
      </c>
      <c r="CJ113" s="365" t="b">
        <f t="shared" ref="CJ113" si="481">IF(CB113&gt;LARGE($BZ113:$CE113,4),TRUE)</f>
        <v>0</v>
      </c>
      <c r="CK113" s="365" t="b">
        <f t="shared" ref="CK113" si="482">IF(CC113&gt;LARGE($BZ113:$CE113,4),TRUE)</f>
        <v>0</v>
      </c>
      <c r="CL113" s="365" t="b">
        <f t="shared" ref="CL113" si="483">IF(CD113&gt;LARGE($BZ113:$CE113,4),TRUE)</f>
        <v>0</v>
      </c>
      <c r="CM113" s="365" t="b">
        <f t="shared" ref="CM113" si="484">IF(CE113&gt;LARGE($BZ113:$CE113,4),TRUE)</f>
        <v>0</v>
      </c>
      <c r="DE113" s="390">
        <f t="shared" si="436"/>
        <v>9.9999999999999994E-12</v>
      </c>
      <c r="DF113" s="390">
        <f t="shared" si="462"/>
        <v>1.9999999999999999E-11</v>
      </c>
      <c r="DG113" s="390">
        <f t="shared" si="463"/>
        <v>3E-11</v>
      </c>
      <c r="DH113" s="390">
        <f t="shared" si="464"/>
        <v>3.9999999999999998E-11</v>
      </c>
      <c r="DI113" s="390">
        <f t="shared" si="465"/>
        <v>5.0000000000000002E-11</v>
      </c>
      <c r="DJ113" s="390">
        <f t="shared" si="466"/>
        <v>6E-11</v>
      </c>
      <c r="DK113" s="390">
        <f t="shared" si="467"/>
        <v>7.0000000000000004E-11</v>
      </c>
      <c r="DL113" s="390">
        <f t="shared" si="468"/>
        <v>7.9999999999999995E-11</v>
      </c>
      <c r="DM113" s="365">
        <f t="shared" si="437"/>
        <v>0</v>
      </c>
      <c r="DN113" s="365">
        <f t="shared" si="438"/>
        <v>0</v>
      </c>
      <c r="DO113" s="365">
        <f t="shared" si="439"/>
        <v>0</v>
      </c>
      <c r="DP113" s="365">
        <f t="shared" si="440"/>
        <v>0</v>
      </c>
      <c r="DQ113" s="365">
        <f t="shared" si="441"/>
        <v>0</v>
      </c>
      <c r="DR113" s="365">
        <f t="shared" si="442"/>
        <v>0</v>
      </c>
      <c r="DS113" s="365">
        <f t="shared" si="443"/>
        <v>0</v>
      </c>
      <c r="DT113" s="365">
        <f t="shared" si="444"/>
        <v>0</v>
      </c>
      <c r="DU113" s="365" t="b">
        <v>1</v>
      </c>
      <c r="DV113" s="365" t="b">
        <v>1</v>
      </c>
      <c r="DW113" s="365" t="b">
        <f>IF(DO113&gt;LARGE($DO113:$DT113,4),TRUE)</f>
        <v>0</v>
      </c>
      <c r="DX113" s="365" t="b">
        <f t="shared" ref="DX113:EB113" si="485">IF(DP113&gt;LARGE($DO113:$DT113,4),TRUE)</f>
        <v>0</v>
      </c>
      <c r="DY113" s="365" t="b">
        <f t="shared" si="485"/>
        <v>0</v>
      </c>
      <c r="DZ113" s="365" t="b">
        <f t="shared" si="485"/>
        <v>0</v>
      </c>
      <c r="EA113" s="365" t="b">
        <f t="shared" si="485"/>
        <v>0</v>
      </c>
      <c r="EB113" s="365" t="b">
        <f t="shared" si="485"/>
        <v>0</v>
      </c>
      <c r="EC113" s="365" t="s">
        <v>435</v>
      </c>
      <c r="ED113" s="365" t="s">
        <v>435</v>
      </c>
      <c r="EE113" s="365" t="s">
        <v>435</v>
      </c>
      <c r="EF113" s="365" t="s">
        <v>435</v>
      </c>
      <c r="EG113" s="365" t="s">
        <v>435</v>
      </c>
      <c r="EH113" s="365" t="s">
        <v>435</v>
      </c>
      <c r="EI113" s="365" t="s">
        <v>435</v>
      </c>
      <c r="EJ113" s="365" t="s">
        <v>435</v>
      </c>
      <c r="EK113" s="365" t="s">
        <v>435</v>
      </c>
      <c r="EL113" s="365" t="s">
        <v>435</v>
      </c>
      <c r="EM113" s="365" t="s">
        <v>435</v>
      </c>
      <c r="EN113" s="365" t="s">
        <v>435</v>
      </c>
      <c r="EO113" s="365" t="s">
        <v>435</v>
      </c>
      <c r="EP113" s="365" t="s">
        <v>435</v>
      </c>
      <c r="EQ113" s="365" t="s">
        <v>435</v>
      </c>
      <c r="ER113" s="365" t="s">
        <v>435</v>
      </c>
      <c r="FA113" s="365" t="s">
        <v>435</v>
      </c>
      <c r="FB113" s="365" t="s">
        <v>435</v>
      </c>
      <c r="FC113" s="365" t="s">
        <v>435</v>
      </c>
      <c r="FD113" s="365" t="s">
        <v>435</v>
      </c>
      <c r="FE113" s="365" t="s">
        <v>435</v>
      </c>
      <c r="FF113" s="365" t="s">
        <v>435</v>
      </c>
      <c r="FG113" s="365" t="s">
        <v>435</v>
      </c>
      <c r="FH113" s="365" t="s">
        <v>435</v>
      </c>
      <c r="FI113" s="365" t="s">
        <v>435</v>
      </c>
      <c r="FJ113" s="365" t="s">
        <v>435</v>
      </c>
      <c r="FK113" s="365" t="s">
        <v>435</v>
      </c>
      <c r="FL113" s="365" t="s">
        <v>435</v>
      </c>
      <c r="FM113" s="365" t="s">
        <v>435</v>
      </c>
      <c r="FN113" s="365" t="s">
        <v>435</v>
      </c>
      <c r="FO113" s="365" t="s">
        <v>435</v>
      </c>
      <c r="FP113" s="365" t="s">
        <v>435</v>
      </c>
    </row>
    <row r="114" spans="1:172" s="95" customFormat="1">
      <c r="A114" s="95" t="s">
        <v>1255</v>
      </c>
      <c r="B114" s="95" t="s">
        <v>253</v>
      </c>
      <c r="C114" s="95" t="s">
        <v>1230</v>
      </c>
      <c r="D114" s="95" t="s">
        <v>1256</v>
      </c>
      <c r="E114" s="386" t="s">
        <v>815</v>
      </c>
      <c r="H114" s="95">
        <v>243</v>
      </c>
      <c r="I114" s="95">
        <v>238</v>
      </c>
      <c r="O114" s="95" t="s">
        <v>2967</v>
      </c>
      <c r="P114" s="95" t="s">
        <v>1244</v>
      </c>
      <c r="Q114" s="95" t="s">
        <v>356</v>
      </c>
      <c r="R114" s="95" t="s">
        <v>1257</v>
      </c>
      <c r="S114" s="95" t="s">
        <v>1177</v>
      </c>
      <c r="T114" s="95">
        <v>70</v>
      </c>
      <c r="U114" s="95" cm="1">
        <f t="array" ref="U114">IFERROR(INDEX('Offer Statistics'!$AZ$2:$AZ$350,MATCH(1,(A114='Offer Statistics'!$AK$2:$AK$350)*($A$11='Offer Statistics'!$AL$2:$AL$350),0)),"/")</f>
        <v>70</v>
      </c>
      <c r="V114" s="95" cm="1">
        <f t="array" ref="V114">IFERROR(INDEX('Offer Statistics'!$AM$2:$AM$350,MATCH(1,(A114='Offer Statistics'!$AK$2:$AK$350)*($A$11='Offer Statistics'!$AL$2:$AL$350),0)),"/")</f>
        <v>324</v>
      </c>
      <c r="W114" s="95" cm="1">
        <f t="array" ref="W114">IFERROR(INDEX('Offer Statistics'!$AU$2:$AU$350,MATCH(1,(A114='Offer Statistics'!$AK$2:$AK$350)*($A$11='Offer Statistics'!$AL$2:$AL$350),0)),"/")</f>
        <v>63</v>
      </c>
      <c r="X114" s="95">
        <f t="shared" si="453"/>
        <v>5.1428571428571432</v>
      </c>
      <c r="Y114" s="95" t="s">
        <v>1177</v>
      </c>
      <c r="Z114" s="95" t="str">
        <f>入學要求!AF123</f>
        <v>/</v>
      </c>
      <c r="AA114" s="95" t="str">
        <f>入學要求!AG123</f>
        <v>/</v>
      </c>
      <c r="AB114" s="412" t="s">
        <v>889</v>
      </c>
      <c r="AC114" s="365" t="s">
        <v>2888</v>
      </c>
      <c r="AD114" s="51"/>
      <c r="AE114" s="364" t="s">
        <v>356</v>
      </c>
      <c r="AF114" s="364" t="s">
        <v>356</v>
      </c>
      <c r="AG114" s="368" t="s">
        <v>2968</v>
      </c>
      <c r="AH114" s="368" t="s">
        <v>1244</v>
      </c>
      <c r="AI114" s="368" t="s">
        <v>356</v>
      </c>
      <c r="AJ114" s="95" t="s">
        <v>356</v>
      </c>
      <c r="AK114" s="95" t="s">
        <v>356</v>
      </c>
      <c r="AL114" s="95" t="s">
        <v>356</v>
      </c>
      <c r="AM114" s="95" t="s">
        <v>356</v>
      </c>
      <c r="AN114" s="95" t="s">
        <v>356</v>
      </c>
      <c r="AO114" s="95" t="s">
        <v>356</v>
      </c>
      <c r="AP114" s="95" t="s">
        <v>356</v>
      </c>
      <c r="AQ114" s="95" t="s">
        <v>356</v>
      </c>
      <c r="AS114" s="95" t="s">
        <v>820</v>
      </c>
      <c r="AU114" s="95" t="s">
        <v>817</v>
      </c>
      <c r="AV114" s="95" t="s">
        <v>356</v>
      </c>
      <c r="AW114" s="95" t="s">
        <v>356</v>
      </c>
      <c r="AX114" s="95" t="s">
        <v>356</v>
      </c>
      <c r="BP114" s="407">
        <f t="shared" si="454"/>
        <v>3.9999999999999998E-11</v>
      </c>
      <c r="BQ114" s="407">
        <f t="shared" si="455"/>
        <v>1.9999999999999999E-11</v>
      </c>
      <c r="BR114" s="407">
        <f t="shared" si="456"/>
        <v>3E-11</v>
      </c>
      <c r="BS114" s="407">
        <f t="shared" si="457"/>
        <v>9.9999999999999994E-12</v>
      </c>
      <c r="BT114" s="407">
        <f t="shared" si="458"/>
        <v>5.0000000000000002E-11</v>
      </c>
      <c r="BU114" s="407">
        <f t="shared" si="459"/>
        <v>6E-11</v>
      </c>
      <c r="BV114" s="407">
        <f t="shared" si="460"/>
        <v>7.0000000000000004E-11</v>
      </c>
      <c r="BW114" s="407">
        <f t="shared" si="461"/>
        <v>7.9999999999999995E-11</v>
      </c>
      <c r="BX114" s="95">
        <f t="shared" si="420"/>
        <v>0</v>
      </c>
      <c r="BY114" s="95">
        <f t="shared" si="421"/>
        <v>0</v>
      </c>
      <c r="BZ114" s="95">
        <f t="shared" si="422"/>
        <v>0</v>
      </c>
      <c r="CA114" s="95">
        <f t="shared" si="423"/>
        <v>0</v>
      </c>
      <c r="CB114" s="95">
        <f t="shared" si="424"/>
        <v>0</v>
      </c>
      <c r="CC114" s="95">
        <f t="shared" si="425"/>
        <v>0</v>
      </c>
      <c r="CD114" s="95">
        <f t="shared" si="426"/>
        <v>0</v>
      </c>
      <c r="CE114" s="95">
        <f t="shared" si="427"/>
        <v>0</v>
      </c>
      <c r="CF114" s="95" t="b">
        <f t="shared" ref="CF114:CF124" si="486">IF($E114="4C2X",TRUE,IF($E114="Best 5",IF(BX114&gt;LARGE($BX114:$CE114,6),TRUE),IF($E114="Best 6",IF(BX114&gt;LARGE($BX114:$CE114,7),TRUE))))</f>
        <v>1</v>
      </c>
      <c r="CG114" s="95" t="b">
        <f t="shared" ref="CG114:CG124" si="487">IF($E114="4C2X",TRUE,IF($E114="Best 5",IF(BY114&gt;LARGE($BX114:$CE114,6),TRUE),IF($E114="Best 6",IF(BY114&gt;LARGE($BX114:$CE114,7),TRUE))))</f>
        <v>1</v>
      </c>
      <c r="CH114" s="95" t="b">
        <f t="shared" ref="CH114:CH124" si="488">IF($E114="4C2X",TRUE,IF($E114="Best 5",IF(BZ114&gt;LARGE($BX114:$CE114,6),TRUE),IF($E114="Best 6",IF(BZ114&gt;LARGE($BX114:$CE114,7),TRUE))))</f>
        <v>1</v>
      </c>
      <c r="CI114" s="95" t="b">
        <f t="shared" ref="CI114:CI124" si="489">IF($E114="4C2X",TRUE,IF($E114="Best 5",IF(CA114&gt;LARGE($BX114:$CE114,6),TRUE),IF($E114="Best 6",IF(CA114&gt;LARGE($BX114:$CE114,7),TRUE))))</f>
        <v>1</v>
      </c>
      <c r="CJ114" s="95" t="b">
        <f t="shared" ref="CJ114:CJ124" si="490">IF($E114="4C2X",IF(CB114&gt;LARGE($CB114:$CE114,3),TRUE),IF($E114="Best 5",IF(CB114&gt;LARGE($BX114:$CE114,6),TRUE),IF($E114="Best 6",IF(CB114&gt;LARGE($BX114:$CE114,7),TRUE))))</f>
        <v>0</v>
      </c>
      <c r="CK114" s="95" t="b">
        <f t="shared" ref="CK114:CK124" si="491">IF($E114="4C2X",IF(CC114&gt;LARGE($CB114:$CE114,3),TRUE),IF($E114="Best 5",IF(CC114&gt;LARGE($BX114:$CE114,6),TRUE),IF($E114="Best 6",IF(CC114&gt;LARGE($BX114:$CE114,7),TRUE))))</f>
        <v>0</v>
      </c>
      <c r="CL114" s="95" t="b">
        <f t="shared" ref="CL114:CL124" si="492">IF($E114="4C2X",IF(CD114&gt;LARGE($CB114:$CE114,3),TRUE),IF($E114="Best 5",IF(CD114&gt;LARGE($BX114:$CE114,6),TRUE),IF($E114="Best 6",IF(CD114&gt;LARGE($BX114:$CE114,7),TRUE))))</f>
        <v>0</v>
      </c>
      <c r="CM114" s="95" t="b">
        <f t="shared" ref="CM114:CM124" si="493">IF($E114="4C2X",IF(CE114&gt;LARGE($CB114:$CE114,3),TRUE),IF($E114="Best 5",IF(CE114&gt;LARGE($BX114:$CE114,6),TRUE),IF($E114="Best 6",IF(CE114&gt;LARGE($BX114:$CE114,7),TRUE))))</f>
        <v>0</v>
      </c>
      <c r="DE114" s="222">
        <f t="shared" si="436"/>
        <v>9.9999999999999994E-12</v>
      </c>
      <c r="DF114" s="222">
        <f t="shared" si="462"/>
        <v>1.9999999999999999E-11</v>
      </c>
      <c r="DG114" s="222">
        <f t="shared" si="463"/>
        <v>3E-11</v>
      </c>
      <c r="DH114" s="222">
        <f t="shared" si="464"/>
        <v>3.9999999999999998E-11</v>
      </c>
      <c r="DI114" s="222">
        <f t="shared" si="465"/>
        <v>5.0000000000000002E-11</v>
      </c>
      <c r="DJ114" s="222">
        <f t="shared" si="466"/>
        <v>6E-11</v>
      </c>
      <c r="DK114" s="222">
        <f t="shared" si="467"/>
        <v>7.0000000000000004E-11</v>
      </c>
      <c r="DL114" s="222">
        <f t="shared" si="468"/>
        <v>7.9999999999999995E-11</v>
      </c>
      <c r="DM114" s="95">
        <f t="shared" si="437"/>
        <v>0</v>
      </c>
      <c r="DN114" s="95">
        <f t="shared" si="438"/>
        <v>0</v>
      </c>
      <c r="DO114" s="95">
        <f t="shared" si="439"/>
        <v>0</v>
      </c>
      <c r="DP114" s="95">
        <f t="shared" si="440"/>
        <v>0</v>
      </c>
      <c r="DQ114" s="95">
        <f t="shared" si="441"/>
        <v>0</v>
      </c>
      <c r="DR114" s="95">
        <f t="shared" si="442"/>
        <v>0</v>
      </c>
      <c r="DS114" s="95">
        <f t="shared" si="443"/>
        <v>0</v>
      </c>
      <c r="DT114" s="95">
        <f t="shared" si="444"/>
        <v>0</v>
      </c>
      <c r="DU114" s="95" t="b">
        <f t="shared" ref="DU114:DU124" si="494">IF($E114="4C2X",TRUE,IF($E114="Best 5",IF(DM114&gt;LARGE($DM114:$DT114,6),TRUE),IF($E114="Best 6",IF(DM114&gt;LARGE($DM114:$DT114,7),TRUE))))</f>
        <v>1</v>
      </c>
      <c r="DV114" s="95" t="b">
        <f t="shared" ref="DV114:DV124" si="495">IF($E114="4C2X",TRUE,IF($E114="Best 5",IF(DN114&gt;LARGE($DM114:$DT114,6),TRUE),IF($E114="Best 6",IF(DN114&gt;LARGE($DM114:$DT114,7),TRUE))))</f>
        <v>1</v>
      </c>
      <c r="DW114" s="95" t="b">
        <f t="shared" ref="DW114:DW124" si="496">IF($E114="4C2X",TRUE,IF($E114="Best 5",IF(DO114&gt;LARGE($DM114:$DT114,6),TRUE),IF($E114="Best 6",IF(DO114&gt;LARGE($DM114:$DT114,7),TRUE))))</f>
        <v>1</v>
      </c>
      <c r="DX114" s="95" t="b">
        <f t="shared" ref="DX114:DX124" si="497">IF($E114="4C2X",TRUE,IF($E114="Best 5",IF(DP114&gt;LARGE($DM114:$DT114,6),TRUE),IF($E114="Best 6",IF(DP114&gt;LARGE($DM114:$DT114,7),TRUE))))</f>
        <v>1</v>
      </c>
      <c r="DY114" s="95" t="b">
        <f t="shared" ref="DY114:DY124" si="498">IF($E114="4C2X",IF(DQ114&gt;LARGE($DQ114:$DT114,3),TRUE),IF($E114="Best 5",IF(DQ114&gt;LARGE($DM114:$DT114,6),TRUE),IF($E114="Best 6",IF(DQ114&gt;LARGE($DM114:$DT114,7),TRUE))))</f>
        <v>0</v>
      </c>
      <c r="DZ114" s="95" t="b">
        <f t="shared" ref="DZ114:DZ124" si="499">IF($E114="4C2X",IF(DR114&gt;LARGE($DQ114:$DT114,3),TRUE),IF($E114="Best 5",IF(DR114&gt;LARGE($DM114:$DT114,6),TRUE),IF($E114="Best 6",IF(DR114&gt;LARGE($DM114:$DT114,7),TRUE))))</f>
        <v>0</v>
      </c>
      <c r="EA114" s="95" t="b">
        <f t="shared" ref="EA114:EA124" si="500">IF($E114="4C2X",IF(DS114&gt;LARGE($DQ114:$DT114,3),TRUE),IF($E114="Best 5",IF(DS114&gt;LARGE($DM114:$DT114,6),TRUE),IF($E114="Best 6",IF(DS114&gt;LARGE($DM114:$DT114,7),TRUE))))</f>
        <v>0</v>
      </c>
      <c r="EB114" s="95" t="b">
        <f t="shared" ref="EB114:EB124" si="501">IF($E114="4C2X",IF(DT114&gt;LARGE($DQ114:$DT114,3),TRUE),IF($E114="Best 5",IF(DT114&gt;LARGE($DM114:$DT114,6),TRUE),IF($E114="Best 6",IF(DT114&gt;LARGE($DM114:$DT114,7),TRUE))))</f>
        <v>0</v>
      </c>
      <c r="EC114" s="95" t="s">
        <v>435</v>
      </c>
      <c r="ED114" s="95" t="s">
        <v>435</v>
      </c>
      <c r="EE114" s="95" t="s">
        <v>435</v>
      </c>
      <c r="EF114" s="95" t="s">
        <v>435</v>
      </c>
      <c r="EG114" s="95" t="s">
        <v>435</v>
      </c>
      <c r="EH114" s="95" t="s">
        <v>435</v>
      </c>
      <c r="EI114" s="95" t="s">
        <v>435</v>
      </c>
      <c r="EJ114" s="95" t="s">
        <v>435</v>
      </c>
      <c r="EK114" s="95" t="s">
        <v>435</v>
      </c>
      <c r="EL114" s="95" t="s">
        <v>435</v>
      </c>
      <c r="EM114" s="95" t="s">
        <v>435</v>
      </c>
      <c r="EN114" s="95" t="s">
        <v>435</v>
      </c>
      <c r="EO114" s="95" t="s">
        <v>435</v>
      </c>
      <c r="EP114" s="95" t="s">
        <v>435</v>
      </c>
      <c r="EQ114" s="95" t="s">
        <v>435</v>
      </c>
      <c r="ER114" s="95" t="s">
        <v>435</v>
      </c>
      <c r="FA114" s="95" t="s">
        <v>435</v>
      </c>
      <c r="FB114" s="95" t="s">
        <v>435</v>
      </c>
      <c r="FC114" s="95" t="s">
        <v>435</v>
      </c>
      <c r="FD114" s="95" t="s">
        <v>435</v>
      </c>
      <c r="FE114" s="95" t="s">
        <v>435</v>
      </c>
      <c r="FF114" s="95" t="s">
        <v>435</v>
      </c>
      <c r="FG114" s="95" t="s">
        <v>435</v>
      </c>
      <c r="FH114" s="95" t="s">
        <v>435</v>
      </c>
      <c r="FI114" s="95" t="s">
        <v>435</v>
      </c>
      <c r="FJ114" s="95" t="s">
        <v>435</v>
      </c>
      <c r="FK114" s="95" t="s">
        <v>435</v>
      </c>
      <c r="FL114" s="95" t="s">
        <v>435</v>
      </c>
      <c r="FM114" s="95" t="s">
        <v>435</v>
      </c>
      <c r="FN114" s="95" t="s">
        <v>435</v>
      </c>
      <c r="FO114" s="95" t="s">
        <v>435</v>
      </c>
      <c r="FP114" s="95" t="s">
        <v>435</v>
      </c>
    </row>
    <row r="115" spans="1:172" s="95" customFormat="1">
      <c r="A115" s="95" t="s">
        <v>1258</v>
      </c>
      <c r="B115" s="95" t="s">
        <v>253</v>
      </c>
      <c r="C115" s="95" t="s">
        <v>1230</v>
      </c>
      <c r="D115" s="95" t="s">
        <v>1259</v>
      </c>
      <c r="E115" s="386" t="s">
        <v>828</v>
      </c>
      <c r="H115" s="95">
        <v>330</v>
      </c>
      <c r="I115" s="95">
        <v>328.5</v>
      </c>
      <c r="O115" s="95" t="s">
        <v>2930</v>
      </c>
      <c r="P115" s="95" t="s">
        <v>2960</v>
      </c>
      <c r="Q115" s="95" t="s">
        <v>2922</v>
      </c>
      <c r="R115" s="95" t="s">
        <v>1260</v>
      </c>
      <c r="S115" s="95" t="s">
        <v>1177</v>
      </c>
      <c r="T115" s="95">
        <v>60</v>
      </c>
      <c r="U115" s="95" cm="1">
        <f t="array" ref="U115">IFERROR(INDEX('Offer Statistics'!$AZ$2:$AZ$350,MATCH(1,(A115='Offer Statistics'!$AK$2:$AK$350)*($A$11='Offer Statistics'!$AL$2:$AL$350),0)),"/")</f>
        <v>67</v>
      </c>
      <c r="V115" s="95" cm="1">
        <f t="array" ref="V115">IFERROR(INDEX('Offer Statistics'!$AM$2:$AM$350,MATCH(1,(A115='Offer Statistics'!$AK$2:$AK$350)*($A$11='Offer Statistics'!$AL$2:$AL$350),0)),"/")</f>
        <v>370</v>
      </c>
      <c r="W115" s="95" cm="1">
        <f t="array" ref="W115">IFERROR(INDEX('Offer Statistics'!$AU$2:$AU$350,MATCH(1,(A115='Offer Statistics'!$AK$2:$AK$350)*($A$11='Offer Statistics'!$AL$2:$AL$350),0)),"/")</f>
        <v>66</v>
      </c>
      <c r="X115" s="95">
        <f t="shared" si="453"/>
        <v>5.6060606060606064</v>
      </c>
      <c r="Y115" s="95" t="s">
        <v>1177</v>
      </c>
      <c r="Z115" s="95" t="str">
        <f>入學要求!AF124</f>
        <v>/</v>
      </c>
      <c r="AA115" s="95" t="str">
        <f>入學要求!AG124</f>
        <v>/</v>
      </c>
      <c r="AB115" s="401" t="s">
        <v>889</v>
      </c>
      <c r="AC115" s="365"/>
      <c r="AD115" s="51"/>
      <c r="AE115" s="364" t="s">
        <v>356</v>
      </c>
      <c r="AF115" s="364" t="s">
        <v>356</v>
      </c>
      <c r="AG115" s="368" t="s">
        <v>2930</v>
      </c>
      <c r="AH115" s="368" t="s">
        <v>2961</v>
      </c>
      <c r="AI115" s="368" t="s">
        <v>2922</v>
      </c>
      <c r="AJ115" s="95" t="s">
        <v>356</v>
      </c>
      <c r="AK115" s="95" t="s">
        <v>356</v>
      </c>
      <c r="AL115" s="95" t="s">
        <v>356</v>
      </c>
      <c r="AM115" s="95" t="s">
        <v>356</v>
      </c>
      <c r="AN115" s="95" t="s">
        <v>356</v>
      </c>
      <c r="AO115" s="95" t="s">
        <v>356</v>
      </c>
      <c r="AP115" s="95" t="s">
        <v>356</v>
      </c>
      <c r="AQ115" s="95" t="s">
        <v>356</v>
      </c>
      <c r="AS115" s="95" t="s">
        <v>820</v>
      </c>
      <c r="AU115" s="95" t="s">
        <v>817</v>
      </c>
      <c r="AV115" s="95" t="s">
        <v>356</v>
      </c>
      <c r="AW115" s="95" t="s">
        <v>356</v>
      </c>
      <c r="AX115" s="95" t="s">
        <v>356</v>
      </c>
      <c r="BP115" s="407">
        <f t="shared" si="454"/>
        <v>3.9999999999999998E-11</v>
      </c>
      <c r="BQ115" s="407">
        <f t="shared" si="455"/>
        <v>1.9999999999999999E-11</v>
      </c>
      <c r="BR115" s="407">
        <f t="shared" si="456"/>
        <v>3E-11</v>
      </c>
      <c r="BS115" s="407">
        <f t="shared" si="457"/>
        <v>9.9999999999999994E-12</v>
      </c>
      <c r="BT115" s="407">
        <f t="shared" si="458"/>
        <v>5.0000000000000002E-11</v>
      </c>
      <c r="BU115" s="407">
        <f t="shared" si="459"/>
        <v>6E-11</v>
      </c>
      <c r="BV115" s="407">
        <f t="shared" si="460"/>
        <v>7.0000000000000004E-11</v>
      </c>
      <c r="BW115" s="407">
        <f t="shared" si="461"/>
        <v>7.9999999999999995E-11</v>
      </c>
      <c r="BX115" s="95">
        <f t="shared" si="420"/>
        <v>0</v>
      </c>
      <c r="BY115" s="95">
        <f t="shared" si="421"/>
        <v>0</v>
      </c>
      <c r="BZ115" s="95">
        <f t="shared" si="422"/>
        <v>0</v>
      </c>
      <c r="CA115" s="95">
        <f t="shared" si="423"/>
        <v>0</v>
      </c>
      <c r="CB115" s="95">
        <f t="shared" si="424"/>
        <v>0</v>
      </c>
      <c r="CC115" s="95">
        <f t="shared" si="425"/>
        <v>0</v>
      </c>
      <c r="CD115" s="95">
        <f t="shared" si="426"/>
        <v>0</v>
      </c>
      <c r="CE115" s="95">
        <f t="shared" si="427"/>
        <v>0</v>
      </c>
      <c r="CF115" s="95" t="b">
        <f t="shared" si="486"/>
        <v>0</v>
      </c>
      <c r="CG115" s="95" t="b">
        <f t="shared" si="487"/>
        <v>0</v>
      </c>
      <c r="CH115" s="95" t="b">
        <f t="shared" si="488"/>
        <v>0</v>
      </c>
      <c r="CI115" s="95" t="b">
        <f t="shared" si="489"/>
        <v>0</v>
      </c>
      <c r="CJ115" s="95" t="b">
        <f t="shared" si="490"/>
        <v>0</v>
      </c>
      <c r="CK115" s="95" t="b">
        <f t="shared" si="491"/>
        <v>0</v>
      </c>
      <c r="CL115" s="95" t="b">
        <f t="shared" si="492"/>
        <v>0</v>
      </c>
      <c r="CM115" s="95" t="b">
        <f t="shared" si="493"/>
        <v>0</v>
      </c>
      <c r="DE115" s="222">
        <f t="shared" si="436"/>
        <v>9.9999999999999994E-12</v>
      </c>
      <c r="DF115" s="222">
        <f t="shared" si="462"/>
        <v>1.9999999999999999E-11</v>
      </c>
      <c r="DG115" s="222">
        <f t="shared" si="463"/>
        <v>3E-11</v>
      </c>
      <c r="DH115" s="222">
        <f t="shared" si="464"/>
        <v>3.9999999999999998E-11</v>
      </c>
      <c r="DI115" s="222">
        <f t="shared" si="465"/>
        <v>5.0000000000000002E-11</v>
      </c>
      <c r="DJ115" s="222">
        <f t="shared" si="466"/>
        <v>6E-11</v>
      </c>
      <c r="DK115" s="222">
        <f t="shared" si="467"/>
        <v>7.0000000000000004E-11</v>
      </c>
      <c r="DL115" s="222">
        <f t="shared" si="468"/>
        <v>7.9999999999999995E-11</v>
      </c>
      <c r="DM115" s="95">
        <f t="shared" si="437"/>
        <v>0</v>
      </c>
      <c r="DN115" s="95">
        <f t="shared" si="438"/>
        <v>0</v>
      </c>
      <c r="DO115" s="95">
        <f t="shared" si="439"/>
        <v>0</v>
      </c>
      <c r="DP115" s="95">
        <f t="shared" si="440"/>
        <v>0</v>
      </c>
      <c r="DQ115" s="95">
        <f t="shared" si="441"/>
        <v>0</v>
      </c>
      <c r="DR115" s="95">
        <f t="shared" si="442"/>
        <v>0</v>
      </c>
      <c r="DS115" s="95">
        <f t="shared" si="443"/>
        <v>0</v>
      </c>
      <c r="DT115" s="95">
        <f t="shared" si="444"/>
        <v>0</v>
      </c>
      <c r="DU115" s="95" t="b">
        <f t="shared" si="494"/>
        <v>0</v>
      </c>
      <c r="DV115" s="95" t="b">
        <f t="shared" si="495"/>
        <v>0</v>
      </c>
      <c r="DW115" s="95" t="b">
        <f t="shared" si="496"/>
        <v>0</v>
      </c>
      <c r="DX115" s="95" t="b">
        <f t="shared" si="497"/>
        <v>0</v>
      </c>
      <c r="DY115" s="95" t="b">
        <f t="shared" si="498"/>
        <v>0</v>
      </c>
      <c r="DZ115" s="95" t="b">
        <f t="shared" si="499"/>
        <v>0</v>
      </c>
      <c r="EA115" s="95" t="b">
        <f t="shared" si="500"/>
        <v>0</v>
      </c>
      <c r="EB115" s="95" t="b">
        <f t="shared" si="501"/>
        <v>0</v>
      </c>
      <c r="EC115" s="95" t="s">
        <v>435</v>
      </c>
      <c r="ED115" s="95" t="s">
        <v>435</v>
      </c>
      <c r="EE115" s="95" t="s">
        <v>435</v>
      </c>
      <c r="EF115" s="95" t="s">
        <v>435</v>
      </c>
      <c r="EG115" s="95" t="s">
        <v>435</v>
      </c>
      <c r="EH115" s="95" t="s">
        <v>435</v>
      </c>
      <c r="EI115" s="95" t="s">
        <v>435</v>
      </c>
      <c r="EJ115" s="95" t="s">
        <v>435</v>
      </c>
      <c r="EK115" s="95" t="s">
        <v>435</v>
      </c>
      <c r="EL115" s="95" t="s">
        <v>435</v>
      </c>
      <c r="EM115" s="95" t="s">
        <v>435</v>
      </c>
      <c r="EN115" s="95" t="s">
        <v>435</v>
      </c>
      <c r="EO115" s="95" t="s">
        <v>435</v>
      </c>
      <c r="EP115" s="95" t="s">
        <v>435</v>
      </c>
      <c r="EQ115" s="95" t="s">
        <v>435</v>
      </c>
      <c r="ER115" s="95" t="s">
        <v>435</v>
      </c>
      <c r="FA115" s="95" t="s">
        <v>435</v>
      </c>
      <c r="FB115" s="95" t="s">
        <v>435</v>
      </c>
      <c r="FC115" s="95" t="s">
        <v>435</v>
      </c>
      <c r="FD115" s="95" t="s">
        <v>435</v>
      </c>
      <c r="FE115" s="95" t="s">
        <v>435</v>
      </c>
      <c r="FF115" s="95" t="s">
        <v>435</v>
      </c>
      <c r="FG115" s="95" t="s">
        <v>435</v>
      </c>
      <c r="FH115" s="95" t="s">
        <v>435</v>
      </c>
      <c r="FI115" s="95" t="s">
        <v>435</v>
      </c>
      <c r="FJ115" s="95" t="s">
        <v>435</v>
      </c>
      <c r="FK115" s="95" t="s">
        <v>435</v>
      </c>
      <c r="FL115" s="95" t="s">
        <v>435</v>
      </c>
      <c r="FM115" s="95" t="s">
        <v>435</v>
      </c>
      <c r="FN115" s="95" t="s">
        <v>435</v>
      </c>
      <c r="FO115" s="95" t="s">
        <v>435</v>
      </c>
      <c r="FP115" s="95" t="s">
        <v>435</v>
      </c>
    </row>
    <row r="116" spans="1:172" s="95" customFormat="1">
      <c r="A116" s="95" t="s">
        <v>1261</v>
      </c>
      <c r="B116" s="95" t="s">
        <v>253</v>
      </c>
      <c r="C116" s="95" t="s">
        <v>1214</v>
      </c>
      <c r="D116" s="95" t="s">
        <v>1262</v>
      </c>
      <c r="E116" s="386" t="s">
        <v>889</v>
      </c>
      <c r="H116" s="95">
        <v>146</v>
      </c>
      <c r="I116" s="95">
        <v>144.5</v>
      </c>
      <c r="O116" s="95" t="s">
        <v>2921</v>
      </c>
      <c r="P116" s="95" t="s">
        <v>2913</v>
      </c>
      <c r="Q116" s="95" t="s">
        <v>2922</v>
      </c>
      <c r="R116" s="95" t="s">
        <v>1263</v>
      </c>
      <c r="S116" s="95" t="s">
        <v>1177</v>
      </c>
      <c r="T116" s="95">
        <v>52</v>
      </c>
      <c r="U116" s="95" cm="1">
        <f t="array" ref="U116">IFERROR(INDEX('Offer Statistics'!$AZ$2:$AZ$350,MATCH(1,(A116='Offer Statistics'!$AK$2:$AK$350)*($A$11='Offer Statistics'!$AL$2:$AL$350),0)),"/")</f>
        <v>45</v>
      </c>
      <c r="V116" s="95" cm="1">
        <f t="array" ref="V116">IFERROR(INDEX('Offer Statistics'!$AM$2:$AM$350,MATCH(1,(A116='Offer Statistics'!$AK$2:$AK$350)*($A$11='Offer Statistics'!$AL$2:$AL$350),0)),"/")</f>
        <v>413</v>
      </c>
      <c r="W116" s="95" cm="1">
        <f t="array" ref="W116">IFERROR(INDEX('Offer Statistics'!$AU$2:$AU$350,MATCH(1,(A116='Offer Statistics'!$AK$2:$AK$350)*($A$11='Offer Statistics'!$AL$2:$AL$350),0)),"/")</f>
        <v>30</v>
      </c>
      <c r="X116" s="95">
        <f t="shared" si="453"/>
        <v>13.766666666666667</v>
      </c>
      <c r="Y116" s="95" t="s">
        <v>1177</v>
      </c>
      <c r="Z116" s="95" t="str">
        <f>入學要求!AF125</f>
        <v>/</v>
      </c>
      <c r="AA116" s="95" t="str">
        <f>入學要求!AG125</f>
        <v>/</v>
      </c>
      <c r="AB116" s="368" t="s">
        <v>889</v>
      </c>
      <c r="AC116" s="365"/>
      <c r="AD116" s="51"/>
      <c r="AE116" s="364" t="s">
        <v>356</v>
      </c>
      <c r="AF116" s="364" t="s">
        <v>356</v>
      </c>
      <c r="AG116" s="368" t="s">
        <v>2921</v>
      </c>
      <c r="AH116" s="368" t="s">
        <v>2907</v>
      </c>
      <c r="AI116" s="368" t="s">
        <v>2922</v>
      </c>
      <c r="AJ116" s="95" t="s">
        <v>356</v>
      </c>
      <c r="AK116" s="95" t="s">
        <v>356</v>
      </c>
      <c r="AL116" s="95" t="s">
        <v>356</v>
      </c>
      <c r="AM116" s="95" t="s">
        <v>356</v>
      </c>
      <c r="AN116" s="95" t="s">
        <v>356</v>
      </c>
      <c r="AO116" s="95" t="s">
        <v>356</v>
      </c>
      <c r="AP116" s="95" t="s">
        <v>356</v>
      </c>
      <c r="AQ116" s="95" t="s">
        <v>356</v>
      </c>
      <c r="AS116" s="95" t="s">
        <v>820</v>
      </c>
      <c r="AU116" s="95" t="s">
        <v>817</v>
      </c>
      <c r="AV116" s="95" t="s">
        <v>356</v>
      </c>
      <c r="AW116" s="95" t="s">
        <v>356</v>
      </c>
      <c r="AX116" s="95" t="s">
        <v>356</v>
      </c>
      <c r="BP116" s="407">
        <f t="shared" si="454"/>
        <v>3.9999999999999998E-11</v>
      </c>
      <c r="BQ116" s="407">
        <f t="shared" si="455"/>
        <v>1.9999999999999999E-11</v>
      </c>
      <c r="BR116" s="407">
        <f t="shared" si="456"/>
        <v>3E-11</v>
      </c>
      <c r="BS116" s="407">
        <f t="shared" si="457"/>
        <v>9.9999999999999994E-12</v>
      </c>
      <c r="BT116" s="407">
        <f t="shared" si="458"/>
        <v>5.0000000000000002E-11</v>
      </c>
      <c r="BU116" s="407">
        <f t="shared" si="459"/>
        <v>6E-11</v>
      </c>
      <c r="BV116" s="407">
        <f t="shared" si="460"/>
        <v>7.0000000000000004E-11</v>
      </c>
      <c r="BW116" s="407">
        <f t="shared" si="461"/>
        <v>7.9999999999999995E-11</v>
      </c>
      <c r="BX116" s="95">
        <f t="shared" si="420"/>
        <v>0</v>
      </c>
      <c r="BY116" s="95">
        <f t="shared" si="421"/>
        <v>0</v>
      </c>
      <c r="BZ116" s="95">
        <f t="shared" si="422"/>
        <v>0</v>
      </c>
      <c r="CA116" s="95">
        <f t="shared" si="423"/>
        <v>0</v>
      </c>
      <c r="CB116" s="95">
        <f t="shared" si="424"/>
        <v>0</v>
      </c>
      <c r="CC116" s="95">
        <f t="shared" si="425"/>
        <v>0</v>
      </c>
      <c r="CD116" s="95">
        <f t="shared" si="426"/>
        <v>0</v>
      </c>
      <c r="CE116" s="95">
        <f t="shared" si="427"/>
        <v>0</v>
      </c>
      <c r="CF116" s="95" t="b">
        <f t="shared" si="486"/>
        <v>0</v>
      </c>
      <c r="CG116" s="95" t="b">
        <f t="shared" si="487"/>
        <v>0</v>
      </c>
      <c r="CH116" s="95" t="b">
        <f t="shared" si="488"/>
        <v>0</v>
      </c>
      <c r="CI116" s="95" t="b">
        <f t="shared" si="489"/>
        <v>0</v>
      </c>
      <c r="CJ116" s="95" t="b">
        <f t="shared" si="490"/>
        <v>0</v>
      </c>
      <c r="CK116" s="95" t="b">
        <f t="shared" si="491"/>
        <v>0</v>
      </c>
      <c r="CL116" s="95" t="b">
        <f t="shared" si="492"/>
        <v>0</v>
      </c>
      <c r="CM116" s="95" t="b">
        <f t="shared" si="493"/>
        <v>0</v>
      </c>
      <c r="DE116" s="222">
        <f t="shared" si="436"/>
        <v>9.9999999999999994E-12</v>
      </c>
      <c r="DF116" s="222">
        <f t="shared" si="462"/>
        <v>1.9999999999999999E-11</v>
      </c>
      <c r="DG116" s="222">
        <f t="shared" si="463"/>
        <v>3E-11</v>
      </c>
      <c r="DH116" s="222">
        <f t="shared" si="464"/>
        <v>3.9999999999999998E-11</v>
      </c>
      <c r="DI116" s="222">
        <f t="shared" si="465"/>
        <v>5.0000000000000002E-11</v>
      </c>
      <c r="DJ116" s="222">
        <f t="shared" si="466"/>
        <v>6E-11</v>
      </c>
      <c r="DK116" s="222">
        <f t="shared" si="467"/>
        <v>7.0000000000000004E-11</v>
      </c>
      <c r="DL116" s="222">
        <f t="shared" si="468"/>
        <v>7.9999999999999995E-11</v>
      </c>
      <c r="DM116" s="95">
        <f t="shared" si="437"/>
        <v>0</v>
      </c>
      <c r="DN116" s="95">
        <f t="shared" si="438"/>
        <v>0</v>
      </c>
      <c r="DO116" s="95">
        <f t="shared" si="439"/>
        <v>0</v>
      </c>
      <c r="DP116" s="95">
        <f t="shared" si="440"/>
        <v>0</v>
      </c>
      <c r="DQ116" s="95">
        <f t="shared" si="441"/>
        <v>0</v>
      </c>
      <c r="DR116" s="95">
        <f t="shared" si="442"/>
        <v>0</v>
      </c>
      <c r="DS116" s="95">
        <f t="shared" si="443"/>
        <v>0</v>
      </c>
      <c r="DT116" s="95">
        <f t="shared" si="444"/>
        <v>0</v>
      </c>
      <c r="DU116" s="95" t="b">
        <f t="shared" si="494"/>
        <v>0</v>
      </c>
      <c r="DV116" s="95" t="b">
        <f t="shared" si="495"/>
        <v>0</v>
      </c>
      <c r="DW116" s="95" t="b">
        <f t="shared" si="496"/>
        <v>0</v>
      </c>
      <c r="DX116" s="95" t="b">
        <f t="shared" si="497"/>
        <v>0</v>
      </c>
      <c r="DY116" s="95" t="b">
        <f t="shared" si="498"/>
        <v>0</v>
      </c>
      <c r="DZ116" s="95" t="b">
        <f t="shared" si="499"/>
        <v>0</v>
      </c>
      <c r="EA116" s="95" t="b">
        <f t="shared" si="500"/>
        <v>0</v>
      </c>
      <c r="EB116" s="95" t="b">
        <f t="shared" si="501"/>
        <v>0</v>
      </c>
      <c r="EC116" s="95" t="s">
        <v>435</v>
      </c>
      <c r="ED116" s="95" t="s">
        <v>435</v>
      </c>
      <c r="EE116" s="95" t="s">
        <v>435</v>
      </c>
      <c r="EF116" s="95" t="s">
        <v>435</v>
      </c>
      <c r="EG116" s="95" t="s">
        <v>435</v>
      </c>
      <c r="EH116" s="95" t="s">
        <v>435</v>
      </c>
      <c r="EI116" s="95" t="s">
        <v>435</v>
      </c>
      <c r="EJ116" s="95" t="s">
        <v>435</v>
      </c>
      <c r="EK116" s="95" t="s">
        <v>435</v>
      </c>
      <c r="EL116" s="95" t="s">
        <v>435</v>
      </c>
      <c r="EM116" s="95" t="s">
        <v>435</v>
      </c>
      <c r="EN116" s="95" t="s">
        <v>435</v>
      </c>
      <c r="EO116" s="95" t="s">
        <v>435</v>
      </c>
      <c r="EP116" s="95" t="s">
        <v>435</v>
      </c>
      <c r="EQ116" s="95" t="s">
        <v>435</v>
      </c>
      <c r="ER116" s="95" t="s">
        <v>435</v>
      </c>
      <c r="FA116" s="95" t="s">
        <v>435</v>
      </c>
      <c r="FB116" s="95" t="s">
        <v>435</v>
      </c>
      <c r="FC116" s="95" t="s">
        <v>435</v>
      </c>
      <c r="FD116" s="95" t="s">
        <v>435</v>
      </c>
      <c r="FE116" s="95" t="s">
        <v>435</v>
      </c>
      <c r="FF116" s="95" t="s">
        <v>435</v>
      </c>
      <c r="FG116" s="95" t="s">
        <v>435</v>
      </c>
      <c r="FH116" s="95" t="s">
        <v>435</v>
      </c>
      <c r="FI116" s="95" t="s">
        <v>435</v>
      </c>
      <c r="FJ116" s="95" t="s">
        <v>435</v>
      </c>
      <c r="FK116" s="95" t="s">
        <v>435</v>
      </c>
      <c r="FL116" s="95" t="s">
        <v>435</v>
      </c>
      <c r="FM116" s="95" t="s">
        <v>435</v>
      </c>
      <c r="FN116" s="95" t="s">
        <v>435</v>
      </c>
      <c r="FO116" s="95" t="s">
        <v>435</v>
      </c>
      <c r="FP116" s="95" t="s">
        <v>435</v>
      </c>
    </row>
    <row r="117" spans="1:172" s="95" customFormat="1">
      <c r="A117" s="95" t="s">
        <v>1264</v>
      </c>
      <c r="B117" s="95" t="s">
        <v>253</v>
      </c>
      <c r="C117" s="95" t="s">
        <v>1265</v>
      </c>
      <c r="D117" s="95" t="s">
        <v>1266</v>
      </c>
      <c r="E117" s="386" t="s">
        <v>889</v>
      </c>
      <c r="H117" s="95">
        <v>220</v>
      </c>
      <c r="I117" s="95">
        <v>210</v>
      </c>
      <c r="O117" s="95" t="s">
        <v>2931</v>
      </c>
      <c r="P117" s="95" t="s">
        <v>1268</v>
      </c>
      <c r="Q117" s="95" t="s">
        <v>2922</v>
      </c>
      <c r="R117" s="95" t="s">
        <v>1267</v>
      </c>
      <c r="S117" s="95" t="s">
        <v>1177</v>
      </c>
      <c r="T117" s="95">
        <v>80</v>
      </c>
      <c r="U117" s="95" cm="1">
        <f t="array" ref="U117">IFERROR(INDEX('Offer Statistics'!$AZ$2:$AZ$350,MATCH(1,(A117='Offer Statistics'!$AK$2:$AK$350)*($A$11='Offer Statistics'!$AL$2:$AL$350),0)),"/")</f>
        <v>74</v>
      </c>
      <c r="V117" s="95" cm="1">
        <f t="array" ref="V117">IFERROR(INDEX('Offer Statistics'!$AM$2:$AM$350,MATCH(1,(A117='Offer Statistics'!$AK$2:$AK$350)*($A$11='Offer Statistics'!$AL$2:$AL$350),0)),"/")</f>
        <v>964</v>
      </c>
      <c r="W117" s="95" cm="1">
        <f t="array" ref="W117">IFERROR(INDEX('Offer Statistics'!$AU$2:$AU$350,MATCH(1,(A117='Offer Statistics'!$AK$2:$AK$350)*($A$11='Offer Statistics'!$AL$2:$AL$350),0)),"/")</f>
        <v>74</v>
      </c>
      <c r="X117" s="95">
        <f t="shared" si="453"/>
        <v>13.027027027027026</v>
      </c>
      <c r="Y117" s="95" t="s">
        <v>1177</v>
      </c>
      <c r="Z117" s="95" t="str">
        <f>入學要求!AF126</f>
        <v>/</v>
      </c>
      <c r="AA117" s="95" t="str">
        <f>入學要求!AG126</f>
        <v>/</v>
      </c>
      <c r="AB117" s="368" t="s">
        <v>889</v>
      </c>
      <c r="AC117" s="365"/>
      <c r="AD117" s="51"/>
      <c r="AE117" s="364" t="s">
        <v>356</v>
      </c>
      <c r="AF117" s="414" t="s">
        <v>356</v>
      </c>
      <c r="AG117" s="368" t="s">
        <v>2937</v>
      </c>
      <c r="AH117" s="368" t="s">
        <v>1268</v>
      </c>
      <c r="AI117" s="368" t="s">
        <v>2922</v>
      </c>
      <c r="AJ117" s="95" t="s">
        <v>356</v>
      </c>
      <c r="AK117" s="95" t="s">
        <v>356</v>
      </c>
      <c r="AL117" s="95" t="s">
        <v>356</v>
      </c>
      <c r="AM117" s="95" t="s">
        <v>356</v>
      </c>
      <c r="AN117" s="95" t="s">
        <v>356</v>
      </c>
      <c r="AO117" s="95" t="s">
        <v>356</v>
      </c>
      <c r="AP117" s="95" t="s">
        <v>356</v>
      </c>
      <c r="AQ117" s="95" t="s">
        <v>356</v>
      </c>
      <c r="AS117" s="95" t="s">
        <v>820</v>
      </c>
      <c r="AU117" s="95" t="s">
        <v>817</v>
      </c>
      <c r="AV117" s="95" t="s">
        <v>356</v>
      </c>
      <c r="AW117" s="95" t="s">
        <v>356</v>
      </c>
      <c r="AX117" s="95" t="s">
        <v>356</v>
      </c>
      <c r="BP117" s="407">
        <f t="shared" si="454"/>
        <v>3.9999999999999998E-11</v>
      </c>
      <c r="BQ117" s="407">
        <f t="shared" si="455"/>
        <v>1.9999999999999999E-11</v>
      </c>
      <c r="BR117" s="407">
        <f t="shared" si="456"/>
        <v>3E-11</v>
      </c>
      <c r="BS117" s="407">
        <f t="shared" si="457"/>
        <v>9.9999999999999994E-12</v>
      </c>
      <c r="BT117" s="407">
        <f t="shared" si="458"/>
        <v>5.0000000000000002E-11</v>
      </c>
      <c r="BU117" s="407">
        <f t="shared" si="459"/>
        <v>6E-11</v>
      </c>
      <c r="BV117" s="407">
        <f t="shared" si="460"/>
        <v>7.0000000000000004E-11</v>
      </c>
      <c r="BW117" s="407">
        <f t="shared" si="461"/>
        <v>7.9999999999999995E-11</v>
      </c>
      <c r="BX117" s="95">
        <f t="shared" si="420"/>
        <v>0</v>
      </c>
      <c r="BY117" s="95">
        <f t="shared" si="421"/>
        <v>0</v>
      </c>
      <c r="BZ117" s="95">
        <f t="shared" si="422"/>
        <v>0</v>
      </c>
      <c r="CA117" s="95">
        <f t="shared" si="423"/>
        <v>0</v>
      </c>
      <c r="CB117" s="95">
        <f t="shared" si="424"/>
        <v>0</v>
      </c>
      <c r="CC117" s="95">
        <f t="shared" si="425"/>
        <v>0</v>
      </c>
      <c r="CD117" s="95">
        <f t="shared" si="426"/>
        <v>0</v>
      </c>
      <c r="CE117" s="95">
        <f t="shared" si="427"/>
        <v>0</v>
      </c>
      <c r="CF117" s="95" t="b">
        <f t="shared" si="486"/>
        <v>0</v>
      </c>
      <c r="CG117" s="95" t="b">
        <f t="shared" si="487"/>
        <v>0</v>
      </c>
      <c r="CH117" s="95" t="b">
        <f t="shared" si="488"/>
        <v>0</v>
      </c>
      <c r="CI117" s="95" t="b">
        <f t="shared" si="489"/>
        <v>0</v>
      </c>
      <c r="CJ117" s="95" t="b">
        <f t="shared" si="490"/>
        <v>0</v>
      </c>
      <c r="CK117" s="95" t="b">
        <f t="shared" si="491"/>
        <v>0</v>
      </c>
      <c r="CL117" s="95" t="b">
        <f t="shared" si="492"/>
        <v>0</v>
      </c>
      <c r="CM117" s="95" t="b">
        <f t="shared" si="493"/>
        <v>0</v>
      </c>
      <c r="DE117" s="222">
        <f t="shared" si="436"/>
        <v>9.9999999999999994E-12</v>
      </c>
      <c r="DF117" s="222">
        <f t="shared" si="462"/>
        <v>1.9999999999999999E-11</v>
      </c>
      <c r="DG117" s="222">
        <f t="shared" si="463"/>
        <v>3E-11</v>
      </c>
      <c r="DH117" s="222">
        <f t="shared" si="464"/>
        <v>3.9999999999999998E-11</v>
      </c>
      <c r="DI117" s="222">
        <f t="shared" si="465"/>
        <v>5.0000000000000002E-11</v>
      </c>
      <c r="DJ117" s="222">
        <f t="shared" si="466"/>
        <v>6E-11</v>
      </c>
      <c r="DK117" s="222">
        <f t="shared" si="467"/>
        <v>7.0000000000000004E-11</v>
      </c>
      <c r="DL117" s="222">
        <f t="shared" si="468"/>
        <v>7.9999999999999995E-11</v>
      </c>
      <c r="DM117" s="95">
        <f t="shared" si="437"/>
        <v>0</v>
      </c>
      <c r="DN117" s="95">
        <f t="shared" si="438"/>
        <v>0</v>
      </c>
      <c r="DO117" s="95">
        <f t="shared" si="439"/>
        <v>0</v>
      </c>
      <c r="DP117" s="95">
        <f t="shared" si="440"/>
        <v>0</v>
      </c>
      <c r="DQ117" s="95">
        <f t="shared" si="441"/>
        <v>0</v>
      </c>
      <c r="DR117" s="95">
        <f t="shared" si="442"/>
        <v>0</v>
      </c>
      <c r="DS117" s="95">
        <f t="shared" si="443"/>
        <v>0</v>
      </c>
      <c r="DT117" s="95">
        <f t="shared" si="444"/>
        <v>0</v>
      </c>
      <c r="DU117" s="95" t="b">
        <f t="shared" si="494"/>
        <v>0</v>
      </c>
      <c r="DV117" s="95" t="b">
        <f t="shared" si="495"/>
        <v>0</v>
      </c>
      <c r="DW117" s="95" t="b">
        <f t="shared" si="496"/>
        <v>0</v>
      </c>
      <c r="DX117" s="95" t="b">
        <f t="shared" si="497"/>
        <v>0</v>
      </c>
      <c r="DY117" s="95" t="b">
        <f t="shared" si="498"/>
        <v>0</v>
      </c>
      <c r="DZ117" s="95" t="b">
        <f t="shared" si="499"/>
        <v>0</v>
      </c>
      <c r="EA117" s="95" t="b">
        <f t="shared" si="500"/>
        <v>0</v>
      </c>
      <c r="EB117" s="95" t="b">
        <f t="shared" si="501"/>
        <v>0</v>
      </c>
      <c r="EC117" s="95" t="s">
        <v>435</v>
      </c>
      <c r="ED117" s="95" t="s">
        <v>435</v>
      </c>
      <c r="EE117" s="95" t="s">
        <v>435</v>
      </c>
      <c r="EF117" s="95" t="s">
        <v>435</v>
      </c>
      <c r="EG117" s="95" t="s">
        <v>435</v>
      </c>
      <c r="EH117" s="95" t="s">
        <v>435</v>
      </c>
      <c r="EI117" s="95" t="s">
        <v>435</v>
      </c>
      <c r="EJ117" s="95" t="s">
        <v>435</v>
      </c>
      <c r="EK117" s="95" t="s">
        <v>435</v>
      </c>
      <c r="EL117" s="95" t="s">
        <v>435</v>
      </c>
      <c r="EM117" s="95" t="s">
        <v>435</v>
      </c>
      <c r="EN117" s="95" t="s">
        <v>435</v>
      </c>
      <c r="EO117" s="95" t="s">
        <v>435</v>
      </c>
      <c r="EP117" s="95" t="s">
        <v>435</v>
      </c>
      <c r="EQ117" s="95" t="s">
        <v>435</v>
      </c>
      <c r="ER117" s="95" t="s">
        <v>435</v>
      </c>
      <c r="FA117" s="95" t="s">
        <v>435</v>
      </c>
      <c r="FB117" s="95" t="s">
        <v>435</v>
      </c>
      <c r="FC117" s="95" t="s">
        <v>435</v>
      </c>
      <c r="FD117" s="95" t="s">
        <v>435</v>
      </c>
      <c r="FE117" s="95" t="s">
        <v>435</v>
      </c>
      <c r="FF117" s="95" t="s">
        <v>435</v>
      </c>
      <c r="FG117" s="95" t="s">
        <v>435</v>
      </c>
      <c r="FH117" s="95" t="s">
        <v>435</v>
      </c>
      <c r="FI117" s="95" t="s">
        <v>435</v>
      </c>
      <c r="FJ117" s="95" t="s">
        <v>435</v>
      </c>
      <c r="FK117" s="95" t="s">
        <v>435</v>
      </c>
      <c r="FL117" s="95" t="s">
        <v>435</v>
      </c>
      <c r="FM117" s="95" t="s">
        <v>435</v>
      </c>
      <c r="FN117" s="95" t="s">
        <v>435</v>
      </c>
      <c r="FO117" s="95" t="s">
        <v>435</v>
      </c>
      <c r="FP117" s="95" t="s">
        <v>435</v>
      </c>
    </row>
    <row r="118" spans="1:172" s="95" customFormat="1">
      <c r="A118" s="95" t="s">
        <v>1269</v>
      </c>
      <c r="B118" s="95" t="s">
        <v>253</v>
      </c>
      <c r="C118" s="95" t="s">
        <v>1214</v>
      </c>
      <c r="D118" s="95" t="s">
        <v>1270</v>
      </c>
      <c r="E118" s="386" t="s">
        <v>889</v>
      </c>
      <c r="H118" s="95">
        <v>146</v>
      </c>
      <c r="I118" s="95">
        <v>142</v>
      </c>
      <c r="O118" s="95" t="s">
        <v>2921</v>
      </c>
      <c r="P118" s="95" t="s">
        <v>2913</v>
      </c>
      <c r="Q118" s="95" t="s">
        <v>2922</v>
      </c>
      <c r="R118" s="95" t="s">
        <v>1271</v>
      </c>
      <c r="S118" s="95" t="s">
        <v>1177</v>
      </c>
      <c r="T118" s="95">
        <v>49</v>
      </c>
      <c r="U118" s="95" cm="1">
        <f t="array" ref="U118">IFERROR(INDEX('Offer Statistics'!$AZ$2:$AZ$350,MATCH(1,(A118='Offer Statistics'!$AK$2:$AK$350)*($A$11='Offer Statistics'!$AL$2:$AL$350),0)),"/")</f>
        <v>40</v>
      </c>
      <c r="V118" s="95" cm="1">
        <f t="array" ref="V118">IFERROR(INDEX('Offer Statistics'!$AM$2:$AM$350,MATCH(1,(A118='Offer Statistics'!$AK$2:$AK$350)*($A$11='Offer Statistics'!$AL$2:$AL$350),0)),"/")</f>
        <v>316</v>
      </c>
      <c r="W118" s="95" cm="1">
        <f t="array" ref="W118">IFERROR(INDEX('Offer Statistics'!$AU$2:$AU$350,MATCH(1,(A118='Offer Statistics'!$AK$2:$AK$350)*($A$11='Offer Statistics'!$AL$2:$AL$350),0)),"/")</f>
        <v>27</v>
      </c>
      <c r="X118" s="95">
        <f t="shared" si="453"/>
        <v>11.703703703703704</v>
      </c>
      <c r="Y118" s="95" t="s">
        <v>1177</v>
      </c>
      <c r="Z118" s="95" t="str">
        <f>入學要求!AF127</f>
        <v>/</v>
      </c>
      <c r="AA118" s="95" t="str">
        <f>入學要求!AG127</f>
        <v>/</v>
      </c>
      <c r="AB118" s="368" t="s">
        <v>889</v>
      </c>
      <c r="AC118" s="365"/>
      <c r="AD118" s="51"/>
      <c r="AE118" s="364" t="s">
        <v>356</v>
      </c>
      <c r="AF118" s="414" t="s">
        <v>356</v>
      </c>
      <c r="AG118" s="368" t="s">
        <v>2921</v>
      </c>
      <c r="AH118" s="368" t="s">
        <v>2907</v>
      </c>
      <c r="AI118" s="368" t="s">
        <v>2922</v>
      </c>
      <c r="AJ118" s="95" t="s">
        <v>356</v>
      </c>
      <c r="AK118" s="95" t="s">
        <v>356</v>
      </c>
      <c r="AL118" s="95" t="s">
        <v>356</v>
      </c>
      <c r="AM118" s="95" t="s">
        <v>356</v>
      </c>
      <c r="AN118" s="95" t="s">
        <v>356</v>
      </c>
      <c r="AO118" s="95" t="s">
        <v>356</v>
      </c>
      <c r="AP118" s="95" t="s">
        <v>356</v>
      </c>
      <c r="AQ118" s="95" t="s">
        <v>356</v>
      </c>
      <c r="AS118" s="95" t="s">
        <v>820</v>
      </c>
      <c r="AU118" s="95" t="s">
        <v>817</v>
      </c>
      <c r="AV118" s="95" t="s">
        <v>356</v>
      </c>
      <c r="AW118" s="95" t="s">
        <v>356</v>
      </c>
      <c r="AX118" s="95" t="s">
        <v>356</v>
      </c>
      <c r="BP118" s="407">
        <f t="shared" si="454"/>
        <v>3.9999999999999998E-11</v>
      </c>
      <c r="BQ118" s="407">
        <f t="shared" si="455"/>
        <v>1.9999999999999999E-11</v>
      </c>
      <c r="BR118" s="407">
        <f t="shared" si="456"/>
        <v>3E-11</v>
      </c>
      <c r="BS118" s="407">
        <f t="shared" si="457"/>
        <v>9.9999999999999994E-12</v>
      </c>
      <c r="BT118" s="407">
        <f t="shared" si="458"/>
        <v>5.0000000000000002E-11</v>
      </c>
      <c r="BU118" s="407">
        <f t="shared" si="459"/>
        <v>6E-11</v>
      </c>
      <c r="BV118" s="407">
        <f t="shared" si="460"/>
        <v>7.0000000000000004E-11</v>
      </c>
      <c r="BW118" s="407">
        <f t="shared" si="461"/>
        <v>7.9999999999999995E-11</v>
      </c>
      <c r="BX118" s="95">
        <f t="shared" si="420"/>
        <v>0</v>
      </c>
      <c r="BY118" s="95">
        <f t="shared" si="421"/>
        <v>0</v>
      </c>
      <c r="BZ118" s="95">
        <f t="shared" si="422"/>
        <v>0</v>
      </c>
      <c r="CA118" s="95">
        <f t="shared" si="423"/>
        <v>0</v>
      </c>
      <c r="CB118" s="95">
        <f t="shared" si="424"/>
        <v>0</v>
      </c>
      <c r="CC118" s="95">
        <f t="shared" si="425"/>
        <v>0</v>
      </c>
      <c r="CD118" s="95">
        <f t="shared" si="426"/>
        <v>0</v>
      </c>
      <c r="CE118" s="95">
        <f t="shared" si="427"/>
        <v>0</v>
      </c>
      <c r="CF118" s="95" t="b">
        <f t="shared" si="486"/>
        <v>0</v>
      </c>
      <c r="CG118" s="95" t="b">
        <f t="shared" si="487"/>
        <v>0</v>
      </c>
      <c r="CH118" s="95" t="b">
        <f t="shared" si="488"/>
        <v>0</v>
      </c>
      <c r="CI118" s="95" t="b">
        <f t="shared" si="489"/>
        <v>0</v>
      </c>
      <c r="CJ118" s="95" t="b">
        <f t="shared" si="490"/>
        <v>0</v>
      </c>
      <c r="CK118" s="95" t="b">
        <f t="shared" si="491"/>
        <v>0</v>
      </c>
      <c r="CL118" s="95" t="b">
        <f t="shared" si="492"/>
        <v>0</v>
      </c>
      <c r="CM118" s="95" t="b">
        <f t="shared" si="493"/>
        <v>0</v>
      </c>
      <c r="DE118" s="222">
        <f t="shared" si="436"/>
        <v>9.9999999999999994E-12</v>
      </c>
      <c r="DF118" s="222">
        <f t="shared" si="462"/>
        <v>1.9999999999999999E-11</v>
      </c>
      <c r="DG118" s="222">
        <f t="shared" si="463"/>
        <v>3E-11</v>
      </c>
      <c r="DH118" s="222">
        <f t="shared" si="464"/>
        <v>3.9999999999999998E-11</v>
      </c>
      <c r="DI118" s="222">
        <f t="shared" si="465"/>
        <v>5.0000000000000002E-11</v>
      </c>
      <c r="DJ118" s="222">
        <f t="shared" si="466"/>
        <v>6E-11</v>
      </c>
      <c r="DK118" s="222">
        <f t="shared" si="467"/>
        <v>7.0000000000000004E-11</v>
      </c>
      <c r="DL118" s="222">
        <f t="shared" si="468"/>
        <v>7.9999999999999995E-11</v>
      </c>
      <c r="DM118" s="95">
        <f t="shared" si="437"/>
        <v>0</v>
      </c>
      <c r="DN118" s="95">
        <f t="shared" si="438"/>
        <v>0</v>
      </c>
      <c r="DO118" s="95">
        <f t="shared" si="439"/>
        <v>0</v>
      </c>
      <c r="DP118" s="95">
        <f t="shared" si="440"/>
        <v>0</v>
      </c>
      <c r="DQ118" s="95">
        <f t="shared" si="441"/>
        <v>0</v>
      </c>
      <c r="DR118" s="95">
        <f t="shared" si="442"/>
        <v>0</v>
      </c>
      <c r="DS118" s="95">
        <f t="shared" si="443"/>
        <v>0</v>
      </c>
      <c r="DT118" s="95">
        <f t="shared" si="444"/>
        <v>0</v>
      </c>
      <c r="DU118" s="95" t="b">
        <f t="shared" si="494"/>
        <v>0</v>
      </c>
      <c r="DV118" s="95" t="b">
        <f t="shared" si="495"/>
        <v>0</v>
      </c>
      <c r="DW118" s="95" t="b">
        <f t="shared" si="496"/>
        <v>0</v>
      </c>
      <c r="DX118" s="95" t="b">
        <f t="shared" si="497"/>
        <v>0</v>
      </c>
      <c r="DY118" s="95" t="b">
        <f t="shared" si="498"/>
        <v>0</v>
      </c>
      <c r="DZ118" s="95" t="b">
        <f t="shared" si="499"/>
        <v>0</v>
      </c>
      <c r="EA118" s="95" t="b">
        <f t="shared" si="500"/>
        <v>0</v>
      </c>
      <c r="EB118" s="95" t="b">
        <f t="shared" si="501"/>
        <v>0</v>
      </c>
      <c r="EC118" s="95" t="s">
        <v>435</v>
      </c>
      <c r="ED118" s="95" t="s">
        <v>435</v>
      </c>
      <c r="EE118" s="95" t="s">
        <v>435</v>
      </c>
      <c r="EF118" s="95" t="s">
        <v>435</v>
      </c>
      <c r="EG118" s="95" t="s">
        <v>435</v>
      </c>
      <c r="EH118" s="95" t="s">
        <v>435</v>
      </c>
      <c r="EI118" s="95" t="s">
        <v>435</v>
      </c>
      <c r="EJ118" s="95" t="s">
        <v>435</v>
      </c>
      <c r="EK118" s="95" t="s">
        <v>435</v>
      </c>
      <c r="EL118" s="95" t="s">
        <v>435</v>
      </c>
      <c r="EM118" s="95" t="s">
        <v>435</v>
      </c>
      <c r="EN118" s="95" t="s">
        <v>435</v>
      </c>
      <c r="EO118" s="95" t="s">
        <v>435</v>
      </c>
      <c r="EP118" s="95" t="s">
        <v>435</v>
      </c>
      <c r="EQ118" s="95" t="s">
        <v>435</v>
      </c>
      <c r="ER118" s="95" t="s">
        <v>435</v>
      </c>
      <c r="FA118" s="95" t="s">
        <v>435</v>
      </c>
      <c r="FB118" s="95" t="s">
        <v>435</v>
      </c>
      <c r="FC118" s="95" t="s">
        <v>435</v>
      </c>
      <c r="FD118" s="95" t="s">
        <v>435</v>
      </c>
      <c r="FE118" s="95" t="s">
        <v>435</v>
      </c>
      <c r="FF118" s="95" t="s">
        <v>435</v>
      </c>
      <c r="FG118" s="95" t="s">
        <v>435</v>
      </c>
      <c r="FH118" s="95" t="s">
        <v>435</v>
      </c>
      <c r="FI118" s="95" t="s">
        <v>435</v>
      </c>
      <c r="FJ118" s="95" t="s">
        <v>435</v>
      </c>
      <c r="FK118" s="95" t="s">
        <v>435</v>
      </c>
      <c r="FL118" s="95" t="s">
        <v>435</v>
      </c>
      <c r="FM118" s="95" t="s">
        <v>435</v>
      </c>
      <c r="FN118" s="95" t="s">
        <v>435</v>
      </c>
      <c r="FO118" s="95" t="s">
        <v>435</v>
      </c>
      <c r="FP118" s="95" t="s">
        <v>435</v>
      </c>
    </row>
    <row r="119" spans="1:172" s="95" customFormat="1">
      <c r="A119" s="95" t="s">
        <v>1272</v>
      </c>
      <c r="B119" s="95" t="s">
        <v>253</v>
      </c>
      <c r="C119" s="95" t="s">
        <v>1230</v>
      </c>
      <c r="D119" s="95" t="s">
        <v>1273</v>
      </c>
      <c r="E119" s="386" t="s">
        <v>828</v>
      </c>
      <c r="H119" s="95">
        <v>360</v>
      </c>
      <c r="I119" s="95">
        <v>345</v>
      </c>
      <c r="O119" s="95" t="s">
        <v>2976</v>
      </c>
      <c r="P119" s="95" t="s">
        <v>1274</v>
      </c>
      <c r="Q119" s="95" t="s">
        <v>2922</v>
      </c>
      <c r="R119" s="95" t="s">
        <v>1275</v>
      </c>
      <c r="S119" s="95" t="s">
        <v>1177</v>
      </c>
      <c r="T119" s="95">
        <v>115</v>
      </c>
      <c r="U119" s="95" cm="1">
        <f t="array" ref="U119">IFERROR(INDEX('Offer Statistics'!$AZ$2:$AZ$350,MATCH(1,(A119='Offer Statistics'!$AK$2:$AK$350)*($A$11='Offer Statistics'!$AL$2:$AL$350),0)),"/")</f>
        <v>120</v>
      </c>
      <c r="V119" s="95" cm="1">
        <f t="array" ref="V119">IFERROR(INDEX('Offer Statistics'!$AM$2:$AM$350,MATCH(1,(A119='Offer Statistics'!$AK$2:$AK$350)*($A$11='Offer Statistics'!$AL$2:$AL$350),0)),"/")</f>
        <v>550</v>
      </c>
      <c r="W119" s="95" cm="1">
        <f t="array" ref="W119">IFERROR(INDEX('Offer Statistics'!$AU$2:$AU$350,MATCH(1,(A119='Offer Statistics'!$AK$2:$AK$350)*($A$11='Offer Statistics'!$AL$2:$AL$350),0)),"/")</f>
        <v>119</v>
      </c>
      <c r="X119" s="95">
        <f t="shared" si="453"/>
        <v>4.6218487394957979</v>
      </c>
      <c r="Y119" s="95" t="s">
        <v>1177</v>
      </c>
      <c r="Z119" s="95" t="str">
        <f>入學要求!AF128</f>
        <v>/</v>
      </c>
      <c r="AA119" s="95" t="str">
        <f>入學要求!AG128</f>
        <v>/</v>
      </c>
      <c r="AB119" s="368" t="s">
        <v>889</v>
      </c>
      <c r="AC119" s="365"/>
      <c r="AD119" s="51"/>
      <c r="AE119" s="364" t="s">
        <v>356</v>
      </c>
      <c r="AF119" s="364" t="s">
        <v>356</v>
      </c>
      <c r="AG119" s="368" t="s">
        <v>2976</v>
      </c>
      <c r="AH119" s="368" t="s">
        <v>2916</v>
      </c>
      <c r="AI119" s="368" t="s">
        <v>2922</v>
      </c>
      <c r="AJ119" s="95" t="s">
        <v>356</v>
      </c>
      <c r="AK119" s="95" t="s">
        <v>356</v>
      </c>
      <c r="AL119" s="95" t="s">
        <v>356</v>
      </c>
      <c r="AM119" s="95" t="s">
        <v>356</v>
      </c>
      <c r="AN119" s="95" t="s">
        <v>356</v>
      </c>
      <c r="AO119" s="95" t="s">
        <v>356</v>
      </c>
      <c r="AP119" s="95" t="s">
        <v>356</v>
      </c>
      <c r="AQ119" s="95" t="s">
        <v>356</v>
      </c>
      <c r="AS119" s="95" t="s">
        <v>820</v>
      </c>
      <c r="AU119" s="95" t="s">
        <v>817</v>
      </c>
      <c r="AV119" s="95" t="s">
        <v>356</v>
      </c>
      <c r="AW119" s="95" t="s">
        <v>356</v>
      </c>
      <c r="AX119" s="95" t="s">
        <v>356</v>
      </c>
      <c r="BP119" s="407">
        <f t="shared" si="454"/>
        <v>3.9999999999999998E-11</v>
      </c>
      <c r="BQ119" s="407">
        <f t="shared" si="455"/>
        <v>1.9999999999999999E-11</v>
      </c>
      <c r="BR119" s="407">
        <f t="shared" si="456"/>
        <v>3E-11</v>
      </c>
      <c r="BS119" s="407">
        <f t="shared" si="457"/>
        <v>9.9999999999999994E-12</v>
      </c>
      <c r="BT119" s="407">
        <f t="shared" si="458"/>
        <v>5.0000000000000002E-11</v>
      </c>
      <c r="BU119" s="407">
        <f t="shared" si="459"/>
        <v>6E-11</v>
      </c>
      <c r="BV119" s="407">
        <f t="shared" si="460"/>
        <v>7.0000000000000004E-11</v>
      </c>
      <c r="BW119" s="407">
        <f t="shared" si="461"/>
        <v>7.9999999999999995E-11</v>
      </c>
      <c r="BX119" s="95">
        <f t="shared" si="420"/>
        <v>0</v>
      </c>
      <c r="BY119" s="95">
        <f t="shared" si="421"/>
        <v>0</v>
      </c>
      <c r="BZ119" s="95">
        <f t="shared" si="422"/>
        <v>0</v>
      </c>
      <c r="CA119" s="95">
        <f t="shared" si="423"/>
        <v>0</v>
      </c>
      <c r="CB119" s="95">
        <f t="shared" si="424"/>
        <v>0</v>
      </c>
      <c r="CC119" s="95">
        <f t="shared" si="425"/>
        <v>0</v>
      </c>
      <c r="CD119" s="95">
        <f t="shared" si="426"/>
        <v>0</v>
      </c>
      <c r="CE119" s="95">
        <f t="shared" si="427"/>
        <v>0</v>
      </c>
      <c r="CF119" s="95" t="b">
        <f t="shared" si="486"/>
        <v>0</v>
      </c>
      <c r="CG119" s="95" t="b">
        <f t="shared" si="487"/>
        <v>0</v>
      </c>
      <c r="CH119" s="95" t="b">
        <f t="shared" si="488"/>
        <v>0</v>
      </c>
      <c r="CI119" s="95" t="b">
        <f t="shared" si="489"/>
        <v>0</v>
      </c>
      <c r="CJ119" s="95" t="b">
        <f t="shared" si="490"/>
        <v>0</v>
      </c>
      <c r="CK119" s="95" t="b">
        <f t="shared" si="491"/>
        <v>0</v>
      </c>
      <c r="CL119" s="95" t="b">
        <f t="shared" si="492"/>
        <v>0</v>
      </c>
      <c r="CM119" s="95" t="b">
        <f t="shared" si="493"/>
        <v>0</v>
      </c>
      <c r="DE119" s="222">
        <f t="shared" si="436"/>
        <v>9.9999999999999994E-12</v>
      </c>
      <c r="DF119" s="222">
        <f t="shared" si="462"/>
        <v>1.9999999999999999E-11</v>
      </c>
      <c r="DG119" s="222">
        <f t="shared" si="463"/>
        <v>3E-11</v>
      </c>
      <c r="DH119" s="222">
        <f t="shared" si="464"/>
        <v>3.9999999999999998E-11</v>
      </c>
      <c r="DI119" s="222">
        <f t="shared" si="465"/>
        <v>5.0000000000000002E-11</v>
      </c>
      <c r="DJ119" s="222">
        <f t="shared" si="466"/>
        <v>6E-11</v>
      </c>
      <c r="DK119" s="222">
        <f t="shared" si="467"/>
        <v>7.0000000000000004E-11</v>
      </c>
      <c r="DL119" s="222">
        <f t="shared" si="468"/>
        <v>7.9999999999999995E-11</v>
      </c>
      <c r="DM119" s="95">
        <f t="shared" si="437"/>
        <v>0</v>
      </c>
      <c r="DN119" s="95">
        <f t="shared" si="438"/>
        <v>0</v>
      </c>
      <c r="DO119" s="95">
        <f t="shared" si="439"/>
        <v>0</v>
      </c>
      <c r="DP119" s="95">
        <f t="shared" si="440"/>
        <v>0</v>
      </c>
      <c r="DQ119" s="95">
        <f t="shared" si="441"/>
        <v>0</v>
      </c>
      <c r="DR119" s="95">
        <f t="shared" si="442"/>
        <v>0</v>
      </c>
      <c r="DS119" s="95">
        <f t="shared" si="443"/>
        <v>0</v>
      </c>
      <c r="DT119" s="95">
        <f t="shared" si="444"/>
        <v>0</v>
      </c>
      <c r="DU119" s="95" t="b">
        <f t="shared" si="494"/>
        <v>0</v>
      </c>
      <c r="DV119" s="95" t="b">
        <f t="shared" si="495"/>
        <v>0</v>
      </c>
      <c r="DW119" s="95" t="b">
        <f t="shared" si="496"/>
        <v>0</v>
      </c>
      <c r="DX119" s="95" t="b">
        <f t="shared" si="497"/>
        <v>0</v>
      </c>
      <c r="DY119" s="95" t="b">
        <f t="shared" si="498"/>
        <v>0</v>
      </c>
      <c r="DZ119" s="95" t="b">
        <f t="shared" si="499"/>
        <v>0</v>
      </c>
      <c r="EA119" s="95" t="b">
        <f t="shared" si="500"/>
        <v>0</v>
      </c>
      <c r="EB119" s="95" t="b">
        <f t="shared" si="501"/>
        <v>0</v>
      </c>
      <c r="EC119" s="95" t="s">
        <v>435</v>
      </c>
      <c r="ED119" s="95" t="s">
        <v>435</v>
      </c>
      <c r="EE119" s="95" t="s">
        <v>435</v>
      </c>
      <c r="EF119" s="95" t="s">
        <v>435</v>
      </c>
      <c r="EG119" s="95" t="s">
        <v>435</v>
      </c>
      <c r="EH119" s="95" t="s">
        <v>435</v>
      </c>
      <c r="EI119" s="95" t="s">
        <v>435</v>
      </c>
      <c r="EJ119" s="95" t="s">
        <v>435</v>
      </c>
      <c r="EK119" s="95" t="s">
        <v>435</v>
      </c>
      <c r="EL119" s="95" t="s">
        <v>435</v>
      </c>
      <c r="EM119" s="95" t="s">
        <v>435</v>
      </c>
      <c r="EN119" s="95" t="s">
        <v>435</v>
      </c>
      <c r="EO119" s="95" t="s">
        <v>435</v>
      </c>
      <c r="EP119" s="95" t="s">
        <v>435</v>
      </c>
      <c r="EQ119" s="95" t="s">
        <v>435</v>
      </c>
      <c r="ER119" s="95" t="s">
        <v>435</v>
      </c>
      <c r="FA119" s="95" t="s">
        <v>435</v>
      </c>
      <c r="FB119" s="95" t="s">
        <v>435</v>
      </c>
      <c r="FC119" s="95" t="s">
        <v>435</v>
      </c>
      <c r="FD119" s="95" t="s">
        <v>435</v>
      </c>
      <c r="FE119" s="95" t="s">
        <v>435</v>
      </c>
      <c r="FF119" s="95" t="s">
        <v>435</v>
      </c>
      <c r="FG119" s="95" t="s">
        <v>435</v>
      </c>
      <c r="FH119" s="95" t="s">
        <v>435</v>
      </c>
      <c r="FI119" s="95" t="s">
        <v>435</v>
      </c>
      <c r="FJ119" s="95" t="s">
        <v>435</v>
      </c>
      <c r="FK119" s="95" t="s">
        <v>435</v>
      </c>
      <c r="FL119" s="95" t="s">
        <v>435</v>
      </c>
      <c r="FM119" s="95" t="s">
        <v>435</v>
      </c>
      <c r="FN119" s="95" t="s">
        <v>435</v>
      </c>
      <c r="FO119" s="95" t="s">
        <v>435</v>
      </c>
      <c r="FP119" s="95" t="s">
        <v>435</v>
      </c>
    </row>
    <row r="120" spans="1:172" s="95" customFormat="1">
      <c r="A120" s="95" t="s">
        <v>1276</v>
      </c>
      <c r="B120" s="95" t="s">
        <v>253</v>
      </c>
      <c r="C120" s="95" t="s">
        <v>1230</v>
      </c>
      <c r="D120" s="95" t="s">
        <v>1277</v>
      </c>
      <c r="E120" s="386" t="s">
        <v>828</v>
      </c>
      <c r="H120" s="95">
        <v>312</v>
      </c>
      <c r="I120" s="95">
        <v>307.5</v>
      </c>
      <c r="O120" s="95" t="s">
        <v>2977</v>
      </c>
      <c r="P120" s="95" t="s">
        <v>1244</v>
      </c>
      <c r="Q120" s="95" t="s">
        <v>2915</v>
      </c>
      <c r="R120" s="95" t="s">
        <v>1278</v>
      </c>
      <c r="S120" s="95" t="s">
        <v>1177</v>
      </c>
      <c r="T120" s="95">
        <v>100</v>
      </c>
      <c r="U120" s="95" cm="1">
        <f t="array" ref="U120">IFERROR(INDEX('Offer Statistics'!$AZ$2:$AZ$350,MATCH(1,(A120='Offer Statistics'!$AK$2:$AK$350)*($A$11='Offer Statistics'!$AL$2:$AL$350),0)),"/")</f>
        <v>93</v>
      </c>
      <c r="V120" s="95" cm="1">
        <f t="array" ref="V120">IFERROR(INDEX('Offer Statistics'!$AM$2:$AM$350,MATCH(1,(A120='Offer Statistics'!$AK$2:$AK$350)*($A$11='Offer Statistics'!$AL$2:$AL$350),0)),"/")</f>
        <v>375</v>
      </c>
      <c r="W120" s="95" cm="1">
        <f t="array" ref="W120">IFERROR(INDEX('Offer Statistics'!$AU$2:$AU$350,MATCH(1,(A120='Offer Statistics'!$AK$2:$AK$350)*($A$11='Offer Statistics'!$AL$2:$AL$350),0)),"/")</f>
        <v>93</v>
      </c>
      <c r="X120" s="95">
        <f t="shared" si="453"/>
        <v>4.032258064516129</v>
      </c>
      <c r="Y120" s="95" t="s">
        <v>1177</v>
      </c>
      <c r="Z120" s="95" t="str">
        <f>入學要求!AF129</f>
        <v>/</v>
      </c>
      <c r="AA120" s="95" t="str">
        <f>入學要求!AG129</f>
        <v>/</v>
      </c>
      <c r="AB120" s="368" t="s">
        <v>889</v>
      </c>
      <c r="AC120" s="365"/>
      <c r="AD120" s="51"/>
      <c r="AE120" s="364" t="s">
        <v>356</v>
      </c>
      <c r="AF120" s="364" t="s">
        <v>356</v>
      </c>
      <c r="AG120" s="368" t="s">
        <v>2977</v>
      </c>
      <c r="AH120" s="368" t="s">
        <v>1244</v>
      </c>
      <c r="AI120" s="368" t="s">
        <v>2915</v>
      </c>
      <c r="AJ120" s="95" t="s">
        <v>356</v>
      </c>
      <c r="AK120" s="95" t="s">
        <v>356</v>
      </c>
      <c r="AL120" s="95" t="s">
        <v>356</v>
      </c>
      <c r="AM120" s="95" t="s">
        <v>356</v>
      </c>
      <c r="AN120" s="95" t="s">
        <v>356</v>
      </c>
      <c r="AO120" s="95" t="s">
        <v>356</v>
      </c>
      <c r="AP120" s="95" t="s">
        <v>356</v>
      </c>
      <c r="AQ120" s="95" t="s">
        <v>356</v>
      </c>
      <c r="AS120" s="95" t="s">
        <v>820</v>
      </c>
      <c r="AU120" s="95" t="s">
        <v>817</v>
      </c>
      <c r="AV120" s="95" t="s">
        <v>356</v>
      </c>
      <c r="AW120" s="95" t="s">
        <v>356</v>
      </c>
      <c r="AX120" s="95" t="s">
        <v>356</v>
      </c>
      <c r="BP120" s="407">
        <f t="shared" si="454"/>
        <v>3.9999999999999998E-11</v>
      </c>
      <c r="BQ120" s="407">
        <f t="shared" si="455"/>
        <v>1.9999999999999999E-11</v>
      </c>
      <c r="BR120" s="407">
        <f t="shared" si="456"/>
        <v>3E-11</v>
      </c>
      <c r="BS120" s="407">
        <f t="shared" si="457"/>
        <v>9.9999999999999994E-12</v>
      </c>
      <c r="BT120" s="407">
        <f t="shared" si="458"/>
        <v>5.0000000000000002E-11</v>
      </c>
      <c r="BU120" s="407">
        <f t="shared" si="459"/>
        <v>6E-11</v>
      </c>
      <c r="BV120" s="407">
        <f t="shared" si="460"/>
        <v>7.0000000000000004E-11</v>
      </c>
      <c r="BW120" s="407">
        <f t="shared" si="461"/>
        <v>7.9999999999999995E-11</v>
      </c>
      <c r="BX120" s="95">
        <f t="shared" si="420"/>
        <v>0</v>
      </c>
      <c r="BY120" s="95">
        <f t="shared" si="421"/>
        <v>0</v>
      </c>
      <c r="BZ120" s="95">
        <f t="shared" si="422"/>
        <v>0</v>
      </c>
      <c r="CA120" s="95">
        <f t="shared" si="423"/>
        <v>0</v>
      </c>
      <c r="CB120" s="95">
        <f t="shared" si="424"/>
        <v>0</v>
      </c>
      <c r="CC120" s="95">
        <f t="shared" si="425"/>
        <v>0</v>
      </c>
      <c r="CD120" s="95">
        <f t="shared" si="426"/>
        <v>0</v>
      </c>
      <c r="CE120" s="95">
        <f t="shared" si="427"/>
        <v>0</v>
      </c>
      <c r="CF120" s="95" t="b">
        <f t="shared" si="486"/>
        <v>0</v>
      </c>
      <c r="CG120" s="95" t="b">
        <f t="shared" si="487"/>
        <v>0</v>
      </c>
      <c r="CH120" s="95" t="b">
        <f t="shared" si="488"/>
        <v>0</v>
      </c>
      <c r="CI120" s="95" t="b">
        <f t="shared" si="489"/>
        <v>0</v>
      </c>
      <c r="CJ120" s="95" t="b">
        <f t="shared" si="490"/>
        <v>0</v>
      </c>
      <c r="CK120" s="95" t="b">
        <f t="shared" si="491"/>
        <v>0</v>
      </c>
      <c r="CL120" s="95" t="b">
        <f t="shared" si="492"/>
        <v>0</v>
      </c>
      <c r="CM120" s="95" t="b">
        <f t="shared" si="493"/>
        <v>0</v>
      </c>
      <c r="DE120" s="222">
        <f t="shared" si="436"/>
        <v>9.9999999999999994E-12</v>
      </c>
      <c r="DF120" s="222">
        <f t="shared" si="462"/>
        <v>1.9999999999999999E-11</v>
      </c>
      <c r="DG120" s="222">
        <f t="shared" si="463"/>
        <v>3E-11</v>
      </c>
      <c r="DH120" s="222">
        <f t="shared" si="464"/>
        <v>3.9999999999999998E-11</v>
      </c>
      <c r="DI120" s="222">
        <f t="shared" si="465"/>
        <v>5.0000000000000002E-11</v>
      </c>
      <c r="DJ120" s="222">
        <f t="shared" si="466"/>
        <v>6E-11</v>
      </c>
      <c r="DK120" s="222">
        <f t="shared" si="467"/>
        <v>7.0000000000000004E-11</v>
      </c>
      <c r="DL120" s="222">
        <f t="shared" si="468"/>
        <v>7.9999999999999995E-11</v>
      </c>
      <c r="DM120" s="95">
        <f t="shared" si="437"/>
        <v>0</v>
      </c>
      <c r="DN120" s="95">
        <f t="shared" si="438"/>
        <v>0</v>
      </c>
      <c r="DO120" s="95">
        <f t="shared" si="439"/>
        <v>0</v>
      </c>
      <c r="DP120" s="95">
        <f t="shared" si="440"/>
        <v>0</v>
      </c>
      <c r="DQ120" s="95">
        <f t="shared" si="441"/>
        <v>0</v>
      </c>
      <c r="DR120" s="95">
        <f t="shared" si="442"/>
        <v>0</v>
      </c>
      <c r="DS120" s="95">
        <f t="shared" si="443"/>
        <v>0</v>
      </c>
      <c r="DT120" s="95">
        <f t="shared" si="444"/>
        <v>0</v>
      </c>
      <c r="DU120" s="95" t="b">
        <f t="shared" si="494"/>
        <v>0</v>
      </c>
      <c r="DV120" s="95" t="b">
        <f t="shared" si="495"/>
        <v>0</v>
      </c>
      <c r="DW120" s="95" t="b">
        <f t="shared" si="496"/>
        <v>0</v>
      </c>
      <c r="DX120" s="95" t="b">
        <f t="shared" si="497"/>
        <v>0</v>
      </c>
      <c r="DY120" s="95" t="b">
        <f t="shared" si="498"/>
        <v>0</v>
      </c>
      <c r="DZ120" s="95" t="b">
        <f t="shared" si="499"/>
        <v>0</v>
      </c>
      <c r="EA120" s="95" t="b">
        <f t="shared" si="500"/>
        <v>0</v>
      </c>
      <c r="EB120" s="95" t="b">
        <f t="shared" si="501"/>
        <v>0</v>
      </c>
      <c r="EC120" s="95" t="s">
        <v>435</v>
      </c>
      <c r="ED120" s="95" t="s">
        <v>435</v>
      </c>
      <c r="EE120" s="95" t="s">
        <v>435</v>
      </c>
      <c r="EF120" s="95" t="s">
        <v>435</v>
      </c>
      <c r="EG120" s="95" t="s">
        <v>435</v>
      </c>
      <c r="EH120" s="95" t="s">
        <v>435</v>
      </c>
      <c r="EI120" s="95" t="s">
        <v>435</v>
      </c>
      <c r="EJ120" s="95" t="s">
        <v>435</v>
      </c>
      <c r="EK120" s="95" t="s">
        <v>435</v>
      </c>
      <c r="EL120" s="95" t="s">
        <v>435</v>
      </c>
      <c r="EM120" s="95" t="s">
        <v>435</v>
      </c>
      <c r="EN120" s="95" t="s">
        <v>435</v>
      </c>
      <c r="EO120" s="95" t="s">
        <v>435</v>
      </c>
      <c r="EP120" s="95" t="s">
        <v>435</v>
      </c>
      <c r="EQ120" s="95" t="s">
        <v>435</v>
      </c>
      <c r="ER120" s="95" t="s">
        <v>435</v>
      </c>
      <c r="FA120" s="95" t="s">
        <v>435</v>
      </c>
      <c r="FB120" s="95" t="s">
        <v>435</v>
      </c>
      <c r="FC120" s="95" t="s">
        <v>435</v>
      </c>
      <c r="FD120" s="95" t="s">
        <v>435</v>
      </c>
      <c r="FE120" s="95" t="s">
        <v>435</v>
      </c>
      <c r="FF120" s="95" t="s">
        <v>435</v>
      </c>
      <c r="FG120" s="95" t="s">
        <v>435</v>
      </c>
      <c r="FH120" s="95" t="s">
        <v>435</v>
      </c>
      <c r="FI120" s="95" t="s">
        <v>435</v>
      </c>
      <c r="FJ120" s="95" t="s">
        <v>435</v>
      </c>
      <c r="FK120" s="95" t="s">
        <v>435</v>
      </c>
      <c r="FL120" s="95" t="s">
        <v>435</v>
      </c>
      <c r="FM120" s="95" t="s">
        <v>435</v>
      </c>
      <c r="FN120" s="95" t="s">
        <v>435</v>
      </c>
      <c r="FO120" s="95" t="s">
        <v>435</v>
      </c>
      <c r="FP120" s="95" t="s">
        <v>435</v>
      </c>
    </row>
    <row r="121" spans="1:172" s="95" customFormat="1">
      <c r="A121" s="95" t="s">
        <v>1279</v>
      </c>
      <c r="B121" s="95" t="s">
        <v>253</v>
      </c>
      <c r="C121" s="95" t="s">
        <v>1230</v>
      </c>
      <c r="D121" s="95" t="s">
        <v>1280</v>
      </c>
      <c r="E121" s="386" t="s">
        <v>828</v>
      </c>
      <c r="H121" s="95">
        <v>337.5</v>
      </c>
      <c r="I121" s="95">
        <v>327</v>
      </c>
      <c r="O121" s="95" t="s">
        <v>2932</v>
      </c>
      <c r="P121" s="95" t="s">
        <v>2963</v>
      </c>
      <c r="Q121" s="95" t="s">
        <v>2922</v>
      </c>
      <c r="R121" s="95" t="s">
        <v>1281</v>
      </c>
      <c r="S121" s="95" t="s">
        <v>1177</v>
      </c>
      <c r="T121" s="95">
        <v>150</v>
      </c>
      <c r="U121" s="95" cm="1">
        <f t="array" ref="U121">IFERROR(INDEX('Offer Statistics'!$AZ$2:$AZ$350,MATCH(1,(A121='Offer Statistics'!$AK$2:$AK$350)*($A$11='Offer Statistics'!$AL$2:$AL$350),0)),"/")</f>
        <v>145</v>
      </c>
      <c r="V121" s="95" cm="1">
        <f t="array" ref="V121">IFERROR(INDEX('Offer Statistics'!$AM$2:$AM$350,MATCH(1,(A121='Offer Statistics'!$AK$2:$AK$350)*($A$11='Offer Statistics'!$AL$2:$AL$350),0)),"/")</f>
        <v>494</v>
      </c>
      <c r="W121" s="95" cm="1">
        <f t="array" ref="W121">IFERROR(INDEX('Offer Statistics'!$AU$2:$AU$350,MATCH(1,(A121='Offer Statistics'!$AK$2:$AK$350)*($A$11='Offer Statistics'!$AL$2:$AL$350),0)),"/")</f>
        <v>142</v>
      </c>
      <c r="X121" s="95">
        <f t="shared" si="453"/>
        <v>3.4788732394366195</v>
      </c>
      <c r="Y121" s="95" t="s">
        <v>1177</v>
      </c>
      <c r="Z121" s="95" t="str">
        <f>入學要求!AF130</f>
        <v>/</v>
      </c>
      <c r="AA121" s="95" t="str">
        <f>入學要求!AG130</f>
        <v>/</v>
      </c>
      <c r="AB121" s="368" t="s">
        <v>889</v>
      </c>
      <c r="AC121" s="365"/>
      <c r="AD121" s="51"/>
      <c r="AE121" s="364" t="s">
        <v>356</v>
      </c>
      <c r="AF121" s="364" t="s">
        <v>356</v>
      </c>
      <c r="AG121" s="364" t="s">
        <v>2932</v>
      </c>
      <c r="AH121" s="364" t="s">
        <v>2964</v>
      </c>
      <c r="AI121" s="364" t="s">
        <v>2922</v>
      </c>
      <c r="AJ121" s="95" t="s">
        <v>356</v>
      </c>
      <c r="AK121" s="95" t="s">
        <v>356</v>
      </c>
      <c r="AL121" s="95" t="s">
        <v>356</v>
      </c>
      <c r="AM121" s="95" t="s">
        <v>356</v>
      </c>
      <c r="AN121" s="95" t="s">
        <v>356</v>
      </c>
      <c r="AO121" s="95" t="s">
        <v>356</v>
      </c>
      <c r="AP121" s="95" t="s">
        <v>356</v>
      </c>
      <c r="AQ121" s="95" t="s">
        <v>356</v>
      </c>
      <c r="AS121" s="95" t="s">
        <v>820</v>
      </c>
      <c r="AU121" s="95" t="s">
        <v>817</v>
      </c>
      <c r="AV121" s="95" t="s">
        <v>356</v>
      </c>
      <c r="AW121" s="95" t="s">
        <v>356</v>
      </c>
      <c r="AX121" s="95" t="s">
        <v>356</v>
      </c>
      <c r="BE121" s="60"/>
      <c r="BP121" s="407">
        <f t="shared" si="454"/>
        <v>3.9999999999999998E-11</v>
      </c>
      <c r="BQ121" s="407">
        <f t="shared" si="455"/>
        <v>1.9999999999999999E-11</v>
      </c>
      <c r="BR121" s="407">
        <f t="shared" si="456"/>
        <v>3E-11</v>
      </c>
      <c r="BS121" s="407">
        <f t="shared" si="457"/>
        <v>9.9999999999999994E-12</v>
      </c>
      <c r="BT121" s="407">
        <f t="shared" si="458"/>
        <v>5.0000000000000002E-11</v>
      </c>
      <c r="BU121" s="407">
        <f t="shared" si="459"/>
        <v>6E-11</v>
      </c>
      <c r="BV121" s="407">
        <f t="shared" si="460"/>
        <v>7.0000000000000004E-11</v>
      </c>
      <c r="BW121" s="407">
        <f t="shared" si="461"/>
        <v>7.9999999999999995E-11</v>
      </c>
      <c r="BX121" s="95">
        <f t="shared" si="420"/>
        <v>0</v>
      </c>
      <c r="BY121" s="95">
        <f t="shared" si="421"/>
        <v>0</v>
      </c>
      <c r="BZ121" s="95">
        <f t="shared" si="422"/>
        <v>0</v>
      </c>
      <c r="CA121" s="95">
        <f t="shared" si="423"/>
        <v>0</v>
      </c>
      <c r="CB121" s="95">
        <f t="shared" si="424"/>
        <v>0</v>
      </c>
      <c r="CC121" s="95">
        <f t="shared" si="425"/>
        <v>0</v>
      </c>
      <c r="CD121" s="95">
        <f t="shared" si="426"/>
        <v>0</v>
      </c>
      <c r="CE121" s="95">
        <f t="shared" si="427"/>
        <v>0</v>
      </c>
      <c r="CF121" s="95" t="b">
        <f t="shared" si="486"/>
        <v>0</v>
      </c>
      <c r="CG121" s="95" t="b">
        <f t="shared" si="487"/>
        <v>0</v>
      </c>
      <c r="CH121" s="95" t="b">
        <f t="shared" si="488"/>
        <v>0</v>
      </c>
      <c r="CI121" s="95" t="b">
        <f t="shared" si="489"/>
        <v>0</v>
      </c>
      <c r="CJ121" s="95" t="b">
        <f t="shared" si="490"/>
        <v>0</v>
      </c>
      <c r="CK121" s="95" t="b">
        <f t="shared" si="491"/>
        <v>0</v>
      </c>
      <c r="CL121" s="95" t="b">
        <f t="shared" si="492"/>
        <v>0</v>
      </c>
      <c r="CM121" s="95" t="b">
        <f t="shared" si="493"/>
        <v>0</v>
      </c>
      <c r="CT121" s="60"/>
      <c r="DE121" s="222">
        <f t="shared" si="436"/>
        <v>9.9999999999999994E-12</v>
      </c>
      <c r="DF121" s="222">
        <f t="shared" si="462"/>
        <v>1.9999999999999999E-11</v>
      </c>
      <c r="DG121" s="222">
        <f t="shared" si="463"/>
        <v>3E-11</v>
      </c>
      <c r="DH121" s="222">
        <f t="shared" si="464"/>
        <v>3.9999999999999998E-11</v>
      </c>
      <c r="DI121" s="222">
        <f t="shared" si="465"/>
        <v>5.0000000000000002E-11</v>
      </c>
      <c r="DJ121" s="222">
        <f t="shared" si="466"/>
        <v>6E-11</v>
      </c>
      <c r="DK121" s="222">
        <f t="shared" si="467"/>
        <v>7.0000000000000004E-11</v>
      </c>
      <c r="DL121" s="222">
        <f t="shared" si="468"/>
        <v>7.9999999999999995E-11</v>
      </c>
      <c r="DM121" s="95">
        <f t="shared" si="437"/>
        <v>0</v>
      </c>
      <c r="DN121" s="95">
        <f t="shared" si="438"/>
        <v>0</v>
      </c>
      <c r="DO121" s="95">
        <f t="shared" si="439"/>
        <v>0</v>
      </c>
      <c r="DP121" s="95">
        <f t="shared" si="440"/>
        <v>0</v>
      </c>
      <c r="DQ121" s="95">
        <f t="shared" si="441"/>
        <v>0</v>
      </c>
      <c r="DR121" s="95">
        <f t="shared" si="442"/>
        <v>0</v>
      </c>
      <c r="DS121" s="95">
        <f t="shared" si="443"/>
        <v>0</v>
      </c>
      <c r="DT121" s="95">
        <f t="shared" si="444"/>
        <v>0</v>
      </c>
      <c r="DU121" s="95" t="b">
        <f t="shared" si="494"/>
        <v>0</v>
      </c>
      <c r="DV121" s="95" t="b">
        <f t="shared" si="495"/>
        <v>0</v>
      </c>
      <c r="DW121" s="95" t="b">
        <f t="shared" si="496"/>
        <v>0</v>
      </c>
      <c r="DX121" s="95" t="b">
        <f t="shared" si="497"/>
        <v>0</v>
      </c>
      <c r="DY121" s="95" t="b">
        <f t="shared" si="498"/>
        <v>0</v>
      </c>
      <c r="DZ121" s="95" t="b">
        <f t="shared" si="499"/>
        <v>0</v>
      </c>
      <c r="EA121" s="95" t="b">
        <f t="shared" si="500"/>
        <v>0</v>
      </c>
      <c r="EB121" s="95" t="b">
        <f t="shared" si="501"/>
        <v>0</v>
      </c>
      <c r="EC121" s="95" t="s">
        <v>435</v>
      </c>
      <c r="ED121" s="95" t="s">
        <v>435</v>
      </c>
      <c r="EE121" s="95" t="s">
        <v>435</v>
      </c>
      <c r="EF121" s="95" t="s">
        <v>435</v>
      </c>
      <c r="EG121" s="95" t="s">
        <v>435</v>
      </c>
      <c r="EH121" s="95" t="s">
        <v>435</v>
      </c>
      <c r="EI121" s="95" t="s">
        <v>435</v>
      </c>
      <c r="EJ121" s="95" t="s">
        <v>435</v>
      </c>
      <c r="EK121" s="95" t="s">
        <v>435</v>
      </c>
      <c r="EL121" s="95" t="s">
        <v>435</v>
      </c>
      <c r="EM121" s="95" t="s">
        <v>435</v>
      </c>
      <c r="EN121" s="95" t="s">
        <v>435</v>
      </c>
      <c r="EO121" s="95" t="s">
        <v>435</v>
      </c>
      <c r="EP121" s="95" t="s">
        <v>435</v>
      </c>
      <c r="EQ121" s="95" t="s">
        <v>435</v>
      </c>
      <c r="ER121" s="95" t="s">
        <v>435</v>
      </c>
      <c r="FA121" s="95" t="s">
        <v>435</v>
      </c>
      <c r="FB121" s="95" t="s">
        <v>435</v>
      </c>
      <c r="FC121" s="95" t="s">
        <v>435</v>
      </c>
      <c r="FD121" s="95" t="s">
        <v>435</v>
      </c>
      <c r="FE121" s="95" t="s">
        <v>435</v>
      </c>
      <c r="FF121" s="95" t="s">
        <v>435</v>
      </c>
      <c r="FG121" s="95" t="s">
        <v>435</v>
      </c>
      <c r="FH121" s="95" t="s">
        <v>435</v>
      </c>
      <c r="FI121" s="95" t="s">
        <v>435</v>
      </c>
      <c r="FJ121" s="95" t="s">
        <v>435</v>
      </c>
      <c r="FK121" s="95" t="s">
        <v>435</v>
      </c>
      <c r="FL121" s="95" t="s">
        <v>435</v>
      </c>
      <c r="FM121" s="95" t="s">
        <v>435</v>
      </c>
      <c r="FN121" s="95" t="s">
        <v>435</v>
      </c>
      <c r="FO121" s="95" t="s">
        <v>435</v>
      </c>
      <c r="FP121" s="95" t="s">
        <v>435</v>
      </c>
    </row>
    <row r="122" spans="1:172" s="95" customFormat="1">
      <c r="A122" s="95" t="s">
        <v>1282</v>
      </c>
      <c r="B122" s="95" t="s">
        <v>253</v>
      </c>
      <c r="C122" s="95" t="s">
        <v>1230</v>
      </c>
      <c r="D122" s="95" t="s">
        <v>1283</v>
      </c>
      <c r="E122" s="386" t="s">
        <v>815</v>
      </c>
      <c r="H122" s="95">
        <v>258.5</v>
      </c>
      <c r="I122" s="95">
        <v>253.5</v>
      </c>
      <c r="O122" s="95" t="s">
        <v>2967</v>
      </c>
      <c r="P122" s="95" t="s">
        <v>1244</v>
      </c>
      <c r="Q122" s="95" t="s">
        <v>356</v>
      </c>
      <c r="R122" s="95" t="s">
        <v>1284</v>
      </c>
      <c r="S122" s="95" t="s">
        <v>1177</v>
      </c>
      <c r="T122" s="95">
        <v>193</v>
      </c>
      <c r="U122" s="95" cm="1">
        <f t="array" ref="U122">IFERROR(INDEX('Offer Statistics'!$AZ$2:$AZ$350,MATCH(1,(A122='Offer Statistics'!$AK$2:$AK$350)*($A$11='Offer Statistics'!$AL$2:$AL$350),0)),"/")</f>
        <v>193</v>
      </c>
      <c r="V122" s="95" cm="1">
        <f t="array" ref="V122">IFERROR(INDEX('Offer Statistics'!$AM$2:$AM$350,MATCH(1,(A122='Offer Statistics'!$AK$2:$AK$350)*($A$11='Offer Statistics'!$AL$2:$AL$350),0)),"/")</f>
        <v>1125</v>
      </c>
      <c r="W122" s="95" cm="1">
        <f t="array" ref="W122">IFERROR(INDEX('Offer Statistics'!$AU$2:$AU$350,MATCH(1,(A122='Offer Statistics'!$AK$2:$AK$350)*($A$11='Offer Statistics'!$AL$2:$AL$350),0)),"/")</f>
        <v>184</v>
      </c>
      <c r="X122" s="95">
        <f t="shared" si="453"/>
        <v>6.1141304347826084</v>
      </c>
      <c r="Y122" s="95" t="s">
        <v>1177</v>
      </c>
      <c r="Z122" s="95" t="str">
        <f>入學要求!AF131</f>
        <v>/</v>
      </c>
      <c r="AA122" s="95" t="str">
        <f>入學要求!AG131</f>
        <v>/</v>
      </c>
      <c r="AB122" s="412" t="s">
        <v>889</v>
      </c>
      <c r="AC122" s="365" t="s">
        <v>2888</v>
      </c>
      <c r="AD122" s="51"/>
      <c r="AE122" s="364" t="s">
        <v>356</v>
      </c>
      <c r="AF122" s="364" t="s">
        <v>356</v>
      </c>
      <c r="AG122" s="364" t="s">
        <v>2968</v>
      </c>
      <c r="AH122" s="364" t="s">
        <v>1244</v>
      </c>
      <c r="AI122" s="364" t="s">
        <v>356</v>
      </c>
      <c r="AJ122" s="95" t="s">
        <v>356</v>
      </c>
      <c r="AK122" s="95" t="s">
        <v>356</v>
      </c>
      <c r="AL122" s="95" t="s">
        <v>356</v>
      </c>
      <c r="AM122" s="95" t="s">
        <v>356</v>
      </c>
      <c r="AN122" s="95" t="s">
        <v>356</v>
      </c>
      <c r="AO122" s="95" t="s">
        <v>356</v>
      </c>
      <c r="AP122" s="95" t="s">
        <v>356</v>
      </c>
      <c r="AQ122" s="95" t="s">
        <v>356</v>
      </c>
      <c r="AS122" s="95" t="s">
        <v>820</v>
      </c>
      <c r="AU122" s="95" t="s">
        <v>817</v>
      </c>
      <c r="AV122" s="95" t="s">
        <v>356</v>
      </c>
      <c r="AW122" s="95" t="s">
        <v>356</v>
      </c>
      <c r="AX122" s="95" t="s">
        <v>356</v>
      </c>
      <c r="BP122" s="407">
        <f t="shared" si="454"/>
        <v>3.9999999999999998E-11</v>
      </c>
      <c r="BQ122" s="407">
        <f t="shared" si="455"/>
        <v>1.9999999999999999E-11</v>
      </c>
      <c r="BR122" s="407">
        <f t="shared" si="456"/>
        <v>3E-11</v>
      </c>
      <c r="BS122" s="407">
        <f t="shared" si="457"/>
        <v>9.9999999999999994E-12</v>
      </c>
      <c r="BT122" s="407">
        <f t="shared" si="458"/>
        <v>5.0000000000000002E-11</v>
      </c>
      <c r="BU122" s="407">
        <f t="shared" si="459"/>
        <v>6E-11</v>
      </c>
      <c r="BV122" s="407">
        <f t="shared" si="460"/>
        <v>7.0000000000000004E-11</v>
      </c>
      <c r="BW122" s="407">
        <f t="shared" si="461"/>
        <v>7.9999999999999995E-11</v>
      </c>
      <c r="BX122" s="95">
        <f t="shared" si="420"/>
        <v>0</v>
      </c>
      <c r="BY122" s="95">
        <f t="shared" si="421"/>
        <v>0</v>
      </c>
      <c r="BZ122" s="95">
        <f t="shared" si="422"/>
        <v>0</v>
      </c>
      <c r="CA122" s="95">
        <f t="shared" si="423"/>
        <v>0</v>
      </c>
      <c r="CB122" s="95">
        <f t="shared" si="424"/>
        <v>0</v>
      </c>
      <c r="CC122" s="95">
        <f t="shared" si="425"/>
        <v>0</v>
      </c>
      <c r="CD122" s="95">
        <f t="shared" si="426"/>
        <v>0</v>
      </c>
      <c r="CE122" s="95">
        <f t="shared" si="427"/>
        <v>0</v>
      </c>
      <c r="CF122" s="95" t="b">
        <f t="shared" si="486"/>
        <v>1</v>
      </c>
      <c r="CG122" s="95" t="b">
        <f t="shared" si="487"/>
        <v>1</v>
      </c>
      <c r="CH122" s="95" t="b">
        <f t="shared" si="488"/>
        <v>1</v>
      </c>
      <c r="CI122" s="95" t="b">
        <f t="shared" si="489"/>
        <v>1</v>
      </c>
      <c r="CJ122" s="95" t="b">
        <f t="shared" si="490"/>
        <v>0</v>
      </c>
      <c r="CK122" s="95" t="b">
        <f t="shared" si="491"/>
        <v>0</v>
      </c>
      <c r="CL122" s="95" t="b">
        <f t="shared" si="492"/>
        <v>0</v>
      </c>
      <c r="CM122" s="95" t="b">
        <f t="shared" si="493"/>
        <v>0</v>
      </c>
      <c r="DE122" s="222">
        <f t="shared" si="436"/>
        <v>9.9999999999999994E-12</v>
      </c>
      <c r="DF122" s="222">
        <f t="shared" si="462"/>
        <v>1.9999999999999999E-11</v>
      </c>
      <c r="DG122" s="222">
        <f t="shared" si="463"/>
        <v>3E-11</v>
      </c>
      <c r="DH122" s="222">
        <f t="shared" si="464"/>
        <v>3.9999999999999998E-11</v>
      </c>
      <c r="DI122" s="222">
        <f t="shared" si="465"/>
        <v>5.0000000000000002E-11</v>
      </c>
      <c r="DJ122" s="222">
        <f t="shared" si="466"/>
        <v>6E-11</v>
      </c>
      <c r="DK122" s="222">
        <f t="shared" si="467"/>
        <v>7.0000000000000004E-11</v>
      </c>
      <c r="DL122" s="222">
        <f t="shared" si="468"/>
        <v>7.9999999999999995E-11</v>
      </c>
      <c r="DM122" s="95">
        <f t="shared" si="437"/>
        <v>0</v>
      </c>
      <c r="DN122" s="95">
        <f t="shared" si="438"/>
        <v>0</v>
      </c>
      <c r="DO122" s="95">
        <f t="shared" si="439"/>
        <v>0</v>
      </c>
      <c r="DP122" s="95">
        <f t="shared" si="440"/>
        <v>0</v>
      </c>
      <c r="DQ122" s="95">
        <f t="shared" si="441"/>
        <v>0</v>
      </c>
      <c r="DR122" s="95">
        <f t="shared" si="442"/>
        <v>0</v>
      </c>
      <c r="DS122" s="95">
        <f t="shared" si="443"/>
        <v>0</v>
      </c>
      <c r="DT122" s="95">
        <f t="shared" si="444"/>
        <v>0</v>
      </c>
      <c r="DU122" s="95" t="b">
        <f t="shared" si="494"/>
        <v>1</v>
      </c>
      <c r="DV122" s="95" t="b">
        <f t="shared" si="495"/>
        <v>1</v>
      </c>
      <c r="DW122" s="95" t="b">
        <f t="shared" si="496"/>
        <v>1</v>
      </c>
      <c r="DX122" s="95" t="b">
        <f t="shared" si="497"/>
        <v>1</v>
      </c>
      <c r="DY122" s="95" t="b">
        <f t="shared" si="498"/>
        <v>0</v>
      </c>
      <c r="DZ122" s="95" t="b">
        <f t="shared" si="499"/>
        <v>0</v>
      </c>
      <c r="EA122" s="95" t="b">
        <f t="shared" si="500"/>
        <v>0</v>
      </c>
      <c r="EB122" s="95" t="b">
        <f t="shared" si="501"/>
        <v>0</v>
      </c>
      <c r="EC122" s="95" t="s">
        <v>435</v>
      </c>
      <c r="ED122" s="95" t="s">
        <v>435</v>
      </c>
      <c r="EE122" s="95" t="s">
        <v>435</v>
      </c>
      <c r="EF122" s="95" t="s">
        <v>435</v>
      </c>
      <c r="EG122" s="95" t="s">
        <v>435</v>
      </c>
      <c r="EH122" s="95" t="s">
        <v>435</v>
      </c>
      <c r="EI122" s="95" t="s">
        <v>435</v>
      </c>
      <c r="EJ122" s="95" t="s">
        <v>435</v>
      </c>
      <c r="EK122" s="95" t="s">
        <v>435</v>
      </c>
      <c r="EL122" s="95" t="s">
        <v>435</v>
      </c>
      <c r="EM122" s="95" t="s">
        <v>435</v>
      </c>
      <c r="EN122" s="95" t="s">
        <v>435</v>
      </c>
      <c r="EO122" s="95" t="s">
        <v>435</v>
      </c>
      <c r="EP122" s="95" t="s">
        <v>435</v>
      </c>
      <c r="EQ122" s="95" t="s">
        <v>435</v>
      </c>
      <c r="ER122" s="95" t="s">
        <v>435</v>
      </c>
      <c r="FA122" s="95" t="s">
        <v>435</v>
      </c>
      <c r="FB122" s="95" t="s">
        <v>435</v>
      </c>
      <c r="FC122" s="95" t="s">
        <v>435</v>
      </c>
      <c r="FD122" s="95" t="s">
        <v>435</v>
      </c>
      <c r="FE122" s="95" t="s">
        <v>435</v>
      </c>
      <c r="FF122" s="95" t="s">
        <v>435</v>
      </c>
      <c r="FG122" s="95" t="s">
        <v>435</v>
      </c>
      <c r="FH122" s="95" t="s">
        <v>435</v>
      </c>
      <c r="FI122" s="95" t="s">
        <v>435</v>
      </c>
      <c r="FJ122" s="95" t="s">
        <v>435</v>
      </c>
      <c r="FK122" s="95" t="s">
        <v>435</v>
      </c>
      <c r="FL122" s="95" t="s">
        <v>435</v>
      </c>
      <c r="FM122" s="95" t="s">
        <v>435</v>
      </c>
      <c r="FN122" s="95" t="s">
        <v>435</v>
      </c>
      <c r="FO122" s="95" t="s">
        <v>435</v>
      </c>
      <c r="FP122" s="95" t="s">
        <v>435</v>
      </c>
    </row>
    <row r="123" spans="1:172" s="406" customFormat="1">
      <c r="A123" s="406" t="s">
        <v>1285</v>
      </c>
      <c r="B123" s="406" t="s">
        <v>253</v>
      </c>
      <c r="C123" s="406" t="s">
        <v>1214</v>
      </c>
      <c r="D123" s="406" t="s">
        <v>1286</v>
      </c>
      <c r="E123" s="410" t="s">
        <v>889</v>
      </c>
      <c r="H123" s="406">
        <v>180</v>
      </c>
      <c r="I123" s="406">
        <v>178</v>
      </c>
      <c r="O123" s="406" t="s">
        <v>2973</v>
      </c>
      <c r="P123" s="406" t="s">
        <v>1287</v>
      </c>
      <c r="Q123" s="406" t="s">
        <v>2922</v>
      </c>
      <c r="R123" s="406" t="s">
        <v>1288</v>
      </c>
      <c r="S123" s="406" t="s">
        <v>1177</v>
      </c>
      <c r="T123" s="406">
        <v>59</v>
      </c>
      <c r="U123" s="406" cm="1">
        <f t="array" ref="U123">IFERROR(INDEX('Offer Statistics'!$AZ$2:$AZ$350,MATCH(1,(A123='Offer Statistics'!$AK$2:$AK$350)*($A$11='Offer Statistics'!$AL$2:$AL$350),0)),"/")</f>
        <v>49</v>
      </c>
      <c r="V123" s="406" cm="1">
        <f t="array" ref="V123">IFERROR(INDEX('Offer Statistics'!$AM$2:$AM$350,MATCH(1,(A123='Offer Statistics'!$AK$2:$AK$350)*($A$11='Offer Statistics'!$AL$2:$AL$350),0)),"/")</f>
        <v>668</v>
      </c>
      <c r="W123" s="406" cm="1">
        <f t="array" ref="W123">IFERROR(INDEX('Offer Statistics'!$AU$2:$AU$350,MATCH(1,(A123='Offer Statistics'!$AK$2:$AK$350)*($A$11='Offer Statistics'!$AL$2:$AL$350),0)),"/")</f>
        <v>46</v>
      </c>
      <c r="X123" s="406">
        <f t="shared" si="453"/>
        <v>14.521739130434783</v>
      </c>
      <c r="Y123" s="406" t="s">
        <v>1177</v>
      </c>
      <c r="Z123" s="406" t="str">
        <f>入學要求!AF132</f>
        <v>/</v>
      </c>
      <c r="AA123" s="406" t="str">
        <f>入學要求!AG132</f>
        <v>/</v>
      </c>
      <c r="AB123" s="413" t="s">
        <v>889</v>
      </c>
      <c r="AC123" s="365"/>
      <c r="AE123" s="406" t="s">
        <v>356</v>
      </c>
      <c r="AF123" s="406" t="s">
        <v>356</v>
      </c>
      <c r="AG123" s="405" t="s">
        <v>2978</v>
      </c>
      <c r="AH123" s="405" t="s">
        <v>2907</v>
      </c>
      <c r="AI123" s="405" t="s">
        <v>2922</v>
      </c>
      <c r="AJ123" s="406" t="s">
        <v>356</v>
      </c>
      <c r="AK123" s="406" t="s">
        <v>356</v>
      </c>
      <c r="AL123" s="406" t="s">
        <v>356</v>
      </c>
      <c r="AM123" s="406" t="s">
        <v>356</v>
      </c>
      <c r="AN123" s="406" t="s">
        <v>356</v>
      </c>
      <c r="AO123" s="406" t="s">
        <v>356</v>
      </c>
      <c r="AP123" s="406" t="s">
        <v>356</v>
      </c>
      <c r="AQ123" s="406" t="s">
        <v>356</v>
      </c>
      <c r="AS123" s="95" t="s">
        <v>820</v>
      </c>
      <c r="AT123" s="95"/>
      <c r="AU123" s="406" t="s">
        <v>817</v>
      </c>
      <c r="AV123" s="406" t="s">
        <v>356</v>
      </c>
      <c r="AW123" s="406" t="s">
        <v>356</v>
      </c>
      <c r="AX123" s="406" t="s">
        <v>356</v>
      </c>
      <c r="BP123" s="407">
        <f t="shared" si="454"/>
        <v>3.9999999999999998E-11</v>
      </c>
      <c r="BQ123" s="407">
        <f t="shared" si="455"/>
        <v>1.9999999999999999E-11</v>
      </c>
      <c r="BR123" s="407">
        <f t="shared" si="456"/>
        <v>3E-11</v>
      </c>
      <c r="BS123" s="407">
        <f t="shared" si="457"/>
        <v>9.9999999999999994E-12</v>
      </c>
      <c r="BT123" s="407">
        <f t="shared" si="458"/>
        <v>5.0000000000000002E-11</v>
      </c>
      <c r="BU123" s="407">
        <f t="shared" si="459"/>
        <v>6E-11</v>
      </c>
      <c r="BV123" s="407">
        <f t="shared" si="460"/>
        <v>7.0000000000000004E-11</v>
      </c>
      <c r="BW123" s="407">
        <f t="shared" si="461"/>
        <v>7.9999999999999995E-11</v>
      </c>
      <c r="BX123" s="406">
        <f t="shared" si="420"/>
        <v>0</v>
      </c>
      <c r="BY123" s="406">
        <f t="shared" si="421"/>
        <v>0</v>
      </c>
      <c r="BZ123" s="406">
        <f t="shared" si="422"/>
        <v>0</v>
      </c>
      <c r="CA123" s="406">
        <f t="shared" si="423"/>
        <v>0</v>
      </c>
      <c r="CB123" s="406">
        <f t="shared" si="424"/>
        <v>0</v>
      </c>
      <c r="CC123" s="406">
        <f t="shared" si="425"/>
        <v>0</v>
      </c>
      <c r="CD123" s="406">
        <f t="shared" si="426"/>
        <v>0</v>
      </c>
      <c r="CE123" s="406">
        <f t="shared" si="427"/>
        <v>0</v>
      </c>
      <c r="CF123" s="406" t="b">
        <f t="shared" si="486"/>
        <v>0</v>
      </c>
      <c r="CG123" s="406" t="b">
        <f t="shared" si="487"/>
        <v>0</v>
      </c>
      <c r="CH123" s="406" t="b">
        <f t="shared" si="488"/>
        <v>0</v>
      </c>
      <c r="CI123" s="406" t="b">
        <f t="shared" si="489"/>
        <v>0</v>
      </c>
      <c r="CJ123" s="406" t="b">
        <f t="shared" si="490"/>
        <v>0</v>
      </c>
      <c r="CK123" s="406" t="b">
        <f t="shared" si="491"/>
        <v>0</v>
      </c>
      <c r="CL123" s="406" t="b">
        <f t="shared" si="492"/>
        <v>0</v>
      </c>
      <c r="CM123" s="406" t="b">
        <f t="shared" si="493"/>
        <v>0</v>
      </c>
      <c r="DE123" s="407">
        <f t="shared" si="436"/>
        <v>9.9999999999999994E-12</v>
      </c>
      <c r="DF123" s="407">
        <f t="shared" si="462"/>
        <v>1.9999999999999999E-11</v>
      </c>
      <c r="DG123" s="407">
        <f t="shared" si="463"/>
        <v>3E-11</v>
      </c>
      <c r="DH123" s="407">
        <f t="shared" si="464"/>
        <v>3.9999999999999998E-11</v>
      </c>
      <c r="DI123" s="407">
        <f t="shared" si="465"/>
        <v>5.0000000000000002E-11</v>
      </c>
      <c r="DJ123" s="407">
        <f t="shared" si="466"/>
        <v>6E-11</v>
      </c>
      <c r="DK123" s="407">
        <f t="shared" si="467"/>
        <v>7.0000000000000004E-11</v>
      </c>
      <c r="DL123" s="407">
        <f t="shared" si="468"/>
        <v>7.9999999999999995E-11</v>
      </c>
      <c r="DM123" s="406">
        <f t="shared" si="437"/>
        <v>0</v>
      </c>
      <c r="DN123" s="406">
        <f t="shared" si="438"/>
        <v>0</v>
      </c>
      <c r="DO123" s="406">
        <f t="shared" si="439"/>
        <v>0</v>
      </c>
      <c r="DP123" s="406">
        <f t="shared" si="440"/>
        <v>0</v>
      </c>
      <c r="DQ123" s="406">
        <f t="shared" si="441"/>
        <v>0</v>
      </c>
      <c r="DR123" s="406">
        <f t="shared" si="442"/>
        <v>0</v>
      </c>
      <c r="DS123" s="406">
        <f t="shared" si="443"/>
        <v>0</v>
      </c>
      <c r="DT123" s="406">
        <f t="shared" si="444"/>
        <v>0</v>
      </c>
      <c r="DU123" s="406" t="b">
        <f t="shared" si="494"/>
        <v>0</v>
      </c>
      <c r="DV123" s="406" t="b">
        <f t="shared" si="495"/>
        <v>0</v>
      </c>
      <c r="DW123" s="406" t="b">
        <f t="shared" si="496"/>
        <v>0</v>
      </c>
      <c r="DX123" s="406" t="b">
        <f t="shared" si="497"/>
        <v>0</v>
      </c>
      <c r="DY123" s="406" t="b">
        <f t="shared" si="498"/>
        <v>0</v>
      </c>
      <c r="DZ123" s="406" t="b">
        <f t="shared" si="499"/>
        <v>0</v>
      </c>
      <c r="EA123" s="406" t="b">
        <f t="shared" si="500"/>
        <v>0</v>
      </c>
      <c r="EB123" s="406" t="b">
        <f t="shared" si="501"/>
        <v>0</v>
      </c>
      <c r="EC123" s="406" t="s">
        <v>435</v>
      </c>
      <c r="ED123" s="406" t="s">
        <v>435</v>
      </c>
      <c r="EE123" s="406" t="s">
        <v>435</v>
      </c>
      <c r="EF123" s="406" t="s">
        <v>435</v>
      </c>
      <c r="EG123" s="406" t="s">
        <v>435</v>
      </c>
      <c r="EH123" s="406" t="s">
        <v>435</v>
      </c>
      <c r="EI123" s="406" t="s">
        <v>435</v>
      </c>
      <c r="EJ123" s="406" t="s">
        <v>435</v>
      </c>
      <c r="EK123" s="406" t="s">
        <v>435</v>
      </c>
      <c r="EL123" s="406" t="s">
        <v>435</v>
      </c>
      <c r="EM123" s="406" t="s">
        <v>435</v>
      </c>
      <c r="EN123" s="406" t="s">
        <v>435</v>
      </c>
      <c r="EO123" s="406" t="s">
        <v>435</v>
      </c>
      <c r="EP123" s="406" t="s">
        <v>435</v>
      </c>
      <c r="EQ123" s="406" t="s">
        <v>435</v>
      </c>
      <c r="ER123" s="406" t="s">
        <v>435</v>
      </c>
      <c r="FA123" s="406" t="s">
        <v>435</v>
      </c>
      <c r="FB123" s="406" t="s">
        <v>435</v>
      </c>
      <c r="FC123" s="406" t="s">
        <v>435</v>
      </c>
      <c r="FD123" s="406" t="s">
        <v>435</v>
      </c>
      <c r="FE123" s="406" t="s">
        <v>435</v>
      </c>
      <c r="FF123" s="406" t="s">
        <v>435</v>
      </c>
      <c r="FG123" s="406" t="s">
        <v>435</v>
      </c>
      <c r="FH123" s="406" t="s">
        <v>435</v>
      </c>
      <c r="FI123" s="406" t="s">
        <v>435</v>
      </c>
      <c r="FJ123" s="406" t="s">
        <v>435</v>
      </c>
      <c r="FK123" s="406" t="s">
        <v>435</v>
      </c>
      <c r="FL123" s="406" t="s">
        <v>435</v>
      </c>
      <c r="FM123" s="406" t="s">
        <v>435</v>
      </c>
      <c r="FN123" s="406" t="s">
        <v>435</v>
      </c>
      <c r="FO123" s="406" t="s">
        <v>435</v>
      </c>
      <c r="FP123" s="406" t="s">
        <v>435</v>
      </c>
    </row>
    <row r="124" spans="1:172" s="95" customFormat="1">
      <c r="A124" s="95" t="s">
        <v>1289</v>
      </c>
      <c r="B124" s="95" t="s">
        <v>253</v>
      </c>
      <c r="C124" s="95" t="s">
        <v>1214</v>
      </c>
      <c r="D124" s="95" t="s">
        <v>1290</v>
      </c>
      <c r="E124" s="386" t="s">
        <v>889</v>
      </c>
      <c r="H124" s="95">
        <v>208</v>
      </c>
      <c r="I124" s="95">
        <v>195</v>
      </c>
      <c r="O124" s="95" t="s">
        <v>2979</v>
      </c>
      <c r="P124" s="95" t="s">
        <v>1244</v>
      </c>
      <c r="Q124" s="95" t="s">
        <v>356</v>
      </c>
      <c r="R124" s="95" t="s">
        <v>1291</v>
      </c>
      <c r="S124" s="95" t="s">
        <v>1177</v>
      </c>
      <c r="T124" s="95">
        <v>113</v>
      </c>
      <c r="U124" s="95" cm="1">
        <f t="array" ref="U124">IFERROR(INDEX('Offer Statistics'!$AZ$2:$AZ$350,MATCH(1,(A124='Offer Statistics'!$AK$2:$AK$350)*($A$11='Offer Statistics'!$AL$2:$AL$350),0)),"/")</f>
        <v>87</v>
      </c>
      <c r="V124" s="95" cm="1">
        <f t="array" ref="V124">IFERROR(INDEX('Offer Statistics'!$AM$2:$AM$350,MATCH(1,(A124='Offer Statistics'!$AK$2:$AK$350)*($A$11='Offer Statistics'!$AL$2:$AL$350),0)),"/")</f>
        <v>1008</v>
      </c>
      <c r="W124" s="95" cm="1">
        <f t="array" ref="W124">IFERROR(INDEX('Offer Statistics'!$AU$2:$AU$350,MATCH(1,(A124='Offer Statistics'!$AK$2:$AK$350)*($A$11='Offer Statistics'!$AL$2:$AL$350),0)),"/")</f>
        <v>83</v>
      </c>
      <c r="X124" s="95">
        <f t="shared" si="453"/>
        <v>12.144578313253012</v>
      </c>
      <c r="Y124" s="95" t="s">
        <v>1177</v>
      </c>
      <c r="Z124" s="95" t="str">
        <f>入學要求!AF133</f>
        <v>/</v>
      </c>
      <c r="AA124" s="95" t="str">
        <f>入學要求!AG133</f>
        <v>/</v>
      </c>
      <c r="AB124" s="368" t="s">
        <v>889</v>
      </c>
      <c r="AC124" s="365"/>
      <c r="AD124" s="51"/>
      <c r="AE124" s="364" t="s">
        <v>356</v>
      </c>
      <c r="AF124" s="364" t="s">
        <v>356</v>
      </c>
      <c r="AG124" s="364" t="s">
        <v>2979</v>
      </c>
      <c r="AH124" s="364" t="s">
        <v>1244</v>
      </c>
      <c r="AI124" s="364"/>
      <c r="AJ124" s="95" t="s">
        <v>356</v>
      </c>
      <c r="AK124" s="95" t="s">
        <v>356</v>
      </c>
      <c r="AL124" s="95" t="s">
        <v>356</v>
      </c>
      <c r="AM124" s="95" t="s">
        <v>356</v>
      </c>
      <c r="AN124" s="95" t="s">
        <v>356</v>
      </c>
      <c r="AO124" s="95" t="s">
        <v>356</v>
      </c>
      <c r="AP124" s="95" t="s">
        <v>356</v>
      </c>
      <c r="AQ124" s="95" t="s">
        <v>356</v>
      </c>
      <c r="AS124" s="95" t="s">
        <v>820</v>
      </c>
      <c r="AU124" s="95" t="s">
        <v>817</v>
      </c>
      <c r="AV124" s="95" t="s">
        <v>356</v>
      </c>
      <c r="AW124" s="95" t="s">
        <v>356</v>
      </c>
      <c r="AX124" s="95" t="s">
        <v>356</v>
      </c>
      <c r="BP124" s="407">
        <f t="shared" si="454"/>
        <v>3.9999999999999998E-11</v>
      </c>
      <c r="BQ124" s="407">
        <f t="shared" si="455"/>
        <v>1.9999999999999999E-11</v>
      </c>
      <c r="BR124" s="407">
        <f t="shared" si="456"/>
        <v>3E-11</v>
      </c>
      <c r="BS124" s="407">
        <f t="shared" si="457"/>
        <v>9.9999999999999994E-12</v>
      </c>
      <c r="BT124" s="407">
        <f t="shared" si="458"/>
        <v>5.0000000000000002E-11</v>
      </c>
      <c r="BU124" s="407">
        <f t="shared" si="459"/>
        <v>6E-11</v>
      </c>
      <c r="BV124" s="407">
        <f t="shared" si="460"/>
        <v>7.0000000000000004E-11</v>
      </c>
      <c r="BW124" s="407">
        <f t="shared" si="461"/>
        <v>7.9999999999999995E-11</v>
      </c>
      <c r="BX124" s="95">
        <f t="shared" si="420"/>
        <v>0</v>
      </c>
      <c r="BY124" s="95">
        <f t="shared" si="421"/>
        <v>0</v>
      </c>
      <c r="BZ124" s="95">
        <f t="shared" si="422"/>
        <v>0</v>
      </c>
      <c r="CA124" s="95">
        <f t="shared" si="423"/>
        <v>0</v>
      </c>
      <c r="CB124" s="95">
        <f t="shared" si="424"/>
        <v>0</v>
      </c>
      <c r="CC124" s="95">
        <f t="shared" si="425"/>
        <v>0</v>
      </c>
      <c r="CD124" s="95">
        <f t="shared" si="426"/>
        <v>0</v>
      </c>
      <c r="CE124" s="95">
        <f t="shared" si="427"/>
        <v>0</v>
      </c>
      <c r="CF124" s="95" t="b">
        <f t="shared" si="486"/>
        <v>0</v>
      </c>
      <c r="CG124" s="95" t="b">
        <f t="shared" si="487"/>
        <v>0</v>
      </c>
      <c r="CH124" s="95" t="b">
        <f t="shared" si="488"/>
        <v>0</v>
      </c>
      <c r="CI124" s="95" t="b">
        <f t="shared" si="489"/>
        <v>0</v>
      </c>
      <c r="CJ124" s="95" t="b">
        <f t="shared" si="490"/>
        <v>0</v>
      </c>
      <c r="CK124" s="95" t="b">
        <f t="shared" si="491"/>
        <v>0</v>
      </c>
      <c r="CL124" s="95" t="b">
        <f t="shared" si="492"/>
        <v>0</v>
      </c>
      <c r="CM124" s="95" t="b">
        <f t="shared" si="493"/>
        <v>0</v>
      </c>
      <c r="DE124" s="222">
        <f t="shared" si="436"/>
        <v>9.9999999999999994E-12</v>
      </c>
      <c r="DF124" s="222">
        <f t="shared" si="462"/>
        <v>1.9999999999999999E-11</v>
      </c>
      <c r="DG124" s="222">
        <f t="shared" si="463"/>
        <v>3E-11</v>
      </c>
      <c r="DH124" s="222">
        <f t="shared" si="464"/>
        <v>3.9999999999999998E-11</v>
      </c>
      <c r="DI124" s="222">
        <f t="shared" si="465"/>
        <v>5.0000000000000002E-11</v>
      </c>
      <c r="DJ124" s="222">
        <f t="shared" si="466"/>
        <v>6E-11</v>
      </c>
      <c r="DK124" s="222">
        <f t="shared" si="467"/>
        <v>7.0000000000000004E-11</v>
      </c>
      <c r="DL124" s="222">
        <f t="shared" si="468"/>
        <v>7.9999999999999995E-11</v>
      </c>
      <c r="DM124" s="95">
        <f t="shared" si="437"/>
        <v>0</v>
      </c>
      <c r="DN124" s="95">
        <f t="shared" si="438"/>
        <v>0</v>
      </c>
      <c r="DO124" s="95">
        <f t="shared" si="439"/>
        <v>0</v>
      </c>
      <c r="DP124" s="95">
        <f t="shared" si="440"/>
        <v>0</v>
      </c>
      <c r="DQ124" s="95">
        <f t="shared" si="441"/>
        <v>0</v>
      </c>
      <c r="DR124" s="95">
        <f t="shared" si="442"/>
        <v>0</v>
      </c>
      <c r="DS124" s="95">
        <f t="shared" si="443"/>
        <v>0</v>
      </c>
      <c r="DT124" s="95">
        <f t="shared" si="444"/>
        <v>0</v>
      </c>
      <c r="DU124" s="95" t="b">
        <f t="shared" si="494"/>
        <v>0</v>
      </c>
      <c r="DV124" s="95" t="b">
        <f t="shared" si="495"/>
        <v>0</v>
      </c>
      <c r="DW124" s="95" t="b">
        <f t="shared" si="496"/>
        <v>0</v>
      </c>
      <c r="DX124" s="95" t="b">
        <f t="shared" si="497"/>
        <v>0</v>
      </c>
      <c r="DY124" s="95" t="b">
        <f t="shared" si="498"/>
        <v>0</v>
      </c>
      <c r="DZ124" s="95" t="b">
        <f t="shared" si="499"/>
        <v>0</v>
      </c>
      <c r="EA124" s="95" t="b">
        <f t="shared" si="500"/>
        <v>0</v>
      </c>
      <c r="EB124" s="95" t="b">
        <f t="shared" si="501"/>
        <v>0</v>
      </c>
      <c r="EC124" s="95" t="s">
        <v>435</v>
      </c>
      <c r="ED124" s="95" t="s">
        <v>435</v>
      </c>
      <c r="EE124" s="95" t="s">
        <v>435</v>
      </c>
      <c r="EF124" s="95" t="s">
        <v>435</v>
      </c>
      <c r="EG124" s="95" t="s">
        <v>435</v>
      </c>
      <c r="EH124" s="95" t="s">
        <v>435</v>
      </c>
      <c r="EI124" s="95" t="s">
        <v>435</v>
      </c>
      <c r="EJ124" s="95" t="s">
        <v>435</v>
      </c>
      <c r="EK124" s="95" t="s">
        <v>435</v>
      </c>
      <c r="EL124" s="95" t="s">
        <v>435</v>
      </c>
      <c r="EM124" s="95" t="s">
        <v>435</v>
      </c>
      <c r="EN124" s="95" t="s">
        <v>435</v>
      </c>
      <c r="EO124" s="95" t="s">
        <v>435</v>
      </c>
      <c r="EP124" s="95" t="s">
        <v>435</v>
      </c>
      <c r="EQ124" s="95" t="s">
        <v>435</v>
      </c>
      <c r="ER124" s="95" t="s">
        <v>435</v>
      </c>
      <c r="FA124" s="95" t="s">
        <v>435</v>
      </c>
      <c r="FB124" s="95" t="s">
        <v>435</v>
      </c>
      <c r="FC124" s="95" t="s">
        <v>435</v>
      </c>
      <c r="FD124" s="95" t="s">
        <v>435</v>
      </c>
      <c r="FE124" s="95" t="s">
        <v>435</v>
      </c>
      <c r="FF124" s="95" t="s">
        <v>435</v>
      </c>
      <c r="FG124" s="95" t="s">
        <v>435</v>
      </c>
      <c r="FH124" s="95" t="s">
        <v>435</v>
      </c>
      <c r="FI124" s="95" t="s">
        <v>435</v>
      </c>
      <c r="FJ124" s="95" t="s">
        <v>435</v>
      </c>
      <c r="FK124" s="95" t="s">
        <v>435</v>
      </c>
      <c r="FL124" s="95" t="s">
        <v>435</v>
      </c>
      <c r="FM124" s="95" t="s">
        <v>435</v>
      </c>
      <c r="FN124" s="95" t="s">
        <v>435</v>
      </c>
      <c r="FO124" s="95" t="s">
        <v>435</v>
      </c>
      <c r="FP124" s="95" t="s">
        <v>435</v>
      </c>
    </row>
    <row r="125" spans="1:172" s="406" customFormat="1">
      <c r="A125" s="406" t="s">
        <v>2558</v>
      </c>
      <c r="B125" s="406" t="s">
        <v>253</v>
      </c>
      <c r="C125" s="406" t="s">
        <v>975</v>
      </c>
      <c r="D125" s="406" t="s">
        <v>2844</v>
      </c>
      <c r="E125" s="410" t="s">
        <v>889</v>
      </c>
      <c r="H125" s="406">
        <v>188</v>
      </c>
      <c r="I125" s="406">
        <v>179</v>
      </c>
      <c r="M125" s="406" t="s">
        <v>2902</v>
      </c>
      <c r="N125" s="406" t="s">
        <v>2903</v>
      </c>
      <c r="O125" s="406" t="s">
        <v>2969</v>
      </c>
      <c r="P125" s="406" t="s">
        <v>1175</v>
      </c>
      <c r="Q125" s="406" t="s">
        <v>2922</v>
      </c>
      <c r="R125" s="406" t="s">
        <v>2845</v>
      </c>
      <c r="S125" s="406" t="s">
        <v>1177</v>
      </c>
      <c r="T125" s="406">
        <v>37</v>
      </c>
      <c r="U125" s="406" t="str" cm="1">
        <f t="array" ref="U125">IFERROR(INDEX('Offer Statistics'!$AZ$2:$AZ$350,MATCH(1,(A125='Offer Statistics'!$AK$2:$AK$350)*($A$11='Offer Statistics'!$AL$2:$AL$350),0)),"/")</f>
        <v>/</v>
      </c>
      <c r="V125" s="406" t="str" cm="1">
        <f t="array" ref="V125">IFERROR(INDEX('Offer Statistics'!$AM$2:$AM$350,MATCH(1,(A125='Offer Statistics'!$AK$2:$AK$350)*($A$11='Offer Statistics'!$AL$2:$AL$350),0)),"/")</f>
        <v>/</v>
      </c>
      <c r="W125" s="406" t="str" cm="1">
        <f t="array" ref="W125">IFERROR(INDEX('Offer Statistics'!$AU$2:$AU$350,MATCH(1,(A125='Offer Statistics'!$AK$2:$AK$350)*($A$11='Offer Statistics'!$AL$2:$AL$350),0)),"/")</f>
        <v>/</v>
      </c>
      <c r="X125" s="406" t="str">
        <f>IFERROR(V125/W125,"新科目")</f>
        <v>新科目</v>
      </c>
      <c r="Y125" s="406" t="s">
        <v>1177</v>
      </c>
      <c r="Z125" s="95" t="str">
        <f>入學要求!AF134</f>
        <v>/</v>
      </c>
      <c r="AA125" s="95" t="str">
        <f>入學要求!AG134</f>
        <v>/</v>
      </c>
      <c r="AB125" s="413" t="s">
        <v>889</v>
      </c>
      <c r="AC125" s="51"/>
      <c r="AD125" s="51"/>
      <c r="AE125" s="364" t="s">
        <v>356</v>
      </c>
      <c r="AF125" s="364" t="s">
        <v>356</v>
      </c>
      <c r="AG125" s="405" t="s">
        <v>2969</v>
      </c>
      <c r="AH125" s="405" t="s">
        <v>2917</v>
      </c>
      <c r="AI125" s="405" t="s">
        <v>2922</v>
      </c>
      <c r="BP125" s="407"/>
      <c r="BQ125" s="407"/>
      <c r="BR125" s="407"/>
      <c r="BS125" s="407"/>
      <c r="BT125" s="407"/>
      <c r="BU125" s="407"/>
      <c r="BV125" s="407"/>
      <c r="BW125" s="407"/>
      <c r="DE125" s="407"/>
      <c r="DF125" s="407"/>
      <c r="DG125" s="407"/>
      <c r="DH125" s="407"/>
      <c r="DI125" s="407"/>
      <c r="DJ125" s="407"/>
      <c r="DK125" s="407"/>
      <c r="DL125" s="407"/>
    </row>
    <row r="126" spans="1:172">
      <c r="B126" s="359" t="s">
        <v>2983</v>
      </c>
      <c r="E126" s="11"/>
    </row>
    <row r="127" spans="1:172">
      <c r="B127" s="360" t="s">
        <v>2783</v>
      </c>
      <c r="R127" s="128"/>
      <c r="T127" s="2" t="s">
        <v>75</v>
      </c>
      <c r="U127" s="2" t="s">
        <v>124</v>
      </c>
      <c r="X127" s="2" t="s">
        <v>1062</v>
      </c>
    </row>
    <row r="128" spans="1:172" ht="15.6">
      <c r="A128" s="2" t="s">
        <v>1292</v>
      </c>
      <c r="B128" s="2" t="s">
        <v>255</v>
      </c>
      <c r="C128" s="2" t="s">
        <v>1064</v>
      </c>
      <c r="D128" s="2" t="s">
        <v>1293</v>
      </c>
      <c r="E128" s="2" t="s">
        <v>889</v>
      </c>
      <c r="F128" s="2" t="s">
        <v>356</v>
      </c>
      <c r="G128" s="2">
        <v>25</v>
      </c>
      <c r="H128" s="2">
        <v>24.5</v>
      </c>
      <c r="I128" s="2">
        <v>23</v>
      </c>
      <c r="J128" s="2">
        <f>SUMIF(FI128:FP128,TRUE,FA128:FH128)</f>
        <v>25.000000000209997</v>
      </c>
      <c r="K128" s="2">
        <f>SUMIF(DU128:EB128,TRUE,DM128:DT128)</f>
        <v>24.5000000002</v>
      </c>
      <c r="L128" s="2">
        <f>SUMIF(CF128:CM128,TRUE,BX128:CE128)</f>
        <v>23.000000000220002</v>
      </c>
      <c r="M128" s="364" t="s">
        <v>356</v>
      </c>
      <c r="N128" s="364" t="s">
        <v>356</v>
      </c>
      <c r="O128" s="364" t="s">
        <v>356</v>
      </c>
      <c r="P128" s="364" t="s">
        <v>356</v>
      </c>
      <c r="Q128" s="364" t="s">
        <v>356</v>
      </c>
      <c r="R128" s="2" t="s">
        <v>1294</v>
      </c>
      <c r="S128" s="2" t="s">
        <v>1177</v>
      </c>
      <c r="T128" s="2">
        <v>18</v>
      </c>
      <c r="U128" s="2" cm="1">
        <f t="array" ref="U128">IFERROR(INDEX('Offer Statistics'!$BQ$2:$BQ$400,MATCH(1,(A128='Offer Statistics'!$BB$2:$BB$400)*($A$11='Offer Statistics'!$BC$2:$BC$400),0)),"/")</f>
        <v>25</v>
      </c>
      <c r="V128" s="2" cm="1">
        <f t="array" ref="V128">IFERROR(INDEX('Offer Statistics'!$BD$2:$BD$400,MATCH(1,(A128='Offer Statistics'!$BB$2:$BB$400)*($A$11='Offer Statistics'!$BC$2:$BC$400),0)),"/")</f>
        <v>200</v>
      </c>
      <c r="W128" s="2" cm="1">
        <f t="array" ref="W128">IFERROR(INDEX('Offer Statistics'!$BL$2:$BL$400,MATCH(1,(A128='Offer Statistics'!$BB$2:$BB$400)*($A$11='Offer Statistics'!$BC$2:$BC$400),0)),"/")</f>
        <v>25</v>
      </c>
      <c r="X128" s="2">
        <f t="shared" ref="X128:X192" si="502">IFERROR(V128/W128,"新科目")</f>
        <v>8</v>
      </c>
      <c r="Y128" s="2" t="s">
        <v>1177</v>
      </c>
      <c r="Z128" s="364" t="str">
        <f>入學要求!AF137</f>
        <v>/</v>
      </c>
      <c r="AA128" s="364" t="str">
        <f>入學要求!AG137</f>
        <v>/</v>
      </c>
      <c r="AB128" s="368" t="s">
        <v>889</v>
      </c>
      <c r="AC128" s="368"/>
      <c r="AD128" s="368"/>
      <c r="AE128" s="368" t="s">
        <v>356</v>
      </c>
      <c r="AF128" s="368" t="s">
        <v>356</v>
      </c>
      <c r="AG128" s="368" t="s">
        <v>356</v>
      </c>
      <c r="AH128" s="368" t="s">
        <v>356</v>
      </c>
      <c r="AI128" s="368" t="s">
        <v>356</v>
      </c>
      <c r="AJ128" s="2" t="s">
        <v>356</v>
      </c>
      <c r="AK128" s="2" t="s">
        <v>356</v>
      </c>
      <c r="AL128" s="2" t="s">
        <v>356</v>
      </c>
      <c r="AM128" s="2" t="s">
        <v>356</v>
      </c>
      <c r="AN128" s="2" t="s">
        <v>356</v>
      </c>
      <c r="AO128" s="2" t="s">
        <v>356</v>
      </c>
      <c r="AP128" s="2" t="s">
        <v>356</v>
      </c>
      <c r="AQ128" s="2" t="s">
        <v>356</v>
      </c>
      <c r="AS128" s="2" t="s">
        <v>820</v>
      </c>
      <c r="AU128" s="2" t="s">
        <v>817</v>
      </c>
      <c r="AY128" s="2">
        <v>1</v>
      </c>
      <c r="AZ128" s="2">
        <v>1</v>
      </c>
      <c r="BA128" s="2">
        <v>1</v>
      </c>
      <c r="BB128" s="2">
        <v>1</v>
      </c>
      <c r="BC128" s="2">
        <v>1</v>
      </c>
      <c r="BD128" s="2">
        <v>1</v>
      </c>
      <c r="BE128" s="2">
        <v>1</v>
      </c>
      <c r="BF128" s="2">
        <v>1</v>
      </c>
      <c r="BG128" s="2" t="s">
        <v>1292</v>
      </c>
      <c r="BH128">
        <v>4</v>
      </c>
      <c r="BI128">
        <v>7</v>
      </c>
      <c r="BJ128">
        <v>4</v>
      </c>
      <c r="BK128">
        <v>4</v>
      </c>
      <c r="BL128" t="s">
        <v>356</v>
      </c>
      <c r="BM128">
        <v>4</v>
      </c>
      <c r="BN128">
        <v>4</v>
      </c>
      <c r="BO128" t="s">
        <v>356</v>
      </c>
      <c r="BP128" s="206">
        <f>IFERROR(BH128+0.00000000004,0)</f>
        <v>4.00000000004</v>
      </c>
      <c r="BQ128" s="206">
        <f t="shared" ref="BQ128" si="503">IFERROR(BI128+0.00000000002,0)</f>
        <v>7.00000000002</v>
      </c>
      <c r="BR128" s="206">
        <f t="shared" ref="BR128" si="504">IFERROR(BJ128+0.00000000003,0)</f>
        <v>4.00000000003</v>
      </c>
      <c r="BS128" s="206">
        <f>IFERROR(BK128+0.00000000001,0)</f>
        <v>4.00000000001</v>
      </c>
      <c r="BT128" s="206">
        <f t="shared" ref="BT128" si="505">IFERROR(BL128+0.00000000005,0)</f>
        <v>0</v>
      </c>
      <c r="BU128" s="206">
        <f t="shared" ref="BU128" si="506">IFERROR(BM128+0.00000000006,0)</f>
        <v>4.00000000006</v>
      </c>
      <c r="BV128" s="206">
        <f t="shared" ref="BV128" si="507">IFERROR(BN128+0.00000000007,0)</f>
        <v>4.00000000007</v>
      </c>
      <c r="BW128" s="206">
        <f t="shared" ref="BW128" si="508">IFERROR(BO128+0.00000000008,0)</f>
        <v>0</v>
      </c>
      <c r="BX128" s="2">
        <f t="shared" ref="BX128:BX159" si="509">AY128*BP128</f>
        <v>4.00000000004</v>
      </c>
      <c r="BY128" s="2">
        <f t="shared" ref="BY128:BY159" si="510">AZ128*BQ128</f>
        <v>7.00000000002</v>
      </c>
      <c r="BZ128" s="2">
        <f t="shared" ref="BZ128:BZ159" si="511">BA128*BR128</f>
        <v>4.00000000003</v>
      </c>
      <c r="CA128" s="2">
        <f t="shared" ref="CA128:CA159" si="512">BB128*BS128</f>
        <v>4.00000000001</v>
      </c>
      <c r="CB128" s="2">
        <f t="shared" ref="CB128:CB159" si="513">BC128*BT128</f>
        <v>0</v>
      </c>
      <c r="CC128" s="2">
        <f t="shared" ref="CC128:CC159" si="514">BD128*BU128</f>
        <v>4.00000000006</v>
      </c>
      <c r="CD128" s="2">
        <f t="shared" ref="CD128:CD159" si="515">BE128*BV128</f>
        <v>4.00000000007</v>
      </c>
      <c r="CE128" s="2">
        <f t="shared" ref="CE128:CE159" si="516">BF128*BW128</f>
        <v>0</v>
      </c>
      <c r="CF128" s="2" t="b">
        <f t="shared" ref="CF128:CF137" si="517">IF($E128="4C2X",TRUE,IF($E128="Best 5",IF(BX128&gt;LARGE($BX128:$CE128,6),TRUE),IF($E128="Best 6",IF(BX128&gt;LARGE($BX128:$CE128,7),TRUE))))</f>
        <v>1</v>
      </c>
      <c r="CG128" s="2" t="b">
        <f t="shared" ref="CG128:CG137" si="518">IF($E128="4C2X",TRUE,IF($E128="Best 5",IF(BY128&gt;LARGE($BX128:$CE128,6),TRUE),IF($E128="Best 6",IF(BY128&gt;LARGE($BX128:$CE128,7),TRUE))))</f>
        <v>1</v>
      </c>
      <c r="CH128" s="2" t="b">
        <f t="shared" ref="CH128:CH137" si="519">IF($E128="4C2X",TRUE,IF($E128="Best 5",IF(BZ128&gt;LARGE($BX128:$CE128,6),TRUE),IF($E128="Best 6",IF(BZ128&gt;LARGE($BX128:$CE128,7),TRUE))))</f>
        <v>1</v>
      </c>
      <c r="CI128" s="2" t="b">
        <f t="shared" ref="CI128:CI137" si="520">IF($E128="4C2X",TRUE,IF($E128="Best 5",IF(CA128&gt;LARGE($BX128:$CE128,6),TRUE),IF($E128="Best 6",IF(CA128&gt;LARGE($BX128:$CE128,7),TRUE))))</f>
        <v>0</v>
      </c>
      <c r="CJ128" s="2" t="b">
        <f t="shared" ref="CJ128:CJ137" si="521">IF($E128="4C2X",IF(CB128&gt;LARGE($CB128:$CE128,3),TRUE),IF($E128="Best 5",IF(CB128&gt;LARGE($BX128:$CE128,6),TRUE),IF($E128="Best 6",IF(CB128&gt;LARGE($BX128:$CE128,7),TRUE))))</f>
        <v>0</v>
      </c>
      <c r="CK128" s="2" t="b">
        <f t="shared" ref="CK128:CK137" si="522">IF($E128="4C2X",IF(CC128&gt;LARGE($CB128:$CE128,3),TRUE),IF($E128="Best 5",IF(CC128&gt;LARGE($BX128:$CE128,6),TRUE),IF($E128="Best 6",IF(CC128&gt;LARGE($BX128:$CE128,7),TRUE))))</f>
        <v>1</v>
      </c>
      <c r="CL128" s="2" t="b">
        <f t="shared" ref="CL128:CL137" si="523">IF($E128="4C2X",IF(CD128&gt;LARGE($CB128:$CE128,3),TRUE),IF($E128="Best 5",IF(CD128&gt;LARGE($BX128:$CE128,6),TRUE),IF($E128="Best 6",IF(CD128&gt;LARGE($BX128:$CE128,7),TRUE))))</f>
        <v>1</v>
      </c>
      <c r="CM128" s="2" t="b">
        <f t="shared" ref="CM128:CM137" si="524">IF($E128="4C2X",IF(CE128&gt;LARGE($CB128:$CE128,3),TRUE),IF($E128="Best 5",IF(CE128&gt;LARGE($BX128:$CE128,6),TRUE),IF($E128="Best 6",IF(CE128&gt;LARGE($BX128:$CE128,7),TRUE))))</f>
        <v>0</v>
      </c>
      <c r="CN128" s="2">
        <v>1</v>
      </c>
      <c r="CO128" s="2">
        <v>1</v>
      </c>
      <c r="CP128" s="2">
        <v>1</v>
      </c>
      <c r="CQ128" s="2">
        <v>1</v>
      </c>
      <c r="CR128" s="2">
        <v>1</v>
      </c>
      <c r="CS128" s="2">
        <v>1</v>
      </c>
      <c r="CT128" s="2">
        <v>1</v>
      </c>
      <c r="CU128" s="2">
        <v>1</v>
      </c>
      <c r="CW128" s="2">
        <v>4</v>
      </c>
      <c r="CX128" s="2">
        <v>4</v>
      </c>
      <c r="CY128" s="2">
        <v>3</v>
      </c>
      <c r="CZ128" s="2">
        <v>4</v>
      </c>
      <c r="DA128" s="2" t="s">
        <v>356</v>
      </c>
      <c r="DB128" s="2">
        <v>8.5</v>
      </c>
      <c r="DC128" s="2">
        <v>4</v>
      </c>
      <c r="DD128" s="2" t="s">
        <v>356</v>
      </c>
      <c r="DE128" s="206">
        <f>IFERROR(CW128+0.00000000004,0)</f>
        <v>4.00000000004</v>
      </c>
      <c r="DF128" s="206">
        <f t="shared" ref="DF128" si="525">IFERROR(CX128+0.00000000002,0)</f>
        <v>4.00000000002</v>
      </c>
      <c r="DG128" s="206">
        <f t="shared" ref="DG128" si="526">IFERROR(CY128+0.00000000003,0)</f>
        <v>3.00000000003</v>
      </c>
      <c r="DH128" s="206">
        <f>IFERROR(CZ128+0.00000000001,0)</f>
        <v>4.00000000001</v>
      </c>
      <c r="DI128" s="206">
        <f t="shared" ref="DI128" si="527">IFERROR(DA128+0.00000000005,0)</f>
        <v>0</v>
      </c>
      <c r="DJ128" s="206">
        <f t="shared" ref="DJ128" si="528">IFERROR(DB128+0.00000000006,0)</f>
        <v>8.50000000006</v>
      </c>
      <c r="DK128" s="206">
        <f t="shared" ref="DK128" si="529">IFERROR(DC128+0.00000000007,0)</f>
        <v>4.00000000007</v>
      </c>
      <c r="DL128" s="206">
        <f t="shared" ref="DL128" si="530">IFERROR(DD128+0.00000000008,0)</f>
        <v>0</v>
      </c>
      <c r="DM128" s="2">
        <f t="shared" ref="DM128:DM159" si="531">DE128*CN128</f>
        <v>4.00000000004</v>
      </c>
      <c r="DN128" s="2">
        <f t="shared" ref="DN128:DN159" si="532">DF128*CO128</f>
        <v>4.00000000002</v>
      </c>
      <c r="DO128" s="2">
        <f t="shared" ref="DO128:DO159" si="533">DG128*CP128</f>
        <v>3.00000000003</v>
      </c>
      <c r="DP128" s="2">
        <f t="shared" ref="DP128:DP159" si="534">DH128*CQ128</f>
        <v>4.00000000001</v>
      </c>
      <c r="DQ128" s="2">
        <f t="shared" ref="DQ128:DQ159" si="535">DI128*CR128</f>
        <v>0</v>
      </c>
      <c r="DR128" s="2">
        <f t="shared" ref="DR128:DR159" si="536">DJ128*CS128</f>
        <v>8.50000000006</v>
      </c>
      <c r="DS128" s="2">
        <f t="shared" ref="DS128:DS159" si="537">DK128*CT128</f>
        <v>4.00000000007</v>
      </c>
      <c r="DT128" s="2">
        <f t="shared" ref="DT128:DT159" si="538">DL128*CU128</f>
        <v>0</v>
      </c>
      <c r="DU128" s="2" t="b">
        <f t="shared" ref="DU128:DU137" si="539">IF($E128="4C2X",TRUE,IF($E128="Best 5",IF(DM128&gt;LARGE($DM128:$DT128,6),TRUE),IF($E128="Best 6",IF(DM128&gt;LARGE($DM128:$DT128,7),TRUE))))</f>
        <v>1</v>
      </c>
      <c r="DV128" s="2" t="b">
        <f t="shared" ref="DV128:DV137" si="540">IF($E128="4C2X",TRUE,IF($E128="Best 5",IF(DN128&gt;LARGE($DM128:$DT128,6),TRUE),IF($E128="Best 6",IF(DN128&gt;LARGE($DM128:$DT128,7),TRUE))))</f>
        <v>1</v>
      </c>
      <c r="DW128" s="2" t="b">
        <f t="shared" ref="DW128:DW137" si="541">IF($E128="4C2X",TRUE,IF($E128="Best 5",IF(DO128&gt;LARGE($DM128:$DT128,6),TRUE),IF($E128="Best 6",IF(DO128&gt;LARGE($DM128:$DT128,7),TRUE))))</f>
        <v>0</v>
      </c>
      <c r="DX128" s="2" t="b">
        <f t="shared" ref="DX128:DX137" si="542">IF($E128="4C2X",TRUE,IF($E128="Best 5",IF(DP128&gt;LARGE($DM128:$DT128,6),TRUE),IF($E128="Best 6",IF(DP128&gt;LARGE($DM128:$DT128,7),TRUE))))</f>
        <v>1</v>
      </c>
      <c r="DY128" s="2" t="b">
        <f t="shared" ref="DY128:DY137" si="543">IF($E128="4C2X",IF(DQ128&gt;LARGE($DQ128:$DT128,3),TRUE),IF($E128="Best 5",IF(DQ128&gt;LARGE($DM128:$DT128,6),TRUE),IF($E128="Best 6",IF(DQ128&gt;LARGE($DM128:$DT128,7),TRUE))))</f>
        <v>0</v>
      </c>
      <c r="DZ128" s="2" t="b">
        <f t="shared" ref="DZ128:DZ137" si="544">IF($E128="4C2X",IF(DR128&gt;LARGE($DQ128:$DT128,3),TRUE),IF($E128="Best 5",IF(DR128&gt;LARGE($DM128:$DT128,6),TRUE),IF($E128="Best 6",IF(DR128&gt;LARGE($DM128:$DT128,7),TRUE))))</f>
        <v>1</v>
      </c>
      <c r="EA128" s="2" t="b">
        <f t="shared" ref="EA128:EA137" si="545">IF($E128="4C2X",IF(DS128&gt;LARGE($DQ128:$DT128,3),TRUE),IF($E128="Best 5",IF(DS128&gt;LARGE($DM128:$DT128,6),TRUE),IF($E128="Best 6",IF(DS128&gt;LARGE($DM128:$DT128,7),TRUE))))</f>
        <v>1</v>
      </c>
      <c r="EB128" s="2" t="b">
        <f t="shared" ref="EB128:EB137" si="546">IF($E128="4C2X",IF(DT128&gt;LARGE($DQ128:$DT128,3),TRUE),IF($E128="Best 5",IF(DT128&gt;LARGE($DM128:$DT128,6),TRUE),IF($E128="Best 6",IF(DT128&gt;LARGE($DM128:$DT128,7),TRUE))))</f>
        <v>0</v>
      </c>
      <c r="EC128" s="2">
        <v>1</v>
      </c>
      <c r="ED128" s="2">
        <v>1</v>
      </c>
      <c r="EE128" s="2">
        <v>1</v>
      </c>
      <c r="EF128" s="2">
        <v>1</v>
      </c>
      <c r="EG128" s="2">
        <v>1</v>
      </c>
      <c r="EH128" s="2">
        <v>1</v>
      </c>
      <c r="EI128" s="2">
        <v>1</v>
      </c>
      <c r="EJ128" s="2">
        <v>1</v>
      </c>
      <c r="EK128" s="2">
        <v>7</v>
      </c>
      <c r="EL128" s="2">
        <v>3</v>
      </c>
      <c r="EM128" s="2">
        <v>3</v>
      </c>
      <c r="EN128" s="2">
        <v>4</v>
      </c>
      <c r="EO128" s="2" t="s">
        <v>356</v>
      </c>
      <c r="EP128" s="2">
        <v>5.5</v>
      </c>
      <c r="EQ128" s="2">
        <v>5.5</v>
      </c>
      <c r="ER128" s="2" t="s">
        <v>356</v>
      </c>
      <c r="ES128" s="206">
        <f>IFERROR(EK128+0.00000000004,0)</f>
        <v>7.00000000004</v>
      </c>
      <c r="ET128" s="206">
        <f t="shared" ref="ET128" si="547">IFERROR(EL128+0.00000000002,0)</f>
        <v>3.00000000002</v>
      </c>
      <c r="EU128" s="206">
        <f t="shared" ref="EU128" si="548">IFERROR(EM128+0.00000000003,0)</f>
        <v>3.00000000003</v>
      </c>
      <c r="EV128" s="206">
        <f>IFERROR(EN128+0.00000000001,0)</f>
        <v>4.00000000001</v>
      </c>
      <c r="EW128" s="206">
        <f t="shared" ref="EW128" si="549">IFERROR(EO128+0.00000000005,0)</f>
        <v>0</v>
      </c>
      <c r="EX128" s="206">
        <f t="shared" ref="EX128" si="550">IFERROR(EP128+0.00000000006,0)</f>
        <v>5.50000000006</v>
      </c>
      <c r="EY128" s="206">
        <f t="shared" ref="EY128" si="551">IFERROR(EQ128+0.00000000007,0)</f>
        <v>5.50000000007</v>
      </c>
      <c r="EZ128" s="206">
        <f t="shared" ref="EZ128" si="552">IFERROR(ER128+0.00000000008,0)</f>
        <v>0</v>
      </c>
      <c r="FA128" s="2">
        <f>ES128*EC128</f>
        <v>7.00000000004</v>
      </c>
      <c r="FB128" s="2">
        <f t="shared" ref="FB128:FH128" si="553">ET128*ED128</f>
        <v>3.00000000002</v>
      </c>
      <c r="FC128" s="2">
        <f t="shared" si="553"/>
        <v>3.00000000003</v>
      </c>
      <c r="FD128" s="2">
        <f t="shared" si="553"/>
        <v>4.00000000001</v>
      </c>
      <c r="FE128" s="2">
        <f t="shared" si="553"/>
        <v>0</v>
      </c>
      <c r="FF128" s="2">
        <f t="shared" si="553"/>
        <v>5.50000000006</v>
      </c>
      <c r="FG128" s="2">
        <f t="shared" si="553"/>
        <v>5.50000000007</v>
      </c>
      <c r="FH128" s="2">
        <f t="shared" si="553"/>
        <v>0</v>
      </c>
      <c r="FI128" s="2" t="b">
        <f t="shared" ref="FI128:FI137" si="554">IF($E128="4C2X",TRUE,IF($E128="Best 5",IF(FA128&gt;LARGE($FA128:$FH128,6),TRUE),IF($E128="Best 6",IF(FA128&gt;LARGE($FA128:$FH128,7),TRUE))))</f>
        <v>1</v>
      </c>
      <c r="FJ128" s="2" t="b">
        <f t="shared" ref="FJ128:FJ137" si="555">IF($E128="4C2X",TRUE,IF($E128="Best 5",IF(FB128&gt;LARGE($FA128:$FH128,6),TRUE),IF($E128="Best 6",IF(FB128&gt;LARGE($FA128:$FH128,7),TRUE))))</f>
        <v>0</v>
      </c>
      <c r="FK128" s="2" t="b">
        <f t="shared" ref="FK128:FK137" si="556">IF($E128="4C2X",TRUE,IF($E128="Best 5",IF(FC128&gt;LARGE($FA128:$FH128,6),TRUE),IF($E128="Best 6",IF(FC128&gt;LARGE($FA128:$FH128,7),TRUE))))</f>
        <v>1</v>
      </c>
      <c r="FL128" s="2" t="b">
        <f t="shared" ref="FL128:FL137" si="557">IF($E128="4C2X",TRUE,IF($E128="Best 5",IF(FD128&gt;LARGE($FA128:$FH128,6),TRUE),IF($E128="Best 6",IF(FD128&gt;LARGE($FA128:$FH128,7),TRUE))))</f>
        <v>1</v>
      </c>
      <c r="FM128" s="2" t="b">
        <f t="shared" ref="FM128:FM137" si="558">IF($E128="4C2X",IF(FE128&gt;LARGE($FE128:$FH128,3),TRUE),IF($E128="Best 5",IF(FE128&gt;LARGE($FA128:$FH128,6),TRUE),IF($E128="Best 6",IF(FE128&gt;LARGE($FA128:$FH128,7),TRUE))))</f>
        <v>0</v>
      </c>
      <c r="FN128" s="2" t="b">
        <f t="shared" ref="FN128:FN137" si="559">IF($E128="4C2X",IF(FF128&gt;LARGE($FE128:$FH128,3),TRUE),IF($E128="Best 5",IF(FF128&gt;LARGE($FA128:$FH128,6),TRUE),IF($E128="Best 6",IF(FF128&gt;LARGE($FA128:$FH128,7),TRUE))))</f>
        <v>1</v>
      </c>
      <c r="FO128" s="2" t="b">
        <f t="shared" ref="FO128:FO137" si="560">IF($E128="4C2X",IF(FG128&gt;LARGE($FE128:$FH128,3),TRUE),IF($E128="Best 5",IF(FG128&gt;LARGE($FA128:$FH128,6),TRUE),IF($E128="Best 6",IF(FG128&gt;LARGE($FA128:$FH128,7),TRUE))))</f>
        <v>1</v>
      </c>
      <c r="FP128" s="2" t="b">
        <f t="shared" ref="FP128:FP137" si="561">IF($E128="4C2X",IF(FH128&gt;LARGE($FE128:$FH128,3),TRUE),IF($E128="Best 5",IF(FH128&gt;LARGE($FA128:$FH128,6),TRUE),IF($E128="Best 6",IF(FH128&gt;LARGE($FA128:$FH128,7),TRUE))))</f>
        <v>0</v>
      </c>
    </row>
    <row r="129" spans="1:172" ht="15.6">
      <c r="A129" s="2" t="s">
        <v>1295</v>
      </c>
      <c r="B129" s="2" t="s">
        <v>255</v>
      </c>
      <c r="C129" s="2" t="s">
        <v>1064</v>
      </c>
      <c r="D129" s="2" t="s">
        <v>1296</v>
      </c>
      <c r="E129" s="2" t="s">
        <v>889</v>
      </c>
      <c r="F129" s="2" t="s">
        <v>356</v>
      </c>
      <c r="G129" s="2">
        <v>33.1</v>
      </c>
      <c r="H129" s="2">
        <v>30.4</v>
      </c>
      <c r="I129" s="2">
        <v>29.2</v>
      </c>
      <c r="J129" s="2">
        <f t="shared" ref="J129:J192" si="562">SUMIF(FI129:FP129,TRUE,FA129:FH129)</f>
        <v>33.100000000287999</v>
      </c>
      <c r="K129" s="2">
        <f t="shared" ref="K129:K192" si="563">SUMIF(DU129:EB129,TRUE,DM129:DT129)</f>
        <v>30.400000000167999</v>
      </c>
      <c r="L129" s="2">
        <f t="shared" ref="L129:L192" si="564">SUMIF(CF129:CM129,TRUE,BX129:CE129)</f>
        <v>29.200000000207996</v>
      </c>
      <c r="M129" s="364" t="s">
        <v>356</v>
      </c>
      <c r="N129" s="364" t="s">
        <v>356</v>
      </c>
      <c r="O129" s="364" t="s">
        <v>1297</v>
      </c>
      <c r="P129" s="364" t="s">
        <v>356</v>
      </c>
      <c r="Q129" s="364" t="s">
        <v>356</v>
      </c>
      <c r="R129" s="2" t="s">
        <v>1298</v>
      </c>
      <c r="S129" s="2" t="s">
        <v>1177</v>
      </c>
      <c r="T129" s="2">
        <v>79</v>
      </c>
      <c r="U129" s="2" cm="1">
        <f t="array" ref="U129">IFERROR(INDEX('Offer Statistics'!$BQ$2:$BQ$400,MATCH(1,(A129='Offer Statistics'!$BB$2:$BB$400)*($A$11='Offer Statistics'!$BC$2:$BC$400),0)),"/")</f>
        <v>82</v>
      </c>
      <c r="V129" s="2" cm="1">
        <f t="array" ref="V129">IFERROR(INDEX('Offer Statistics'!$BD$2:$BD$400,MATCH(1,(A129='Offer Statistics'!$BB$2:$BB$400)*($A$11='Offer Statistics'!$BC$2:$BC$400),0)),"/")</f>
        <v>419</v>
      </c>
      <c r="W129" s="2" cm="1">
        <f t="array" ref="W129">IFERROR(INDEX('Offer Statistics'!$BL$2:$BL$400,MATCH(1,(A129='Offer Statistics'!$BB$2:$BB$400)*($A$11='Offer Statistics'!$BC$2:$BC$400),0)),"/")</f>
        <v>82</v>
      </c>
      <c r="X129" s="2">
        <f t="shared" si="502"/>
        <v>5.1097560975609753</v>
      </c>
      <c r="Y129" s="2" t="s">
        <v>1177</v>
      </c>
      <c r="Z129" s="364" t="str">
        <f>入學要求!AF138</f>
        <v>/</v>
      </c>
      <c r="AA129" s="364" t="str">
        <f>入學要求!AG138</f>
        <v>/</v>
      </c>
      <c r="AB129" s="401" t="s">
        <v>889</v>
      </c>
      <c r="AC129" s="368"/>
      <c r="AD129" s="368"/>
      <c r="AE129" s="368" t="s">
        <v>356</v>
      </c>
      <c r="AF129" s="368" t="s">
        <v>356</v>
      </c>
      <c r="AG129" s="368" t="s">
        <v>1297</v>
      </c>
      <c r="AH129" s="368" t="s">
        <v>356</v>
      </c>
      <c r="AI129" s="368" t="s">
        <v>356</v>
      </c>
      <c r="AJ129" s="2" t="s">
        <v>356</v>
      </c>
      <c r="AK129" s="2" t="s">
        <v>356</v>
      </c>
      <c r="AL129" s="2" t="s">
        <v>356</v>
      </c>
      <c r="AM129" s="2" t="s">
        <v>356</v>
      </c>
      <c r="AN129" s="2" t="s">
        <v>356</v>
      </c>
      <c r="AO129" s="2" t="s">
        <v>356</v>
      </c>
      <c r="AP129" s="2" t="s">
        <v>356</v>
      </c>
      <c r="AQ129" s="2" t="s">
        <v>356</v>
      </c>
      <c r="AS129" s="2" t="s">
        <v>820</v>
      </c>
      <c r="AU129" s="2" t="s">
        <v>817</v>
      </c>
      <c r="AY129" s="2">
        <v>1.2</v>
      </c>
      <c r="AZ129" s="2">
        <v>1</v>
      </c>
      <c r="BA129" s="2">
        <v>1</v>
      </c>
      <c r="BB129" s="2">
        <v>1</v>
      </c>
      <c r="BC129" s="2">
        <v>1</v>
      </c>
      <c r="BD129" s="2">
        <v>1</v>
      </c>
      <c r="BE129" s="2">
        <v>1</v>
      </c>
      <c r="BF129" s="2">
        <v>1</v>
      </c>
      <c r="BG129" s="2" t="s">
        <v>1295</v>
      </c>
      <c r="BH129">
        <v>8.5</v>
      </c>
      <c r="BI129">
        <v>5.5</v>
      </c>
      <c r="BJ129">
        <v>3</v>
      </c>
      <c r="BK129">
        <v>4</v>
      </c>
      <c r="BL129" t="s">
        <v>356</v>
      </c>
      <c r="BM129">
        <v>5.5</v>
      </c>
      <c r="BN129">
        <v>4</v>
      </c>
      <c r="BO129" t="s">
        <v>356</v>
      </c>
      <c r="BP129" s="206">
        <f t="shared" ref="BP129:BP192" si="565">IFERROR(BH129+0.00000000004,0)</f>
        <v>8.50000000004</v>
      </c>
      <c r="BQ129" s="206">
        <f t="shared" ref="BQ129:BQ192" si="566">IFERROR(BI129+0.00000000002,0)</f>
        <v>5.50000000002</v>
      </c>
      <c r="BR129" s="206">
        <f t="shared" ref="BR129:BR192" si="567">IFERROR(BJ129+0.00000000003,0)</f>
        <v>3.00000000003</v>
      </c>
      <c r="BS129" s="206">
        <f t="shared" ref="BS129:BS192" si="568">IFERROR(BK129+0.00000000001,0)</f>
        <v>4.00000000001</v>
      </c>
      <c r="BT129" s="206">
        <f t="shared" ref="BT129:BT192" si="569">IFERROR(BL129+0.00000000005,0)</f>
        <v>0</v>
      </c>
      <c r="BU129" s="206">
        <f t="shared" ref="BU129:BU192" si="570">IFERROR(BM129+0.00000000006,0)</f>
        <v>5.50000000006</v>
      </c>
      <c r="BV129" s="206">
        <f t="shared" ref="BV129:BV192" si="571">IFERROR(BN129+0.00000000007,0)</f>
        <v>4.00000000007</v>
      </c>
      <c r="BW129" s="206">
        <f t="shared" ref="BW129:BW192" si="572">IFERROR(BO129+0.00000000008,0)</f>
        <v>0</v>
      </c>
      <c r="BX129" s="2">
        <f t="shared" si="509"/>
        <v>10.200000000048</v>
      </c>
      <c r="BY129" s="2">
        <f t="shared" si="510"/>
        <v>5.50000000002</v>
      </c>
      <c r="BZ129" s="2">
        <f t="shared" si="511"/>
        <v>3.00000000003</v>
      </c>
      <c r="CA129" s="2">
        <f t="shared" si="512"/>
        <v>4.00000000001</v>
      </c>
      <c r="CB129" s="2">
        <f t="shared" si="513"/>
        <v>0</v>
      </c>
      <c r="CC129" s="2">
        <f t="shared" si="514"/>
        <v>5.50000000006</v>
      </c>
      <c r="CD129" s="2">
        <f t="shared" si="515"/>
        <v>4.00000000007</v>
      </c>
      <c r="CE129" s="2">
        <f t="shared" si="516"/>
        <v>0</v>
      </c>
      <c r="CF129" s="2" t="b">
        <f t="shared" si="517"/>
        <v>1</v>
      </c>
      <c r="CG129" s="2" t="b">
        <f t="shared" si="518"/>
        <v>1</v>
      </c>
      <c r="CH129" s="2" t="b">
        <f t="shared" si="519"/>
        <v>0</v>
      </c>
      <c r="CI129" s="2" t="b">
        <f t="shared" si="520"/>
        <v>1</v>
      </c>
      <c r="CJ129" s="2" t="b">
        <f t="shared" si="521"/>
        <v>0</v>
      </c>
      <c r="CK129" s="2" t="b">
        <f t="shared" si="522"/>
        <v>1</v>
      </c>
      <c r="CL129" s="2" t="b">
        <f t="shared" si="523"/>
        <v>1</v>
      </c>
      <c r="CM129" s="2" t="b">
        <f t="shared" si="524"/>
        <v>0</v>
      </c>
      <c r="CN129" s="2">
        <v>1.2</v>
      </c>
      <c r="CO129" s="2">
        <v>1</v>
      </c>
      <c r="CP129" s="2">
        <v>1</v>
      </c>
      <c r="CQ129" s="2">
        <v>1</v>
      </c>
      <c r="CR129" s="2">
        <v>1</v>
      </c>
      <c r="CS129" s="2">
        <v>1</v>
      </c>
      <c r="CT129" s="2">
        <v>1</v>
      </c>
      <c r="CU129" s="2">
        <v>1</v>
      </c>
      <c r="CW129" s="2">
        <v>7</v>
      </c>
      <c r="CX129" s="2">
        <v>5.5</v>
      </c>
      <c r="CY129" s="2">
        <v>5.5</v>
      </c>
      <c r="CZ129" s="2">
        <v>5.5</v>
      </c>
      <c r="DA129" s="2" t="s">
        <v>356</v>
      </c>
      <c r="DB129" s="2">
        <v>5.5</v>
      </c>
      <c r="DC129" s="2">
        <v>4</v>
      </c>
      <c r="DD129" s="2" t="s">
        <v>356</v>
      </c>
      <c r="DE129" s="206">
        <f t="shared" ref="DE129:DE192" si="573">IFERROR(CW129+0.00000000004,0)</f>
        <v>7.00000000004</v>
      </c>
      <c r="DF129" s="206">
        <f t="shared" ref="DF129:DF192" si="574">IFERROR(CX129+0.00000000002,0)</f>
        <v>5.50000000002</v>
      </c>
      <c r="DG129" s="206">
        <f t="shared" ref="DG129:DG180" si="575">IFERROR(CY129+0.00000000003,0)</f>
        <v>5.50000000003</v>
      </c>
      <c r="DH129" s="206">
        <f t="shared" ref="DH129:DH180" si="576">IFERROR(CZ129+0.00000000001,0)</f>
        <v>5.50000000001</v>
      </c>
      <c r="DI129" s="206">
        <f t="shared" ref="DI129:DI180" si="577">IFERROR(DA129+0.00000000005,0)</f>
        <v>0</v>
      </c>
      <c r="DJ129" s="206">
        <f t="shared" ref="DJ129:DJ180" si="578">IFERROR(DB129+0.00000000006,0)</f>
        <v>5.50000000006</v>
      </c>
      <c r="DK129" s="206">
        <f t="shared" ref="DK129:DK180" si="579">IFERROR(DC129+0.00000000007,0)</f>
        <v>4.00000000007</v>
      </c>
      <c r="DL129" s="206">
        <f t="shared" ref="DL129:DL180" si="580">IFERROR(DD129+0.00000000008,0)</f>
        <v>0</v>
      </c>
      <c r="DM129" s="2">
        <f t="shared" si="531"/>
        <v>8.4000000000479993</v>
      </c>
      <c r="DN129" s="2">
        <f t="shared" si="532"/>
        <v>5.50000000002</v>
      </c>
      <c r="DO129" s="2">
        <f t="shared" si="533"/>
        <v>5.50000000003</v>
      </c>
      <c r="DP129" s="2">
        <f t="shared" si="534"/>
        <v>5.50000000001</v>
      </c>
      <c r="DQ129" s="2">
        <f t="shared" si="535"/>
        <v>0</v>
      </c>
      <c r="DR129" s="2">
        <f t="shared" si="536"/>
        <v>5.50000000006</v>
      </c>
      <c r="DS129" s="2">
        <f t="shared" si="537"/>
        <v>4.00000000007</v>
      </c>
      <c r="DT129" s="2">
        <f t="shared" si="538"/>
        <v>0</v>
      </c>
      <c r="DU129" s="2" t="b">
        <f t="shared" si="539"/>
        <v>1</v>
      </c>
      <c r="DV129" s="2" t="b">
        <f t="shared" si="540"/>
        <v>1</v>
      </c>
      <c r="DW129" s="2" t="b">
        <f t="shared" si="541"/>
        <v>1</v>
      </c>
      <c r="DX129" s="2" t="b">
        <f t="shared" si="542"/>
        <v>1</v>
      </c>
      <c r="DY129" s="2" t="b">
        <f t="shared" si="543"/>
        <v>0</v>
      </c>
      <c r="DZ129" s="2" t="b">
        <f t="shared" si="544"/>
        <v>1</v>
      </c>
      <c r="EA129" s="2" t="b">
        <f t="shared" si="545"/>
        <v>0</v>
      </c>
      <c r="EB129" s="2" t="b">
        <f t="shared" si="546"/>
        <v>0</v>
      </c>
      <c r="EC129" s="2">
        <v>1.2</v>
      </c>
      <c r="ED129" s="2">
        <v>1</v>
      </c>
      <c r="EE129" s="2">
        <v>1</v>
      </c>
      <c r="EF129" s="2">
        <v>1</v>
      </c>
      <c r="EG129" s="2">
        <v>1</v>
      </c>
      <c r="EH129" s="2">
        <v>1</v>
      </c>
      <c r="EI129" s="2">
        <v>1</v>
      </c>
      <c r="EJ129" s="2">
        <v>1</v>
      </c>
      <c r="EK129" s="2">
        <v>5.5</v>
      </c>
      <c r="EL129" s="2">
        <v>3</v>
      </c>
      <c r="EM129" s="2">
        <v>7</v>
      </c>
      <c r="EN129" s="2">
        <v>4</v>
      </c>
      <c r="EO129" s="2" t="s">
        <v>356</v>
      </c>
      <c r="EP129" s="2">
        <v>7</v>
      </c>
      <c r="EQ129" s="2">
        <v>7</v>
      </c>
      <c r="ER129" s="2">
        <v>5.5</v>
      </c>
      <c r="ES129" s="206">
        <f t="shared" ref="ES129:ES192" si="581">IFERROR(EK129+0.00000000004,0)</f>
        <v>5.50000000004</v>
      </c>
      <c r="ET129" s="206">
        <f t="shared" ref="ET129:ET192" si="582">IFERROR(EL129+0.00000000002,0)</f>
        <v>3.00000000002</v>
      </c>
      <c r="EU129" s="206">
        <f t="shared" ref="EU129:EU192" si="583">IFERROR(EM129+0.00000000003,0)</f>
        <v>7.00000000003</v>
      </c>
      <c r="EV129" s="206">
        <f t="shared" ref="EV129:EV192" si="584">IFERROR(EN129+0.00000000001,0)</f>
        <v>4.00000000001</v>
      </c>
      <c r="EW129" s="206">
        <f t="shared" ref="EW129:EW192" si="585">IFERROR(EO129+0.00000000005,0)</f>
        <v>0</v>
      </c>
      <c r="EX129" s="206">
        <f t="shared" ref="EX129:EX192" si="586">IFERROR(EP129+0.00000000006,0)</f>
        <v>7.00000000006</v>
      </c>
      <c r="EY129" s="206">
        <f t="shared" ref="EY129:EY192" si="587">IFERROR(EQ129+0.00000000007,0)</f>
        <v>7.00000000007</v>
      </c>
      <c r="EZ129" s="206">
        <f t="shared" ref="EZ129:EZ192" si="588">IFERROR(ER129+0.00000000008,0)</f>
        <v>5.50000000008</v>
      </c>
      <c r="FA129" s="2">
        <f t="shared" ref="FA129:FA153" si="589">ES129*EC129</f>
        <v>6.6000000000479995</v>
      </c>
      <c r="FB129" s="2">
        <f t="shared" ref="FB129:FB153" si="590">ET129*ED129</f>
        <v>3.00000000002</v>
      </c>
      <c r="FC129" s="2">
        <f t="shared" ref="FC129:FC153" si="591">EU129*EE129</f>
        <v>7.00000000003</v>
      </c>
      <c r="FD129" s="2">
        <f t="shared" ref="FD129:FD153" si="592">EV129*EF129</f>
        <v>4.00000000001</v>
      </c>
      <c r="FE129" s="2">
        <f t="shared" ref="FE129:FE153" si="593">EW129*EG129</f>
        <v>0</v>
      </c>
      <c r="FF129" s="2">
        <f t="shared" ref="FF129:FF153" si="594">EX129*EH129</f>
        <v>7.00000000006</v>
      </c>
      <c r="FG129" s="2">
        <f t="shared" ref="FG129:FG153" si="595">EY129*EI129</f>
        <v>7.00000000007</v>
      </c>
      <c r="FH129" s="2">
        <f t="shared" ref="FH129:FH153" si="596">EZ129*EJ129</f>
        <v>5.50000000008</v>
      </c>
      <c r="FI129" s="2" t="b">
        <f t="shared" si="554"/>
        <v>1</v>
      </c>
      <c r="FJ129" s="2" t="b">
        <f t="shared" si="555"/>
        <v>0</v>
      </c>
      <c r="FK129" s="2" t="b">
        <f t="shared" si="556"/>
        <v>1</v>
      </c>
      <c r="FL129" s="2" t="b">
        <f t="shared" si="557"/>
        <v>0</v>
      </c>
      <c r="FM129" s="2" t="b">
        <f t="shared" si="558"/>
        <v>0</v>
      </c>
      <c r="FN129" s="2" t="b">
        <f t="shared" si="559"/>
        <v>1</v>
      </c>
      <c r="FO129" s="2" t="b">
        <f t="shared" si="560"/>
        <v>1</v>
      </c>
      <c r="FP129" s="2" t="b">
        <f t="shared" si="561"/>
        <v>1</v>
      </c>
    </row>
    <row r="130" spans="1:172" ht="15.6">
      <c r="A130" s="2" t="s">
        <v>1299</v>
      </c>
      <c r="B130" s="2" t="s">
        <v>255</v>
      </c>
      <c r="C130" s="2" t="s">
        <v>1064</v>
      </c>
      <c r="D130" s="2" t="s">
        <v>1300</v>
      </c>
      <c r="E130" s="2" t="s">
        <v>889</v>
      </c>
      <c r="F130" s="2" t="s">
        <v>356</v>
      </c>
      <c r="G130" s="2">
        <v>24.5</v>
      </c>
      <c r="H130" s="2">
        <v>23.5</v>
      </c>
      <c r="I130" s="2">
        <v>23.5</v>
      </c>
      <c r="J130" s="2">
        <f t="shared" si="562"/>
        <v>24.500000000269999</v>
      </c>
      <c r="K130" s="2">
        <f t="shared" si="563"/>
        <v>23.500000000209997</v>
      </c>
      <c r="L130" s="2">
        <f t="shared" si="564"/>
        <v>23.500000000209997</v>
      </c>
      <c r="M130" s="364" t="s">
        <v>356</v>
      </c>
      <c r="N130" s="364" t="s">
        <v>356</v>
      </c>
      <c r="O130" s="364" t="s">
        <v>356</v>
      </c>
      <c r="P130" s="364" t="s">
        <v>356</v>
      </c>
      <c r="Q130" s="364" t="s">
        <v>356</v>
      </c>
      <c r="R130" s="2" t="s">
        <v>1301</v>
      </c>
      <c r="S130" s="2" t="s">
        <v>1177</v>
      </c>
      <c r="T130" s="2">
        <v>17</v>
      </c>
      <c r="U130" s="2" cm="1">
        <f t="array" ref="U130">IFERROR(INDEX('Offer Statistics'!$BQ$2:$BQ$400,MATCH(1,(A130='Offer Statistics'!$BB$2:$BB$400)*($A$11='Offer Statistics'!$BC$2:$BC$400),0)),"/")</f>
        <v>15</v>
      </c>
      <c r="V130" s="2" cm="1">
        <f t="array" ref="V130">IFERROR(INDEX('Offer Statistics'!$BD$2:$BD$400,MATCH(1,(A130='Offer Statistics'!$BB$2:$BB$400)*($A$11='Offer Statistics'!$BC$2:$BC$400),0)),"/")</f>
        <v>196</v>
      </c>
      <c r="W130" s="2" cm="1">
        <f t="array" ref="W130">IFERROR(INDEX('Offer Statistics'!$BL$2:$BL$400,MATCH(1,(A130='Offer Statistics'!$BB$2:$BB$400)*($A$11='Offer Statistics'!$BC$2:$BC$400),0)),"/")</f>
        <v>15</v>
      </c>
      <c r="X130" s="2">
        <f t="shared" si="502"/>
        <v>13.066666666666666</v>
      </c>
      <c r="Y130" s="2" t="s">
        <v>1177</v>
      </c>
      <c r="Z130" s="364" t="str">
        <f>入學要求!AF139</f>
        <v>/</v>
      </c>
      <c r="AA130" s="364" t="str">
        <f>入學要求!AG139</f>
        <v>/</v>
      </c>
      <c r="AB130" s="368" t="s">
        <v>889</v>
      </c>
      <c r="AC130" s="368"/>
      <c r="AD130" s="368"/>
      <c r="AE130" s="368" t="s">
        <v>356</v>
      </c>
      <c r="AF130" s="368" t="s">
        <v>356</v>
      </c>
      <c r="AG130" s="368" t="s">
        <v>356</v>
      </c>
      <c r="AH130" s="368" t="s">
        <v>356</v>
      </c>
      <c r="AI130" s="368" t="s">
        <v>356</v>
      </c>
      <c r="AJ130" s="2" t="s">
        <v>356</v>
      </c>
      <c r="AK130" s="2" t="s">
        <v>356</v>
      </c>
      <c r="AL130" s="2" t="s">
        <v>356</v>
      </c>
      <c r="AM130" s="2" t="s">
        <v>356</v>
      </c>
      <c r="AN130" s="2" t="s">
        <v>356</v>
      </c>
      <c r="AO130" s="2" t="s">
        <v>356</v>
      </c>
      <c r="AP130" s="2" t="s">
        <v>356</v>
      </c>
      <c r="AQ130" s="2" t="s">
        <v>356</v>
      </c>
      <c r="AS130" s="2" t="s">
        <v>820</v>
      </c>
      <c r="AU130" s="2" t="s">
        <v>817</v>
      </c>
      <c r="AY130" s="2">
        <v>1</v>
      </c>
      <c r="AZ130" s="2">
        <v>1</v>
      </c>
      <c r="BA130" s="2">
        <v>1</v>
      </c>
      <c r="BB130" s="2">
        <v>1</v>
      </c>
      <c r="BC130" s="2">
        <v>1</v>
      </c>
      <c r="BD130" s="2">
        <v>1</v>
      </c>
      <c r="BE130" s="2">
        <v>1</v>
      </c>
      <c r="BF130" s="2">
        <v>1</v>
      </c>
      <c r="BG130" s="2" t="s">
        <v>1299</v>
      </c>
      <c r="BH130">
        <v>7</v>
      </c>
      <c r="BI130">
        <v>3</v>
      </c>
      <c r="BJ130">
        <v>5.5</v>
      </c>
      <c r="BK130">
        <v>4</v>
      </c>
      <c r="BL130" t="s">
        <v>356</v>
      </c>
      <c r="BM130">
        <v>4</v>
      </c>
      <c r="BN130">
        <v>3</v>
      </c>
      <c r="BO130" t="s">
        <v>356</v>
      </c>
      <c r="BP130" s="206">
        <f t="shared" si="565"/>
        <v>7.00000000004</v>
      </c>
      <c r="BQ130" s="206">
        <f t="shared" si="566"/>
        <v>3.00000000002</v>
      </c>
      <c r="BR130" s="206">
        <f t="shared" si="567"/>
        <v>5.50000000003</v>
      </c>
      <c r="BS130" s="206">
        <f t="shared" si="568"/>
        <v>4.00000000001</v>
      </c>
      <c r="BT130" s="206">
        <f t="shared" si="569"/>
        <v>0</v>
      </c>
      <c r="BU130" s="206">
        <f t="shared" si="570"/>
        <v>4.00000000006</v>
      </c>
      <c r="BV130" s="206">
        <f t="shared" si="571"/>
        <v>3.00000000007</v>
      </c>
      <c r="BW130" s="206">
        <f t="shared" si="572"/>
        <v>0</v>
      </c>
      <c r="BX130" s="2">
        <f t="shared" si="509"/>
        <v>7.00000000004</v>
      </c>
      <c r="BY130" s="2">
        <f t="shared" si="510"/>
        <v>3.00000000002</v>
      </c>
      <c r="BZ130" s="2">
        <f t="shared" si="511"/>
        <v>5.50000000003</v>
      </c>
      <c r="CA130" s="2">
        <f t="shared" si="512"/>
        <v>4.00000000001</v>
      </c>
      <c r="CB130" s="2">
        <f t="shared" si="513"/>
        <v>0</v>
      </c>
      <c r="CC130" s="2">
        <f t="shared" si="514"/>
        <v>4.00000000006</v>
      </c>
      <c r="CD130" s="2">
        <f t="shared" si="515"/>
        <v>3.00000000007</v>
      </c>
      <c r="CE130" s="2">
        <f t="shared" si="516"/>
        <v>0</v>
      </c>
      <c r="CF130" s="2" t="b">
        <f t="shared" si="517"/>
        <v>1</v>
      </c>
      <c r="CG130" s="2" t="b">
        <f t="shared" si="518"/>
        <v>0</v>
      </c>
      <c r="CH130" s="2" t="b">
        <f t="shared" si="519"/>
        <v>1</v>
      </c>
      <c r="CI130" s="2" t="b">
        <f t="shared" si="520"/>
        <v>1</v>
      </c>
      <c r="CJ130" s="2" t="b">
        <f t="shared" si="521"/>
        <v>0</v>
      </c>
      <c r="CK130" s="2" t="b">
        <f t="shared" si="522"/>
        <v>1</v>
      </c>
      <c r="CL130" s="2" t="b">
        <f t="shared" si="523"/>
        <v>1</v>
      </c>
      <c r="CM130" s="2" t="b">
        <f t="shared" si="524"/>
        <v>0</v>
      </c>
      <c r="CN130" s="2">
        <v>1</v>
      </c>
      <c r="CO130" s="2">
        <v>1</v>
      </c>
      <c r="CP130" s="2">
        <v>1</v>
      </c>
      <c r="CQ130" s="2">
        <v>1</v>
      </c>
      <c r="CR130" s="2">
        <v>1</v>
      </c>
      <c r="CS130" s="2">
        <v>1</v>
      </c>
      <c r="CT130" s="2">
        <v>1</v>
      </c>
      <c r="CU130" s="2">
        <v>1</v>
      </c>
      <c r="CW130" s="2">
        <v>8.5</v>
      </c>
      <c r="CX130" s="2">
        <v>3</v>
      </c>
      <c r="CY130" s="2">
        <v>4</v>
      </c>
      <c r="CZ130" s="2">
        <v>4</v>
      </c>
      <c r="DA130" s="2" t="s">
        <v>356</v>
      </c>
      <c r="DB130" s="2">
        <v>4</v>
      </c>
      <c r="DC130" s="2">
        <v>3</v>
      </c>
      <c r="DD130" s="2" t="s">
        <v>356</v>
      </c>
      <c r="DE130" s="206">
        <f t="shared" si="573"/>
        <v>8.50000000004</v>
      </c>
      <c r="DF130" s="206">
        <f t="shared" si="574"/>
        <v>3.00000000002</v>
      </c>
      <c r="DG130" s="206">
        <f t="shared" si="575"/>
        <v>4.00000000003</v>
      </c>
      <c r="DH130" s="206">
        <f t="shared" si="576"/>
        <v>4.00000000001</v>
      </c>
      <c r="DI130" s="206">
        <f t="shared" si="577"/>
        <v>0</v>
      </c>
      <c r="DJ130" s="206">
        <f t="shared" si="578"/>
        <v>4.00000000006</v>
      </c>
      <c r="DK130" s="206">
        <f t="shared" si="579"/>
        <v>3.00000000007</v>
      </c>
      <c r="DL130" s="206">
        <f t="shared" si="580"/>
        <v>0</v>
      </c>
      <c r="DM130" s="2">
        <f t="shared" si="531"/>
        <v>8.50000000004</v>
      </c>
      <c r="DN130" s="2">
        <f t="shared" si="532"/>
        <v>3.00000000002</v>
      </c>
      <c r="DO130" s="2">
        <f t="shared" si="533"/>
        <v>4.00000000003</v>
      </c>
      <c r="DP130" s="2">
        <f t="shared" si="534"/>
        <v>4.00000000001</v>
      </c>
      <c r="DQ130" s="2">
        <f t="shared" si="535"/>
        <v>0</v>
      </c>
      <c r="DR130" s="2">
        <f t="shared" si="536"/>
        <v>4.00000000006</v>
      </c>
      <c r="DS130" s="2">
        <f t="shared" si="537"/>
        <v>3.00000000007</v>
      </c>
      <c r="DT130" s="2">
        <f t="shared" si="538"/>
        <v>0</v>
      </c>
      <c r="DU130" s="2" t="b">
        <f t="shared" si="539"/>
        <v>1</v>
      </c>
      <c r="DV130" s="2" t="b">
        <f t="shared" si="540"/>
        <v>0</v>
      </c>
      <c r="DW130" s="2" t="b">
        <f t="shared" si="541"/>
        <v>1</v>
      </c>
      <c r="DX130" s="2" t="b">
        <f t="shared" si="542"/>
        <v>1</v>
      </c>
      <c r="DY130" s="2" t="b">
        <f t="shared" si="543"/>
        <v>0</v>
      </c>
      <c r="DZ130" s="2" t="b">
        <f t="shared" si="544"/>
        <v>1</v>
      </c>
      <c r="EA130" s="2" t="b">
        <f t="shared" si="545"/>
        <v>1</v>
      </c>
      <c r="EB130" s="2" t="b">
        <f t="shared" si="546"/>
        <v>0</v>
      </c>
      <c r="EC130" s="2">
        <v>1</v>
      </c>
      <c r="ED130" s="2">
        <v>1</v>
      </c>
      <c r="EE130" s="2">
        <v>1</v>
      </c>
      <c r="EF130" s="2">
        <v>1</v>
      </c>
      <c r="EG130" s="2">
        <v>1</v>
      </c>
      <c r="EH130" s="2">
        <v>1</v>
      </c>
      <c r="EI130" s="2">
        <v>1</v>
      </c>
      <c r="EJ130" s="2">
        <v>1</v>
      </c>
      <c r="EK130" s="2">
        <v>5.5</v>
      </c>
      <c r="EL130" s="2">
        <v>4</v>
      </c>
      <c r="EM130" s="2">
        <v>3</v>
      </c>
      <c r="EN130" s="2">
        <v>4</v>
      </c>
      <c r="EO130" s="2" t="s">
        <v>356</v>
      </c>
      <c r="EP130" s="2">
        <v>5.5</v>
      </c>
      <c r="EQ130" s="2">
        <v>5.5</v>
      </c>
      <c r="ER130" s="2">
        <v>4</v>
      </c>
      <c r="ES130" s="206">
        <f t="shared" si="581"/>
        <v>5.50000000004</v>
      </c>
      <c r="ET130" s="206">
        <f t="shared" si="582"/>
        <v>4.00000000002</v>
      </c>
      <c r="EU130" s="206">
        <f t="shared" si="583"/>
        <v>3.00000000003</v>
      </c>
      <c r="EV130" s="206">
        <f t="shared" si="584"/>
        <v>4.00000000001</v>
      </c>
      <c r="EW130" s="206">
        <f t="shared" si="585"/>
        <v>0</v>
      </c>
      <c r="EX130" s="206">
        <f t="shared" si="586"/>
        <v>5.50000000006</v>
      </c>
      <c r="EY130" s="206">
        <f t="shared" si="587"/>
        <v>5.50000000007</v>
      </c>
      <c r="EZ130" s="206">
        <f t="shared" si="588"/>
        <v>4.00000000008</v>
      </c>
      <c r="FA130" s="2">
        <f t="shared" si="589"/>
        <v>5.50000000004</v>
      </c>
      <c r="FB130" s="2">
        <f t="shared" si="590"/>
        <v>4.00000000002</v>
      </c>
      <c r="FC130" s="2">
        <f t="shared" si="591"/>
        <v>3.00000000003</v>
      </c>
      <c r="FD130" s="2">
        <f t="shared" si="592"/>
        <v>4.00000000001</v>
      </c>
      <c r="FE130" s="2">
        <f t="shared" si="593"/>
        <v>0</v>
      </c>
      <c r="FF130" s="2">
        <f t="shared" si="594"/>
        <v>5.50000000006</v>
      </c>
      <c r="FG130" s="2">
        <f t="shared" si="595"/>
        <v>5.50000000007</v>
      </c>
      <c r="FH130" s="2">
        <f t="shared" si="596"/>
        <v>4.00000000008</v>
      </c>
      <c r="FI130" s="2" t="b">
        <f t="shared" si="554"/>
        <v>1</v>
      </c>
      <c r="FJ130" s="2" t="b">
        <f t="shared" si="555"/>
        <v>1</v>
      </c>
      <c r="FK130" s="2" t="b">
        <f t="shared" si="556"/>
        <v>0</v>
      </c>
      <c r="FL130" s="2" t="b">
        <f t="shared" si="557"/>
        <v>0</v>
      </c>
      <c r="FM130" s="2" t="b">
        <f t="shared" si="558"/>
        <v>0</v>
      </c>
      <c r="FN130" s="2" t="b">
        <f t="shared" si="559"/>
        <v>1</v>
      </c>
      <c r="FO130" s="2" t="b">
        <f t="shared" si="560"/>
        <v>1</v>
      </c>
      <c r="FP130" s="2" t="b">
        <f t="shared" si="561"/>
        <v>1</v>
      </c>
    </row>
    <row r="131" spans="1:172" ht="15.6">
      <c r="A131" s="2" t="s">
        <v>1302</v>
      </c>
      <c r="B131" s="2" t="s">
        <v>255</v>
      </c>
      <c r="C131" s="2" t="s">
        <v>1064</v>
      </c>
      <c r="D131" s="2" t="s">
        <v>1303</v>
      </c>
      <c r="E131" s="2" t="s">
        <v>889</v>
      </c>
      <c r="F131" s="2" t="s">
        <v>356</v>
      </c>
      <c r="G131" s="2">
        <v>26</v>
      </c>
      <c r="H131" s="2">
        <v>25</v>
      </c>
      <c r="I131" s="2">
        <v>24.5</v>
      </c>
      <c r="J131" s="2">
        <f t="shared" si="562"/>
        <v>26.000000000220002</v>
      </c>
      <c r="K131" s="2">
        <f t="shared" si="563"/>
        <v>25.000000000209997</v>
      </c>
      <c r="L131" s="2">
        <f t="shared" si="564"/>
        <v>24.5000000002</v>
      </c>
      <c r="M131" s="364" t="s">
        <v>356</v>
      </c>
      <c r="N131" s="364" t="s">
        <v>356</v>
      </c>
      <c r="O131" s="364" t="s">
        <v>356</v>
      </c>
      <c r="P131" s="364" t="s">
        <v>356</v>
      </c>
      <c r="Q131" s="364" t="s">
        <v>356</v>
      </c>
      <c r="R131" s="2" t="s">
        <v>1304</v>
      </c>
      <c r="S131" s="2" t="s">
        <v>1177</v>
      </c>
      <c r="T131" s="2">
        <v>20</v>
      </c>
      <c r="U131" s="2" cm="1">
        <f t="array" ref="U131">IFERROR(INDEX('Offer Statistics'!$BQ$2:$BQ$400,MATCH(1,(A131='Offer Statistics'!$BB$2:$BB$400)*($A$11='Offer Statistics'!$BC$2:$BC$400),0)),"/")</f>
        <v>22</v>
      </c>
      <c r="V131" s="2" cm="1">
        <f t="array" ref="V131">IFERROR(INDEX('Offer Statistics'!$BD$2:$BD$400,MATCH(1,(A131='Offer Statistics'!$BB$2:$BB$400)*($A$11='Offer Statistics'!$BC$2:$BC$400),0)),"/")</f>
        <v>142</v>
      </c>
      <c r="W131" s="2" cm="1">
        <f t="array" ref="W131">IFERROR(INDEX('Offer Statistics'!$BL$2:$BL$400,MATCH(1,(A131='Offer Statistics'!$BB$2:$BB$400)*($A$11='Offer Statistics'!$BC$2:$BC$400),0)),"/")</f>
        <v>22</v>
      </c>
      <c r="X131" s="2">
        <f t="shared" si="502"/>
        <v>6.4545454545454541</v>
      </c>
      <c r="Y131" s="2" t="s">
        <v>1177</v>
      </c>
      <c r="Z131" s="364" t="str">
        <f>入學要求!AF140</f>
        <v>/</v>
      </c>
      <c r="AA131" s="364" t="str">
        <f>入學要求!AG140</f>
        <v>/</v>
      </c>
      <c r="AB131" s="368" t="s">
        <v>889</v>
      </c>
      <c r="AC131" s="368"/>
      <c r="AD131" s="368"/>
      <c r="AE131" s="368" t="s">
        <v>356</v>
      </c>
      <c r="AF131" s="368" t="s">
        <v>356</v>
      </c>
      <c r="AG131" s="368" t="s">
        <v>356</v>
      </c>
      <c r="AH131" s="368" t="s">
        <v>356</v>
      </c>
      <c r="AI131" s="368" t="s">
        <v>356</v>
      </c>
      <c r="AJ131" s="2" t="s">
        <v>356</v>
      </c>
      <c r="AK131" s="2" t="s">
        <v>356</v>
      </c>
      <c r="AL131" s="2" t="s">
        <v>356</v>
      </c>
      <c r="AM131" s="2" t="s">
        <v>356</v>
      </c>
      <c r="AN131" s="2" t="s">
        <v>356</v>
      </c>
      <c r="AO131" s="2" t="s">
        <v>356</v>
      </c>
      <c r="AP131" s="2" t="s">
        <v>356</v>
      </c>
      <c r="AQ131" s="2" t="s">
        <v>356</v>
      </c>
      <c r="AS131" s="2" t="s">
        <v>820</v>
      </c>
      <c r="AU131" s="2" t="s">
        <v>817</v>
      </c>
      <c r="AY131" s="2">
        <v>1</v>
      </c>
      <c r="AZ131" s="2">
        <v>1</v>
      </c>
      <c r="BA131" s="2">
        <v>1</v>
      </c>
      <c r="BB131" s="2">
        <v>1</v>
      </c>
      <c r="BC131" s="2">
        <v>1</v>
      </c>
      <c r="BD131" s="2">
        <v>1</v>
      </c>
      <c r="BE131" s="2">
        <v>1</v>
      </c>
      <c r="BF131" s="2">
        <v>1</v>
      </c>
      <c r="BG131" s="2" t="s">
        <v>1302</v>
      </c>
      <c r="BH131">
        <v>8.5</v>
      </c>
      <c r="BI131">
        <v>4</v>
      </c>
      <c r="BJ131">
        <v>2</v>
      </c>
      <c r="BK131">
        <v>4</v>
      </c>
      <c r="BL131" t="s">
        <v>356</v>
      </c>
      <c r="BM131">
        <v>4</v>
      </c>
      <c r="BN131">
        <v>4</v>
      </c>
      <c r="BO131" t="s">
        <v>356</v>
      </c>
      <c r="BP131" s="206">
        <f t="shared" si="565"/>
        <v>8.50000000004</v>
      </c>
      <c r="BQ131" s="206">
        <f t="shared" si="566"/>
        <v>4.00000000002</v>
      </c>
      <c r="BR131" s="206">
        <f t="shared" si="567"/>
        <v>2.00000000003</v>
      </c>
      <c r="BS131" s="206">
        <f t="shared" si="568"/>
        <v>4.00000000001</v>
      </c>
      <c r="BT131" s="206">
        <f t="shared" si="569"/>
        <v>0</v>
      </c>
      <c r="BU131" s="206">
        <f t="shared" si="570"/>
        <v>4.00000000006</v>
      </c>
      <c r="BV131" s="206">
        <f t="shared" si="571"/>
        <v>4.00000000007</v>
      </c>
      <c r="BW131" s="206">
        <f t="shared" si="572"/>
        <v>0</v>
      </c>
      <c r="BX131" s="2">
        <f t="shared" si="509"/>
        <v>8.50000000004</v>
      </c>
      <c r="BY131" s="2">
        <f t="shared" si="510"/>
        <v>4.00000000002</v>
      </c>
      <c r="BZ131" s="2">
        <f t="shared" si="511"/>
        <v>2.00000000003</v>
      </c>
      <c r="CA131" s="2">
        <f t="shared" si="512"/>
        <v>4.00000000001</v>
      </c>
      <c r="CB131" s="2">
        <f t="shared" si="513"/>
        <v>0</v>
      </c>
      <c r="CC131" s="2">
        <f t="shared" si="514"/>
        <v>4.00000000006</v>
      </c>
      <c r="CD131" s="2">
        <f t="shared" si="515"/>
        <v>4.00000000007</v>
      </c>
      <c r="CE131" s="2">
        <f t="shared" si="516"/>
        <v>0</v>
      </c>
      <c r="CF131" s="2" t="b">
        <f t="shared" si="517"/>
        <v>1</v>
      </c>
      <c r="CG131" s="2" t="b">
        <f t="shared" si="518"/>
        <v>1</v>
      </c>
      <c r="CH131" s="2" t="b">
        <f t="shared" si="519"/>
        <v>0</v>
      </c>
      <c r="CI131" s="2" t="b">
        <f t="shared" si="520"/>
        <v>1</v>
      </c>
      <c r="CJ131" s="2" t="b">
        <f t="shared" si="521"/>
        <v>0</v>
      </c>
      <c r="CK131" s="2" t="b">
        <f t="shared" si="522"/>
        <v>1</v>
      </c>
      <c r="CL131" s="2" t="b">
        <f t="shared" si="523"/>
        <v>1</v>
      </c>
      <c r="CM131" s="2" t="b">
        <f t="shared" si="524"/>
        <v>0</v>
      </c>
      <c r="CN131" s="2">
        <v>1</v>
      </c>
      <c r="CO131" s="2">
        <v>1</v>
      </c>
      <c r="CP131" s="2">
        <v>1</v>
      </c>
      <c r="CQ131" s="2">
        <v>1</v>
      </c>
      <c r="CR131" s="2">
        <v>1</v>
      </c>
      <c r="CS131" s="2">
        <v>1</v>
      </c>
      <c r="CT131" s="2">
        <v>1</v>
      </c>
      <c r="CU131" s="2">
        <v>1</v>
      </c>
      <c r="CW131" s="2">
        <v>5.5</v>
      </c>
      <c r="CX131" s="2">
        <v>3</v>
      </c>
      <c r="CY131" s="2">
        <v>3</v>
      </c>
      <c r="CZ131" s="2">
        <v>5.5</v>
      </c>
      <c r="DA131" s="2" t="s">
        <v>356</v>
      </c>
      <c r="DB131" s="2">
        <v>5.5</v>
      </c>
      <c r="DC131" s="2">
        <v>5.5</v>
      </c>
      <c r="DD131" s="2" t="s">
        <v>356</v>
      </c>
      <c r="DE131" s="206">
        <f t="shared" si="573"/>
        <v>5.50000000004</v>
      </c>
      <c r="DF131" s="206">
        <f t="shared" si="574"/>
        <v>3.00000000002</v>
      </c>
      <c r="DG131" s="206">
        <f t="shared" si="575"/>
        <v>3.00000000003</v>
      </c>
      <c r="DH131" s="206">
        <f t="shared" si="576"/>
        <v>5.50000000001</v>
      </c>
      <c r="DI131" s="206">
        <f t="shared" si="577"/>
        <v>0</v>
      </c>
      <c r="DJ131" s="206">
        <f t="shared" si="578"/>
        <v>5.50000000006</v>
      </c>
      <c r="DK131" s="206">
        <f t="shared" si="579"/>
        <v>5.50000000007</v>
      </c>
      <c r="DL131" s="206">
        <f t="shared" si="580"/>
        <v>0</v>
      </c>
      <c r="DM131" s="2">
        <f t="shared" si="531"/>
        <v>5.50000000004</v>
      </c>
      <c r="DN131" s="2">
        <f t="shared" si="532"/>
        <v>3.00000000002</v>
      </c>
      <c r="DO131" s="2">
        <f t="shared" si="533"/>
        <v>3.00000000003</v>
      </c>
      <c r="DP131" s="2">
        <f t="shared" si="534"/>
        <v>5.50000000001</v>
      </c>
      <c r="DQ131" s="2">
        <f t="shared" si="535"/>
        <v>0</v>
      </c>
      <c r="DR131" s="2">
        <f t="shared" si="536"/>
        <v>5.50000000006</v>
      </c>
      <c r="DS131" s="2">
        <f t="shared" si="537"/>
        <v>5.50000000007</v>
      </c>
      <c r="DT131" s="2">
        <f t="shared" si="538"/>
        <v>0</v>
      </c>
      <c r="DU131" s="2" t="b">
        <f t="shared" si="539"/>
        <v>1</v>
      </c>
      <c r="DV131" s="2" t="b">
        <f t="shared" si="540"/>
        <v>0</v>
      </c>
      <c r="DW131" s="2" t="b">
        <f t="shared" si="541"/>
        <v>1</v>
      </c>
      <c r="DX131" s="2" t="b">
        <f t="shared" si="542"/>
        <v>1</v>
      </c>
      <c r="DY131" s="2" t="b">
        <f t="shared" si="543"/>
        <v>0</v>
      </c>
      <c r="DZ131" s="2" t="b">
        <f t="shared" si="544"/>
        <v>1</v>
      </c>
      <c r="EA131" s="2" t="b">
        <f t="shared" si="545"/>
        <v>1</v>
      </c>
      <c r="EB131" s="2" t="b">
        <f t="shared" si="546"/>
        <v>0</v>
      </c>
      <c r="EC131" s="2">
        <v>1</v>
      </c>
      <c r="ED131" s="2">
        <v>1</v>
      </c>
      <c r="EE131" s="2">
        <v>1</v>
      </c>
      <c r="EF131" s="2">
        <v>1</v>
      </c>
      <c r="EG131" s="2">
        <v>1</v>
      </c>
      <c r="EH131" s="2">
        <v>1</v>
      </c>
      <c r="EI131" s="2">
        <v>1</v>
      </c>
      <c r="EJ131" s="2">
        <v>1</v>
      </c>
      <c r="EK131" s="2">
        <v>8.5</v>
      </c>
      <c r="EL131" s="2">
        <v>4</v>
      </c>
      <c r="EM131" s="2">
        <v>4</v>
      </c>
      <c r="EN131" s="2">
        <v>4</v>
      </c>
      <c r="EO131" s="2" t="s">
        <v>356</v>
      </c>
      <c r="EP131" s="2">
        <v>5.5</v>
      </c>
      <c r="EQ131" s="2">
        <v>4</v>
      </c>
      <c r="ER131" s="2" t="s">
        <v>356</v>
      </c>
      <c r="ES131" s="206">
        <f t="shared" si="581"/>
        <v>8.50000000004</v>
      </c>
      <c r="ET131" s="206">
        <f t="shared" si="582"/>
        <v>4.00000000002</v>
      </c>
      <c r="EU131" s="206">
        <f t="shared" si="583"/>
        <v>4.00000000003</v>
      </c>
      <c r="EV131" s="206">
        <f t="shared" si="584"/>
        <v>4.00000000001</v>
      </c>
      <c r="EW131" s="206">
        <f t="shared" si="585"/>
        <v>0</v>
      </c>
      <c r="EX131" s="206">
        <f t="shared" si="586"/>
        <v>5.50000000006</v>
      </c>
      <c r="EY131" s="206">
        <f t="shared" si="587"/>
        <v>4.00000000007</v>
      </c>
      <c r="EZ131" s="206">
        <f t="shared" si="588"/>
        <v>0</v>
      </c>
      <c r="FA131" s="2">
        <f t="shared" si="589"/>
        <v>8.50000000004</v>
      </c>
      <c r="FB131" s="2">
        <f t="shared" si="590"/>
        <v>4.00000000002</v>
      </c>
      <c r="FC131" s="2">
        <f t="shared" si="591"/>
        <v>4.00000000003</v>
      </c>
      <c r="FD131" s="2">
        <f t="shared" si="592"/>
        <v>4.00000000001</v>
      </c>
      <c r="FE131" s="2">
        <f t="shared" si="593"/>
        <v>0</v>
      </c>
      <c r="FF131" s="2">
        <f t="shared" si="594"/>
        <v>5.50000000006</v>
      </c>
      <c r="FG131" s="2">
        <f t="shared" si="595"/>
        <v>4.00000000007</v>
      </c>
      <c r="FH131" s="2">
        <f t="shared" si="596"/>
        <v>0</v>
      </c>
      <c r="FI131" s="2" t="b">
        <f t="shared" si="554"/>
        <v>1</v>
      </c>
      <c r="FJ131" s="2" t="b">
        <f t="shared" si="555"/>
        <v>1</v>
      </c>
      <c r="FK131" s="2" t="b">
        <f t="shared" si="556"/>
        <v>1</v>
      </c>
      <c r="FL131" s="2" t="b">
        <f t="shared" si="557"/>
        <v>0</v>
      </c>
      <c r="FM131" s="2" t="b">
        <f t="shared" si="558"/>
        <v>0</v>
      </c>
      <c r="FN131" s="2" t="b">
        <f t="shared" si="559"/>
        <v>1</v>
      </c>
      <c r="FO131" s="2" t="b">
        <f t="shared" si="560"/>
        <v>1</v>
      </c>
      <c r="FP131" s="2" t="b">
        <f t="shared" si="561"/>
        <v>0</v>
      </c>
    </row>
    <row r="132" spans="1:172" ht="15.6">
      <c r="A132" s="2" t="s">
        <v>1305</v>
      </c>
      <c r="B132" s="2" t="s">
        <v>255</v>
      </c>
      <c r="C132" s="2" t="s">
        <v>1064</v>
      </c>
      <c r="D132" s="2" t="s">
        <v>78</v>
      </c>
      <c r="E132" s="2" t="s">
        <v>889</v>
      </c>
      <c r="F132" s="2" t="s">
        <v>356</v>
      </c>
      <c r="G132" s="2">
        <v>27.75</v>
      </c>
      <c r="H132" s="2">
        <v>26.5</v>
      </c>
      <c r="I132" s="2">
        <v>25.75</v>
      </c>
      <c r="J132" s="2">
        <f t="shared" si="562"/>
        <v>27.750000000209997</v>
      </c>
      <c r="K132" s="2">
        <f t="shared" si="563"/>
        <v>26.500000000229999</v>
      </c>
      <c r="L132" s="2">
        <f t="shared" si="564"/>
        <v>25.750000000229999</v>
      </c>
      <c r="M132" s="364" t="s">
        <v>1307</v>
      </c>
      <c r="N132" s="364" t="s">
        <v>356</v>
      </c>
      <c r="O132" s="364" t="s">
        <v>836</v>
      </c>
      <c r="P132" s="364" t="s">
        <v>356</v>
      </c>
      <c r="Q132" s="364" t="s">
        <v>356</v>
      </c>
      <c r="R132" s="2" t="s">
        <v>1306</v>
      </c>
      <c r="S132" s="2" t="s">
        <v>1177</v>
      </c>
      <c r="T132" s="2">
        <v>55</v>
      </c>
      <c r="U132" s="2" cm="1">
        <f t="array" ref="U132">IFERROR(INDEX('Offer Statistics'!$BQ$2:$BQ$400,MATCH(1,(A132='Offer Statistics'!$BB$2:$BB$400)*($A$11='Offer Statistics'!$BC$2:$BC$400),0)),"/")</f>
        <v>52</v>
      </c>
      <c r="V132" s="2" cm="1">
        <f t="array" ref="V132">IFERROR(INDEX('Offer Statistics'!$BD$2:$BD$400,MATCH(1,(A132='Offer Statistics'!$BB$2:$BB$400)*($A$11='Offer Statistics'!$BC$2:$BC$400),0)),"/")</f>
        <v>351</v>
      </c>
      <c r="W132" s="2" cm="1">
        <f t="array" ref="W132">IFERROR(INDEX('Offer Statistics'!$BL$2:$BL$400,MATCH(1,(A132='Offer Statistics'!$BB$2:$BB$400)*($A$11='Offer Statistics'!$BC$2:$BC$400),0)),"/")</f>
        <v>52</v>
      </c>
      <c r="X132" s="2">
        <f t="shared" si="502"/>
        <v>6.75</v>
      </c>
      <c r="Y132" s="2" t="s">
        <v>1177</v>
      </c>
      <c r="Z132" s="364" t="str">
        <f>入學要求!AF141</f>
        <v>/</v>
      </c>
      <c r="AA132" s="364" t="str">
        <f>入學要求!AG141</f>
        <v>/</v>
      </c>
      <c r="AB132" s="401" t="s">
        <v>889</v>
      </c>
      <c r="AC132" s="368"/>
      <c r="AD132" s="368"/>
      <c r="AE132" s="368" t="s">
        <v>1307</v>
      </c>
      <c r="AF132" s="368" t="s">
        <v>356</v>
      </c>
      <c r="AG132" s="368" t="s">
        <v>836</v>
      </c>
      <c r="AH132" s="368" t="s">
        <v>356</v>
      </c>
      <c r="AI132" s="368" t="s">
        <v>356</v>
      </c>
      <c r="AJ132" s="2" t="s">
        <v>356</v>
      </c>
      <c r="AK132" s="2" t="s">
        <v>356</v>
      </c>
      <c r="AL132" s="2" t="s">
        <v>356</v>
      </c>
      <c r="AM132" s="2" t="s">
        <v>356</v>
      </c>
      <c r="AN132" s="2" t="s">
        <v>356</v>
      </c>
      <c r="AO132" s="2" t="s">
        <v>356</v>
      </c>
      <c r="AP132" s="2" t="s">
        <v>356</v>
      </c>
      <c r="AQ132" s="2" t="s">
        <v>356</v>
      </c>
      <c r="AS132" s="2" t="s">
        <v>820</v>
      </c>
      <c r="AU132" s="2" t="s">
        <v>817</v>
      </c>
      <c r="AY132" s="2">
        <v>1</v>
      </c>
      <c r="AZ132" s="2">
        <v>1.5</v>
      </c>
      <c r="BA132" s="2">
        <v>1</v>
      </c>
      <c r="BB132" s="2">
        <v>1</v>
      </c>
      <c r="BC132" s="2">
        <v>1</v>
      </c>
      <c r="BD132" s="2">
        <v>1</v>
      </c>
      <c r="BE132" s="2">
        <v>1</v>
      </c>
      <c r="BF132" s="2">
        <v>1</v>
      </c>
      <c r="BG132" s="2" t="s">
        <v>1305</v>
      </c>
      <c r="BH132">
        <v>5.5</v>
      </c>
      <c r="BI132">
        <v>5.5</v>
      </c>
      <c r="BJ132">
        <v>4</v>
      </c>
      <c r="BK132">
        <v>4</v>
      </c>
      <c r="BL132" t="s">
        <v>356</v>
      </c>
      <c r="BM132">
        <v>4</v>
      </c>
      <c r="BN132">
        <v>4</v>
      </c>
      <c r="BO132" t="s">
        <v>356</v>
      </c>
      <c r="BP132" s="206">
        <f t="shared" si="565"/>
        <v>5.50000000004</v>
      </c>
      <c r="BQ132" s="206">
        <f t="shared" si="566"/>
        <v>5.50000000002</v>
      </c>
      <c r="BR132" s="206">
        <f t="shared" si="567"/>
        <v>4.00000000003</v>
      </c>
      <c r="BS132" s="206">
        <f t="shared" si="568"/>
        <v>4.00000000001</v>
      </c>
      <c r="BT132" s="206">
        <f t="shared" si="569"/>
        <v>0</v>
      </c>
      <c r="BU132" s="206">
        <f t="shared" si="570"/>
        <v>4.00000000006</v>
      </c>
      <c r="BV132" s="206">
        <f t="shared" si="571"/>
        <v>4.00000000007</v>
      </c>
      <c r="BW132" s="206">
        <f t="shared" si="572"/>
        <v>0</v>
      </c>
      <c r="BX132" s="2">
        <f t="shared" si="509"/>
        <v>5.50000000004</v>
      </c>
      <c r="BY132" s="2">
        <f t="shared" si="510"/>
        <v>8.2500000000299991</v>
      </c>
      <c r="BZ132" s="2">
        <f t="shared" si="511"/>
        <v>4.00000000003</v>
      </c>
      <c r="CA132" s="2">
        <f t="shared" si="512"/>
        <v>4.00000000001</v>
      </c>
      <c r="CB132" s="2">
        <f t="shared" si="513"/>
        <v>0</v>
      </c>
      <c r="CC132" s="2">
        <f t="shared" si="514"/>
        <v>4.00000000006</v>
      </c>
      <c r="CD132" s="2">
        <f t="shared" si="515"/>
        <v>4.00000000007</v>
      </c>
      <c r="CE132" s="2">
        <f t="shared" si="516"/>
        <v>0</v>
      </c>
      <c r="CF132" s="2" t="b">
        <f t="shared" si="517"/>
        <v>1</v>
      </c>
      <c r="CG132" s="2" t="b">
        <f t="shared" si="518"/>
        <v>1</v>
      </c>
      <c r="CH132" s="2" t="b">
        <f t="shared" si="519"/>
        <v>1</v>
      </c>
      <c r="CI132" s="2" t="b">
        <f t="shared" si="520"/>
        <v>0</v>
      </c>
      <c r="CJ132" s="2" t="b">
        <f t="shared" si="521"/>
        <v>0</v>
      </c>
      <c r="CK132" s="2" t="b">
        <f t="shared" si="522"/>
        <v>1</v>
      </c>
      <c r="CL132" s="2" t="b">
        <f t="shared" si="523"/>
        <v>1</v>
      </c>
      <c r="CM132" s="2" t="b">
        <f t="shared" si="524"/>
        <v>0</v>
      </c>
      <c r="CN132" s="2">
        <v>1</v>
      </c>
      <c r="CO132" s="2">
        <v>1.5</v>
      </c>
      <c r="CP132" s="2">
        <v>1</v>
      </c>
      <c r="CQ132" s="2">
        <v>1</v>
      </c>
      <c r="CR132" s="2">
        <v>1</v>
      </c>
      <c r="CS132" s="2">
        <v>1</v>
      </c>
      <c r="CT132" s="2">
        <v>1</v>
      </c>
      <c r="CU132" s="2">
        <v>1</v>
      </c>
      <c r="CW132" s="2">
        <v>4</v>
      </c>
      <c r="CX132" s="2">
        <v>7</v>
      </c>
      <c r="CY132" s="2">
        <v>4</v>
      </c>
      <c r="CZ132" s="2">
        <v>4</v>
      </c>
      <c r="DA132" s="2" t="s">
        <v>356</v>
      </c>
      <c r="DB132" s="2">
        <v>4</v>
      </c>
      <c r="DC132" s="2">
        <v>4</v>
      </c>
      <c r="DD132" s="2">
        <v>3</v>
      </c>
      <c r="DE132" s="206">
        <f t="shared" si="573"/>
        <v>4.00000000004</v>
      </c>
      <c r="DF132" s="206">
        <f t="shared" si="574"/>
        <v>7.00000000002</v>
      </c>
      <c r="DG132" s="206">
        <f t="shared" si="575"/>
        <v>4.00000000003</v>
      </c>
      <c r="DH132" s="206">
        <f t="shared" si="576"/>
        <v>4.00000000001</v>
      </c>
      <c r="DI132" s="206">
        <f t="shared" si="577"/>
        <v>0</v>
      </c>
      <c r="DJ132" s="206">
        <f t="shared" si="578"/>
        <v>4.00000000006</v>
      </c>
      <c r="DK132" s="206">
        <f t="shared" si="579"/>
        <v>4.00000000007</v>
      </c>
      <c r="DL132" s="206">
        <f t="shared" si="580"/>
        <v>3.00000000008</v>
      </c>
      <c r="DM132" s="2">
        <f t="shared" si="531"/>
        <v>4.00000000004</v>
      </c>
      <c r="DN132" s="2">
        <f t="shared" si="532"/>
        <v>10.500000000029999</v>
      </c>
      <c r="DO132" s="2">
        <f t="shared" si="533"/>
        <v>4.00000000003</v>
      </c>
      <c r="DP132" s="2">
        <f t="shared" si="534"/>
        <v>4.00000000001</v>
      </c>
      <c r="DQ132" s="2">
        <f t="shared" si="535"/>
        <v>0</v>
      </c>
      <c r="DR132" s="2">
        <f t="shared" si="536"/>
        <v>4.00000000006</v>
      </c>
      <c r="DS132" s="2">
        <f t="shared" si="537"/>
        <v>4.00000000007</v>
      </c>
      <c r="DT132" s="2">
        <f t="shared" si="538"/>
        <v>3.00000000008</v>
      </c>
      <c r="DU132" s="2" t="b">
        <f t="shared" si="539"/>
        <v>1</v>
      </c>
      <c r="DV132" s="2" t="b">
        <f t="shared" si="540"/>
        <v>1</v>
      </c>
      <c r="DW132" s="2" t="b">
        <f t="shared" si="541"/>
        <v>1</v>
      </c>
      <c r="DX132" s="2" t="b">
        <f t="shared" si="542"/>
        <v>0</v>
      </c>
      <c r="DY132" s="2" t="b">
        <f t="shared" si="543"/>
        <v>0</v>
      </c>
      <c r="DZ132" s="2" t="b">
        <f t="shared" si="544"/>
        <v>1</v>
      </c>
      <c r="EA132" s="2" t="b">
        <f t="shared" si="545"/>
        <v>1</v>
      </c>
      <c r="EB132" s="2" t="b">
        <f t="shared" si="546"/>
        <v>0</v>
      </c>
      <c r="EC132" s="2">
        <v>1</v>
      </c>
      <c r="ED132" s="2">
        <v>1.5</v>
      </c>
      <c r="EE132" s="2">
        <v>1</v>
      </c>
      <c r="EF132" s="2">
        <v>1</v>
      </c>
      <c r="EG132" s="2">
        <v>1</v>
      </c>
      <c r="EH132" s="2">
        <v>1</v>
      </c>
      <c r="EI132" s="2">
        <v>1</v>
      </c>
      <c r="EJ132" s="2">
        <v>1</v>
      </c>
      <c r="EK132" s="2">
        <v>4</v>
      </c>
      <c r="EL132" s="2">
        <v>8.5</v>
      </c>
      <c r="EM132" s="2">
        <v>3</v>
      </c>
      <c r="EN132" s="2">
        <v>4</v>
      </c>
      <c r="EO132" s="2" t="s">
        <v>356</v>
      </c>
      <c r="EP132" s="2">
        <v>4</v>
      </c>
      <c r="EQ132" s="2">
        <v>3</v>
      </c>
      <c r="ER132" s="2" t="s">
        <v>356</v>
      </c>
      <c r="ES132" s="206">
        <f t="shared" si="581"/>
        <v>4.00000000004</v>
      </c>
      <c r="ET132" s="206">
        <f t="shared" si="582"/>
        <v>8.50000000002</v>
      </c>
      <c r="EU132" s="206">
        <f t="shared" si="583"/>
        <v>3.00000000003</v>
      </c>
      <c r="EV132" s="206">
        <f t="shared" si="584"/>
        <v>4.00000000001</v>
      </c>
      <c r="EW132" s="206">
        <f t="shared" si="585"/>
        <v>0</v>
      </c>
      <c r="EX132" s="206">
        <f t="shared" si="586"/>
        <v>4.00000000006</v>
      </c>
      <c r="EY132" s="206">
        <f t="shared" si="587"/>
        <v>3.00000000007</v>
      </c>
      <c r="EZ132" s="206">
        <f t="shared" si="588"/>
        <v>0</v>
      </c>
      <c r="FA132" s="2">
        <f t="shared" si="589"/>
        <v>4.00000000004</v>
      </c>
      <c r="FB132" s="2">
        <f t="shared" si="590"/>
        <v>12.750000000029999</v>
      </c>
      <c r="FC132" s="2">
        <f t="shared" si="591"/>
        <v>3.00000000003</v>
      </c>
      <c r="FD132" s="2">
        <f t="shared" si="592"/>
        <v>4.00000000001</v>
      </c>
      <c r="FE132" s="2">
        <f t="shared" si="593"/>
        <v>0</v>
      </c>
      <c r="FF132" s="2">
        <f t="shared" si="594"/>
        <v>4.00000000006</v>
      </c>
      <c r="FG132" s="2">
        <f t="shared" si="595"/>
        <v>3.00000000007</v>
      </c>
      <c r="FH132" s="2">
        <f t="shared" si="596"/>
        <v>0</v>
      </c>
      <c r="FI132" s="2" t="b">
        <f t="shared" si="554"/>
        <v>1</v>
      </c>
      <c r="FJ132" s="2" t="b">
        <f t="shared" si="555"/>
        <v>1</v>
      </c>
      <c r="FK132" s="2" t="b">
        <f t="shared" si="556"/>
        <v>0</v>
      </c>
      <c r="FL132" s="2" t="b">
        <f t="shared" si="557"/>
        <v>1</v>
      </c>
      <c r="FM132" s="2" t="b">
        <f t="shared" si="558"/>
        <v>0</v>
      </c>
      <c r="FN132" s="2" t="b">
        <f t="shared" si="559"/>
        <v>1</v>
      </c>
      <c r="FO132" s="2" t="b">
        <f t="shared" si="560"/>
        <v>1</v>
      </c>
      <c r="FP132" s="2" t="b">
        <f t="shared" si="561"/>
        <v>0</v>
      </c>
    </row>
    <row r="133" spans="1:172" ht="15.6">
      <c r="A133" s="2" t="s">
        <v>1308</v>
      </c>
      <c r="B133" s="2" t="s">
        <v>255</v>
      </c>
      <c r="C133" s="2" t="s">
        <v>1064</v>
      </c>
      <c r="D133" s="2" t="s">
        <v>1309</v>
      </c>
      <c r="E133" s="2" t="s">
        <v>889</v>
      </c>
      <c r="F133" s="2" t="s">
        <v>356</v>
      </c>
      <c r="G133" s="2">
        <v>29</v>
      </c>
      <c r="H133" s="2">
        <v>24.5</v>
      </c>
      <c r="I133" s="2">
        <v>21.5</v>
      </c>
      <c r="J133" s="2">
        <f t="shared" si="562"/>
        <v>29.000000000220002</v>
      </c>
      <c r="K133" s="2">
        <f t="shared" si="563"/>
        <v>24.500000000220002</v>
      </c>
      <c r="L133" s="2">
        <f t="shared" si="564"/>
        <v>21.5000000002</v>
      </c>
      <c r="M133" s="364" t="s">
        <v>1311</v>
      </c>
      <c r="N133" s="364" t="s">
        <v>356</v>
      </c>
      <c r="O133" s="364" t="s">
        <v>356</v>
      </c>
      <c r="P133" s="364" t="s">
        <v>356</v>
      </c>
      <c r="Q133" s="364" t="s">
        <v>356</v>
      </c>
      <c r="R133" s="2" t="s">
        <v>1310</v>
      </c>
      <c r="S133" s="2" t="s">
        <v>1177</v>
      </c>
      <c r="T133" s="2">
        <v>19</v>
      </c>
      <c r="U133" s="2" cm="1">
        <f t="array" ref="U133">IFERROR(INDEX('Offer Statistics'!$BQ$2:$BQ$400,MATCH(1,(A133='Offer Statistics'!$BB$2:$BB$400)*($A$11='Offer Statistics'!$BC$2:$BC$400),0)),"/")</f>
        <v>21</v>
      </c>
      <c r="V133" s="2" cm="1">
        <f t="array" ref="V133">IFERROR(INDEX('Offer Statistics'!$BD$2:$BD$400,MATCH(1,(A133='Offer Statistics'!$BB$2:$BB$400)*($A$11='Offer Statistics'!$BC$2:$BC$400),0)),"/")</f>
        <v>273</v>
      </c>
      <c r="W133" s="2" cm="1">
        <f t="array" ref="W133">IFERROR(INDEX('Offer Statistics'!$BL$2:$BL$400,MATCH(1,(A133='Offer Statistics'!$BB$2:$BB$400)*($A$11='Offer Statistics'!$BC$2:$BC$400),0)),"/")</f>
        <v>21</v>
      </c>
      <c r="X133" s="2">
        <f t="shared" si="502"/>
        <v>13</v>
      </c>
      <c r="Y133" s="2" t="s">
        <v>1177</v>
      </c>
      <c r="Z133" s="364" t="str">
        <f>入學要求!AF142</f>
        <v>/</v>
      </c>
      <c r="AA133" s="364" t="str">
        <f>入學要求!AG142</f>
        <v>/</v>
      </c>
      <c r="AB133" s="368" t="s">
        <v>889</v>
      </c>
      <c r="AC133" s="368"/>
      <c r="AD133" s="368"/>
      <c r="AE133" s="368" t="s">
        <v>1311</v>
      </c>
      <c r="AF133" s="368" t="s">
        <v>356</v>
      </c>
      <c r="AG133" s="368" t="s">
        <v>356</v>
      </c>
      <c r="AH133" s="368" t="s">
        <v>356</v>
      </c>
      <c r="AI133" s="368" t="s">
        <v>356</v>
      </c>
      <c r="AJ133" s="2" t="s">
        <v>356</v>
      </c>
      <c r="AK133" s="2" t="s">
        <v>356</v>
      </c>
      <c r="AL133" s="2" t="s">
        <v>356</v>
      </c>
      <c r="AM133" s="2" t="s">
        <v>356</v>
      </c>
      <c r="AN133" s="2" t="s">
        <v>356</v>
      </c>
      <c r="AO133" s="2" t="s">
        <v>356</v>
      </c>
      <c r="AP133" s="2" t="s">
        <v>356</v>
      </c>
      <c r="AQ133" s="2" t="s">
        <v>356</v>
      </c>
      <c r="AS133" s="2" t="s">
        <v>820</v>
      </c>
      <c r="AU133" s="2" t="s">
        <v>817</v>
      </c>
      <c r="AY133" s="2">
        <v>1</v>
      </c>
      <c r="AZ133" s="2">
        <v>1</v>
      </c>
      <c r="BA133" s="2">
        <v>1</v>
      </c>
      <c r="BB133" s="2">
        <v>1</v>
      </c>
      <c r="BC133" s="2">
        <v>1</v>
      </c>
      <c r="BD133" s="2">
        <v>1</v>
      </c>
      <c r="BE133" s="2">
        <v>1</v>
      </c>
      <c r="BF133" s="2">
        <v>1</v>
      </c>
      <c r="BG133" s="2" t="s">
        <v>1308</v>
      </c>
      <c r="BH133">
        <v>5.5</v>
      </c>
      <c r="BI133">
        <v>4</v>
      </c>
      <c r="BJ133">
        <v>3</v>
      </c>
      <c r="BK133">
        <v>4</v>
      </c>
      <c r="BL133" t="s">
        <v>356</v>
      </c>
      <c r="BM133">
        <v>4</v>
      </c>
      <c r="BN133">
        <v>4</v>
      </c>
      <c r="BO133" t="s">
        <v>356</v>
      </c>
      <c r="BP133" s="206">
        <f t="shared" si="565"/>
        <v>5.50000000004</v>
      </c>
      <c r="BQ133" s="206">
        <f t="shared" si="566"/>
        <v>4.00000000002</v>
      </c>
      <c r="BR133" s="206">
        <f t="shared" si="567"/>
        <v>3.00000000003</v>
      </c>
      <c r="BS133" s="206">
        <f t="shared" si="568"/>
        <v>4.00000000001</v>
      </c>
      <c r="BT133" s="206">
        <f t="shared" si="569"/>
        <v>0</v>
      </c>
      <c r="BU133" s="206">
        <f t="shared" si="570"/>
        <v>4.00000000006</v>
      </c>
      <c r="BV133" s="206">
        <f t="shared" si="571"/>
        <v>4.00000000007</v>
      </c>
      <c r="BW133" s="206">
        <f t="shared" si="572"/>
        <v>0</v>
      </c>
      <c r="BX133" s="2">
        <f t="shared" si="509"/>
        <v>5.50000000004</v>
      </c>
      <c r="BY133" s="2">
        <f t="shared" si="510"/>
        <v>4.00000000002</v>
      </c>
      <c r="BZ133" s="2">
        <f t="shared" si="511"/>
        <v>3.00000000003</v>
      </c>
      <c r="CA133" s="2">
        <f t="shared" si="512"/>
        <v>4.00000000001</v>
      </c>
      <c r="CB133" s="2">
        <f t="shared" si="513"/>
        <v>0</v>
      </c>
      <c r="CC133" s="2">
        <f t="shared" si="514"/>
        <v>4.00000000006</v>
      </c>
      <c r="CD133" s="2">
        <f t="shared" si="515"/>
        <v>4.00000000007</v>
      </c>
      <c r="CE133" s="2">
        <f t="shared" si="516"/>
        <v>0</v>
      </c>
      <c r="CF133" s="2" t="b">
        <f t="shared" si="517"/>
        <v>1</v>
      </c>
      <c r="CG133" s="2" t="b">
        <f t="shared" si="518"/>
        <v>1</v>
      </c>
      <c r="CH133" s="2" t="b">
        <f t="shared" si="519"/>
        <v>0</v>
      </c>
      <c r="CI133" s="2" t="b">
        <f t="shared" si="520"/>
        <v>1</v>
      </c>
      <c r="CJ133" s="2" t="b">
        <f t="shared" si="521"/>
        <v>0</v>
      </c>
      <c r="CK133" s="2" t="b">
        <f t="shared" si="522"/>
        <v>1</v>
      </c>
      <c r="CL133" s="2" t="b">
        <f t="shared" si="523"/>
        <v>1</v>
      </c>
      <c r="CM133" s="2" t="b">
        <f t="shared" si="524"/>
        <v>0</v>
      </c>
      <c r="CN133" s="2">
        <v>1</v>
      </c>
      <c r="CO133" s="2">
        <v>1</v>
      </c>
      <c r="CP133" s="2">
        <v>1</v>
      </c>
      <c r="CQ133" s="2">
        <v>1</v>
      </c>
      <c r="CR133" s="2">
        <v>1</v>
      </c>
      <c r="CS133" s="2">
        <v>1</v>
      </c>
      <c r="CT133" s="2">
        <v>1</v>
      </c>
      <c r="CU133" s="2">
        <v>1</v>
      </c>
      <c r="CW133" s="2">
        <v>4</v>
      </c>
      <c r="CX133" s="2">
        <v>5.5</v>
      </c>
      <c r="CY133" s="2">
        <v>4</v>
      </c>
      <c r="CZ133" s="2">
        <v>4</v>
      </c>
      <c r="DA133" s="2" t="s">
        <v>356</v>
      </c>
      <c r="DB133" s="2">
        <v>7</v>
      </c>
      <c r="DC133" s="2">
        <v>4</v>
      </c>
      <c r="DD133" s="2" t="s">
        <v>356</v>
      </c>
      <c r="DE133" s="206">
        <f t="shared" si="573"/>
        <v>4.00000000004</v>
      </c>
      <c r="DF133" s="206">
        <f t="shared" si="574"/>
        <v>5.50000000002</v>
      </c>
      <c r="DG133" s="206">
        <f t="shared" si="575"/>
        <v>4.00000000003</v>
      </c>
      <c r="DH133" s="206">
        <f t="shared" si="576"/>
        <v>4.00000000001</v>
      </c>
      <c r="DI133" s="206">
        <f t="shared" si="577"/>
        <v>0</v>
      </c>
      <c r="DJ133" s="206">
        <f t="shared" si="578"/>
        <v>7.00000000006</v>
      </c>
      <c r="DK133" s="206">
        <f t="shared" si="579"/>
        <v>4.00000000007</v>
      </c>
      <c r="DL133" s="206">
        <f t="shared" si="580"/>
        <v>0</v>
      </c>
      <c r="DM133" s="2">
        <f t="shared" si="531"/>
        <v>4.00000000004</v>
      </c>
      <c r="DN133" s="2">
        <f t="shared" si="532"/>
        <v>5.50000000002</v>
      </c>
      <c r="DO133" s="2">
        <f t="shared" si="533"/>
        <v>4.00000000003</v>
      </c>
      <c r="DP133" s="2">
        <f t="shared" si="534"/>
        <v>4.00000000001</v>
      </c>
      <c r="DQ133" s="2">
        <f t="shared" si="535"/>
        <v>0</v>
      </c>
      <c r="DR133" s="2">
        <f t="shared" si="536"/>
        <v>7.00000000006</v>
      </c>
      <c r="DS133" s="2">
        <f t="shared" si="537"/>
        <v>4.00000000007</v>
      </c>
      <c r="DT133" s="2">
        <f t="shared" si="538"/>
        <v>0</v>
      </c>
      <c r="DU133" s="2" t="b">
        <f t="shared" si="539"/>
        <v>1</v>
      </c>
      <c r="DV133" s="2" t="b">
        <f t="shared" si="540"/>
        <v>1</v>
      </c>
      <c r="DW133" s="2" t="b">
        <f t="shared" si="541"/>
        <v>1</v>
      </c>
      <c r="DX133" s="2" t="b">
        <f t="shared" si="542"/>
        <v>0</v>
      </c>
      <c r="DY133" s="2" t="b">
        <f t="shared" si="543"/>
        <v>0</v>
      </c>
      <c r="DZ133" s="2" t="b">
        <f t="shared" si="544"/>
        <v>1</v>
      </c>
      <c r="EA133" s="2" t="b">
        <f t="shared" si="545"/>
        <v>1</v>
      </c>
      <c r="EB133" s="2" t="b">
        <f t="shared" si="546"/>
        <v>0</v>
      </c>
      <c r="EC133" s="2">
        <v>1</v>
      </c>
      <c r="ED133" s="2">
        <v>1</v>
      </c>
      <c r="EE133" s="2">
        <v>1</v>
      </c>
      <c r="EF133" s="2">
        <v>1</v>
      </c>
      <c r="EG133" s="2">
        <v>1</v>
      </c>
      <c r="EH133" s="2">
        <v>1</v>
      </c>
      <c r="EI133" s="2">
        <v>1</v>
      </c>
      <c r="EJ133" s="2">
        <v>1</v>
      </c>
      <c r="EK133" s="2">
        <v>4</v>
      </c>
      <c r="EL133" s="2">
        <v>5.5</v>
      </c>
      <c r="EM133" s="2">
        <v>4</v>
      </c>
      <c r="EN133" s="2">
        <v>4</v>
      </c>
      <c r="EO133" s="2" t="s">
        <v>356</v>
      </c>
      <c r="EP133" s="2">
        <v>8.5</v>
      </c>
      <c r="EQ133" s="2">
        <v>7</v>
      </c>
      <c r="ER133" s="2" t="s">
        <v>356</v>
      </c>
      <c r="ES133" s="206">
        <f t="shared" si="581"/>
        <v>4.00000000004</v>
      </c>
      <c r="ET133" s="206">
        <f t="shared" si="582"/>
        <v>5.50000000002</v>
      </c>
      <c r="EU133" s="206">
        <f t="shared" si="583"/>
        <v>4.00000000003</v>
      </c>
      <c r="EV133" s="206">
        <f t="shared" si="584"/>
        <v>4.00000000001</v>
      </c>
      <c r="EW133" s="206">
        <f t="shared" si="585"/>
        <v>0</v>
      </c>
      <c r="EX133" s="206">
        <f t="shared" si="586"/>
        <v>8.50000000006</v>
      </c>
      <c r="EY133" s="206">
        <f t="shared" si="587"/>
        <v>7.00000000007</v>
      </c>
      <c r="EZ133" s="206">
        <f t="shared" si="588"/>
        <v>0</v>
      </c>
      <c r="FA133" s="2">
        <f t="shared" si="589"/>
        <v>4.00000000004</v>
      </c>
      <c r="FB133" s="2">
        <f t="shared" si="590"/>
        <v>5.50000000002</v>
      </c>
      <c r="FC133" s="2">
        <f t="shared" si="591"/>
        <v>4.00000000003</v>
      </c>
      <c r="FD133" s="2">
        <f t="shared" si="592"/>
        <v>4.00000000001</v>
      </c>
      <c r="FE133" s="2">
        <f t="shared" si="593"/>
        <v>0</v>
      </c>
      <c r="FF133" s="2">
        <f t="shared" si="594"/>
        <v>8.50000000006</v>
      </c>
      <c r="FG133" s="2">
        <f t="shared" si="595"/>
        <v>7.00000000007</v>
      </c>
      <c r="FH133" s="2">
        <f t="shared" si="596"/>
        <v>0</v>
      </c>
      <c r="FI133" s="2" t="b">
        <f t="shared" si="554"/>
        <v>1</v>
      </c>
      <c r="FJ133" s="2" t="b">
        <f t="shared" si="555"/>
        <v>1</v>
      </c>
      <c r="FK133" s="2" t="b">
        <f t="shared" si="556"/>
        <v>1</v>
      </c>
      <c r="FL133" s="2" t="b">
        <f t="shared" si="557"/>
        <v>0</v>
      </c>
      <c r="FM133" s="2" t="b">
        <f t="shared" si="558"/>
        <v>0</v>
      </c>
      <c r="FN133" s="2" t="b">
        <f t="shared" si="559"/>
        <v>1</v>
      </c>
      <c r="FO133" s="2" t="b">
        <f t="shared" si="560"/>
        <v>1</v>
      </c>
      <c r="FP133" s="2" t="b">
        <f t="shared" si="561"/>
        <v>0</v>
      </c>
    </row>
    <row r="134" spans="1:172" ht="15.6">
      <c r="A134" s="2" t="s">
        <v>1312</v>
      </c>
      <c r="B134" s="2" t="s">
        <v>255</v>
      </c>
      <c r="C134" s="2" t="s">
        <v>1064</v>
      </c>
      <c r="D134" s="2" t="s">
        <v>333</v>
      </c>
      <c r="E134" s="2" t="s">
        <v>889</v>
      </c>
      <c r="F134" s="2" t="s">
        <v>356</v>
      </c>
      <c r="G134" s="2">
        <v>30.5</v>
      </c>
      <c r="H134" s="2">
        <v>27.5</v>
      </c>
      <c r="I134" s="2">
        <v>26</v>
      </c>
      <c r="J134" s="2">
        <f t="shared" si="562"/>
        <v>30.50000000028</v>
      </c>
      <c r="K134" s="2">
        <f t="shared" si="563"/>
        <v>27.500000000209997</v>
      </c>
      <c r="L134" s="2">
        <f t="shared" si="564"/>
        <v>26.0000000002</v>
      </c>
      <c r="M134" s="364" t="s">
        <v>356</v>
      </c>
      <c r="N134" s="364" t="s">
        <v>356</v>
      </c>
      <c r="O134" s="364" t="s">
        <v>356</v>
      </c>
      <c r="P134" s="364" t="s">
        <v>356</v>
      </c>
      <c r="Q134" s="364" t="s">
        <v>356</v>
      </c>
      <c r="R134" s="2" t="s">
        <v>1313</v>
      </c>
      <c r="S134" s="2" t="s">
        <v>1177</v>
      </c>
      <c r="T134" s="2">
        <v>48</v>
      </c>
      <c r="U134" s="2" cm="1">
        <f t="array" ref="U134">IFERROR(INDEX('Offer Statistics'!$BQ$2:$BQ$400,MATCH(1,(A134='Offer Statistics'!$BB$2:$BB$400)*($A$11='Offer Statistics'!$BC$2:$BC$400),0)),"/")</f>
        <v>53</v>
      </c>
      <c r="V134" s="2" cm="1">
        <f t="array" ref="V134">IFERROR(INDEX('Offer Statistics'!$BD$2:$BD$400,MATCH(1,(A134='Offer Statistics'!$BB$2:$BB$400)*($A$11='Offer Statistics'!$BC$2:$BC$400),0)),"/")</f>
        <v>431</v>
      </c>
      <c r="W134" s="2" cm="1">
        <f t="array" ref="W134">IFERROR(INDEX('Offer Statistics'!$BL$2:$BL$400,MATCH(1,(A134='Offer Statistics'!$BB$2:$BB$400)*($A$11='Offer Statistics'!$BC$2:$BC$400),0)),"/")</f>
        <v>53</v>
      </c>
      <c r="X134" s="2">
        <f t="shared" si="502"/>
        <v>8.1320754716981138</v>
      </c>
      <c r="Y134" s="2" t="s">
        <v>1177</v>
      </c>
      <c r="Z134" s="364" t="str">
        <f>入學要求!AF143</f>
        <v>/</v>
      </c>
      <c r="AA134" s="364" t="str">
        <f>入學要求!AG143</f>
        <v>/</v>
      </c>
      <c r="AB134" s="368" t="s">
        <v>889</v>
      </c>
      <c r="AC134" s="368"/>
      <c r="AD134" s="368"/>
      <c r="AE134" s="368" t="s">
        <v>356</v>
      </c>
      <c r="AF134" s="368" t="s">
        <v>356</v>
      </c>
      <c r="AG134" s="368" t="s">
        <v>356</v>
      </c>
      <c r="AH134" s="368" t="s">
        <v>356</v>
      </c>
      <c r="AI134" s="368" t="s">
        <v>356</v>
      </c>
      <c r="AJ134" s="2" t="s">
        <v>356</v>
      </c>
      <c r="AK134" s="2" t="s">
        <v>356</v>
      </c>
      <c r="AL134" s="2" t="s">
        <v>356</v>
      </c>
      <c r="AM134" s="2" t="s">
        <v>356</v>
      </c>
      <c r="AN134" s="2" t="s">
        <v>356</v>
      </c>
      <c r="AO134" s="2" t="s">
        <v>356</v>
      </c>
      <c r="AP134" s="2" t="s">
        <v>356</v>
      </c>
      <c r="AQ134" s="2" t="s">
        <v>356</v>
      </c>
      <c r="AS134" s="2" t="s">
        <v>820</v>
      </c>
      <c r="AU134" s="2" t="s">
        <v>817</v>
      </c>
      <c r="AY134" s="2">
        <v>1</v>
      </c>
      <c r="AZ134" s="2">
        <v>1</v>
      </c>
      <c r="BA134" s="2">
        <v>1</v>
      </c>
      <c r="BB134" s="2">
        <v>1</v>
      </c>
      <c r="BC134" s="2">
        <v>1</v>
      </c>
      <c r="BD134" s="2">
        <v>1</v>
      </c>
      <c r="BE134" s="2">
        <v>1</v>
      </c>
      <c r="BF134" s="2">
        <v>1</v>
      </c>
      <c r="BG134" s="2" t="s">
        <v>1312</v>
      </c>
      <c r="BH134">
        <v>7</v>
      </c>
      <c r="BI134">
        <v>4</v>
      </c>
      <c r="BJ134">
        <v>3</v>
      </c>
      <c r="BK134">
        <v>4</v>
      </c>
      <c r="BL134" t="s">
        <v>356</v>
      </c>
      <c r="BM134">
        <v>7</v>
      </c>
      <c r="BN134">
        <v>4</v>
      </c>
      <c r="BO134" t="s">
        <v>356</v>
      </c>
      <c r="BP134" s="206">
        <f t="shared" si="565"/>
        <v>7.00000000004</v>
      </c>
      <c r="BQ134" s="206">
        <f t="shared" si="566"/>
        <v>4.00000000002</v>
      </c>
      <c r="BR134" s="206">
        <f t="shared" si="567"/>
        <v>3.00000000003</v>
      </c>
      <c r="BS134" s="206">
        <f t="shared" si="568"/>
        <v>4.00000000001</v>
      </c>
      <c r="BT134" s="206">
        <f t="shared" si="569"/>
        <v>0</v>
      </c>
      <c r="BU134" s="206">
        <f t="shared" si="570"/>
        <v>7.00000000006</v>
      </c>
      <c r="BV134" s="206">
        <f t="shared" si="571"/>
        <v>4.00000000007</v>
      </c>
      <c r="BW134" s="206">
        <f t="shared" si="572"/>
        <v>0</v>
      </c>
      <c r="BX134" s="2">
        <f t="shared" si="509"/>
        <v>7.00000000004</v>
      </c>
      <c r="BY134" s="2">
        <f t="shared" si="510"/>
        <v>4.00000000002</v>
      </c>
      <c r="BZ134" s="2">
        <f t="shared" si="511"/>
        <v>3.00000000003</v>
      </c>
      <c r="CA134" s="2">
        <f t="shared" si="512"/>
        <v>4.00000000001</v>
      </c>
      <c r="CB134" s="2">
        <f t="shared" si="513"/>
        <v>0</v>
      </c>
      <c r="CC134" s="2">
        <f t="shared" si="514"/>
        <v>7.00000000006</v>
      </c>
      <c r="CD134" s="2">
        <f t="shared" si="515"/>
        <v>4.00000000007</v>
      </c>
      <c r="CE134" s="2">
        <f t="shared" si="516"/>
        <v>0</v>
      </c>
      <c r="CF134" s="2" t="b">
        <f t="shared" si="517"/>
        <v>1</v>
      </c>
      <c r="CG134" s="2" t="b">
        <f t="shared" si="518"/>
        <v>1</v>
      </c>
      <c r="CH134" s="2" t="b">
        <f t="shared" si="519"/>
        <v>0</v>
      </c>
      <c r="CI134" s="2" t="b">
        <f t="shared" si="520"/>
        <v>1</v>
      </c>
      <c r="CJ134" s="2" t="b">
        <f t="shared" si="521"/>
        <v>0</v>
      </c>
      <c r="CK134" s="2" t="b">
        <f t="shared" si="522"/>
        <v>1</v>
      </c>
      <c r="CL134" s="2" t="b">
        <f t="shared" si="523"/>
        <v>1</v>
      </c>
      <c r="CM134" s="2" t="b">
        <f t="shared" si="524"/>
        <v>0</v>
      </c>
      <c r="CN134" s="2">
        <v>1</v>
      </c>
      <c r="CO134" s="2">
        <v>1</v>
      </c>
      <c r="CP134" s="2">
        <v>1</v>
      </c>
      <c r="CQ134" s="2">
        <v>1</v>
      </c>
      <c r="CR134" s="2">
        <v>1</v>
      </c>
      <c r="CS134" s="2">
        <v>1</v>
      </c>
      <c r="CT134" s="2">
        <v>1</v>
      </c>
      <c r="CU134" s="2">
        <v>1</v>
      </c>
      <c r="CW134" s="2">
        <v>4</v>
      </c>
      <c r="CX134" s="2">
        <v>4</v>
      </c>
      <c r="CY134" s="2">
        <v>5.5</v>
      </c>
      <c r="CZ134" s="2">
        <v>5.5</v>
      </c>
      <c r="DA134" s="2" t="s">
        <v>356</v>
      </c>
      <c r="DB134" s="2">
        <v>8.5</v>
      </c>
      <c r="DC134" s="2">
        <v>4</v>
      </c>
      <c r="DD134" s="2" t="s">
        <v>356</v>
      </c>
      <c r="DE134" s="206">
        <f t="shared" si="573"/>
        <v>4.00000000004</v>
      </c>
      <c r="DF134" s="206">
        <f t="shared" si="574"/>
        <v>4.00000000002</v>
      </c>
      <c r="DG134" s="206">
        <f t="shared" si="575"/>
        <v>5.50000000003</v>
      </c>
      <c r="DH134" s="206">
        <f t="shared" si="576"/>
        <v>5.50000000001</v>
      </c>
      <c r="DI134" s="206">
        <f t="shared" si="577"/>
        <v>0</v>
      </c>
      <c r="DJ134" s="206">
        <f t="shared" si="578"/>
        <v>8.50000000006</v>
      </c>
      <c r="DK134" s="206">
        <f t="shared" si="579"/>
        <v>4.00000000007</v>
      </c>
      <c r="DL134" s="206">
        <f t="shared" si="580"/>
        <v>0</v>
      </c>
      <c r="DM134" s="2">
        <f t="shared" si="531"/>
        <v>4.00000000004</v>
      </c>
      <c r="DN134" s="2">
        <f t="shared" si="532"/>
        <v>4.00000000002</v>
      </c>
      <c r="DO134" s="2">
        <f t="shared" si="533"/>
        <v>5.50000000003</v>
      </c>
      <c r="DP134" s="2">
        <f t="shared" si="534"/>
        <v>5.50000000001</v>
      </c>
      <c r="DQ134" s="2">
        <f t="shared" si="535"/>
        <v>0</v>
      </c>
      <c r="DR134" s="2">
        <f t="shared" si="536"/>
        <v>8.50000000006</v>
      </c>
      <c r="DS134" s="2">
        <f t="shared" si="537"/>
        <v>4.00000000007</v>
      </c>
      <c r="DT134" s="2">
        <f t="shared" si="538"/>
        <v>0</v>
      </c>
      <c r="DU134" s="2" t="b">
        <f t="shared" si="539"/>
        <v>1</v>
      </c>
      <c r="DV134" s="2" t="b">
        <f t="shared" si="540"/>
        <v>0</v>
      </c>
      <c r="DW134" s="2" t="b">
        <f t="shared" si="541"/>
        <v>1</v>
      </c>
      <c r="DX134" s="2" t="b">
        <f t="shared" si="542"/>
        <v>1</v>
      </c>
      <c r="DY134" s="2" t="b">
        <f t="shared" si="543"/>
        <v>0</v>
      </c>
      <c r="DZ134" s="2" t="b">
        <f t="shared" si="544"/>
        <v>1</v>
      </c>
      <c r="EA134" s="2" t="b">
        <f t="shared" si="545"/>
        <v>1</v>
      </c>
      <c r="EB134" s="2" t="b">
        <f t="shared" si="546"/>
        <v>0</v>
      </c>
      <c r="EC134" s="2">
        <v>1</v>
      </c>
      <c r="ED134" s="2">
        <v>1</v>
      </c>
      <c r="EE134" s="2">
        <v>1</v>
      </c>
      <c r="EF134" s="2">
        <v>1</v>
      </c>
      <c r="EG134" s="2">
        <v>1</v>
      </c>
      <c r="EH134" s="2">
        <v>1</v>
      </c>
      <c r="EI134" s="2">
        <v>1</v>
      </c>
      <c r="EJ134" s="2">
        <v>1</v>
      </c>
      <c r="EK134" s="2">
        <v>5.5</v>
      </c>
      <c r="EL134" s="2">
        <v>4</v>
      </c>
      <c r="EM134" s="2">
        <v>5.5</v>
      </c>
      <c r="EN134" s="2">
        <v>4</v>
      </c>
      <c r="EO134" s="2" t="s">
        <v>356</v>
      </c>
      <c r="EP134" s="2">
        <v>8.5</v>
      </c>
      <c r="EQ134" s="2">
        <v>5.5</v>
      </c>
      <c r="ER134" s="2">
        <v>5.5</v>
      </c>
      <c r="ES134" s="206">
        <f t="shared" si="581"/>
        <v>5.50000000004</v>
      </c>
      <c r="ET134" s="206">
        <f t="shared" si="582"/>
        <v>4.00000000002</v>
      </c>
      <c r="EU134" s="206">
        <f t="shared" si="583"/>
        <v>5.50000000003</v>
      </c>
      <c r="EV134" s="206">
        <f t="shared" si="584"/>
        <v>4.00000000001</v>
      </c>
      <c r="EW134" s="206">
        <f t="shared" si="585"/>
        <v>0</v>
      </c>
      <c r="EX134" s="206">
        <f t="shared" si="586"/>
        <v>8.50000000006</v>
      </c>
      <c r="EY134" s="206">
        <f t="shared" si="587"/>
        <v>5.50000000007</v>
      </c>
      <c r="EZ134" s="206">
        <f t="shared" si="588"/>
        <v>5.50000000008</v>
      </c>
      <c r="FA134" s="2">
        <f t="shared" si="589"/>
        <v>5.50000000004</v>
      </c>
      <c r="FB134" s="2">
        <f t="shared" si="590"/>
        <v>4.00000000002</v>
      </c>
      <c r="FC134" s="2">
        <f t="shared" si="591"/>
        <v>5.50000000003</v>
      </c>
      <c r="FD134" s="2">
        <f t="shared" si="592"/>
        <v>4.00000000001</v>
      </c>
      <c r="FE134" s="2">
        <f t="shared" si="593"/>
        <v>0</v>
      </c>
      <c r="FF134" s="2">
        <f t="shared" si="594"/>
        <v>8.50000000006</v>
      </c>
      <c r="FG134" s="2">
        <f t="shared" si="595"/>
        <v>5.50000000007</v>
      </c>
      <c r="FH134" s="2">
        <f t="shared" si="596"/>
        <v>5.50000000008</v>
      </c>
      <c r="FI134" s="2" t="b">
        <f t="shared" si="554"/>
        <v>1</v>
      </c>
      <c r="FJ134" s="2" t="b">
        <f t="shared" si="555"/>
        <v>0</v>
      </c>
      <c r="FK134" s="2" t="b">
        <f t="shared" si="556"/>
        <v>1</v>
      </c>
      <c r="FL134" s="2" t="b">
        <f t="shared" si="557"/>
        <v>0</v>
      </c>
      <c r="FM134" s="2" t="b">
        <f t="shared" si="558"/>
        <v>0</v>
      </c>
      <c r="FN134" s="2" t="b">
        <f t="shared" si="559"/>
        <v>1</v>
      </c>
      <c r="FO134" s="2" t="b">
        <f t="shared" si="560"/>
        <v>1</v>
      </c>
      <c r="FP134" s="2" t="b">
        <f t="shared" si="561"/>
        <v>1</v>
      </c>
    </row>
    <row r="135" spans="1:172" ht="15.6">
      <c r="A135" s="2" t="s">
        <v>1314</v>
      </c>
      <c r="B135" s="2" t="s">
        <v>255</v>
      </c>
      <c r="C135" s="2" t="s">
        <v>1064</v>
      </c>
      <c r="D135" s="2" t="s">
        <v>1315</v>
      </c>
      <c r="E135" s="2" t="s">
        <v>889</v>
      </c>
      <c r="F135" s="2" t="s">
        <v>356</v>
      </c>
      <c r="G135" s="2">
        <v>26</v>
      </c>
      <c r="H135" s="2">
        <v>24.5</v>
      </c>
      <c r="I135" s="2">
        <v>24.5</v>
      </c>
      <c r="J135" s="2">
        <f t="shared" si="562"/>
        <v>26.000000000229999</v>
      </c>
      <c r="K135" s="2">
        <f t="shared" si="563"/>
        <v>24.500000000259998</v>
      </c>
      <c r="L135" s="2">
        <f t="shared" si="564"/>
        <v>24.500000000260002</v>
      </c>
      <c r="M135" s="364" t="s">
        <v>356</v>
      </c>
      <c r="N135" s="364" t="s">
        <v>356</v>
      </c>
      <c r="O135" s="364" t="s">
        <v>356</v>
      </c>
      <c r="P135" s="364" t="s">
        <v>356</v>
      </c>
      <c r="Q135" s="364" t="s">
        <v>356</v>
      </c>
      <c r="R135" s="2" t="s">
        <v>1316</v>
      </c>
      <c r="S135" s="2" t="s">
        <v>1177</v>
      </c>
      <c r="T135" s="2">
        <v>22</v>
      </c>
      <c r="U135" s="2" cm="1">
        <f t="array" ref="U135">IFERROR(INDEX('Offer Statistics'!$BQ$2:$BQ$400,MATCH(1,(A135='Offer Statistics'!$BB$2:$BB$400)*($A$11='Offer Statistics'!$BC$2:$BC$400),0)),"/")</f>
        <v>24</v>
      </c>
      <c r="V135" s="2" cm="1">
        <f t="array" ref="V135">IFERROR(INDEX('Offer Statistics'!$BD$2:$BD$400,MATCH(1,(A135='Offer Statistics'!$BB$2:$BB$400)*($A$11='Offer Statistics'!$BC$2:$BC$400),0)),"/")</f>
        <v>449</v>
      </c>
      <c r="W135" s="2" cm="1">
        <f t="array" ref="W135">IFERROR(INDEX('Offer Statistics'!$BL$2:$BL$400,MATCH(1,(A135='Offer Statistics'!$BB$2:$BB$400)*($A$11='Offer Statistics'!$BC$2:$BC$400),0)),"/")</f>
        <v>24</v>
      </c>
      <c r="X135" s="2">
        <f t="shared" si="502"/>
        <v>18.708333333333332</v>
      </c>
      <c r="Y135" s="2" t="s">
        <v>1177</v>
      </c>
      <c r="Z135" s="364" t="str">
        <f>入學要求!AF144</f>
        <v>/</v>
      </c>
      <c r="AA135" s="364" t="str">
        <f>入學要求!AG144</f>
        <v>/</v>
      </c>
      <c r="AB135" s="368" t="s">
        <v>889</v>
      </c>
      <c r="AC135" s="368"/>
      <c r="AD135" s="368"/>
      <c r="AE135" s="368" t="s">
        <v>356</v>
      </c>
      <c r="AF135" s="368" t="s">
        <v>356</v>
      </c>
      <c r="AG135" s="368" t="s">
        <v>356</v>
      </c>
      <c r="AH135" s="368" t="s">
        <v>356</v>
      </c>
      <c r="AI135" s="368" t="s">
        <v>356</v>
      </c>
      <c r="AJ135" s="2" t="s">
        <v>356</v>
      </c>
      <c r="AK135" s="2" t="s">
        <v>356</v>
      </c>
      <c r="AL135" s="2" t="s">
        <v>356</v>
      </c>
      <c r="AM135" s="2" t="s">
        <v>356</v>
      </c>
      <c r="AN135" s="2" t="s">
        <v>356</v>
      </c>
      <c r="AO135" s="2" t="s">
        <v>356</v>
      </c>
      <c r="AP135" s="2" t="s">
        <v>356</v>
      </c>
      <c r="AQ135" s="2" t="s">
        <v>356</v>
      </c>
      <c r="AS135" s="2" t="s">
        <v>820</v>
      </c>
      <c r="AU135" s="2" t="s">
        <v>817</v>
      </c>
      <c r="AY135" s="2">
        <v>1</v>
      </c>
      <c r="AZ135" s="2">
        <v>1</v>
      </c>
      <c r="BA135" s="2">
        <v>1</v>
      </c>
      <c r="BB135" s="2">
        <v>1</v>
      </c>
      <c r="BC135" s="2">
        <v>1</v>
      </c>
      <c r="BD135" s="2">
        <v>1</v>
      </c>
      <c r="BE135" s="2">
        <v>1</v>
      </c>
      <c r="BF135" s="2">
        <v>1</v>
      </c>
      <c r="BG135" s="2" t="s">
        <v>1314</v>
      </c>
      <c r="BH135">
        <v>4</v>
      </c>
      <c r="BI135">
        <v>3</v>
      </c>
      <c r="BJ135">
        <v>2</v>
      </c>
      <c r="BK135">
        <v>4</v>
      </c>
      <c r="BL135" t="s">
        <v>356</v>
      </c>
      <c r="BM135">
        <v>7</v>
      </c>
      <c r="BN135">
        <v>5.5</v>
      </c>
      <c r="BO135">
        <v>4</v>
      </c>
      <c r="BP135" s="206">
        <f t="shared" si="565"/>
        <v>4.00000000004</v>
      </c>
      <c r="BQ135" s="206">
        <f t="shared" si="566"/>
        <v>3.00000000002</v>
      </c>
      <c r="BR135" s="206">
        <f t="shared" si="567"/>
        <v>2.00000000003</v>
      </c>
      <c r="BS135" s="206">
        <f t="shared" si="568"/>
        <v>4.00000000001</v>
      </c>
      <c r="BT135" s="206">
        <f t="shared" si="569"/>
        <v>0</v>
      </c>
      <c r="BU135" s="206">
        <f t="shared" si="570"/>
        <v>7.00000000006</v>
      </c>
      <c r="BV135" s="206">
        <f t="shared" si="571"/>
        <v>5.50000000007</v>
      </c>
      <c r="BW135" s="206">
        <f t="shared" si="572"/>
        <v>4.00000000008</v>
      </c>
      <c r="BX135" s="2">
        <f t="shared" si="509"/>
        <v>4.00000000004</v>
      </c>
      <c r="BY135" s="2">
        <f t="shared" si="510"/>
        <v>3.00000000002</v>
      </c>
      <c r="BZ135" s="2">
        <f t="shared" si="511"/>
        <v>2.00000000003</v>
      </c>
      <c r="CA135" s="2">
        <f t="shared" si="512"/>
        <v>4.00000000001</v>
      </c>
      <c r="CB135" s="2">
        <f t="shared" si="513"/>
        <v>0</v>
      </c>
      <c r="CC135" s="2">
        <f t="shared" si="514"/>
        <v>7.00000000006</v>
      </c>
      <c r="CD135" s="2">
        <f t="shared" si="515"/>
        <v>5.50000000007</v>
      </c>
      <c r="CE135" s="2">
        <f t="shared" si="516"/>
        <v>4.00000000008</v>
      </c>
      <c r="CF135" s="2" t="b">
        <f t="shared" si="517"/>
        <v>1</v>
      </c>
      <c r="CG135" s="2" t="b">
        <f t="shared" si="518"/>
        <v>0</v>
      </c>
      <c r="CH135" s="2" t="b">
        <f t="shared" si="519"/>
        <v>0</v>
      </c>
      <c r="CI135" s="2" t="b">
        <f t="shared" si="520"/>
        <v>1</v>
      </c>
      <c r="CJ135" s="2" t="b">
        <f t="shared" si="521"/>
        <v>0</v>
      </c>
      <c r="CK135" s="2" t="b">
        <f t="shared" si="522"/>
        <v>1</v>
      </c>
      <c r="CL135" s="2" t="b">
        <f t="shared" si="523"/>
        <v>1</v>
      </c>
      <c r="CM135" s="2" t="b">
        <f t="shared" si="524"/>
        <v>1</v>
      </c>
      <c r="CN135" s="2">
        <v>1</v>
      </c>
      <c r="CO135" s="2">
        <v>1</v>
      </c>
      <c r="CP135" s="2">
        <v>1</v>
      </c>
      <c r="CQ135" s="2">
        <v>1</v>
      </c>
      <c r="CR135" s="2">
        <v>1</v>
      </c>
      <c r="CS135" s="2">
        <v>1</v>
      </c>
      <c r="CT135" s="2">
        <v>1</v>
      </c>
      <c r="CU135" s="2">
        <v>1</v>
      </c>
      <c r="CW135" s="2">
        <v>3</v>
      </c>
      <c r="CX135" s="2">
        <v>4</v>
      </c>
      <c r="CY135" s="2">
        <v>5.5</v>
      </c>
      <c r="CZ135" s="2">
        <v>3</v>
      </c>
      <c r="DA135" s="2" t="s">
        <v>356</v>
      </c>
      <c r="DB135" s="2">
        <v>7</v>
      </c>
      <c r="DC135" s="2">
        <v>4</v>
      </c>
      <c r="DD135" s="2">
        <v>4</v>
      </c>
      <c r="DE135" s="206">
        <f t="shared" si="573"/>
        <v>3.00000000004</v>
      </c>
      <c r="DF135" s="206">
        <f t="shared" si="574"/>
        <v>4.00000000002</v>
      </c>
      <c r="DG135" s="206">
        <f t="shared" si="575"/>
        <v>5.50000000003</v>
      </c>
      <c r="DH135" s="206">
        <f t="shared" si="576"/>
        <v>3.00000000001</v>
      </c>
      <c r="DI135" s="206">
        <f t="shared" si="577"/>
        <v>0</v>
      </c>
      <c r="DJ135" s="206">
        <f t="shared" si="578"/>
        <v>7.00000000006</v>
      </c>
      <c r="DK135" s="206">
        <f t="shared" si="579"/>
        <v>4.00000000007</v>
      </c>
      <c r="DL135" s="206">
        <f t="shared" si="580"/>
        <v>4.00000000008</v>
      </c>
      <c r="DM135" s="2">
        <f t="shared" si="531"/>
        <v>3.00000000004</v>
      </c>
      <c r="DN135" s="2">
        <f t="shared" si="532"/>
        <v>4.00000000002</v>
      </c>
      <c r="DO135" s="2">
        <f t="shared" si="533"/>
        <v>5.50000000003</v>
      </c>
      <c r="DP135" s="2">
        <f t="shared" si="534"/>
        <v>3.00000000001</v>
      </c>
      <c r="DQ135" s="2">
        <f t="shared" si="535"/>
        <v>0</v>
      </c>
      <c r="DR135" s="2">
        <f t="shared" si="536"/>
        <v>7.00000000006</v>
      </c>
      <c r="DS135" s="2">
        <f t="shared" si="537"/>
        <v>4.00000000007</v>
      </c>
      <c r="DT135" s="2">
        <f t="shared" si="538"/>
        <v>4.00000000008</v>
      </c>
      <c r="DU135" s="2" t="b">
        <f t="shared" si="539"/>
        <v>0</v>
      </c>
      <c r="DV135" s="2" t="b">
        <f t="shared" si="540"/>
        <v>1</v>
      </c>
      <c r="DW135" s="2" t="b">
        <f t="shared" si="541"/>
        <v>1</v>
      </c>
      <c r="DX135" s="2" t="b">
        <f t="shared" si="542"/>
        <v>0</v>
      </c>
      <c r="DY135" s="2" t="b">
        <f t="shared" si="543"/>
        <v>0</v>
      </c>
      <c r="DZ135" s="2" t="b">
        <f t="shared" si="544"/>
        <v>1</v>
      </c>
      <c r="EA135" s="2" t="b">
        <f t="shared" si="545"/>
        <v>1</v>
      </c>
      <c r="EB135" s="2" t="b">
        <f t="shared" si="546"/>
        <v>1</v>
      </c>
      <c r="EC135" s="2">
        <v>1</v>
      </c>
      <c r="ED135" s="2">
        <v>1</v>
      </c>
      <c r="EE135" s="2">
        <v>1</v>
      </c>
      <c r="EF135" s="2">
        <v>1</v>
      </c>
      <c r="EG135" s="2">
        <v>1</v>
      </c>
      <c r="EH135" s="2">
        <v>1</v>
      </c>
      <c r="EI135" s="2">
        <v>1</v>
      </c>
      <c r="EJ135" s="2">
        <v>1</v>
      </c>
      <c r="EK135" s="2">
        <v>3</v>
      </c>
      <c r="EL135" s="2">
        <v>4</v>
      </c>
      <c r="EM135" s="2">
        <v>5.5</v>
      </c>
      <c r="EN135" s="2">
        <v>3</v>
      </c>
      <c r="EO135" s="2">
        <v>7</v>
      </c>
      <c r="EP135" s="2">
        <v>5.5</v>
      </c>
      <c r="EQ135" s="2">
        <v>4</v>
      </c>
      <c r="ER135" s="2">
        <v>3</v>
      </c>
      <c r="ES135" s="206">
        <f t="shared" si="581"/>
        <v>3.00000000004</v>
      </c>
      <c r="ET135" s="206">
        <f t="shared" si="582"/>
        <v>4.00000000002</v>
      </c>
      <c r="EU135" s="206">
        <f t="shared" si="583"/>
        <v>5.50000000003</v>
      </c>
      <c r="EV135" s="206">
        <f t="shared" si="584"/>
        <v>3.00000000001</v>
      </c>
      <c r="EW135" s="206">
        <f t="shared" si="585"/>
        <v>7.00000000005</v>
      </c>
      <c r="EX135" s="206">
        <f t="shared" si="586"/>
        <v>5.50000000006</v>
      </c>
      <c r="EY135" s="206">
        <f t="shared" si="587"/>
        <v>4.00000000007</v>
      </c>
      <c r="EZ135" s="206">
        <f t="shared" si="588"/>
        <v>3.00000000008</v>
      </c>
      <c r="FA135" s="2">
        <f t="shared" si="589"/>
        <v>3.00000000004</v>
      </c>
      <c r="FB135" s="2">
        <f t="shared" si="590"/>
        <v>4.00000000002</v>
      </c>
      <c r="FC135" s="2">
        <f t="shared" si="591"/>
        <v>5.50000000003</v>
      </c>
      <c r="FD135" s="2">
        <f t="shared" si="592"/>
        <v>3.00000000001</v>
      </c>
      <c r="FE135" s="2">
        <f t="shared" si="593"/>
        <v>7.00000000005</v>
      </c>
      <c r="FF135" s="2">
        <f t="shared" si="594"/>
        <v>5.50000000006</v>
      </c>
      <c r="FG135" s="2">
        <f t="shared" si="595"/>
        <v>4.00000000007</v>
      </c>
      <c r="FH135" s="2">
        <f t="shared" si="596"/>
        <v>3.00000000008</v>
      </c>
      <c r="FI135" s="2" t="b">
        <f t="shared" si="554"/>
        <v>0</v>
      </c>
      <c r="FJ135" s="2" t="b">
        <f t="shared" si="555"/>
        <v>1</v>
      </c>
      <c r="FK135" s="2" t="b">
        <f t="shared" si="556"/>
        <v>1</v>
      </c>
      <c r="FL135" s="2" t="b">
        <f t="shared" si="557"/>
        <v>0</v>
      </c>
      <c r="FM135" s="2" t="b">
        <f t="shared" si="558"/>
        <v>1</v>
      </c>
      <c r="FN135" s="2" t="b">
        <f t="shared" si="559"/>
        <v>1</v>
      </c>
      <c r="FO135" s="2" t="b">
        <f t="shared" si="560"/>
        <v>1</v>
      </c>
      <c r="FP135" s="2" t="b">
        <f t="shared" si="561"/>
        <v>0</v>
      </c>
    </row>
    <row r="136" spans="1:172" ht="15.6">
      <c r="A136" s="2" t="s">
        <v>1317</v>
      </c>
      <c r="B136" s="2" t="s">
        <v>255</v>
      </c>
      <c r="C136" s="2" t="s">
        <v>1064</v>
      </c>
      <c r="D136" s="2" t="s">
        <v>1318</v>
      </c>
      <c r="E136" s="2" t="s">
        <v>889</v>
      </c>
      <c r="F136" s="2" t="s">
        <v>356</v>
      </c>
      <c r="G136" s="2">
        <v>24.5</v>
      </c>
      <c r="H136" s="2">
        <v>24.5</v>
      </c>
      <c r="I136" s="2">
        <v>23.5</v>
      </c>
      <c r="J136" s="2">
        <f t="shared" si="562"/>
        <v>24.500000000209997</v>
      </c>
      <c r="K136" s="2">
        <f t="shared" si="563"/>
        <v>24.5000000002</v>
      </c>
      <c r="L136" s="2">
        <f t="shared" si="564"/>
        <v>23.500000000209997</v>
      </c>
      <c r="M136" s="364" t="s">
        <v>356</v>
      </c>
      <c r="N136" s="364" t="s">
        <v>356</v>
      </c>
      <c r="O136" s="364" t="s">
        <v>356</v>
      </c>
      <c r="P136" s="364" t="s">
        <v>356</v>
      </c>
      <c r="Q136" s="364" t="s">
        <v>356</v>
      </c>
      <c r="R136" s="2" t="s">
        <v>1319</v>
      </c>
      <c r="S136" s="2" t="s">
        <v>1177</v>
      </c>
      <c r="T136" s="2">
        <v>22</v>
      </c>
      <c r="U136" s="2" cm="1">
        <f t="array" ref="U136">IFERROR(INDEX('Offer Statistics'!$BQ$2:$BQ$400,MATCH(1,(A136='Offer Statistics'!$BB$2:$BB$400)*($A$11='Offer Statistics'!$BC$2:$BC$400),0)),"/")</f>
        <v>25</v>
      </c>
      <c r="V136" s="2" cm="1">
        <f t="array" ref="V136">IFERROR(INDEX('Offer Statistics'!$BD$2:$BD$400,MATCH(1,(A136='Offer Statistics'!$BB$2:$BB$400)*($A$11='Offer Statistics'!$BC$2:$BC$400),0)),"/")</f>
        <v>212</v>
      </c>
      <c r="W136" s="2" cm="1">
        <f t="array" ref="W136">IFERROR(INDEX('Offer Statistics'!$BL$2:$BL$400,MATCH(1,(A136='Offer Statistics'!$BB$2:$BB$400)*($A$11='Offer Statistics'!$BC$2:$BC$400),0)),"/")</f>
        <v>25</v>
      </c>
      <c r="X136" s="2">
        <f t="shared" si="502"/>
        <v>8.48</v>
      </c>
      <c r="Y136" s="2" t="s">
        <v>1177</v>
      </c>
      <c r="Z136" s="364" t="str">
        <f>入學要求!AF145</f>
        <v>/</v>
      </c>
      <c r="AA136" s="364" t="str">
        <f>入學要求!AG145</f>
        <v>/</v>
      </c>
      <c r="AB136" s="368" t="s">
        <v>889</v>
      </c>
      <c r="AC136" s="368"/>
      <c r="AD136" s="368"/>
      <c r="AE136" s="368" t="s">
        <v>356</v>
      </c>
      <c r="AF136" s="368" t="s">
        <v>356</v>
      </c>
      <c r="AG136" s="368" t="s">
        <v>356</v>
      </c>
      <c r="AH136" s="368" t="s">
        <v>356</v>
      </c>
      <c r="AI136" s="368" t="s">
        <v>356</v>
      </c>
      <c r="AJ136" s="2" t="s">
        <v>356</v>
      </c>
      <c r="AK136" s="2" t="s">
        <v>356</v>
      </c>
      <c r="AL136" s="2" t="s">
        <v>356</v>
      </c>
      <c r="AM136" s="2" t="s">
        <v>356</v>
      </c>
      <c r="AN136" s="2" t="s">
        <v>356</v>
      </c>
      <c r="AO136" s="2" t="s">
        <v>356</v>
      </c>
      <c r="AP136" s="2" t="s">
        <v>356</v>
      </c>
      <c r="AQ136" s="2" t="s">
        <v>356</v>
      </c>
      <c r="AS136" s="2" t="s">
        <v>820</v>
      </c>
      <c r="AU136" s="2" t="s">
        <v>817</v>
      </c>
      <c r="AY136" s="2">
        <v>1</v>
      </c>
      <c r="AZ136" s="2">
        <v>1</v>
      </c>
      <c r="BA136" s="2">
        <v>1</v>
      </c>
      <c r="BB136" s="2">
        <v>1</v>
      </c>
      <c r="BC136" s="2">
        <v>1</v>
      </c>
      <c r="BD136" s="2">
        <v>1</v>
      </c>
      <c r="BE136" s="2">
        <v>1</v>
      </c>
      <c r="BF136" s="2">
        <v>1</v>
      </c>
      <c r="BG136" s="2" t="s">
        <v>1317</v>
      </c>
      <c r="BH136">
        <v>8.5</v>
      </c>
      <c r="BI136">
        <v>3</v>
      </c>
      <c r="BJ136">
        <v>4</v>
      </c>
      <c r="BK136">
        <v>4</v>
      </c>
      <c r="BL136" t="s">
        <v>356</v>
      </c>
      <c r="BM136">
        <v>4</v>
      </c>
      <c r="BN136">
        <v>3</v>
      </c>
      <c r="BO136" t="s">
        <v>356</v>
      </c>
      <c r="BP136" s="206">
        <f t="shared" si="565"/>
        <v>8.50000000004</v>
      </c>
      <c r="BQ136" s="206">
        <f t="shared" si="566"/>
        <v>3.00000000002</v>
      </c>
      <c r="BR136" s="206">
        <f t="shared" si="567"/>
        <v>4.00000000003</v>
      </c>
      <c r="BS136" s="206">
        <f t="shared" si="568"/>
        <v>4.00000000001</v>
      </c>
      <c r="BT136" s="206">
        <f t="shared" si="569"/>
        <v>0</v>
      </c>
      <c r="BU136" s="206">
        <f t="shared" si="570"/>
        <v>4.00000000006</v>
      </c>
      <c r="BV136" s="206">
        <f t="shared" si="571"/>
        <v>3.00000000007</v>
      </c>
      <c r="BW136" s="206">
        <f t="shared" si="572"/>
        <v>0</v>
      </c>
      <c r="BX136" s="2">
        <f t="shared" si="509"/>
        <v>8.50000000004</v>
      </c>
      <c r="BY136" s="2">
        <f t="shared" si="510"/>
        <v>3.00000000002</v>
      </c>
      <c r="BZ136" s="2">
        <f t="shared" si="511"/>
        <v>4.00000000003</v>
      </c>
      <c r="CA136" s="2">
        <f t="shared" si="512"/>
        <v>4.00000000001</v>
      </c>
      <c r="CB136" s="2">
        <f t="shared" si="513"/>
        <v>0</v>
      </c>
      <c r="CC136" s="2">
        <f t="shared" si="514"/>
        <v>4.00000000006</v>
      </c>
      <c r="CD136" s="2">
        <f t="shared" si="515"/>
        <v>3.00000000007</v>
      </c>
      <c r="CE136" s="2">
        <f t="shared" si="516"/>
        <v>0</v>
      </c>
      <c r="CF136" s="2" t="b">
        <f t="shared" si="517"/>
        <v>1</v>
      </c>
      <c r="CG136" s="2" t="b">
        <f t="shared" si="518"/>
        <v>0</v>
      </c>
      <c r="CH136" s="2" t="b">
        <f t="shared" si="519"/>
        <v>1</v>
      </c>
      <c r="CI136" s="2" t="b">
        <f t="shared" si="520"/>
        <v>1</v>
      </c>
      <c r="CJ136" s="2" t="b">
        <f t="shared" si="521"/>
        <v>0</v>
      </c>
      <c r="CK136" s="2" t="b">
        <f t="shared" si="522"/>
        <v>1</v>
      </c>
      <c r="CL136" s="2" t="b">
        <f t="shared" si="523"/>
        <v>1</v>
      </c>
      <c r="CM136" s="2" t="b">
        <f t="shared" si="524"/>
        <v>0</v>
      </c>
      <c r="CN136" s="2">
        <v>1</v>
      </c>
      <c r="CO136" s="2">
        <v>1</v>
      </c>
      <c r="CP136" s="2">
        <v>1</v>
      </c>
      <c r="CQ136" s="2">
        <v>1</v>
      </c>
      <c r="CR136" s="2">
        <v>1</v>
      </c>
      <c r="CS136" s="2">
        <v>1</v>
      </c>
      <c r="CT136" s="2">
        <v>1</v>
      </c>
      <c r="CU136" s="2">
        <v>1</v>
      </c>
      <c r="CW136" s="2">
        <v>4</v>
      </c>
      <c r="CX136" s="2">
        <v>5.5</v>
      </c>
      <c r="CY136" s="2">
        <v>2</v>
      </c>
      <c r="CZ136" s="2">
        <v>4</v>
      </c>
      <c r="DA136" s="2" t="s">
        <v>356</v>
      </c>
      <c r="DB136" s="2">
        <v>7</v>
      </c>
      <c r="DC136" s="2">
        <v>4</v>
      </c>
      <c r="DD136" s="2" t="s">
        <v>356</v>
      </c>
      <c r="DE136" s="206">
        <f t="shared" si="573"/>
        <v>4.00000000004</v>
      </c>
      <c r="DF136" s="206">
        <f t="shared" si="574"/>
        <v>5.50000000002</v>
      </c>
      <c r="DG136" s="206">
        <f t="shared" si="575"/>
        <v>2.00000000003</v>
      </c>
      <c r="DH136" s="206">
        <f t="shared" si="576"/>
        <v>4.00000000001</v>
      </c>
      <c r="DI136" s="206">
        <f t="shared" si="577"/>
        <v>0</v>
      </c>
      <c r="DJ136" s="206">
        <f t="shared" si="578"/>
        <v>7.00000000006</v>
      </c>
      <c r="DK136" s="206">
        <f t="shared" si="579"/>
        <v>4.00000000007</v>
      </c>
      <c r="DL136" s="206">
        <f t="shared" si="580"/>
        <v>0</v>
      </c>
      <c r="DM136" s="2">
        <f t="shared" si="531"/>
        <v>4.00000000004</v>
      </c>
      <c r="DN136" s="2">
        <f t="shared" si="532"/>
        <v>5.50000000002</v>
      </c>
      <c r="DO136" s="2">
        <f t="shared" si="533"/>
        <v>2.00000000003</v>
      </c>
      <c r="DP136" s="2">
        <f t="shared" si="534"/>
        <v>4.00000000001</v>
      </c>
      <c r="DQ136" s="2">
        <f t="shared" si="535"/>
        <v>0</v>
      </c>
      <c r="DR136" s="2">
        <f t="shared" si="536"/>
        <v>7.00000000006</v>
      </c>
      <c r="DS136" s="2">
        <f t="shared" si="537"/>
        <v>4.00000000007</v>
      </c>
      <c r="DT136" s="2">
        <f t="shared" si="538"/>
        <v>0</v>
      </c>
      <c r="DU136" s="2" t="b">
        <f t="shared" si="539"/>
        <v>1</v>
      </c>
      <c r="DV136" s="2" t="b">
        <f t="shared" si="540"/>
        <v>1</v>
      </c>
      <c r="DW136" s="2" t="b">
        <f t="shared" si="541"/>
        <v>0</v>
      </c>
      <c r="DX136" s="2" t="b">
        <f t="shared" si="542"/>
        <v>1</v>
      </c>
      <c r="DY136" s="2" t="b">
        <f t="shared" si="543"/>
        <v>0</v>
      </c>
      <c r="DZ136" s="2" t="b">
        <f t="shared" si="544"/>
        <v>1</v>
      </c>
      <c r="EA136" s="2" t="b">
        <f t="shared" si="545"/>
        <v>1</v>
      </c>
      <c r="EB136" s="2" t="b">
        <f t="shared" si="546"/>
        <v>0</v>
      </c>
      <c r="EC136" s="2">
        <v>1</v>
      </c>
      <c r="ED136" s="2">
        <v>1</v>
      </c>
      <c r="EE136" s="2">
        <v>1</v>
      </c>
      <c r="EF136" s="2">
        <v>1</v>
      </c>
      <c r="EG136" s="2">
        <v>1</v>
      </c>
      <c r="EH136" s="2">
        <v>1</v>
      </c>
      <c r="EI136" s="2">
        <v>1</v>
      </c>
      <c r="EJ136" s="2">
        <v>1</v>
      </c>
      <c r="EK136" s="2">
        <v>7</v>
      </c>
      <c r="EL136" s="2">
        <v>4</v>
      </c>
      <c r="EM136" s="2">
        <v>4</v>
      </c>
      <c r="EN136" s="2">
        <v>5.5</v>
      </c>
      <c r="EO136" s="2" t="s">
        <v>356</v>
      </c>
      <c r="EP136" s="2">
        <v>4</v>
      </c>
      <c r="EQ136" s="2">
        <v>4</v>
      </c>
      <c r="ER136" s="2">
        <v>3</v>
      </c>
      <c r="ES136" s="206">
        <f t="shared" si="581"/>
        <v>7.00000000004</v>
      </c>
      <c r="ET136" s="206">
        <f t="shared" si="582"/>
        <v>4.00000000002</v>
      </c>
      <c r="EU136" s="206">
        <f t="shared" si="583"/>
        <v>4.00000000003</v>
      </c>
      <c r="EV136" s="206">
        <f t="shared" si="584"/>
        <v>5.50000000001</v>
      </c>
      <c r="EW136" s="206">
        <f t="shared" si="585"/>
        <v>0</v>
      </c>
      <c r="EX136" s="206">
        <f t="shared" si="586"/>
        <v>4.00000000006</v>
      </c>
      <c r="EY136" s="206">
        <f t="shared" si="587"/>
        <v>4.00000000007</v>
      </c>
      <c r="EZ136" s="206">
        <f t="shared" si="588"/>
        <v>3.00000000008</v>
      </c>
      <c r="FA136" s="2">
        <f t="shared" si="589"/>
        <v>7.00000000004</v>
      </c>
      <c r="FB136" s="2">
        <f t="shared" si="590"/>
        <v>4.00000000002</v>
      </c>
      <c r="FC136" s="2">
        <f t="shared" si="591"/>
        <v>4.00000000003</v>
      </c>
      <c r="FD136" s="2">
        <f t="shared" si="592"/>
        <v>5.50000000001</v>
      </c>
      <c r="FE136" s="2">
        <f t="shared" si="593"/>
        <v>0</v>
      </c>
      <c r="FF136" s="2">
        <f t="shared" si="594"/>
        <v>4.00000000006</v>
      </c>
      <c r="FG136" s="2">
        <f t="shared" si="595"/>
        <v>4.00000000007</v>
      </c>
      <c r="FH136" s="2">
        <f t="shared" si="596"/>
        <v>3.00000000008</v>
      </c>
      <c r="FI136" s="2" t="b">
        <f t="shared" si="554"/>
        <v>1</v>
      </c>
      <c r="FJ136" s="2" t="b">
        <f t="shared" si="555"/>
        <v>0</v>
      </c>
      <c r="FK136" s="2" t="b">
        <f t="shared" si="556"/>
        <v>1</v>
      </c>
      <c r="FL136" s="2" t="b">
        <f t="shared" si="557"/>
        <v>1</v>
      </c>
      <c r="FM136" s="2" t="b">
        <f t="shared" si="558"/>
        <v>0</v>
      </c>
      <c r="FN136" s="2" t="b">
        <f t="shared" si="559"/>
        <v>1</v>
      </c>
      <c r="FO136" s="2" t="b">
        <f t="shared" si="560"/>
        <v>1</v>
      </c>
      <c r="FP136" s="2" t="b">
        <f t="shared" si="561"/>
        <v>0</v>
      </c>
    </row>
    <row r="137" spans="1:172" ht="15.6">
      <c r="A137" s="2" t="s">
        <v>1320</v>
      </c>
      <c r="B137" s="2" t="s">
        <v>255</v>
      </c>
      <c r="C137" s="2" t="s">
        <v>1064</v>
      </c>
      <c r="D137" s="2" t="s">
        <v>331</v>
      </c>
      <c r="E137" s="2" t="s">
        <v>889</v>
      </c>
      <c r="F137" s="2" t="s">
        <v>356</v>
      </c>
      <c r="G137" s="2">
        <v>29</v>
      </c>
      <c r="H137" s="2">
        <v>23</v>
      </c>
      <c r="I137" s="2">
        <v>21.5</v>
      </c>
      <c r="J137" s="2">
        <f t="shared" si="562"/>
        <v>29.0000000002</v>
      </c>
      <c r="K137" s="2">
        <f t="shared" si="563"/>
        <v>23.000000000220002</v>
      </c>
      <c r="L137" s="2">
        <f t="shared" si="564"/>
        <v>21.500000000260002</v>
      </c>
      <c r="M137" s="364" t="s">
        <v>1322</v>
      </c>
      <c r="N137" s="364" t="s">
        <v>356</v>
      </c>
      <c r="O137" s="364" t="s">
        <v>356</v>
      </c>
      <c r="P137" s="364" t="s">
        <v>356</v>
      </c>
      <c r="Q137" s="364" t="s">
        <v>356</v>
      </c>
      <c r="R137" s="2" t="s">
        <v>1321</v>
      </c>
      <c r="S137" s="2" t="s">
        <v>1177</v>
      </c>
      <c r="T137" s="2">
        <v>27</v>
      </c>
      <c r="U137" s="2" cm="1">
        <f t="array" ref="U137">IFERROR(INDEX('Offer Statistics'!$BQ$2:$BQ$400,MATCH(1,(A137='Offer Statistics'!$BB$2:$BB$400)*($A$11='Offer Statistics'!$BC$2:$BC$400),0)),"/")</f>
        <v>28</v>
      </c>
      <c r="V137" s="2" cm="1">
        <f t="array" ref="V137">IFERROR(INDEX('Offer Statistics'!$BD$2:$BD$400,MATCH(1,(A137='Offer Statistics'!$BB$2:$BB$400)*($A$11='Offer Statistics'!$BC$2:$BC$400),0)),"/")</f>
        <v>196</v>
      </c>
      <c r="W137" s="2" cm="1">
        <f t="array" ref="W137">IFERROR(INDEX('Offer Statistics'!$BL$2:$BL$400,MATCH(1,(A137='Offer Statistics'!$BB$2:$BB$400)*($A$11='Offer Statistics'!$BC$2:$BC$400),0)),"/")</f>
        <v>28</v>
      </c>
      <c r="X137" s="2">
        <f t="shared" si="502"/>
        <v>7</v>
      </c>
      <c r="Y137" s="2" t="s">
        <v>1177</v>
      </c>
      <c r="Z137" s="364" t="str">
        <f>入學要求!AF146</f>
        <v>申請人應於某種樂器/聲樂考獲8級或以上。</v>
      </c>
      <c r="AA137" s="364" t="str">
        <f>入學要求!AG146</f>
        <v>/</v>
      </c>
      <c r="AB137" s="368" t="s">
        <v>889</v>
      </c>
      <c r="AC137" s="368"/>
      <c r="AD137" s="368"/>
      <c r="AE137" s="368" t="s">
        <v>1322</v>
      </c>
      <c r="AF137" s="368" t="s">
        <v>356</v>
      </c>
      <c r="AG137" s="368" t="s">
        <v>356</v>
      </c>
      <c r="AH137" s="368" t="s">
        <v>356</v>
      </c>
      <c r="AI137" s="368" t="s">
        <v>356</v>
      </c>
      <c r="AJ137" s="2" t="s">
        <v>356</v>
      </c>
      <c r="AK137" s="2" t="s">
        <v>356</v>
      </c>
      <c r="AL137" s="2" t="s">
        <v>356</v>
      </c>
      <c r="AM137" s="2" t="s">
        <v>356</v>
      </c>
      <c r="AN137" s="2" t="s">
        <v>356</v>
      </c>
      <c r="AO137" s="2" t="s">
        <v>356</v>
      </c>
      <c r="AP137" s="2" t="s">
        <v>356</v>
      </c>
      <c r="AQ137" s="2" t="s">
        <v>356</v>
      </c>
      <c r="AS137" s="2" t="s">
        <v>820</v>
      </c>
      <c r="AU137" s="2" t="s">
        <v>817</v>
      </c>
      <c r="AY137" s="2">
        <v>1</v>
      </c>
      <c r="AZ137" s="2">
        <v>1</v>
      </c>
      <c r="BA137" s="2">
        <v>1</v>
      </c>
      <c r="BB137" s="2">
        <v>1</v>
      </c>
      <c r="BC137" s="2">
        <v>1</v>
      </c>
      <c r="BD137" s="2">
        <v>1</v>
      </c>
      <c r="BE137" s="2">
        <v>1</v>
      </c>
      <c r="BF137" s="2">
        <v>1</v>
      </c>
      <c r="BG137" s="2" t="s">
        <v>1320</v>
      </c>
      <c r="BH137">
        <v>3</v>
      </c>
      <c r="BI137">
        <v>4</v>
      </c>
      <c r="BJ137">
        <v>4</v>
      </c>
      <c r="BK137">
        <v>4</v>
      </c>
      <c r="BL137" t="s">
        <v>356</v>
      </c>
      <c r="BM137">
        <v>5.5</v>
      </c>
      <c r="BN137">
        <v>4</v>
      </c>
      <c r="BO137">
        <v>4</v>
      </c>
      <c r="BP137" s="206">
        <f t="shared" si="565"/>
        <v>3.00000000004</v>
      </c>
      <c r="BQ137" s="206">
        <f t="shared" si="566"/>
        <v>4.00000000002</v>
      </c>
      <c r="BR137" s="206">
        <f t="shared" si="567"/>
        <v>4.00000000003</v>
      </c>
      <c r="BS137" s="206">
        <f t="shared" si="568"/>
        <v>4.00000000001</v>
      </c>
      <c r="BT137" s="206">
        <f t="shared" si="569"/>
        <v>0</v>
      </c>
      <c r="BU137" s="206">
        <f t="shared" si="570"/>
        <v>5.50000000006</v>
      </c>
      <c r="BV137" s="206">
        <f t="shared" si="571"/>
        <v>4.00000000007</v>
      </c>
      <c r="BW137" s="206">
        <f t="shared" si="572"/>
        <v>4.00000000008</v>
      </c>
      <c r="BX137" s="2">
        <f t="shared" si="509"/>
        <v>3.00000000004</v>
      </c>
      <c r="BY137" s="2">
        <f t="shared" si="510"/>
        <v>4.00000000002</v>
      </c>
      <c r="BZ137" s="2">
        <f t="shared" si="511"/>
        <v>4.00000000003</v>
      </c>
      <c r="CA137" s="2">
        <f t="shared" si="512"/>
        <v>4.00000000001</v>
      </c>
      <c r="CB137" s="2">
        <f t="shared" si="513"/>
        <v>0</v>
      </c>
      <c r="CC137" s="2">
        <f t="shared" si="514"/>
        <v>5.50000000006</v>
      </c>
      <c r="CD137" s="2">
        <f t="shared" si="515"/>
        <v>4.00000000007</v>
      </c>
      <c r="CE137" s="2">
        <f t="shared" si="516"/>
        <v>4.00000000008</v>
      </c>
      <c r="CF137" s="2" t="b">
        <f t="shared" si="517"/>
        <v>0</v>
      </c>
      <c r="CG137" s="2" t="b">
        <f t="shared" si="518"/>
        <v>1</v>
      </c>
      <c r="CH137" s="2" t="b">
        <f t="shared" si="519"/>
        <v>1</v>
      </c>
      <c r="CI137" s="2" t="b">
        <f t="shared" si="520"/>
        <v>0</v>
      </c>
      <c r="CJ137" s="2" t="b">
        <f t="shared" si="521"/>
        <v>0</v>
      </c>
      <c r="CK137" s="2" t="b">
        <f t="shared" si="522"/>
        <v>1</v>
      </c>
      <c r="CL137" s="2" t="b">
        <f t="shared" si="523"/>
        <v>1</v>
      </c>
      <c r="CM137" s="2" t="b">
        <f t="shared" si="524"/>
        <v>1</v>
      </c>
      <c r="CN137" s="2">
        <v>1</v>
      </c>
      <c r="CO137" s="2">
        <v>1</v>
      </c>
      <c r="CP137" s="2">
        <v>1</v>
      </c>
      <c r="CQ137" s="2">
        <v>1</v>
      </c>
      <c r="CR137" s="2">
        <v>1</v>
      </c>
      <c r="CS137" s="2">
        <v>1</v>
      </c>
      <c r="CT137" s="2">
        <v>1</v>
      </c>
      <c r="CU137" s="2">
        <v>1</v>
      </c>
      <c r="CW137" s="2">
        <v>4</v>
      </c>
      <c r="CX137" s="2">
        <v>7</v>
      </c>
      <c r="CY137" s="2">
        <v>4</v>
      </c>
      <c r="CZ137" s="2">
        <v>4</v>
      </c>
      <c r="DA137" s="2" t="s">
        <v>356</v>
      </c>
      <c r="DB137" s="2">
        <v>4</v>
      </c>
      <c r="DC137" s="2">
        <v>4</v>
      </c>
      <c r="DD137" s="2">
        <v>3</v>
      </c>
      <c r="DE137" s="206">
        <f t="shared" si="573"/>
        <v>4.00000000004</v>
      </c>
      <c r="DF137" s="206">
        <f t="shared" si="574"/>
        <v>7.00000000002</v>
      </c>
      <c r="DG137" s="206">
        <f t="shared" si="575"/>
        <v>4.00000000003</v>
      </c>
      <c r="DH137" s="206">
        <f t="shared" si="576"/>
        <v>4.00000000001</v>
      </c>
      <c r="DI137" s="206">
        <f t="shared" si="577"/>
        <v>0</v>
      </c>
      <c r="DJ137" s="206">
        <f t="shared" si="578"/>
        <v>4.00000000006</v>
      </c>
      <c r="DK137" s="206">
        <f t="shared" si="579"/>
        <v>4.00000000007</v>
      </c>
      <c r="DL137" s="206">
        <f t="shared" si="580"/>
        <v>3.00000000008</v>
      </c>
      <c r="DM137" s="2">
        <f t="shared" si="531"/>
        <v>4.00000000004</v>
      </c>
      <c r="DN137" s="2">
        <f t="shared" si="532"/>
        <v>7.00000000002</v>
      </c>
      <c r="DO137" s="2">
        <f t="shared" si="533"/>
        <v>4.00000000003</v>
      </c>
      <c r="DP137" s="2">
        <f t="shared" si="534"/>
        <v>4.00000000001</v>
      </c>
      <c r="DQ137" s="2">
        <f t="shared" si="535"/>
        <v>0</v>
      </c>
      <c r="DR137" s="2">
        <f t="shared" si="536"/>
        <v>4.00000000006</v>
      </c>
      <c r="DS137" s="2">
        <f t="shared" si="537"/>
        <v>4.00000000007</v>
      </c>
      <c r="DT137" s="2">
        <f t="shared" si="538"/>
        <v>3.00000000008</v>
      </c>
      <c r="DU137" s="2" t="b">
        <f t="shared" si="539"/>
        <v>1</v>
      </c>
      <c r="DV137" s="2" t="b">
        <f t="shared" si="540"/>
        <v>1</v>
      </c>
      <c r="DW137" s="2" t="b">
        <f t="shared" si="541"/>
        <v>1</v>
      </c>
      <c r="DX137" s="2" t="b">
        <f t="shared" si="542"/>
        <v>0</v>
      </c>
      <c r="DY137" s="2" t="b">
        <f t="shared" si="543"/>
        <v>0</v>
      </c>
      <c r="DZ137" s="2" t="b">
        <f t="shared" si="544"/>
        <v>1</v>
      </c>
      <c r="EA137" s="2" t="b">
        <f t="shared" si="545"/>
        <v>1</v>
      </c>
      <c r="EB137" s="2" t="b">
        <f t="shared" si="546"/>
        <v>0</v>
      </c>
      <c r="EC137" s="2">
        <v>1</v>
      </c>
      <c r="ED137" s="2">
        <v>1</v>
      </c>
      <c r="EE137" s="2">
        <v>1</v>
      </c>
      <c r="EF137" s="2">
        <v>1</v>
      </c>
      <c r="EG137" s="2">
        <v>1</v>
      </c>
      <c r="EH137" s="2">
        <v>1</v>
      </c>
      <c r="EI137" s="2">
        <v>1</v>
      </c>
      <c r="EJ137" s="2">
        <v>1</v>
      </c>
      <c r="EK137" s="2">
        <v>7</v>
      </c>
      <c r="EL137" s="2">
        <v>5.5</v>
      </c>
      <c r="EM137" s="2">
        <v>4</v>
      </c>
      <c r="EN137" s="2">
        <v>5.5</v>
      </c>
      <c r="EO137" s="2">
        <v>4</v>
      </c>
      <c r="EP137" s="2">
        <v>5.5</v>
      </c>
      <c r="EQ137" s="2">
        <v>5.5</v>
      </c>
      <c r="ER137" s="2" t="s">
        <v>356</v>
      </c>
      <c r="ES137" s="206">
        <f t="shared" si="581"/>
        <v>7.00000000004</v>
      </c>
      <c r="ET137" s="206">
        <f t="shared" si="582"/>
        <v>5.50000000002</v>
      </c>
      <c r="EU137" s="206">
        <f t="shared" si="583"/>
        <v>4.00000000003</v>
      </c>
      <c r="EV137" s="206">
        <f t="shared" si="584"/>
        <v>5.50000000001</v>
      </c>
      <c r="EW137" s="206">
        <f t="shared" si="585"/>
        <v>4.00000000005</v>
      </c>
      <c r="EX137" s="206">
        <f t="shared" si="586"/>
        <v>5.50000000006</v>
      </c>
      <c r="EY137" s="206">
        <f t="shared" si="587"/>
        <v>5.50000000007</v>
      </c>
      <c r="EZ137" s="206">
        <f t="shared" si="588"/>
        <v>0</v>
      </c>
      <c r="FA137" s="2">
        <f t="shared" si="589"/>
        <v>7.00000000004</v>
      </c>
      <c r="FB137" s="2">
        <f t="shared" si="590"/>
        <v>5.50000000002</v>
      </c>
      <c r="FC137" s="2">
        <f t="shared" si="591"/>
        <v>4.00000000003</v>
      </c>
      <c r="FD137" s="2">
        <f t="shared" si="592"/>
        <v>5.50000000001</v>
      </c>
      <c r="FE137" s="2">
        <f t="shared" si="593"/>
        <v>4.00000000005</v>
      </c>
      <c r="FF137" s="2">
        <f t="shared" si="594"/>
        <v>5.50000000006</v>
      </c>
      <c r="FG137" s="2">
        <f t="shared" si="595"/>
        <v>5.50000000007</v>
      </c>
      <c r="FH137" s="2">
        <f t="shared" si="596"/>
        <v>0</v>
      </c>
      <c r="FI137" s="2" t="b">
        <f t="shared" si="554"/>
        <v>1</v>
      </c>
      <c r="FJ137" s="2" t="b">
        <f t="shared" si="555"/>
        <v>1</v>
      </c>
      <c r="FK137" s="2" t="b">
        <f t="shared" si="556"/>
        <v>0</v>
      </c>
      <c r="FL137" s="2" t="b">
        <f t="shared" si="557"/>
        <v>1</v>
      </c>
      <c r="FM137" s="2" t="b">
        <f t="shared" si="558"/>
        <v>0</v>
      </c>
      <c r="FN137" s="2" t="b">
        <f t="shared" si="559"/>
        <v>1</v>
      </c>
      <c r="FO137" s="2" t="b">
        <f t="shared" si="560"/>
        <v>1</v>
      </c>
      <c r="FP137" s="2" t="b">
        <f t="shared" si="561"/>
        <v>0</v>
      </c>
    </row>
    <row r="138" spans="1:172" ht="15.6">
      <c r="A138" s="2" t="s">
        <v>1323</v>
      </c>
      <c r="B138" s="2" t="s">
        <v>255</v>
      </c>
      <c r="C138" s="2" t="s">
        <v>1064</v>
      </c>
      <c r="D138" s="2" t="s">
        <v>1324</v>
      </c>
      <c r="E138" s="2" t="s">
        <v>889</v>
      </c>
      <c r="F138" s="2" t="s">
        <v>356</v>
      </c>
      <c r="G138" s="2">
        <v>27.5</v>
      </c>
      <c r="H138" s="2">
        <v>23.5</v>
      </c>
      <c r="I138" s="2">
        <v>23</v>
      </c>
      <c r="J138" s="2">
        <f t="shared" si="562"/>
        <v>27.500000000230003</v>
      </c>
      <c r="K138" s="2">
        <f t="shared" si="563"/>
        <v>23.500000000200004</v>
      </c>
      <c r="L138" s="2">
        <f t="shared" si="564"/>
        <v>23.000000000220002</v>
      </c>
      <c r="M138" s="364" t="s">
        <v>1093</v>
      </c>
      <c r="N138" s="364" t="s">
        <v>356</v>
      </c>
      <c r="O138" s="364" t="s">
        <v>356</v>
      </c>
      <c r="P138" s="364" t="s">
        <v>356</v>
      </c>
      <c r="Q138" s="364" t="s">
        <v>356</v>
      </c>
      <c r="R138" s="2" t="s">
        <v>1325</v>
      </c>
      <c r="S138" s="2" t="s">
        <v>1177</v>
      </c>
      <c r="T138" s="2">
        <v>19</v>
      </c>
      <c r="U138" s="2" cm="1">
        <f t="array" ref="U138">IFERROR(INDEX('Offer Statistics'!$BQ$2:$BQ$400,MATCH(1,(A138='Offer Statistics'!$BB$2:$BB$400)*($A$11='Offer Statistics'!$BC$2:$BC$400),0)),"/")</f>
        <v>22</v>
      </c>
      <c r="V138" s="2" cm="1">
        <f t="array" ref="V138">IFERROR(INDEX('Offer Statistics'!$BD$2:$BD$400,MATCH(1,(A138='Offer Statistics'!$BB$2:$BB$400)*($A$11='Offer Statistics'!$BC$2:$BC$400),0)),"/")</f>
        <v>223</v>
      </c>
      <c r="W138" s="2" cm="1">
        <f t="array" ref="W138">IFERROR(INDEX('Offer Statistics'!$BL$2:$BL$400,MATCH(1,(A138='Offer Statistics'!$BB$2:$BB$400)*($A$11='Offer Statistics'!$BC$2:$BC$400),0)),"/")</f>
        <v>22</v>
      </c>
      <c r="X138" s="2">
        <f t="shared" si="502"/>
        <v>10.136363636363637</v>
      </c>
      <c r="Y138" s="2" t="s">
        <v>1177</v>
      </c>
      <c r="Z138" s="364" t="str">
        <f>入學要求!AF147</f>
        <v>/</v>
      </c>
      <c r="AA138" s="364" t="str">
        <f>入學要求!AG147</f>
        <v>/</v>
      </c>
      <c r="AB138" s="368" t="s">
        <v>889</v>
      </c>
      <c r="AC138" s="368"/>
      <c r="AD138" s="368"/>
      <c r="AE138" s="368" t="s">
        <v>1093</v>
      </c>
      <c r="AF138" s="368" t="s">
        <v>356</v>
      </c>
      <c r="AG138" s="368" t="s">
        <v>356</v>
      </c>
      <c r="AH138" s="368" t="s">
        <v>356</v>
      </c>
      <c r="AI138" s="368" t="s">
        <v>356</v>
      </c>
      <c r="AJ138" s="2" t="s">
        <v>356</v>
      </c>
      <c r="AK138" s="2" t="s">
        <v>356</v>
      </c>
      <c r="AL138" s="2" t="s">
        <v>356</v>
      </c>
      <c r="AM138" s="2" t="s">
        <v>356</v>
      </c>
      <c r="AN138" s="2" t="s">
        <v>356</v>
      </c>
      <c r="AO138" s="2" t="s">
        <v>356</v>
      </c>
      <c r="AP138" s="2" t="s">
        <v>356</v>
      </c>
      <c r="AQ138" s="2" t="s">
        <v>356</v>
      </c>
      <c r="AS138" s="2" t="s">
        <v>820</v>
      </c>
      <c r="AU138" s="2" t="s">
        <v>817</v>
      </c>
      <c r="AY138" s="2">
        <v>1</v>
      </c>
      <c r="AZ138" s="2">
        <v>1</v>
      </c>
      <c r="BA138" s="2">
        <v>1</v>
      </c>
      <c r="BB138" s="2">
        <v>1</v>
      </c>
      <c r="BC138" s="2">
        <v>1</v>
      </c>
      <c r="BD138" s="2">
        <v>1</v>
      </c>
      <c r="BE138" s="2">
        <v>1</v>
      </c>
      <c r="BF138" s="2">
        <v>1</v>
      </c>
      <c r="BG138" s="2" t="s">
        <v>1323</v>
      </c>
      <c r="BH138">
        <v>4</v>
      </c>
      <c r="BI138">
        <v>4</v>
      </c>
      <c r="BJ138">
        <v>5.5</v>
      </c>
      <c r="BK138">
        <v>4</v>
      </c>
      <c r="BL138" t="s">
        <v>356</v>
      </c>
      <c r="BM138">
        <v>5.5</v>
      </c>
      <c r="BN138">
        <v>4</v>
      </c>
      <c r="BO138" t="s">
        <v>356</v>
      </c>
      <c r="BP138" s="206">
        <f t="shared" si="565"/>
        <v>4.00000000004</v>
      </c>
      <c r="BQ138" s="206">
        <f t="shared" si="566"/>
        <v>4.00000000002</v>
      </c>
      <c r="BR138" s="206">
        <f t="shared" si="567"/>
        <v>5.50000000003</v>
      </c>
      <c r="BS138" s="206">
        <f t="shared" si="568"/>
        <v>4.00000000001</v>
      </c>
      <c r="BT138" s="206">
        <f t="shared" si="569"/>
        <v>0</v>
      </c>
      <c r="BU138" s="206">
        <f t="shared" si="570"/>
        <v>5.50000000006</v>
      </c>
      <c r="BV138" s="206">
        <f t="shared" si="571"/>
        <v>4.00000000007</v>
      </c>
      <c r="BW138" s="206">
        <f t="shared" si="572"/>
        <v>0</v>
      </c>
      <c r="BX138" s="2">
        <f t="shared" si="509"/>
        <v>4.00000000004</v>
      </c>
      <c r="BY138" s="2">
        <f t="shared" si="510"/>
        <v>4.00000000002</v>
      </c>
      <c r="BZ138" s="2">
        <f t="shared" si="511"/>
        <v>5.50000000003</v>
      </c>
      <c r="CA138" s="2">
        <f t="shared" si="512"/>
        <v>4.00000000001</v>
      </c>
      <c r="CB138" s="2">
        <f t="shared" si="513"/>
        <v>0</v>
      </c>
      <c r="CC138" s="2">
        <f t="shared" si="514"/>
        <v>5.50000000006</v>
      </c>
      <c r="CD138" s="2">
        <f t="shared" si="515"/>
        <v>4.00000000007</v>
      </c>
      <c r="CE138" s="2">
        <f t="shared" si="516"/>
        <v>0</v>
      </c>
      <c r="CF138" s="402" t="b">
        <v>1</v>
      </c>
      <c r="CG138" s="402" t="b">
        <v>1</v>
      </c>
      <c r="CH138" s="359" t="b">
        <f>IF(BZ138&gt;LARGE($BZ138:$CE138,4),TRUE)</f>
        <v>1</v>
      </c>
      <c r="CI138" s="359" t="b">
        <f t="shared" ref="CI138:CM138" si="597">IF(CA138&gt;LARGE($BZ138:$CE138,4),TRUE)</f>
        <v>0</v>
      </c>
      <c r="CJ138" s="359" t="b">
        <f t="shared" si="597"/>
        <v>0</v>
      </c>
      <c r="CK138" s="359" t="b">
        <f t="shared" si="597"/>
        <v>1</v>
      </c>
      <c r="CL138" s="359" t="b">
        <f t="shared" si="597"/>
        <v>1</v>
      </c>
      <c r="CM138" s="359" t="b">
        <f t="shared" si="597"/>
        <v>0</v>
      </c>
      <c r="CN138" s="2">
        <v>1</v>
      </c>
      <c r="CO138" s="2">
        <v>1</v>
      </c>
      <c r="CP138" s="2">
        <v>1</v>
      </c>
      <c r="CQ138" s="2">
        <v>1</v>
      </c>
      <c r="CR138" s="2">
        <v>1</v>
      </c>
      <c r="CS138" s="2">
        <v>1</v>
      </c>
      <c r="CT138" s="2">
        <v>1</v>
      </c>
      <c r="CU138" s="2">
        <v>1</v>
      </c>
      <c r="CW138" s="2">
        <v>3</v>
      </c>
      <c r="CX138" s="2">
        <v>4</v>
      </c>
      <c r="CY138" s="2">
        <v>5.5</v>
      </c>
      <c r="CZ138" s="2">
        <v>3</v>
      </c>
      <c r="DA138" s="2">
        <v>5.5</v>
      </c>
      <c r="DB138" s="2">
        <v>5.5</v>
      </c>
      <c r="DC138" s="2">
        <v>4</v>
      </c>
      <c r="DD138" s="2" t="s">
        <v>356</v>
      </c>
      <c r="DE138" s="206">
        <f t="shared" si="573"/>
        <v>3.00000000004</v>
      </c>
      <c r="DF138" s="206">
        <f t="shared" si="574"/>
        <v>4.00000000002</v>
      </c>
      <c r="DG138" s="206">
        <f t="shared" si="575"/>
        <v>5.50000000003</v>
      </c>
      <c r="DH138" s="206">
        <f t="shared" si="576"/>
        <v>3.00000000001</v>
      </c>
      <c r="DI138" s="206">
        <f t="shared" si="577"/>
        <v>5.50000000005</v>
      </c>
      <c r="DJ138" s="206">
        <f t="shared" si="578"/>
        <v>5.50000000006</v>
      </c>
      <c r="DK138" s="206">
        <f t="shared" si="579"/>
        <v>4.00000000007</v>
      </c>
      <c r="DL138" s="206">
        <f t="shared" si="580"/>
        <v>0</v>
      </c>
      <c r="DM138" s="2">
        <f t="shared" si="531"/>
        <v>3.00000000004</v>
      </c>
      <c r="DN138" s="2">
        <f t="shared" si="532"/>
        <v>4.00000000002</v>
      </c>
      <c r="DO138" s="2">
        <f t="shared" si="533"/>
        <v>5.50000000003</v>
      </c>
      <c r="DP138" s="2">
        <f t="shared" si="534"/>
        <v>3.00000000001</v>
      </c>
      <c r="DQ138" s="2">
        <f t="shared" si="535"/>
        <v>5.50000000005</v>
      </c>
      <c r="DR138" s="2">
        <f t="shared" si="536"/>
        <v>5.50000000006</v>
      </c>
      <c r="DS138" s="2">
        <f t="shared" si="537"/>
        <v>4.00000000007</v>
      </c>
      <c r="DT138" s="2">
        <f t="shared" si="538"/>
        <v>0</v>
      </c>
      <c r="DU138" s="402" t="b">
        <v>1</v>
      </c>
      <c r="DV138" s="402" t="b">
        <v>1</v>
      </c>
      <c r="DW138" s="359" t="b">
        <f>IF(DO138&gt;LARGE($DO138:$DT138,4),TRUE)</f>
        <v>1</v>
      </c>
      <c r="DX138" s="359" t="b">
        <f t="shared" ref="DX138:EB138" si="598">IF(DP138&gt;LARGE($DO138:$DT138,4),TRUE)</f>
        <v>0</v>
      </c>
      <c r="DY138" s="359" t="b">
        <f t="shared" si="598"/>
        <v>1</v>
      </c>
      <c r="DZ138" s="359" t="b">
        <f t="shared" si="598"/>
        <v>1</v>
      </c>
      <c r="EA138" s="359" t="b">
        <f t="shared" si="598"/>
        <v>0</v>
      </c>
      <c r="EB138" s="359" t="b">
        <f t="shared" si="598"/>
        <v>0</v>
      </c>
      <c r="EC138" s="2">
        <v>1</v>
      </c>
      <c r="ED138" s="2">
        <v>1</v>
      </c>
      <c r="EE138" s="2">
        <v>1</v>
      </c>
      <c r="EF138" s="2">
        <v>1</v>
      </c>
      <c r="EG138" s="2">
        <v>1</v>
      </c>
      <c r="EH138" s="2">
        <v>1</v>
      </c>
      <c r="EI138" s="2">
        <v>1</v>
      </c>
      <c r="EJ138" s="2">
        <v>1</v>
      </c>
      <c r="EK138" s="2">
        <v>5.5</v>
      </c>
      <c r="EL138" s="2">
        <v>5.5</v>
      </c>
      <c r="EM138" s="2">
        <v>5.5</v>
      </c>
      <c r="EN138" s="2">
        <v>4</v>
      </c>
      <c r="EO138" s="2" t="s">
        <v>356</v>
      </c>
      <c r="EP138" s="2">
        <v>7</v>
      </c>
      <c r="EQ138" s="2">
        <v>4</v>
      </c>
      <c r="ER138" s="2">
        <v>4</v>
      </c>
      <c r="ES138" s="206">
        <f t="shared" si="581"/>
        <v>5.50000000004</v>
      </c>
      <c r="ET138" s="206">
        <f t="shared" si="582"/>
        <v>5.50000000002</v>
      </c>
      <c r="EU138" s="206">
        <f t="shared" si="583"/>
        <v>5.50000000003</v>
      </c>
      <c r="EV138" s="206">
        <f t="shared" si="584"/>
        <v>4.00000000001</v>
      </c>
      <c r="EW138" s="206">
        <f t="shared" si="585"/>
        <v>0</v>
      </c>
      <c r="EX138" s="206">
        <f t="shared" si="586"/>
        <v>7.00000000006</v>
      </c>
      <c r="EY138" s="206">
        <f t="shared" si="587"/>
        <v>4.00000000007</v>
      </c>
      <c r="EZ138" s="206">
        <f t="shared" si="588"/>
        <v>4.00000000008</v>
      </c>
      <c r="FA138" s="2">
        <f t="shared" si="589"/>
        <v>5.50000000004</v>
      </c>
      <c r="FB138" s="2">
        <f t="shared" si="590"/>
        <v>5.50000000002</v>
      </c>
      <c r="FC138" s="2">
        <f t="shared" si="591"/>
        <v>5.50000000003</v>
      </c>
      <c r="FD138" s="2">
        <f t="shared" si="592"/>
        <v>4.00000000001</v>
      </c>
      <c r="FE138" s="2">
        <f t="shared" si="593"/>
        <v>0</v>
      </c>
      <c r="FF138" s="2">
        <f t="shared" si="594"/>
        <v>7.00000000006</v>
      </c>
      <c r="FG138" s="2">
        <f t="shared" si="595"/>
        <v>4.00000000007</v>
      </c>
      <c r="FH138" s="2">
        <f t="shared" si="596"/>
        <v>4.00000000008</v>
      </c>
      <c r="FI138" s="402" t="b">
        <v>1</v>
      </c>
      <c r="FJ138" s="402" t="b">
        <v>1</v>
      </c>
      <c r="FK138" s="359" t="b">
        <f>IF(FC138&gt;LARGE($FC138:$FH138,4),TRUE)</f>
        <v>1</v>
      </c>
      <c r="FL138" s="359" t="b">
        <f t="shared" ref="FL138:FP138" si="599">IF(FD138&gt;LARGE($FC138:$FH138,4),TRUE)</f>
        <v>0</v>
      </c>
      <c r="FM138" s="359" t="b">
        <f t="shared" si="599"/>
        <v>0</v>
      </c>
      <c r="FN138" s="359" t="b">
        <f t="shared" si="599"/>
        <v>1</v>
      </c>
      <c r="FO138" s="359" t="b">
        <f t="shared" si="599"/>
        <v>0</v>
      </c>
      <c r="FP138" s="359" t="b">
        <f t="shared" si="599"/>
        <v>1</v>
      </c>
    </row>
    <row r="139" spans="1:172" ht="15.6">
      <c r="A139" s="2" t="s">
        <v>1326</v>
      </c>
      <c r="B139" s="2" t="s">
        <v>255</v>
      </c>
      <c r="C139" s="2" t="s">
        <v>1064</v>
      </c>
      <c r="D139" s="2" t="s">
        <v>1327</v>
      </c>
      <c r="E139" s="2" t="s">
        <v>889</v>
      </c>
      <c r="F139" s="2" t="s">
        <v>356</v>
      </c>
      <c r="G139" s="2">
        <v>22</v>
      </c>
      <c r="H139" s="2">
        <v>21</v>
      </c>
      <c r="I139" s="2">
        <v>20</v>
      </c>
      <c r="J139" s="2">
        <f t="shared" si="562"/>
        <v>22.000000000189999</v>
      </c>
      <c r="K139" s="2">
        <f t="shared" si="563"/>
        <v>21.000000000220002</v>
      </c>
      <c r="L139" s="2">
        <f t="shared" si="564"/>
        <v>20.000000000220002</v>
      </c>
      <c r="M139" s="364" t="s">
        <v>356</v>
      </c>
      <c r="N139" s="364" t="s">
        <v>356</v>
      </c>
      <c r="O139" s="364" t="s">
        <v>356</v>
      </c>
      <c r="P139" s="364" t="s">
        <v>356</v>
      </c>
      <c r="Q139" s="364" t="s">
        <v>356</v>
      </c>
      <c r="R139" s="2" t="s">
        <v>1328</v>
      </c>
      <c r="S139" s="2" t="s">
        <v>1177</v>
      </c>
      <c r="T139" s="2" t="s">
        <v>3286</v>
      </c>
      <c r="U139" s="2" cm="1">
        <f t="array" ref="U139">IFERROR(INDEX('Offer Statistics'!$BQ$2:$BQ$400,MATCH(1,(A139='Offer Statistics'!$BB$2:$BB$400)*($A$11='Offer Statistics'!$BC$2:$BC$400),0)),"/")</f>
        <v>16</v>
      </c>
      <c r="V139" s="2" cm="1">
        <f t="array" ref="V139">IFERROR(INDEX('Offer Statistics'!$BD$2:$BD$400,MATCH(1,(A139='Offer Statistics'!$BB$2:$BB$400)*($A$11='Offer Statistics'!$BC$2:$BC$400),0)),"/")</f>
        <v>103</v>
      </c>
      <c r="W139" s="2" cm="1">
        <f t="array" ref="W139">IFERROR(INDEX('Offer Statistics'!$BL$2:$BL$400,MATCH(1,(A139='Offer Statistics'!$BB$2:$BB$400)*($A$11='Offer Statistics'!$BC$2:$BC$400),0)),"/")</f>
        <v>16</v>
      </c>
      <c r="X139" s="2">
        <f t="shared" si="502"/>
        <v>6.4375</v>
      </c>
      <c r="Y139" s="2" t="s">
        <v>1177</v>
      </c>
      <c r="Z139" s="364" t="str">
        <f>入學要求!AF148</f>
        <v>/</v>
      </c>
      <c r="AA139" s="364" t="str">
        <f>入學要求!AG148</f>
        <v>/</v>
      </c>
      <c r="AB139" s="368" t="s">
        <v>889</v>
      </c>
      <c r="AC139" s="368"/>
      <c r="AD139" s="368"/>
      <c r="AE139" s="368" t="s">
        <v>356</v>
      </c>
      <c r="AF139" s="368" t="s">
        <v>356</v>
      </c>
      <c r="AG139" s="368" t="s">
        <v>356</v>
      </c>
      <c r="AH139" s="368" t="s">
        <v>356</v>
      </c>
      <c r="AI139" s="368" t="s">
        <v>356</v>
      </c>
      <c r="AJ139" s="2" t="s">
        <v>356</v>
      </c>
      <c r="AK139" s="2" t="s">
        <v>356</v>
      </c>
      <c r="AL139" s="2" t="s">
        <v>356</v>
      </c>
      <c r="AM139" s="2" t="s">
        <v>356</v>
      </c>
      <c r="AN139" s="2" t="s">
        <v>356</v>
      </c>
      <c r="AO139" s="2" t="s">
        <v>356</v>
      </c>
      <c r="AP139" s="2" t="s">
        <v>356</v>
      </c>
      <c r="AQ139" s="2" t="s">
        <v>356</v>
      </c>
      <c r="AS139" s="2" t="s">
        <v>820</v>
      </c>
      <c r="AU139" s="2" t="s">
        <v>817</v>
      </c>
      <c r="AY139" s="2">
        <v>1</v>
      </c>
      <c r="AZ139" s="2">
        <v>1</v>
      </c>
      <c r="BA139" s="2">
        <v>1</v>
      </c>
      <c r="BB139" s="2">
        <v>1</v>
      </c>
      <c r="BC139" s="2">
        <v>1</v>
      </c>
      <c r="BD139" s="2">
        <v>1</v>
      </c>
      <c r="BE139" s="2">
        <v>1</v>
      </c>
      <c r="BF139" s="2">
        <v>1</v>
      </c>
      <c r="BG139" s="2" t="s">
        <v>1326</v>
      </c>
      <c r="BH139">
        <v>4</v>
      </c>
      <c r="BI139">
        <v>4</v>
      </c>
      <c r="BJ139">
        <v>4</v>
      </c>
      <c r="BK139">
        <v>4</v>
      </c>
      <c r="BL139" t="s">
        <v>356</v>
      </c>
      <c r="BM139">
        <v>4</v>
      </c>
      <c r="BN139">
        <v>4</v>
      </c>
      <c r="BO139" t="s">
        <v>356</v>
      </c>
      <c r="BP139" s="206">
        <f t="shared" si="565"/>
        <v>4.00000000004</v>
      </c>
      <c r="BQ139" s="206">
        <f t="shared" si="566"/>
        <v>4.00000000002</v>
      </c>
      <c r="BR139" s="206">
        <f t="shared" si="567"/>
        <v>4.00000000003</v>
      </c>
      <c r="BS139" s="206">
        <f t="shared" si="568"/>
        <v>4.00000000001</v>
      </c>
      <c r="BT139" s="206">
        <f t="shared" si="569"/>
        <v>0</v>
      </c>
      <c r="BU139" s="206">
        <f t="shared" si="570"/>
        <v>4.00000000006</v>
      </c>
      <c r="BV139" s="206">
        <f t="shared" si="571"/>
        <v>4.00000000007</v>
      </c>
      <c r="BW139" s="206">
        <f t="shared" si="572"/>
        <v>0</v>
      </c>
      <c r="BX139" s="2">
        <f t="shared" si="509"/>
        <v>4.00000000004</v>
      </c>
      <c r="BY139" s="2">
        <f t="shared" si="510"/>
        <v>4.00000000002</v>
      </c>
      <c r="BZ139" s="2">
        <f t="shared" si="511"/>
        <v>4.00000000003</v>
      </c>
      <c r="CA139" s="2">
        <f t="shared" si="512"/>
        <v>4.00000000001</v>
      </c>
      <c r="CB139" s="2">
        <f t="shared" si="513"/>
        <v>0</v>
      </c>
      <c r="CC139" s="2">
        <f t="shared" si="514"/>
        <v>4.00000000006</v>
      </c>
      <c r="CD139" s="2">
        <f t="shared" si="515"/>
        <v>4.00000000007</v>
      </c>
      <c r="CE139" s="2">
        <f t="shared" si="516"/>
        <v>0</v>
      </c>
      <c r="CF139" s="2" t="b">
        <f>IF($E139="4C2X",TRUE,IF($E139="Best 5",IF(BX139&gt;LARGE($BX139:$CE139,6),TRUE),IF($E139="Best 6",IF(BX139&gt;LARGE($BX139:$CE139,7),TRUE))))</f>
        <v>1</v>
      </c>
      <c r="CG139" s="2" t="b">
        <f>IF($E139="4C2X",TRUE,IF($E139="Best 5",IF(BY139&gt;LARGE($BX139:$CE139,6),TRUE),IF($E139="Best 6",IF(BY139&gt;LARGE($BX139:$CE139,7),TRUE))))</f>
        <v>1</v>
      </c>
      <c r="CH139" s="2" t="b">
        <f>IF($E139="4C2X",TRUE,IF($E139="Best 5",IF(BZ139&gt;LARGE($BX139:$CE139,6),TRUE),IF($E139="Best 6",IF(BZ139&gt;LARGE($BX139:$CE139,7),TRUE))))</f>
        <v>1</v>
      </c>
      <c r="CI139" s="2" t="b">
        <f>IF($E139="4C2X",TRUE,IF($E139="Best 5",IF(CA139&gt;LARGE($BX139:$CE139,6),TRUE),IF($E139="Best 6",IF(CA139&gt;LARGE($BX139:$CE139,7),TRUE))))</f>
        <v>0</v>
      </c>
      <c r="CJ139" s="2" t="b">
        <f>IF($E139="4C2X",IF(CB139&gt;LARGE($CB139:$CE139,3),TRUE),IF($E139="Best 5",IF(CB139&gt;LARGE($BX139:$CE139,6),TRUE),IF($E139="Best 6",IF(CB139&gt;LARGE($BX139:$CE139,7),TRUE))))</f>
        <v>0</v>
      </c>
      <c r="CK139" s="2" t="b">
        <f>IF($E139="4C2X",IF(CC139&gt;LARGE($CB139:$CE139,3),TRUE),IF($E139="Best 5",IF(CC139&gt;LARGE($BX139:$CE139,6),TRUE),IF($E139="Best 6",IF(CC139&gt;LARGE($BX139:$CE139,7),TRUE))))</f>
        <v>1</v>
      </c>
      <c r="CL139" s="2" t="b">
        <f>IF($E139="4C2X",IF(CD139&gt;LARGE($CB139:$CE139,3),TRUE),IF($E139="Best 5",IF(CD139&gt;LARGE($BX139:$CE139,6),TRUE),IF($E139="Best 6",IF(CD139&gt;LARGE($BX139:$CE139,7),TRUE))))</f>
        <v>1</v>
      </c>
      <c r="CM139" s="2" t="b">
        <f>IF($E139="4C2X",IF(CE139&gt;LARGE($CB139:$CE139,3),TRUE),IF($E139="Best 5",IF(CE139&gt;LARGE($BX139:$CE139,6),TRUE),IF($E139="Best 6",IF(CE139&gt;LARGE($BX139:$CE139,7),TRUE))))</f>
        <v>0</v>
      </c>
      <c r="CN139" s="2">
        <v>1</v>
      </c>
      <c r="CO139" s="2">
        <v>1</v>
      </c>
      <c r="CP139" s="2">
        <v>1</v>
      </c>
      <c r="CQ139" s="2">
        <v>1</v>
      </c>
      <c r="CR139" s="2">
        <v>1</v>
      </c>
      <c r="CS139" s="2">
        <v>1</v>
      </c>
      <c r="CT139" s="2">
        <v>1</v>
      </c>
      <c r="CU139" s="2">
        <v>1</v>
      </c>
      <c r="CW139" s="2">
        <v>3</v>
      </c>
      <c r="CX139" s="2">
        <v>3</v>
      </c>
      <c r="CY139" s="2">
        <v>5.5</v>
      </c>
      <c r="CZ139" s="2">
        <v>2</v>
      </c>
      <c r="DA139" s="2" t="s">
        <v>356</v>
      </c>
      <c r="DB139" s="2">
        <v>5.5</v>
      </c>
      <c r="DC139" s="2">
        <v>4</v>
      </c>
      <c r="DD139" s="2" t="s">
        <v>356</v>
      </c>
      <c r="DE139" s="206">
        <f t="shared" si="573"/>
        <v>3.00000000004</v>
      </c>
      <c r="DF139" s="206">
        <f t="shared" si="574"/>
        <v>3.00000000002</v>
      </c>
      <c r="DG139" s="206">
        <f t="shared" si="575"/>
        <v>5.50000000003</v>
      </c>
      <c r="DH139" s="206">
        <f t="shared" si="576"/>
        <v>2.00000000001</v>
      </c>
      <c r="DI139" s="206">
        <f t="shared" si="577"/>
        <v>0</v>
      </c>
      <c r="DJ139" s="206">
        <f t="shared" si="578"/>
        <v>5.50000000006</v>
      </c>
      <c r="DK139" s="206">
        <f t="shared" si="579"/>
        <v>4.00000000007</v>
      </c>
      <c r="DL139" s="206">
        <f t="shared" si="580"/>
        <v>0</v>
      </c>
      <c r="DM139" s="2">
        <f t="shared" si="531"/>
        <v>3.00000000004</v>
      </c>
      <c r="DN139" s="2">
        <f t="shared" si="532"/>
        <v>3.00000000002</v>
      </c>
      <c r="DO139" s="2">
        <f t="shared" si="533"/>
        <v>5.50000000003</v>
      </c>
      <c r="DP139" s="2">
        <f t="shared" si="534"/>
        <v>2.00000000001</v>
      </c>
      <c r="DQ139" s="2">
        <f t="shared" si="535"/>
        <v>0</v>
      </c>
      <c r="DR139" s="2">
        <f t="shared" si="536"/>
        <v>5.50000000006</v>
      </c>
      <c r="DS139" s="2">
        <f t="shared" si="537"/>
        <v>4.00000000007</v>
      </c>
      <c r="DT139" s="2">
        <f t="shared" si="538"/>
        <v>0</v>
      </c>
      <c r="DU139" s="2" t="b">
        <f>IF($E139="4C2X",TRUE,IF($E139="Best 5",IF(DM139&gt;LARGE($DM139:$DT139,6),TRUE),IF($E139="Best 6",IF(DM139&gt;LARGE($DM139:$DT139,7),TRUE))))</f>
        <v>1</v>
      </c>
      <c r="DV139" s="2" t="b">
        <f>IF($E139="4C2X",TRUE,IF($E139="Best 5",IF(DN139&gt;LARGE($DM139:$DT139,6),TRUE),IF($E139="Best 6",IF(DN139&gt;LARGE($DM139:$DT139,7),TRUE))))</f>
        <v>1</v>
      </c>
      <c r="DW139" s="2" t="b">
        <f>IF($E139="4C2X",TRUE,IF($E139="Best 5",IF(DO139&gt;LARGE($DM139:$DT139,6),TRUE),IF($E139="Best 6",IF(DO139&gt;LARGE($DM139:$DT139,7),TRUE))))</f>
        <v>1</v>
      </c>
      <c r="DX139" s="2" t="b">
        <f>IF($E139="4C2X",TRUE,IF($E139="Best 5",IF(DP139&gt;LARGE($DM139:$DT139,6),TRUE),IF($E139="Best 6",IF(DP139&gt;LARGE($DM139:$DT139,7),TRUE))))</f>
        <v>0</v>
      </c>
      <c r="DY139" s="2" t="b">
        <f t="shared" ref="DY139:DY167" si="600">IF($E139="4C2X",IF(DQ139&gt;LARGE($DQ139:$DT139,3),TRUE),IF($E139="Best 5",IF(DQ139&gt;LARGE($DM139:$DT139,6),TRUE),IF($E139="Best 6",IF(DQ139&gt;LARGE($DM139:$DT139,7),TRUE))))</f>
        <v>0</v>
      </c>
      <c r="DZ139" s="2" t="b">
        <f t="shared" ref="DZ139:DZ167" si="601">IF($E139="4C2X",IF(DR139&gt;LARGE($DQ139:$DT139,3),TRUE),IF($E139="Best 5",IF(DR139&gt;LARGE($DM139:$DT139,6),TRUE),IF($E139="Best 6",IF(DR139&gt;LARGE($DM139:$DT139,7),TRUE))))</f>
        <v>1</v>
      </c>
      <c r="EA139" s="2" t="b">
        <f t="shared" ref="EA139:EA167" si="602">IF($E139="4C2X",IF(DS139&gt;LARGE($DQ139:$DT139,3),TRUE),IF($E139="Best 5",IF(DS139&gt;LARGE($DM139:$DT139,6),TRUE),IF($E139="Best 6",IF(DS139&gt;LARGE($DM139:$DT139,7),TRUE))))</f>
        <v>1</v>
      </c>
      <c r="EB139" s="2" t="b">
        <f t="shared" ref="EB139:EB167" si="603">IF($E139="4C2X",IF(DT139&gt;LARGE($DQ139:$DT139,3),TRUE),IF($E139="Best 5",IF(DT139&gt;LARGE($DM139:$DT139,6),TRUE),IF($E139="Best 6",IF(DT139&gt;LARGE($DM139:$DT139,7),TRUE))))</f>
        <v>0</v>
      </c>
      <c r="EC139" s="2">
        <v>1</v>
      </c>
      <c r="ED139" s="2">
        <v>1</v>
      </c>
      <c r="EE139" s="2">
        <v>1</v>
      </c>
      <c r="EF139" s="2">
        <v>1</v>
      </c>
      <c r="EG139" s="2">
        <v>1</v>
      </c>
      <c r="EH139" s="2">
        <v>1</v>
      </c>
      <c r="EI139" s="2">
        <v>1</v>
      </c>
      <c r="EJ139" s="2">
        <v>1</v>
      </c>
      <c r="EK139" s="2">
        <v>4</v>
      </c>
      <c r="EL139" s="2">
        <v>3</v>
      </c>
      <c r="EM139" s="2">
        <v>4</v>
      </c>
      <c r="EN139" s="2">
        <v>5.5</v>
      </c>
      <c r="EO139" s="2">
        <v>3</v>
      </c>
      <c r="EP139" s="2">
        <v>5.5</v>
      </c>
      <c r="EQ139" s="2">
        <v>2</v>
      </c>
      <c r="ER139" s="2" t="s">
        <v>356</v>
      </c>
      <c r="ES139" s="206">
        <f t="shared" si="581"/>
        <v>4.00000000004</v>
      </c>
      <c r="ET139" s="206">
        <f t="shared" si="582"/>
        <v>3.00000000002</v>
      </c>
      <c r="EU139" s="206">
        <f t="shared" si="583"/>
        <v>4.00000000003</v>
      </c>
      <c r="EV139" s="206">
        <f t="shared" si="584"/>
        <v>5.50000000001</v>
      </c>
      <c r="EW139" s="206">
        <f t="shared" si="585"/>
        <v>3.00000000005</v>
      </c>
      <c r="EX139" s="206">
        <f t="shared" si="586"/>
        <v>5.50000000006</v>
      </c>
      <c r="EY139" s="206">
        <f t="shared" si="587"/>
        <v>2.00000000007</v>
      </c>
      <c r="EZ139" s="206">
        <f t="shared" si="588"/>
        <v>0</v>
      </c>
      <c r="FA139" s="2">
        <f t="shared" si="589"/>
        <v>4.00000000004</v>
      </c>
      <c r="FB139" s="2">
        <f t="shared" si="590"/>
        <v>3.00000000002</v>
      </c>
      <c r="FC139" s="2">
        <f t="shared" si="591"/>
        <v>4.00000000003</v>
      </c>
      <c r="FD139" s="2">
        <f t="shared" si="592"/>
        <v>5.50000000001</v>
      </c>
      <c r="FE139" s="2">
        <f t="shared" si="593"/>
        <v>3.00000000005</v>
      </c>
      <c r="FF139" s="2">
        <f t="shared" si="594"/>
        <v>5.50000000006</v>
      </c>
      <c r="FG139" s="2">
        <f t="shared" si="595"/>
        <v>2.00000000007</v>
      </c>
      <c r="FH139" s="2">
        <f t="shared" si="596"/>
        <v>0</v>
      </c>
      <c r="FI139" s="2" t="b">
        <f t="shared" ref="FI139:FI167" si="604">IF($E139="4C2X",TRUE,IF($E139="Best 5",IF(FA139&gt;LARGE($FA139:$FH139,6),TRUE),IF($E139="Best 6",IF(FA139&gt;LARGE($FA139:$FH139,7),TRUE))))</f>
        <v>1</v>
      </c>
      <c r="FJ139" s="2" t="b">
        <f t="shared" ref="FJ139:FJ167" si="605">IF($E139="4C2X",TRUE,IF($E139="Best 5",IF(FB139&gt;LARGE($FA139:$FH139,6),TRUE),IF($E139="Best 6",IF(FB139&gt;LARGE($FA139:$FH139,7),TRUE))))</f>
        <v>0</v>
      </c>
      <c r="FK139" s="2" t="b">
        <f t="shared" ref="FK139:FK167" si="606">IF($E139="4C2X",TRUE,IF($E139="Best 5",IF(FC139&gt;LARGE($FA139:$FH139,6),TRUE),IF($E139="Best 6",IF(FC139&gt;LARGE($FA139:$FH139,7),TRUE))))</f>
        <v>1</v>
      </c>
      <c r="FL139" s="2" t="b">
        <f t="shared" ref="FL139:FL167" si="607">IF($E139="4C2X",TRUE,IF($E139="Best 5",IF(FD139&gt;LARGE($FA139:$FH139,6),TRUE),IF($E139="Best 6",IF(FD139&gt;LARGE($FA139:$FH139,7),TRUE))))</f>
        <v>1</v>
      </c>
      <c r="FM139" s="2" t="b">
        <f t="shared" ref="FM139:FM167" si="608">IF($E139="4C2X",IF(FE139&gt;LARGE($FE139:$FH139,3),TRUE),IF($E139="Best 5",IF(FE139&gt;LARGE($FA139:$FH139,6),TRUE),IF($E139="Best 6",IF(FE139&gt;LARGE($FA139:$FH139,7),TRUE))))</f>
        <v>1</v>
      </c>
      <c r="FN139" s="2" t="b">
        <f t="shared" ref="FN139:FN167" si="609">IF($E139="4C2X",IF(FF139&gt;LARGE($FE139:$FH139,3),TRUE),IF($E139="Best 5",IF(FF139&gt;LARGE($FA139:$FH139,6),TRUE),IF($E139="Best 6",IF(FF139&gt;LARGE($FA139:$FH139,7),TRUE))))</f>
        <v>1</v>
      </c>
      <c r="FO139" s="2" t="b">
        <f t="shared" ref="FO139:FO167" si="610">IF($E139="4C2X",IF(FG139&gt;LARGE($FE139:$FH139,3),TRUE),IF($E139="Best 5",IF(FG139&gt;LARGE($FA139:$FH139,6),TRUE),IF($E139="Best 6",IF(FG139&gt;LARGE($FA139:$FH139,7),TRUE))))</f>
        <v>0</v>
      </c>
      <c r="FP139" s="2" t="b">
        <f t="shared" ref="FP139:FP167" si="611">IF($E139="4C2X",IF(FH139&gt;LARGE($FE139:$FH139,3),TRUE),IF($E139="Best 5",IF(FH139&gt;LARGE($FA139:$FH139,6),TRUE),IF($E139="Best 6",IF(FH139&gt;LARGE($FA139:$FH139,7),TRUE))))</f>
        <v>0</v>
      </c>
    </row>
    <row r="140" spans="1:172" ht="15.6">
      <c r="A140" s="2" t="s">
        <v>1329</v>
      </c>
      <c r="B140" s="2" t="s">
        <v>255</v>
      </c>
      <c r="C140" s="2" t="s">
        <v>1064</v>
      </c>
      <c r="D140" s="2" t="s">
        <v>1330</v>
      </c>
      <c r="E140" s="2" t="s">
        <v>889</v>
      </c>
      <c r="F140" s="2" t="s">
        <v>356</v>
      </c>
      <c r="G140" s="2" t="s">
        <v>356</v>
      </c>
      <c r="H140" s="2" t="s">
        <v>356</v>
      </c>
      <c r="I140" s="2" t="s">
        <v>356</v>
      </c>
      <c r="J140" s="2" t="s">
        <v>356</v>
      </c>
      <c r="K140" s="2" t="s">
        <v>356</v>
      </c>
      <c r="L140" s="2" t="s">
        <v>356</v>
      </c>
      <c r="M140" s="364" t="s">
        <v>356</v>
      </c>
      <c r="N140" s="364" t="s">
        <v>356</v>
      </c>
      <c r="O140" s="364" t="s">
        <v>356</v>
      </c>
      <c r="P140" s="364" t="s">
        <v>356</v>
      </c>
      <c r="Q140" s="364" t="s">
        <v>356</v>
      </c>
      <c r="R140" s="2" t="s">
        <v>1331</v>
      </c>
      <c r="S140" s="2" t="s">
        <v>1177</v>
      </c>
      <c r="T140" s="2" t="s">
        <v>3286</v>
      </c>
      <c r="U140" s="2" cm="1">
        <f t="array" ref="U140">IFERROR(INDEX('Offer Statistics'!$BQ$2:$BQ$400,MATCH(1,(A140='Offer Statistics'!$BB$2:$BB$400)*($A$11='Offer Statistics'!$BC$2:$BC$400),0)),"/")</f>
        <v>1</v>
      </c>
      <c r="V140" s="2" cm="1">
        <f t="array" ref="V140">IFERROR(INDEX('Offer Statistics'!$BD$2:$BD$400,MATCH(1,(A140='Offer Statistics'!$BB$2:$BB$400)*($A$11='Offer Statistics'!$BC$2:$BC$400),0)),"/")</f>
        <v>32</v>
      </c>
      <c r="W140" s="2" cm="1">
        <f t="array" ref="W140">IFERROR(INDEX('Offer Statistics'!$BL$2:$BL$400,MATCH(1,(A140='Offer Statistics'!$BB$2:$BB$400)*($A$11='Offer Statistics'!$BC$2:$BC$400),0)),"/")</f>
        <v>1</v>
      </c>
      <c r="X140" s="2">
        <f t="shared" si="502"/>
        <v>32</v>
      </c>
      <c r="Y140" s="2" t="s">
        <v>1177</v>
      </c>
      <c r="Z140" s="364" t="str">
        <f>入學要求!AF149</f>
        <v>/</v>
      </c>
      <c r="AA140" s="364" t="str">
        <f>入學要求!AG149</f>
        <v>/</v>
      </c>
      <c r="AB140" s="368" t="s">
        <v>889</v>
      </c>
      <c r="AC140" s="368"/>
      <c r="AD140" s="368"/>
      <c r="AE140" s="368" t="s">
        <v>356</v>
      </c>
      <c r="AF140" s="368" t="s">
        <v>356</v>
      </c>
      <c r="AG140" s="368" t="s">
        <v>356</v>
      </c>
      <c r="AH140" s="368" t="s">
        <v>356</v>
      </c>
      <c r="AI140" s="368" t="s">
        <v>356</v>
      </c>
      <c r="AJ140" s="2" t="s">
        <v>356</v>
      </c>
      <c r="AK140" s="2" t="s">
        <v>356</v>
      </c>
      <c r="AL140" s="2" t="s">
        <v>356</v>
      </c>
      <c r="AM140" s="150" t="s">
        <v>1332</v>
      </c>
      <c r="AN140" s="2" t="s">
        <v>356</v>
      </c>
      <c r="AO140" s="2" t="s">
        <v>356</v>
      </c>
      <c r="AP140" s="2" t="s">
        <v>356</v>
      </c>
      <c r="AQ140" s="2" t="s">
        <v>356</v>
      </c>
      <c r="AS140" s="2" t="s">
        <v>820</v>
      </c>
      <c r="AU140" s="2" t="s">
        <v>817</v>
      </c>
      <c r="AY140" s="2" t="s">
        <v>356</v>
      </c>
      <c r="AZ140" s="2" t="s">
        <v>356</v>
      </c>
      <c r="BA140" s="2" t="s">
        <v>356</v>
      </c>
      <c r="BB140" s="2" t="s">
        <v>356</v>
      </c>
      <c r="BC140" s="2" t="s">
        <v>356</v>
      </c>
      <c r="BD140" s="2" t="s">
        <v>356</v>
      </c>
      <c r="BE140" s="2" t="s">
        <v>356</v>
      </c>
      <c r="BF140" s="2" t="s">
        <v>356</v>
      </c>
      <c r="BG140" s="2" t="s">
        <v>1329</v>
      </c>
      <c r="BH140"/>
      <c r="BI140"/>
      <c r="BJ140"/>
      <c r="BK140"/>
      <c r="BL140"/>
      <c r="BM140"/>
      <c r="BN140"/>
      <c r="BO140"/>
      <c r="BP140" s="206">
        <f t="shared" si="565"/>
        <v>3.9999999999999998E-11</v>
      </c>
      <c r="BQ140" s="206">
        <f t="shared" si="566"/>
        <v>1.9999999999999999E-11</v>
      </c>
      <c r="BR140" s="206">
        <f t="shared" si="567"/>
        <v>3E-11</v>
      </c>
      <c r="BS140" s="206">
        <f t="shared" si="568"/>
        <v>9.9999999999999994E-12</v>
      </c>
      <c r="BT140" s="206">
        <f t="shared" si="569"/>
        <v>5.0000000000000002E-11</v>
      </c>
      <c r="BU140" s="206">
        <f t="shared" si="570"/>
        <v>6E-11</v>
      </c>
      <c r="BV140" s="206">
        <f t="shared" si="571"/>
        <v>7.0000000000000004E-11</v>
      </c>
      <c r="BW140" s="206">
        <f t="shared" si="572"/>
        <v>7.9999999999999995E-11</v>
      </c>
      <c r="BX140" s="2" t="e">
        <f t="shared" si="509"/>
        <v>#VALUE!</v>
      </c>
      <c r="BY140" s="2" t="e">
        <f t="shared" si="510"/>
        <v>#VALUE!</v>
      </c>
      <c r="BZ140" s="2" t="e">
        <f t="shared" si="511"/>
        <v>#VALUE!</v>
      </c>
      <c r="CA140" s="2" t="e">
        <f t="shared" si="512"/>
        <v>#VALUE!</v>
      </c>
      <c r="CB140" s="2" t="e">
        <f t="shared" si="513"/>
        <v>#VALUE!</v>
      </c>
      <c r="CC140" s="2" t="e">
        <f t="shared" si="514"/>
        <v>#VALUE!</v>
      </c>
      <c r="CD140" s="2" t="e">
        <f t="shared" si="515"/>
        <v>#VALUE!</v>
      </c>
      <c r="CE140" s="2" t="e">
        <f t="shared" si="516"/>
        <v>#VALUE!</v>
      </c>
      <c r="CF140" s="2" t="s">
        <v>356</v>
      </c>
      <c r="CG140" s="2" t="s">
        <v>356</v>
      </c>
      <c r="CH140" s="2" t="s">
        <v>356</v>
      </c>
      <c r="CI140" s="2" t="s">
        <v>356</v>
      </c>
      <c r="CJ140" s="2" t="s">
        <v>356</v>
      </c>
      <c r="CK140" s="2" t="s">
        <v>356</v>
      </c>
      <c r="CL140" s="2" t="s">
        <v>356</v>
      </c>
      <c r="CM140" s="2" t="s">
        <v>356</v>
      </c>
      <c r="CN140" s="2" t="s">
        <v>356</v>
      </c>
      <c r="CO140" s="2" t="s">
        <v>356</v>
      </c>
      <c r="CP140" s="2" t="s">
        <v>356</v>
      </c>
      <c r="CQ140" s="2" t="s">
        <v>356</v>
      </c>
      <c r="CR140" s="2" t="s">
        <v>356</v>
      </c>
      <c r="CS140" s="2" t="s">
        <v>356</v>
      </c>
      <c r="CT140" s="2" t="s">
        <v>356</v>
      </c>
      <c r="CU140" s="2" t="s">
        <v>356</v>
      </c>
      <c r="CV140" s="2" t="s">
        <v>356</v>
      </c>
      <c r="CW140" s="2" t="s">
        <v>356</v>
      </c>
      <c r="CX140" s="2" t="s">
        <v>356</v>
      </c>
      <c r="CY140" s="2" t="s">
        <v>356</v>
      </c>
      <c r="CZ140" s="2" t="s">
        <v>356</v>
      </c>
      <c r="DA140" s="2" t="s">
        <v>356</v>
      </c>
      <c r="DB140" s="2" t="s">
        <v>356</v>
      </c>
      <c r="DC140" s="2" t="s">
        <v>356</v>
      </c>
      <c r="DD140" s="2" t="s">
        <v>356</v>
      </c>
      <c r="DE140" s="206">
        <f t="shared" si="573"/>
        <v>0</v>
      </c>
      <c r="DF140" s="206">
        <f t="shared" si="574"/>
        <v>0</v>
      </c>
      <c r="DG140" s="206">
        <f t="shared" si="575"/>
        <v>0</v>
      </c>
      <c r="DH140" s="206">
        <f t="shared" si="576"/>
        <v>0</v>
      </c>
      <c r="DI140" s="206">
        <f t="shared" si="577"/>
        <v>0</v>
      </c>
      <c r="DJ140" s="206">
        <f t="shared" si="578"/>
        <v>0</v>
      </c>
      <c r="DK140" s="206">
        <f t="shared" si="579"/>
        <v>0</v>
      </c>
      <c r="DL140" s="206">
        <f t="shared" si="580"/>
        <v>0</v>
      </c>
      <c r="DM140" s="2" t="e">
        <f t="shared" si="531"/>
        <v>#VALUE!</v>
      </c>
      <c r="DN140" s="2" t="e">
        <f t="shared" si="532"/>
        <v>#VALUE!</v>
      </c>
      <c r="DO140" s="2" t="e">
        <f t="shared" si="533"/>
        <v>#VALUE!</v>
      </c>
      <c r="DP140" s="2" t="e">
        <f t="shared" si="534"/>
        <v>#VALUE!</v>
      </c>
      <c r="DQ140" s="2" t="e">
        <f t="shared" si="535"/>
        <v>#VALUE!</v>
      </c>
      <c r="DR140" s="2" t="e">
        <f t="shared" si="536"/>
        <v>#VALUE!</v>
      </c>
      <c r="DS140" s="2" t="e">
        <f t="shared" si="537"/>
        <v>#VALUE!</v>
      </c>
      <c r="DT140" s="2" t="e">
        <f t="shared" si="538"/>
        <v>#VALUE!</v>
      </c>
      <c r="DU140" s="2" t="s">
        <v>356</v>
      </c>
      <c r="DV140" s="2" t="s">
        <v>356</v>
      </c>
      <c r="DW140" s="2" t="s">
        <v>356</v>
      </c>
      <c r="DX140" s="2" t="s">
        <v>356</v>
      </c>
      <c r="DY140" s="2" t="s">
        <v>356</v>
      </c>
      <c r="DZ140" s="2" t="s">
        <v>356</v>
      </c>
      <c r="EA140" s="2" t="s">
        <v>356</v>
      </c>
      <c r="EB140" s="2" t="s">
        <v>356</v>
      </c>
      <c r="EC140" s="2" t="s">
        <v>356</v>
      </c>
      <c r="ED140" s="2" t="s">
        <v>356</v>
      </c>
      <c r="EE140" s="2" t="s">
        <v>356</v>
      </c>
      <c r="EF140" s="2" t="s">
        <v>356</v>
      </c>
      <c r="EG140" s="2" t="s">
        <v>356</v>
      </c>
      <c r="EH140" s="2" t="s">
        <v>356</v>
      </c>
      <c r="EI140" s="2" t="s">
        <v>356</v>
      </c>
      <c r="EJ140" s="2" t="s">
        <v>356</v>
      </c>
      <c r="EK140" s="2" t="s">
        <v>356</v>
      </c>
      <c r="EL140" s="2" t="s">
        <v>356</v>
      </c>
      <c r="EM140" s="2" t="s">
        <v>356</v>
      </c>
      <c r="EN140" s="2" t="s">
        <v>356</v>
      </c>
      <c r="EO140" s="2" t="s">
        <v>356</v>
      </c>
      <c r="EP140" s="2" t="s">
        <v>356</v>
      </c>
      <c r="EQ140" s="2" t="s">
        <v>356</v>
      </c>
      <c r="ER140" s="2" t="s">
        <v>356</v>
      </c>
      <c r="ES140" s="206">
        <f t="shared" si="581"/>
        <v>0</v>
      </c>
      <c r="ET140" s="206">
        <f t="shared" si="582"/>
        <v>0</v>
      </c>
      <c r="EU140" s="206">
        <f t="shared" si="583"/>
        <v>0</v>
      </c>
      <c r="EV140" s="206">
        <f t="shared" si="584"/>
        <v>0</v>
      </c>
      <c r="EW140" s="206">
        <f t="shared" si="585"/>
        <v>0</v>
      </c>
      <c r="EX140" s="206">
        <f t="shared" si="586"/>
        <v>0</v>
      </c>
      <c r="EY140" s="206">
        <f t="shared" si="587"/>
        <v>0</v>
      </c>
      <c r="EZ140" s="206">
        <f t="shared" si="588"/>
        <v>0</v>
      </c>
      <c r="FA140" s="2" t="e">
        <f t="shared" si="589"/>
        <v>#VALUE!</v>
      </c>
      <c r="FB140" s="2" t="e">
        <f t="shared" si="590"/>
        <v>#VALUE!</v>
      </c>
      <c r="FC140" s="2" t="e">
        <f t="shared" si="591"/>
        <v>#VALUE!</v>
      </c>
      <c r="FD140" s="2" t="e">
        <f t="shared" si="592"/>
        <v>#VALUE!</v>
      </c>
      <c r="FE140" s="2" t="e">
        <f t="shared" si="593"/>
        <v>#VALUE!</v>
      </c>
      <c r="FF140" s="2" t="e">
        <f t="shared" si="594"/>
        <v>#VALUE!</v>
      </c>
      <c r="FG140" s="2" t="e">
        <f t="shared" si="595"/>
        <v>#VALUE!</v>
      </c>
      <c r="FH140" s="2" t="e">
        <f t="shared" si="596"/>
        <v>#VALUE!</v>
      </c>
      <c r="FI140" s="2" t="e">
        <f t="shared" si="604"/>
        <v>#VALUE!</v>
      </c>
      <c r="FJ140" s="2" t="e">
        <f t="shared" si="605"/>
        <v>#VALUE!</v>
      </c>
      <c r="FK140" s="2" t="e">
        <f t="shared" si="606"/>
        <v>#VALUE!</v>
      </c>
      <c r="FL140" s="2" t="e">
        <f t="shared" si="607"/>
        <v>#VALUE!</v>
      </c>
      <c r="FM140" s="2" t="e">
        <f t="shared" si="608"/>
        <v>#VALUE!</v>
      </c>
      <c r="FN140" s="2" t="e">
        <f t="shared" si="609"/>
        <v>#VALUE!</v>
      </c>
      <c r="FO140" s="2" t="e">
        <f t="shared" si="610"/>
        <v>#VALUE!</v>
      </c>
      <c r="FP140" s="2" t="e">
        <f t="shared" si="611"/>
        <v>#VALUE!</v>
      </c>
    </row>
    <row r="141" spans="1:172" ht="15.6">
      <c r="A141" s="2" t="s">
        <v>1333</v>
      </c>
      <c r="B141" s="2" t="s">
        <v>255</v>
      </c>
      <c r="C141" s="2" t="s">
        <v>1064</v>
      </c>
      <c r="D141" s="2" t="s">
        <v>1334</v>
      </c>
      <c r="E141" s="2" t="s">
        <v>889</v>
      </c>
      <c r="F141" s="2" t="s">
        <v>356</v>
      </c>
      <c r="G141" s="2">
        <v>26</v>
      </c>
      <c r="H141" s="2">
        <v>23</v>
      </c>
      <c r="I141" s="2">
        <v>21.5</v>
      </c>
      <c r="J141" s="2">
        <f t="shared" si="562"/>
        <v>26.000000000220002</v>
      </c>
      <c r="K141" s="2">
        <f t="shared" si="563"/>
        <v>23.000000000269999</v>
      </c>
      <c r="L141" s="2">
        <f t="shared" si="564"/>
        <v>21.500000000220002</v>
      </c>
      <c r="M141" s="364" t="s">
        <v>356</v>
      </c>
      <c r="N141" s="364" t="s">
        <v>356</v>
      </c>
      <c r="O141" s="364" t="s">
        <v>356</v>
      </c>
      <c r="P141" s="364" t="s">
        <v>356</v>
      </c>
      <c r="Q141" s="364" t="s">
        <v>356</v>
      </c>
      <c r="R141" s="2" t="s">
        <v>1335</v>
      </c>
      <c r="S141" s="2" t="s">
        <v>1177</v>
      </c>
      <c r="T141" s="2">
        <v>32</v>
      </c>
      <c r="U141" s="2" cm="1">
        <f t="array" ref="U141">IFERROR(INDEX('Offer Statistics'!$BQ$2:$BQ$400,MATCH(1,(A141='Offer Statistics'!$BB$2:$BB$400)*($A$11='Offer Statistics'!$BC$2:$BC$400),0)),"/")</f>
        <v>28</v>
      </c>
      <c r="V141" s="2" cm="1">
        <f t="array" ref="V141">IFERROR(INDEX('Offer Statistics'!$BD$2:$BD$400,MATCH(1,(A141='Offer Statistics'!$BB$2:$BB$400)*($A$11='Offer Statistics'!$BC$2:$BC$400),0)),"/")</f>
        <v>114</v>
      </c>
      <c r="W141" s="2" cm="1">
        <f t="array" ref="W141">IFERROR(INDEX('Offer Statistics'!$BL$2:$BL$400,MATCH(1,(A141='Offer Statistics'!$BB$2:$BB$400)*($A$11='Offer Statistics'!$BC$2:$BC$400),0)),"/")</f>
        <v>26</v>
      </c>
      <c r="X141" s="2">
        <f t="shared" si="502"/>
        <v>4.384615384615385</v>
      </c>
      <c r="Y141" s="2" t="s">
        <v>1177</v>
      </c>
      <c r="Z141" s="364" t="str">
        <f>入學要求!AF150</f>
        <v>/</v>
      </c>
      <c r="AA141" s="364" t="str">
        <f>入學要求!AG150</f>
        <v>/</v>
      </c>
      <c r="AB141" s="368" t="s">
        <v>889</v>
      </c>
      <c r="AC141" s="368"/>
      <c r="AD141" s="368"/>
      <c r="AE141" s="368" t="s">
        <v>356</v>
      </c>
      <c r="AF141" s="368" t="s">
        <v>356</v>
      </c>
      <c r="AG141" s="368" t="s">
        <v>356</v>
      </c>
      <c r="AH141" s="368" t="s">
        <v>356</v>
      </c>
      <c r="AI141" s="368" t="s">
        <v>356</v>
      </c>
      <c r="AJ141" s="2" t="s">
        <v>356</v>
      </c>
      <c r="AK141" s="2" t="s">
        <v>356</v>
      </c>
      <c r="AL141" s="2" t="s">
        <v>356</v>
      </c>
      <c r="AM141" s="2" t="s">
        <v>356</v>
      </c>
      <c r="AN141" s="2" t="s">
        <v>356</v>
      </c>
      <c r="AO141" s="2" t="s">
        <v>356</v>
      </c>
      <c r="AP141" s="2" t="s">
        <v>356</v>
      </c>
      <c r="AQ141" s="2" t="s">
        <v>356</v>
      </c>
      <c r="AS141" s="2" t="s">
        <v>820</v>
      </c>
      <c r="AU141" s="2" t="s">
        <v>1336</v>
      </c>
      <c r="AY141" s="2">
        <v>1</v>
      </c>
      <c r="AZ141" s="2">
        <v>1</v>
      </c>
      <c r="BA141" s="2">
        <v>1</v>
      </c>
      <c r="BB141" s="2">
        <v>1</v>
      </c>
      <c r="BC141" s="2">
        <v>1</v>
      </c>
      <c r="BD141" s="2">
        <v>1</v>
      </c>
      <c r="BE141" s="2">
        <v>1</v>
      </c>
      <c r="BF141" s="2">
        <v>1</v>
      </c>
      <c r="BG141" s="2" t="s">
        <v>1333</v>
      </c>
      <c r="BH141">
        <v>5.5</v>
      </c>
      <c r="BI141">
        <v>4</v>
      </c>
      <c r="BJ141">
        <v>4</v>
      </c>
      <c r="BK141">
        <v>4</v>
      </c>
      <c r="BL141" t="s">
        <v>356</v>
      </c>
      <c r="BM141">
        <v>4</v>
      </c>
      <c r="BN141">
        <v>4</v>
      </c>
      <c r="BO141" t="s">
        <v>356</v>
      </c>
      <c r="BP141" s="206">
        <f t="shared" si="565"/>
        <v>5.50000000004</v>
      </c>
      <c r="BQ141" s="206">
        <f t="shared" si="566"/>
        <v>4.00000000002</v>
      </c>
      <c r="BR141" s="206">
        <f t="shared" si="567"/>
        <v>4.00000000003</v>
      </c>
      <c r="BS141" s="206">
        <f t="shared" si="568"/>
        <v>4.00000000001</v>
      </c>
      <c r="BT141" s="206">
        <f t="shared" si="569"/>
        <v>0</v>
      </c>
      <c r="BU141" s="206">
        <f t="shared" si="570"/>
        <v>4.00000000006</v>
      </c>
      <c r="BV141" s="206">
        <f t="shared" si="571"/>
        <v>4.00000000007</v>
      </c>
      <c r="BW141" s="206">
        <f t="shared" si="572"/>
        <v>0</v>
      </c>
      <c r="BX141" s="2">
        <f t="shared" si="509"/>
        <v>5.50000000004</v>
      </c>
      <c r="BY141" s="2">
        <f t="shared" si="510"/>
        <v>4.00000000002</v>
      </c>
      <c r="BZ141" s="2">
        <f t="shared" si="511"/>
        <v>4.00000000003</v>
      </c>
      <c r="CA141" s="2">
        <f t="shared" si="512"/>
        <v>4.00000000001</v>
      </c>
      <c r="CB141" s="2">
        <f t="shared" si="513"/>
        <v>0</v>
      </c>
      <c r="CC141" s="2">
        <f t="shared" si="514"/>
        <v>4.00000000006</v>
      </c>
      <c r="CD141" s="2">
        <f t="shared" si="515"/>
        <v>4.00000000007</v>
      </c>
      <c r="CE141" s="2">
        <f t="shared" si="516"/>
        <v>0</v>
      </c>
      <c r="CF141" s="2" t="b">
        <f t="shared" ref="CF141:CI145" si="612">IF($E141="4C2X",TRUE,IF($E141="Best 5",IF(BX141&gt;LARGE($BX141:$CE141,6),TRUE),IF($E141="Best 6",IF(BX141&gt;LARGE($BX141:$CE141,7),TRUE))))</f>
        <v>1</v>
      </c>
      <c r="CG141" s="2" t="b">
        <f t="shared" si="612"/>
        <v>1</v>
      </c>
      <c r="CH141" s="2" t="b">
        <f t="shared" si="612"/>
        <v>1</v>
      </c>
      <c r="CI141" s="2" t="b">
        <f t="shared" si="612"/>
        <v>0</v>
      </c>
      <c r="CJ141" s="2" t="b">
        <f t="shared" ref="CJ141:CM145" si="613">IF($E141="4C2X",IF(CB141&gt;LARGE($CB141:$CE141,3),TRUE),IF($E141="Best 5",IF(CB141&gt;LARGE($BX141:$CE141,6),TRUE),IF($E141="Best 6",IF(CB141&gt;LARGE($BX141:$CE141,7),TRUE))))</f>
        <v>0</v>
      </c>
      <c r="CK141" s="2" t="b">
        <f t="shared" si="613"/>
        <v>1</v>
      </c>
      <c r="CL141" s="2" t="b">
        <f t="shared" si="613"/>
        <v>1</v>
      </c>
      <c r="CM141" s="2" t="b">
        <f t="shared" si="613"/>
        <v>0</v>
      </c>
      <c r="CN141" s="2">
        <v>1</v>
      </c>
      <c r="CO141" s="2">
        <v>1</v>
      </c>
      <c r="CP141" s="2">
        <v>1</v>
      </c>
      <c r="CQ141" s="2">
        <v>1</v>
      </c>
      <c r="CR141" s="2">
        <v>1</v>
      </c>
      <c r="CS141" s="2">
        <v>1</v>
      </c>
      <c r="CT141" s="2">
        <v>1</v>
      </c>
      <c r="CU141" s="2">
        <v>1</v>
      </c>
      <c r="CW141" s="2">
        <v>4</v>
      </c>
      <c r="CX141" s="2">
        <v>5.5</v>
      </c>
      <c r="CY141" s="2">
        <v>4</v>
      </c>
      <c r="CZ141" s="2">
        <v>4</v>
      </c>
      <c r="DA141" s="2" t="s">
        <v>356</v>
      </c>
      <c r="DB141" s="2">
        <v>5.5</v>
      </c>
      <c r="DC141" s="2">
        <v>4</v>
      </c>
      <c r="DD141" s="2">
        <v>4</v>
      </c>
      <c r="DE141" s="206">
        <f t="shared" si="573"/>
        <v>4.00000000004</v>
      </c>
      <c r="DF141" s="206">
        <f t="shared" si="574"/>
        <v>5.50000000002</v>
      </c>
      <c r="DG141" s="206">
        <f t="shared" si="575"/>
        <v>4.00000000003</v>
      </c>
      <c r="DH141" s="206">
        <f t="shared" si="576"/>
        <v>4.00000000001</v>
      </c>
      <c r="DI141" s="206">
        <f t="shared" si="577"/>
        <v>0</v>
      </c>
      <c r="DJ141" s="206">
        <f t="shared" si="578"/>
        <v>5.50000000006</v>
      </c>
      <c r="DK141" s="206">
        <f t="shared" si="579"/>
        <v>4.00000000007</v>
      </c>
      <c r="DL141" s="206">
        <f t="shared" si="580"/>
        <v>4.00000000008</v>
      </c>
      <c r="DM141" s="2">
        <f t="shared" si="531"/>
        <v>4.00000000004</v>
      </c>
      <c r="DN141" s="2">
        <f t="shared" si="532"/>
        <v>5.50000000002</v>
      </c>
      <c r="DO141" s="2">
        <f t="shared" si="533"/>
        <v>4.00000000003</v>
      </c>
      <c r="DP141" s="2">
        <f t="shared" si="534"/>
        <v>4.00000000001</v>
      </c>
      <c r="DQ141" s="2">
        <f t="shared" si="535"/>
        <v>0</v>
      </c>
      <c r="DR141" s="2">
        <f t="shared" si="536"/>
        <v>5.50000000006</v>
      </c>
      <c r="DS141" s="2">
        <f t="shared" si="537"/>
        <v>4.00000000007</v>
      </c>
      <c r="DT141" s="2">
        <f t="shared" si="538"/>
        <v>4.00000000008</v>
      </c>
      <c r="DU141" s="2" t="b">
        <f t="shared" ref="DU141:DU167" si="614">IF($E141="4C2X",TRUE,IF($E141="Best 5",IF(DM141&gt;LARGE($DM141:$DT141,6),TRUE),IF($E141="Best 6",IF(DM141&gt;LARGE($DM141:$DT141,7),TRUE))))</f>
        <v>1</v>
      </c>
      <c r="DV141" s="2" t="b">
        <f t="shared" ref="DV141:DV167" si="615">IF($E141="4C2X",TRUE,IF($E141="Best 5",IF(DN141&gt;LARGE($DM141:$DT141,6),TRUE),IF($E141="Best 6",IF(DN141&gt;LARGE($DM141:$DT141,7),TRUE))))</f>
        <v>1</v>
      </c>
      <c r="DW141" s="2" t="b">
        <f t="shared" ref="DW141:DW167" si="616">IF($E141="4C2X",TRUE,IF($E141="Best 5",IF(DO141&gt;LARGE($DM141:$DT141,6),TRUE),IF($E141="Best 6",IF(DO141&gt;LARGE($DM141:$DT141,7),TRUE))))</f>
        <v>0</v>
      </c>
      <c r="DX141" s="2" t="b">
        <f t="shared" ref="DX141:DX167" si="617">IF($E141="4C2X",TRUE,IF($E141="Best 5",IF(DP141&gt;LARGE($DM141:$DT141,6),TRUE),IF($E141="Best 6",IF(DP141&gt;LARGE($DM141:$DT141,7),TRUE))))</f>
        <v>0</v>
      </c>
      <c r="DY141" s="2" t="b">
        <f t="shared" si="600"/>
        <v>0</v>
      </c>
      <c r="DZ141" s="2" t="b">
        <f t="shared" si="601"/>
        <v>1</v>
      </c>
      <c r="EA141" s="2" t="b">
        <f t="shared" si="602"/>
        <v>1</v>
      </c>
      <c r="EB141" s="2" t="b">
        <f t="shared" si="603"/>
        <v>1</v>
      </c>
      <c r="EC141" s="2">
        <v>1</v>
      </c>
      <c r="ED141" s="2">
        <v>1</v>
      </c>
      <c r="EE141" s="2">
        <v>1</v>
      </c>
      <c r="EF141" s="2">
        <v>1</v>
      </c>
      <c r="EG141" s="2">
        <v>1</v>
      </c>
      <c r="EH141" s="2">
        <v>1</v>
      </c>
      <c r="EI141" s="2">
        <v>1</v>
      </c>
      <c r="EJ141" s="2">
        <v>1</v>
      </c>
      <c r="EK141" s="2">
        <v>4</v>
      </c>
      <c r="EL141" s="2">
        <v>5.5</v>
      </c>
      <c r="EM141" s="2">
        <v>5.5</v>
      </c>
      <c r="EN141" s="2">
        <v>4</v>
      </c>
      <c r="EO141" s="2" t="s">
        <v>356</v>
      </c>
      <c r="EP141" s="2">
        <v>5.5</v>
      </c>
      <c r="EQ141" s="2">
        <v>5.5</v>
      </c>
      <c r="ER141" s="2">
        <v>3</v>
      </c>
      <c r="ES141" s="206">
        <f t="shared" si="581"/>
        <v>4.00000000004</v>
      </c>
      <c r="ET141" s="206">
        <f t="shared" si="582"/>
        <v>5.50000000002</v>
      </c>
      <c r="EU141" s="206">
        <f t="shared" si="583"/>
        <v>5.50000000003</v>
      </c>
      <c r="EV141" s="206">
        <f t="shared" si="584"/>
        <v>4.00000000001</v>
      </c>
      <c r="EW141" s="206">
        <f t="shared" si="585"/>
        <v>0</v>
      </c>
      <c r="EX141" s="206">
        <f t="shared" si="586"/>
        <v>5.50000000006</v>
      </c>
      <c r="EY141" s="206">
        <f t="shared" si="587"/>
        <v>5.50000000007</v>
      </c>
      <c r="EZ141" s="206">
        <f t="shared" si="588"/>
        <v>3.00000000008</v>
      </c>
      <c r="FA141" s="2">
        <f t="shared" si="589"/>
        <v>4.00000000004</v>
      </c>
      <c r="FB141" s="2">
        <f t="shared" si="590"/>
        <v>5.50000000002</v>
      </c>
      <c r="FC141" s="2">
        <f t="shared" si="591"/>
        <v>5.50000000003</v>
      </c>
      <c r="FD141" s="2">
        <f t="shared" si="592"/>
        <v>4.00000000001</v>
      </c>
      <c r="FE141" s="2">
        <f t="shared" si="593"/>
        <v>0</v>
      </c>
      <c r="FF141" s="2">
        <f t="shared" si="594"/>
        <v>5.50000000006</v>
      </c>
      <c r="FG141" s="2">
        <f t="shared" si="595"/>
        <v>5.50000000007</v>
      </c>
      <c r="FH141" s="2">
        <f t="shared" si="596"/>
        <v>3.00000000008</v>
      </c>
      <c r="FI141" s="2" t="b">
        <f t="shared" si="604"/>
        <v>1</v>
      </c>
      <c r="FJ141" s="2" t="b">
        <f t="shared" si="605"/>
        <v>1</v>
      </c>
      <c r="FK141" s="2" t="b">
        <f t="shared" si="606"/>
        <v>1</v>
      </c>
      <c r="FL141" s="2" t="b">
        <f t="shared" si="607"/>
        <v>0</v>
      </c>
      <c r="FM141" s="2" t="b">
        <f t="shared" si="608"/>
        <v>0</v>
      </c>
      <c r="FN141" s="2" t="b">
        <f t="shared" si="609"/>
        <v>1</v>
      </c>
      <c r="FO141" s="2" t="b">
        <f t="shared" si="610"/>
        <v>1</v>
      </c>
      <c r="FP141" s="2" t="b">
        <f t="shared" si="611"/>
        <v>0</v>
      </c>
    </row>
    <row r="142" spans="1:172" ht="15.6">
      <c r="A142" s="2" t="s">
        <v>1337</v>
      </c>
      <c r="B142" s="2" t="s">
        <v>255</v>
      </c>
      <c r="C142" s="2" t="s">
        <v>1064</v>
      </c>
      <c r="D142" s="2" t="s">
        <v>1338</v>
      </c>
      <c r="E142" s="2" t="s">
        <v>889</v>
      </c>
      <c r="F142" s="2" t="s">
        <v>356</v>
      </c>
      <c r="G142" s="2">
        <v>24</v>
      </c>
      <c r="H142" s="2">
        <v>22.75</v>
      </c>
      <c r="I142" s="2">
        <v>21.25</v>
      </c>
      <c r="J142" s="2">
        <f t="shared" si="562"/>
        <v>24.000000000224997</v>
      </c>
      <c r="K142" s="2">
        <f t="shared" si="563"/>
        <v>22.750000000224997</v>
      </c>
      <c r="L142" s="2">
        <f t="shared" si="564"/>
        <v>21.250000000165002</v>
      </c>
      <c r="M142" s="364" t="s">
        <v>356</v>
      </c>
      <c r="N142" s="364" t="s">
        <v>356</v>
      </c>
      <c r="O142" s="364" t="s">
        <v>1340</v>
      </c>
      <c r="P142" s="364" t="s">
        <v>356</v>
      </c>
      <c r="Q142" s="364" t="s">
        <v>356</v>
      </c>
      <c r="R142" s="2" t="s">
        <v>1339</v>
      </c>
      <c r="S142" s="2" t="s">
        <v>1177</v>
      </c>
      <c r="T142" s="2">
        <v>10</v>
      </c>
      <c r="U142" s="2" cm="1">
        <f t="array" ref="U142">IFERROR(INDEX('Offer Statistics'!$BQ$2:$BQ$400,MATCH(1,(A142='Offer Statistics'!$BB$2:$BB$400)*($A$11='Offer Statistics'!$BC$2:$BC$400),0)),"/")</f>
        <v>13</v>
      </c>
      <c r="V142" s="2" cm="1">
        <f t="array" ref="V142">IFERROR(INDEX('Offer Statistics'!$BD$2:$BD$400,MATCH(1,(A142='Offer Statistics'!$BB$2:$BB$400)*($A$11='Offer Statistics'!$BC$2:$BC$400),0)),"/")</f>
        <v>153</v>
      </c>
      <c r="W142" s="2" cm="1">
        <f t="array" ref="W142">IFERROR(INDEX('Offer Statistics'!$BL$2:$BL$400,MATCH(1,(A142='Offer Statistics'!$BB$2:$BB$400)*($A$11='Offer Statistics'!$BC$2:$BC$400),0)),"/")</f>
        <v>13</v>
      </c>
      <c r="X142" s="2">
        <f t="shared" si="502"/>
        <v>11.76923076923077</v>
      </c>
      <c r="Y142" s="2" t="s">
        <v>1177</v>
      </c>
      <c r="Z142" s="364" t="str">
        <f>入學要求!AF151</f>
        <v>/</v>
      </c>
      <c r="AA142" s="364" t="str">
        <f>入學要求!AG151</f>
        <v>/</v>
      </c>
      <c r="AB142" s="401" t="s">
        <v>889</v>
      </c>
      <c r="AC142" s="368"/>
      <c r="AD142" s="368"/>
      <c r="AE142" s="368" t="s">
        <v>356</v>
      </c>
      <c r="AF142" s="368" t="s">
        <v>356</v>
      </c>
      <c r="AG142" s="368" t="s">
        <v>1340</v>
      </c>
      <c r="AH142" s="368" t="s">
        <v>356</v>
      </c>
      <c r="AI142" s="368" t="s">
        <v>356</v>
      </c>
      <c r="AJ142" s="2" t="s">
        <v>356</v>
      </c>
      <c r="AK142" s="2" t="s">
        <v>356</v>
      </c>
      <c r="AL142" s="2" t="s">
        <v>356</v>
      </c>
      <c r="AM142" s="2" t="s">
        <v>356</v>
      </c>
      <c r="AN142" s="2" t="s">
        <v>356</v>
      </c>
      <c r="AO142" s="2" t="s">
        <v>356</v>
      </c>
      <c r="AP142" s="2" t="s">
        <v>356</v>
      </c>
      <c r="AQ142" s="2" t="s">
        <v>356</v>
      </c>
      <c r="AS142" s="2" t="s">
        <v>820</v>
      </c>
      <c r="AU142" s="2" t="s">
        <v>817</v>
      </c>
      <c r="AY142" s="2">
        <v>1</v>
      </c>
      <c r="AZ142" s="2">
        <v>1.25</v>
      </c>
      <c r="BA142" s="2">
        <v>1</v>
      </c>
      <c r="BB142" s="2">
        <v>1</v>
      </c>
      <c r="BC142" s="2">
        <v>1</v>
      </c>
      <c r="BD142" s="2">
        <v>1</v>
      </c>
      <c r="BE142" s="2">
        <v>1</v>
      </c>
      <c r="BF142" s="2">
        <v>1</v>
      </c>
      <c r="BG142" s="2" t="s">
        <v>1337</v>
      </c>
      <c r="BH142">
        <v>5.5</v>
      </c>
      <c r="BI142">
        <v>3</v>
      </c>
      <c r="BJ142">
        <v>4</v>
      </c>
      <c r="BK142">
        <v>4</v>
      </c>
      <c r="BL142">
        <v>2</v>
      </c>
      <c r="BM142">
        <v>4</v>
      </c>
      <c r="BN142">
        <v>3</v>
      </c>
      <c r="BO142" t="s">
        <v>356</v>
      </c>
      <c r="BP142" s="206">
        <f t="shared" si="565"/>
        <v>5.50000000004</v>
      </c>
      <c r="BQ142" s="206">
        <f t="shared" si="566"/>
        <v>3.00000000002</v>
      </c>
      <c r="BR142" s="206">
        <f t="shared" si="567"/>
        <v>4.00000000003</v>
      </c>
      <c r="BS142" s="206">
        <f t="shared" si="568"/>
        <v>4.00000000001</v>
      </c>
      <c r="BT142" s="206">
        <f t="shared" si="569"/>
        <v>2.00000000005</v>
      </c>
      <c r="BU142" s="206">
        <f t="shared" si="570"/>
        <v>4.00000000006</v>
      </c>
      <c r="BV142" s="206">
        <f t="shared" si="571"/>
        <v>3.00000000007</v>
      </c>
      <c r="BW142" s="206">
        <f t="shared" si="572"/>
        <v>0</v>
      </c>
      <c r="BX142" s="2">
        <f t="shared" si="509"/>
        <v>5.50000000004</v>
      </c>
      <c r="BY142" s="2">
        <f t="shared" si="510"/>
        <v>3.750000000025</v>
      </c>
      <c r="BZ142" s="2">
        <f t="shared" si="511"/>
        <v>4.00000000003</v>
      </c>
      <c r="CA142" s="2">
        <f t="shared" si="512"/>
        <v>4.00000000001</v>
      </c>
      <c r="CB142" s="2">
        <f t="shared" si="513"/>
        <v>2.00000000005</v>
      </c>
      <c r="CC142" s="2">
        <f t="shared" si="514"/>
        <v>4.00000000006</v>
      </c>
      <c r="CD142" s="2">
        <f t="shared" si="515"/>
        <v>3.00000000007</v>
      </c>
      <c r="CE142" s="2">
        <f t="shared" si="516"/>
        <v>0</v>
      </c>
      <c r="CF142" s="2" t="b">
        <f t="shared" si="612"/>
        <v>1</v>
      </c>
      <c r="CG142" s="2" t="b">
        <f t="shared" si="612"/>
        <v>1</v>
      </c>
      <c r="CH142" s="2" t="b">
        <f t="shared" si="612"/>
        <v>1</v>
      </c>
      <c r="CI142" s="2" t="b">
        <f t="shared" si="612"/>
        <v>1</v>
      </c>
      <c r="CJ142" s="2" t="b">
        <f t="shared" si="613"/>
        <v>0</v>
      </c>
      <c r="CK142" s="2" t="b">
        <f t="shared" si="613"/>
        <v>1</v>
      </c>
      <c r="CL142" s="2" t="b">
        <f t="shared" si="613"/>
        <v>0</v>
      </c>
      <c r="CM142" s="2" t="b">
        <f t="shared" si="613"/>
        <v>0</v>
      </c>
      <c r="CN142" s="2">
        <v>1</v>
      </c>
      <c r="CO142" s="2">
        <v>1.25</v>
      </c>
      <c r="CP142" s="2">
        <v>1</v>
      </c>
      <c r="CQ142" s="2">
        <v>1</v>
      </c>
      <c r="CR142" s="2">
        <v>1</v>
      </c>
      <c r="CS142" s="2">
        <v>1</v>
      </c>
      <c r="CT142" s="2">
        <v>1</v>
      </c>
      <c r="CU142" s="2">
        <v>1</v>
      </c>
      <c r="CW142" s="2">
        <v>7</v>
      </c>
      <c r="CX142" s="2">
        <v>3</v>
      </c>
      <c r="CY142" s="2">
        <v>4</v>
      </c>
      <c r="CZ142" s="2">
        <v>3</v>
      </c>
      <c r="DA142" s="2" t="s">
        <v>356</v>
      </c>
      <c r="DB142" s="2">
        <v>4</v>
      </c>
      <c r="DC142" s="2">
        <v>4</v>
      </c>
      <c r="DD142" s="2">
        <v>3</v>
      </c>
      <c r="DE142" s="206">
        <f t="shared" si="573"/>
        <v>7.00000000004</v>
      </c>
      <c r="DF142" s="206">
        <f t="shared" si="574"/>
        <v>3.00000000002</v>
      </c>
      <c r="DG142" s="206">
        <f t="shared" si="575"/>
        <v>4.00000000003</v>
      </c>
      <c r="DH142" s="206">
        <f t="shared" si="576"/>
        <v>3.00000000001</v>
      </c>
      <c r="DI142" s="206">
        <f t="shared" si="577"/>
        <v>0</v>
      </c>
      <c r="DJ142" s="206">
        <f t="shared" si="578"/>
        <v>4.00000000006</v>
      </c>
      <c r="DK142" s="206">
        <f t="shared" si="579"/>
        <v>4.00000000007</v>
      </c>
      <c r="DL142" s="206">
        <f t="shared" si="580"/>
        <v>3.00000000008</v>
      </c>
      <c r="DM142" s="2">
        <f t="shared" si="531"/>
        <v>7.00000000004</v>
      </c>
      <c r="DN142" s="2">
        <f t="shared" si="532"/>
        <v>3.750000000025</v>
      </c>
      <c r="DO142" s="2">
        <f t="shared" si="533"/>
        <v>4.00000000003</v>
      </c>
      <c r="DP142" s="2">
        <f t="shared" si="534"/>
        <v>3.00000000001</v>
      </c>
      <c r="DQ142" s="2">
        <f t="shared" si="535"/>
        <v>0</v>
      </c>
      <c r="DR142" s="2">
        <f t="shared" si="536"/>
        <v>4.00000000006</v>
      </c>
      <c r="DS142" s="2">
        <f t="shared" si="537"/>
        <v>4.00000000007</v>
      </c>
      <c r="DT142" s="2">
        <f t="shared" si="538"/>
        <v>3.00000000008</v>
      </c>
      <c r="DU142" s="2" t="b">
        <f t="shared" si="614"/>
        <v>1</v>
      </c>
      <c r="DV142" s="2" t="b">
        <f t="shared" si="615"/>
        <v>1</v>
      </c>
      <c r="DW142" s="2" t="b">
        <f t="shared" si="616"/>
        <v>1</v>
      </c>
      <c r="DX142" s="2" t="b">
        <f t="shared" si="617"/>
        <v>0</v>
      </c>
      <c r="DY142" s="2" t="b">
        <f t="shared" si="600"/>
        <v>0</v>
      </c>
      <c r="DZ142" s="2" t="b">
        <f t="shared" si="601"/>
        <v>1</v>
      </c>
      <c r="EA142" s="2" t="b">
        <f t="shared" si="602"/>
        <v>1</v>
      </c>
      <c r="EB142" s="2" t="b">
        <f t="shared" si="603"/>
        <v>0</v>
      </c>
      <c r="EC142" s="2">
        <v>1</v>
      </c>
      <c r="ED142" s="2">
        <v>1.25</v>
      </c>
      <c r="EE142" s="2">
        <v>1</v>
      </c>
      <c r="EF142" s="2">
        <v>1</v>
      </c>
      <c r="EG142" s="2">
        <v>1</v>
      </c>
      <c r="EH142" s="2">
        <v>1</v>
      </c>
      <c r="EI142" s="2">
        <v>1</v>
      </c>
      <c r="EJ142" s="2">
        <v>1</v>
      </c>
      <c r="EK142" s="2">
        <v>4</v>
      </c>
      <c r="EL142" s="2">
        <v>4</v>
      </c>
      <c r="EM142" s="2">
        <v>5.5</v>
      </c>
      <c r="EN142" s="2">
        <v>4</v>
      </c>
      <c r="EO142" s="2" t="s">
        <v>356</v>
      </c>
      <c r="EP142" s="2">
        <v>5.5</v>
      </c>
      <c r="EQ142" s="2">
        <v>4</v>
      </c>
      <c r="ER142" s="2" t="s">
        <v>356</v>
      </c>
      <c r="ES142" s="206">
        <f t="shared" si="581"/>
        <v>4.00000000004</v>
      </c>
      <c r="ET142" s="206">
        <f t="shared" si="582"/>
        <v>4.00000000002</v>
      </c>
      <c r="EU142" s="206">
        <f t="shared" si="583"/>
        <v>5.50000000003</v>
      </c>
      <c r="EV142" s="206">
        <f t="shared" si="584"/>
        <v>4.00000000001</v>
      </c>
      <c r="EW142" s="206">
        <f t="shared" si="585"/>
        <v>0</v>
      </c>
      <c r="EX142" s="206">
        <f t="shared" si="586"/>
        <v>5.50000000006</v>
      </c>
      <c r="EY142" s="206">
        <f t="shared" si="587"/>
        <v>4.00000000007</v>
      </c>
      <c r="EZ142" s="206">
        <f t="shared" si="588"/>
        <v>0</v>
      </c>
      <c r="FA142" s="2">
        <f t="shared" si="589"/>
        <v>4.00000000004</v>
      </c>
      <c r="FB142" s="2">
        <f t="shared" si="590"/>
        <v>5.0000000000250004</v>
      </c>
      <c r="FC142" s="2">
        <f t="shared" si="591"/>
        <v>5.50000000003</v>
      </c>
      <c r="FD142" s="2">
        <f t="shared" si="592"/>
        <v>4.00000000001</v>
      </c>
      <c r="FE142" s="2">
        <f t="shared" si="593"/>
        <v>0</v>
      </c>
      <c r="FF142" s="2">
        <f t="shared" si="594"/>
        <v>5.50000000006</v>
      </c>
      <c r="FG142" s="2">
        <f t="shared" si="595"/>
        <v>4.00000000007</v>
      </c>
      <c r="FH142" s="2">
        <f t="shared" si="596"/>
        <v>0</v>
      </c>
      <c r="FI142" s="2" t="b">
        <f t="shared" si="604"/>
        <v>1</v>
      </c>
      <c r="FJ142" s="2" t="b">
        <f t="shared" si="605"/>
        <v>1</v>
      </c>
      <c r="FK142" s="2" t="b">
        <f t="shared" si="606"/>
        <v>1</v>
      </c>
      <c r="FL142" s="2" t="b">
        <f t="shared" si="607"/>
        <v>0</v>
      </c>
      <c r="FM142" s="2" t="b">
        <f t="shared" si="608"/>
        <v>0</v>
      </c>
      <c r="FN142" s="2" t="b">
        <f t="shared" si="609"/>
        <v>1</v>
      </c>
      <c r="FO142" s="2" t="b">
        <f t="shared" si="610"/>
        <v>1</v>
      </c>
      <c r="FP142" s="2" t="b">
        <f t="shared" si="611"/>
        <v>0</v>
      </c>
    </row>
    <row r="143" spans="1:172" ht="15.6">
      <c r="A143" s="2" t="s">
        <v>1341</v>
      </c>
      <c r="B143" s="2" t="s">
        <v>255</v>
      </c>
      <c r="C143" s="2" t="s">
        <v>813</v>
      </c>
      <c r="D143" s="2" t="s">
        <v>1342</v>
      </c>
      <c r="E143" s="2" t="s">
        <v>889</v>
      </c>
      <c r="F143" s="2" t="s">
        <v>356</v>
      </c>
      <c r="G143" s="2">
        <v>27.5</v>
      </c>
      <c r="H143" s="2">
        <v>26</v>
      </c>
      <c r="I143" s="2">
        <v>24.5</v>
      </c>
      <c r="J143" s="2">
        <f t="shared" si="562"/>
        <v>27.500000000209997</v>
      </c>
      <c r="K143" s="2">
        <f t="shared" si="563"/>
        <v>26.000000000189999</v>
      </c>
      <c r="L143" s="2">
        <f t="shared" si="564"/>
        <v>24.500000000220002</v>
      </c>
      <c r="M143" s="364" t="s">
        <v>356</v>
      </c>
      <c r="N143" s="364" t="s">
        <v>356</v>
      </c>
      <c r="O143" s="364" t="s">
        <v>356</v>
      </c>
      <c r="P143" s="364" t="s">
        <v>356</v>
      </c>
      <c r="Q143" s="364" t="s">
        <v>356</v>
      </c>
      <c r="R143" s="2" t="s">
        <v>1343</v>
      </c>
      <c r="S143" s="2" t="s">
        <v>1177</v>
      </c>
      <c r="T143" s="2">
        <v>222</v>
      </c>
      <c r="U143" s="2" cm="1">
        <f t="array" ref="U143">IFERROR(INDEX('Offer Statistics'!$BQ$2:$BQ$400,MATCH(1,(A143='Offer Statistics'!$BB$2:$BB$400)*($A$11='Offer Statistics'!$BC$2:$BC$400),0)),"/")</f>
        <v>226</v>
      </c>
      <c r="V143" s="2" cm="1">
        <f t="array" ref="V143">IFERROR(INDEX('Offer Statistics'!$BD$2:$BD$400,MATCH(1,(A143='Offer Statistics'!$BB$2:$BB$400)*($A$11='Offer Statistics'!$BC$2:$BC$400),0)),"/")</f>
        <v>1535</v>
      </c>
      <c r="W143" s="2" cm="1">
        <f t="array" ref="W143">IFERROR(INDEX('Offer Statistics'!$BL$2:$BL$400,MATCH(1,(A143='Offer Statistics'!$BB$2:$BB$400)*($A$11='Offer Statistics'!$BC$2:$BC$400),0)),"/")</f>
        <v>226</v>
      </c>
      <c r="X143" s="2">
        <f t="shared" si="502"/>
        <v>6.7920353982300883</v>
      </c>
      <c r="Y143" s="2" t="s">
        <v>1177</v>
      </c>
      <c r="Z143" s="364" t="str">
        <f>入學要求!AF152</f>
        <v>/</v>
      </c>
      <c r="AA143" s="364" t="str">
        <f>入學要求!AG152</f>
        <v>/</v>
      </c>
      <c r="AB143" s="368" t="s">
        <v>889</v>
      </c>
      <c r="AC143" s="51"/>
      <c r="AD143" s="51"/>
      <c r="AE143" s="368" t="s">
        <v>356</v>
      </c>
      <c r="AF143" s="368" t="s">
        <v>356</v>
      </c>
      <c r="AG143" s="368" t="s">
        <v>356</v>
      </c>
      <c r="AH143" s="368" t="s">
        <v>356</v>
      </c>
      <c r="AI143" s="368" t="s">
        <v>356</v>
      </c>
      <c r="AJ143" s="2" t="s">
        <v>356</v>
      </c>
      <c r="AK143" s="2" t="s">
        <v>356</v>
      </c>
      <c r="AL143" s="2" t="s">
        <v>356</v>
      </c>
      <c r="AM143" s="2" t="s">
        <v>356</v>
      </c>
      <c r="AN143" s="2" t="s">
        <v>356</v>
      </c>
      <c r="AO143" s="2" t="s">
        <v>356</v>
      </c>
      <c r="AP143" s="2" t="s">
        <v>356</v>
      </c>
      <c r="AQ143" s="2" t="s">
        <v>356</v>
      </c>
      <c r="AS143" s="2" t="s">
        <v>820</v>
      </c>
      <c r="AU143" s="2" t="s">
        <v>1336</v>
      </c>
      <c r="AY143" s="2">
        <v>1</v>
      </c>
      <c r="AZ143" s="2">
        <v>1</v>
      </c>
      <c r="BA143" s="2">
        <v>1</v>
      </c>
      <c r="BB143" s="2">
        <v>1</v>
      </c>
      <c r="BC143" s="2">
        <v>1</v>
      </c>
      <c r="BD143" s="2">
        <v>1</v>
      </c>
      <c r="BE143" s="2">
        <v>1</v>
      </c>
      <c r="BF143" s="2">
        <v>1</v>
      </c>
      <c r="BG143" s="2" t="s">
        <v>1341</v>
      </c>
      <c r="BH143">
        <v>8.5</v>
      </c>
      <c r="BI143">
        <v>4</v>
      </c>
      <c r="BJ143">
        <v>4</v>
      </c>
      <c r="BK143">
        <v>4</v>
      </c>
      <c r="BL143">
        <v>3</v>
      </c>
      <c r="BM143">
        <v>4</v>
      </c>
      <c r="BN143">
        <v>4</v>
      </c>
      <c r="BO143">
        <v>3</v>
      </c>
      <c r="BP143" s="206">
        <f t="shared" si="565"/>
        <v>8.50000000004</v>
      </c>
      <c r="BQ143" s="206">
        <f t="shared" si="566"/>
        <v>4.00000000002</v>
      </c>
      <c r="BR143" s="206">
        <f t="shared" si="567"/>
        <v>4.00000000003</v>
      </c>
      <c r="BS143" s="206">
        <f t="shared" si="568"/>
        <v>4.00000000001</v>
      </c>
      <c r="BT143" s="206">
        <f t="shared" si="569"/>
        <v>3.00000000005</v>
      </c>
      <c r="BU143" s="206">
        <f t="shared" si="570"/>
        <v>4.00000000006</v>
      </c>
      <c r="BV143" s="206">
        <f t="shared" si="571"/>
        <v>4.00000000007</v>
      </c>
      <c r="BW143" s="206">
        <f t="shared" si="572"/>
        <v>3.00000000008</v>
      </c>
      <c r="BX143" s="2">
        <f t="shared" si="509"/>
        <v>8.50000000004</v>
      </c>
      <c r="BY143" s="2">
        <f t="shared" si="510"/>
        <v>4.00000000002</v>
      </c>
      <c r="BZ143" s="2">
        <f t="shared" si="511"/>
        <v>4.00000000003</v>
      </c>
      <c r="CA143" s="2">
        <f t="shared" si="512"/>
        <v>4.00000000001</v>
      </c>
      <c r="CB143" s="2">
        <f t="shared" si="513"/>
        <v>3.00000000005</v>
      </c>
      <c r="CC143" s="2">
        <f t="shared" si="514"/>
        <v>4.00000000006</v>
      </c>
      <c r="CD143" s="2">
        <f t="shared" si="515"/>
        <v>4.00000000007</v>
      </c>
      <c r="CE143" s="2">
        <f t="shared" si="516"/>
        <v>3.00000000008</v>
      </c>
      <c r="CF143" s="2" t="b">
        <f t="shared" si="612"/>
        <v>1</v>
      </c>
      <c r="CG143" s="2" t="b">
        <f t="shared" si="612"/>
        <v>1</v>
      </c>
      <c r="CH143" s="2" t="b">
        <f t="shared" si="612"/>
        <v>1</v>
      </c>
      <c r="CI143" s="2" t="b">
        <f t="shared" si="612"/>
        <v>0</v>
      </c>
      <c r="CJ143" s="2" t="b">
        <f t="shared" si="613"/>
        <v>0</v>
      </c>
      <c r="CK143" s="2" t="b">
        <f t="shared" si="613"/>
        <v>1</v>
      </c>
      <c r="CL143" s="2" t="b">
        <f t="shared" si="613"/>
        <v>1</v>
      </c>
      <c r="CM143" s="2" t="b">
        <f t="shared" si="613"/>
        <v>0</v>
      </c>
      <c r="CN143" s="2">
        <v>1</v>
      </c>
      <c r="CO143" s="2">
        <v>1</v>
      </c>
      <c r="CP143" s="2">
        <v>1</v>
      </c>
      <c r="CQ143" s="2">
        <v>1</v>
      </c>
      <c r="CR143" s="2">
        <v>1</v>
      </c>
      <c r="CS143" s="2">
        <v>1</v>
      </c>
      <c r="CT143" s="2">
        <v>1</v>
      </c>
      <c r="CU143" s="2">
        <v>1</v>
      </c>
      <c r="CW143" s="2">
        <v>4</v>
      </c>
      <c r="CX143" s="2">
        <v>3</v>
      </c>
      <c r="CY143" s="2">
        <v>7</v>
      </c>
      <c r="CZ143" s="2">
        <v>5.5</v>
      </c>
      <c r="DA143" s="2">
        <v>4</v>
      </c>
      <c r="DB143" s="2">
        <v>5.5</v>
      </c>
      <c r="DC143" s="2" t="s">
        <v>356</v>
      </c>
      <c r="DD143" s="2" t="s">
        <v>356</v>
      </c>
      <c r="DE143" s="206">
        <f t="shared" si="573"/>
        <v>4.00000000004</v>
      </c>
      <c r="DF143" s="206">
        <f t="shared" si="574"/>
        <v>3.00000000002</v>
      </c>
      <c r="DG143" s="206">
        <f t="shared" si="575"/>
        <v>7.00000000003</v>
      </c>
      <c r="DH143" s="206">
        <f t="shared" si="576"/>
        <v>5.50000000001</v>
      </c>
      <c r="DI143" s="206">
        <f t="shared" si="577"/>
        <v>4.00000000005</v>
      </c>
      <c r="DJ143" s="206">
        <f t="shared" si="578"/>
        <v>5.50000000006</v>
      </c>
      <c r="DK143" s="206">
        <f t="shared" si="579"/>
        <v>0</v>
      </c>
      <c r="DL143" s="206">
        <f t="shared" si="580"/>
        <v>0</v>
      </c>
      <c r="DM143" s="2">
        <f t="shared" si="531"/>
        <v>4.00000000004</v>
      </c>
      <c r="DN143" s="2">
        <f t="shared" si="532"/>
        <v>3.00000000002</v>
      </c>
      <c r="DO143" s="2">
        <f t="shared" si="533"/>
        <v>7.00000000003</v>
      </c>
      <c r="DP143" s="2">
        <f t="shared" si="534"/>
        <v>5.50000000001</v>
      </c>
      <c r="DQ143" s="2">
        <f t="shared" si="535"/>
        <v>4.00000000005</v>
      </c>
      <c r="DR143" s="2">
        <f t="shared" si="536"/>
        <v>5.50000000006</v>
      </c>
      <c r="DS143" s="2">
        <f t="shared" si="537"/>
        <v>0</v>
      </c>
      <c r="DT143" s="2">
        <f t="shared" si="538"/>
        <v>0</v>
      </c>
      <c r="DU143" s="2" t="b">
        <f t="shared" si="614"/>
        <v>1</v>
      </c>
      <c r="DV143" s="2" t="b">
        <f t="shared" si="615"/>
        <v>0</v>
      </c>
      <c r="DW143" s="2" t="b">
        <f t="shared" si="616"/>
        <v>1</v>
      </c>
      <c r="DX143" s="2" t="b">
        <f t="shared" si="617"/>
        <v>1</v>
      </c>
      <c r="DY143" s="2" t="b">
        <f t="shared" si="600"/>
        <v>1</v>
      </c>
      <c r="DZ143" s="2" t="b">
        <f t="shared" si="601"/>
        <v>1</v>
      </c>
      <c r="EA143" s="2" t="b">
        <f t="shared" si="602"/>
        <v>0</v>
      </c>
      <c r="EB143" s="2" t="b">
        <f t="shared" si="603"/>
        <v>0</v>
      </c>
      <c r="EC143" s="2">
        <v>1</v>
      </c>
      <c r="ED143" s="2">
        <v>1</v>
      </c>
      <c r="EE143" s="2">
        <v>1</v>
      </c>
      <c r="EF143" s="2">
        <v>1</v>
      </c>
      <c r="EG143" s="2">
        <v>1</v>
      </c>
      <c r="EH143" s="2">
        <v>1</v>
      </c>
      <c r="EI143" s="2">
        <v>1</v>
      </c>
      <c r="EJ143" s="2">
        <v>1</v>
      </c>
      <c r="EK143" s="2">
        <v>7</v>
      </c>
      <c r="EL143" s="2">
        <v>3</v>
      </c>
      <c r="EM143" s="2">
        <v>4</v>
      </c>
      <c r="EN143" s="2">
        <v>4</v>
      </c>
      <c r="EO143" s="2" t="s">
        <v>356</v>
      </c>
      <c r="EP143" s="2">
        <v>7</v>
      </c>
      <c r="EQ143" s="2">
        <v>5.5</v>
      </c>
      <c r="ER143" s="2" t="s">
        <v>356</v>
      </c>
      <c r="ES143" s="206">
        <f t="shared" si="581"/>
        <v>7.00000000004</v>
      </c>
      <c r="ET143" s="206">
        <f t="shared" si="582"/>
        <v>3.00000000002</v>
      </c>
      <c r="EU143" s="206">
        <f t="shared" si="583"/>
        <v>4.00000000003</v>
      </c>
      <c r="EV143" s="206">
        <f t="shared" si="584"/>
        <v>4.00000000001</v>
      </c>
      <c r="EW143" s="206">
        <f t="shared" si="585"/>
        <v>0</v>
      </c>
      <c r="EX143" s="206">
        <f t="shared" si="586"/>
        <v>7.00000000006</v>
      </c>
      <c r="EY143" s="206">
        <f t="shared" si="587"/>
        <v>5.50000000007</v>
      </c>
      <c r="EZ143" s="206">
        <f t="shared" si="588"/>
        <v>0</v>
      </c>
      <c r="FA143" s="2">
        <f t="shared" si="589"/>
        <v>7.00000000004</v>
      </c>
      <c r="FB143" s="2">
        <f t="shared" si="590"/>
        <v>3.00000000002</v>
      </c>
      <c r="FC143" s="2">
        <f t="shared" si="591"/>
        <v>4.00000000003</v>
      </c>
      <c r="FD143" s="2">
        <f t="shared" si="592"/>
        <v>4.00000000001</v>
      </c>
      <c r="FE143" s="2">
        <f t="shared" si="593"/>
        <v>0</v>
      </c>
      <c r="FF143" s="2">
        <f t="shared" si="594"/>
        <v>7.00000000006</v>
      </c>
      <c r="FG143" s="2">
        <f t="shared" si="595"/>
        <v>5.50000000007</v>
      </c>
      <c r="FH143" s="2">
        <f t="shared" si="596"/>
        <v>0</v>
      </c>
      <c r="FI143" s="2" t="b">
        <f t="shared" si="604"/>
        <v>1</v>
      </c>
      <c r="FJ143" s="2" t="b">
        <f t="shared" si="605"/>
        <v>0</v>
      </c>
      <c r="FK143" s="2" t="b">
        <f t="shared" si="606"/>
        <v>1</v>
      </c>
      <c r="FL143" s="2" t="b">
        <f t="shared" si="607"/>
        <v>1</v>
      </c>
      <c r="FM143" s="2" t="b">
        <f t="shared" si="608"/>
        <v>0</v>
      </c>
      <c r="FN143" s="2" t="b">
        <f t="shared" si="609"/>
        <v>1</v>
      </c>
      <c r="FO143" s="2" t="b">
        <f t="shared" si="610"/>
        <v>1</v>
      </c>
      <c r="FP143" s="2" t="b">
        <f t="shared" si="611"/>
        <v>0</v>
      </c>
    </row>
    <row r="144" spans="1:172" ht="15.6">
      <c r="A144" s="2" t="s">
        <v>1344</v>
      </c>
      <c r="B144" s="2" t="s">
        <v>255</v>
      </c>
      <c r="C144" s="2" t="s">
        <v>813</v>
      </c>
      <c r="D144" s="2" t="s">
        <v>1345</v>
      </c>
      <c r="E144" s="2" t="s">
        <v>815</v>
      </c>
      <c r="F144" s="2" t="s">
        <v>356</v>
      </c>
      <c r="G144" s="2">
        <v>43.5</v>
      </c>
      <c r="H144" s="2">
        <v>40.5</v>
      </c>
      <c r="I144" s="2">
        <v>40.5</v>
      </c>
      <c r="J144" s="2">
        <f t="shared" si="562"/>
        <v>43.500000000210001</v>
      </c>
      <c r="K144" s="2">
        <f t="shared" si="563"/>
        <v>40.500000000230003</v>
      </c>
      <c r="L144" s="2">
        <f t="shared" si="564"/>
        <v>40.50000000024</v>
      </c>
      <c r="M144" s="364" t="s">
        <v>356</v>
      </c>
      <c r="N144" s="364" t="s">
        <v>356</v>
      </c>
      <c r="O144" s="364" t="s">
        <v>356</v>
      </c>
      <c r="P144" s="364" t="s">
        <v>356</v>
      </c>
      <c r="Q144" s="364" t="s">
        <v>356</v>
      </c>
      <c r="R144" s="2" t="s">
        <v>1346</v>
      </c>
      <c r="S144" s="2" t="s">
        <v>1177</v>
      </c>
      <c r="T144" s="2">
        <v>15</v>
      </c>
      <c r="U144" s="2" cm="1">
        <f t="array" ref="U144">IFERROR(INDEX('Offer Statistics'!$BQ$2:$BQ$400,MATCH(1,(A144='Offer Statistics'!$BB$2:$BB$400)*($A$11='Offer Statistics'!$BC$2:$BC$400),0)),"/")</f>
        <v>12</v>
      </c>
      <c r="V144" s="2" cm="1">
        <f t="array" ref="V144">IFERROR(INDEX('Offer Statistics'!$BD$2:$BD$400,MATCH(1,(A144='Offer Statistics'!$BB$2:$BB$400)*($A$11='Offer Statistics'!$BC$2:$BC$400),0)),"/")</f>
        <v>75</v>
      </c>
      <c r="W144" s="2" cm="1">
        <f t="array" ref="W144">IFERROR(INDEX('Offer Statistics'!$BL$2:$BL$400,MATCH(1,(A144='Offer Statistics'!$BB$2:$BB$400)*($A$11='Offer Statistics'!$BC$2:$BC$400),0)),"/")</f>
        <v>12</v>
      </c>
      <c r="X144" s="2">
        <f t="shared" si="502"/>
        <v>6.25</v>
      </c>
      <c r="Y144" s="2" t="s">
        <v>1177</v>
      </c>
      <c r="Z144" s="364" t="str">
        <f>入學要求!AF153</f>
        <v>申請人應考獲以下資歷︰</v>
      </c>
      <c r="AA144" s="364" t="str">
        <f>入學要求!AG153</f>
        <v>TOEFL 600分 (紙筆) / 100分 (網上) 或 IELTS 7.0 或 英文母語證明</v>
      </c>
      <c r="AB144" s="368" t="s">
        <v>889</v>
      </c>
      <c r="AC144" s="51"/>
      <c r="AD144" s="51"/>
      <c r="AE144" s="368" t="s">
        <v>356</v>
      </c>
      <c r="AF144" s="368" t="s">
        <v>356</v>
      </c>
      <c r="AG144" s="368" t="s">
        <v>356</v>
      </c>
      <c r="AH144" s="368" t="s">
        <v>356</v>
      </c>
      <c r="AI144" s="368" t="s">
        <v>356</v>
      </c>
      <c r="AJ144" s="2" t="s">
        <v>356</v>
      </c>
      <c r="AK144" s="2" t="s">
        <v>356</v>
      </c>
      <c r="AL144" s="2" t="s">
        <v>356</v>
      </c>
      <c r="AM144" s="2" t="s">
        <v>356</v>
      </c>
      <c r="AN144" s="2" t="s">
        <v>356</v>
      </c>
      <c r="AO144" s="2" t="s">
        <v>356</v>
      </c>
      <c r="AP144" s="2" t="s">
        <v>356</v>
      </c>
      <c r="AQ144" s="2" t="s">
        <v>356</v>
      </c>
      <c r="AS144" s="2" t="s">
        <v>820</v>
      </c>
      <c r="AU144" s="2" t="s">
        <v>1336</v>
      </c>
      <c r="AY144" s="2">
        <v>1</v>
      </c>
      <c r="AZ144" s="2">
        <v>1</v>
      </c>
      <c r="BA144" s="2">
        <v>1</v>
      </c>
      <c r="BB144" s="2">
        <v>1</v>
      </c>
      <c r="BC144" s="2">
        <v>1</v>
      </c>
      <c r="BD144" s="2">
        <v>1</v>
      </c>
      <c r="BE144" s="2">
        <v>1</v>
      </c>
      <c r="BF144" s="2">
        <v>1</v>
      </c>
      <c r="BG144" s="2" t="s">
        <v>1344</v>
      </c>
      <c r="BH144">
        <v>5.5</v>
      </c>
      <c r="BI144">
        <v>7</v>
      </c>
      <c r="BJ144">
        <v>7</v>
      </c>
      <c r="BK144">
        <v>8.5</v>
      </c>
      <c r="BL144">
        <v>5.5</v>
      </c>
      <c r="BM144">
        <v>7</v>
      </c>
      <c r="BN144">
        <v>5.5</v>
      </c>
      <c r="BO144">
        <v>5.5</v>
      </c>
      <c r="BP144" s="206">
        <f t="shared" si="565"/>
        <v>5.50000000004</v>
      </c>
      <c r="BQ144" s="206">
        <f t="shared" si="566"/>
        <v>7.00000000002</v>
      </c>
      <c r="BR144" s="206">
        <f t="shared" si="567"/>
        <v>7.00000000003</v>
      </c>
      <c r="BS144" s="206">
        <f t="shared" si="568"/>
        <v>8.5000000000099991</v>
      </c>
      <c r="BT144" s="206">
        <f t="shared" si="569"/>
        <v>5.50000000005</v>
      </c>
      <c r="BU144" s="206">
        <f t="shared" si="570"/>
        <v>7.00000000006</v>
      </c>
      <c r="BV144" s="206">
        <f t="shared" si="571"/>
        <v>5.50000000007</v>
      </c>
      <c r="BW144" s="206">
        <f t="shared" si="572"/>
        <v>5.50000000008</v>
      </c>
      <c r="BX144" s="2">
        <f t="shared" si="509"/>
        <v>5.50000000004</v>
      </c>
      <c r="BY144" s="2">
        <f t="shared" si="510"/>
        <v>7.00000000002</v>
      </c>
      <c r="BZ144" s="2">
        <f t="shared" si="511"/>
        <v>7.00000000003</v>
      </c>
      <c r="CA144" s="2">
        <f t="shared" si="512"/>
        <v>8.5000000000099991</v>
      </c>
      <c r="CB144" s="2">
        <f t="shared" si="513"/>
        <v>5.50000000005</v>
      </c>
      <c r="CC144" s="2">
        <f t="shared" si="514"/>
        <v>7.00000000006</v>
      </c>
      <c r="CD144" s="2">
        <f t="shared" si="515"/>
        <v>5.50000000007</v>
      </c>
      <c r="CE144" s="2">
        <f t="shared" si="516"/>
        <v>5.50000000008</v>
      </c>
      <c r="CF144" s="2" t="b">
        <f t="shared" si="612"/>
        <v>1</v>
      </c>
      <c r="CG144" s="2" t="b">
        <f t="shared" si="612"/>
        <v>1</v>
      </c>
      <c r="CH144" s="2" t="b">
        <f t="shared" si="612"/>
        <v>1</v>
      </c>
      <c r="CI144" s="2" t="b">
        <f t="shared" si="612"/>
        <v>1</v>
      </c>
      <c r="CJ144" s="2" t="b">
        <f t="shared" si="613"/>
        <v>0</v>
      </c>
      <c r="CK144" s="2" t="b">
        <f t="shared" si="613"/>
        <v>1</v>
      </c>
      <c r="CL144" s="2" t="b">
        <f t="shared" si="613"/>
        <v>0</v>
      </c>
      <c r="CM144" s="2" t="b">
        <f t="shared" si="613"/>
        <v>1</v>
      </c>
      <c r="CN144" s="2">
        <v>1</v>
      </c>
      <c r="CO144" s="2">
        <v>1</v>
      </c>
      <c r="CP144" s="2">
        <v>1</v>
      </c>
      <c r="CQ144" s="2">
        <v>1</v>
      </c>
      <c r="CR144" s="2">
        <v>1</v>
      </c>
      <c r="CS144" s="2">
        <v>1</v>
      </c>
      <c r="CT144" s="2">
        <v>1</v>
      </c>
      <c r="CU144" s="2">
        <v>1</v>
      </c>
      <c r="CW144" s="2">
        <v>4</v>
      </c>
      <c r="CX144" s="2">
        <v>7</v>
      </c>
      <c r="CY144" s="2">
        <v>8.5</v>
      </c>
      <c r="CZ144" s="2">
        <v>5.5</v>
      </c>
      <c r="DA144" s="2">
        <v>7</v>
      </c>
      <c r="DB144" s="2">
        <v>8.5</v>
      </c>
      <c r="DC144" s="2">
        <v>7</v>
      </c>
      <c r="DD144" s="2">
        <v>5.5</v>
      </c>
      <c r="DE144" s="206">
        <f t="shared" si="573"/>
        <v>4.00000000004</v>
      </c>
      <c r="DF144" s="206">
        <f t="shared" si="574"/>
        <v>7.00000000002</v>
      </c>
      <c r="DG144" s="206">
        <f t="shared" si="575"/>
        <v>8.5000000000299991</v>
      </c>
      <c r="DH144" s="206">
        <f t="shared" si="576"/>
        <v>5.50000000001</v>
      </c>
      <c r="DI144" s="206">
        <f t="shared" si="577"/>
        <v>7.00000000005</v>
      </c>
      <c r="DJ144" s="206">
        <f t="shared" si="578"/>
        <v>8.50000000006</v>
      </c>
      <c r="DK144" s="206">
        <f t="shared" si="579"/>
        <v>7.00000000007</v>
      </c>
      <c r="DL144" s="206">
        <f t="shared" si="580"/>
        <v>5.50000000008</v>
      </c>
      <c r="DM144" s="2">
        <f t="shared" si="531"/>
        <v>4.00000000004</v>
      </c>
      <c r="DN144" s="2">
        <f t="shared" si="532"/>
        <v>7.00000000002</v>
      </c>
      <c r="DO144" s="2">
        <f t="shared" si="533"/>
        <v>8.5000000000299991</v>
      </c>
      <c r="DP144" s="2">
        <f t="shared" si="534"/>
        <v>5.50000000001</v>
      </c>
      <c r="DQ144" s="2">
        <f t="shared" si="535"/>
        <v>7.00000000005</v>
      </c>
      <c r="DR144" s="2">
        <f t="shared" si="536"/>
        <v>8.50000000006</v>
      </c>
      <c r="DS144" s="2">
        <f t="shared" si="537"/>
        <v>7.00000000007</v>
      </c>
      <c r="DT144" s="2">
        <f t="shared" si="538"/>
        <v>5.50000000008</v>
      </c>
      <c r="DU144" s="2" t="b">
        <f t="shared" si="614"/>
        <v>1</v>
      </c>
      <c r="DV144" s="2" t="b">
        <f t="shared" si="615"/>
        <v>1</v>
      </c>
      <c r="DW144" s="2" t="b">
        <f t="shared" si="616"/>
        <v>1</v>
      </c>
      <c r="DX144" s="2" t="b">
        <f t="shared" si="617"/>
        <v>1</v>
      </c>
      <c r="DY144" s="2" t="b">
        <f t="shared" si="600"/>
        <v>0</v>
      </c>
      <c r="DZ144" s="2" t="b">
        <f t="shared" si="601"/>
        <v>1</v>
      </c>
      <c r="EA144" s="2" t="b">
        <f t="shared" si="602"/>
        <v>1</v>
      </c>
      <c r="EB144" s="2" t="b">
        <f t="shared" si="603"/>
        <v>0</v>
      </c>
      <c r="EC144" s="2">
        <v>1</v>
      </c>
      <c r="ED144" s="2">
        <v>1</v>
      </c>
      <c r="EE144" s="2">
        <v>1</v>
      </c>
      <c r="EF144" s="2">
        <v>1</v>
      </c>
      <c r="EG144" s="2">
        <v>1</v>
      </c>
      <c r="EH144" s="2">
        <v>1</v>
      </c>
      <c r="EI144" s="2">
        <v>1</v>
      </c>
      <c r="EJ144" s="2">
        <v>1</v>
      </c>
      <c r="EK144" s="2">
        <v>4</v>
      </c>
      <c r="EL144" s="2">
        <v>8.5</v>
      </c>
      <c r="EM144" s="2">
        <v>7</v>
      </c>
      <c r="EN144" s="2">
        <v>8.5</v>
      </c>
      <c r="EO144" s="2">
        <v>7</v>
      </c>
      <c r="EP144" s="2">
        <v>8.5</v>
      </c>
      <c r="EQ144" s="2">
        <v>5.5</v>
      </c>
      <c r="ER144" s="2">
        <v>5.5</v>
      </c>
      <c r="ES144" s="206">
        <f t="shared" si="581"/>
        <v>4.00000000004</v>
      </c>
      <c r="ET144" s="206">
        <f t="shared" si="582"/>
        <v>8.50000000002</v>
      </c>
      <c r="EU144" s="206">
        <f t="shared" si="583"/>
        <v>7.00000000003</v>
      </c>
      <c r="EV144" s="206">
        <f t="shared" si="584"/>
        <v>8.5000000000099991</v>
      </c>
      <c r="EW144" s="206">
        <f t="shared" si="585"/>
        <v>7.00000000005</v>
      </c>
      <c r="EX144" s="206">
        <f t="shared" si="586"/>
        <v>8.50000000006</v>
      </c>
      <c r="EY144" s="206">
        <f t="shared" si="587"/>
        <v>5.50000000007</v>
      </c>
      <c r="EZ144" s="206">
        <f t="shared" si="588"/>
        <v>5.50000000008</v>
      </c>
      <c r="FA144" s="2">
        <f t="shared" si="589"/>
        <v>4.00000000004</v>
      </c>
      <c r="FB144" s="2">
        <f t="shared" si="590"/>
        <v>8.50000000002</v>
      </c>
      <c r="FC144" s="2">
        <f t="shared" si="591"/>
        <v>7.00000000003</v>
      </c>
      <c r="FD144" s="2">
        <f t="shared" si="592"/>
        <v>8.5000000000099991</v>
      </c>
      <c r="FE144" s="2">
        <f t="shared" si="593"/>
        <v>7.00000000005</v>
      </c>
      <c r="FF144" s="2">
        <f t="shared" si="594"/>
        <v>8.50000000006</v>
      </c>
      <c r="FG144" s="2">
        <f t="shared" si="595"/>
        <v>5.50000000007</v>
      </c>
      <c r="FH144" s="2">
        <f t="shared" si="596"/>
        <v>5.50000000008</v>
      </c>
      <c r="FI144" s="2" t="b">
        <f t="shared" si="604"/>
        <v>1</v>
      </c>
      <c r="FJ144" s="2" t="b">
        <f t="shared" si="605"/>
        <v>1</v>
      </c>
      <c r="FK144" s="2" t="b">
        <f t="shared" si="606"/>
        <v>1</v>
      </c>
      <c r="FL144" s="2" t="b">
        <f t="shared" si="607"/>
        <v>1</v>
      </c>
      <c r="FM144" s="2" t="b">
        <f t="shared" si="608"/>
        <v>1</v>
      </c>
      <c r="FN144" s="2" t="b">
        <f t="shared" si="609"/>
        <v>1</v>
      </c>
      <c r="FO144" s="2" t="b">
        <f t="shared" si="610"/>
        <v>0</v>
      </c>
      <c r="FP144" s="2" t="b">
        <f t="shared" si="611"/>
        <v>0</v>
      </c>
    </row>
    <row r="145" spans="1:172" ht="15.6">
      <c r="A145" s="2" t="s">
        <v>1347</v>
      </c>
      <c r="B145" s="2" t="s">
        <v>255</v>
      </c>
      <c r="C145" s="2" t="s">
        <v>813</v>
      </c>
      <c r="D145" s="2" t="s">
        <v>1348</v>
      </c>
      <c r="E145" s="2" t="s">
        <v>889</v>
      </c>
      <c r="F145" s="2" t="s">
        <v>356</v>
      </c>
      <c r="G145" s="2">
        <v>24.5</v>
      </c>
      <c r="H145" s="2">
        <v>23</v>
      </c>
      <c r="I145" s="2">
        <v>23</v>
      </c>
      <c r="J145" s="2">
        <f t="shared" si="562"/>
        <v>24.500000000209997</v>
      </c>
      <c r="K145" s="2">
        <f t="shared" si="563"/>
        <v>23.000000000290001</v>
      </c>
      <c r="L145" s="2">
        <f t="shared" si="564"/>
        <v>23.000000000220002</v>
      </c>
      <c r="M145" s="364" t="s">
        <v>356</v>
      </c>
      <c r="N145" s="364" t="s">
        <v>356</v>
      </c>
      <c r="O145" s="364" t="s">
        <v>356</v>
      </c>
      <c r="P145" s="364" t="s">
        <v>356</v>
      </c>
      <c r="Q145" s="364" t="s">
        <v>356</v>
      </c>
      <c r="R145" s="2" t="s">
        <v>1349</v>
      </c>
      <c r="S145" s="2" t="s">
        <v>1177</v>
      </c>
      <c r="T145" s="2">
        <v>60</v>
      </c>
      <c r="U145" s="2" cm="1">
        <f t="array" ref="U145">IFERROR(INDEX('Offer Statistics'!$BQ$2:$BQ$400,MATCH(1,(A145='Offer Statistics'!$BB$2:$BB$400)*($A$11='Offer Statistics'!$BC$2:$BC$400),0)),"/")</f>
        <v>50</v>
      </c>
      <c r="V145" s="2" cm="1">
        <f t="array" ref="V145">IFERROR(INDEX('Offer Statistics'!$BD$2:$BD$400,MATCH(1,(A145='Offer Statistics'!$BB$2:$BB$400)*($A$11='Offer Statistics'!$BC$2:$BC$400),0)),"/")</f>
        <v>526</v>
      </c>
      <c r="W145" s="2" cm="1">
        <f t="array" ref="W145">IFERROR(INDEX('Offer Statistics'!$BL$2:$BL$400,MATCH(1,(A145='Offer Statistics'!$BB$2:$BB$400)*($A$11='Offer Statistics'!$BC$2:$BC$400),0)),"/")</f>
        <v>50</v>
      </c>
      <c r="X145" s="2">
        <f t="shared" si="502"/>
        <v>10.52</v>
      </c>
      <c r="Y145" s="2" t="s">
        <v>1177</v>
      </c>
      <c r="Z145" s="364" t="str">
        <f>入學要求!AF154</f>
        <v>/</v>
      </c>
      <c r="AA145" s="364" t="str">
        <f>入學要求!AG154</f>
        <v>/</v>
      </c>
      <c r="AB145" s="368" t="s">
        <v>889</v>
      </c>
      <c r="AC145" s="51"/>
      <c r="AD145" s="51"/>
      <c r="AE145" s="368" t="s">
        <v>356</v>
      </c>
      <c r="AF145" s="368" t="s">
        <v>356</v>
      </c>
      <c r="AG145" s="368" t="s">
        <v>356</v>
      </c>
      <c r="AH145" s="368" t="s">
        <v>356</v>
      </c>
      <c r="AI145" s="368" t="s">
        <v>356</v>
      </c>
      <c r="AJ145" s="2" t="s">
        <v>356</v>
      </c>
      <c r="AK145" s="2" t="s">
        <v>356</v>
      </c>
      <c r="AL145" s="2" t="s">
        <v>356</v>
      </c>
      <c r="AM145" s="2" t="s">
        <v>356</v>
      </c>
      <c r="AN145" s="2" t="s">
        <v>356</v>
      </c>
      <c r="AO145" s="2" t="s">
        <v>356</v>
      </c>
      <c r="AP145" s="2" t="s">
        <v>356</v>
      </c>
      <c r="AQ145" s="2" t="s">
        <v>356</v>
      </c>
      <c r="AS145" s="2" t="s">
        <v>820</v>
      </c>
      <c r="AU145" s="2" t="s">
        <v>1336</v>
      </c>
      <c r="AY145" s="2">
        <v>1</v>
      </c>
      <c r="AZ145" s="2">
        <v>1</v>
      </c>
      <c r="BA145" s="2">
        <v>1</v>
      </c>
      <c r="BB145" s="2">
        <v>1</v>
      </c>
      <c r="BC145" s="2">
        <v>1</v>
      </c>
      <c r="BD145" s="2">
        <v>1</v>
      </c>
      <c r="BE145" s="2">
        <v>1</v>
      </c>
      <c r="BF145" s="2">
        <v>1</v>
      </c>
      <c r="BG145" s="2" t="s">
        <v>1347</v>
      </c>
      <c r="BH145">
        <v>4</v>
      </c>
      <c r="BI145">
        <v>5.5</v>
      </c>
      <c r="BJ145">
        <v>4</v>
      </c>
      <c r="BK145">
        <v>4</v>
      </c>
      <c r="BL145" t="s">
        <v>356</v>
      </c>
      <c r="BM145">
        <v>5.5</v>
      </c>
      <c r="BN145">
        <v>4</v>
      </c>
      <c r="BO145" t="s">
        <v>356</v>
      </c>
      <c r="BP145" s="206">
        <f t="shared" si="565"/>
        <v>4.00000000004</v>
      </c>
      <c r="BQ145" s="206">
        <f t="shared" si="566"/>
        <v>5.50000000002</v>
      </c>
      <c r="BR145" s="206">
        <f t="shared" si="567"/>
        <v>4.00000000003</v>
      </c>
      <c r="BS145" s="206">
        <f t="shared" si="568"/>
        <v>4.00000000001</v>
      </c>
      <c r="BT145" s="206">
        <f t="shared" si="569"/>
        <v>0</v>
      </c>
      <c r="BU145" s="206">
        <f t="shared" si="570"/>
        <v>5.50000000006</v>
      </c>
      <c r="BV145" s="206">
        <f t="shared" si="571"/>
        <v>4.00000000007</v>
      </c>
      <c r="BW145" s="206">
        <f t="shared" si="572"/>
        <v>0</v>
      </c>
      <c r="BX145" s="2">
        <f t="shared" si="509"/>
        <v>4.00000000004</v>
      </c>
      <c r="BY145" s="2">
        <f t="shared" si="510"/>
        <v>5.50000000002</v>
      </c>
      <c r="BZ145" s="2">
        <f t="shared" si="511"/>
        <v>4.00000000003</v>
      </c>
      <c r="CA145" s="2">
        <f t="shared" si="512"/>
        <v>4.00000000001</v>
      </c>
      <c r="CB145" s="2">
        <f t="shared" si="513"/>
        <v>0</v>
      </c>
      <c r="CC145" s="2">
        <f t="shared" si="514"/>
        <v>5.50000000006</v>
      </c>
      <c r="CD145" s="2">
        <f t="shared" si="515"/>
        <v>4.00000000007</v>
      </c>
      <c r="CE145" s="2">
        <f t="shared" si="516"/>
        <v>0</v>
      </c>
      <c r="CF145" s="2" t="b">
        <f t="shared" si="612"/>
        <v>1</v>
      </c>
      <c r="CG145" s="2" t="b">
        <f t="shared" si="612"/>
        <v>1</v>
      </c>
      <c r="CH145" s="2" t="b">
        <f t="shared" si="612"/>
        <v>1</v>
      </c>
      <c r="CI145" s="2" t="b">
        <f t="shared" si="612"/>
        <v>0</v>
      </c>
      <c r="CJ145" s="2" t="b">
        <f t="shared" si="613"/>
        <v>0</v>
      </c>
      <c r="CK145" s="2" t="b">
        <f t="shared" si="613"/>
        <v>1</v>
      </c>
      <c r="CL145" s="2" t="b">
        <f t="shared" si="613"/>
        <v>1</v>
      </c>
      <c r="CM145" s="2" t="b">
        <f t="shared" si="613"/>
        <v>0</v>
      </c>
      <c r="CN145" s="2">
        <v>1</v>
      </c>
      <c r="CO145" s="2">
        <v>1</v>
      </c>
      <c r="CP145" s="2">
        <v>1</v>
      </c>
      <c r="CQ145" s="2">
        <v>1</v>
      </c>
      <c r="CR145" s="2">
        <v>1</v>
      </c>
      <c r="CS145" s="2">
        <v>1</v>
      </c>
      <c r="CT145" s="2">
        <v>1</v>
      </c>
      <c r="CU145" s="2">
        <v>1</v>
      </c>
      <c r="CW145" s="2">
        <v>4</v>
      </c>
      <c r="CX145" s="2">
        <v>4</v>
      </c>
      <c r="CY145" s="2">
        <v>5.5</v>
      </c>
      <c r="CZ145" s="2">
        <v>3</v>
      </c>
      <c r="DA145" s="2">
        <v>4</v>
      </c>
      <c r="DB145" s="2">
        <v>5.5</v>
      </c>
      <c r="DC145" s="2">
        <v>4</v>
      </c>
      <c r="DD145" s="2">
        <v>4</v>
      </c>
      <c r="DE145" s="206">
        <f t="shared" si="573"/>
        <v>4.00000000004</v>
      </c>
      <c r="DF145" s="206">
        <f t="shared" si="574"/>
        <v>4.00000000002</v>
      </c>
      <c r="DG145" s="206">
        <f t="shared" si="575"/>
        <v>5.50000000003</v>
      </c>
      <c r="DH145" s="206">
        <f t="shared" si="576"/>
        <v>3.00000000001</v>
      </c>
      <c r="DI145" s="206">
        <f t="shared" si="577"/>
        <v>4.00000000005</v>
      </c>
      <c r="DJ145" s="206">
        <f t="shared" si="578"/>
        <v>5.50000000006</v>
      </c>
      <c r="DK145" s="206">
        <f t="shared" si="579"/>
        <v>4.00000000007</v>
      </c>
      <c r="DL145" s="206">
        <f t="shared" si="580"/>
        <v>4.00000000008</v>
      </c>
      <c r="DM145" s="2">
        <f t="shared" si="531"/>
        <v>4.00000000004</v>
      </c>
      <c r="DN145" s="2">
        <f t="shared" si="532"/>
        <v>4.00000000002</v>
      </c>
      <c r="DO145" s="2">
        <f t="shared" si="533"/>
        <v>5.50000000003</v>
      </c>
      <c r="DP145" s="2">
        <f t="shared" si="534"/>
        <v>3.00000000001</v>
      </c>
      <c r="DQ145" s="2">
        <f t="shared" si="535"/>
        <v>4.00000000005</v>
      </c>
      <c r="DR145" s="2">
        <f t="shared" si="536"/>
        <v>5.50000000006</v>
      </c>
      <c r="DS145" s="2">
        <f t="shared" si="537"/>
        <v>4.00000000007</v>
      </c>
      <c r="DT145" s="2">
        <f t="shared" si="538"/>
        <v>4.00000000008</v>
      </c>
      <c r="DU145" s="2" t="b">
        <f t="shared" si="614"/>
        <v>0</v>
      </c>
      <c r="DV145" s="2" t="b">
        <f t="shared" si="615"/>
        <v>0</v>
      </c>
      <c r="DW145" s="2" t="b">
        <f t="shared" si="616"/>
        <v>1</v>
      </c>
      <c r="DX145" s="2" t="b">
        <f t="shared" si="617"/>
        <v>0</v>
      </c>
      <c r="DY145" s="2" t="b">
        <f t="shared" si="600"/>
        <v>1</v>
      </c>
      <c r="DZ145" s="2" t="b">
        <f t="shared" si="601"/>
        <v>1</v>
      </c>
      <c r="EA145" s="2" t="b">
        <f t="shared" si="602"/>
        <v>1</v>
      </c>
      <c r="EB145" s="2" t="b">
        <f t="shared" si="603"/>
        <v>1</v>
      </c>
      <c r="EC145" s="2">
        <v>1</v>
      </c>
      <c r="ED145" s="2">
        <v>1</v>
      </c>
      <c r="EE145" s="2">
        <v>1</v>
      </c>
      <c r="EF145" s="2">
        <v>1</v>
      </c>
      <c r="EG145" s="2">
        <v>1</v>
      </c>
      <c r="EH145" s="2">
        <v>1</v>
      </c>
      <c r="EI145" s="2">
        <v>1</v>
      </c>
      <c r="EJ145" s="2">
        <v>1</v>
      </c>
      <c r="EK145" s="2">
        <v>7</v>
      </c>
      <c r="EL145" s="2">
        <v>3</v>
      </c>
      <c r="EM145" s="2">
        <v>4</v>
      </c>
      <c r="EN145" s="2">
        <v>4</v>
      </c>
      <c r="EO145" s="2" t="s">
        <v>356</v>
      </c>
      <c r="EP145" s="2">
        <v>5.5</v>
      </c>
      <c r="EQ145" s="2">
        <v>4</v>
      </c>
      <c r="ER145" s="2" t="s">
        <v>356</v>
      </c>
      <c r="ES145" s="206">
        <f t="shared" si="581"/>
        <v>7.00000000004</v>
      </c>
      <c r="ET145" s="206">
        <f t="shared" si="582"/>
        <v>3.00000000002</v>
      </c>
      <c r="EU145" s="206">
        <f t="shared" si="583"/>
        <v>4.00000000003</v>
      </c>
      <c r="EV145" s="206">
        <f t="shared" si="584"/>
        <v>4.00000000001</v>
      </c>
      <c r="EW145" s="206">
        <f t="shared" si="585"/>
        <v>0</v>
      </c>
      <c r="EX145" s="206">
        <f t="shared" si="586"/>
        <v>5.50000000006</v>
      </c>
      <c r="EY145" s="206">
        <f t="shared" si="587"/>
        <v>4.00000000007</v>
      </c>
      <c r="EZ145" s="206">
        <f t="shared" si="588"/>
        <v>0</v>
      </c>
      <c r="FA145" s="2">
        <f t="shared" si="589"/>
        <v>7.00000000004</v>
      </c>
      <c r="FB145" s="2">
        <f t="shared" si="590"/>
        <v>3.00000000002</v>
      </c>
      <c r="FC145" s="2">
        <f t="shared" si="591"/>
        <v>4.00000000003</v>
      </c>
      <c r="FD145" s="2">
        <f t="shared" si="592"/>
        <v>4.00000000001</v>
      </c>
      <c r="FE145" s="2">
        <f t="shared" si="593"/>
        <v>0</v>
      </c>
      <c r="FF145" s="2">
        <f t="shared" si="594"/>
        <v>5.50000000006</v>
      </c>
      <c r="FG145" s="2">
        <f t="shared" si="595"/>
        <v>4.00000000007</v>
      </c>
      <c r="FH145" s="2">
        <f t="shared" si="596"/>
        <v>0</v>
      </c>
      <c r="FI145" s="2" t="b">
        <f t="shared" si="604"/>
        <v>1</v>
      </c>
      <c r="FJ145" s="2" t="b">
        <f t="shared" si="605"/>
        <v>0</v>
      </c>
      <c r="FK145" s="2" t="b">
        <f t="shared" si="606"/>
        <v>1</v>
      </c>
      <c r="FL145" s="2" t="b">
        <f t="shared" si="607"/>
        <v>1</v>
      </c>
      <c r="FM145" s="2" t="b">
        <f t="shared" si="608"/>
        <v>0</v>
      </c>
      <c r="FN145" s="2" t="b">
        <f t="shared" si="609"/>
        <v>1</v>
      </c>
      <c r="FO145" s="2" t="b">
        <f t="shared" si="610"/>
        <v>1</v>
      </c>
      <c r="FP145" s="2" t="b">
        <f t="shared" si="611"/>
        <v>0</v>
      </c>
    </row>
    <row r="146" spans="1:172" ht="15.6">
      <c r="A146" s="2" t="s">
        <v>1350</v>
      </c>
      <c r="B146" s="2" t="s">
        <v>255</v>
      </c>
      <c r="C146" s="2" t="s">
        <v>813</v>
      </c>
      <c r="D146" s="2" t="s">
        <v>1351</v>
      </c>
      <c r="E146" s="2" t="s">
        <v>889</v>
      </c>
      <c r="F146" s="2" t="s">
        <v>356</v>
      </c>
      <c r="G146" s="2">
        <v>32</v>
      </c>
      <c r="H146" s="2">
        <v>32</v>
      </c>
      <c r="I146" s="2">
        <v>30.5</v>
      </c>
      <c r="J146" s="2">
        <f t="shared" si="562"/>
        <v>32.000000000250004</v>
      </c>
      <c r="K146" s="2">
        <f t="shared" si="563"/>
        <v>32.000000000230003</v>
      </c>
      <c r="L146" s="2">
        <f t="shared" si="564"/>
        <v>30.500000000229999</v>
      </c>
      <c r="M146" s="364" t="s">
        <v>1353</v>
      </c>
      <c r="N146" s="364" t="s">
        <v>1354</v>
      </c>
      <c r="O146" s="364" t="s">
        <v>356</v>
      </c>
      <c r="P146" s="364" t="s">
        <v>356</v>
      </c>
      <c r="Q146" s="364" t="s">
        <v>356</v>
      </c>
      <c r="R146" s="2" t="s">
        <v>1352</v>
      </c>
      <c r="S146" s="2" t="s">
        <v>1177</v>
      </c>
      <c r="T146" s="2">
        <v>45</v>
      </c>
      <c r="U146" s="2" cm="1">
        <f t="array" ref="U146">IFERROR(INDEX('Offer Statistics'!$BQ$2:$BQ$400,MATCH(1,(A146='Offer Statistics'!$BB$2:$BB$400)*($A$11='Offer Statistics'!$BC$2:$BC$400),0)),"/")</f>
        <v>45</v>
      </c>
      <c r="V146" s="2" cm="1">
        <f t="array" ref="V146">IFERROR(INDEX('Offer Statistics'!$BD$2:$BD$400,MATCH(1,(A146='Offer Statistics'!$BB$2:$BB$400)*($A$11='Offer Statistics'!$BC$2:$BC$400),0)),"/")</f>
        <v>189</v>
      </c>
      <c r="W146" s="2" cm="1">
        <f t="array" ref="W146">IFERROR(INDEX('Offer Statistics'!$BL$2:$BL$400,MATCH(1,(A146='Offer Statistics'!$BB$2:$BB$400)*($A$11='Offer Statistics'!$BC$2:$BC$400),0)),"/")</f>
        <v>45</v>
      </c>
      <c r="X146" s="2">
        <f t="shared" si="502"/>
        <v>4.2</v>
      </c>
      <c r="Y146" s="2" t="s">
        <v>1177</v>
      </c>
      <c r="Z146" s="364" t="str">
        <f>入學要求!AF155</f>
        <v xml:space="preserve">若同學於 數學科 只考獲Lv.4或以下，M1/2需考獲Lv.5 </v>
      </c>
      <c r="AA146" s="364" t="str">
        <f>入學要求!AG155</f>
        <v>/</v>
      </c>
      <c r="AB146" s="368" t="s">
        <v>889</v>
      </c>
      <c r="AC146" s="51"/>
      <c r="AD146" s="51"/>
      <c r="AE146" s="368" t="s">
        <v>1353</v>
      </c>
      <c r="AF146" s="368" t="s">
        <v>1354</v>
      </c>
      <c r="AG146" s="368" t="s">
        <v>356</v>
      </c>
      <c r="AH146" s="368" t="s">
        <v>356</v>
      </c>
      <c r="AI146" s="368" t="s">
        <v>356</v>
      </c>
      <c r="AJ146" s="2" t="s">
        <v>356</v>
      </c>
      <c r="AK146" s="2" t="s">
        <v>356</v>
      </c>
      <c r="AL146" s="2" t="s">
        <v>356</v>
      </c>
      <c r="AM146" s="2" t="s">
        <v>356</v>
      </c>
      <c r="AN146" s="2" t="s">
        <v>356</v>
      </c>
      <c r="AO146" s="2" t="s">
        <v>356</v>
      </c>
      <c r="AP146" s="2" t="s">
        <v>356</v>
      </c>
      <c r="AQ146" s="2" t="s">
        <v>356</v>
      </c>
      <c r="AS146" s="2" t="s">
        <v>820</v>
      </c>
      <c r="AU146" s="2" t="s">
        <v>1355</v>
      </c>
      <c r="AY146" s="2">
        <v>1</v>
      </c>
      <c r="AZ146" s="2">
        <v>1</v>
      </c>
      <c r="BA146" s="2">
        <v>1</v>
      </c>
      <c r="BB146" s="2">
        <v>1</v>
      </c>
      <c r="BC146" s="2">
        <v>1</v>
      </c>
      <c r="BD146" s="2">
        <v>1</v>
      </c>
      <c r="BE146" s="2">
        <v>1</v>
      </c>
      <c r="BF146" s="2">
        <v>1</v>
      </c>
      <c r="BG146" s="2" t="s">
        <v>1350</v>
      </c>
      <c r="BH146">
        <v>4</v>
      </c>
      <c r="BI146">
        <v>4</v>
      </c>
      <c r="BJ146">
        <v>7</v>
      </c>
      <c r="BK146">
        <v>4</v>
      </c>
      <c r="BL146">
        <v>5.5</v>
      </c>
      <c r="BM146">
        <v>7</v>
      </c>
      <c r="BN146">
        <v>7</v>
      </c>
      <c r="BO146" t="s">
        <v>356</v>
      </c>
      <c r="BP146" s="206">
        <f t="shared" si="565"/>
        <v>4.00000000004</v>
      </c>
      <c r="BQ146" s="206">
        <f t="shared" si="566"/>
        <v>4.00000000002</v>
      </c>
      <c r="BR146" s="206">
        <f t="shared" si="567"/>
        <v>7.00000000003</v>
      </c>
      <c r="BS146" s="206">
        <f t="shared" si="568"/>
        <v>4.00000000001</v>
      </c>
      <c r="BT146" s="206">
        <f t="shared" si="569"/>
        <v>5.50000000005</v>
      </c>
      <c r="BU146" s="206">
        <f t="shared" si="570"/>
        <v>7.00000000006</v>
      </c>
      <c r="BV146" s="206">
        <f t="shared" si="571"/>
        <v>7.00000000007</v>
      </c>
      <c r="BW146" s="206">
        <f t="shared" si="572"/>
        <v>0</v>
      </c>
      <c r="BX146" s="2">
        <f t="shared" si="509"/>
        <v>4.00000000004</v>
      </c>
      <c r="BY146" s="2">
        <f t="shared" si="510"/>
        <v>4.00000000002</v>
      </c>
      <c r="BZ146" s="2">
        <f t="shared" si="511"/>
        <v>7.00000000003</v>
      </c>
      <c r="CA146" s="2">
        <f t="shared" si="512"/>
        <v>4.00000000001</v>
      </c>
      <c r="CB146" s="2">
        <f t="shared" si="513"/>
        <v>5.50000000005</v>
      </c>
      <c r="CC146" s="2">
        <f t="shared" si="514"/>
        <v>7.00000000006</v>
      </c>
      <c r="CD146" s="2">
        <f t="shared" si="515"/>
        <v>7.00000000007</v>
      </c>
      <c r="CE146" s="2">
        <f t="shared" si="516"/>
        <v>0</v>
      </c>
      <c r="CF146" s="55" t="b">
        <v>0</v>
      </c>
      <c r="CG146" s="55" t="b">
        <v>1</v>
      </c>
      <c r="CH146" s="55" t="b">
        <v>1</v>
      </c>
      <c r="CI146" s="55" t="b">
        <v>0</v>
      </c>
      <c r="CJ146" s="55" t="b">
        <v>1</v>
      </c>
      <c r="CK146" s="55" t="b">
        <v>1</v>
      </c>
      <c r="CL146" s="55" t="b">
        <v>1</v>
      </c>
      <c r="CM146" s="55" t="b">
        <v>0</v>
      </c>
      <c r="CN146" s="2">
        <v>1</v>
      </c>
      <c r="CO146" s="2">
        <v>1</v>
      </c>
      <c r="CP146" s="2">
        <v>1</v>
      </c>
      <c r="CQ146" s="2">
        <v>1</v>
      </c>
      <c r="CR146" s="2">
        <v>1</v>
      </c>
      <c r="CS146" s="2">
        <v>1</v>
      </c>
      <c r="CT146" s="2">
        <v>1</v>
      </c>
      <c r="CU146" s="2">
        <v>1</v>
      </c>
      <c r="CW146" s="2">
        <v>4</v>
      </c>
      <c r="CX146" s="2">
        <v>5.5</v>
      </c>
      <c r="CY146" s="2">
        <v>8.5</v>
      </c>
      <c r="CZ146" s="2">
        <v>4</v>
      </c>
      <c r="DA146" s="2">
        <v>7</v>
      </c>
      <c r="DB146" s="2">
        <v>5.5</v>
      </c>
      <c r="DC146" s="2">
        <v>5.5</v>
      </c>
      <c r="DD146" s="2">
        <v>4</v>
      </c>
      <c r="DE146" s="206">
        <f t="shared" si="573"/>
        <v>4.00000000004</v>
      </c>
      <c r="DF146" s="206">
        <f t="shared" si="574"/>
        <v>5.50000000002</v>
      </c>
      <c r="DG146" s="206">
        <f t="shared" si="575"/>
        <v>8.5000000000299991</v>
      </c>
      <c r="DH146" s="206">
        <f t="shared" si="576"/>
        <v>4.00000000001</v>
      </c>
      <c r="DI146" s="206">
        <f t="shared" si="577"/>
        <v>7.00000000005</v>
      </c>
      <c r="DJ146" s="206">
        <f t="shared" si="578"/>
        <v>5.50000000006</v>
      </c>
      <c r="DK146" s="206">
        <f t="shared" si="579"/>
        <v>5.50000000007</v>
      </c>
      <c r="DL146" s="206">
        <f t="shared" si="580"/>
        <v>4.00000000008</v>
      </c>
      <c r="DM146" s="2">
        <f t="shared" si="531"/>
        <v>4.00000000004</v>
      </c>
      <c r="DN146" s="2">
        <f t="shared" si="532"/>
        <v>5.50000000002</v>
      </c>
      <c r="DO146" s="2">
        <f t="shared" si="533"/>
        <v>8.5000000000299991</v>
      </c>
      <c r="DP146" s="2">
        <f t="shared" si="534"/>
        <v>4.00000000001</v>
      </c>
      <c r="DQ146" s="2">
        <f t="shared" si="535"/>
        <v>7.00000000005</v>
      </c>
      <c r="DR146" s="2">
        <f t="shared" si="536"/>
        <v>5.50000000006</v>
      </c>
      <c r="DS146" s="2">
        <f t="shared" si="537"/>
        <v>5.50000000007</v>
      </c>
      <c r="DT146" s="2">
        <f t="shared" si="538"/>
        <v>4.00000000008</v>
      </c>
      <c r="DU146" s="2" t="b">
        <f t="shared" si="614"/>
        <v>0</v>
      </c>
      <c r="DV146" s="2" t="b">
        <f t="shared" si="615"/>
        <v>1</v>
      </c>
      <c r="DW146" s="2" t="b">
        <f t="shared" si="616"/>
        <v>1</v>
      </c>
      <c r="DX146" s="2" t="b">
        <f t="shared" si="617"/>
        <v>0</v>
      </c>
      <c r="DY146" s="2" t="b">
        <f t="shared" si="600"/>
        <v>1</v>
      </c>
      <c r="DZ146" s="2" t="b">
        <f t="shared" si="601"/>
        <v>1</v>
      </c>
      <c r="EA146" s="2" t="b">
        <f t="shared" si="602"/>
        <v>1</v>
      </c>
      <c r="EB146" s="2" t="b">
        <f t="shared" si="603"/>
        <v>0</v>
      </c>
      <c r="EC146" s="2">
        <v>1</v>
      </c>
      <c r="ED146" s="2">
        <v>1</v>
      </c>
      <c r="EE146" s="2">
        <v>1</v>
      </c>
      <c r="EF146" s="2">
        <v>1</v>
      </c>
      <c r="EG146" s="2">
        <v>1</v>
      </c>
      <c r="EH146" s="2">
        <v>1</v>
      </c>
      <c r="EI146" s="2">
        <v>1</v>
      </c>
      <c r="EJ146" s="2">
        <v>1</v>
      </c>
      <c r="EK146" s="2">
        <v>5.5</v>
      </c>
      <c r="EL146" s="2">
        <v>5.5</v>
      </c>
      <c r="EM146" s="2">
        <v>7</v>
      </c>
      <c r="EN146" s="2">
        <v>5.5</v>
      </c>
      <c r="EO146" s="2">
        <v>7</v>
      </c>
      <c r="EP146" s="2">
        <v>7</v>
      </c>
      <c r="EQ146" s="2">
        <v>5.5</v>
      </c>
      <c r="ER146" s="2" t="s">
        <v>356</v>
      </c>
      <c r="ES146" s="206">
        <f t="shared" si="581"/>
        <v>5.50000000004</v>
      </c>
      <c r="ET146" s="206">
        <f t="shared" si="582"/>
        <v>5.50000000002</v>
      </c>
      <c r="EU146" s="206">
        <f t="shared" si="583"/>
        <v>7.00000000003</v>
      </c>
      <c r="EV146" s="206">
        <f t="shared" si="584"/>
        <v>5.50000000001</v>
      </c>
      <c r="EW146" s="206">
        <f t="shared" si="585"/>
        <v>7.00000000005</v>
      </c>
      <c r="EX146" s="206">
        <f t="shared" si="586"/>
        <v>7.00000000006</v>
      </c>
      <c r="EY146" s="206">
        <f t="shared" si="587"/>
        <v>5.50000000007</v>
      </c>
      <c r="EZ146" s="206">
        <f t="shared" si="588"/>
        <v>0</v>
      </c>
      <c r="FA146" s="2">
        <f t="shared" si="589"/>
        <v>5.50000000004</v>
      </c>
      <c r="FB146" s="2">
        <f t="shared" si="590"/>
        <v>5.50000000002</v>
      </c>
      <c r="FC146" s="2">
        <f t="shared" si="591"/>
        <v>7.00000000003</v>
      </c>
      <c r="FD146" s="2">
        <f t="shared" si="592"/>
        <v>5.50000000001</v>
      </c>
      <c r="FE146" s="2">
        <f t="shared" si="593"/>
        <v>7.00000000005</v>
      </c>
      <c r="FF146" s="2">
        <f t="shared" si="594"/>
        <v>7.00000000006</v>
      </c>
      <c r="FG146" s="2">
        <f t="shared" si="595"/>
        <v>5.50000000007</v>
      </c>
      <c r="FH146" s="2">
        <f t="shared" si="596"/>
        <v>0</v>
      </c>
      <c r="FI146" s="2" t="b">
        <f t="shared" si="604"/>
        <v>1</v>
      </c>
      <c r="FJ146" s="2" t="b">
        <f t="shared" si="605"/>
        <v>0</v>
      </c>
      <c r="FK146" s="2" t="b">
        <f t="shared" si="606"/>
        <v>1</v>
      </c>
      <c r="FL146" s="2" t="b">
        <f t="shared" si="607"/>
        <v>0</v>
      </c>
      <c r="FM146" s="2" t="b">
        <f t="shared" si="608"/>
        <v>1</v>
      </c>
      <c r="FN146" s="2" t="b">
        <f t="shared" si="609"/>
        <v>1</v>
      </c>
      <c r="FO146" s="2" t="b">
        <f t="shared" si="610"/>
        <v>1</v>
      </c>
      <c r="FP146" s="2" t="b">
        <f t="shared" si="611"/>
        <v>0</v>
      </c>
    </row>
    <row r="147" spans="1:172" ht="15.6">
      <c r="A147" s="2" t="s">
        <v>1356</v>
      </c>
      <c r="B147" s="2" t="s">
        <v>255</v>
      </c>
      <c r="C147" s="2" t="s">
        <v>813</v>
      </c>
      <c r="D147" s="2" t="s">
        <v>1357</v>
      </c>
      <c r="E147" s="2" t="s">
        <v>889</v>
      </c>
      <c r="F147" s="2" t="s">
        <v>356</v>
      </c>
      <c r="G147" s="2">
        <v>27.5</v>
      </c>
      <c r="H147" s="2">
        <v>26</v>
      </c>
      <c r="I147" s="2">
        <v>24.5</v>
      </c>
      <c r="J147" s="2">
        <f t="shared" si="562"/>
        <v>27.500000000220002</v>
      </c>
      <c r="K147" s="2">
        <f t="shared" si="563"/>
        <v>26.000000000289997</v>
      </c>
      <c r="L147" s="2">
        <f t="shared" si="564"/>
        <v>24.50000000028</v>
      </c>
      <c r="M147" s="364" t="s">
        <v>356</v>
      </c>
      <c r="N147" s="364" t="s">
        <v>356</v>
      </c>
      <c r="O147" s="364" t="s">
        <v>356</v>
      </c>
      <c r="P147" s="364" t="s">
        <v>356</v>
      </c>
      <c r="Q147" s="364" t="s">
        <v>356</v>
      </c>
      <c r="R147" s="2" t="s">
        <v>1358</v>
      </c>
      <c r="S147" s="2" t="s">
        <v>1177</v>
      </c>
      <c r="T147" s="2">
        <v>126</v>
      </c>
      <c r="U147" s="2" cm="1">
        <f t="array" ref="U147">IFERROR(INDEX('Offer Statistics'!$BQ$2:$BQ$400,MATCH(1,(A147='Offer Statistics'!$BB$2:$BB$400)*($A$11='Offer Statistics'!$BC$2:$BC$400),0)),"/")</f>
        <v>124</v>
      </c>
      <c r="V147" s="2" cm="1">
        <f t="array" ref="V147">IFERROR(INDEX('Offer Statistics'!$BD$2:$BD$400,MATCH(1,(A147='Offer Statistics'!$BB$2:$BB$400)*($A$11='Offer Statistics'!$BC$2:$BC$400),0)),"/")</f>
        <v>610</v>
      </c>
      <c r="W147" s="2" cm="1">
        <f t="array" ref="W147">IFERROR(INDEX('Offer Statistics'!$BL$2:$BL$400,MATCH(1,(A147='Offer Statistics'!$BB$2:$BB$400)*($A$11='Offer Statistics'!$BC$2:$BC$400),0)),"/")</f>
        <v>124</v>
      </c>
      <c r="X147" s="2">
        <f t="shared" si="502"/>
        <v>4.919354838709677</v>
      </c>
      <c r="Y147" s="2" t="s">
        <v>1177</v>
      </c>
      <c r="Z147" s="364" t="str">
        <f>入學要求!AF156</f>
        <v>/</v>
      </c>
      <c r="AA147" s="364" t="str">
        <f>入學要求!AG156</f>
        <v>/</v>
      </c>
      <c r="AB147" s="368" t="s">
        <v>889</v>
      </c>
      <c r="AC147" s="368"/>
      <c r="AD147" s="368"/>
      <c r="AE147" s="368" t="s">
        <v>356</v>
      </c>
      <c r="AF147" s="368" t="s">
        <v>356</v>
      </c>
      <c r="AG147" s="368" t="s">
        <v>356</v>
      </c>
      <c r="AH147" s="368" t="s">
        <v>356</v>
      </c>
      <c r="AI147" s="368" t="s">
        <v>356</v>
      </c>
      <c r="AJ147" s="2" t="s">
        <v>356</v>
      </c>
      <c r="AK147" s="2" t="s">
        <v>356</v>
      </c>
      <c r="AL147" s="2" t="s">
        <v>356</v>
      </c>
      <c r="AM147" s="2" t="s">
        <v>356</v>
      </c>
      <c r="AN147" s="2" t="s">
        <v>356</v>
      </c>
      <c r="AO147" s="2" t="s">
        <v>356</v>
      </c>
      <c r="AP147" s="2" t="s">
        <v>356</v>
      </c>
      <c r="AQ147" s="2" t="s">
        <v>356</v>
      </c>
      <c r="AS147" s="2" t="s">
        <v>820</v>
      </c>
      <c r="AU147" s="2" t="s">
        <v>1336</v>
      </c>
      <c r="AY147" s="2">
        <v>1</v>
      </c>
      <c r="AZ147" s="2">
        <v>1</v>
      </c>
      <c r="BA147" s="2">
        <v>1</v>
      </c>
      <c r="BB147" s="2">
        <v>1</v>
      </c>
      <c r="BC147" s="2">
        <v>1</v>
      </c>
      <c r="BD147" s="2">
        <v>1</v>
      </c>
      <c r="BE147" s="2">
        <v>1</v>
      </c>
      <c r="BF147" s="2">
        <v>1</v>
      </c>
      <c r="BG147" s="2" t="s">
        <v>1356</v>
      </c>
      <c r="BH147">
        <v>4</v>
      </c>
      <c r="BI147">
        <v>4</v>
      </c>
      <c r="BJ147">
        <v>4</v>
      </c>
      <c r="BK147">
        <v>4</v>
      </c>
      <c r="BL147" t="s">
        <v>356</v>
      </c>
      <c r="BM147">
        <v>7</v>
      </c>
      <c r="BN147">
        <v>5.5</v>
      </c>
      <c r="BO147">
        <v>4</v>
      </c>
      <c r="BP147" s="206">
        <f t="shared" si="565"/>
        <v>4.00000000004</v>
      </c>
      <c r="BQ147" s="206">
        <f t="shared" si="566"/>
        <v>4.00000000002</v>
      </c>
      <c r="BR147" s="206">
        <f t="shared" si="567"/>
        <v>4.00000000003</v>
      </c>
      <c r="BS147" s="206">
        <f t="shared" si="568"/>
        <v>4.00000000001</v>
      </c>
      <c r="BT147" s="206">
        <f t="shared" si="569"/>
        <v>0</v>
      </c>
      <c r="BU147" s="206">
        <f t="shared" si="570"/>
        <v>7.00000000006</v>
      </c>
      <c r="BV147" s="206">
        <f t="shared" si="571"/>
        <v>5.50000000007</v>
      </c>
      <c r="BW147" s="206">
        <f t="shared" si="572"/>
        <v>4.00000000008</v>
      </c>
      <c r="BX147" s="2">
        <f t="shared" si="509"/>
        <v>4.00000000004</v>
      </c>
      <c r="BY147" s="2">
        <f t="shared" si="510"/>
        <v>4.00000000002</v>
      </c>
      <c r="BZ147" s="2">
        <f t="shared" si="511"/>
        <v>4.00000000003</v>
      </c>
      <c r="CA147" s="2">
        <f t="shared" si="512"/>
        <v>4.00000000001</v>
      </c>
      <c r="CB147" s="2">
        <f t="shared" si="513"/>
        <v>0</v>
      </c>
      <c r="CC147" s="2">
        <f t="shared" si="514"/>
        <v>7.00000000006</v>
      </c>
      <c r="CD147" s="2">
        <f t="shared" si="515"/>
        <v>5.50000000007</v>
      </c>
      <c r="CE147" s="2">
        <f t="shared" si="516"/>
        <v>4.00000000008</v>
      </c>
      <c r="CF147" s="2" t="b">
        <f t="shared" ref="CF147:CI148" si="618">IF($E147="4C2X",TRUE,IF($E147="Best 5",IF(BX147&gt;LARGE($BX147:$CE147,6),TRUE),IF($E147="Best 6",IF(BX147&gt;LARGE($BX147:$CE147,7),TRUE))))</f>
        <v>1</v>
      </c>
      <c r="CG147" s="2" t="b">
        <f t="shared" si="618"/>
        <v>0</v>
      </c>
      <c r="CH147" s="2" t="b">
        <f t="shared" si="618"/>
        <v>1</v>
      </c>
      <c r="CI147" s="2" t="b">
        <f t="shared" si="618"/>
        <v>0</v>
      </c>
      <c r="CJ147" s="2" t="b">
        <f t="shared" ref="CJ147:CM148" si="619">IF($E147="4C2X",IF(CB147&gt;LARGE($CB147:$CE147,3),TRUE),IF($E147="Best 5",IF(CB147&gt;LARGE($BX147:$CE147,6),TRUE),IF($E147="Best 6",IF(CB147&gt;LARGE($BX147:$CE147,7),TRUE))))</f>
        <v>0</v>
      </c>
      <c r="CK147" s="2" t="b">
        <f t="shared" si="619"/>
        <v>1</v>
      </c>
      <c r="CL147" s="2" t="b">
        <f t="shared" si="619"/>
        <v>1</v>
      </c>
      <c r="CM147" s="2" t="b">
        <f t="shared" si="619"/>
        <v>1</v>
      </c>
      <c r="CN147" s="2">
        <v>1</v>
      </c>
      <c r="CO147" s="2">
        <v>1</v>
      </c>
      <c r="CP147" s="2">
        <v>1</v>
      </c>
      <c r="CQ147" s="2">
        <v>1</v>
      </c>
      <c r="CR147" s="2">
        <v>1</v>
      </c>
      <c r="CS147" s="2">
        <v>1</v>
      </c>
      <c r="CT147" s="2">
        <v>1</v>
      </c>
      <c r="CU147" s="2">
        <v>1</v>
      </c>
      <c r="CW147" s="2">
        <v>3</v>
      </c>
      <c r="CX147" s="2">
        <v>3</v>
      </c>
      <c r="CY147" s="2">
        <v>5.5</v>
      </c>
      <c r="CZ147" s="2">
        <v>3</v>
      </c>
      <c r="DA147" s="2">
        <v>7</v>
      </c>
      <c r="DB147" s="2">
        <v>5.5</v>
      </c>
      <c r="DC147" s="2">
        <v>4</v>
      </c>
      <c r="DD147" s="2">
        <v>4</v>
      </c>
      <c r="DE147" s="206">
        <f t="shared" si="573"/>
        <v>3.00000000004</v>
      </c>
      <c r="DF147" s="206">
        <f t="shared" si="574"/>
        <v>3.00000000002</v>
      </c>
      <c r="DG147" s="206">
        <f t="shared" si="575"/>
        <v>5.50000000003</v>
      </c>
      <c r="DH147" s="206">
        <f t="shared" si="576"/>
        <v>3.00000000001</v>
      </c>
      <c r="DI147" s="206">
        <f t="shared" si="577"/>
        <v>7.00000000005</v>
      </c>
      <c r="DJ147" s="206">
        <f t="shared" si="578"/>
        <v>5.50000000006</v>
      </c>
      <c r="DK147" s="206">
        <f t="shared" si="579"/>
        <v>4.00000000007</v>
      </c>
      <c r="DL147" s="206">
        <f t="shared" si="580"/>
        <v>4.00000000008</v>
      </c>
      <c r="DM147" s="2">
        <f t="shared" si="531"/>
        <v>3.00000000004</v>
      </c>
      <c r="DN147" s="2">
        <f t="shared" si="532"/>
        <v>3.00000000002</v>
      </c>
      <c r="DO147" s="2">
        <f t="shared" si="533"/>
        <v>5.50000000003</v>
      </c>
      <c r="DP147" s="2">
        <f t="shared" si="534"/>
        <v>3.00000000001</v>
      </c>
      <c r="DQ147" s="2">
        <f t="shared" si="535"/>
        <v>7.00000000005</v>
      </c>
      <c r="DR147" s="2">
        <f t="shared" si="536"/>
        <v>5.50000000006</v>
      </c>
      <c r="DS147" s="2">
        <f t="shared" si="537"/>
        <v>4.00000000007</v>
      </c>
      <c r="DT147" s="2">
        <f t="shared" si="538"/>
        <v>4.00000000008</v>
      </c>
      <c r="DU147" s="2" t="b">
        <f t="shared" si="614"/>
        <v>0</v>
      </c>
      <c r="DV147" s="2" t="b">
        <f t="shared" si="615"/>
        <v>0</v>
      </c>
      <c r="DW147" s="2" t="b">
        <f t="shared" si="616"/>
        <v>1</v>
      </c>
      <c r="DX147" s="2" t="b">
        <f t="shared" si="617"/>
        <v>0</v>
      </c>
      <c r="DY147" s="2" t="b">
        <f t="shared" si="600"/>
        <v>1</v>
      </c>
      <c r="DZ147" s="2" t="b">
        <f t="shared" si="601"/>
        <v>1</v>
      </c>
      <c r="EA147" s="2" t="b">
        <f t="shared" si="602"/>
        <v>1</v>
      </c>
      <c r="EB147" s="2" t="b">
        <f t="shared" si="603"/>
        <v>1</v>
      </c>
      <c r="EC147" s="2">
        <v>1</v>
      </c>
      <c r="ED147" s="2">
        <v>1</v>
      </c>
      <c r="EE147" s="2">
        <v>1</v>
      </c>
      <c r="EF147" s="2">
        <v>1</v>
      </c>
      <c r="EG147" s="2">
        <v>1</v>
      </c>
      <c r="EH147" s="2">
        <v>1</v>
      </c>
      <c r="EI147" s="2">
        <v>1</v>
      </c>
      <c r="EJ147" s="2">
        <v>1</v>
      </c>
      <c r="EK147" s="2">
        <v>4</v>
      </c>
      <c r="EL147" s="2">
        <v>4</v>
      </c>
      <c r="EM147" s="2">
        <v>5.5</v>
      </c>
      <c r="EN147" s="2">
        <v>4</v>
      </c>
      <c r="EO147" s="2" t="s">
        <v>356</v>
      </c>
      <c r="EP147" s="2">
        <v>7</v>
      </c>
      <c r="EQ147" s="2">
        <v>7</v>
      </c>
      <c r="ER147" s="2" t="s">
        <v>356</v>
      </c>
      <c r="ES147" s="206">
        <f t="shared" si="581"/>
        <v>4.00000000004</v>
      </c>
      <c r="ET147" s="206">
        <f t="shared" si="582"/>
        <v>4.00000000002</v>
      </c>
      <c r="EU147" s="206">
        <f t="shared" si="583"/>
        <v>5.50000000003</v>
      </c>
      <c r="EV147" s="206">
        <f t="shared" si="584"/>
        <v>4.00000000001</v>
      </c>
      <c r="EW147" s="206">
        <f t="shared" si="585"/>
        <v>0</v>
      </c>
      <c r="EX147" s="206">
        <f t="shared" si="586"/>
        <v>7.00000000006</v>
      </c>
      <c r="EY147" s="206">
        <f t="shared" si="587"/>
        <v>7.00000000007</v>
      </c>
      <c r="EZ147" s="206">
        <f t="shared" si="588"/>
        <v>0</v>
      </c>
      <c r="FA147" s="2">
        <f t="shared" si="589"/>
        <v>4.00000000004</v>
      </c>
      <c r="FB147" s="2">
        <f t="shared" si="590"/>
        <v>4.00000000002</v>
      </c>
      <c r="FC147" s="2">
        <f t="shared" si="591"/>
        <v>5.50000000003</v>
      </c>
      <c r="FD147" s="2">
        <f t="shared" si="592"/>
        <v>4.00000000001</v>
      </c>
      <c r="FE147" s="2">
        <f t="shared" si="593"/>
        <v>0</v>
      </c>
      <c r="FF147" s="2">
        <f t="shared" si="594"/>
        <v>7.00000000006</v>
      </c>
      <c r="FG147" s="2">
        <f t="shared" si="595"/>
        <v>7.00000000007</v>
      </c>
      <c r="FH147" s="2">
        <f t="shared" si="596"/>
        <v>0</v>
      </c>
      <c r="FI147" s="2" t="b">
        <f t="shared" si="604"/>
        <v>1</v>
      </c>
      <c r="FJ147" s="2" t="b">
        <f t="shared" si="605"/>
        <v>1</v>
      </c>
      <c r="FK147" s="2" t="b">
        <f t="shared" si="606"/>
        <v>1</v>
      </c>
      <c r="FL147" s="2" t="b">
        <f t="shared" si="607"/>
        <v>0</v>
      </c>
      <c r="FM147" s="2" t="b">
        <f t="shared" si="608"/>
        <v>0</v>
      </c>
      <c r="FN147" s="2" t="b">
        <f t="shared" si="609"/>
        <v>1</v>
      </c>
      <c r="FO147" s="2" t="b">
        <f t="shared" si="610"/>
        <v>1</v>
      </c>
      <c r="FP147" s="2" t="b">
        <f t="shared" si="611"/>
        <v>0</v>
      </c>
    </row>
    <row r="148" spans="1:172" ht="15.6">
      <c r="A148" s="2" t="s">
        <v>1359</v>
      </c>
      <c r="B148" s="2" t="s">
        <v>255</v>
      </c>
      <c r="C148" s="2" t="s">
        <v>813</v>
      </c>
      <c r="D148" s="2" t="s">
        <v>1360</v>
      </c>
      <c r="E148" s="2" t="s">
        <v>889</v>
      </c>
      <c r="F148" s="2" t="s">
        <v>356</v>
      </c>
      <c r="G148" s="2">
        <v>54</v>
      </c>
      <c r="H148" s="2">
        <v>52.5</v>
      </c>
      <c r="I148" s="2">
        <v>51</v>
      </c>
      <c r="J148" s="2">
        <f t="shared" si="562"/>
        <v>54.000000000314998</v>
      </c>
      <c r="K148" s="2">
        <f t="shared" si="563"/>
        <v>52.50000000031001</v>
      </c>
      <c r="L148" s="2">
        <f t="shared" si="564"/>
        <v>51.000000000340002</v>
      </c>
      <c r="M148" s="364" t="s">
        <v>356</v>
      </c>
      <c r="N148" s="364" t="s">
        <v>356</v>
      </c>
      <c r="O148" s="364" t="s">
        <v>915</v>
      </c>
      <c r="P148" s="364" t="s">
        <v>1361</v>
      </c>
      <c r="Q148" s="364" t="s">
        <v>356</v>
      </c>
      <c r="R148" s="2" t="s">
        <v>187</v>
      </c>
      <c r="S148" s="2" t="s">
        <v>1177</v>
      </c>
      <c r="T148" s="2">
        <v>37</v>
      </c>
      <c r="U148" s="2" cm="1">
        <f t="array" ref="U148">IFERROR(INDEX('Offer Statistics'!$BQ$2:$BQ$400,MATCH(1,(A148='Offer Statistics'!$BB$2:$BB$400)*($A$11='Offer Statistics'!$BC$2:$BC$400),0)),"/")</f>
        <v>36</v>
      </c>
      <c r="V148" s="2" cm="1">
        <f t="array" ref="V148">IFERROR(INDEX('Offer Statistics'!$BD$2:$BD$400,MATCH(1,(A148='Offer Statistics'!$BB$2:$BB$400)*($A$11='Offer Statistics'!$BC$2:$BC$400),0)),"/")</f>
        <v>167</v>
      </c>
      <c r="W148" s="2" cm="1">
        <f t="array" ref="W148">IFERROR(INDEX('Offer Statistics'!$BL$2:$BL$400,MATCH(1,(A148='Offer Statistics'!$BB$2:$BB$400)*($A$11='Offer Statistics'!$BC$2:$BC$400),0)),"/")</f>
        <v>36</v>
      </c>
      <c r="X148" s="2">
        <f t="shared" si="502"/>
        <v>4.6388888888888893</v>
      </c>
      <c r="Y148" s="2" t="s">
        <v>1177</v>
      </c>
      <c r="Z148" s="364" t="str">
        <f>入學要求!AF157</f>
        <v>/</v>
      </c>
      <c r="AA148" s="364" t="str">
        <f>入學要求!AG157</f>
        <v>/</v>
      </c>
      <c r="AB148" s="401" t="s">
        <v>889</v>
      </c>
      <c r="AC148" s="368"/>
      <c r="AD148" s="368"/>
      <c r="AE148" s="368" t="s">
        <v>356</v>
      </c>
      <c r="AF148" s="368" t="s">
        <v>356</v>
      </c>
      <c r="AG148" s="368" t="s">
        <v>915</v>
      </c>
      <c r="AH148" s="368" t="s">
        <v>1361</v>
      </c>
      <c r="AI148" s="368" t="s">
        <v>356</v>
      </c>
      <c r="AJ148" s="2" t="s">
        <v>356</v>
      </c>
      <c r="AK148" s="2" t="s">
        <v>356</v>
      </c>
      <c r="AL148" s="2" t="s">
        <v>356</v>
      </c>
      <c r="AM148" s="2" t="s">
        <v>356</v>
      </c>
      <c r="AN148" s="2" t="s">
        <v>356</v>
      </c>
      <c r="AO148" s="2" t="s">
        <v>356</v>
      </c>
      <c r="AP148" s="2" t="s">
        <v>356</v>
      </c>
      <c r="AQ148" s="2" t="s">
        <v>356</v>
      </c>
      <c r="AS148" s="2" t="s">
        <v>820</v>
      </c>
      <c r="AU148" s="2" t="s">
        <v>1336</v>
      </c>
      <c r="AY148" s="2">
        <v>1</v>
      </c>
      <c r="AZ148" s="2">
        <v>2</v>
      </c>
      <c r="BA148" s="2">
        <v>2</v>
      </c>
      <c r="BB148" s="2">
        <v>1</v>
      </c>
      <c r="BC148" s="2">
        <v>1</v>
      </c>
      <c r="BD148" s="150">
        <v>1.5</v>
      </c>
      <c r="BE148" s="2">
        <v>1</v>
      </c>
      <c r="BF148" s="2">
        <v>1</v>
      </c>
      <c r="BG148" s="2" t="s">
        <v>1359</v>
      </c>
      <c r="BH148">
        <v>5.5</v>
      </c>
      <c r="BI148">
        <v>7</v>
      </c>
      <c r="BJ148">
        <v>7</v>
      </c>
      <c r="BK148">
        <v>4</v>
      </c>
      <c r="BL148">
        <v>4</v>
      </c>
      <c r="BM148">
        <v>7</v>
      </c>
      <c r="BN148">
        <v>7</v>
      </c>
      <c r="BO148">
        <v>5.5</v>
      </c>
      <c r="BP148" s="206">
        <f t="shared" si="565"/>
        <v>5.50000000004</v>
      </c>
      <c r="BQ148" s="206">
        <f t="shared" si="566"/>
        <v>7.00000000002</v>
      </c>
      <c r="BR148" s="206">
        <f t="shared" si="567"/>
        <v>7.00000000003</v>
      </c>
      <c r="BS148" s="206">
        <f t="shared" si="568"/>
        <v>4.00000000001</v>
      </c>
      <c r="BT148" s="206">
        <f t="shared" si="569"/>
        <v>4.00000000005</v>
      </c>
      <c r="BU148" s="206">
        <f t="shared" si="570"/>
        <v>7.00000000006</v>
      </c>
      <c r="BV148" s="206">
        <f t="shared" si="571"/>
        <v>7.00000000007</v>
      </c>
      <c r="BW148" s="206">
        <f t="shared" si="572"/>
        <v>5.50000000008</v>
      </c>
      <c r="BX148" s="2">
        <f t="shared" si="509"/>
        <v>5.50000000004</v>
      </c>
      <c r="BY148" s="2">
        <f t="shared" si="510"/>
        <v>14.00000000004</v>
      </c>
      <c r="BZ148" s="2">
        <f t="shared" si="511"/>
        <v>14.00000000006</v>
      </c>
      <c r="CA148" s="2">
        <f t="shared" si="512"/>
        <v>4.00000000001</v>
      </c>
      <c r="CB148" s="2">
        <f t="shared" si="513"/>
        <v>4.00000000005</v>
      </c>
      <c r="CC148" s="2">
        <f t="shared" si="514"/>
        <v>10.500000000090001</v>
      </c>
      <c r="CD148" s="2">
        <f t="shared" si="515"/>
        <v>7.00000000007</v>
      </c>
      <c r="CE148" s="2">
        <f t="shared" si="516"/>
        <v>5.50000000008</v>
      </c>
      <c r="CF148" s="2" t="b">
        <f t="shared" si="618"/>
        <v>0</v>
      </c>
      <c r="CG148" s="2" t="b">
        <f t="shared" si="618"/>
        <v>1</v>
      </c>
      <c r="CH148" s="2" t="b">
        <f t="shared" si="618"/>
        <v>1</v>
      </c>
      <c r="CI148" s="2" t="b">
        <f t="shared" si="618"/>
        <v>0</v>
      </c>
      <c r="CJ148" s="2" t="b">
        <f t="shared" si="619"/>
        <v>0</v>
      </c>
      <c r="CK148" s="2" t="b">
        <f t="shared" si="619"/>
        <v>1</v>
      </c>
      <c r="CL148" s="2" t="b">
        <f t="shared" si="619"/>
        <v>1</v>
      </c>
      <c r="CM148" s="2" t="b">
        <f t="shared" si="619"/>
        <v>1</v>
      </c>
      <c r="CN148" s="2">
        <v>1</v>
      </c>
      <c r="CO148" s="2">
        <v>2</v>
      </c>
      <c r="CP148" s="2">
        <v>2</v>
      </c>
      <c r="CQ148" s="2">
        <v>1</v>
      </c>
      <c r="CR148" s="2">
        <v>1</v>
      </c>
      <c r="CS148" s="215">
        <v>1.5</v>
      </c>
      <c r="CT148" s="2">
        <v>1</v>
      </c>
      <c r="CU148" s="2">
        <v>1</v>
      </c>
      <c r="CW148" s="2">
        <v>5.5</v>
      </c>
      <c r="CX148" s="2">
        <v>7</v>
      </c>
      <c r="CY148" s="2">
        <v>7</v>
      </c>
      <c r="CZ148" s="2">
        <v>4</v>
      </c>
      <c r="DA148" s="2">
        <v>7</v>
      </c>
      <c r="DB148" s="2">
        <v>7</v>
      </c>
      <c r="DC148" s="2">
        <v>7</v>
      </c>
      <c r="DD148" s="2" t="s">
        <v>356</v>
      </c>
      <c r="DE148" s="206">
        <f t="shared" si="573"/>
        <v>5.50000000004</v>
      </c>
      <c r="DF148" s="206">
        <f t="shared" si="574"/>
        <v>7.00000000002</v>
      </c>
      <c r="DG148" s="206">
        <f t="shared" si="575"/>
        <v>7.00000000003</v>
      </c>
      <c r="DH148" s="206">
        <f t="shared" si="576"/>
        <v>4.00000000001</v>
      </c>
      <c r="DI148" s="206">
        <f t="shared" si="577"/>
        <v>7.00000000005</v>
      </c>
      <c r="DJ148" s="206">
        <f t="shared" si="578"/>
        <v>7.00000000006</v>
      </c>
      <c r="DK148" s="206">
        <f t="shared" si="579"/>
        <v>7.00000000007</v>
      </c>
      <c r="DL148" s="206">
        <f t="shared" si="580"/>
        <v>0</v>
      </c>
      <c r="DM148" s="2">
        <f t="shared" si="531"/>
        <v>5.50000000004</v>
      </c>
      <c r="DN148" s="2">
        <f t="shared" si="532"/>
        <v>14.00000000004</v>
      </c>
      <c r="DO148" s="2">
        <f t="shared" si="533"/>
        <v>14.00000000006</v>
      </c>
      <c r="DP148" s="2">
        <f t="shared" si="534"/>
        <v>4.00000000001</v>
      </c>
      <c r="DQ148" s="2">
        <f t="shared" si="535"/>
        <v>7.00000000005</v>
      </c>
      <c r="DR148" s="2">
        <f t="shared" si="536"/>
        <v>10.500000000090001</v>
      </c>
      <c r="DS148" s="2">
        <f t="shared" si="537"/>
        <v>7.00000000007</v>
      </c>
      <c r="DT148" s="2">
        <f t="shared" si="538"/>
        <v>0</v>
      </c>
      <c r="DU148" s="2" t="b">
        <f t="shared" si="614"/>
        <v>0</v>
      </c>
      <c r="DV148" s="2" t="b">
        <f t="shared" si="615"/>
        <v>1</v>
      </c>
      <c r="DW148" s="2" t="b">
        <f t="shared" si="616"/>
        <v>1</v>
      </c>
      <c r="DX148" s="2" t="b">
        <f t="shared" si="617"/>
        <v>0</v>
      </c>
      <c r="DY148" s="2" t="b">
        <f t="shared" si="600"/>
        <v>1</v>
      </c>
      <c r="DZ148" s="2" t="b">
        <f t="shared" si="601"/>
        <v>1</v>
      </c>
      <c r="EA148" s="2" t="b">
        <f t="shared" si="602"/>
        <v>1</v>
      </c>
      <c r="EB148" s="2" t="b">
        <f t="shared" si="603"/>
        <v>0</v>
      </c>
      <c r="EC148" s="2">
        <v>1</v>
      </c>
      <c r="ED148" s="2">
        <v>2</v>
      </c>
      <c r="EE148" s="2">
        <v>2</v>
      </c>
      <c r="EF148" s="2">
        <v>1</v>
      </c>
      <c r="EG148" s="2">
        <v>1</v>
      </c>
      <c r="EH148" s="150">
        <v>1</v>
      </c>
      <c r="EI148" s="2">
        <v>1.5</v>
      </c>
      <c r="EJ148" s="2">
        <v>1</v>
      </c>
      <c r="EK148" s="2">
        <v>3</v>
      </c>
      <c r="EL148" s="2">
        <v>7</v>
      </c>
      <c r="EM148" s="2">
        <v>7</v>
      </c>
      <c r="EN148" s="2">
        <v>4</v>
      </c>
      <c r="EO148" s="2">
        <v>7</v>
      </c>
      <c r="EP148" s="2">
        <v>8.5</v>
      </c>
      <c r="EQ148" s="2">
        <v>7</v>
      </c>
      <c r="ER148" s="2">
        <v>4</v>
      </c>
      <c r="ES148" s="206">
        <f t="shared" si="581"/>
        <v>3.00000000004</v>
      </c>
      <c r="ET148" s="206">
        <f t="shared" si="582"/>
        <v>7.00000000002</v>
      </c>
      <c r="EU148" s="206">
        <f t="shared" si="583"/>
        <v>7.00000000003</v>
      </c>
      <c r="EV148" s="206">
        <f t="shared" si="584"/>
        <v>4.00000000001</v>
      </c>
      <c r="EW148" s="206">
        <f t="shared" si="585"/>
        <v>7.00000000005</v>
      </c>
      <c r="EX148" s="206">
        <f t="shared" si="586"/>
        <v>8.50000000006</v>
      </c>
      <c r="EY148" s="206">
        <f t="shared" si="587"/>
        <v>7.00000000007</v>
      </c>
      <c r="EZ148" s="206">
        <f t="shared" si="588"/>
        <v>4.00000000008</v>
      </c>
      <c r="FA148" s="2">
        <f t="shared" si="589"/>
        <v>3.00000000004</v>
      </c>
      <c r="FB148" s="2">
        <f t="shared" si="590"/>
        <v>14.00000000004</v>
      </c>
      <c r="FC148" s="2">
        <f t="shared" si="591"/>
        <v>14.00000000006</v>
      </c>
      <c r="FD148" s="2">
        <f t="shared" si="592"/>
        <v>4.00000000001</v>
      </c>
      <c r="FE148" s="2">
        <f t="shared" si="593"/>
        <v>7.00000000005</v>
      </c>
      <c r="FF148" s="2">
        <f t="shared" si="594"/>
        <v>8.50000000006</v>
      </c>
      <c r="FG148" s="2">
        <f t="shared" si="595"/>
        <v>10.500000000105</v>
      </c>
      <c r="FH148" s="2">
        <f t="shared" si="596"/>
        <v>4.00000000008</v>
      </c>
      <c r="FI148" s="2" t="b">
        <f t="shared" si="604"/>
        <v>0</v>
      </c>
      <c r="FJ148" s="2" t="b">
        <f t="shared" si="605"/>
        <v>1</v>
      </c>
      <c r="FK148" s="2" t="b">
        <f t="shared" si="606"/>
        <v>1</v>
      </c>
      <c r="FL148" s="2" t="b">
        <f t="shared" si="607"/>
        <v>0</v>
      </c>
      <c r="FM148" s="2" t="b">
        <f t="shared" si="608"/>
        <v>1</v>
      </c>
      <c r="FN148" s="2" t="b">
        <f t="shared" si="609"/>
        <v>1</v>
      </c>
      <c r="FO148" s="2" t="b">
        <f t="shared" si="610"/>
        <v>1</v>
      </c>
      <c r="FP148" s="2" t="b">
        <f t="shared" si="611"/>
        <v>0</v>
      </c>
    </row>
    <row r="149" spans="1:172" ht="15.6">
      <c r="A149" s="2" t="s">
        <v>1362</v>
      </c>
      <c r="B149" s="2" t="s">
        <v>255</v>
      </c>
      <c r="C149" s="2" t="s">
        <v>1363</v>
      </c>
      <c r="D149" s="2" t="s">
        <v>1364</v>
      </c>
      <c r="E149" s="2" t="s">
        <v>889</v>
      </c>
      <c r="F149" s="2" t="s">
        <v>356</v>
      </c>
      <c r="G149" s="2">
        <v>35</v>
      </c>
      <c r="H149" s="2">
        <v>33.5</v>
      </c>
      <c r="I149" s="2">
        <v>32</v>
      </c>
      <c r="J149" s="2">
        <f t="shared" si="562"/>
        <v>35.000000000199996</v>
      </c>
      <c r="K149" s="2">
        <f t="shared" si="563"/>
        <v>33.50000000016</v>
      </c>
      <c r="L149" s="2">
        <f t="shared" si="564"/>
        <v>32.000000000220005</v>
      </c>
      <c r="M149" s="364" t="s">
        <v>887</v>
      </c>
      <c r="N149" s="364" t="s">
        <v>1366</v>
      </c>
      <c r="O149" s="364" t="s">
        <v>356</v>
      </c>
      <c r="P149" s="364" t="s">
        <v>356</v>
      </c>
      <c r="Q149" s="364" t="s">
        <v>356</v>
      </c>
      <c r="R149" s="2" t="s">
        <v>1365</v>
      </c>
      <c r="S149" s="2" t="s">
        <v>1177</v>
      </c>
      <c r="T149" s="2">
        <v>24</v>
      </c>
      <c r="U149" s="2" cm="1">
        <f t="array" ref="U149">IFERROR(INDEX('Offer Statistics'!$BQ$2:$BQ$400,MATCH(1,(A149='Offer Statistics'!$BB$2:$BB$400)*($A$11='Offer Statistics'!$BC$2:$BC$400),0)),"/")</f>
        <v>16</v>
      </c>
      <c r="V149" s="2" cm="1">
        <f t="array" ref="V149">IFERROR(INDEX('Offer Statistics'!$BD$2:$BD$400,MATCH(1,(A149='Offer Statistics'!$BB$2:$BB$400)*($A$11='Offer Statistics'!$BC$2:$BC$400),0)),"/")</f>
        <v>120</v>
      </c>
      <c r="W149" s="2" cm="1">
        <f t="array" ref="W149">IFERROR(INDEX('Offer Statistics'!$BL$2:$BL$400,MATCH(1,(A149='Offer Statistics'!$BB$2:$BB$400)*($A$11='Offer Statistics'!$BC$2:$BC$400),0)),"/")</f>
        <v>16</v>
      </c>
      <c r="X149" s="2">
        <f t="shared" si="502"/>
        <v>7.5</v>
      </c>
      <c r="Y149" s="2" t="s">
        <v>1177</v>
      </c>
      <c r="Z149" s="364" t="str">
        <f>入學要求!AF158</f>
        <v>/</v>
      </c>
      <c r="AA149" s="364" t="str">
        <f>入學要求!AG158</f>
        <v>/</v>
      </c>
      <c r="AB149" s="368" t="s">
        <v>889</v>
      </c>
      <c r="AC149" s="368"/>
      <c r="AD149" s="368"/>
      <c r="AE149" s="368" t="s">
        <v>887</v>
      </c>
      <c r="AF149" s="368" t="s">
        <v>1366</v>
      </c>
      <c r="AG149" s="368" t="s">
        <v>356</v>
      </c>
      <c r="AH149" s="368" t="s">
        <v>356</v>
      </c>
      <c r="AI149" s="368" t="s">
        <v>356</v>
      </c>
      <c r="AJ149" s="2" t="s">
        <v>356</v>
      </c>
      <c r="AK149" s="2" t="s">
        <v>356</v>
      </c>
      <c r="AL149" s="2" t="s">
        <v>356</v>
      </c>
      <c r="AM149" s="2" t="s">
        <v>356</v>
      </c>
      <c r="AN149" s="2" t="s">
        <v>356</v>
      </c>
      <c r="AO149" s="2" t="s">
        <v>356</v>
      </c>
      <c r="AP149" s="2" t="s">
        <v>356</v>
      </c>
      <c r="AQ149" s="2" t="s">
        <v>356</v>
      </c>
      <c r="AS149" s="2" t="s">
        <v>820</v>
      </c>
      <c r="AU149" s="2" t="s">
        <v>817</v>
      </c>
      <c r="AY149" s="2">
        <v>1</v>
      </c>
      <c r="AZ149" s="2">
        <v>1</v>
      </c>
      <c r="BA149" s="2">
        <v>1</v>
      </c>
      <c r="BB149" s="2">
        <v>1</v>
      </c>
      <c r="BC149" s="2">
        <v>1</v>
      </c>
      <c r="BD149" s="2">
        <v>1</v>
      </c>
      <c r="BE149" s="2">
        <v>1</v>
      </c>
      <c r="BF149" s="2">
        <v>1</v>
      </c>
      <c r="BG149" s="2" t="s">
        <v>1362</v>
      </c>
      <c r="BH149">
        <v>7</v>
      </c>
      <c r="BI149">
        <v>5.5</v>
      </c>
      <c r="BJ149">
        <v>7</v>
      </c>
      <c r="BK149">
        <v>5.5</v>
      </c>
      <c r="BL149" t="s">
        <v>356</v>
      </c>
      <c r="BM149">
        <v>7</v>
      </c>
      <c r="BN149">
        <v>5.5</v>
      </c>
      <c r="BO149">
        <v>4</v>
      </c>
      <c r="BP149" s="206">
        <f t="shared" si="565"/>
        <v>7.00000000004</v>
      </c>
      <c r="BQ149" s="206">
        <f t="shared" si="566"/>
        <v>5.50000000002</v>
      </c>
      <c r="BR149" s="206">
        <f t="shared" si="567"/>
        <v>7.00000000003</v>
      </c>
      <c r="BS149" s="206">
        <f t="shared" si="568"/>
        <v>5.50000000001</v>
      </c>
      <c r="BT149" s="206">
        <f t="shared" si="569"/>
        <v>0</v>
      </c>
      <c r="BU149" s="206">
        <f t="shared" si="570"/>
        <v>7.00000000006</v>
      </c>
      <c r="BV149" s="206">
        <f t="shared" si="571"/>
        <v>5.50000000007</v>
      </c>
      <c r="BW149" s="206">
        <f t="shared" si="572"/>
        <v>4.00000000008</v>
      </c>
      <c r="BX149" s="2">
        <f t="shared" si="509"/>
        <v>7.00000000004</v>
      </c>
      <c r="BY149" s="2">
        <f t="shared" si="510"/>
        <v>5.50000000002</v>
      </c>
      <c r="BZ149" s="2">
        <f t="shared" si="511"/>
        <v>7.00000000003</v>
      </c>
      <c r="CA149" s="2">
        <f t="shared" si="512"/>
        <v>5.50000000001</v>
      </c>
      <c r="CB149" s="2">
        <f t="shared" si="513"/>
        <v>0</v>
      </c>
      <c r="CC149" s="2">
        <f t="shared" si="514"/>
        <v>7.00000000006</v>
      </c>
      <c r="CD149" s="2">
        <f t="shared" si="515"/>
        <v>5.50000000007</v>
      </c>
      <c r="CE149" s="2">
        <f t="shared" si="516"/>
        <v>4.00000000008</v>
      </c>
      <c r="CF149" s="128" t="b">
        <f>IF(BX149&gt;LARGE(($BX149,$BZ149:$CE149),5),TRUE)</f>
        <v>1</v>
      </c>
      <c r="CG149" s="128" t="b">
        <v>1</v>
      </c>
      <c r="CH149" s="128" t="b">
        <f>IF(BZ149&gt;LARGE(($BX149,$BZ149:$CE149),5),TRUE)</f>
        <v>1</v>
      </c>
      <c r="CI149" s="128" t="b">
        <f>IF(CA149&gt;LARGE(($BX149,$BZ149:$CE149),5),TRUE)</f>
        <v>0</v>
      </c>
      <c r="CJ149" s="128" t="b">
        <f>IF(CB149&gt;LARGE(($BX149,$BZ149:$CE149),5),TRUE)</f>
        <v>0</v>
      </c>
      <c r="CK149" s="128" t="b">
        <f>IF(CC149&gt;LARGE(($BX149,$BZ149:$CE149),5),TRUE)</f>
        <v>1</v>
      </c>
      <c r="CL149" s="128" t="b">
        <f>IF(CD149&gt;LARGE(($BX149,$BZ149:$CE149),5),TRUE)</f>
        <v>1</v>
      </c>
      <c r="CM149" s="128" t="b">
        <f>IF(CE149&gt;LARGE(($BX149,$BZ149:$CE149),5),TRUE)</f>
        <v>0</v>
      </c>
      <c r="CN149" s="2">
        <v>1</v>
      </c>
      <c r="CO149" s="2">
        <v>1</v>
      </c>
      <c r="CP149" s="2">
        <v>1</v>
      </c>
      <c r="CQ149" s="2">
        <v>1</v>
      </c>
      <c r="CR149" s="2">
        <v>1</v>
      </c>
      <c r="CS149" s="2">
        <v>1</v>
      </c>
      <c r="CT149" s="2">
        <v>1</v>
      </c>
      <c r="CU149" s="2">
        <v>1</v>
      </c>
      <c r="CW149" s="2">
        <v>7</v>
      </c>
      <c r="CX149" s="2">
        <v>5.5</v>
      </c>
      <c r="CY149" s="2">
        <v>5.5</v>
      </c>
      <c r="CZ149" s="2">
        <v>7</v>
      </c>
      <c r="DA149" s="2" t="s">
        <v>356</v>
      </c>
      <c r="DB149" s="2">
        <v>8.5</v>
      </c>
      <c r="DC149" s="2">
        <v>3</v>
      </c>
      <c r="DD149" s="2">
        <v>3</v>
      </c>
      <c r="DE149" s="206">
        <f t="shared" si="573"/>
        <v>7.00000000004</v>
      </c>
      <c r="DF149" s="206">
        <f t="shared" si="574"/>
        <v>5.50000000002</v>
      </c>
      <c r="DG149" s="206">
        <f t="shared" si="575"/>
        <v>5.50000000003</v>
      </c>
      <c r="DH149" s="206">
        <f t="shared" si="576"/>
        <v>7.00000000001</v>
      </c>
      <c r="DI149" s="206">
        <f t="shared" si="577"/>
        <v>0</v>
      </c>
      <c r="DJ149" s="206">
        <f t="shared" si="578"/>
        <v>8.50000000006</v>
      </c>
      <c r="DK149" s="206">
        <f t="shared" si="579"/>
        <v>3.00000000007</v>
      </c>
      <c r="DL149" s="206">
        <f t="shared" si="580"/>
        <v>3.00000000008</v>
      </c>
      <c r="DM149" s="2">
        <f t="shared" si="531"/>
        <v>7.00000000004</v>
      </c>
      <c r="DN149" s="2">
        <f t="shared" si="532"/>
        <v>5.50000000002</v>
      </c>
      <c r="DO149" s="2">
        <f t="shared" si="533"/>
        <v>5.50000000003</v>
      </c>
      <c r="DP149" s="2">
        <f t="shared" si="534"/>
        <v>7.00000000001</v>
      </c>
      <c r="DQ149" s="2">
        <f t="shared" si="535"/>
        <v>0</v>
      </c>
      <c r="DR149" s="2">
        <f t="shared" si="536"/>
        <v>8.50000000006</v>
      </c>
      <c r="DS149" s="2">
        <f t="shared" si="537"/>
        <v>3.00000000007</v>
      </c>
      <c r="DT149" s="2">
        <f t="shared" si="538"/>
        <v>3.00000000008</v>
      </c>
      <c r="DU149" s="2" t="b">
        <f t="shared" si="614"/>
        <v>1</v>
      </c>
      <c r="DV149" s="2" t="b">
        <f t="shared" si="615"/>
        <v>1</v>
      </c>
      <c r="DW149" s="2" t="b">
        <f t="shared" si="616"/>
        <v>1</v>
      </c>
      <c r="DX149" s="2" t="b">
        <f t="shared" si="617"/>
        <v>1</v>
      </c>
      <c r="DY149" s="2" t="b">
        <f t="shared" si="600"/>
        <v>0</v>
      </c>
      <c r="DZ149" s="2" t="b">
        <f t="shared" si="601"/>
        <v>1</v>
      </c>
      <c r="EA149" s="2" t="b">
        <f t="shared" si="602"/>
        <v>0</v>
      </c>
      <c r="EB149" s="2" t="b">
        <f t="shared" si="603"/>
        <v>0</v>
      </c>
      <c r="EC149" s="2">
        <v>1</v>
      </c>
      <c r="ED149" s="2">
        <v>1</v>
      </c>
      <c r="EE149" s="2">
        <v>1</v>
      </c>
      <c r="EF149" s="2">
        <v>1</v>
      </c>
      <c r="EG149" s="2">
        <v>1</v>
      </c>
      <c r="EH149" s="2">
        <v>1</v>
      </c>
      <c r="EI149" s="2">
        <v>1</v>
      </c>
      <c r="EJ149" s="2">
        <v>1</v>
      </c>
      <c r="EK149" s="2">
        <v>5.5</v>
      </c>
      <c r="EL149" s="2">
        <v>7</v>
      </c>
      <c r="EM149" s="2">
        <v>8.5</v>
      </c>
      <c r="EN149" s="2">
        <v>4</v>
      </c>
      <c r="EO149" s="2">
        <v>7</v>
      </c>
      <c r="EP149" s="2">
        <v>7</v>
      </c>
      <c r="EQ149" s="2">
        <v>3</v>
      </c>
      <c r="ER149" s="2" t="s">
        <v>356</v>
      </c>
      <c r="ES149" s="206">
        <f t="shared" si="581"/>
        <v>5.50000000004</v>
      </c>
      <c r="ET149" s="206">
        <f t="shared" si="582"/>
        <v>7.00000000002</v>
      </c>
      <c r="EU149" s="206">
        <f t="shared" si="583"/>
        <v>8.5000000000299991</v>
      </c>
      <c r="EV149" s="206">
        <f t="shared" si="584"/>
        <v>4.00000000001</v>
      </c>
      <c r="EW149" s="206">
        <f t="shared" si="585"/>
        <v>7.00000000005</v>
      </c>
      <c r="EX149" s="206">
        <f t="shared" si="586"/>
        <v>7.00000000006</v>
      </c>
      <c r="EY149" s="206">
        <f t="shared" si="587"/>
        <v>3.00000000007</v>
      </c>
      <c r="EZ149" s="206">
        <f t="shared" si="588"/>
        <v>0</v>
      </c>
      <c r="FA149" s="2">
        <f t="shared" si="589"/>
        <v>5.50000000004</v>
      </c>
      <c r="FB149" s="2">
        <f t="shared" si="590"/>
        <v>7.00000000002</v>
      </c>
      <c r="FC149" s="2">
        <f t="shared" si="591"/>
        <v>8.5000000000299991</v>
      </c>
      <c r="FD149" s="2">
        <f t="shared" si="592"/>
        <v>4.00000000001</v>
      </c>
      <c r="FE149" s="2">
        <f t="shared" si="593"/>
        <v>7.00000000005</v>
      </c>
      <c r="FF149" s="2">
        <f t="shared" si="594"/>
        <v>7.00000000006</v>
      </c>
      <c r="FG149" s="2">
        <f t="shared" si="595"/>
        <v>3.00000000007</v>
      </c>
      <c r="FH149" s="2">
        <f t="shared" si="596"/>
        <v>0</v>
      </c>
      <c r="FI149" s="2" t="b">
        <f t="shared" si="604"/>
        <v>1</v>
      </c>
      <c r="FJ149" s="2" t="b">
        <f t="shared" si="605"/>
        <v>1</v>
      </c>
      <c r="FK149" s="2" t="b">
        <f t="shared" si="606"/>
        <v>1</v>
      </c>
      <c r="FL149" s="2" t="b">
        <f t="shared" si="607"/>
        <v>0</v>
      </c>
      <c r="FM149" s="2" t="b">
        <f t="shared" si="608"/>
        <v>1</v>
      </c>
      <c r="FN149" s="2" t="b">
        <f t="shared" si="609"/>
        <v>1</v>
      </c>
      <c r="FO149" s="2" t="b">
        <f t="shared" si="610"/>
        <v>0</v>
      </c>
      <c r="FP149" s="2" t="b">
        <f t="shared" si="611"/>
        <v>0</v>
      </c>
    </row>
    <row r="150" spans="1:172" ht="15.6">
      <c r="A150" s="2" t="s">
        <v>1367</v>
      </c>
      <c r="B150" s="2" t="s">
        <v>255</v>
      </c>
      <c r="C150" s="2" t="s">
        <v>1368</v>
      </c>
      <c r="D150" s="2" t="s">
        <v>1369</v>
      </c>
      <c r="E150" s="2" t="s">
        <v>815</v>
      </c>
      <c r="F150" s="2" t="s">
        <v>356</v>
      </c>
      <c r="G150" s="2">
        <v>54.25</v>
      </c>
      <c r="H150" s="2">
        <v>49.75</v>
      </c>
      <c r="I150" s="2">
        <v>50.5</v>
      </c>
      <c r="J150" s="2">
        <f t="shared" si="562"/>
        <v>54.250000000280004</v>
      </c>
      <c r="K150" s="2">
        <f t="shared" si="563"/>
        <v>49.750000000300005</v>
      </c>
      <c r="L150" s="2">
        <f t="shared" si="564"/>
        <v>50.500000000280004</v>
      </c>
      <c r="M150" s="364" t="s">
        <v>356</v>
      </c>
      <c r="N150" s="364" t="s">
        <v>356</v>
      </c>
      <c r="O150" s="364" t="s">
        <v>1371</v>
      </c>
      <c r="P150" s="364" t="s">
        <v>982</v>
      </c>
      <c r="Q150" s="364" t="s">
        <v>356</v>
      </c>
      <c r="R150" s="2" t="s">
        <v>1370</v>
      </c>
      <c r="S150" s="2" t="s">
        <v>1177</v>
      </c>
      <c r="T150" s="2">
        <v>25</v>
      </c>
      <c r="U150" s="2" cm="1">
        <f t="array" ref="U150">IFERROR(INDEX('Offer Statistics'!$BQ$2:$BQ$400,MATCH(1,(A150='Offer Statistics'!$BB$2:$BB$400)*($A$11='Offer Statistics'!$BC$2:$BC$400),0)),"/")</f>
        <v>22</v>
      </c>
      <c r="V150" s="2" cm="1">
        <f t="array" ref="V150">IFERROR(INDEX('Offer Statistics'!$BD$2:$BD$400,MATCH(1,(A150='Offer Statistics'!$BB$2:$BB$400)*($A$11='Offer Statistics'!$BC$2:$BC$400),0)),"/")</f>
        <v>104</v>
      </c>
      <c r="W150" s="2" cm="1">
        <f t="array" ref="W150">IFERROR(INDEX('Offer Statistics'!$BL$2:$BL$400,MATCH(1,(A150='Offer Statistics'!$BB$2:$BB$400)*($A$11='Offer Statistics'!$BC$2:$BC$400),0)),"/")</f>
        <v>22</v>
      </c>
      <c r="X150" s="2">
        <f t="shared" si="502"/>
        <v>4.7272727272727275</v>
      </c>
      <c r="Y150" s="2" t="s">
        <v>1177</v>
      </c>
      <c r="Z150" s="364" t="str">
        <f>入學要求!AF159</f>
        <v>/</v>
      </c>
      <c r="AA150" s="364" t="str">
        <f>入學要求!AG159</f>
        <v>/</v>
      </c>
      <c r="AB150" s="412" t="s">
        <v>2820</v>
      </c>
      <c r="AC150" s="368" t="s">
        <v>2855</v>
      </c>
      <c r="AD150" s="368"/>
      <c r="AE150" s="412" t="s">
        <v>2993</v>
      </c>
      <c r="AF150" s="368" t="s">
        <v>356</v>
      </c>
      <c r="AG150" s="368" t="s">
        <v>874</v>
      </c>
      <c r="AH150" s="368" t="s">
        <v>982</v>
      </c>
      <c r="AI150" s="368" t="s">
        <v>356</v>
      </c>
      <c r="AJ150" s="2" t="s">
        <v>356</v>
      </c>
      <c r="AK150" s="2" t="s">
        <v>356</v>
      </c>
      <c r="AL150" s="2" t="s">
        <v>356</v>
      </c>
      <c r="AM150" s="2" t="s">
        <v>356</v>
      </c>
      <c r="AN150" s="2" t="s">
        <v>356</v>
      </c>
      <c r="AO150" s="2" t="s">
        <v>356</v>
      </c>
      <c r="AP150" s="2" t="s">
        <v>356</v>
      </c>
      <c r="AQ150" s="2" t="s">
        <v>356</v>
      </c>
      <c r="AS150" s="2" t="s">
        <v>820</v>
      </c>
      <c r="AU150" s="2" t="s">
        <v>1336</v>
      </c>
      <c r="AY150" s="2">
        <v>1.5</v>
      </c>
      <c r="AZ150" s="2">
        <v>2</v>
      </c>
      <c r="BA150" s="2">
        <v>1</v>
      </c>
      <c r="BB150" s="2">
        <v>2</v>
      </c>
      <c r="BC150" s="2">
        <v>1</v>
      </c>
      <c r="BD150" s="2">
        <v>1</v>
      </c>
      <c r="BE150" s="2">
        <v>1</v>
      </c>
      <c r="BF150" s="2">
        <v>1</v>
      </c>
      <c r="BG150" s="2" t="s">
        <v>1367</v>
      </c>
      <c r="BH150">
        <v>7</v>
      </c>
      <c r="BI150">
        <v>7</v>
      </c>
      <c r="BJ150">
        <v>5.5</v>
      </c>
      <c r="BK150">
        <v>4</v>
      </c>
      <c r="BL150" t="s">
        <v>356</v>
      </c>
      <c r="BM150">
        <v>7</v>
      </c>
      <c r="BN150">
        <v>5.5</v>
      </c>
      <c r="BO150" t="s">
        <v>356</v>
      </c>
      <c r="BP150" s="206">
        <f t="shared" si="565"/>
        <v>7.00000000004</v>
      </c>
      <c r="BQ150" s="206">
        <f t="shared" si="566"/>
        <v>7.00000000002</v>
      </c>
      <c r="BR150" s="206">
        <f t="shared" si="567"/>
        <v>5.50000000003</v>
      </c>
      <c r="BS150" s="206">
        <f t="shared" si="568"/>
        <v>4.00000000001</v>
      </c>
      <c r="BT150" s="206">
        <f t="shared" si="569"/>
        <v>0</v>
      </c>
      <c r="BU150" s="206">
        <f t="shared" si="570"/>
        <v>7.00000000006</v>
      </c>
      <c r="BV150" s="206">
        <f t="shared" si="571"/>
        <v>5.50000000007</v>
      </c>
      <c r="BW150" s="206">
        <f t="shared" si="572"/>
        <v>0</v>
      </c>
      <c r="BX150" s="2">
        <f t="shared" si="509"/>
        <v>10.50000000006</v>
      </c>
      <c r="BY150" s="2">
        <f t="shared" si="510"/>
        <v>14.00000000004</v>
      </c>
      <c r="BZ150" s="2">
        <f t="shared" si="511"/>
        <v>5.50000000003</v>
      </c>
      <c r="CA150" s="2">
        <f t="shared" si="512"/>
        <v>8.00000000002</v>
      </c>
      <c r="CB150" s="2">
        <f t="shared" si="513"/>
        <v>0</v>
      </c>
      <c r="CC150" s="2">
        <f t="shared" si="514"/>
        <v>7.00000000006</v>
      </c>
      <c r="CD150" s="2">
        <f t="shared" si="515"/>
        <v>5.50000000007</v>
      </c>
      <c r="CE150" s="2">
        <f t="shared" si="516"/>
        <v>0</v>
      </c>
      <c r="CF150" s="2" t="b">
        <f t="shared" ref="CF150:CI152" si="620">IF($E150="4C2X",TRUE,IF($E150="Best 5",IF(BX150&gt;LARGE($BX150:$CE150,6),TRUE),IF($E150="Best 6",IF(BX150&gt;LARGE($BX150:$CE150,7),TRUE))))</f>
        <v>1</v>
      </c>
      <c r="CG150" s="2" t="b">
        <f t="shared" si="620"/>
        <v>1</v>
      </c>
      <c r="CH150" s="2" t="b">
        <f t="shared" si="620"/>
        <v>1</v>
      </c>
      <c r="CI150" s="2" t="b">
        <f t="shared" si="620"/>
        <v>1</v>
      </c>
      <c r="CJ150" s="2" t="b">
        <f t="shared" ref="CJ150:CM152" si="621">IF($E150="4C2X",IF(CB150&gt;LARGE($CB150:$CE150,3),TRUE),IF($E150="Best 5",IF(CB150&gt;LARGE($BX150:$CE150,6),TRUE),IF($E150="Best 6",IF(CB150&gt;LARGE($BX150:$CE150,7),TRUE))))</f>
        <v>0</v>
      </c>
      <c r="CK150" s="2" t="b">
        <f t="shared" si="621"/>
        <v>1</v>
      </c>
      <c r="CL150" s="2" t="b">
        <f t="shared" si="621"/>
        <v>1</v>
      </c>
      <c r="CM150" s="2" t="b">
        <f t="shared" si="621"/>
        <v>0</v>
      </c>
      <c r="CN150" s="2">
        <v>1.5</v>
      </c>
      <c r="CO150" s="2">
        <v>2</v>
      </c>
      <c r="CP150" s="2">
        <v>1</v>
      </c>
      <c r="CQ150" s="2">
        <v>2</v>
      </c>
      <c r="CR150" s="2">
        <v>1</v>
      </c>
      <c r="CS150" s="2">
        <v>1</v>
      </c>
      <c r="CT150" s="2">
        <v>1</v>
      </c>
      <c r="CU150" s="2">
        <v>1</v>
      </c>
      <c r="CW150" s="2">
        <v>8.5</v>
      </c>
      <c r="CX150" s="2">
        <v>5.5</v>
      </c>
      <c r="CY150" s="2">
        <v>4</v>
      </c>
      <c r="CZ150" s="2">
        <v>4</v>
      </c>
      <c r="DA150" s="2" t="s">
        <v>356</v>
      </c>
      <c r="DB150" s="2">
        <v>7</v>
      </c>
      <c r="DC150" s="2">
        <v>7</v>
      </c>
      <c r="DD150" s="2">
        <v>7</v>
      </c>
      <c r="DE150" s="206">
        <f t="shared" si="573"/>
        <v>8.50000000004</v>
      </c>
      <c r="DF150" s="206">
        <f t="shared" si="574"/>
        <v>5.50000000002</v>
      </c>
      <c r="DG150" s="206">
        <f t="shared" si="575"/>
        <v>4.00000000003</v>
      </c>
      <c r="DH150" s="206">
        <f t="shared" si="576"/>
        <v>4.00000000001</v>
      </c>
      <c r="DI150" s="206">
        <f t="shared" si="577"/>
        <v>0</v>
      </c>
      <c r="DJ150" s="206">
        <f t="shared" si="578"/>
        <v>7.00000000006</v>
      </c>
      <c r="DK150" s="206">
        <f t="shared" si="579"/>
        <v>7.00000000007</v>
      </c>
      <c r="DL150" s="206">
        <f t="shared" si="580"/>
        <v>7.00000000008</v>
      </c>
      <c r="DM150" s="2">
        <f t="shared" si="531"/>
        <v>12.75000000006</v>
      </c>
      <c r="DN150" s="2">
        <f t="shared" si="532"/>
        <v>11.00000000004</v>
      </c>
      <c r="DO150" s="2">
        <f t="shared" si="533"/>
        <v>4.00000000003</v>
      </c>
      <c r="DP150" s="2">
        <f t="shared" si="534"/>
        <v>8.00000000002</v>
      </c>
      <c r="DQ150" s="2">
        <f t="shared" si="535"/>
        <v>0</v>
      </c>
      <c r="DR150" s="2">
        <f t="shared" si="536"/>
        <v>7.00000000006</v>
      </c>
      <c r="DS150" s="2">
        <f t="shared" si="537"/>
        <v>7.00000000007</v>
      </c>
      <c r="DT150" s="2">
        <f t="shared" si="538"/>
        <v>7.00000000008</v>
      </c>
      <c r="DU150" s="2" t="b">
        <f t="shared" si="614"/>
        <v>1</v>
      </c>
      <c r="DV150" s="2" t="b">
        <f t="shared" si="615"/>
        <v>1</v>
      </c>
      <c r="DW150" s="2" t="b">
        <f t="shared" si="616"/>
        <v>1</v>
      </c>
      <c r="DX150" s="2" t="b">
        <f t="shared" si="617"/>
        <v>1</v>
      </c>
      <c r="DY150" s="2" t="b">
        <f t="shared" si="600"/>
        <v>0</v>
      </c>
      <c r="DZ150" s="2" t="b">
        <f t="shared" si="601"/>
        <v>0</v>
      </c>
      <c r="EA150" s="2" t="b">
        <f t="shared" si="602"/>
        <v>1</v>
      </c>
      <c r="EB150" s="2" t="b">
        <f t="shared" si="603"/>
        <v>1</v>
      </c>
      <c r="EC150" s="2">
        <v>1.5</v>
      </c>
      <c r="ED150" s="2">
        <v>2</v>
      </c>
      <c r="EE150" s="2">
        <v>1</v>
      </c>
      <c r="EF150" s="2">
        <v>2</v>
      </c>
      <c r="EG150" s="2">
        <v>1</v>
      </c>
      <c r="EH150" s="2">
        <v>1</v>
      </c>
      <c r="EI150" s="2">
        <v>1</v>
      </c>
      <c r="EJ150" s="2">
        <v>1</v>
      </c>
      <c r="EK150" s="2">
        <v>8.5</v>
      </c>
      <c r="EL150" s="2">
        <v>8.5</v>
      </c>
      <c r="EM150" s="2">
        <v>4</v>
      </c>
      <c r="EN150" s="2">
        <v>5.5</v>
      </c>
      <c r="EO150" s="2" t="s">
        <v>356</v>
      </c>
      <c r="EP150" s="2">
        <v>5.5</v>
      </c>
      <c r="EQ150" s="2">
        <v>4</v>
      </c>
      <c r="ER150" s="2" t="s">
        <v>356</v>
      </c>
      <c r="ES150" s="206">
        <f t="shared" si="581"/>
        <v>8.50000000004</v>
      </c>
      <c r="ET150" s="206">
        <f t="shared" si="582"/>
        <v>8.50000000002</v>
      </c>
      <c r="EU150" s="206">
        <f t="shared" si="583"/>
        <v>4.00000000003</v>
      </c>
      <c r="EV150" s="206">
        <f t="shared" si="584"/>
        <v>5.50000000001</v>
      </c>
      <c r="EW150" s="206">
        <f t="shared" si="585"/>
        <v>0</v>
      </c>
      <c r="EX150" s="206">
        <f t="shared" si="586"/>
        <v>5.50000000006</v>
      </c>
      <c r="EY150" s="206">
        <f t="shared" si="587"/>
        <v>4.00000000007</v>
      </c>
      <c r="EZ150" s="206">
        <f t="shared" si="588"/>
        <v>0</v>
      </c>
      <c r="FA150" s="2">
        <f t="shared" si="589"/>
        <v>12.75000000006</v>
      </c>
      <c r="FB150" s="2">
        <f t="shared" si="590"/>
        <v>17.00000000004</v>
      </c>
      <c r="FC150" s="2">
        <f t="shared" si="591"/>
        <v>4.00000000003</v>
      </c>
      <c r="FD150" s="2">
        <f t="shared" si="592"/>
        <v>11.00000000002</v>
      </c>
      <c r="FE150" s="2">
        <f t="shared" si="593"/>
        <v>0</v>
      </c>
      <c r="FF150" s="2">
        <f t="shared" si="594"/>
        <v>5.50000000006</v>
      </c>
      <c r="FG150" s="2">
        <f t="shared" si="595"/>
        <v>4.00000000007</v>
      </c>
      <c r="FH150" s="2">
        <f t="shared" si="596"/>
        <v>0</v>
      </c>
      <c r="FI150" s="2" t="b">
        <f t="shared" si="604"/>
        <v>1</v>
      </c>
      <c r="FJ150" s="2" t="b">
        <f t="shared" si="605"/>
        <v>1</v>
      </c>
      <c r="FK150" s="2" t="b">
        <f t="shared" si="606"/>
        <v>1</v>
      </c>
      <c r="FL150" s="2" t="b">
        <f t="shared" si="607"/>
        <v>1</v>
      </c>
      <c r="FM150" s="2" t="b">
        <f t="shared" si="608"/>
        <v>0</v>
      </c>
      <c r="FN150" s="2" t="b">
        <f t="shared" si="609"/>
        <v>1</v>
      </c>
      <c r="FO150" s="2" t="b">
        <f t="shared" si="610"/>
        <v>1</v>
      </c>
      <c r="FP150" s="2" t="b">
        <f t="shared" si="611"/>
        <v>0</v>
      </c>
    </row>
    <row r="151" spans="1:172" ht="15.6">
      <c r="A151" s="2" t="s">
        <v>1372</v>
      </c>
      <c r="B151" s="2" t="s">
        <v>255</v>
      </c>
      <c r="C151" s="2" t="s">
        <v>1373</v>
      </c>
      <c r="D151" s="2" t="s">
        <v>1374</v>
      </c>
      <c r="E151" s="2" t="s">
        <v>889</v>
      </c>
      <c r="F151" s="2" t="s">
        <v>356</v>
      </c>
      <c r="G151" s="2">
        <v>57.75</v>
      </c>
      <c r="H151" s="2">
        <v>56.25</v>
      </c>
      <c r="I151" s="2">
        <v>54.75</v>
      </c>
      <c r="J151" s="2">
        <f t="shared" si="562"/>
        <v>57.750000000340002</v>
      </c>
      <c r="K151" s="2">
        <f t="shared" si="563"/>
        <v>56.250000000314991</v>
      </c>
      <c r="L151" s="2">
        <f t="shared" si="564"/>
        <v>54.750000000304993</v>
      </c>
      <c r="M151" s="364" t="s">
        <v>356</v>
      </c>
      <c r="N151" s="364" t="s">
        <v>356</v>
      </c>
      <c r="O151" s="364" t="s">
        <v>915</v>
      </c>
      <c r="P151" s="364" t="s">
        <v>1361</v>
      </c>
      <c r="Q151" s="364" t="s">
        <v>356</v>
      </c>
      <c r="R151" s="2" t="s">
        <v>1375</v>
      </c>
      <c r="S151" s="2" t="s">
        <v>1177</v>
      </c>
      <c r="T151" s="2">
        <v>20</v>
      </c>
      <c r="U151" s="2" cm="1">
        <f t="array" ref="U151">IFERROR(INDEX('Offer Statistics'!$BQ$2:$BQ$400,MATCH(1,(A151='Offer Statistics'!$BB$2:$BB$400)*($A$11='Offer Statistics'!$BC$2:$BC$400),0)),"/")</f>
        <v>21</v>
      </c>
      <c r="V151" s="2" cm="1">
        <f t="array" ref="V151">IFERROR(INDEX('Offer Statistics'!$BD$2:$BD$400,MATCH(1,(A151='Offer Statistics'!$BB$2:$BB$400)*($A$11='Offer Statistics'!$BC$2:$BC$400),0)),"/")</f>
        <v>61</v>
      </c>
      <c r="W151" s="2" cm="1">
        <f t="array" ref="W151">IFERROR(INDEX('Offer Statistics'!$BL$2:$BL$400,MATCH(1,(A151='Offer Statistics'!$BB$2:$BB$400)*($A$11='Offer Statistics'!$BC$2:$BC$400),0)),"/")</f>
        <v>21</v>
      </c>
      <c r="X151" s="2">
        <f t="shared" si="502"/>
        <v>2.9047619047619047</v>
      </c>
      <c r="Y151" s="2" t="s">
        <v>1177</v>
      </c>
      <c r="Z151" s="364" t="str">
        <f>入學要求!AF160</f>
        <v>/</v>
      </c>
      <c r="AA151" s="364" t="str">
        <f>入學要求!AG160</f>
        <v>/</v>
      </c>
      <c r="AB151" s="401" t="s">
        <v>889</v>
      </c>
      <c r="AC151" s="368"/>
      <c r="AD151" s="368"/>
      <c r="AE151" s="368" t="s">
        <v>356</v>
      </c>
      <c r="AF151" s="368" t="s">
        <v>356</v>
      </c>
      <c r="AG151" s="368" t="s">
        <v>915</v>
      </c>
      <c r="AH151" s="368" t="s">
        <v>1361</v>
      </c>
      <c r="AI151" s="368" t="s">
        <v>356</v>
      </c>
      <c r="AJ151" s="2" t="s">
        <v>356</v>
      </c>
      <c r="AK151" s="2" t="s">
        <v>356</v>
      </c>
      <c r="AL151" s="2" t="s">
        <v>356</v>
      </c>
      <c r="AM151" s="2" t="s">
        <v>356</v>
      </c>
      <c r="AN151" s="2" t="s">
        <v>356</v>
      </c>
      <c r="AO151" s="2" t="s">
        <v>356</v>
      </c>
      <c r="AP151" s="2" t="s">
        <v>356</v>
      </c>
      <c r="AQ151" s="2" t="s">
        <v>356</v>
      </c>
      <c r="AS151" s="2" t="s">
        <v>820</v>
      </c>
      <c r="AU151" s="2" t="s">
        <v>817</v>
      </c>
      <c r="AY151" s="2">
        <v>1</v>
      </c>
      <c r="AZ151" s="2">
        <v>2</v>
      </c>
      <c r="BA151" s="2">
        <v>2</v>
      </c>
      <c r="BB151" s="2">
        <v>1</v>
      </c>
      <c r="BC151" s="2">
        <v>1.5</v>
      </c>
      <c r="BD151" s="2">
        <v>1</v>
      </c>
      <c r="BE151" s="2">
        <v>1</v>
      </c>
      <c r="BF151" s="2">
        <v>1</v>
      </c>
      <c r="BG151" s="2" t="s">
        <v>1372</v>
      </c>
      <c r="BH151">
        <v>7</v>
      </c>
      <c r="BI151">
        <v>5.5</v>
      </c>
      <c r="BJ151">
        <v>8.5</v>
      </c>
      <c r="BK151">
        <v>4</v>
      </c>
      <c r="BL151">
        <v>8.5</v>
      </c>
      <c r="BM151">
        <v>7</v>
      </c>
      <c r="BN151">
        <v>7</v>
      </c>
      <c r="BO151">
        <v>5.5</v>
      </c>
      <c r="BP151" s="206">
        <f t="shared" si="565"/>
        <v>7.00000000004</v>
      </c>
      <c r="BQ151" s="206">
        <f t="shared" si="566"/>
        <v>5.50000000002</v>
      </c>
      <c r="BR151" s="206">
        <f t="shared" si="567"/>
        <v>8.5000000000299991</v>
      </c>
      <c r="BS151" s="206">
        <f t="shared" si="568"/>
        <v>4.00000000001</v>
      </c>
      <c r="BT151" s="206">
        <f t="shared" si="569"/>
        <v>8.5000000000499991</v>
      </c>
      <c r="BU151" s="206">
        <f t="shared" si="570"/>
        <v>7.00000000006</v>
      </c>
      <c r="BV151" s="206">
        <f t="shared" si="571"/>
        <v>7.00000000007</v>
      </c>
      <c r="BW151" s="206">
        <f t="shared" si="572"/>
        <v>5.50000000008</v>
      </c>
      <c r="BX151" s="2">
        <f t="shared" si="509"/>
        <v>7.00000000004</v>
      </c>
      <c r="BY151" s="2">
        <f t="shared" si="510"/>
        <v>11.00000000004</v>
      </c>
      <c r="BZ151" s="2">
        <f t="shared" si="511"/>
        <v>17.000000000059998</v>
      </c>
      <c r="CA151" s="2">
        <f t="shared" si="512"/>
        <v>4.00000000001</v>
      </c>
      <c r="CB151" s="2">
        <f t="shared" si="513"/>
        <v>12.750000000074998</v>
      </c>
      <c r="CC151" s="2">
        <f t="shared" si="514"/>
        <v>7.00000000006</v>
      </c>
      <c r="CD151" s="2">
        <f t="shared" si="515"/>
        <v>7.00000000007</v>
      </c>
      <c r="CE151" s="2">
        <f t="shared" si="516"/>
        <v>5.50000000008</v>
      </c>
      <c r="CF151" s="2" t="b">
        <f t="shared" si="620"/>
        <v>0</v>
      </c>
      <c r="CG151" s="2" t="b">
        <f t="shared" si="620"/>
        <v>1</v>
      </c>
      <c r="CH151" s="2" t="b">
        <f t="shared" si="620"/>
        <v>1</v>
      </c>
      <c r="CI151" s="2" t="b">
        <f t="shared" si="620"/>
        <v>0</v>
      </c>
      <c r="CJ151" s="2" t="b">
        <f t="shared" si="621"/>
        <v>1</v>
      </c>
      <c r="CK151" s="2" t="b">
        <f t="shared" si="621"/>
        <v>1</v>
      </c>
      <c r="CL151" s="2" t="b">
        <f t="shared" si="621"/>
        <v>1</v>
      </c>
      <c r="CM151" s="2" t="b">
        <f t="shared" si="621"/>
        <v>0</v>
      </c>
      <c r="CN151" s="2">
        <v>1</v>
      </c>
      <c r="CO151" s="2">
        <v>2</v>
      </c>
      <c r="CP151" s="2">
        <v>2</v>
      </c>
      <c r="CQ151" s="2">
        <v>1</v>
      </c>
      <c r="CR151" s="2">
        <v>1.5</v>
      </c>
      <c r="CS151" s="2">
        <v>1</v>
      </c>
      <c r="CT151" s="2">
        <v>1</v>
      </c>
      <c r="CU151" s="2">
        <v>1</v>
      </c>
      <c r="CW151" s="2">
        <v>4</v>
      </c>
      <c r="CX151" s="2">
        <v>5.5</v>
      </c>
      <c r="CY151" s="2">
        <v>8.5</v>
      </c>
      <c r="CZ151" s="2">
        <v>4</v>
      </c>
      <c r="DA151" s="2">
        <v>8.5</v>
      </c>
      <c r="DB151" s="2">
        <v>8.5</v>
      </c>
      <c r="DC151" s="2">
        <v>7</v>
      </c>
      <c r="DD151" s="2">
        <v>7</v>
      </c>
      <c r="DE151" s="206">
        <f t="shared" si="573"/>
        <v>4.00000000004</v>
      </c>
      <c r="DF151" s="206">
        <f t="shared" si="574"/>
        <v>5.50000000002</v>
      </c>
      <c r="DG151" s="206">
        <f t="shared" si="575"/>
        <v>8.5000000000299991</v>
      </c>
      <c r="DH151" s="206">
        <f t="shared" si="576"/>
        <v>4.00000000001</v>
      </c>
      <c r="DI151" s="206">
        <f t="shared" si="577"/>
        <v>8.5000000000499991</v>
      </c>
      <c r="DJ151" s="206">
        <f t="shared" si="578"/>
        <v>8.50000000006</v>
      </c>
      <c r="DK151" s="206">
        <f t="shared" si="579"/>
        <v>7.00000000007</v>
      </c>
      <c r="DL151" s="206">
        <f t="shared" si="580"/>
        <v>7.00000000008</v>
      </c>
      <c r="DM151" s="2">
        <f t="shared" si="531"/>
        <v>4.00000000004</v>
      </c>
      <c r="DN151" s="2">
        <f t="shared" si="532"/>
        <v>11.00000000004</v>
      </c>
      <c r="DO151" s="2">
        <f t="shared" si="533"/>
        <v>17.000000000059998</v>
      </c>
      <c r="DP151" s="2">
        <f t="shared" si="534"/>
        <v>4.00000000001</v>
      </c>
      <c r="DQ151" s="2">
        <f t="shared" si="535"/>
        <v>12.750000000074998</v>
      </c>
      <c r="DR151" s="2">
        <f t="shared" si="536"/>
        <v>8.50000000006</v>
      </c>
      <c r="DS151" s="2">
        <f t="shared" si="537"/>
        <v>7.00000000007</v>
      </c>
      <c r="DT151" s="2">
        <f t="shared" si="538"/>
        <v>7.00000000008</v>
      </c>
      <c r="DU151" s="2" t="b">
        <f t="shared" si="614"/>
        <v>0</v>
      </c>
      <c r="DV151" s="2" t="b">
        <f t="shared" si="615"/>
        <v>1</v>
      </c>
      <c r="DW151" s="2" t="b">
        <f t="shared" si="616"/>
        <v>1</v>
      </c>
      <c r="DX151" s="2" t="b">
        <f t="shared" si="617"/>
        <v>0</v>
      </c>
      <c r="DY151" s="2" t="b">
        <f t="shared" si="600"/>
        <v>1</v>
      </c>
      <c r="DZ151" s="2" t="b">
        <f t="shared" si="601"/>
        <v>1</v>
      </c>
      <c r="EA151" s="2" t="b">
        <f t="shared" si="602"/>
        <v>0</v>
      </c>
      <c r="EB151" s="2" t="b">
        <f t="shared" si="603"/>
        <v>1</v>
      </c>
      <c r="EC151" s="2">
        <v>1</v>
      </c>
      <c r="ED151" s="2">
        <v>2</v>
      </c>
      <c r="EE151" s="2">
        <v>2</v>
      </c>
      <c r="EF151" s="2">
        <v>1</v>
      </c>
      <c r="EG151" s="2">
        <v>1</v>
      </c>
      <c r="EH151" s="2">
        <v>1.5</v>
      </c>
      <c r="EI151" s="2">
        <v>1</v>
      </c>
      <c r="EJ151" s="2">
        <v>1</v>
      </c>
      <c r="EK151" s="2">
        <v>7</v>
      </c>
      <c r="EL151" s="2">
        <v>5.5</v>
      </c>
      <c r="EM151" s="2">
        <v>8.5</v>
      </c>
      <c r="EN151" s="2">
        <v>8.5</v>
      </c>
      <c r="EO151" s="2">
        <v>7</v>
      </c>
      <c r="EP151" s="2">
        <v>8.5</v>
      </c>
      <c r="EQ151" s="2">
        <v>8.5</v>
      </c>
      <c r="ER151" s="2">
        <v>8.5</v>
      </c>
      <c r="ES151" s="206">
        <f t="shared" si="581"/>
        <v>7.00000000004</v>
      </c>
      <c r="ET151" s="206">
        <f t="shared" si="582"/>
        <v>5.50000000002</v>
      </c>
      <c r="EU151" s="206">
        <f t="shared" si="583"/>
        <v>8.5000000000299991</v>
      </c>
      <c r="EV151" s="206">
        <f t="shared" si="584"/>
        <v>8.5000000000099991</v>
      </c>
      <c r="EW151" s="206">
        <f t="shared" si="585"/>
        <v>7.00000000005</v>
      </c>
      <c r="EX151" s="206">
        <f t="shared" si="586"/>
        <v>8.50000000006</v>
      </c>
      <c r="EY151" s="206">
        <f t="shared" si="587"/>
        <v>8.5000000000699991</v>
      </c>
      <c r="EZ151" s="206">
        <f t="shared" si="588"/>
        <v>8.50000000008</v>
      </c>
      <c r="FA151" s="2">
        <f t="shared" si="589"/>
        <v>7.00000000004</v>
      </c>
      <c r="FB151" s="2">
        <f t="shared" si="590"/>
        <v>11.00000000004</v>
      </c>
      <c r="FC151" s="2">
        <f t="shared" si="591"/>
        <v>17.000000000059998</v>
      </c>
      <c r="FD151" s="2">
        <f t="shared" si="592"/>
        <v>8.5000000000099991</v>
      </c>
      <c r="FE151" s="2">
        <f t="shared" si="593"/>
        <v>7.00000000005</v>
      </c>
      <c r="FF151" s="2">
        <f t="shared" si="594"/>
        <v>12.750000000090001</v>
      </c>
      <c r="FG151" s="2">
        <f t="shared" si="595"/>
        <v>8.5000000000699991</v>
      </c>
      <c r="FH151" s="2">
        <f t="shared" si="596"/>
        <v>8.50000000008</v>
      </c>
      <c r="FI151" s="2" t="b">
        <f t="shared" si="604"/>
        <v>0</v>
      </c>
      <c r="FJ151" s="2" t="b">
        <f t="shared" si="605"/>
        <v>1</v>
      </c>
      <c r="FK151" s="2" t="b">
        <f t="shared" si="606"/>
        <v>1</v>
      </c>
      <c r="FL151" s="2" t="b">
        <f t="shared" si="607"/>
        <v>0</v>
      </c>
      <c r="FM151" s="2" t="b">
        <f t="shared" si="608"/>
        <v>0</v>
      </c>
      <c r="FN151" s="2" t="b">
        <f t="shared" si="609"/>
        <v>1</v>
      </c>
      <c r="FO151" s="2" t="b">
        <f t="shared" si="610"/>
        <v>1</v>
      </c>
      <c r="FP151" s="2" t="b">
        <f t="shared" si="611"/>
        <v>1</v>
      </c>
    </row>
    <row r="152" spans="1:172" ht="15.6">
      <c r="A152" s="2" t="s">
        <v>1376</v>
      </c>
      <c r="B152" s="2" t="s">
        <v>255</v>
      </c>
      <c r="C152" s="2" t="s">
        <v>1377</v>
      </c>
      <c r="D152" s="2" t="s">
        <v>1378</v>
      </c>
      <c r="E152" s="2" t="s">
        <v>889</v>
      </c>
      <c r="F152" s="2" t="s">
        <v>356</v>
      </c>
      <c r="G152" s="2">
        <v>30.5</v>
      </c>
      <c r="H152" s="2">
        <v>26</v>
      </c>
      <c r="I152" s="2">
        <v>26</v>
      </c>
      <c r="J152" s="2">
        <f t="shared" si="562"/>
        <v>30.50000000028</v>
      </c>
      <c r="K152" s="2">
        <f t="shared" si="563"/>
        <v>26.00000000028</v>
      </c>
      <c r="L152" s="2">
        <f t="shared" si="564"/>
        <v>26.000000000220002</v>
      </c>
      <c r="M152" s="364" t="s">
        <v>356</v>
      </c>
      <c r="N152" s="364" t="s">
        <v>356</v>
      </c>
      <c r="O152" s="364" t="s">
        <v>356</v>
      </c>
      <c r="P152" s="364" t="s">
        <v>356</v>
      </c>
      <c r="Q152" s="364" t="s">
        <v>356</v>
      </c>
      <c r="R152" s="2" t="s">
        <v>1379</v>
      </c>
      <c r="S152" s="2" t="s">
        <v>1177</v>
      </c>
      <c r="T152" s="2">
        <v>17</v>
      </c>
      <c r="U152" s="2" cm="1">
        <f t="array" ref="U152">IFERROR(INDEX('Offer Statistics'!$BQ$2:$BQ$400,MATCH(1,(A152='Offer Statistics'!$BB$2:$BB$400)*($A$11='Offer Statistics'!$BC$2:$BC$400),0)),"/")</f>
        <v>26</v>
      </c>
      <c r="V152" s="2" cm="1">
        <f t="array" ref="V152">IFERROR(INDEX('Offer Statistics'!$BD$2:$BD$400,MATCH(1,(A152='Offer Statistics'!$BB$2:$BB$400)*($A$11='Offer Statistics'!$BC$2:$BC$400),0)),"/")</f>
        <v>447</v>
      </c>
      <c r="W152" s="2" cm="1">
        <f t="array" ref="W152">IFERROR(INDEX('Offer Statistics'!$BL$2:$BL$400,MATCH(1,(A152='Offer Statistics'!$BB$2:$BB$400)*($A$11='Offer Statistics'!$BC$2:$BC$400),0)),"/")</f>
        <v>26</v>
      </c>
      <c r="X152" s="2">
        <f t="shared" si="502"/>
        <v>17.192307692307693</v>
      </c>
      <c r="Y152" s="2" t="s">
        <v>1177</v>
      </c>
      <c r="Z152" s="364" t="str">
        <f>入學要求!AF161</f>
        <v>/</v>
      </c>
      <c r="AA152" s="364" t="str">
        <f>入學要求!AG161</f>
        <v>/</v>
      </c>
      <c r="AB152" s="368" t="s">
        <v>889</v>
      </c>
      <c r="AC152" s="368"/>
      <c r="AD152" s="368"/>
      <c r="AE152" s="368" t="s">
        <v>356</v>
      </c>
      <c r="AF152" s="368" t="s">
        <v>356</v>
      </c>
      <c r="AG152" s="368" t="s">
        <v>356</v>
      </c>
      <c r="AH152" s="368" t="s">
        <v>356</v>
      </c>
      <c r="AI152" s="368" t="s">
        <v>356</v>
      </c>
      <c r="AJ152" s="2" t="s">
        <v>356</v>
      </c>
      <c r="AK152" s="2" t="s">
        <v>356</v>
      </c>
      <c r="AL152" s="2" t="s">
        <v>356</v>
      </c>
      <c r="AM152" s="2" t="s">
        <v>356</v>
      </c>
      <c r="AN152" s="2" t="s">
        <v>356</v>
      </c>
      <c r="AO152" s="2" t="s">
        <v>356</v>
      </c>
      <c r="AP152" s="2" t="s">
        <v>356</v>
      </c>
      <c r="AQ152" s="2" t="s">
        <v>356</v>
      </c>
      <c r="AS152" s="2" t="s">
        <v>820</v>
      </c>
      <c r="AU152" s="2" t="s">
        <v>1336</v>
      </c>
      <c r="AY152" s="2">
        <v>1</v>
      </c>
      <c r="AZ152" s="2">
        <v>1</v>
      </c>
      <c r="BA152" s="2">
        <v>1</v>
      </c>
      <c r="BB152" s="2">
        <v>1</v>
      </c>
      <c r="BC152" s="2">
        <v>1</v>
      </c>
      <c r="BD152" s="2">
        <v>1</v>
      </c>
      <c r="BE152" s="2">
        <v>1</v>
      </c>
      <c r="BF152" s="2">
        <v>1</v>
      </c>
      <c r="BG152" s="2" t="s">
        <v>1376</v>
      </c>
      <c r="BH152">
        <v>4</v>
      </c>
      <c r="BI152">
        <v>4</v>
      </c>
      <c r="BJ152">
        <v>5.5</v>
      </c>
      <c r="BK152">
        <v>4</v>
      </c>
      <c r="BL152" t="s">
        <v>356</v>
      </c>
      <c r="BM152">
        <v>7</v>
      </c>
      <c r="BN152">
        <v>5.5</v>
      </c>
      <c r="BO152" t="s">
        <v>356</v>
      </c>
      <c r="BP152" s="206">
        <f t="shared" si="565"/>
        <v>4.00000000004</v>
      </c>
      <c r="BQ152" s="206">
        <f t="shared" si="566"/>
        <v>4.00000000002</v>
      </c>
      <c r="BR152" s="206">
        <f t="shared" si="567"/>
        <v>5.50000000003</v>
      </c>
      <c r="BS152" s="206">
        <f t="shared" si="568"/>
        <v>4.00000000001</v>
      </c>
      <c r="BT152" s="206">
        <f t="shared" si="569"/>
        <v>0</v>
      </c>
      <c r="BU152" s="206">
        <f t="shared" si="570"/>
        <v>7.00000000006</v>
      </c>
      <c r="BV152" s="206">
        <f t="shared" si="571"/>
        <v>5.50000000007</v>
      </c>
      <c r="BW152" s="206">
        <f t="shared" si="572"/>
        <v>0</v>
      </c>
      <c r="BX152" s="2">
        <f t="shared" si="509"/>
        <v>4.00000000004</v>
      </c>
      <c r="BY152" s="2">
        <f t="shared" si="510"/>
        <v>4.00000000002</v>
      </c>
      <c r="BZ152" s="2">
        <f t="shared" si="511"/>
        <v>5.50000000003</v>
      </c>
      <c r="CA152" s="2">
        <f t="shared" si="512"/>
        <v>4.00000000001</v>
      </c>
      <c r="CB152" s="2">
        <f t="shared" si="513"/>
        <v>0</v>
      </c>
      <c r="CC152" s="2">
        <f t="shared" si="514"/>
        <v>7.00000000006</v>
      </c>
      <c r="CD152" s="2">
        <f t="shared" si="515"/>
        <v>5.50000000007</v>
      </c>
      <c r="CE152" s="2">
        <f t="shared" si="516"/>
        <v>0</v>
      </c>
      <c r="CF152" s="2" t="b">
        <f t="shared" si="620"/>
        <v>1</v>
      </c>
      <c r="CG152" s="2" t="b">
        <f t="shared" si="620"/>
        <v>1</v>
      </c>
      <c r="CH152" s="2" t="b">
        <f t="shared" si="620"/>
        <v>1</v>
      </c>
      <c r="CI152" s="2" t="b">
        <f t="shared" si="620"/>
        <v>0</v>
      </c>
      <c r="CJ152" s="2" t="b">
        <f t="shared" si="621"/>
        <v>0</v>
      </c>
      <c r="CK152" s="2" t="b">
        <f t="shared" si="621"/>
        <v>1</v>
      </c>
      <c r="CL152" s="2" t="b">
        <f t="shared" si="621"/>
        <v>1</v>
      </c>
      <c r="CM152" s="2" t="b">
        <f t="shared" si="621"/>
        <v>0</v>
      </c>
      <c r="CN152" s="2">
        <v>1</v>
      </c>
      <c r="CO152" s="2">
        <v>1</v>
      </c>
      <c r="CP152" s="2">
        <v>1</v>
      </c>
      <c r="CQ152" s="2">
        <v>1</v>
      </c>
      <c r="CR152" s="2">
        <v>1</v>
      </c>
      <c r="CS152" s="2">
        <v>1</v>
      </c>
      <c r="CT152" s="2">
        <v>1</v>
      </c>
      <c r="CU152" s="2">
        <v>1</v>
      </c>
      <c r="CW152" s="2">
        <v>4</v>
      </c>
      <c r="CX152" s="2">
        <v>4</v>
      </c>
      <c r="CY152" s="2">
        <v>5.5</v>
      </c>
      <c r="CZ152" s="2">
        <v>4</v>
      </c>
      <c r="DA152" s="2" t="s">
        <v>356</v>
      </c>
      <c r="DB152" s="2">
        <v>7</v>
      </c>
      <c r="DC152" s="2">
        <v>5.5</v>
      </c>
      <c r="DD152" s="2">
        <v>4</v>
      </c>
      <c r="DE152" s="206">
        <f t="shared" si="573"/>
        <v>4.00000000004</v>
      </c>
      <c r="DF152" s="206">
        <f t="shared" si="574"/>
        <v>4.00000000002</v>
      </c>
      <c r="DG152" s="206">
        <f t="shared" si="575"/>
        <v>5.50000000003</v>
      </c>
      <c r="DH152" s="206">
        <f t="shared" si="576"/>
        <v>4.00000000001</v>
      </c>
      <c r="DI152" s="206">
        <f t="shared" si="577"/>
        <v>0</v>
      </c>
      <c r="DJ152" s="206">
        <f t="shared" si="578"/>
        <v>7.00000000006</v>
      </c>
      <c r="DK152" s="206">
        <f t="shared" si="579"/>
        <v>5.50000000007</v>
      </c>
      <c r="DL152" s="206">
        <f t="shared" si="580"/>
        <v>4.00000000008</v>
      </c>
      <c r="DM152" s="2">
        <f t="shared" si="531"/>
        <v>4.00000000004</v>
      </c>
      <c r="DN152" s="2">
        <f t="shared" si="532"/>
        <v>4.00000000002</v>
      </c>
      <c r="DO152" s="2">
        <f t="shared" si="533"/>
        <v>5.50000000003</v>
      </c>
      <c r="DP152" s="2">
        <f t="shared" si="534"/>
        <v>4.00000000001</v>
      </c>
      <c r="DQ152" s="2">
        <f t="shared" si="535"/>
        <v>0</v>
      </c>
      <c r="DR152" s="2">
        <f t="shared" si="536"/>
        <v>7.00000000006</v>
      </c>
      <c r="DS152" s="2">
        <f t="shared" si="537"/>
        <v>5.50000000007</v>
      </c>
      <c r="DT152" s="2">
        <f t="shared" si="538"/>
        <v>4.00000000008</v>
      </c>
      <c r="DU152" s="2" t="b">
        <f t="shared" si="614"/>
        <v>1</v>
      </c>
      <c r="DV152" s="2" t="b">
        <f t="shared" si="615"/>
        <v>0</v>
      </c>
      <c r="DW152" s="2" t="b">
        <f t="shared" si="616"/>
        <v>1</v>
      </c>
      <c r="DX152" s="2" t="b">
        <f t="shared" si="617"/>
        <v>0</v>
      </c>
      <c r="DY152" s="2" t="b">
        <f t="shared" si="600"/>
        <v>0</v>
      </c>
      <c r="DZ152" s="2" t="b">
        <f t="shared" si="601"/>
        <v>1</v>
      </c>
      <c r="EA152" s="2" t="b">
        <f t="shared" si="602"/>
        <v>1</v>
      </c>
      <c r="EB152" s="2" t="b">
        <f t="shared" si="603"/>
        <v>1</v>
      </c>
      <c r="EC152" s="2">
        <v>1</v>
      </c>
      <c r="ED152" s="2">
        <v>1</v>
      </c>
      <c r="EE152" s="2">
        <v>1</v>
      </c>
      <c r="EF152" s="2">
        <v>1</v>
      </c>
      <c r="EG152" s="2">
        <v>1</v>
      </c>
      <c r="EH152" s="2">
        <v>1</v>
      </c>
      <c r="EI152" s="2">
        <v>1</v>
      </c>
      <c r="EJ152" s="2">
        <v>1</v>
      </c>
      <c r="EK152" s="2">
        <v>5.5</v>
      </c>
      <c r="EL152" s="2">
        <v>4</v>
      </c>
      <c r="EM152" s="2">
        <v>7</v>
      </c>
      <c r="EN152" s="2">
        <v>4</v>
      </c>
      <c r="EO152" s="2" t="s">
        <v>356</v>
      </c>
      <c r="EP152" s="2">
        <v>7</v>
      </c>
      <c r="EQ152" s="2">
        <v>7</v>
      </c>
      <c r="ER152" s="2">
        <v>4</v>
      </c>
      <c r="ES152" s="206">
        <f t="shared" si="581"/>
        <v>5.50000000004</v>
      </c>
      <c r="ET152" s="206">
        <f t="shared" si="582"/>
        <v>4.00000000002</v>
      </c>
      <c r="EU152" s="206">
        <f t="shared" si="583"/>
        <v>7.00000000003</v>
      </c>
      <c r="EV152" s="206">
        <f t="shared" si="584"/>
        <v>4.00000000001</v>
      </c>
      <c r="EW152" s="206">
        <f t="shared" si="585"/>
        <v>0</v>
      </c>
      <c r="EX152" s="206">
        <f t="shared" si="586"/>
        <v>7.00000000006</v>
      </c>
      <c r="EY152" s="206">
        <f t="shared" si="587"/>
        <v>7.00000000007</v>
      </c>
      <c r="EZ152" s="206">
        <f t="shared" si="588"/>
        <v>4.00000000008</v>
      </c>
      <c r="FA152" s="2">
        <f t="shared" si="589"/>
        <v>5.50000000004</v>
      </c>
      <c r="FB152" s="2">
        <f t="shared" si="590"/>
        <v>4.00000000002</v>
      </c>
      <c r="FC152" s="2">
        <f t="shared" si="591"/>
        <v>7.00000000003</v>
      </c>
      <c r="FD152" s="2">
        <f t="shared" si="592"/>
        <v>4.00000000001</v>
      </c>
      <c r="FE152" s="2">
        <f t="shared" si="593"/>
        <v>0</v>
      </c>
      <c r="FF152" s="2">
        <f t="shared" si="594"/>
        <v>7.00000000006</v>
      </c>
      <c r="FG152" s="2">
        <f t="shared" si="595"/>
        <v>7.00000000007</v>
      </c>
      <c r="FH152" s="2">
        <f t="shared" si="596"/>
        <v>4.00000000008</v>
      </c>
      <c r="FI152" s="2" t="b">
        <f t="shared" si="604"/>
        <v>1</v>
      </c>
      <c r="FJ152" s="2" t="b">
        <f t="shared" si="605"/>
        <v>0</v>
      </c>
      <c r="FK152" s="2" t="b">
        <f t="shared" si="606"/>
        <v>1</v>
      </c>
      <c r="FL152" s="2" t="b">
        <f t="shared" si="607"/>
        <v>0</v>
      </c>
      <c r="FM152" s="2" t="b">
        <f t="shared" si="608"/>
        <v>0</v>
      </c>
      <c r="FN152" s="2" t="b">
        <f t="shared" si="609"/>
        <v>1</v>
      </c>
      <c r="FO152" s="2" t="b">
        <f t="shared" si="610"/>
        <v>1</v>
      </c>
      <c r="FP152" s="2" t="b">
        <f t="shared" si="611"/>
        <v>1</v>
      </c>
    </row>
    <row r="153" spans="1:172" ht="15.6">
      <c r="A153" s="2" t="s">
        <v>1380</v>
      </c>
      <c r="B153" s="2" t="s">
        <v>255</v>
      </c>
      <c r="C153" s="2" t="s">
        <v>1377</v>
      </c>
      <c r="D153" s="2" t="s">
        <v>1381</v>
      </c>
      <c r="E153" s="2" t="s">
        <v>889</v>
      </c>
      <c r="F153" s="2" t="s">
        <v>356</v>
      </c>
      <c r="G153" s="2">
        <v>43.5</v>
      </c>
      <c r="H153" s="2">
        <v>42</v>
      </c>
      <c r="I153" s="2">
        <v>39.5</v>
      </c>
      <c r="J153" s="2">
        <f t="shared" si="562"/>
        <v>43.500000000249997</v>
      </c>
      <c r="K153" s="2">
        <f t="shared" si="563"/>
        <v>42.000000000240007</v>
      </c>
      <c r="L153" s="2">
        <f t="shared" si="564"/>
        <v>39.500000000240007</v>
      </c>
      <c r="M153" s="364" t="s">
        <v>1384</v>
      </c>
      <c r="N153" s="364" t="s">
        <v>356</v>
      </c>
      <c r="O153" s="364" t="s">
        <v>1382</v>
      </c>
      <c r="P153" s="364" t="s">
        <v>356</v>
      </c>
      <c r="Q153" s="364" t="s">
        <v>356</v>
      </c>
      <c r="R153" s="2" t="s">
        <v>1383</v>
      </c>
      <c r="S153" s="2" t="s">
        <v>1177</v>
      </c>
      <c r="T153" s="2">
        <v>12</v>
      </c>
      <c r="U153" s="2" cm="1">
        <f t="array" ref="U153">IFERROR(INDEX('Offer Statistics'!$BQ$2:$BQ$400,MATCH(1,(A153='Offer Statistics'!$BB$2:$BB$400)*($A$11='Offer Statistics'!$BC$2:$BC$400),0)),"/")</f>
        <v>17</v>
      </c>
      <c r="V153" s="2" cm="1">
        <f t="array" ref="V153">IFERROR(INDEX('Offer Statistics'!$BD$2:$BD$400,MATCH(1,(A153='Offer Statistics'!$BB$2:$BB$400)*($A$11='Offer Statistics'!$BC$2:$BC$400),0)),"/")</f>
        <v>168</v>
      </c>
      <c r="W153" s="2" cm="1">
        <f t="array" ref="W153">IFERROR(INDEX('Offer Statistics'!$BL$2:$BL$400,MATCH(1,(A153='Offer Statistics'!$BB$2:$BB$400)*($A$11='Offer Statistics'!$BC$2:$BC$400),0)),"/")</f>
        <v>17</v>
      </c>
      <c r="X153" s="2">
        <f t="shared" si="502"/>
        <v>9.882352941176471</v>
      </c>
      <c r="Y153" s="2" t="s">
        <v>1177</v>
      </c>
      <c r="Z153" s="364" t="str">
        <f>入學要求!AF162</f>
        <v>/</v>
      </c>
      <c r="AA153" s="364" t="str">
        <f>入學要求!AG162</f>
        <v>/</v>
      </c>
      <c r="AB153" s="401" t="s">
        <v>889</v>
      </c>
      <c r="AC153" s="51"/>
      <c r="AD153" s="51"/>
      <c r="AE153" s="368" t="s">
        <v>3021</v>
      </c>
      <c r="AF153" s="368" t="s">
        <v>356</v>
      </c>
      <c r="AG153" s="368" t="s">
        <v>1382</v>
      </c>
      <c r="AH153" s="368" t="s">
        <v>356</v>
      </c>
      <c r="AI153" s="368" t="s">
        <v>356</v>
      </c>
      <c r="AJ153" s="2" t="s">
        <v>356</v>
      </c>
      <c r="AK153" s="2" t="s">
        <v>356</v>
      </c>
      <c r="AL153" s="2" t="s">
        <v>356</v>
      </c>
      <c r="AM153" s="2" t="s">
        <v>356</v>
      </c>
      <c r="AN153" s="2" t="s">
        <v>356</v>
      </c>
      <c r="AO153" s="2" t="s">
        <v>356</v>
      </c>
      <c r="AP153" s="2" t="s">
        <v>356</v>
      </c>
      <c r="AQ153" s="2" t="s">
        <v>356</v>
      </c>
      <c r="AS153" s="2" t="s">
        <v>820</v>
      </c>
      <c r="AU153" s="2" t="s">
        <v>1336</v>
      </c>
      <c r="AY153" s="2">
        <v>2</v>
      </c>
      <c r="AZ153" s="2">
        <v>1</v>
      </c>
      <c r="BA153" s="2">
        <v>1</v>
      </c>
      <c r="BB153" s="2">
        <v>1</v>
      </c>
      <c r="BC153" s="2">
        <v>1</v>
      </c>
      <c r="BD153" s="2">
        <v>1</v>
      </c>
      <c r="BE153" s="2">
        <v>1</v>
      </c>
      <c r="BF153" s="2">
        <v>1</v>
      </c>
      <c r="BG153" s="2" t="s">
        <v>1380</v>
      </c>
      <c r="BH153">
        <v>8.5</v>
      </c>
      <c r="BI153">
        <v>3</v>
      </c>
      <c r="BJ153">
        <v>2</v>
      </c>
      <c r="BK153">
        <v>4</v>
      </c>
      <c r="BL153" t="s">
        <v>356</v>
      </c>
      <c r="BM153">
        <v>8.5</v>
      </c>
      <c r="BN153">
        <v>7</v>
      </c>
      <c r="BO153" t="s">
        <v>356</v>
      </c>
      <c r="BP153" s="206">
        <f t="shared" si="565"/>
        <v>8.50000000004</v>
      </c>
      <c r="BQ153" s="206">
        <f t="shared" si="566"/>
        <v>3.00000000002</v>
      </c>
      <c r="BR153" s="206">
        <f t="shared" si="567"/>
        <v>2.00000000003</v>
      </c>
      <c r="BS153" s="206">
        <f t="shared" si="568"/>
        <v>4.00000000001</v>
      </c>
      <c r="BT153" s="206">
        <f t="shared" si="569"/>
        <v>0</v>
      </c>
      <c r="BU153" s="206">
        <f t="shared" si="570"/>
        <v>8.50000000006</v>
      </c>
      <c r="BV153" s="206">
        <f t="shared" si="571"/>
        <v>7.00000000007</v>
      </c>
      <c r="BW153" s="206">
        <f t="shared" si="572"/>
        <v>0</v>
      </c>
      <c r="BX153" s="2">
        <f t="shared" si="509"/>
        <v>17.00000000008</v>
      </c>
      <c r="BY153" s="2">
        <f t="shared" si="510"/>
        <v>3.00000000002</v>
      </c>
      <c r="BZ153" s="2">
        <f t="shared" si="511"/>
        <v>2.00000000003</v>
      </c>
      <c r="CA153" s="2">
        <f t="shared" si="512"/>
        <v>4.00000000001</v>
      </c>
      <c r="CB153" s="2">
        <f t="shared" si="513"/>
        <v>0</v>
      </c>
      <c r="CC153" s="2">
        <f t="shared" si="514"/>
        <v>8.50000000006</v>
      </c>
      <c r="CD153" s="2">
        <f t="shared" si="515"/>
        <v>7.00000000007</v>
      </c>
      <c r="CE153" s="2">
        <f t="shared" si="516"/>
        <v>0</v>
      </c>
      <c r="CF153" s="402" t="b">
        <v>1</v>
      </c>
      <c r="CG153" s="359" t="b">
        <f>IF(BY153&gt;LARGE($BY153:$CE153,5),TRUE)</f>
        <v>1</v>
      </c>
      <c r="CH153" s="359" t="b">
        <f t="shared" ref="CH153:CM153" si="622">IF(BZ153&gt;LARGE($BY153:$CE153,5),TRUE)</f>
        <v>0</v>
      </c>
      <c r="CI153" s="359" t="b">
        <f t="shared" si="622"/>
        <v>1</v>
      </c>
      <c r="CJ153" s="359" t="b">
        <f t="shared" si="622"/>
        <v>0</v>
      </c>
      <c r="CK153" s="359" t="b">
        <f t="shared" si="622"/>
        <v>1</v>
      </c>
      <c r="CL153" s="359" t="b">
        <f t="shared" si="622"/>
        <v>1</v>
      </c>
      <c r="CM153" s="359" t="b">
        <f t="shared" si="622"/>
        <v>0</v>
      </c>
      <c r="CN153" s="2">
        <v>2</v>
      </c>
      <c r="CO153" s="2">
        <v>1</v>
      </c>
      <c r="CP153" s="2">
        <v>1</v>
      </c>
      <c r="CQ153" s="2">
        <v>1</v>
      </c>
      <c r="CR153" s="2">
        <v>1</v>
      </c>
      <c r="CS153" s="2">
        <v>1</v>
      </c>
      <c r="CT153" s="2">
        <v>1</v>
      </c>
      <c r="CU153" s="2">
        <v>1</v>
      </c>
      <c r="CW153" s="2">
        <v>8.5</v>
      </c>
      <c r="CX153" s="2">
        <v>4</v>
      </c>
      <c r="CY153" s="2">
        <v>3</v>
      </c>
      <c r="CZ153" s="2">
        <v>7</v>
      </c>
      <c r="DA153" s="2" t="s">
        <v>356</v>
      </c>
      <c r="DB153" s="2">
        <v>7</v>
      </c>
      <c r="DC153" s="2">
        <v>7</v>
      </c>
      <c r="DD153" s="2" t="s">
        <v>356</v>
      </c>
      <c r="DE153" s="206">
        <f t="shared" si="573"/>
        <v>8.50000000004</v>
      </c>
      <c r="DF153" s="206">
        <f t="shared" si="574"/>
        <v>4.00000000002</v>
      </c>
      <c r="DG153" s="206">
        <f t="shared" si="575"/>
        <v>3.00000000003</v>
      </c>
      <c r="DH153" s="206">
        <f t="shared" si="576"/>
        <v>7.00000000001</v>
      </c>
      <c r="DI153" s="206">
        <f t="shared" si="577"/>
        <v>0</v>
      </c>
      <c r="DJ153" s="206">
        <f t="shared" si="578"/>
        <v>7.00000000006</v>
      </c>
      <c r="DK153" s="206">
        <f t="shared" si="579"/>
        <v>7.00000000007</v>
      </c>
      <c r="DL153" s="206">
        <f t="shared" si="580"/>
        <v>0</v>
      </c>
      <c r="DM153" s="2">
        <f t="shared" si="531"/>
        <v>17.00000000008</v>
      </c>
      <c r="DN153" s="2">
        <f t="shared" si="532"/>
        <v>4.00000000002</v>
      </c>
      <c r="DO153" s="2">
        <f t="shared" si="533"/>
        <v>3.00000000003</v>
      </c>
      <c r="DP153" s="2">
        <f t="shared" si="534"/>
        <v>7.00000000001</v>
      </c>
      <c r="DQ153" s="2">
        <f t="shared" si="535"/>
        <v>0</v>
      </c>
      <c r="DR153" s="2">
        <f t="shared" si="536"/>
        <v>7.00000000006</v>
      </c>
      <c r="DS153" s="2">
        <f t="shared" si="537"/>
        <v>7.00000000007</v>
      </c>
      <c r="DT153" s="2">
        <f t="shared" si="538"/>
        <v>0</v>
      </c>
      <c r="DU153" s="402" t="b">
        <v>1</v>
      </c>
      <c r="DV153" s="359" t="b">
        <f>IF(DN153&gt;LARGE($DN153:$DT153,5),TRUE)</f>
        <v>1</v>
      </c>
      <c r="DW153" s="359" t="b">
        <f t="shared" ref="DW153:EB153" si="623">IF(DO153&gt;LARGE($DN153:$DT153,5),TRUE)</f>
        <v>0</v>
      </c>
      <c r="DX153" s="359" t="b">
        <f t="shared" si="623"/>
        <v>1</v>
      </c>
      <c r="DY153" s="359" t="b">
        <f t="shared" si="623"/>
        <v>0</v>
      </c>
      <c r="DZ153" s="359" t="b">
        <f t="shared" si="623"/>
        <v>1</v>
      </c>
      <c r="EA153" s="359" t="b">
        <f t="shared" si="623"/>
        <v>1</v>
      </c>
      <c r="EB153" s="359" t="b">
        <f t="shared" si="623"/>
        <v>0</v>
      </c>
      <c r="EC153" s="2">
        <v>2</v>
      </c>
      <c r="ED153" s="2">
        <v>1</v>
      </c>
      <c r="EE153" s="2">
        <v>1</v>
      </c>
      <c r="EF153" s="2">
        <v>1</v>
      </c>
      <c r="EG153" s="2">
        <v>1</v>
      </c>
      <c r="EH153" s="2">
        <v>1</v>
      </c>
      <c r="EI153" s="2">
        <v>1</v>
      </c>
      <c r="EJ153" s="2">
        <v>1</v>
      </c>
      <c r="EK153" s="2">
        <v>8.5</v>
      </c>
      <c r="EL153" s="2">
        <v>3</v>
      </c>
      <c r="EM153" s="2">
        <v>4</v>
      </c>
      <c r="EN153" s="2">
        <v>5.5</v>
      </c>
      <c r="EO153" s="2" t="s">
        <v>356</v>
      </c>
      <c r="EP153" s="2">
        <v>8.5</v>
      </c>
      <c r="EQ153" s="2">
        <v>8.5</v>
      </c>
      <c r="ER153" s="2" t="s">
        <v>356</v>
      </c>
      <c r="ES153" s="206">
        <f t="shared" si="581"/>
        <v>8.50000000004</v>
      </c>
      <c r="ET153" s="206">
        <f t="shared" si="582"/>
        <v>3.00000000002</v>
      </c>
      <c r="EU153" s="206">
        <f t="shared" si="583"/>
        <v>4.00000000003</v>
      </c>
      <c r="EV153" s="206">
        <f t="shared" si="584"/>
        <v>5.50000000001</v>
      </c>
      <c r="EW153" s="206">
        <f t="shared" si="585"/>
        <v>0</v>
      </c>
      <c r="EX153" s="206">
        <f t="shared" si="586"/>
        <v>8.50000000006</v>
      </c>
      <c r="EY153" s="206">
        <f t="shared" si="587"/>
        <v>8.5000000000699991</v>
      </c>
      <c r="EZ153" s="206">
        <f t="shared" si="588"/>
        <v>0</v>
      </c>
      <c r="FA153" s="2">
        <f t="shared" si="589"/>
        <v>17.00000000008</v>
      </c>
      <c r="FB153" s="2">
        <f t="shared" si="590"/>
        <v>3.00000000002</v>
      </c>
      <c r="FC153" s="2">
        <f t="shared" si="591"/>
        <v>4.00000000003</v>
      </c>
      <c r="FD153" s="2">
        <f t="shared" si="592"/>
        <v>5.50000000001</v>
      </c>
      <c r="FE153" s="2">
        <f t="shared" si="593"/>
        <v>0</v>
      </c>
      <c r="FF153" s="2">
        <f t="shared" si="594"/>
        <v>8.50000000006</v>
      </c>
      <c r="FG153" s="2">
        <f t="shared" si="595"/>
        <v>8.5000000000699991</v>
      </c>
      <c r="FH153" s="2">
        <f t="shared" si="596"/>
        <v>0</v>
      </c>
      <c r="FI153" s="402" t="b">
        <v>1</v>
      </c>
      <c r="FJ153" s="359" t="b">
        <f>IF(FB153&gt;LARGE($FB153:$FH153,5),TRUE)</f>
        <v>0</v>
      </c>
      <c r="FK153" s="359" t="b">
        <f t="shared" ref="FK153:FP153" si="624">IF(FC153&gt;LARGE($FB153:$FH153,5),TRUE)</f>
        <v>1</v>
      </c>
      <c r="FL153" s="359" t="b">
        <f t="shared" si="624"/>
        <v>1</v>
      </c>
      <c r="FM153" s="359" t="b">
        <f t="shared" si="624"/>
        <v>0</v>
      </c>
      <c r="FN153" s="359" t="b">
        <f t="shared" si="624"/>
        <v>1</v>
      </c>
      <c r="FO153" s="359" t="b">
        <f t="shared" si="624"/>
        <v>1</v>
      </c>
      <c r="FP153" s="359" t="b">
        <f t="shared" si="624"/>
        <v>0</v>
      </c>
    </row>
    <row r="154" spans="1:172" ht="15.6">
      <c r="A154" s="2" t="s">
        <v>1385</v>
      </c>
      <c r="B154" s="2" t="s">
        <v>255</v>
      </c>
      <c r="C154" s="2" t="s">
        <v>1377</v>
      </c>
      <c r="D154" s="2" t="s">
        <v>1386</v>
      </c>
      <c r="E154" s="2" t="s">
        <v>889</v>
      </c>
      <c r="F154" s="2" t="s">
        <v>356</v>
      </c>
      <c r="G154" s="2">
        <v>40.5</v>
      </c>
      <c r="H154" s="2">
        <v>36</v>
      </c>
      <c r="I154" s="2">
        <v>36</v>
      </c>
      <c r="J154" s="2">
        <f t="shared" si="562"/>
        <v>40.500000000250004</v>
      </c>
      <c r="K154" s="2">
        <f t="shared" si="563"/>
        <v>36.000000000290001</v>
      </c>
      <c r="L154" s="2">
        <f t="shared" si="564"/>
        <v>36.000000000220005</v>
      </c>
      <c r="M154" s="364" t="s">
        <v>887</v>
      </c>
      <c r="N154" s="364" t="s">
        <v>356</v>
      </c>
      <c r="O154" s="364" t="s">
        <v>874</v>
      </c>
      <c r="P154" s="364" t="s">
        <v>356</v>
      </c>
      <c r="Q154" s="364" t="s">
        <v>356</v>
      </c>
      <c r="R154" s="2" t="s">
        <v>1387</v>
      </c>
      <c r="S154" s="2" t="s">
        <v>1177</v>
      </c>
      <c r="T154" s="2">
        <v>12</v>
      </c>
      <c r="U154" s="2" cm="1">
        <f t="array" ref="U154">IFERROR(INDEX('Offer Statistics'!$BQ$2:$BQ$400,MATCH(1,(A154='Offer Statistics'!$BB$2:$BB$400)*($A$11='Offer Statistics'!$BC$2:$BC$400),0)),"/")</f>
        <v>14</v>
      </c>
      <c r="V154" s="2" cm="1">
        <f t="array" ref="V154">IFERROR(INDEX('Offer Statistics'!$BD$2:$BD$400,MATCH(1,(A154='Offer Statistics'!$BB$2:$BB$400)*($A$11='Offer Statistics'!$BC$2:$BC$400),0)),"/")</f>
        <v>93</v>
      </c>
      <c r="W154" s="2" cm="1">
        <f t="array" ref="W154">IFERROR(INDEX('Offer Statistics'!$BL$2:$BL$400,MATCH(1,(A154='Offer Statistics'!$BB$2:$BB$400)*($A$11='Offer Statistics'!$BC$2:$BC$400),0)),"/")</f>
        <v>14</v>
      </c>
      <c r="X154" s="2">
        <f t="shared" si="502"/>
        <v>6.6428571428571432</v>
      </c>
      <c r="Y154" s="2" t="s">
        <v>1177</v>
      </c>
      <c r="Z154" s="364" t="str">
        <f>入學要求!AF163</f>
        <v>/</v>
      </c>
      <c r="AA154" s="364" t="str">
        <f>入學要求!AG163</f>
        <v>/</v>
      </c>
      <c r="AB154" s="401" t="s">
        <v>889</v>
      </c>
      <c r="AC154" s="51"/>
      <c r="AD154" s="51"/>
      <c r="AE154" s="368" t="s">
        <v>887</v>
      </c>
      <c r="AF154" s="368" t="s">
        <v>356</v>
      </c>
      <c r="AG154" s="368" t="s">
        <v>874</v>
      </c>
      <c r="AH154" s="368" t="s">
        <v>356</v>
      </c>
      <c r="AI154" s="368" t="s">
        <v>356</v>
      </c>
      <c r="AJ154" s="2" t="s">
        <v>356</v>
      </c>
      <c r="AK154" s="2" t="s">
        <v>356</v>
      </c>
      <c r="AL154" s="2" t="s">
        <v>356</v>
      </c>
      <c r="AM154" s="2" t="s">
        <v>356</v>
      </c>
      <c r="AN154" s="2" t="s">
        <v>356</v>
      </c>
      <c r="AO154" s="2" t="s">
        <v>356</v>
      </c>
      <c r="AP154" s="2" t="s">
        <v>356</v>
      </c>
      <c r="AQ154" s="2" t="s">
        <v>356</v>
      </c>
      <c r="AS154" s="2" t="s">
        <v>820</v>
      </c>
      <c r="AU154" s="2" t="s">
        <v>817</v>
      </c>
      <c r="AY154" s="2">
        <v>1</v>
      </c>
      <c r="AZ154" s="2">
        <v>2</v>
      </c>
      <c r="BA154" s="2">
        <v>1</v>
      </c>
      <c r="BB154" s="2">
        <v>1</v>
      </c>
      <c r="BC154" s="2">
        <v>1</v>
      </c>
      <c r="BD154" s="2">
        <v>1</v>
      </c>
      <c r="BE154" s="2">
        <v>1</v>
      </c>
      <c r="BF154" s="2">
        <v>1</v>
      </c>
      <c r="BG154" s="2" t="s">
        <v>1385</v>
      </c>
      <c r="BH154">
        <v>7</v>
      </c>
      <c r="BI154">
        <v>7</v>
      </c>
      <c r="BJ154">
        <v>4</v>
      </c>
      <c r="BK154">
        <v>5.5</v>
      </c>
      <c r="BL154" t="s">
        <v>356</v>
      </c>
      <c r="BM154">
        <v>5.5</v>
      </c>
      <c r="BN154">
        <v>4</v>
      </c>
      <c r="BO154" t="s">
        <v>356</v>
      </c>
      <c r="BP154" s="206">
        <f t="shared" si="565"/>
        <v>7.00000000004</v>
      </c>
      <c r="BQ154" s="206">
        <f t="shared" si="566"/>
        <v>7.00000000002</v>
      </c>
      <c r="BR154" s="206">
        <f t="shared" si="567"/>
        <v>4.00000000003</v>
      </c>
      <c r="BS154" s="206">
        <f t="shared" si="568"/>
        <v>5.50000000001</v>
      </c>
      <c r="BT154" s="206">
        <f t="shared" si="569"/>
        <v>0</v>
      </c>
      <c r="BU154" s="206">
        <f t="shared" si="570"/>
        <v>5.50000000006</v>
      </c>
      <c r="BV154" s="206">
        <f t="shared" si="571"/>
        <v>4.00000000007</v>
      </c>
      <c r="BW154" s="206">
        <f t="shared" si="572"/>
        <v>0</v>
      </c>
      <c r="BX154" s="2">
        <f t="shared" si="509"/>
        <v>7.00000000004</v>
      </c>
      <c r="BY154" s="2">
        <f t="shared" si="510"/>
        <v>14.00000000004</v>
      </c>
      <c r="BZ154" s="2">
        <f t="shared" si="511"/>
        <v>4.00000000003</v>
      </c>
      <c r="CA154" s="2">
        <f t="shared" si="512"/>
        <v>5.50000000001</v>
      </c>
      <c r="CB154" s="2">
        <f t="shared" si="513"/>
        <v>0</v>
      </c>
      <c r="CC154" s="2">
        <f t="shared" si="514"/>
        <v>5.50000000006</v>
      </c>
      <c r="CD154" s="2">
        <f t="shared" si="515"/>
        <v>4.00000000007</v>
      </c>
      <c r="CE154" s="2">
        <f t="shared" si="516"/>
        <v>0</v>
      </c>
      <c r="CF154" s="402" t="b">
        <f>IF(BX154&gt;LARGE(($BX154,$BZ154:$CE154),5),TRUE)</f>
        <v>1</v>
      </c>
      <c r="CG154" s="402" t="b">
        <v>1</v>
      </c>
      <c r="CH154" s="402" t="b">
        <f>IF(BZ154&gt;LARGE(($BX154,$BZ154:$CE154),5),TRUE)</f>
        <v>0</v>
      </c>
      <c r="CI154" s="402" t="b">
        <f>IF(CA154&gt;LARGE(($BX154,$BZ154:$CE154),5),TRUE)</f>
        <v>1</v>
      </c>
      <c r="CJ154" s="402" t="b">
        <f>IF(CB154&gt;LARGE(($BX154,$BZ154:$CE154),5),TRUE)</f>
        <v>0</v>
      </c>
      <c r="CK154" s="402" t="b">
        <f>IF(CC154&gt;LARGE(($BX154,$BZ154:$CE154),5),TRUE)</f>
        <v>1</v>
      </c>
      <c r="CL154" s="402" t="b">
        <f>IF(CD154&gt;LARGE(($BX154,$BZ154:$CE154),5),TRUE)</f>
        <v>1</v>
      </c>
      <c r="CM154" s="402" t="b">
        <f>IF(CE154&gt;LARGE(($BX154,$BZ154:$CE154),5),TRUE)</f>
        <v>0</v>
      </c>
      <c r="CN154" s="2">
        <v>1</v>
      </c>
      <c r="CO154" s="2">
        <v>2</v>
      </c>
      <c r="CP154" s="2">
        <v>1</v>
      </c>
      <c r="CQ154" s="2">
        <v>1</v>
      </c>
      <c r="CR154" s="2">
        <v>1</v>
      </c>
      <c r="CS154" s="2">
        <v>1</v>
      </c>
      <c r="CT154" s="2">
        <v>1</v>
      </c>
      <c r="CU154" s="2">
        <v>1</v>
      </c>
      <c r="CW154" s="2">
        <v>4</v>
      </c>
      <c r="CX154" s="2">
        <v>8.5</v>
      </c>
      <c r="CY154" s="2">
        <v>3</v>
      </c>
      <c r="CZ154" s="2">
        <v>4</v>
      </c>
      <c r="DA154" s="2" t="s">
        <v>356</v>
      </c>
      <c r="DB154" s="2">
        <v>7</v>
      </c>
      <c r="DC154" s="2">
        <v>4</v>
      </c>
      <c r="DD154" s="2">
        <v>4</v>
      </c>
      <c r="DE154" s="206">
        <f t="shared" si="573"/>
        <v>4.00000000004</v>
      </c>
      <c r="DF154" s="206">
        <f t="shared" si="574"/>
        <v>8.50000000002</v>
      </c>
      <c r="DG154" s="206">
        <f t="shared" si="575"/>
        <v>3.00000000003</v>
      </c>
      <c r="DH154" s="206">
        <f t="shared" si="576"/>
        <v>4.00000000001</v>
      </c>
      <c r="DI154" s="206">
        <f t="shared" si="577"/>
        <v>0</v>
      </c>
      <c r="DJ154" s="206">
        <f t="shared" si="578"/>
        <v>7.00000000006</v>
      </c>
      <c r="DK154" s="206">
        <f t="shared" si="579"/>
        <v>4.00000000007</v>
      </c>
      <c r="DL154" s="206">
        <f t="shared" si="580"/>
        <v>4.00000000008</v>
      </c>
      <c r="DM154" s="2">
        <f t="shared" si="531"/>
        <v>4.00000000004</v>
      </c>
      <c r="DN154" s="2">
        <f t="shared" si="532"/>
        <v>17.00000000004</v>
      </c>
      <c r="DO154" s="2">
        <f t="shared" si="533"/>
        <v>3.00000000003</v>
      </c>
      <c r="DP154" s="2">
        <f t="shared" si="534"/>
        <v>4.00000000001</v>
      </c>
      <c r="DQ154" s="2">
        <f t="shared" si="535"/>
        <v>0</v>
      </c>
      <c r="DR154" s="2">
        <f t="shared" si="536"/>
        <v>7.00000000006</v>
      </c>
      <c r="DS154" s="2">
        <f t="shared" si="537"/>
        <v>4.00000000007</v>
      </c>
      <c r="DT154" s="2">
        <f t="shared" si="538"/>
        <v>4.00000000008</v>
      </c>
      <c r="DU154" s="402" t="b">
        <f>IF(DM154&gt;LARGE(($BX154,$BZ154:$CE154),5),TRUE)</f>
        <v>1</v>
      </c>
      <c r="DV154" s="402" t="b">
        <v>1</v>
      </c>
      <c r="DW154" s="402" t="b">
        <f>IF(DO154&gt;LARGE(($BX154,$BZ154:$CE154),5),TRUE)</f>
        <v>0</v>
      </c>
      <c r="DX154" s="402" t="b">
        <f>IF(DP154&gt;LARGE(($BX154,$BZ154:$CE154),5),TRUE)</f>
        <v>0</v>
      </c>
      <c r="DY154" s="402" t="b">
        <f>IF(DQ154&gt;LARGE(($BX154,$BZ154:$CE154),5),TRUE)</f>
        <v>0</v>
      </c>
      <c r="DZ154" s="402" t="b">
        <f>IF(DR154&gt;LARGE(($BX154,$BZ154:$CE154),5),TRUE)</f>
        <v>1</v>
      </c>
      <c r="EA154" s="402" t="b">
        <f>IF(DS154&gt;LARGE(($BX154,$BZ154:$CE154),5),TRUE)</f>
        <v>1</v>
      </c>
      <c r="EB154" s="402" t="b">
        <f>IF(DT154&gt;LARGE(($BX154,$BZ154:$CE154),5),TRUE)</f>
        <v>1</v>
      </c>
      <c r="EC154" s="2">
        <v>1</v>
      </c>
      <c r="ED154" s="2">
        <v>2</v>
      </c>
      <c r="EE154" s="2">
        <v>1</v>
      </c>
      <c r="EF154" s="2">
        <v>1</v>
      </c>
      <c r="EG154" s="2">
        <v>1</v>
      </c>
      <c r="EH154" s="2">
        <v>1</v>
      </c>
      <c r="EI154" s="2">
        <v>1</v>
      </c>
      <c r="EJ154" s="2">
        <v>1</v>
      </c>
      <c r="EK154" s="2">
        <v>3</v>
      </c>
      <c r="EL154" s="2">
        <v>8.5</v>
      </c>
      <c r="EM154" s="2">
        <v>5.5</v>
      </c>
      <c r="EN154" s="2">
        <v>2</v>
      </c>
      <c r="EO154" s="2">
        <v>7</v>
      </c>
      <c r="EP154" s="2">
        <v>5.5</v>
      </c>
      <c r="EQ154" s="2">
        <v>5.5</v>
      </c>
      <c r="ER154" s="2" t="s">
        <v>356</v>
      </c>
      <c r="ES154" s="206">
        <f t="shared" si="581"/>
        <v>3.00000000004</v>
      </c>
      <c r="ET154" s="206">
        <f t="shared" si="582"/>
        <v>8.50000000002</v>
      </c>
      <c r="EU154" s="206">
        <f t="shared" si="583"/>
        <v>5.50000000003</v>
      </c>
      <c r="EV154" s="206">
        <f t="shared" si="584"/>
        <v>2.00000000001</v>
      </c>
      <c r="EW154" s="206">
        <f t="shared" si="585"/>
        <v>7.00000000005</v>
      </c>
      <c r="EX154" s="206">
        <f t="shared" si="586"/>
        <v>5.50000000006</v>
      </c>
      <c r="EY154" s="206">
        <f t="shared" si="587"/>
        <v>5.50000000007</v>
      </c>
      <c r="EZ154" s="206">
        <f t="shared" si="588"/>
        <v>0</v>
      </c>
      <c r="FA154" s="2">
        <f t="shared" ref="FA154:FA185" si="625">ES154*EC154</f>
        <v>3.00000000004</v>
      </c>
      <c r="FB154" s="2">
        <f t="shared" ref="FB154:FB197" si="626">ET154*ED154</f>
        <v>17.00000000004</v>
      </c>
      <c r="FC154" s="2">
        <f t="shared" ref="FC154:FC197" si="627">EU154*EE154</f>
        <v>5.50000000003</v>
      </c>
      <c r="FD154" s="2">
        <f t="shared" ref="FD154:FD197" si="628">EV154*EF154</f>
        <v>2.00000000001</v>
      </c>
      <c r="FE154" s="2">
        <f t="shared" ref="FE154:FE197" si="629">EW154*EG154</f>
        <v>7.00000000005</v>
      </c>
      <c r="FF154" s="2">
        <f t="shared" ref="FF154:FF197" si="630">EX154*EH154</f>
        <v>5.50000000006</v>
      </c>
      <c r="FG154" s="2">
        <f t="shared" ref="FG154:FG197" si="631">EY154*EI154</f>
        <v>5.50000000007</v>
      </c>
      <c r="FH154" s="2">
        <f t="shared" ref="FH154:FH197" si="632">EZ154*EJ154</f>
        <v>0</v>
      </c>
      <c r="FI154" s="402" t="b">
        <f>IF(FA154&gt;LARGE(($BX154,$BZ154:$CE154),5),TRUE)</f>
        <v>0</v>
      </c>
      <c r="FJ154" s="402" t="b">
        <v>1</v>
      </c>
      <c r="FK154" s="402" t="b">
        <f>IF(FC154&gt;LARGE(($BX154,$BZ154:$CE154),5),TRUE)</f>
        <v>1</v>
      </c>
      <c r="FL154" s="402" t="b">
        <f>IF(FD154&gt;LARGE(($BX154,$BZ154:$CE154),5),TRUE)</f>
        <v>0</v>
      </c>
      <c r="FM154" s="402" t="b">
        <f>IF(FE154&gt;LARGE(($BX154,$BZ154:$CE154),5),TRUE)</f>
        <v>1</v>
      </c>
      <c r="FN154" s="402" t="b">
        <f>IF(FF154&gt;LARGE(($BX154,$BZ154:$CE154),5),TRUE)</f>
        <v>1</v>
      </c>
      <c r="FO154" s="402" t="b">
        <f>IF(FG154&gt;LARGE(($BX154,$BZ154:$CE154),5),TRUE)</f>
        <v>1</v>
      </c>
      <c r="FP154" s="402" t="b">
        <f>IF(FH154&gt;LARGE(($BX154,$BZ154:$CE154),5),TRUE)</f>
        <v>0</v>
      </c>
    </row>
    <row r="155" spans="1:172" ht="15.6">
      <c r="A155" s="2" t="s">
        <v>362</v>
      </c>
      <c r="B155" s="2" t="s">
        <v>255</v>
      </c>
      <c r="C155" s="2" t="s">
        <v>1377</v>
      </c>
      <c r="D155" s="2" t="s">
        <v>1388</v>
      </c>
      <c r="E155" s="2" t="s">
        <v>889</v>
      </c>
      <c r="F155" s="2" t="s">
        <v>356</v>
      </c>
      <c r="G155" s="2">
        <v>53</v>
      </c>
      <c r="H155" s="2">
        <v>50.75</v>
      </c>
      <c r="I155" s="2">
        <v>50</v>
      </c>
      <c r="J155" s="2">
        <f t="shared" si="562"/>
        <v>53.000000000379998</v>
      </c>
      <c r="K155" s="2">
        <f t="shared" si="563"/>
        <v>50.750000000349999</v>
      </c>
      <c r="L155" s="2">
        <f t="shared" si="564"/>
        <v>50.000000000349999</v>
      </c>
      <c r="M155" s="364" t="s">
        <v>1392</v>
      </c>
      <c r="N155" s="364" t="s">
        <v>356</v>
      </c>
      <c r="O155" s="364" t="s">
        <v>1389</v>
      </c>
      <c r="P155" s="364" t="s">
        <v>1390</v>
      </c>
      <c r="Q155" s="364" t="s">
        <v>1393</v>
      </c>
      <c r="R155" s="2" t="s">
        <v>1391</v>
      </c>
      <c r="S155" s="2" t="s">
        <v>1177</v>
      </c>
      <c r="T155" s="2">
        <v>12</v>
      </c>
      <c r="U155" s="2" cm="1">
        <f t="array" ref="U155">IFERROR(INDEX('Offer Statistics'!$BQ$2:$BQ$400,MATCH(1,(A155='Offer Statistics'!$BB$2:$BB$400)*($A$11='Offer Statistics'!$BC$2:$BC$400),0)),"/")</f>
        <v>18</v>
      </c>
      <c r="V155" s="2" cm="1">
        <f t="array" ref="V155">IFERROR(INDEX('Offer Statistics'!$BD$2:$BD$400,MATCH(1,(A155='Offer Statistics'!$BB$2:$BB$400)*($A$11='Offer Statistics'!$BC$2:$BC$400),0)),"/")</f>
        <v>102</v>
      </c>
      <c r="W155" s="2" cm="1">
        <f t="array" ref="W155">IFERROR(INDEX('Offer Statistics'!$BL$2:$BL$400,MATCH(1,(A155='Offer Statistics'!$BB$2:$BB$400)*($A$11='Offer Statistics'!$BC$2:$BC$400),0)),"/")</f>
        <v>18</v>
      </c>
      <c r="X155" s="2">
        <f t="shared" si="502"/>
        <v>5.666666666666667</v>
      </c>
      <c r="Y155" s="2" t="s">
        <v>1177</v>
      </c>
      <c r="Z155" s="364" t="str">
        <f>入學要求!AF164</f>
        <v>M1/2 需取得Lv.3或以上</v>
      </c>
      <c r="AA155" s="364" t="str">
        <f>入學要求!AG164</f>
        <v>/</v>
      </c>
      <c r="AB155" s="401" t="s">
        <v>889</v>
      </c>
      <c r="AC155" s="51"/>
      <c r="AD155" s="51"/>
      <c r="AE155" s="368" t="s">
        <v>1392</v>
      </c>
      <c r="AF155" s="368" t="s">
        <v>356</v>
      </c>
      <c r="AG155" s="368" t="s">
        <v>1389</v>
      </c>
      <c r="AH155" s="368" t="s">
        <v>1390</v>
      </c>
      <c r="AI155" s="368" t="s">
        <v>1393</v>
      </c>
      <c r="AJ155" s="2" t="s">
        <v>356</v>
      </c>
      <c r="AK155" s="2" t="s">
        <v>356</v>
      </c>
      <c r="AL155" s="2" t="s">
        <v>356</v>
      </c>
      <c r="AM155" s="2" t="s">
        <v>356</v>
      </c>
      <c r="AN155" s="2" t="s">
        <v>356</v>
      </c>
      <c r="AO155" s="2" t="s">
        <v>356</v>
      </c>
      <c r="AP155" s="2" t="s">
        <v>356</v>
      </c>
      <c r="AQ155" s="2" t="s">
        <v>356</v>
      </c>
      <c r="AS155" s="2" t="s">
        <v>820</v>
      </c>
      <c r="AU155" s="2" t="s">
        <v>1336</v>
      </c>
      <c r="AY155" s="2">
        <v>1</v>
      </c>
      <c r="AZ155" s="216">
        <v>1.5</v>
      </c>
      <c r="BA155" s="2">
        <v>2</v>
      </c>
      <c r="BB155" s="2">
        <v>1</v>
      </c>
      <c r="BC155" s="2">
        <v>2</v>
      </c>
      <c r="BD155" s="2">
        <v>1.5</v>
      </c>
      <c r="BE155" s="2">
        <v>1</v>
      </c>
      <c r="BF155" s="2">
        <v>1</v>
      </c>
      <c r="BG155" s="2" t="s">
        <v>362</v>
      </c>
      <c r="BH155">
        <v>4</v>
      </c>
      <c r="BI155">
        <v>5.5</v>
      </c>
      <c r="BJ155">
        <v>8.5</v>
      </c>
      <c r="BK155">
        <v>4</v>
      </c>
      <c r="BL155">
        <v>5.5</v>
      </c>
      <c r="BM155">
        <v>5.5</v>
      </c>
      <c r="BN155">
        <v>5.5</v>
      </c>
      <c r="BO155" t="s">
        <v>356</v>
      </c>
      <c r="BP155" s="206">
        <f t="shared" si="565"/>
        <v>4.00000000004</v>
      </c>
      <c r="BQ155" s="206">
        <f t="shared" si="566"/>
        <v>5.50000000002</v>
      </c>
      <c r="BR155" s="206">
        <f t="shared" si="567"/>
        <v>8.5000000000299991</v>
      </c>
      <c r="BS155" s="206">
        <f t="shared" si="568"/>
        <v>4.00000000001</v>
      </c>
      <c r="BT155" s="206">
        <f t="shared" si="569"/>
        <v>5.50000000005</v>
      </c>
      <c r="BU155" s="206">
        <f t="shared" si="570"/>
        <v>5.50000000006</v>
      </c>
      <c r="BV155" s="206">
        <f t="shared" si="571"/>
        <v>5.50000000007</v>
      </c>
      <c r="BW155" s="206">
        <f t="shared" si="572"/>
        <v>0</v>
      </c>
      <c r="BX155" s="2">
        <f t="shared" si="509"/>
        <v>4.00000000004</v>
      </c>
      <c r="BY155" s="2">
        <f t="shared" si="510"/>
        <v>8.2500000000299991</v>
      </c>
      <c r="BZ155" s="2">
        <f t="shared" si="511"/>
        <v>17.000000000059998</v>
      </c>
      <c r="CA155" s="2">
        <f t="shared" si="512"/>
        <v>4.00000000001</v>
      </c>
      <c r="CB155" s="2">
        <f t="shared" si="513"/>
        <v>11.0000000001</v>
      </c>
      <c r="CC155" s="2">
        <f t="shared" si="514"/>
        <v>8.2500000000900009</v>
      </c>
      <c r="CD155" s="2">
        <f t="shared" si="515"/>
        <v>5.50000000007</v>
      </c>
      <c r="CE155" s="2">
        <f t="shared" si="516"/>
        <v>0</v>
      </c>
      <c r="CF155" s="128" t="b">
        <f>IF(BX155&gt;LARGE(($BX155:$BY155,$CA155,$CC155:$CE155),4),TRUE)</f>
        <v>0</v>
      </c>
      <c r="CG155" s="128" t="b">
        <f>IF(BY155&gt;LARGE(($BX155:$BY155,$CA155,$CC155:$CE155),4),TRUE)</f>
        <v>1</v>
      </c>
      <c r="CH155" s="128" t="b">
        <v>1</v>
      </c>
      <c r="CI155" s="128" t="b">
        <f>IF(CA155&gt;LARGE(($BX155:$BY155,$CA155,$CC155:$CE155),4),TRUE)</f>
        <v>0</v>
      </c>
      <c r="CJ155" s="128" t="b">
        <v>1</v>
      </c>
      <c r="CK155" s="128" t="b">
        <f>IF(CC155&gt;LARGE(($BX155:$BY155,$CA155,$CC155:$CE155),4),TRUE)</f>
        <v>1</v>
      </c>
      <c r="CL155" s="128" t="b">
        <f>IF(CD155&gt;LARGE(($BX155:$BY155,$CA155,$CC155:$CE155),4),TRUE)</f>
        <v>1</v>
      </c>
      <c r="CM155" s="128" t="b">
        <f>IF(CE155&gt;LARGE(($BX155:$BY155,$CA155,$CC155:$CE155),4),TRUE)</f>
        <v>0</v>
      </c>
      <c r="CN155" s="2">
        <v>1</v>
      </c>
      <c r="CO155" s="205">
        <v>1.5</v>
      </c>
      <c r="CP155" s="2">
        <v>2</v>
      </c>
      <c r="CQ155" s="2">
        <v>1</v>
      </c>
      <c r="CR155" s="2">
        <v>2</v>
      </c>
      <c r="CS155" s="2">
        <v>1.5</v>
      </c>
      <c r="CT155" s="2">
        <v>1</v>
      </c>
      <c r="CU155" s="2">
        <v>1</v>
      </c>
      <c r="CW155" s="2">
        <v>4</v>
      </c>
      <c r="CX155" s="2">
        <v>4</v>
      </c>
      <c r="CY155" s="2">
        <v>8.5</v>
      </c>
      <c r="CZ155" s="2">
        <v>4</v>
      </c>
      <c r="DA155" s="2">
        <v>7</v>
      </c>
      <c r="DB155" s="2">
        <v>5.5</v>
      </c>
      <c r="DC155" s="2">
        <v>5.5</v>
      </c>
      <c r="DD155" s="2" t="s">
        <v>356</v>
      </c>
      <c r="DE155" s="206">
        <f t="shared" si="573"/>
        <v>4.00000000004</v>
      </c>
      <c r="DF155" s="206">
        <f t="shared" si="574"/>
        <v>4.00000000002</v>
      </c>
      <c r="DG155" s="206">
        <f t="shared" si="575"/>
        <v>8.5000000000299991</v>
      </c>
      <c r="DH155" s="206">
        <f t="shared" si="576"/>
        <v>4.00000000001</v>
      </c>
      <c r="DI155" s="206">
        <f t="shared" si="577"/>
        <v>7.00000000005</v>
      </c>
      <c r="DJ155" s="206">
        <f t="shared" si="578"/>
        <v>5.50000000006</v>
      </c>
      <c r="DK155" s="206">
        <f t="shared" si="579"/>
        <v>5.50000000007</v>
      </c>
      <c r="DL155" s="206">
        <f t="shared" si="580"/>
        <v>0</v>
      </c>
      <c r="DM155" s="2">
        <f t="shared" si="531"/>
        <v>4.00000000004</v>
      </c>
      <c r="DN155" s="2">
        <f t="shared" si="532"/>
        <v>6.00000000003</v>
      </c>
      <c r="DO155" s="2">
        <f t="shared" si="533"/>
        <v>17.000000000059998</v>
      </c>
      <c r="DP155" s="2">
        <f t="shared" si="534"/>
        <v>4.00000000001</v>
      </c>
      <c r="DQ155" s="2">
        <f t="shared" si="535"/>
        <v>14.0000000001</v>
      </c>
      <c r="DR155" s="2">
        <f t="shared" si="536"/>
        <v>8.2500000000900009</v>
      </c>
      <c r="DS155" s="2">
        <f t="shared" si="537"/>
        <v>5.50000000007</v>
      </c>
      <c r="DT155" s="2">
        <f t="shared" si="538"/>
        <v>0</v>
      </c>
      <c r="DU155" s="2" t="b">
        <f t="shared" si="614"/>
        <v>0</v>
      </c>
      <c r="DV155" s="2" t="b">
        <f t="shared" si="615"/>
        <v>1</v>
      </c>
      <c r="DW155" s="2" t="b">
        <f t="shared" si="616"/>
        <v>1</v>
      </c>
      <c r="DX155" s="2" t="b">
        <f t="shared" si="617"/>
        <v>0</v>
      </c>
      <c r="DY155" s="2" t="b">
        <f t="shared" si="600"/>
        <v>1</v>
      </c>
      <c r="DZ155" s="2" t="b">
        <f t="shared" si="601"/>
        <v>1</v>
      </c>
      <c r="EA155" s="2" t="b">
        <f t="shared" si="602"/>
        <v>1</v>
      </c>
      <c r="EB155" s="2" t="b">
        <f t="shared" si="603"/>
        <v>0</v>
      </c>
      <c r="EC155" s="426">
        <v>1.5</v>
      </c>
      <c r="ED155" s="366">
        <v>1</v>
      </c>
      <c r="EE155" s="2">
        <v>2</v>
      </c>
      <c r="EF155" s="2">
        <v>1</v>
      </c>
      <c r="EG155" s="2">
        <v>2</v>
      </c>
      <c r="EH155" s="2">
        <v>1.5</v>
      </c>
      <c r="EI155" s="2">
        <v>1</v>
      </c>
      <c r="EJ155" s="2">
        <v>1</v>
      </c>
      <c r="EK155" s="2">
        <v>5.5</v>
      </c>
      <c r="EL155" s="2">
        <v>4</v>
      </c>
      <c r="EM155" s="2">
        <v>8.5</v>
      </c>
      <c r="EN155" s="2">
        <v>4</v>
      </c>
      <c r="EO155" s="2">
        <v>7</v>
      </c>
      <c r="EP155" s="2">
        <v>5.5</v>
      </c>
      <c r="EQ155" s="2">
        <v>5.5</v>
      </c>
      <c r="ER155" s="2" t="s">
        <v>356</v>
      </c>
      <c r="ES155" s="206">
        <f t="shared" si="581"/>
        <v>5.50000000004</v>
      </c>
      <c r="ET155" s="206">
        <f t="shared" si="582"/>
        <v>4.00000000002</v>
      </c>
      <c r="EU155" s="206">
        <f t="shared" si="583"/>
        <v>8.5000000000299991</v>
      </c>
      <c r="EV155" s="206">
        <f t="shared" si="584"/>
        <v>4.00000000001</v>
      </c>
      <c r="EW155" s="206">
        <f t="shared" si="585"/>
        <v>7.00000000005</v>
      </c>
      <c r="EX155" s="206">
        <f t="shared" si="586"/>
        <v>5.50000000006</v>
      </c>
      <c r="EY155" s="206">
        <f t="shared" si="587"/>
        <v>5.50000000007</v>
      </c>
      <c r="EZ155" s="206">
        <f t="shared" si="588"/>
        <v>0</v>
      </c>
      <c r="FA155" s="2">
        <f t="shared" si="625"/>
        <v>8.25000000006</v>
      </c>
      <c r="FB155" s="2">
        <f t="shared" si="626"/>
        <v>4.00000000002</v>
      </c>
      <c r="FC155" s="2">
        <f t="shared" si="627"/>
        <v>17.000000000059998</v>
      </c>
      <c r="FD155" s="2">
        <f t="shared" si="628"/>
        <v>4.00000000001</v>
      </c>
      <c r="FE155" s="2">
        <f t="shared" si="629"/>
        <v>14.0000000001</v>
      </c>
      <c r="FF155" s="2">
        <f t="shared" si="630"/>
        <v>8.2500000000900009</v>
      </c>
      <c r="FG155" s="2">
        <f t="shared" si="631"/>
        <v>5.50000000007</v>
      </c>
      <c r="FH155" s="2">
        <f t="shared" si="632"/>
        <v>0</v>
      </c>
      <c r="FI155" s="2" t="b">
        <f t="shared" si="604"/>
        <v>1</v>
      </c>
      <c r="FJ155" s="2" t="b">
        <f t="shared" si="605"/>
        <v>0</v>
      </c>
      <c r="FK155" s="2" t="b">
        <f t="shared" si="606"/>
        <v>1</v>
      </c>
      <c r="FL155" s="2" t="b">
        <f t="shared" si="607"/>
        <v>0</v>
      </c>
      <c r="FM155" s="2" t="b">
        <f t="shared" si="608"/>
        <v>1</v>
      </c>
      <c r="FN155" s="2" t="b">
        <f t="shared" si="609"/>
        <v>1</v>
      </c>
      <c r="FO155" s="2" t="b">
        <f t="shared" si="610"/>
        <v>1</v>
      </c>
      <c r="FP155" s="2" t="b">
        <f t="shared" si="611"/>
        <v>0</v>
      </c>
    </row>
    <row r="156" spans="1:172" ht="15.6">
      <c r="A156" s="2" t="s">
        <v>1394</v>
      </c>
      <c r="B156" s="2" t="s">
        <v>255</v>
      </c>
      <c r="C156" s="2" t="s">
        <v>1377</v>
      </c>
      <c r="D156" s="2" t="s">
        <v>1395</v>
      </c>
      <c r="E156" s="2" t="s">
        <v>889</v>
      </c>
      <c r="F156" s="2" t="s">
        <v>356</v>
      </c>
      <c r="G156" s="2">
        <v>23</v>
      </c>
      <c r="H156" s="2">
        <v>21.5</v>
      </c>
      <c r="I156" s="2">
        <v>20.5</v>
      </c>
      <c r="J156" s="2">
        <f t="shared" si="562"/>
        <v>23.000000000220002</v>
      </c>
      <c r="K156" s="2">
        <f t="shared" si="563"/>
        <v>21.50000000028</v>
      </c>
      <c r="L156" s="2">
        <f t="shared" si="564"/>
        <v>20.500000000210001</v>
      </c>
      <c r="M156" s="364" t="s">
        <v>356</v>
      </c>
      <c r="N156" s="364" t="s">
        <v>356</v>
      </c>
      <c r="O156" s="364" t="s">
        <v>356</v>
      </c>
      <c r="P156" s="364"/>
      <c r="Q156" s="364" t="s">
        <v>356</v>
      </c>
      <c r="R156" s="2" t="s">
        <v>1396</v>
      </c>
      <c r="S156" s="2" t="s">
        <v>1177</v>
      </c>
      <c r="T156" s="2">
        <v>21</v>
      </c>
      <c r="U156" s="2" cm="1">
        <f t="array" ref="U156">IFERROR(INDEX('Offer Statistics'!$BQ$2:$BQ$400,MATCH(1,(A156='Offer Statistics'!$BB$2:$BB$400)*($A$11='Offer Statistics'!$BC$2:$BC$400),0)),"/")</f>
        <v>24</v>
      </c>
      <c r="V156" s="2" cm="1">
        <f t="array" ref="V156">IFERROR(INDEX('Offer Statistics'!$BD$2:$BD$400,MATCH(1,(A156='Offer Statistics'!$BB$2:$BB$400)*($A$11='Offer Statistics'!$BC$2:$BC$400),0)),"/")</f>
        <v>382</v>
      </c>
      <c r="W156" s="2" cm="1">
        <f t="array" ref="W156">IFERROR(INDEX('Offer Statistics'!$BL$2:$BL$400,MATCH(1,(A156='Offer Statistics'!$BB$2:$BB$400)*($A$11='Offer Statistics'!$BC$2:$BC$400),0)),"/")</f>
        <v>24</v>
      </c>
      <c r="X156" s="2">
        <f t="shared" si="502"/>
        <v>15.916666666666666</v>
      </c>
      <c r="Y156" s="2" t="s">
        <v>1177</v>
      </c>
      <c r="Z156" s="364" t="str">
        <f>入學要求!AF165</f>
        <v>/</v>
      </c>
      <c r="AA156" s="364" t="str">
        <f>入學要求!AG165</f>
        <v>/</v>
      </c>
      <c r="AB156" s="368" t="s">
        <v>889</v>
      </c>
      <c r="AC156" s="51"/>
      <c r="AD156" s="51"/>
      <c r="AE156" s="368" t="s">
        <v>356</v>
      </c>
      <c r="AF156" s="368" t="s">
        <v>356</v>
      </c>
      <c r="AG156" s="368" t="s">
        <v>356</v>
      </c>
      <c r="AH156" s="368"/>
      <c r="AI156" s="400" t="s">
        <v>356</v>
      </c>
      <c r="AJ156" s="2" t="s">
        <v>356</v>
      </c>
      <c r="AK156" s="2" t="s">
        <v>356</v>
      </c>
      <c r="AL156" s="2" t="s">
        <v>356</v>
      </c>
      <c r="AM156" s="2" t="s">
        <v>356</v>
      </c>
      <c r="AN156" s="2" t="s">
        <v>356</v>
      </c>
      <c r="AO156" s="2" t="s">
        <v>356</v>
      </c>
      <c r="AP156" s="2" t="s">
        <v>356</v>
      </c>
      <c r="AQ156" s="2" t="s">
        <v>356</v>
      </c>
      <c r="AS156" s="2" t="s">
        <v>820</v>
      </c>
      <c r="AU156" s="2" t="s">
        <v>817</v>
      </c>
      <c r="AY156" s="2">
        <v>1</v>
      </c>
      <c r="AZ156" s="2">
        <v>1</v>
      </c>
      <c r="BA156" s="2">
        <v>1</v>
      </c>
      <c r="BB156" s="2">
        <v>1</v>
      </c>
      <c r="BC156" s="2">
        <v>1</v>
      </c>
      <c r="BD156" s="2">
        <v>1</v>
      </c>
      <c r="BE156" s="2">
        <v>1</v>
      </c>
      <c r="BF156" s="2">
        <v>1</v>
      </c>
      <c r="BG156" s="2" t="s">
        <v>1394</v>
      </c>
      <c r="BH156">
        <v>4</v>
      </c>
      <c r="BI156">
        <v>4</v>
      </c>
      <c r="BJ156">
        <v>5.5</v>
      </c>
      <c r="BK156">
        <v>3</v>
      </c>
      <c r="BL156">
        <v>4</v>
      </c>
      <c r="BM156">
        <v>3</v>
      </c>
      <c r="BN156">
        <v>3</v>
      </c>
      <c r="BO156" t="s">
        <v>356</v>
      </c>
      <c r="BP156" s="206">
        <f t="shared" si="565"/>
        <v>4.00000000004</v>
      </c>
      <c r="BQ156" s="206">
        <f t="shared" si="566"/>
        <v>4.00000000002</v>
      </c>
      <c r="BR156" s="206">
        <f t="shared" si="567"/>
        <v>5.50000000003</v>
      </c>
      <c r="BS156" s="206">
        <f t="shared" si="568"/>
        <v>3.00000000001</v>
      </c>
      <c r="BT156" s="206">
        <f t="shared" si="569"/>
        <v>4.00000000005</v>
      </c>
      <c r="BU156" s="206">
        <f t="shared" si="570"/>
        <v>3.00000000006</v>
      </c>
      <c r="BV156" s="206">
        <f t="shared" si="571"/>
        <v>3.00000000007</v>
      </c>
      <c r="BW156" s="206">
        <f t="shared" si="572"/>
        <v>0</v>
      </c>
      <c r="BX156" s="2">
        <f t="shared" si="509"/>
        <v>4.00000000004</v>
      </c>
      <c r="BY156" s="2">
        <f t="shared" si="510"/>
        <v>4.00000000002</v>
      </c>
      <c r="BZ156" s="2">
        <f t="shared" si="511"/>
        <v>5.50000000003</v>
      </c>
      <c r="CA156" s="2">
        <f t="shared" si="512"/>
        <v>3.00000000001</v>
      </c>
      <c r="CB156" s="2">
        <f t="shared" si="513"/>
        <v>4.00000000005</v>
      </c>
      <c r="CC156" s="2">
        <f t="shared" si="514"/>
        <v>3.00000000006</v>
      </c>
      <c r="CD156" s="2">
        <f t="shared" si="515"/>
        <v>3.00000000007</v>
      </c>
      <c r="CE156" s="2">
        <f t="shared" si="516"/>
        <v>0</v>
      </c>
      <c r="CF156" s="2" t="b">
        <f t="shared" ref="CF156:CF167" si="633">IF($E156="4C2X",TRUE,IF($E156="Best 5",IF(BX156&gt;LARGE($BX156:$CE156,6),TRUE),IF($E156="Best 6",IF(BX156&gt;LARGE($BX156:$CE156,7),TRUE))))</f>
        <v>1</v>
      </c>
      <c r="CG156" s="2" t="b">
        <f t="shared" ref="CG156:CG167" si="634">IF($E156="4C2X",TRUE,IF($E156="Best 5",IF(BY156&gt;LARGE($BX156:$CE156,6),TRUE),IF($E156="Best 6",IF(BY156&gt;LARGE($BX156:$CE156,7),TRUE))))</f>
        <v>1</v>
      </c>
      <c r="CH156" s="2" t="b">
        <f t="shared" ref="CH156:CH167" si="635">IF($E156="4C2X",TRUE,IF($E156="Best 5",IF(BZ156&gt;LARGE($BX156:$CE156,6),TRUE),IF($E156="Best 6",IF(BZ156&gt;LARGE($BX156:$CE156,7),TRUE))))</f>
        <v>1</v>
      </c>
      <c r="CI156" s="2" t="b">
        <f t="shared" ref="CI156:CI167" si="636">IF($E156="4C2X",TRUE,IF($E156="Best 5",IF(CA156&gt;LARGE($BX156:$CE156,6),TRUE),IF($E156="Best 6",IF(CA156&gt;LARGE($BX156:$CE156,7),TRUE))))</f>
        <v>0</v>
      </c>
      <c r="CJ156" s="2" t="b">
        <f t="shared" ref="CJ156:CJ167" si="637">IF($E156="4C2X",IF(CB156&gt;LARGE($CB156:$CE156,3),TRUE),IF($E156="Best 5",IF(CB156&gt;LARGE($BX156:$CE156,6),TRUE),IF($E156="Best 6",IF(CB156&gt;LARGE($BX156:$CE156,7),TRUE))))</f>
        <v>1</v>
      </c>
      <c r="CK156" s="2" t="b">
        <f t="shared" ref="CK156:CK167" si="638">IF($E156="4C2X",IF(CC156&gt;LARGE($CB156:$CE156,3),TRUE),IF($E156="Best 5",IF(CC156&gt;LARGE($BX156:$CE156,6),TRUE),IF($E156="Best 6",IF(CC156&gt;LARGE($BX156:$CE156,7),TRUE))))</f>
        <v>0</v>
      </c>
      <c r="CL156" s="2" t="b">
        <f t="shared" ref="CL156:CL167" si="639">IF($E156="4C2X",IF(CD156&gt;LARGE($CB156:$CE156,3),TRUE),IF($E156="Best 5",IF(CD156&gt;LARGE($BX156:$CE156,6),TRUE),IF($E156="Best 6",IF(CD156&gt;LARGE($BX156:$CE156,7),TRUE))))</f>
        <v>1</v>
      </c>
      <c r="CM156" s="2" t="b">
        <f t="shared" ref="CM156:CM167" si="640">IF($E156="4C2X",IF(CE156&gt;LARGE($CB156:$CE156,3),TRUE),IF($E156="Best 5",IF(CE156&gt;LARGE($BX156:$CE156,6),TRUE),IF($E156="Best 6",IF(CE156&gt;LARGE($BX156:$CE156,7),TRUE))))</f>
        <v>0</v>
      </c>
      <c r="CN156" s="2">
        <v>1</v>
      </c>
      <c r="CO156" s="2">
        <v>1</v>
      </c>
      <c r="CP156" s="2">
        <v>1</v>
      </c>
      <c r="CQ156" s="2">
        <v>1</v>
      </c>
      <c r="CR156" s="2">
        <v>1</v>
      </c>
      <c r="CS156" s="2">
        <v>1</v>
      </c>
      <c r="CT156" s="2">
        <v>1</v>
      </c>
      <c r="CU156" s="2">
        <v>1</v>
      </c>
      <c r="CW156" s="2">
        <v>5.5</v>
      </c>
      <c r="CX156" s="2">
        <v>4</v>
      </c>
      <c r="CY156" s="2">
        <v>4</v>
      </c>
      <c r="CZ156" s="2">
        <v>3</v>
      </c>
      <c r="DA156" s="2" t="s">
        <v>356</v>
      </c>
      <c r="DB156" s="2">
        <v>4</v>
      </c>
      <c r="DC156" s="2">
        <v>4</v>
      </c>
      <c r="DD156" s="2">
        <v>4</v>
      </c>
      <c r="DE156" s="206">
        <f t="shared" si="573"/>
        <v>5.50000000004</v>
      </c>
      <c r="DF156" s="206">
        <f t="shared" si="574"/>
        <v>4.00000000002</v>
      </c>
      <c r="DG156" s="206">
        <f t="shared" si="575"/>
        <v>4.00000000003</v>
      </c>
      <c r="DH156" s="206">
        <f t="shared" si="576"/>
        <v>3.00000000001</v>
      </c>
      <c r="DI156" s="206">
        <f t="shared" si="577"/>
        <v>0</v>
      </c>
      <c r="DJ156" s="206">
        <f t="shared" si="578"/>
        <v>4.00000000006</v>
      </c>
      <c r="DK156" s="206">
        <f t="shared" si="579"/>
        <v>4.00000000007</v>
      </c>
      <c r="DL156" s="206">
        <f t="shared" si="580"/>
        <v>4.00000000008</v>
      </c>
      <c r="DM156" s="2">
        <f t="shared" si="531"/>
        <v>5.50000000004</v>
      </c>
      <c r="DN156" s="2">
        <f t="shared" si="532"/>
        <v>4.00000000002</v>
      </c>
      <c r="DO156" s="2">
        <f t="shared" si="533"/>
        <v>4.00000000003</v>
      </c>
      <c r="DP156" s="2">
        <f t="shared" si="534"/>
        <v>3.00000000001</v>
      </c>
      <c r="DQ156" s="2">
        <f t="shared" si="535"/>
        <v>0</v>
      </c>
      <c r="DR156" s="2">
        <f t="shared" si="536"/>
        <v>4.00000000006</v>
      </c>
      <c r="DS156" s="2">
        <f t="shared" si="537"/>
        <v>4.00000000007</v>
      </c>
      <c r="DT156" s="2">
        <f t="shared" si="538"/>
        <v>4.00000000008</v>
      </c>
      <c r="DU156" s="2" t="b">
        <f t="shared" si="614"/>
        <v>1</v>
      </c>
      <c r="DV156" s="2" t="b">
        <f t="shared" si="615"/>
        <v>0</v>
      </c>
      <c r="DW156" s="2" t="b">
        <f t="shared" si="616"/>
        <v>1</v>
      </c>
      <c r="DX156" s="2" t="b">
        <f t="shared" si="617"/>
        <v>0</v>
      </c>
      <c r="DY156" s="2" t="b">
        <f t="shared" si="600"/>
        <v>0</v>
      </c>
      <c r="DZ156" s="2" t="b">
        <f t="shared" si="601"/>
        <v>1</v>
      </c>
      <c r="EA156" s="2" t="b">
        <f t="shared" si="602"/>
        <v>1</v>
      </c>
      <c r="EB156" s="2" t="b">
        <f t="shared" si="603"/>
        <v>1</v>
      </c>
      <c r="EC156" s="2">
        <v>1</v>
      </c>
      <c r="ED156" s="2">
        <v>1</v>
      </c>
      <c r="EE156" s="2">
        <v>1</v>
      </c>
      <c r="EF156" s="2">
        <v>1</v>
      </c>
      <c r="EG156" s="2">
        <v>1</v>
      </c>
      <c r="EH156" s="2">
        <v>1</v>
      </c>
      <c r="EI156" s="2">
        <v>1</v>
      </c>
      <c r="EJ156" s="2">
        <v>1</v>
      </c>
      <c r="EK156" s="2">
        <v>5.5</v>
      </c>
      <c r="EL156" s="2">
        <v>4</v>
      </c>
      <c r="EM156" s="2">
        <v>4</v>
      </c>
      <c r="EN156" s="2">
        <v>4</v>
      </c>
      <c r="EO156" s="2" t="s">
        <v>356</v>
      </c>
      <c r="EP156" s="2">
        <v>5.5</v>
      </c>
      <c r="EQ156" s="2">
        <v>4</v>
      </c>
      <c r="ER156" s="2">
        <v>3</v>
      </c>
      <c r="ES156" s="206">
        <f t="shared" si="581"/>
        <v>5.50000000004</v>
      </c>
      <c r="ET156" s="206">
        <f t="shared" si="582"/>
        <v>4.00000000002</v>
      </c>
      <c r="EU156" s="206">
        <f t="shared" si="583"/>
        <v>4.00000000003</v>
      </c>
      <c r="EV156" s="206">
        <f t="shared" si="584"/>
        <v>4.00000000001</v>
      </c>
      <c r="EW156" s="206">
        <f t="shared" si="585"/>
        <v>0</v>
      </c>
      <c r="EX156" s="206">
        <f t="shared" si="586"/>
        <v>5.50000000006</v>
      </c>
      <c r="EY156" s="206">
        <f t="shared" si="587"/>
        <v>4.00000000007</v>
      </c>
      <c r="EZ156" s="206">
        <f t="shared" si="588"/>
        <v>3.00000000008</v>
      </c>
      <c r="FA156" s="2">
        <f t="shared" si="625"/>
        <v>5.50000000004</v>
      </c>
      <c r="FB156" s="2">
        <f t="shared" si="626"/>
        <v>4.00000000002</v>
      </c>
      <c r="FC156" s="2">
        <f t="shared" si="627"/>
        <v>4.00000000003</v>
      </c>
      <c r="FD156" s="2">
        <f t="shared" si="628"/>
        <v>4.00000000001</v>
      </c>
      <c r="FE156" s="2">
        <f t="shared" si="629"/>
        <v>0</v>
      </c>
      <c r="FF156" s="2">
        <f t="shared" si="630"/>
        <v>5.50000000006</v>
      </c>
      <c r="FG156" s="2">
        <f t="shared" si="631"/>
        <v>4.00000000007</v>
      </c>
      <c r="FH156" s="2">
        <f t="shared" si="632"/>
        <v>3.00000000008</v>
      </c>
      <c r="FI156" s="2" t="b">
        <f t="shared" si="604"/>
        <v>1</v>
      </c>
      <c r="FJ156" s="2" t="b">
        <f t="shared" si="605"/>
        <v>1</v>
      </c>
      <c r="FK156" s="2" t="b">
        <f t="shared" si="606"/>
        <v>1</v>
      </c>
      <c r="FL156" s="2" t="b">
        <f t="shared" si="607"/>
        <v>0</v>
      </c>
      <c r="FM156" s="2" t="b">
        <f t="shared" si="608"/>
        <v>0</v>
      </c>
      <c r="FN156" s="2" t="b">
        <f t="shared" si="609"/>
        <v>1</v>
      </c>
      <c r="FO156" s="2" t="b">
        <f t="shared" si="610"/>
        <v>1</v>
      </c>
      <c r="FP156" s="2" t="b">
        <f t="shared" si="611"/>
        <v>0</v>
      </c>
    </row>
    <row r="157" spans="1:172" s="427" customFormat="1" ht="15.6">
      <c r="A157" s="427" t="s">
        <v>470</v>
      </c>
      <c r="B157" s="427" t="s">
        <v>255</v>
      </c>
      <c r="C157" s="427" t="s">
        <v>1397</v>
      </c>
      <c r="D157" s="427" t="s">
        <v>1398</v>
      </c>
      <c r="E157" s="427" t="s">
        <v>889</v>
      </c>
      <c r="F157" s="427" t="s">
        <v>356</v>
      </c>
      <c r="G157" s="427">
        <v>34.75</v>
      </c>
      <c r="H157" s="427">
        <v>29.25</v>
      </c>
      <c r="I157" s="427">
        <v>27.5</v>
      </c>
      <c r="J157" s="427">
        <f t="shared" si="562"/>
        <v>34.750000000379998</v>
      </c>
      <c r="K157" s="427">
        <f t="shared" si="563"/>
        <v>29.250000000282501</v>
      </c>
      <c r="L157" s="427">
        <f t="shared" si="564"/>
        <v>27.500000000347502</v>
      </c>
      <c r="M157" s="427" t="s">
        <v>1400</v>
      </c>
      <c r="N157" s="427" t="s">
        <v>478</v>
      </c>
      <c r="O157" s="427" t="s">
        <v>1401</v>
      </c>
      <c r="P157" s="427" t="s">
        <v>1402</v>
      </c>
      <c r="Q157" s="427" t="s">
        <v>1403</v>
      </c>
      <c r="R157" s="427" t="s">
        <v>1399</v>
      </c>
      <c r="S157" s="427" t="s">
        <v>1177</v>
      </c>
      <c r="T157" s="427">
        <v>20</v>
      </c>
      <c r="U157" s="427" cm="1">
        <f t="array" ref="U157">IFERROR(INDEX('Offer Statistics'!$BQ$2:$BQ$400,MATCH(1,(A157='Offer Statistics'!$BB$2:$BB$400)*($A$11='Offer Statistics'!$BC$2:$BC$400),0)),"/")</f>
        <v>4</v>
      </c>
      <c r="V157" s="427" cm="1">
        <f t="array" ref="V157">IFERROR(INDEX('Offer Statistics'!$BD$2:$BD$400,MATCH(1,(A157='Offer Statistics'!$BB$2:$BB$400)*($A$11='Offer Statistics'!$BC$2:$BC$400),0)),"/")</f>
        <v>38</v>
      </c>
      <c r="W157" s="427" cm="1">
        <f t="array" ref="W157">IFERROR(INDEX('Offer Statistics'!$BL$2:$BL$400,MATCH(1,(A157='Offer Statistics'!$BB$2:$BB$400)*($A$11='Offer Statistics'!$BC$2:$BC$400),0)),"/")</f>
        <v>3</v>
      </c>
      <c r="X157" s="427">
        <f t="shared" si="502"/>
        <v>12.666666666666666</v>
      </c>
      <c r="Y157" s="427" t="s">
        <v>1177</v>
      </c>
      <c r="Z157" s="364" t="str">
        <f>入學要求!AF166</f>
        <v>優先考慮修讀以下科目者︰</v>
      </c>
      <c r="AA157" s="364" t="str">
        <f>入學要求!AG166</f>
        <v>M1/2、生物、化學、物理、DAT、ICT、BAFS、經濟、地理、科技與生活</v>
      </c>
      <c r="AB157" s="405" t="s">
        <v>889</v>
      </c>
      <c r="AC157" s="405" t="s">
        <v>3002</v>
      </c>
      <c r="AE157" s="406" t="s">
        <v>1400</v>
      </c>
      <c r="AF157" s="406" t="s">
        <v>2995</v>
      </c>
      <c r="AG157" s="405" t="s">
        <v>1491</v>
      </c>
      <c r="AH157" s="405" t="s">
        <v>2996</v>
      </c>
      <c r="AI157" s="406" t="s">
        <v>1403</v>
      </c>
      <c r="AJ157" s="427" t="s">
        <v>356</v>
      </c>
      <c r="AK157" s="427" t="s">
        <v>356</v>
      </c>
      <c r="AL157" s="427" t="s">
        <v>356</v>
      </c>
      <c r="AM157" s="430" t="s">
        <v>1332</v>
      </c>
      <c r="AN157" s="427" t="s">
        <v>356</v>
      </c>
      <c r="AO157" s="427" t="s">
        <v>356</v>
      </c>
      <c r="AP157" s="427" t="s">
        <v>356</v>
      </c>
      <c r="AQ157" s="427" t="s">
        <v>356</v>
      </c>
      <c r="AS157" s="427" t="s">
        <v>820</v>
      </c>
      <c r="AU157" s="427" t="s">
        <v>817</v>
      </c>
      <c r="AY157" s="427">
        <v>1</v>
      </c>
      <c r="AZ157" s="427">
        <v>1</v>
      </c>
      <c r="BA157" s="427">
        <v>1.5</v>
      </c>
      <c r="BB157" s="427">
        <v>0.5</v>
      </c>
      <c r="BC157" s="427">
        <v>1.75</v>
      </c>
      <c r="BD157" s="427">
        <v>1.5</v>
      </c>
      <c r="BE157" s="427">
        <v>1.5</v>
      </c>
      <c r="BF157" s="427">
        <v>1.5</v>
      </c>
      <c r="BG157" s="427" t="s">
        <v>470</v>
      </c>
      <c r="BH157" s="428">
        <v>3</v>
      </c>
      <c r="BI157" s="428">
        <v>4</v>
      </c>
      <c r="BJ157" s="428">
        <v>4</v>
      </c>
      <c r="BK157" s="428">
        <v>2</v>
      </c>
      <c r="BL157" s="428">
        <v>4</v>
      </c>
      <c r="BM157" s="428">
        <v>4</v>
      </c>
      <c r="BN157" s="428">
        <v>3</v>
      </c>
      <c r="BO157" s="428" t="s">
        <v>356</v>
      </c>
      <c r="BP157" s="429">
        <f t="shared" si="565"/>
        <v>3.00000000004</v>
      </c>
      <c r="BQ157" s="429">
        <f t="shared" si="566"/>
        <v>4.00000000002</v>
      </c>
      <c r="BR157" s="429">
        <f t="shared" si="567"/>
        <v>4.00000000003</v>
      </c>
      <c r="BS157" s="429">
        <f t="shared" si="568"/>
        <v>2.00000000001</v>
      </c>
      <c r="BT157" s="429">
        <f t="shared" si="569"/>
        <v>4.00000000005</v>
      </c>
      <c r="BU157" s="429">
        <f t="shared" si="570"/>
        <v>4.00000000006</v>
      </c>
      <c r="BV157" s="429">
        <f t="shared" si="571"/>
        <v>3.00000000007</v>
      </c>
      <c r="BW157" s="429">
        <f t="shared" si="572"/>
        <v>0</v>
      </c>
      <c r="BX157" s="427">
        <f t="shared" si="509"/>
        <v>3.00000000004</v>
      </c>
      <c r="BY157" s="427">
        <f t="shared" si="510"/>
        <v>4.00000000002</v>
      </c>
      <c r="BZ157" s="427">
        <f t="shared" si="511"/>
        <v>6.0000000000450004</v>
      </c>
      <c r="CA157" s="427">
        <f t="shared" si="512"/>
        <v>1.000000000005</v>
      </c>
      <c r="CB157" s="427">
        <f t="shared" si="513"/>
        <v>7.0000000000874998</v>
      </c>
      <c r="CC157" s="427">
        <f t="shared" si="514"/>
        <v>6.00000000009</v>
      </c>
      <c r="CD157" s="427">
        <f t="shared" si="515"/>
        <v>4.5000000001050005</v>
      </c>
      <c r="CE157" s="427">
        <f t="shared" si="516"/>
        <v>0</v>
      </c>
      <c r="CF157" s="427" t="b">
        <f t="shared" si="633"/>
        <v>0</v>
      </c>
      <c r="CG157" s="427" t="b">
        <f t="shared" si="634"/>
        <v>1</v>
      </c>
      <c r="CH157" s="427" t="b">
        <f t="shared" si="635"/>
        <v>1</v>
      </c>
      <c r="CI157" s="427" t="b">
        <f t="shared" si="636"/>
        <v>0</v>
      </c>
      <c r="CJ157" s="427" t="b">
        <f t="shared" si="637"/>
        <v>1</v>
      </c>
      <c r="CK157" s="427" t="b">
        <f t="shared" si="638"/>
        <v>1</v>
      </c>
      <c r="CL157" s="427" t="b">
        <f t="shared" si="639"/>
        <v>1</v>
      </c>
      <c r="CM157" s="427" t="b">
        <f t="shared" si="640"/>
        <v>0</v>
      </c>
      <c r="CN157" s="427">
        <v>1</v>
      </c>
      <c r="CO157" s="427">
        <v>1</v>
      </c>
      <c r="CP157" s="427">
        <v>1.5</v>
      </c>
      <c r="CQ157" s="427">
        <v>0.5</v>
      </c>
      <c r="CR157" s="427">
        <v>1.75</v>
      </c>
      <c r="CS157" s="427">
        <v>1.5</v>
      </c>
      <c r="CT157" s="427">
        <v>1.5</v>
      </c>
      <c r="CU157" s="427">
        <v>1.5</v>
      </c>
      <c r="CW157" s="427">
        <v>4</v>
      </c>
      <c r="CX157" s="427">
        <v>4</v>
      </c>
      <c r="CY157" s="427">
        <v>5.5</v>
      </c>
      <c r="CZ157" s="427">
        <v>4</v>
      </c>
      <c r="DA157" s="427">
        <v>4</v>
      </c>
      <c r="DB157" s="427">
        <v>4</v>
      </c>
      <c r="DC157" s="427" t="s">
        <v>356</v>
      </c>
      <c r="DD157" s="427" t="s">
        <v>356</v>
      </c>
      <c r="DE157" s="429">
        <f t="shared" si="573"/>
        <v>4.00000000004</v>
      </c>
      <c r="DF157" s="429">
        <f t="shared" si="574"/>
        <v>4.00000000002</v>
      </c>
      <c r="DG157" s="429">
        <f t="shared" si="575"/>
        <v>5.50000000003</v>
      </c>
      <c r="DH157" s="429">
        <f t="shared" si="576"/>
        <v>4.00000000001</v>
      </c>
      <c r="DI157" s="429">
        <f t="shared" si="577"/>
        <v>4.00000000005</v>
      </c>
      <c r="DJ157" s="429">
        <f t="shared" si="578"/>
        <v>4.00000000006</v>
      </c>
      <c r="DK157" s="429">
        <f t="shared" si="579"/>
        <v>0</v>
      </c>
      <c r="DL157" s="429">
        <f t="shared" si="580"/>
        <v>0</v>
      </c>
      <c r="DM157" s="427">
        <f t="shared" si="531"/>
        <v>4.00000000004</v>
      </c>
      <c r="DN157" s="427">
        <f t="shared" si="532"/>
        <v>4.00000000002</v>
      </c>
      <c r="DO157" s="427">
        <f t="shared" si="533"/>
        <v>8.2500000000450004</v>
      </c>
      <c r="DP157" s="427">
        <f t="shared" si="534"/>
        <v>2.000000000005</v>
      </c>
      <c r="DQ157" s="427">
        <f t="shared" si="535"/>
        <v>7.0000000000874998</v>
      </c>
      <c r="DR157" s="427">
        <f t="shared" si="536"/>
        <v>6.00000000009</v>
      </c>
      <c r="DS157" s="427">
        <f t="shared" si="537"/>
        <v>0</v>
      </c>
      <c r="DT157" s="427">
        <f t="shared" si="538"/>
        <v>0</v>
      </c>
      <c r="DU157" s="427" t="b">
        <f t="shared" si="614"/>
        <v>1</v>
      </c>
      <c r="DV157" s="427" t="b">
        <f t="shared" si="615"/>
        <v>1</v>
      </c>
      <c r="DW157" s="427" t="b">
        <f t="shared" si="616"/>
        <v>1</v>
      </c>
      <c r="DX157" s="427" t="b">
        <f t="shared" si="617"/>
        <v>0</v>
      </c>
      <c r="DY157" s="427" t="b">
        <f t="shared" si="600"/>
        <v>1</v>
      </c>
      <c r="DZ157" s="427" t="b">
        <f t="shared" si="601"/>
        <v>1</v>
      </c>
      <c r="EA157" s="427" t="b">
        <f t="shared" si="602"/>
        <v>0</v>
      </c>
      <c r="EB157" s="427" t="b">
        <f t="shared" si="603"/>
        <v>0</v>
      </c>
      <c r="EC157" s="427">
        <v>1</v>
      </c>
      <c r="ED157" s="427">
        <v>1</v>
      </c>
      <c r="EE157" s="427">
        <v>1.5</v>
      </c>
      <c r="EF157" s="427">
        <v>0.5</v>
      </c>
      <c r="EG157" s="427">
        <v>1.75</v>
      </c>
      <c r="EH157" s="427">
        <v>1.5</v>
      </c>
      <c r="EI157" s="427">
        <v>1.5</v>
      </c>
      <c r="EJ157" s="427">
        <v>1.5</v>
      </c>
      <c r="EK157" s="427">
        <v>3</v>
      </c>
      <c r="EL157" s="427">
        <v>4</v>
      </c>
      <c r="EM157" s="427">
        <v>4</v>
      </c>
      <c r="EN157" s="427">
        <v>4</v>
      </c>
      <c r="EO157" s="427" t="s">
        <v>356</v>
      </c>
      <c r="EP157" s="427">
        <v>7</v>
      </c>
      <c r="EQ157" s="427">
        <v>5.5</v>
      </c>
      <c r="ER157" s="427">
        <v>4</v>
      </c>
      <c r="ES157" s="429">
        <f t="shared" si="581"/>
        <v>3.00000000004</v>
      </c>
      <c r="ET157" s="429">
        <f t="shared" si="582"/>
        <v>4.00000000002</v>
      </c>
      <c r="EU157" s="429">
        <f t="shared" si="583"/>
        <v>4.00000000003</v>
      </c>
      <c r="EV157" s="429">
        <f t="shared" si="584"/>
        <v>4.00000000001</v>
      </c>
      <c r="EW157" s="429">
        <f t="shared" si="585"/>
        <v>0</v>
      </c>
      <c r="EX157" s="429">
        <f t="shared" si="586"/>
        <v>7.00000000006</v>
      </c>
      <c r="EY157" s="429">
        <f t="shared" si="587"/>
        <v>5.50000000007</v>
      </c>
      <c r="EZ157" s="429">
        <f t="shared" si="588"/>
        <v>4.00000000008</v>
      </c>
      <c r="FA157" s="427">
        <f t="shared" si="625"/>
        <v>3.00000000004</v>
      </c>
      <c r="FB157" s="427">
        <f t="shared" si="626"/>
        <v>4.00000000002</v>
      </c>
      <c r="FC157" s="427">
        <f t="shared" si="627"/>
        <v>6.0000000000450004</v>
      </c>
      <c r="FD157" s="427">
        <f t="shared" si="628"/>
        <v>2.000000000005</v>
      </c>
      <c r="FE157" s="427">
        <f t="shared" si="629"/>
        <v>0</v>
      </c>
      <c r="FF157" s="427">
        <f t="shared" si="630"/>
        <v>10.500000000090001</v>
      </c>
      <c r="FG157" s="427">
        <f t="shared" si="631"/>
        <v>8.2500000001050005</v>
      </c>
      <c r="FH157" s="427">
        <f t="shared" si="632"/>
        <v>6.00000000012</v>
      </c>
      <c r="FI157" s="427" t="b">
        <f t="shared" si="604"/>
        <v>0</v>
      </c>
      <c r="FJ157" s="427" t="b">
        <f t="shared" si="605"/>
        <v>1</v>
      </c>
      <c r="FK157" s="427" t="b">
        <f t="shared" si="606"/>
        <v>1</v>
      </c>
      <c r="FL157" s="427" t="b">
        <f t="shared" si="607"/>
        <v>0</v>
      </c>
      <c r="FM157" s="427" t="b">
        <f t="shared" si="608"/>
        <v>0</v>
      </c>
      <c r="FN157" s="427" t="b">
        <f t="shared" si="609"/>
        <v>1</v>
      </c>
      <c r="FO157" s="427" t="b">
        <f t="shared" si="610"/>
        <v>1</v>
      </c>
      <c r="FP157" s="427" t="b">
        <f t="shared" si="611"/>
        <v>1</v>
      </c>
    </row>
    <row r="158" spans="1:172" s="427" customFormat="1" ht="15.6">
      <c r="A158" s="427" t="s">
        <v>1404</v>
      </c>
      <c r="B158" s="427" t="s">
        <v>255</v>
      </c>
      <c r="C158" s="427" t="s">
        <v>1214</v>
      </c>
      <c r="D158" s="427" t="s">
        <v>1405</v>
      </c>
      <c r="E158" s="427" t="s">
        <v>889</v>
      </c>
      <c r="F158" s="427" t="s">
        <v>356</v>
      </c>
      <c r="G158" s="427">
        <v>30</v>
      </c>
      <c r="H158" s="427">
        <v>27.5</v>
      </c>
      <c r="I158" s="427">
        <v>26</v>
      </c>
      <c r="J158" s="427">
        <f t="shared" si="562"/>
        <v>30.000000000337501</v>
      </c>
      <c r="K158" s="427">
        <f t="shared" si="563"/>
        <v>27.500000000282501</v>
      </c>
      <c r="L158" s="427">
        <f t="shared" si="564"/>
        <v>26.000000000342503</v>
      </c>
      <c r="M158" s="427" t="s">
        <v>356</v>
      </c>
      <c r="N158" s="427" t="s">
        <v>356</v>
      </c>
      <c r="O158" s="427" t="s">
        <v>1407</v>
      </c>
      <c r="P158" s="427" t="s">
        <v>1408</v>
      </c>
      <c r="Q158" s="427" t="s">
        <v>1409</v>
      </c>
      <c r="R158" s="427" t="s">
        <v>1406</v>
      </c>
      <c r="S158" s="427" t="s">
        <v>1177</v>
      </c>
      <c r="T158" s="427">
        <v>53</v>
      </c>
      <c r="U158" s="427" cm="1">
        <f t="array" ref="U158">IFERROR(INDEX('Offer Statistics'!$BQ$2:$BQ$400,MATCH(1,(A158='Offer Statistics'!$BB$2:$BB$400)*($A$11='Offer Statistics'!$BC$2:$BC$400),0)),"/")</f>
        <v>47</v>
      </c>
      <c r="V158" s="427" cm="1">
        <f t="array" ref="V158">IFERROR(INDEX('Offer Statistics'!$BD$2:$BD$400,MATCH(1,(A158='Offer Statistics'!$BB$2:$BB$400)*($A$11='Offer Statistics'!$BC$2:$BC$400),0)),"/")</f>
        <v>378</v>
      </c>
      <c r="W158" s="427" cm="1">
        <f t="array" ref="W158">IFERROR(INDEX('Offer Statistics'!$BL$2:$BL$400,MATCH(1,(A158='Offer Statistics'!$BB$2:$BB$400)*($A$11='Offer Statistics'!$BC$2:$BC$400),0)),"/")</f>
        <v>47</v>
      </c>
      <c r="X158" s="427">
        <f t="shared" si="502"/>
        <v>8.0425531914893611</v>
      </c>
      <c r="Y158" s="427" t="s">
        <v>1177</v>
      </c>
      <c r="Z158" s="364" t="str">
        <f>入學要求!AF167</f>
        <v>以下一科選修取得Lv.3︰M1/2、生物、化學、組合科學、DAT、ICT、物理</v>
      </c>
      <c r="AA158" s="364" t="str">
        <f>入學要求!AG167</f>
        <v>/</v>
      </c>
      <c r="AB158" s="405" t="s">
        <v>889</v>
      </c>
      <c r="AC158" s="405" t="s">
        <v>3002</v>
      </c>
      <c r="AE158" s="406" t="s">
        <v>356</v>
      </c>
      <c r="AF158" s="406" t="s">
        <v>356</v>
      </c>
      <c r="AG158" s="406" t="s">
        <v>1407</v>
      </c>
      <c r="AH158" s="405" t="s">
        <v>2997</v>
      </c>
      <c r="AI158" s="406" t="s">
        <v>1409</v>
      </c>
      <c r="AJ158" s="427" t="s">
        <v>356</v>
      </c>
      <c r="AK158" s="427" t="s">
        <v>356</v>
      </c>
      <c r="AL158" s="427" t="s">
        <v>356</v>
      </c>
      <c r="AM158" s="427" t="s">
        <v>356</v>
      </c>
      <c r="AN158" s="427" t="s">
        <v>356</v>
      </c>
      <c r="AO158" s="427" t="s">
        <v>356</v>
      </c>
      <c r="AP158" s="427" t="s">
        <v>356</v>
      </c>
      <c r="AQ158" s="427" t="s">
        <v>356</v>
      </c>
      <c r="AS158" s="427" t="s">
        <v>820</v>
      </c>
      <c r="AU158" s="427" t="s">
        <v>817</v>
      </c>
      <c r="AY158" s="427">
        <v>1</v>
      </c>
      <c r="AZ158" s="427">
        <v>1</v>
      </c>
      <c r="BA158" s="427">
        <v>1.5</v>
      </c>
      <c r="BB158" s="427">
        <v>0.75</v>
      </c>
      <c r="BC158" s="427">
        <v>1.5</v>
      </c>
      <c r="BD158" s="427">
        <v>1.5</v>
      </c>
      <c r="BE158" s="427">
        <v>1.25</v>
      </c>
      <c r="BF158" s="427">
        <v>1.25</v>
      </c>
      <c r="BG158" s="427" t="s">
        <v>1404</v>
      </c>
      <c r="BH158" s="428">
        <v>3</v>
      </c>
      <c r="BI158" s="428">
        <v>4</v>
      </c>
      <c r="BJ158" s="428">
        <v>4</v>
      </c>
      <c r="BK158" s="428">
        <v>4</v>
      </c>
      <c r="BL158" s="428" t="s">
        <v>356</v>
      </c>
      <c r="BM158" s="428">
        <v>4</v>
      </c>
      <c r="BN158" s="428">
        <v>4</v>
      </c>
      <c r="BO158" s="428">
        <v>4</v>
      </c>
      <c r="BP158" s="429">
        <f t="shared" si="565"/>
        <v>3.00000000004</v>
      </c>
      <c r="BQ158" s="429">
        <f t="shared" si="566"/>
        <v>4.00000000002</v>
      </c>
      <c r="BR158" s="429">
        <f t="shared" si="567"/>
        <v>4.00000000003</v>
      </c>
      <c r="BS158" s="429">
        <f t="shared" si="568"/>
        <v>4.00000000001</v>
      </c>
      <c r="BT158" s="429">
        <f t="shared" si="569"/>
        <v>0</v>
      </c>
      <c r="BU158" s="429">
        <f t="shared" si="570"/>
        <v>4.00000000006</v>
      </c>
      <c r="BV158" s="429">
        <f t="shared" si="571"/>
        <v>4.00000000007</v>
      </c>
      <c r="BW158" s="429">
        <f t="shared" si="572"/>
        <v>4.00000000008</v>
      </c>
      <c r="BX158" s="427">
        <f t="shared" si="509"/>
        <v>3.00000000004</v>
      </c>
      <c r="BY158" s="427">
        <f t="shared" si="510"/>
        <v>4.00000000002</v>
      </c>
      <c r="BZ158" s="427">
        <f t="shared" si="511"/>
        <v>6.0000000000450004</v>
      </c>
      <c r="CA158" s="427">
        <f t="shared" si="512"/>
        <v>3.0000000000074998</v>
      </c>
      <c r="CB158" s="427">
        <f t="shared" si="513"/>
        <v>0</v>
      </c>
      <c r="CC158" s="427">
        <f t="shared" si="514"/>
        <v>6.00000000009</v>
      </c>
      <c r="CD158" s="427">
        <f t="shared" si="515"/>
        <v>5.0000000000874998</v>
      </c>
      <c r="CE158" s="427">
        <f t="shared" si="516"/>
        <v>5.0000000001</v>
      </c>
      <c r="CF158" s="427" t="b">
        <f t="shared" si="633"/>
        <v>0</v>
      </c>
      <c r="CG158" s="427" t="b">
        <f t="shared" si="634"/>
        <v>1</v>
      </c>
      <c r="CH158" s="427" t="b">
        <f t="shared" si="635"/>
        <v>1</v>
      </c>
      <c r="CI158" s="427" t="b">
        <f t="shared" si="636"/>
        <v>0</v>
      </c>
      <c r="CJ158" s="427" t="b">
        <f t="shared" si="637"/>
        <v>0</v>
      </c>
      <c r="CK158" s="427" t="b">
        <f t="shared" si="638"/>
        <v>1</v>
      </c>
      <c r="CL158" s="427" t="b">
        <f t="shared" si="639"/>
        <v>1</v>
      </c>
      <c r="CM158" s="427" t="b">
        <f t="shared" si="640"/>
        <v>1</v>
      </c>
      <c r="CN158" s="427">
        <v>1</v>
      </c>
      <c r="CO158" s="427">
        <v>1</v>
      </c>
      <c r="CP158" s="427">
        <v>1.5</v>
      </c>
      <c r="CQ158" s="427">
        <v>0.75</v>
      </c>
      <c r="CR158" s="427">
        <v>1.5</v>
      </c>
      <c r="CS158" s="427">
        <v>1.5</v>
      </c>
      <c r="CT158" s="427">
        <v>1.25</v>
      </c>
      <c r="CU158" s="427">
        <v>1.25</v>
      </c>
      <c r="CW158" s="427">
        <v>3</v>
      </c>
      <c r="CX158" s="427">
        <v>3</v>
      </c>
      <c r="CY158" s="427">
        <v>7</v>
      </c>
      <c r="CZ158" s="427">
        <v>4</v>
      </c>
      <c r="DA158" s="427" t="s">
        <v>356</v>
      </c>
      <c r="DB158" s="427">
        <v>4</v>
      </c>
      <c r="DC158" s="427">
        <v>4</v>
      </c>
      <c r="DD158" s="427" t="s">
        <v>356</v>
      </c>
      <c r="DE158" s="429">
        <f t="shared" si="573"/>
        <v>3.00000000004</v>
      </c>
      <c r="DF158" s="429">
        <f t="shared" si="574"/>
        <v>3.00000000002</v>
      </c>
      <c r="DG158" s="429">
        <f t="shared" si="575"/>
        <v>7.00000000003</v>
      </c>
      <c r="DH158" s="429">
        <f t="shared" si="576"/>
        <v>4.00000000001</v>
      </c>
      <c r="DI158" s="429">
        <f t="shared" si="577"/>
        <v>0</v>
      </c>
      <c r="DJ158" s="429">
        <f t="shared" si="578"/>
        <v>4.00000000006</v>
      </c>
      <c r="DK158" s="429">
        <f t="shared" si="579"/>
        <v>4.00000000007</v>
      </c>
      <c r="DL158" s="429">
        <f t="shared" si="580"/>
        <v>0</v>
      </c>
      <c r="DM158" s="427">
        <f t="shared" si="531"/>
        <v>3.00000000004</v>
      </c>
      <c r="DN158" s="427">
        <f t="shared" si="532"/>
        <v>3.00000000002</v>
      </c>
      <c r="DO158" s="427">
        <f t="shared" si="533"/>
        <v>10.500000000045</v>
      </c>
      <c r="DP158" s="427">
        <f t="shared" si="534"/>
        <v>3.0000000000074998</v>
      </c>
      <c r="DQ158" s="427">
        <f t="shared" si="535"/>
        <v>0</v>
      </c>
      <c r="DR158" s="427">
        <f t="shared" si="536"/>
        <v>6.00000000009</v>
      </c>
      <c r="DS158" s="427">
        <f t="shared" si="537"/>
        <v>5.0000000000874998</v>
      </c>
      <c r="DT158" s="427">
        <f t="shared" si="538"/>
        <v>0</v>
      </c>
      <c r="DU158" s="427" t="b">
        <f t="shared" si="614"/>
        <v>1</v>
      </c>
      <c r="DV158" s="427" t="b">
        <f t="shared" si="615"/>
        <v>1</v>
      </c>
      <c r="DW158" s="427" t="b">
        <f t="shared" si="616"/>
        <v>1</v>
      </c>
      <c r="DX158" s="427" t="b">
        <f t="shared" si="617"/>
        <v>0</v>
      </c>
      <c r="DY158" s="427" t="b">
        <f t="shared" si="600"/>
        <v>0</v>
      </c>
      <c r="DZ158" s="427" t="b">
        <f t="shared" si="601"/>
        <v>1</v>
      </c>
      <c r="EA158" s="427" t="b">
        <f t="shared" si="602"/>
        <v>1</v>
      </c>
      <c r="EB158" s="427" t="b">
        <f t="shared" si="603"/>
        <v>0</v>
      </c>
      <c r="EC158" s="427">
        <v>1</v>
      </c>
      <c r="ED158" s="427">
        <v>1</v>
      </c>
      <c r="EE158" s="427">
        <v>1.5</v>
      </c>
      <c r="EF158" s="427">
        <v>0.75</v>
      </c>
      <c r="EG158" s="427">
        <v>1.5</v>
      </c>
      <c r="EH158" s="427">
        <v>1.5</v>
      </c>
      <c r="EI158" s="427">
        <v>1.25</v>
      </c>
      <c r="EJ158" s="427">
        <v>1.25</v>
      </c>
      <c r="EK158" s="427">
        <v>4</v>
      </c>
      <c r="EL158" s="427">
        <v>3</v>
      </c>
      <c r="EM158" s="427">
        <v>5.5</v>
      </c>
      <c r="EN158" s="427">
        <v>4</v>
      </c>
      <c r="EO158" s="427">
        <v>3</v>
      </c>
      <c r="EP158" s="427">
        <v>5.5</v>
      </c>
      <c r="EQ158" s="427">
        <v>4</v>
      </c>
      <c r="ER158" s="427" t="s">
        <v>356</v>
      </c>
      <c r="ES158" s="429">
        <f t="shared" si="581"/>
        <v>4.00000000004</v>
      </c>
      <c r="ET158" s="429">
        <f t="shared" si="582"/>
        <v>3.00000000002</v>
      </c>
      <c r="EU158" s="429">
        <f t="shared" si="583"/>
        <v>5.50000000003</v>
      </c>
      <c r="EV158" s="429">
        <f t="shared" si="584"/>
        <v>4.00000000001</v>
      </c>
      <c r="EW158" s="429">
        <f t="shared" si="585"/>
        <v>3.00000000005</v>
      </c>
      <c r="EX158" s="429">
        <f t="shared" si="586"/>
        <v>5.50000000006</v>
      </c>
      <c r="EY158" s="429">
        <f t="shared" si="587"/>
        <v>4.00000000007</v>
      </c>
      <c r="EZ158" s="429">
        <f t="shared" si="588"/>
        <v>0</v>
      </c>
      <c r="FA158" s="427">
        <f t="shared" si="625"/>
        <v>4.00000000004</v>
      </c>
      <c r="FB158" s="427">
        <f t="shared" si="626"/>
        <v>3.00000000002</v>
      </c>
      <c r="FC158" s="427">
        <f t="shared" si="627"/>
        <v>8.2500000000450004</v>
      </c>
      <c r="FD158" s="427">
        <f t="shared" si="628"/>
        <v>3.0000000000074998</v>
      </c>
      <c r="FE158" s="427">
        <f t="shared" si="629"/>
        <v>4.5000000000749996</v>
      </c>
      <c r="FF158" s="427">
        <f t="shared" si="630"/>
        <v>8.2500000000900009</v>
      </c>
      <c r="FG158" s="427">
        <f t="shared" si="631"/>
        <v>5.0000000000874998</v>
      </c>
      <c r="FH158" s="427">
        <f t="shared" si="632"/>
        <v>0</v>
      </c>
      <c r="FI158" s="427" t="b">
        <f t="shared" si="604"/>
        <v>1</v>
      </c>
      <c r="FJ158" s="427" t="b">
        <f t="shared" si="605"/>
        <v>0</v>
      </c>
      <c r="FK158" s="427" t="b">
        <f t="shared" si="606"/>
        <v>1</v>
      </c>
      <c r="FL158" s="427" t="b">
        <f t="shared" si="607"/>
        <v>0</v>
      </c>
      <c r="FM158" s="427" t="b">
        <f t="shared" si="608"/>
        <v>1</v>
      </c>
      <c r="FN158" s="427" t="b">
        <f t="shared" si="609"/>
        <v>1</v>
      </c>
      <c r="FO158" s="427" t="b">
        <f t="shared" si="610"/>
        <v>1</v>
      </c>
      <c r="FP158" s="427" t="b">
        <f t="shared" si="611"/>
        <v>0</v>
      </c>
    </row>
    <row r="159" spans="1:172" s="427" customFormat="1" ht="15.6">
      <c r="A159" s="427" t="s">
        <v>472</v>
      </c>
      <c r="B159" s="427" t="s">
        <v>255</v>
      </c>
      <c r="C159" s="427" t="s">
        <v>1214</v>
      </c>
      <c r="D159" s="427" t="s">
        <v>1410</v>
      </c>
      <c r="E159" s="427" t="s">
        <v>889</v>
      </c>
      <c r="F159" s="427" t="s">
        <v>356</v>
      </c>
      <c r="G159" s="427">
        <v>45.875</v>
      </c>
      <c r="H159" s="427">
        <v>42.5</v>
      </c>
      <c r="I159" s="427">
        <v>39.875</v>
      </c>
      <c r="J159" s="427">
        <f t="shared" si="562"/>
        <v>45.875000000367507</v>
      </c>
      <c r="K159" s="427">
        <f t="shared" si="563"/>
        <v>42.500000000367507</v>
      </c>
      <c r="L159" s="427">
        <f t="shared" si="564"/>
        <v>39.875000000347498</v>
      </c>
      <c r="M159" s="427" t="s">
        <v>1400</v>
      </c>
      <c r="N159" s="427" t="s">
        <v>478</v>
      </c>
      <c r="O159" s="427" t="s">
        <v>1401</v>
      </c>
      <c r="P159" s="427" t="s">
        <v>1402</v>
      </c>
      <c r="Q159" s="427" t="s">
        <v>1403</v>
      </c>
      <c r="R159" s="427" t="s">
        <v>1411</v>
      </c>
      <c r="S159" s="427" t="s">
        <v>1177</v>
      </c>
      <c r="T159" s="427">
        <v>107</v>
      </c>
      <c r="U159" s="427" cm="1">
        <f t="array" ref="U159">IFERROR(INDEX('Offer Statistics'!$BQ$2:$BQ$400,MATCH(1,(A159='Offer Statistics'!$BB$2:$BB$400)*($A$11='Offer Statistics'!$BC$2:$BC$400),0)),"/")</f>
        <v>123</v>
      </c>
      <c r="V159" s="427" cm="1">
        <f t="array" ref="V159">IFERROR(INDEX('Offer Statistics'!$BD$2:$BD$400,MATCH(1,(A159='Offer Statistics'!$BB$2:$BB$400)*($A$11='Offer Statistics'!$BC$2:$BC$400),0)),"/")</f>
        <v>609</v>
      </c>
      <c r="W159" s="427" cm="1">
        <f t="array" ref="W159">IFERROR(INDEX('Offer Statistics'!$BL$2:$BL$400,MATCH(1,(A159='Offer Statistics'!$BB$2:$BB$400)*($A$11='Offer Statistics'!$BC$2:$BC$400),0)),"/")</f>
        <v>123</v>
      </c>
      <c r="X159" s="427">
        <f t="shared" si="502"/>
        <v>4.9512195121951219</v>
      </c>
      <c r="Y159" s="427" t="s">
        <v>1177</v>
      </c>
      <c r="Z159" s="364" t="str">
        <f>入學要求!AF168</f>
        <v>以下一科選修取得Lv.3︰M1/2、生物、化學、組合科學、物理</v>
      </c>
      <c r="AA159" s="364" t="str">
        <f>入學要求!AG168</f>
        <v>優先考慮以下一科選修︰M1/2、生物、化學、DAT、ICT、物理</v>
      </c>
      <c r="AB159" s="405" t="s">
        <v>889</v>
      </c>
      <c r="AC159" s="405" t="s">
        <v>3002</v>
      </c>
      <c r="AE159" s="406" t="s">
        <v>1400</v>
      </c>
      <c r="AF159" s="406" t="s">
        <v>2998</v>
      </c>
      <c r="AG159" s="406" t="s">
        <v>1401</v>
      </c>
      <c r="AH159" s="405" t="s">
        <v>3005</v>
      </c>
      <c r="AI159" s="406" t="s">
        <v>1403</v>
      </c>
      <c r="AJ159" s="427" t="s">
        <v>356</v>
      </c>
      <c r="AK159" s="427" t="s">
        <v>356</v>
      </c>
      <c r="AL159" s="427" t="s">
        <v>356</v>
      </c>
      <c r="AM159" s="427" t="s">
        <v>356</v>
      </c>
      <c r="AN159" s="427" t="s">
        <v>356</v>
      </c>
      <c r="AO159" s="427" t="s">
        <v>356</v>
      </c>
      <c r="AP159" s="427" t="s">
        <v>356</v>
      </c>
      <c r="AQ159" s="427" t="s">
        <v>356</v>
      </c>
      <c r="AS159" s="427" t="s">
        <v>820</v>
      </c>
      <c r="AU159" s="427" t="s">
        <v>817</v>
      </c>
      <c r="AY159" s="427">
        <v>1</v>
      </c>
      <c r="AZ159" s="427">
        <v>1</v>
      </c>
      <c r="BA159" s="427">
        <v>1.5</v>
      </c>
      <c r="BB159" s="427">
        <v>0.5</v>
      </c>
      <c r="BC159" s="427">
        <v>1.75</v>
      </c>
      <c r="BD159" s="427">
        <v>1.5</v>
      </c>
      <c r="BE159" s="427">
        <v>1.5</v>
      </c>
      <c r="BF159" s="427">
        <v>1.5</v>
      </c>
      <c r="BG159" s="427" t="s">
        <v>472</v>
      </c>
      <c r="BH159" s="428">
        <v>3</v>
      </c>
      <c r="BI159" s="428">
        <v>5.5</v>
      </c>
      <c r="BJ159" s="428">
        <v>5.5</v>
      </c>
      <c r="BK159" s="428">
        <v>2</v>
      </c>
      <c r="BL159" s="428">
        <v>5.5</v>
      </c>
      <c r="BM159" s="428">
        <v>5.5</v>
      </c>
      <c r="BN159" s="428">
        <v>5.5</v>
      </c>
      <c r="BO159" s="428" t="s">
        <v>356</v>
      </c>
      <c r="BP159" s="429">
        <f t="shared" si="565"/>
        <v>3.00000000004</v>
      </c>
      <c r="BQ159" s="429">
        <f t="shared" si="566"/>
        <v>5.50000000002</v>
      </c>
      <c r="BR159" s="429">
        <f t="shared" si="567"/>
        <v>5.50000000003</v>
      </c>
      <c r="BS159" s="429">
        <f t="shared" si="568"/>
        <v>2.00000000001</v>
      </c>
      <c r="BT159" s="429">
        <f t="shared" si="569"/>
        <v>5.50000000005</v>
      </c>
      <c r="BU159" s="429">
        <f t="shared" si="570"/>
        <v>5.50000000006</v>
      </c>
      <c r="BV159" s="429">
        <f t="shared" si="571"/>
        <v>5.50000000007</v>
      </c>
      <c r="BW159" s="429">
        <f t="shared" si="572"/>
        <v>0</v>
      </c>
      <c r="BX159" s="427">
        <f t="shared" si="509"/>
        <v>3.00000000004</v>
      </c>
      <c r="BY159" s="427">
        <f t="shared" si="510"/>
        <v>5.50000000002</v>
      </c>
      <c r="BZ159" s="427">
        <f t="shared" si="511"/>
        <v>8.2500000000450004</v>
      </c>
      <c r="CA159" s="427">
        <f t="shared" si="512"/>
        <v>1.000000000005</v>
      </c>
      <c r="CB159" s="427">
        <f t="shared" si="513"/>
        <v>9.6250000000874998</v>
      </c>
      <c r="CC159" s="427">
        <f t="shared" si="514"/>
        <v>8.2500000000900009</v>
      </c>
      <c r="CD159" s="427">
        <f t="shared" si="515"/>
        <v>8.2500000001050005</v>
      </c>
      <c r="CE159" s="427">
        <f t="shared" si="516"/>
        <v>0</v>
      </c>
      <c r="CF159" s="427" t="b">
        <f t="shared" si="633"/>
        <v>0</v>
      </c>
      <c r="CG159" s="427" t="b">
        <f t="shared" si="634"/>
        <v>1</v>
      </c>
      <c r="CH159" s="427" t="b">
        <f t="shared" si="635"/>
        <v>1</v>
      </c>
      <c r="CI159" s="427" t="b">
        <f t="shared" si="636"/>
        <v>0</v>
      </c>
      <c r="CJ159" s="427" t="b">
        <f t="shared" si="637"/>
        <v>1</v>
      </c>
      <c r="CK159" s="427" t="b">
        <f t="shared" si="638"/>
        <v>1</v>
      </c>
      <c r="CL159" s="427" t="b">
        <f t="shared" si="639"/>
        <v>1</v>
      </c>
      <c r="CM159" s="427" t="b">
        <f t="shared" si="640"/>
        <v>0</v>
      </c>
      <c r="CN159" s="427">
        <v>1</v>
      </c>
      <c r="CO159" s="427">
        <v>1</v>
      </c>
      <c r="CP159" s="427">
        <v>1.5</v>
      </c>
      <c r="CQ159" s="427">
        <v>0.5</v>
      </c>
      <c r="CR159" s="427">
        <v>1.75</v>
      </c>
      <c r="CS159" s="427">
        <v>1.5</v>
      </c>
      <c r="CT159" s="427">
        <v>1.5</v>
      </c>
      <c r="CU159" s="427">
        <v>1.5</v>
      </c>
      <c r="CW159" s="427">
        <v>5.5</v>
      </c>
      <c r="CX159" s="427">
        <v>4</v>
      </c>
      <c r="CY159" s="427">
        <v>7</v>
      </c>
      <c r="CZ159" s="427">
        <v>3</v>
      </c>
      <c r="DA159" s="427">
        <v>7</v>
      </c>
      <c r="DB159" s="427">
        <v>5.5</v>
      </c>
      <c r="DC159" s="427">
        <v>4</v>
      </c>
      <c r="DD159" s="427" t="s">
        <v>356</v>
      </c>
      <c r="DE159" s="429">
        <f t="shared" si="573"/>
        <v>5.50000000004</v>
      </c>
      <c r="DF159" s="429">
        <f t="shared" si="574"/>
        <v>4.00000000002</v>
      </c>
      <c r="DG159" s="429">
        <f t="shared" si="575"/>
        <v>7.00000000003</v>
      </c>
      <c r="DH159" s="429">
        <f t="shared" si="576"/>
        <v>3.00000000001</v>
      </c>
      <c r="DI159" s="429">
        <f t="shared" si="577"/>
        <v>7.00000000005</v>
      </c>
      <c r="DJ159" s="429">
        <f t="shared" si="578"/>
        <v>5.50000000006</v>
      </c>
      <c r="DK159" s="429">
        <f t="shared" si="579"/>
        <v>4.00000000007</v>
      </c>
      <c r="DL159" s="429">
        <f t="shared" si="580"/>
        <v>0</v>
      </c>
      <c r="DM159" s="427">
        <f t="shared" si="531"/>
        <v>5.50000000004</v>
      </c>
      <c r="DN159" s="427">
        <f t="shared" si="532"/>
        <v>4.00000000002</v>
      </c>
      <c r="DO159" s="427">
        <f t="shared" si="533"/>
        <v>10.500000000045</v>
      </c>
      <c r="DP159" s="427">
        <f t="shared" si="534"/>
        <v>1.500000000005</v>
      </c>
      <c r="DQ159" s="427">
        <f t="shared" si="535"/>
        <v>12.2500000000875</v>
      </c>
      <c r="DR159" s="427">
        <f t="shared" si="536"/>
        <v>8.2500000000900009</v>
      </c>
      <c r="DS159" s="427">
        <f t="shared" si="537"/>
        <v>6.0000000001050005</v>
      </c>
      <c r="DT159" s="427">
        <f t="shared" si="538"/>
        <v>0</v>
      </c>
      <c r="DU159" s="427" t="b">
        <f t="shared" si="614"/>
        <v>1</v>
      </c>
      <c r="DV159" s="427" t="b">
        <f t="shared" si="615"/>
        <v>0</v>
      </c>
      <c r="DW159" s="427" t="b">
        <f t="shared" si="616"/>
        <v>1</v>
      </c>
      <c r="DX159" s="427" t="b">
        <f t="shared" si="617"/>
        <v>0</v>
      </c>
      <c r="DY159" s="427" t="b">
        <f t="shared" si="600"/>
        <v>1</v>
      </c>
      <c r="DZ159" s="427" t="b">
        <f t="shared" si="601"/>
        <v>1</v>
      </c>
      <c r="EA159" s="427" t="b">
        <f t="shared" si="602"/>
        <v>1</v>
      </c>
      <c r="EB159" s="427" t="b">
        <f t="shared" si="603"/>
        <v>0</v>
      </c>
      <c r="EC159" s="427">
        <v>1</v>
      </c>
      <c r="ED159" s="427">
        <v>1</v>
      </c>
      <c r="EE159" s="427">
        <v>1.5</v>
      </c>
      <c r="EF159" s="427">
        <v>0.5</v>
      </c>
      <c r="EG159" s="427">
        <v>1.75</v>
      </c>
      <c r="EH159" s="427">
        <v>1.5</v>
      </c>
      <c r="EI159" s="427">
        <v>1.5</v>
      </c>
      <c r="EJ159" s="427">
        <v>1.5</v>
      </c>
      <c r="EK159" s="427">
        <v>7</v>
      </c>
      <c r="EL159" s="427">
        <v>3</v>
      </c>
      <c r="EM159" s="427">
        <v>7</v>
      </c>
      <c r="EN159" s="427">
        <v>3</v>
      </c>
      <c r="EO159" s="427">
        <v>5.5</v>
      </c>
      <c r="EP159" s="427">
        <v>7</v>
      </c>
      <c r="EQ159" s="427">
        <v>5.5</v>
      </c>
      <c r="ER159" s="427">
        <v>4</v>
      </c>
      <c r="ES159" s="429">
        <f t="shared" si="581"/>
        <v>7.00000000004</v>
      </c>
      <c r="ET159" s="429">
        <f t="shared" si="582"/>
        <v>3.00000000002</v>
      </c>
      <c r="EU159" s="429">
        <f t="shared" si="583"/>
        <v>7.00000000003</v>
      </c>
      <c r="EV159" s="429">
        <f t="shared" si="584"/>
        <v>3.00000000001</v>
      </c>
      <c r="EW159" s="429">
        <f t="shared" si="585"/>
        <v>5.50000000005</v>
      </c>
      <c r="EX159" s="429">
        <f t="shared" si="586"/>
        <v>7.00000000006</v>
      </c>
      <c r="EY159" s="429">
        <f t="shared" si="587"/>
        <v>5.50000000007</v>
      </c>
      <c r="EZ159" s="429">
        <f t="shared" si="588"/>
        <v>4.00000000008</v>
      </c>
      <c r="FA159" s="427">
        <f t="shared" si="625"/>
        <v>7.00000000004</v>
      </c>
      <c r="FB159" s="427">
        <f t="shared" si="626"/>
        <v>3.00000000002</v>
      </c>
      <c r="FC159" s="427">
        <f t="shared" si="627"/>
        <v>10.500000000045</v>
      </c>
      <c r="FD159" s="427">
        <f t="shared" si="628"/>
        <v>1.500000000005</v>
      </c>
      <c r="FE159" s="427">
        <f t="shared" si="629"/>
        <v>9.6250000000874998</v>
      </c>
      <c r="FF159" s="427">
        <f t="shared" si="630"/>
        <v>10.500000000090001</v>
      </c>
      <c r="FG159" s="427">
        <f t="shared" si="631"/>
        <v>8.2500000001050005</v>
      </c>
      <c r="FH159" s="427">
        <f t="shared" si="632"/>
        <v>6.00000000012</v>
      </c>
      <c r="FI159" s="427" t="b">
        <f t="shared" si="604"/>
        <v>1</v>
      </c>
      <c r="FJ159" s="427" t="b">
        <f t="shared" si="605"/>
        <v>0</v>
      </c>
      <c r="FK159" s="427" t="b">
        <f t="shared" si="606"/>
        <v>1</v>
      </c>
      <c r="FL159" s="427" t="b">
        <f t="shared" si="607"/>
        <v>0</v>
      </c>
      <c r="FM159" s="427" t="b">
        <f t="shared" si="608"/>
        <v>1</v>
      </c>
      <c r="FN159" s="427" t="b">
        <f t="shared" si="609"/>
        <v>1</v>
      </c>
      <c r="FO159" s="427" t="b">
        <f t="shared" si="610"/>
        <v>1</v>
      </c>
      <c r="FP159" s="427" t="b">
        <f t="shared" si="611"/>
        <v>0</v>
      </c>
    </row>
    <row r="160" spans="1:172" s="427" customFormat="1" ht="15.6">
      <c r="A160" s="427" t="s">
        <v>1412</v>
      </c>
      <c r="B160" s="427" t="s">
        <v>255</v>
      </c>
      <c r="C160" s="427" t="s">
        <v>1413</v>
      </c>
      <c r="D160" s="427" t="s">
        <v>1414</v>
      </c>
      <c r="E160" s="427" t="s">
        <v>889</v>
      </c>
      <c r="F160" s="427" t="s">
        <v>356</v>
      </c>
      <c r="G160" s="427">
        <v>65</v>
      </c>
      <c r="H160" s="427">
        <v>61.25</v>
      </c>
      <c r="I160" s="427">
        <v>60</v>
      </c>
      <c r="J160" s="427">
        <f t="shared" si="562"/>
        <v>65.000000000450001</v>
      </c>
      <c r="K160" s="427">
        <f t="shared" si="563"/>
        <v>61.250000000449994</v>
      </c>
      <c r="L160" s="427">
        <f t="shared" si="564"/>
        <v>60.000000000429999</v>
      </c>
      <c r="M160" s="427" t="s">
        <v>1400</v>
      </c>
      <c r="N160" s="427" t="s">
        <v>1416</v>
      </c>
      <c r="O160" s="427" t="s">
        <v>1417</v>
      </c>
      <c r="P160" s="427" t="s">
        <v>838</v>
      </c>
      <c r="Q160" s="427" t="s">
        <v>356</v>
      </c>
      <c r="R160" s="427" t="s">
        <v>1415</v>
      </c>
      <c r="S160" s="427" t="s">
        <v>1177</v>
      </c>
      <c r="T160" s="427">
        <v>20</v>
      </c>
      <c r="U160" s="427" cm="1">
        <f t="array" ref="U160">IFERROR(INDEX('Offer Statistics'!$BQ$2:$BQ$400,MATCH(1,(A160='Offer Statistics'!$BB$2:$BB$400)*($A$11='Offer Statistics'!$BC$2:$BC$400),0)),"/")</f>
        <v>12</v>
      </c>
      <c r="V160" s="427" cm="1">
        <f t="array" ref="V160">IFERROR(INDEX('Offer Statistics'!$BD$2:$BD$400,MATCH(1,(A160='Offer Statistics'!$BB$2:$BB$400)*($A$11='Offer Statistics'!$BC$2:$BC$400),0)),"/")</f>
        <v>74</v>
      </c>
      <c r="W160" s="427" cm="1">
        <f t="array" ref="W160">IFERROR(INDEX('Offer Statistics'!$BL$2:$BL$400,MATCH(1,(A160='Offer Statistics'!$BB$2:$BB$400)*($A$11='Offer Statistics'!$BC$2:$BC$400),0)),"/")</f>
        <v>12</v>
      </c>
      <c r="X160" s="427">
        <f t="shared" si="502"/>
        <v>6.166666666666667</v>
      </c>
      <c r="Y160" s="427" t="s">
        <v>1177</v>
      </c>
      <c r="Z160" s="364" t="str">
        <f>入學要求!AF169</f>
        <v>/</v>
      </c>
      <c r="AA160" s="364" t="str">
        <f>入學要求!AG169</f>
        <v>/</v>
      </c>
      <c r="AB160" s="405" t="s">
        <v>889</v>
      </c>
      <c r="AC160" s="405" t="s">
        <v>3002</v>
      </c>
      <c r="AE160" s="406" t="s">
        <v>1400</v>
      </c>
      <c r="AF160" s="406" t="s">
        <v>2999</v>
      </c>
      <c r="AG160" s="405" t="s">
        <v>1389</v>
      </c>
      <c r="AH160" s="405" t="s">
        <v>3000</v>
      </c>
      <c r="AI160" s="406" t="s">
        <v>356</v>
      </c>
      <c r="AJ160" s="427" t="s">
        <v>356</v>
      </c>
      <c r="AK160" s="427" t="s">
        <v>356</v>
      </c>
      <c r="AL160" s="427" t="s">
        <v>356</v>
      </c>
      <c r="AM160" s="427" t="s">
        <v>356</v>
      </c>
      <c r="AN160" s="427" t="s">
        <v>356</v>
      </c>
      <c r="AO160" s="427" t="s">
        <v>356</v>
      </c>
      <c r="AP160" s="427" t="s">
        <v>356</v>
      </c>
      <c r="AQ160" s="427" t="s">
        <v>356</v>
      </c>
      <c r="AS160" s="427" t="s">
        <v>820</v>
      </c>
      <c r="AU160" s="427" t="s">
        <v>817</v>
      </c>
      <c r="AY160" s="427">
        <v>1</v>
      </c>
      <c r="AZ160" s="427">
        <v>1.5</v>
      </c>
      <c r="BA160" s="427">
        <v>2</v>
      </c>
      <c r="BB160" s="427">
        <v>1</v>
      </c>
      <c r="BC160" s="427">
        <v>2</v>
      </c>
      <c r="BD160" s="427">
        <v>2</v>
      </c>
      <c r="BE160" s="427">
        <v>2</v>
      </c>
      <c r="BF160" s="427">
        <v>2</v>
      </c>
      <c r="BG160" s="427" t="s">
        <v>1412</v>
      </c>
      <c r="BH160" s="428">
        <v>5.5</v>
      </c>
      <c r="BI160" s="428">
        <v>4</v>
      </c>
      <c r="BJ160" s="428">
        <v>5.5</v>
      </c>
      <c r="BK160" s="428">
        <v>7</v>
      </c>
      <c r="BL160" s="428">
        <v>7</v>
      </c>
      <c r="BM160" s="428">
        <v>7</v>
      </c>
      <c r="BN160" s="428">
        <v>7</v>
      </c>
      <c r="BO160" s="428" t="s">
        <v>356</v>
      </c>
      <c r="BP160" s="429">
        <f t="shared" si="565"/>
        <v>5.50000000004</v>
      </c>
      <c r="BQ160" s="429">
        <f t="shared" si="566"/>
        <v>4.00000000002</v>
      </c>
      <c r="BR160" s="429">
        <f t="shared" si="567"/>
        <v>5.50000000003</v>
      </c>
      <c r="BS160" s="429">
        <f t="shared" si="568"/>
        <v>7.00000000001</v>
      </c>
      <c r="BT160" s="429">
        <f t="shared" si="569"/>
        <v>7.00000000005</v>
      </c>
      <c r="BU160" s="429">
        <f t="shared" si="570"/>
        <v>7.00000000006</v>
      </c>
      <c r="BV160" s="429">
        <f t="shared" si="571"/>
        <v>7.00000000007</v>
      </c>
      <c r="BW160" s="429">
        <f t="shared" si="572"/>
        <v>0</v>
      </c>
      <c r="BX160" s="427">
        <f t="shared" ref="BX160:BX182" si="641">AY160*BP160</f>
        <v>5.50000000004</v>
      </c>
      <c r="BY160" s="427">
        <f t="shared" ref="BY160:BY182" si="642">AZ160*BQ160</f>
        <v>6.00000000003</v>
      </c>
      <c r="BZ160" s="427">
        <f t="shared" ref="BZ160:BZ182" si="643">BA160*BR160</f>
        <v>11.00000000006</v>
      </c>
      <c r="CA160" s="427">
        <f t="shared" ref="CA160:CA182" si="644">BB160*BS160</f>
        <v>7.00000000001</v>
      </c>
      <c r="CB160" s="427">
        <f t="shared" ref="CB160:CB182" si="645">BC160*BT160</f>
        <v>14.0000000001</v>
      </c>
      <c r="CC160" s="427">
        <f t="shared" ref="CC160:CC182" si="646">BD160*BU160</f>
        <v>14.00000000012</v>
      </c>
      <c r="CD160" s="427">
        <f t="shared" ref="CD160:CD182" si="647">BE160*BV160</f>
        <v>14.00000000014</v>
      </c>
      <c r="CE160" s="427">
        <f t="shared" ref="CE160:CE182" si="648">BF160*BW160</f>
        <v>0</v>
      </c>
      <c r="CF160" s="427" t="b">
        <f t="shared" si="633"/>
        <v>0</v>
      </c>
      <c r="CG160" s="427" t="b">
        <f t="shared" si="634"/>
        <v>0</v>
      </c>
      <c r="CH160" s="427" t="b">
        <f t="shared" si="635"/>
        <v>1</v>
      </c>
      <c r="CI160" s="427" t="b">
        <f t="shared" si="636"/>
        <v>1</v>
      </c>
      <c r="CJ160" s="427" t="b">
        <f t="shared" si="637"/>
        <v>1</v>
      </c>
      <c r="CK160" s="427" t="b">
        <f t="shared" si="638"/>
        <v>1</v>
      </c>
      <c r="CL160" s="427" t="b">
        <f t="shared" si="639"/>
        <v>1</v>
      </c>
      <c r="CM160" s="427" t="b">
        <f t="shared" si="640"/>
        <v>0</v>
      </c>
      <c r="CN160" s="427">
        <v>1</v>
      </c>
      <c r="CO160" s="427">
        <v>1.5</v>
      </c>
      <c r="CP160" s="427">
        <v>2</v>
      </c>
      <c r="CQ160" s="427">
        <v>1</v>
      </c>
      <c r="CR160" s="427">
        <v>2</v>
      </c>
      <c r="CS160" s="427">
        <v>2</v>
      </c>
      <c r="CT160" s="427">
        <v>2</v>
      </c>
      <c r="CU160" s="427">
        <v>2</v>
      </c>
      <c r="CW160" s="427">
        <v>3</v>
      </c>
      <c r="CX160" s="427">
        <v>5.5</v>
      </c>
      <c r="CY160" s="427">
        <v>5.5</v>
      </c>
      <c r="CZ160" s="427">
        <v>3</v>
      </c>
      <c r="DA160" s="427">
        <v>7</v>
      </c>
      <c r="DB160" s="427">
        <v>7</v>
      </c>
      <c r="DC160" s="427">
        <v>7</v>
      </c>
      <c r="DD160" s="427" t="s">
        <v>2472</v>
      </c>
      <c r="DE160" s="429">
        <f t="shared" si="573"/>
        <v>3.00000000004</v>
      </c>
      <c r="DF160" s="429">
        <f t="shared" si="574"/>
        <v>5.50000000002</v>
      </c>
      <c r="DG160" s="429">
        <f t="shared" si="575"/>
        <v>5.50000000003</v>
      </c>
      <c r="DH160" s="429">
        <f t="shared" si="576"/>
        <v>3.00000000001</v>
      </c>
      <c r="DI160" s="429">
        <f t="shared" si="577"/>
        <v>7.00000000005</v>
      </c>
      <c r="DJ160" s="429">
        <f t="shared" si="578"/>
        <v>7.00000000006</v>
      </c>
      <c r="DK160" s="429">
        <f t="shared" si="579"/>
        <v>7.00000000007</v>
      </c>
      <c r="DL160" s="429">
        <f t="shared" si="580"/>
        <v>0</v>
      </c>
      <c r="DM160" s="427">
        <f t="shared" ref="DM160:DM180" si="649">DE160*CN160</f>
        <v>3.00000000004</v>
      </c>
      <c r="DN160" s="427">
        <f t="shared" ref="DN160:DN181" si="650">DF160*CO160</f>
        <v>8.2500000000299991</v>
      </c>
      <c r="DO160" s="427">
        <f t="shared" ref="DO160:DO181" si="651">DG160*CP160</f>
        <v>11.00000000006</v>
      </c>
      <c r="DP160" s="427">
        <f t="shared" ref="DP160:DP181" si="652">DH160*CQ160</f>
        <v>3.00000000001</v>
      </c>
      <c r="DQ160" s="427">
        <f t="shared" ref="DQ160:DQ181" si="653">DI160*CR160</f>
        <v>14.0000000001</v>
      </c>
      <c r="DR160" s="427">
        <f t="shared" ref="DR160:DR181" si="654">DJ160*CS160</f>
        <v>14.00000000012</v>
      </c>
      <c r="DS160" s="427">
        <f t="shared" ref="DS160:DS181" si="655">DK160*CT160</f>
        <v>14.00000000014</v>
      </c>
      <c r="DT160" s="427">
        <f t="shared" ref="DT160:DT181" si="656">DL160*CU160</f>
        <v>0</v>
      </c>
      <c r="DU160" s="427" t="b">
        <f t="shared" si="614"/>
        <v>0</v>
      </c>
      <c r="DV160" s="427" t="b">
        <f t="shared" si="615"/>
        <v>1</v>
      </c>
      <c r="DW160" s="427" t="b">
        <f t="shared" si="616"/>
        <v>1</v>
      </c>
      <c r="DX160" s="427" t="b">
        <f t="shared" si="617"/>
        <v>0</v>
      </c>
      <c r="DY160" s="427" t="b">
        <f t="shared" si="600"/>
        <v>1</v>
      </c>
      <c r="DZ160" s="427" t="b">
        <f t="shared" si="601"/>
        <v>1</v>
      </c>
      <c r="EA160" s="427" t="b">
        <f t="shared" si="602"/>
        <v>1</v>
      </c>
      <c r="EB160" s="427" t="b">
        <f t="shared" si="603"/>
        <v>0</v>
      </c>
      <c r="EC160" s="427">
        <v>1</v>
      </c>
      <c r="ED160" s="427">
        <v>1.5</v>
      </c>
      <c r="EE160" s="427">
        <v>2</v>
      </c>
      <c r="EF160" s="427">
        <v>1</v>
      </c>
      <c r="EG160" s="427">
        <v>2</v>
      </c>
      <c r="EH160" s="427">
        <v>2</v>
      </c>
      <c r="EI160" s="427">
        <v>2</v>
      </c>
      <c r="EJ160" s="427">
        <v>1</v>
      </c>
      <c r="EK160" s="427">
        <v>4</v>
      </c>
      <c r="EL160" s="427">
        <v>4</v>
      </c>
      <c r="EM160" s="427">
        <v>8.5</v>
      </c>
      <c r="EN160" s="427">
        <v>4</v>
      </c>
      <c r="EO160" s="427">
        <v>7</v>
      </c>
      <c r="EP160" s="427">
        <v>7</v>
      </c>
      <c r="EQ160" s="427">
        <v>7</v>
      </c>
      <c r="ER160" s="427">
        <v>5.5</v>
      </c>
      <c r="ES160" s="429">
        <f t="shared" si="581"/>
        <v>4.00000000004</v>
      </c>
      <c r="ET160" s="429">
        <f t="shared" si="582"/>
        <v>4.00000000002</v>
      </c>
      <c r="EU160" s="429">
        <f t="shared" si="583"/>
        <v>8.5000000000299991</v>
      </c>
      <c r="EV160" s="429">
        <f t="shared" si="584"/>
        <v>4.00000000001</v>
      </c>
      <c r="EW160" s="429">
        <f t="shared" si="585"/>
        <v>7.00000000005</v>
      </c>
      <c r="EX160" s="429">
        <f t="shared" si="586"/>
        <v>7.00000000006</v>
      </c>
      <c r="EY160" s="429">
        <f t="shared" si="587"/>
        <v>7.00000000007</v>
      </c>
      <c r="EZ160" s="429">
        <f t="shared" si="588"/>
        <v>5.50000000008</v>
      </c>
      <c r="FA160" s="427">
        <f t="shared" si="625"/>
        <v>4.00000000004</v>
      </c>
      <c r="FB160" s="427">
        <f t="shared" si="626"/>
        <v>6.00000000003</v>
      </c>
      <c r="FC160" s="427">
        <f t="shared" si="627"/>
        <v>17.000000000059998</v>
      </c>
      <c r="FD160" s="427">
        <f t="shared" si="628"/>
        <v>4.00000000001</v>
      </c>
      <c r="FE160" s="427">
        <f t="shared" si="629"/>
        <v>14.0000000001</v>
      </c>
      <c r="FF160" s="427">
        <f t="shared" si="630"/>
        <v>14.00000000012</v>
      </c>
      <c r="FG160" s="427">
        <f t="shared" si="631"/>
        <v>14.00000000014</v>
      </c>
      <c r="FH160" s="427">
        <f t="shared" si="632"/>
        <v>5.50000000008</v>
      </c>
      <c r="FI160" s="427" t="b">
        <f t="shared" si="604"/>
        <v>0</v>
      </c>
      <c r="FJ160" s="427" t="b">
        <f t="shared" si="605"/>
        <v>1</v>
      </c>
      <c r="FK160" s="427" t="b">
        <f t="shared" si="606"/>
        <v>1</v>
      </c>
      <c r="FL160" s="427" t="b">
        <f t="shared" si="607"/>
        <v>0</v>
      </c>
      <c r="FM160" s="427" t="b">
        <f t="shared" si="608"/>
        <v>1</v>
      </c>
      <c r="FN160" s="427" t="b">
        <f t="shared" si="609"/>
        <v>1</v>
      </c>
      <c r="FO160" s="427" t="b">
        <f t="shared" si="610"/>
        <v>1</v>
      </c>
      <c r="FP160" s="427" t="b">
        <f t="shared" si="611"/>
        <v>0</v>
      </c>
    </row>
    <row r="161" spans="1:172" s="427" customFormat="1" ht="15.6">
      <c r="A161" s="427" t="s">
        <v>1418</v>
      </c>
      <c r="B161" s="427" t="s">
        <v>255</v>
      </c>
      <c r="C161" s="427" t="s">
        <v>1214</v>
      </c>
      <c r="D161" s="427" t="s">
        <v>1419</v>
      </c>
      <c r="E161" s="427" t="s">
        <v>889</v>
      </c>
      <c r="F161" s="427" t="s">
        <v>356</v>
      </c>
      <c r="G161" s="427">
        <v>48.875</v>
      </c>
      <c r="H161" s="427">
        <v>46.5</v>
      </c>
      <c r="I161" s="427">
        <v>43.75</v>
      </c>
      <c r="J161" s="427">
        <f t="shared" si="562"/>
        <v>48.875000000455003</v>
      </c>
      <c r="K161" s="427">
        <f t="shared" si="563"/>
        <v>46.5000000002875</v>
      </c>
      <c r="L161" s="427">
        <f t="shared" si="564"/>
        <v>43.750000000360004</v>
      </c>
      <c r="M161" s="427" t="s">
        <v>1400</v>
      </c>
      <c r="N161" s="427" t="s">
        <v>1421</v>
      </c>
      <c r="O161" s="427" t="s">
        <v>1422</v>
      </c>
      <c r="P161" s="427" t="s">
        <v>1423</v>
      </c>
      <c r="Q161" s="427" t="s">
        <v>942</v>
      </c>
      <c r="R161" s="427" t="s">
        <v>1420</v>
      </c>
      <c r="S161" s="427" t="s">
        <v>1177</v>
      </c>
      <c r="T161" s="427">
        <v>35</v>
      </c>
      <c r="U161" s="427" cm="1">
        <f t="array" ref="U161">IFERROR(INDEX('Offer Statistics'!$BQ$2:$BQ$400,MATCH(1,(A161='Offer Statistics'!$BB$2:$BB$400)*($A$11='Offer Statistics'!$BC$2:$BC$400),0)),"/")</f>
        <v>41</v>
      </c>
      <c r="V161" s="427" cm="1">
        <f t="array" ref="V161">IFERROR(INDEX('Offer Statistics'!$BD$2:$BD$400,MATCH(1,(A161='Offer Statistics'!$BB$2:$BB$400)*($A$11='Offer Statistics'!$BC$2:$BC$400),0)),"/")</f>
        <v>133</v>
      </c>
      <c r="W161" s="427" cm="1">
        <f t="array" ref="W161">IFERROR(INDEX('Offer Statistics'!$BL$2:$BL$400,MATCH(1,(A161='Offer Statistics'!$BB$2:$BB$400)*($A$11='Offer Statistics'!$BC$2:$BC$400),0)),"/")</f>
        <v>41</v>
      </c>
      <c r="X161" s="427">
        <f t="shared" si="502"/>
        <v>3.2439024390243905</v>
      </c>
      <c r="Y161" s="427" t="s">
        <v>1177</v>
      </c>
      <c r="Z161" s="364" t="str">
        <f>入學要求!AF170</f>
        <v>/</v>
      </c>
      <c r="AA161" s="364" t="str">
        <f>入學要求!AG170</f>
        <v>/</v>
      </c>
      <c r="AB161" s="405" t="s">
        <v>889</v>
      </c>
      <c r="AC161" s="405" t="s">
        <v>3002</v>
      </c>
      <c r="AE161" s="406" t="s">
        <v>1400</v>
      </c>
      <c r="AF161" s="406" t="s">
        <v>3001</v>
      </c>
      <c r="AG161" s="406" t="s">
        <v>1422</v>
      </c>
      <c r="AH161" s="405" t="s">
        <v>3006</v>
      </c>
      <c r="AI161" s="406" t="s">
        <v>942</v>
      </c>
      <c r="AJ161" s="427" t="s">
        <v>356</v>
      </c>
      <c r="AK161" s="427" t="s">
        <v>356</v>
      </c>
      <c r="AL161" s="427" t="s">
        <v>356</v>
      </c>
      <c r="AM161" s="427" t="s">
        <v>356</v>
      </c>
      <c r="AN161" s="427" t="s">
        <v>356</v>
      </c>
      <c r="AO161" s="427" t="s">
        <v>356</v>
      </c>
      <c r="AP161" s="427" t="s">
        <v>356</v>
      </c>
      <c r="AQ161" s="427" t="s">
        <v>356</v>
      </c>
      <c r="AS161" s="427" t="s">
        <v>820</v>
      </c>
      <c r="AU161" s="427" t="s">
        <v>817</v>
      </c>
      <c r="AY161" s="427">
        <v>1.25</v>
      </c>
      <c r="AZ161" s="427">
        <v>1.25</v>
      </c>
      <c r="BA161" s="427">
        <v>1.75</v>
      </c>
      <c r="BB161" s="427">
        <v>1</v>
      </c>
      <c r="BC161" s="427">
        <v>1.75</v>
      </c>
      <c r="BD161" s="427">
        <v>1.5</v>
      </c>
      <c r="BE161" s="427">
        <v>1.5</v>
      </c>
      <c r="BF161" s="427">
        <v>1.5</v>
      </c>
      <c r="BG161" s="427" t="s">
        <v>1418</v>
      </c>
      <c r="BH161" s="428">
        <v>3</v>
      </c>
      <c r="BI161" s="428">
        <v>4</v>
      </c>
      <c r="BJ161" s="428">
        <v>7</v>
      </c>
      <c r="BK161" s="428">
        <v>4</v>
      </c>
      <c r="BL161" s="428">
        <v>7</v>
      </c>
      <c r="BM161" s="428">
        <v>5.5</v>
      </c>
      <c r="BN161" s="428">
        <v>4</v>
      </c>
      <c r="BO161" s="428">
        <v>3</v>
      </c>
      <c r="BP161" s="429">
        <f t="shared" si="565"/>
        <v>3.00000000004</v>
      </c>
      <c r="BQ161" s="429">
        <f t="shared" si="566"/>
        <v>4.00000000002</v>
      </c>
      <c r="BR161" s="429">
        <f t="shared" si="567"/>
        <v>7.00000000003</v>
      </c>
      <c r="BS161" s="429">
        <f t="shared" si="568"/>
        <v>4.00000000001</v>
      </c>
      <c r="BT161" s="429">
        <f t="shared" si="569"/>
        <v>7.00000000005</v>
      </c>
      <c r="BU161" s="429">
        <f t="shared" si="570"/>
        <v>5.50000000006</v>
      </c>
      <c r="BV161" s="429">
        <f t="shared" si="571"/>
        <v>4.00000000007</v>
      </c>
      <c r="BW161" s="429">
        <f t="shared" si="572"/>
        <v>3.00000000008</v>
      </c>
      <c r="BX161" s="427">
        <f t="shared" si="641"/>
        <v>3.75000000005</v>
      </c>
      <c r="BY161" s="427">
        <f t="shared" si="642"/>
        <v>5.0000000000250004</v>
      </c>
      <c r="BZ161" s="427">
        <f t="shared" si="643"/>
        <v>12.2500000000525</v>
      </c>
      <c r="CA161" s="427">
        <f t="shared" si="644"/>
        <v>4.00000000001</v>
      </c>
      <c r="CB161" s="427">
        <f t="shared" si="645"/>
        <v>12.2500000000875</v>
      </c>
      <c r="CC161" s="427">
        <f t="shared" si="646"/>
        <v>8.2500000000900009</v>
      </c>
      <c r="CD161" s="427">
        <f t="shared" si="647"/>
        <v>6.0000000001050005</v>
      </c>
      <c r="CE161" s="427">
        <f t="shared" si="648"/>
        <v>4.50000000012</v>
      </c>
      <c r="CF161" s="427" t="b">
        <f t="shared" si="633"/>
        <v>0</v>
      </c>
      <c r="CG161" s="427" t="b">
        <f t="shared" si="634"/>
        <v>1</v>
      </c>
      <c r="CH161" s="427" t="b">
        <f t="shared" si="635"/>
        <v>1</v>
      </c>
      <c r="CI161" s="427" t="b">
        <f t="shared" si="636"/>
        <v>0</v>
      </c>
      <c r="CJ161" s="427" t="b">
        <f t="shared" si="637"/>
        <v>1</v>
      </c>
      <c r="CK161" s="427" t="b">
        <f t="shared" si="638"/>
        <v>1</v>
      </c>
      <c r="CL161" s="427" t="b">
        <f t="shared" si="639"/>
        <v>1</v>
      </c>
      <c r="CM161" s="427" t="b">
        <f t="shared" si="640"/>
        <v>0</v>
      </c>
      <c r="CN161" s="427">
        <v>1.25</v>
      </c>
      <c r="CO161" s="427">
        <v>1.25</v>
      </c>
      <c r="CP161" s="427">
        <v>1.75</v>
      </c>
      <c r="CQ161" s="427">
        <v>1</v>
      </c>
      <c r="CR161" s="427">
        <v>1.75</v>
      </c>
      <c r="CS161" s="427">
        <v>1.5</v>
      </c>
      <c r="CT161" s="427">
        <v>1</v>
      </c>
      <c r="CU161" s="427">
        <v>1</v>
      </c>
      <c r="CW161" s="427">
        <v>4</v>
      </c>
      <c r="CX161" s="427">
        <v>5.5</v>
      </c>
      <c r="CY161" s="427">
        <v>8.5</v>
      </c>
      <c r="CZ161" s="427">
        <v>3</v>
      </c>
      <c r="DA161" s="427" t="s">
        <v>356</v>
      </c>
      <c r="DB161" s="427">
        <v>8.5</v>
      </c>
      <c r="DC161" s="427">
        <v>7</v>
      </c>
      <c r="DD161" s="427" t="s">
        <v>356</v>
      </c>
      <c r="DE161" s="429">
        <f t="shared" si="573"/>
        <v>4.00000000004</v>
      </c>
      <c r="DF161" s="429">
        <f t="shared" si="574"/>
        <v>5.50000000002</v>
      </c>
      <c r="DG161" s="429">
        <f t="shared" si="575"/>
        <v>8.5000000000299991</v>
      </c>
      <c r="DH161" s="429">
        <f t="shared" si="576"/>
        <v>3.00000000001</v>
      </c>
      <c r="DI161" s="429">
        <f t="shared" si="577"/>
        <v>0</v>
      </c>
      <c r="DJ161" s="429">
        <f t="shared" si="578"/>
        <v>8.50000000006</v>
      </c>
      <c r="DK161" s="429">
        <f t="shared" si="579"/>
        <v>7.00000000007</v>
      </c>
      <c r="DL161" s="429">
        <f t="shared" si="580"/>
        <v>0</v>
      </c>
      <c r="DM161" s="427">
        <f t="shared" si="649"/>
        <v>5.00000000005</v>
      </c>
      <c r="DN161" s="427">
        <f t="shared" si="650"/>
        <v>6.8750000000250004</v>
      </c>
      <c r="DO161" s="427">
        <f t="shared" si="651"/>
        <v>14.875000000052498</v>
      </c>
      <c r="DP161" s="427">
        <f t="shared" si="652"/>
        <v>3.00000000001</v>
      </c>
      <c r="DQ161" s="427">
        <f t="shared" si="653"/>
        <v>0</v>
      </c>
      <c r="DR161" s="427">
        <f t="shared" si="654"/>
        <v>12.750000000090001</v>
      </c>
      <c r="DS161" s="427">
        <f t="shared" si="655"/>
        <v>7.00000000007</v>
      </c>
      <c r="DT161" s="427">
        <f t="shared" si="656"/>
        <v>0</v>
      </c>
      <c r="DU161" s="427" t="b">
        <f t="shared" si="614"/>
        <v>1</v>
      </c>
      <c r="DV161" s="427" t="b">
        <f t="shared" si="615"/>
        <v>1</v>
      </c>
      <c r="DW161" s="427" t="b">
        <f t="shared" si="616"/>
        <v>1</v>
      </c>
      <c r="DX161" s="427" t="b">
        <f t="shared" si="617"/>
        <v>0</v>
      </c>
      <c r="DY161" s="427" t="b">
        <f t="shared" si="600"/>
        <v>0</v>
      </c>
      <c r="DZ161" s="427" t="b">
        <f t="shared" si="601"/>
        <v>1</v>
      </c>
      <c r="EA161" s="427" t="b">
        <f t="shared" si="602"/>
        <v>1</v>
      </c>
      <c r="EB161" s="427" t="b">
        <f t="shared" si="603"/>
        <v>0</v>
      </c>
      <c r="EC161" s="427">
        <v>1.25</v>
      </c>
      <c r="ED161" s="427">
        <v>1.25</v>
      </c>
      <c r="EE161" s="427">
        <v>1.75</v>
      </c>
      <c r="EF161" s="427">
        <v>1</v>
      </c>
      <c r="EG161" s="427">
        <v>1.75</v>
      </c>
      <c r="EH161" s="427">
        <v>1.5</v>
      </c>
      <c r="EI161" s="427">
        <v>1.5</v>
      </c>
      <c r="EJ161" s="427">
        <v>1.5</v>
      </c>
      <c r="EK161" s="427">
        <v>4</v>
      </c>
      <c r="EL161" s="427">
        <v>4</v>
      </c>
      <c r="EM161" s="427">
        <v>7</v>
      </c>
      <c r="EN161" s="427">
        <v>4</v>
      </c>
      <c r="EO161" s="427">
        <v>5.5</v>
      </c>
      <c r="EP161" s="427">
        <v>7</v>
      </c>
      <c r="EQ161" s="427">
        <v>5.5</v>
      </c>
      <c r="ER161" s="427">
        <v>5.5</v>
      </c>
      <c r="ES161" s="429">
        <f t="shared" si="581"/>
        <v>4.00000000004</v>
      </c>
      <c r="ET161" s="429">
        <f t="shared" si="582"/>
        <v>4.00000000002</v>
      </c>
      <c r="EU161" s="429">
        <f t="shared" si="583"/>
        <v>7.00000000003</v>
      </c>
      <c r="EV161" s="429">
        <f t="shared" si="584"/>
        <v>4.00000000001</v>
      </c>
      <c r="EW161" s="429">
        <f t="shared" si="585"/>
        <v>5.50000000005</v>
      </c>
      <c r="EX161" s="429">
        <f t="shared" si="586"/>
        <v>7.00000000006</v>
      </c>
      <c r="EY161" s="429">
        <f t="shared" si="587"/>
        <v>5.50000000007</v>
      </c>
      <c r="EZ161" s="429">
        <f t="shared" si="588"/>
        <v>5.50000000008</v>
      </c>
      <c r="FA161" s="427">
        <f t="shared" si="625"/>
        <v>5.00000000005</v>
      </c>
      <c r="FB161" s="427">
        <f t="shared" si="626"/>
        <v>5.0000000000250004</v>
      </c>
      <c r="FC161" s="427">
        <f t="shared" si="627"/>
        <v>12.2500000000525</v>
      </c>
      <c r="FD161" s="427">
        <f t="shared" si="628"/>
        <v>4.00000000001</v>
      </c>
      <c r="FE161" s="427">
        <f t="shared" si="629"/>
        <v>9.6250000000874998</v>
      </c>
      <c r="FF161" s="427">
        <f t="shared" si="630"/>
        <v>10.500000000090001</v>
      </c>
      <c r="FG161" s="427">
        <f t="shared" si="631"/>
        <v>8.2500000001050005</v>
      </c>
      <c r="FH161" s="427">
        <f t="shared" si="632"/>
        <v>8.25000000012</v>
      </c>
      <c r="FI161" s="427" t="b">
        <f t="shared" si="604"/>
        <v>0</v>
      </c>
      <c r="FJ161" s="427" t="b">
        <f t="shared" si="605"/>
        <v>0</v>
      </c>
      <c r="FK161" s="427" t="b">
        <f t="shared" si="606"/>
        <v>1</v>
      </c>
      <c r="FL161" s="427" t="b">
        <f t="shared" si="607"/>
        <v>0</v>
      </c>
      <c r="FM161" s="427" t="b">
        <f t="shared" si="608"/>
        <v>1</v>
      </c>
      <c r="FN161" s="427" t="b">
        <f t="shared" si="609"/>
        <v>1</v>
      </c>
      <c r="FO161" s="427" t="b">
        <f t="shared" si="610"/>
        <v>1</v>
      </c>
      <c r="FP161" s="427" t="b">
        <f t="shared" si="611"/>
        <v>1</v>
      </c>
    </row>
    <row r="162" spans="1:172" ht="15.6">
      <c r="A162" s="2" t="s">
        <v>1424</v>
      </c>
      <c r="B162" s="2" t="s">
        <v>255</v>
      </c>
      <c r="C162" s="2" t="s">
        <v>1214</v>
      </c>
      <c r="D162" s="2" t="s">
        <v>1425</v>
      </c>
      <c r="E162" s="2" t="s">
        <v>889</v>
      </c>
      <c r="F162" s="2" t="s">
        <v>356</v>
      </c>
      <c r="G162" s="2">
        <v>29.5</v>
      </c>
      <c r="H162" s="2">
        <v>28</v>
      </c>
      <c r="I162" s="2">
        <v>26.5</v>
      </c>
      <c r="J162" s="2">
        <f t="shared" si="562"/>
        <v>29.50000000032</v>
      </c>
      <c r="K162" s="2">
        <f t="shared" si="563"/>
        <v>28.000000000324999</v>
      </c>
      <c r="L162" s="2">
        <f t="shared" si="564"/>
        <v>26.500000000295</v>
      </c>
      <c r="M162" s="364" t="s">
        <v>356</v>
      </c>
      <c r="N162" s="364" t="s">
        <v>356</v>
      </c>
      <c r="O162" s="364" t="s">
        <v>1407</v>
      </c>
      <c r="P162" s="364" t="s">
        <v>356</v>
      </c>
      <c r="Q162" s="364" t="s">
        <v>356</v>
      </c>
      <c r="R162" s="2" t="s">
        <v>1426</v>
      </c>
      <c r="S162" s="2" t="s">
        <v>1177</v>
      </c>
      <c r="T162" s="2">
        <v>53</v>
      </c>
      <c r="U162" s="2" cm="1">
        <f t="array" ref="U162">IFERROR(INDEX('Offer Statistics'!$BQ$2:$BQ$400,MATCH(1,(A162='Offer Statistics'!$BB$2:$BB$400)*($A$11='Offer Statistics'!$BC$2:$BC$400),0)),"/")</f>
        <v>48</v>
      </c>
      <c r="V162" s="2" cm="1">
        <f t="array" ref="V162">IFERROR(INDEX('Offer Statistics'!$BD$2:$BD$400,MATCH(1,(A162='Offer Statistics'!$BB$2:$BB$400)*($A$11='Offer Statistics'!$BC$2:$BC$400),0)),"/")</f>
        <v>348</v>
      </c>
      <c r="W162" s="2" cm="1">
        <f t="array" ref="W162">IFERROR(INDEX('Offer Statistics'!$BL$2:$BL$400,MATCH(1,(A162='Offer Statistics'!$BB$2:$BB$400)*($A$11='Offer Statistics'!$BC$2:$BC$400),0)),"/")</f>
        <v>48</v>
      </c>
      <c r="X162" s="2">
        <f t="shared" si="502"/>
        <v>7.25</v>
      </c>
      <c r="Y162" s="2" t="s">
        <v>1177</v>
      </c>
      <c r="Z162" s="364" t="str">
        <f>入學要求!AF171</f>
        <v>以下一科選修取得Lv.3︰M1/2、生物、化學、組合科學、ICT、物理</v>
      </c>
      <c r="AA162" s="364" t="str">
        <f>入學要求!AG171</f>
        <v>/</v>
      </c>
      <c r="AB162" s="401" t="s">
        <v>889</v>
      </c>
      <c r="AC162" s="51"/>
      <c r="AD162" s="368"/>
      <c r="AE162" s="368" t="s">
        <v>356</v>
      </c>
      <c r="AF162" s="368" t="s">
        <v>356</v>
      </c>
      <c r="AG162" s="368" t="s">
        <v>1407</v>
      </c>
      <c r="AH162" s="368" t="s">
        <v>356</v>
      </c>
      <c r="AI162" s="368" t="s">
        <v>356</v>
      </c>
      <c r="AJ162" s="2" t="s">
        <v>356</v>
      </c>
      <c r="AK162" s="2" t="s">
        <v>356</v>
      </c>
      <c r="AL162" s="2" t="s">
        <v>356</v>
      </c>
      <c r="AM162" s="2" t="s">
        <v>356</v>
      </c>
      <c r="AN162" s="2" t="s">
        <v>356</v>
      </c>
      <c r="AO162" s="2" t="s">
        <v>356</v>
      </c>
      <c r="AP162" s="2" t="s">
        <v>356</v>
      </c>
      <c r="AQ162" s="2" t="s">
        <v>356</v>
      </c>
      <c r="AS162" s="2" t="s">
        <v>820</v>
      </c>
      <c r="AU162" s="2" t="s">
        <v>1427</v>
      </c>
      <c r="AY162" s="2">
        <v>1</v>
      </c>
      <c r="AZ162" s="2">
        <v>1</v>
      </c>
      <c r="BA162" s="2">
        <v>1.5</v>
      </c>
      <c r="BB162" s="2">
        <v>1</v>
      </c>
      <c r="BC162" s="2">
        <v>1.5</v>
      </c>
      <c r="BD162" s="2">
        <v>1</v>
      </c>
      <c r="BE162" s="2">
        <v>1</v>
      </c>
      <c r="BF162" s="2">
        <v>1</v>
      </c>
      <c r="BG162" s="2" t="s">
        <v>1424</v>
      </c>
      <c r="BH162">
        <v>5.5</v>
      </c>
      <c r="BI162">
        <v>4</v>
      </c>
      <c r="BJ162">
        <v>3</v>
      </c>
      <c r="BK162">
        <v>4</v>
      </c>
      <c r="BL162" t="s">
        <v>356</v>
      </c>
      <c r="BM162">
        <v>5.5</v>
      </c>
      <c r="BN162">
        <v>5.5</v>
      </c>
      <c r="BO162">
        <v>5.5</v>
      </c>
      <c r="BP162" s="206">
        <f t="shared" si="565"/>
        <v>5.50000000004</v>
      </c>
      <c r="BQ162" s="206">
        <f t="shared" si="566"/>
        <v>4.00000000002</v>
      </c>
      <c r="BR162" s="206">
        <f t="shared" si="567"/>
        <v>3.00000000003</v>
      </c>
      <c r="BS162" s="206">
        <f t="shared" si="568"/>
        <v>4.00000000001</v>
      </c>
      <c r="BT162" s="206">
        <f t="shared" si="569"/>
        <v>0</v>
      </c>
      <c r="BU162" s="206">
        <f t="shared" si="570"/>
        <v>5.50000000006</v>
      </c>
      <c r="BV162" s="206">
        <f t="shared" si="571"/>
        <v>5.50000000007</v>
      </c>
      <c r="BW162" s="206">
        <f t="shared" si="572"/>
        <v>5.50000000008</v>
      </c>
      <c r="BX162" s="2">
        <f t="shared" si="641"/>
        <v>5.50000000004</v>
      </c>
      <c r="BY162" s="2">
        <f t="shared" si="642"/>
        <v>4.00000000002</v>
      </c>
      <c r="BZ162" s="2">
        <f t="shared" si="643"/>
        <v>4.5000000000450004</v>
      </c>
      <c r="CA162" s="2">
        <f t="shared" si="644"/>
        <v>4.00000000001</v>
      </c>
      <c r="CB162" s="2">
        <f t="shared" si="645"/>
        <v>0</v>
      </c>
      <c r="CC162" s="2">
        <f t="shared" si="646"/>
        <v>5.50000000006</v>
      </c>
      <c r="CD162" s="2">
        <f t="shared" si="647"/>
        <v>5.50000000007</v>
      </c>
      <c r="CE162" s="2">
        <f t="shared" si="648"/>
        <v>5.50000000008</v>
      </c>
      <c r="CF162" s="2" t="b">
        <f t="shared" si="633"/>
        <v>1</v>
      </c>
      <c r="CG162" s="2" t="b">
        <f t="shared" si="634"/>
        <v>0</v>
      </c>
      <c r="CH162" s="2" t="b">
        <f t="shared" si="635"/>
        <v>1</v>
      </c>
      <c r="CI162" s="2" t="b">
        <f t="shared" si="636"/>
        <v>0</v>
      </c>
      <c r="CJ162" s="2" t="b">
        <f t="shared" si="637"/>
        <v>0</v>
      </c>
      <c r="CK162" s="2" t="b">
        <f t="shared" si="638"/>
        <v>1</v>
      </c>
      <c r="CL162" s="2" t="b">
        <f t="shared" si="639"/>
        <v>1</v>
      </c>
      <c r="CM162" s="2" t="b">
        <f t="shared" si="640"/>
        <v>1</v>
      </c>
      <c r="CN162" s="2">
        <v>1</v>
      </c>
      <c r="CO162" s="2">
        <v>1</v>
      </c>
      <c r="CP162" s="2">
        <v>1.5</v>
      </c>
      <c r="CQ162" s="2">
        <v>1</v>
      </c>
      <c r="CR162" s="2">
        <v>1.5</v>
      </c>
      <c r="CS162" s="2">
        <v>1</v>
      </c>
      <c r="CT162" s="2">
        <v>1.5</v>
      </c>
      <c r="CU162" s="2">
        <v>1</v>
      </c>
      <c r="CW162" s="2">
        <v>3</v>
      </c>
      <c r="CX162" s="2">
        <v>3</v>
      </c>
      <c r="CY162" s="2">
        <v>5.5</v>
      </c>
      <c r="CZ162" s="2">
        <v>3</v>
      </c>
      <c r="DA162" s="2">
        <v>5.5</v>
      </c>
      <c r="DB162" s="2">
        <v>4</v>
      </c>
      <c r="DC162" s="2">
        <v>3</v>
      </c>
      <c r="DD162" s="2" t="s">
        <v>356</v>
      </c>
      <c r="DE162" s="206">
        <f t="shared" si="573"/>
        <v>3.00000000004</v>
      </c>
      <c r="DF162" s="206">
        <f t="shared" si="574"/>
        <v>3.00000000002</v>
      </c>
      <c r="DG162" s="206">
        <f t="shared" si="575"/>
        <v>5.50000000003</v>
      </c>
      <c r="DH162" s="206">
        <f t="shared" si="576"/>
        <v>3.00000000001</v>
      </c>
      <c r="DI162" s="206">
        <f t="shared" si="577"/>
        <v>5.50000000005</v>
      </c>
      <c r="DJ162" s="206">
        <f t="shared" si="578"/>
        <v>4.00000000006</v>
      </c>
      <c r="DK162" s="206">
        <f t="shared" si="579"/>
        <v>3.00000000007</v>
      </c>
      <c r="DL162" s="206">
        <f t="shared" si="580"/>
        <v>0</v>
      </c>
      <c r="DM162" s="2">
        <f t="shared" si="649"/>
        <v>3.00000000004</v>
      </c>
      <c r="DN162" s="2">
        <f t="shared" si="650"/>
        <v>3.00000000002</v>
      </c>
      <c r="DO162" s="2">
        <f t="shared" si="651"/>
        <v>8.2500000000450004</v>
      </c>
      <c r="DP162" s="2">
        <f t="shared" si="652"/>
        <v>3.00000000001</v>
      </c>
      <c r="DQ162" s="2">
        <f t="shared" si="653"/>
        <v>8.2500000000749996</v>
      </c>
      <c r="DR162" s="2">
        <f t="shared" si="654"/>
        <v>4.00000000006</v>
      </c>
      <c r="DS162" s="2">
        <f t="shared" si="655"/>
        <v>4.5000000001050005</v>
      </c>
      <c r="DT162" s="2">
        <f t="shared" si="656"/>
        <v>0</v>
      </c>
      <c r="DU162" s="2" t="b">
        <f t="shared" si="614"/>
        <v>1</v>
      </c>
      <c r="DV162" s="2" t="b">
        <f t="shared" si="615"/>
        <v>0</v>
      </c>
      <c r="DW162" s="2" t="b">
        <f t="shared" si="616"/>
        <v>1</v>
      </c>
      <c r="DX162" s="2" t="b">
        <f t="shared" si="617"/>
        <v>0</v>
      </c>
      <c r="DY162" s="2" t="b">
        <f t="shared" si="600"/>
        <v>1</v>
      </c>
      <c r="DZ162" s="2" t="b">
        <f t="shared" si="601"/>
        <v>1</v>
      </c>
      <c r="EA162" s="2" t="b">
        <f t="shared" si="602"/>
        <v>1</v>
      </c>
      <c r="EB162" s="2" t="b">
        <f t="shared" si="603"/>
        <v>0</v>
      </c>
      <c r="EC162" s="2">
        <v>1</v>
      </c>
      <c r="ED162" s="2">
        <v>1</v>
      </c>
      <c r="EE162" s="2">
        <v>1.5</v>
      </c>
      <c r="EF162" s="2">
        <v>1</v>
      </c>
      <c r="EG162" s="2">
        <v>1.5</v>
      </c>
      <c r="EH162" s="2">
        <v>1.5</v>
      </c>
      <c r="EI162" s="2">
        <v>1</v>
      </c>
      <c r="EJ162" s="2">
        <v>1</v>
      </c>
      <c r="EK162" s="2">
        <v>3</v>
      </c>
      <c r="EL162" s="2">
        <v>3</v>
      </c>
      <c r="EM162" s="2">
        <v>5.5</v>
      </c>
      <c r="EN162" s="2">
        <v>3</v>
      </c>
      <c r="EO162" s="2">
        <v>5.5</v>
      </c>
      <c r="EP162" s="2">
        <v>4</v>
      </c>
      <c r="EQ162" s="2">
        <v>4</v>
      </c>
      <c r="ER162" s="2" t="s">
        <v>356</v>
      </c>
      <c r="ES162" s="206">
        <f t="shared" si="581"/>
        <v>3.00000000004</v>
      </c>
      <c r="ET162" s="206">
        <f t="shared" si="582"/>
        <v>3.00000000002</v>
      </c>
      <c r="EU162" s="206">
        <f t="shared" si="583"/>
        <v>5.50000000003</v>
      </c>
      <c r="EV162" s="206">
        <f t="shared" si="584"/>
        <v>3.00000000001</v>
      </c>
      <c r="EW162" s="206">
        <f t="shared" si="585"/>
        <v>5.50000000005</v>
      </c>
      <c r="EX162" s="206">
        <f t="shared" si="586"/>
        <v>4.00000000006</v>
      </c>
      <c r="EY162" s="206">
        <f t="shared" si="587"/>
        <v>4.00000000007</v>
      </c>
      <c r="EZ162" s="206">
        <f t="shared" si="588"/>
        <v>0</v>
      </c>
      <c r="FA162" s="2">
        <f t="shared" si="625"/>
        <v>3.00000000004</v>
      </c>
      <c r="FB162" s="2">
        <f t="shared" si="626"/>
        <v>3.00000000002</v>
      </c>
      <c r="FC162" s="2">
        <f t="shared" si="627"/>
        <v>8.2500000000450004</v>
      </c>
      <c r="FD162" s="2">
        <f t="shared" si="628"/>
        <v>3.00000000001</v>
      </c>
      <c r="FE162" s="2">
        <f t="shared" si="629"/>
        <v>8.2500000000749996</v>
      </c>
      <c r="FF162" s="2">
        <f t="shared" si="630"/>
        <v>6.00000000009</v>
      </c>
      <c r="FG162" s="2">
        <f t="shared" si="631"/>
        <v>4.00000000007</v>
      </c>
      <c r="FH162" s="2">
        <f t="shared" si="632"/>
        <v>0</v>
      </c>
      <c r="FI162" s="2" t="b">
        <f t="shared" si="604"/>
        <v>1</v>
      </c>
      <c r="FJ162" s="2" t="b">
        <f t="shared" si="605"/>
        <v>0</v>
      </c>
      <c r="FK162" s="2" t="b">
        <f t="shared" si="606"/>
        <v>1</v>
      </c>
      <c r="FL162" s="2" t="b">
        <f t="shared" si="607"/>
        <v>0</v>
      </c>
      <c r="FM162" s="2" t="b">
        <f t="shared" si="608"/>
        <v>1</v>
      </c>
      <c r="FN162" s="2" t="b">
        <f t="shared" si="609"/>
        <v>1</v>
      </c>
      <c r="FO162" s="2" t="b">
        <f t="shared" si="610"/>
        <v>1</v>
      </c>
      <c r="FP162" s="2" t="b">
        <f t="shared" si="611"/>
        <v>0</v>
      </c>
    </row>
    <row r="163" spans="1:172" s="427" customFormat="1" ht="15.6">
      <c r="A163" s="427" t="s">
        <v>473</v>
      </c>
      <c r="B163" s="427" t="s">
        <v>255</v>
      </c>
      <c r="C163" s="427" t="s">
        <v>1214</v>
      </c>
      <c r="D163" s="427" t="s">
        <v>1428</v>
      </c>
      <c r="E163" s="427" t="s">
        <v>889</v>
      </c>
      <c r="F163" s="427" t="s">
        <v>356</v>
      </c>
      <c r="G163" s="427">
        <v>38.875</v>
      </c>
      <c r="H163" s="427">
        <v>36.75</v>
      </c>
      <c r="I163" s="427">
        <v>34.5</v>
      </c>
      <c r="J163" s="427">
        <f t="shared" si="562"/>
        <v>38.875000000297504</v>
      </c>
      <c r="K163" s="427">
        <f t="shared" si="563"/>
        <v>36.750000000382499</v>
      </c>
      <c r="L163" s="427">
        <f t="shared" si="564"/>
        <v>34.500000000462506</v>
      </c>
      <c r="M163" s="427" t="s">
        <v>1400</v>
      </c>
      <c r="N163" s="427" t="s">
        <v>478</v>
      </c>
      <c r="O163" s="427" t="s">
        <v>1430</v>
      </c>
      <c r="P163" s="427" t="s">
        <v>1431</v>
      </c>
      <c r="Q163" s="427" t="s">
        <v>1403</v>
      </c>
      <c r="R163" s="427" t="s">
        <v>1429</v>
      </c>
      <c r="S163" s="427" t="s">
        <v>1177</v>
      </c>
      <c r="T163" s="427">
        <v>75</v>
      </c>
      <c r="U163" s="427" cm="1">
        <f t="array" ref="U163">IFERROR(INDEX('Offer Statistics'!$BQ$2:$BQ$400,MATCH(1,(A163='Offer Statistics'!$BB$2:$BB$400)*($A$11='Offer Statistics'!$BC$2:$BC$400),0)),"/")</f>
        <v>68</v>
      </c>
      <c r="V163" s="427" cm="1">
        <f t="array" ref="V163">IFERROR(INDEX('Offer Statistics'!$BD$2:$BD$400,MATCH(1,(A163='Offer Statistics'!$BB$2:$BB$400)*($A$11='Offer Statistics'!$BC$2:$BC$400),0)),"/")</f>
        <v>306</v>
      </c>
      <c r="W163" s="427" cm="1">
        <f t="array" ref="W163">IFERROR(INDEX('Offer Statistics'!$BL$2:$BL$400,MATCH(1,(A163='Offer Statistics'!$BB$2:$BB$400)*($A$11='Offer Statistics'!$BC$2:$BC$400),0)),"/")</f>
        <v>68</v>
      </c>
      <c r="X163" s="427">
        <f t="shared" si="502"/>
        <v>4.5</v>
      </c>
      <c r="Y163" s="427" t="s">
        <v>1177</v>
      </c>
      <c r="Z163" s="364" t="str">
        <f>入學要求!AF172</f>
        <v>以下一科選修取得Lv.3︰M1/2、生物、化學、組合科學、物理</v>
      </c>
      <c r="AA163" s="364" t="str">
        <f>入學要求!AG172</f>
        <v>/</v>
      </c>
      <c r="AB163" s="405" t="s">
        <v>889</v>
      </c>
      <c r="AC163" s="405" t="s">
        <v>3002</v>
      </c>
      <c r="AE163" s="406" t="s">
        <v>3019</v>
      </c>
      <c r="AF163" s="406" t="s">
        <v>2998</v>
      </c>
      <c r="AG163" s="406" t="s">
        <v>1430</v>
      </c>
      <c r="AH163" s="405" t="s">
        <v>3003</v>
      </c>
      <c r="AI163" s="406" t="s">
        <v>356</v>
      </c>
      <c r="AJ163" s="427" t="s">
        <v>356</v>
      </c>
      <c r="AK163" s="427" t="s">
        <v>356</v>
      </c>
      <c r="AL163" s="427" t="s">
        <v>356</v>
      </c>
      <c r="AM163" s="427" t="s">
        <v>356</v>
      </c>
      <c r="AN163" s="427" t="s">
        <v>356</v>
      </c>
      <c r="AO163" s="427" t="s">
        <v>356</v>
      </c>
      <c r="AP163" s="427" t="s">
        <v>356</v>
      </c>
      <c r="AQ163" s="427" t="s">
        <v>356</v>
      </c>
      <c r="AS163" s="427" t="s">
        <v>820</v>
      </c>
      <c r="AU163" s="427" t="s">
        <v>817</v>
      </c>
      <c r="AY163" s="427">
        <v>1</v>
      </c>
      <c r="AZ163" s="427">
        <v>1</v>
      </c>
      <c r="BA163" s="427">
        <v>2</v>
      </c>
      <c r="BB163" s="427">
        <v>0.5</v>
      </c>
      <c r="BC163" s="427">
        <v>1.75</v>
      </c>
      <c r="BD163" s="427">
        <v>1.5</v>
      </c>
      <c r="BE163" s="427">
        <v>1.5</v>
      </c>
      <c r="BF163" s="427">
        <v>1.5</v>
      </c>
      <c r="BG163" s="427" t="s">
        <v>473</v>
      </c>
      <c r="BH163" s="428">
        <v>4</v>
      </c>
      <c r="BI163" s="428">
        <v>3</v>
      </c>
      <c r="BJ163" s="428">
        <v>5.5</v>
      </c>
      <c r="BK163" s="428">
        <v>3</v>
      </c>
      <c r="BL163" s="428">
        <v>4</v>
      </c>
      <c r="BM163" s="428">
        <v>4</v>
      </c>
      <c r="BN163" s="428">
        <v>4</v>
      </c>
      <c r="BO163" s="428">
        <v>3</v>
      </c>
      <c r="BP163" s="429">
        <f t="shared" si="565"/>
        <v>4.00000000004</v>
      </c>
      <c r="BQ163" s="429">
        <f t="shared" si="566"/>
        <v>3.00000000002</v>
      </c>
      <c r="BR163" s="429">
        <f t="shared" si="567"/>
        <v>5.50000000003</v>
      </c>
      <c r="BS163" s="429">
        <f t="shared" si="568"/>
        <v>3.00000000001</v>
      </c>
      <c r="BT163" s="429">
        <f t="shared" si="569"/>
        <v>4.00000000005</v>
      </c>
      <c r="BU163" s="429">
        <f t="shared" si="570"/>
        <v>4.00000000006</v>
      </c>
      <c r="BV163" s="429">
        <f t="shared" si="571"/>
        <v>4.00000000007</v>
      </c>
      <c r="BW163" s="429">
        <f t="shared" si="572"/>
        <v>3.00000000008</v>
      </c>
      <c r="BX163" s="427">
        <f t="shared" si="641"/>
        <v>4.00000000004</v>
      </c>
      <c r="BY163" s="427">
        <f t="shared" si="642"/>
        <v>3.00000000002</v>
      </c>
      <c r="BZ163" s="427">
        <f t="shared" si="643"/>
        <v>11.00000000006</v>
      </c>
      <c r="CA163" s="427">
        <f t="shared" si="644"/>
        <v>1.500000000005</v>
      </c>
      <c r="CB163" s="427">
        <f t="shared" si="645"/>
        <v>7.0000000000874998</v>
      </c>
      <c r="CC163" s="427">
        <f t="shared" si="646"/>
        <v>6.00000000009</v>
      </c>
      <c r="CD163" s="427">
        <f t="shared" si="647"/>
        <v>6.0000000001050005</v>
      </c>
      <c r="CE163" s="427">
        <f t="shared" si="648"/>
        <v>4.50000000012</v>
      </c>
      <c r="CF163" s="427" t="b">
        <f t="shared" si="633"/>
        <v>0</v>
      </c>
      <c r="CG163" s="427" t="b">
        <f t="shared" si="634"/>
        <v>0</v>
      </c>
      <c r="CH163" s="427" t="b">
        <f t="shared" si="635"/>
        <v>1</v>
      </c>
      <c r="CI163" s="427" t="b">
        <f t="shared" si="636"/>
        <v>0</v>
      </c>
      <c r="CJ163" s="427" t="b">
        <f t="shared" si="637"/>
        <v>1</v>
      </c>
      <c r="CK163" s="427" t="b">
        <f t="shared" si="638"/>
        <v>1</v>
      </c>
      <c r="CL163" s="427" t="b">
        <f t="shared" si="639"/>
        <v>1</v>
      </c>
      <c r="CM163" s="427" t="b">
        <f t="shared" si="640"/>
        <v>1</v>
      </c>
      <c r="CN163" s="427">
        <v>1</v>
      </c>
      <c r="CO163" s="427">
        <v>1</v>
      </c>
      <c r="CP163" s="427">
        <v>2</v>
      </c>
      <c r="CQ163" s="427">
        <v>0.5</v>
      </c>
      <c r="CR163" s="427">
        <v>1.75</v>
      </c>
      <c r="CS163" s="427">
        <v>1.5</v>
      </c>
      <c r="CT163" s="427">
        <v>1.5</v>
      </c>
      <c r="CU163" s="427">
        <v>1.5</v>
      </c>
      <c r="CW163" s="427">
        <v>4</v>
      </c>
      <c r="CX163" s="427">
        <v>3</v>
      </c>
      <c r="CY163" s="427">
        <v>5.5</v>
      </c>
      <c r="CZ163" s="427">
        <v>3</v>
      </c>
      <c r="DA163" s="427">
        <v>3</v>
      </c>
      <c r="DB163" s="427">
        <v>7</v>
      </c>
      <c r="DC163" s="427">
        <v>4</v>
      </c>
      <c r="DD163" s="427" t="s">
        <v>356</v>
      </c>
      <c r="DE163" s="429">
        <f t="shared" si="573"/>
        <v>4.00000000004</v>
      </c>
      <c r="DF163" s="429">
        <f t="shared" si="574"/>
        <v>3.00000000002</v>
      </c>
      <c r="DG163" s="429">
        <f t="shared" si="575"/>
        <v>5.50000000003</v>
      </c>
      <c r="DH163" s="429">
        <f t="shared" si="576"/>
        <v>3.00000000001</v>
      </c>
      <c r="DI163" s="429">
        <f t="shared" si="577"/>
        <v>3.00000000005</v>
      </c>
      <c r="DJ163" s="429">
        <f t="shared" si="578"/>
        <v>7.00000000006</v>
      </c>
      <c r="DK163" s="429">
        <f t="shared" si="579"/>
        <v>4.00000000007</v>
      </c>
      <c r="DL163" s="429">
        <f t="shared" si="580"/>
        <v>0</v>
      </c>
      <c r="DM163" s="427">
        <f t="shared" si="649"/>
        <v>4.00000000004</v>
      </c>
      <c r="DN163" s="427">
        <f t="shared" si="650"/>
        <v>3.00000000002</v>
      </c>
      <c r="DO163" s="427">
        <f t="shared" si="651"/>
        <v>11.00000000006</v>
      </c>
      <c r="DP163" s="427">
        <f t="shared" si="652"/>
        <v>1.500000000005</v>
      </c>
      <c r="DQ163" s="427">
        <f t="shared" si="653"/>
        <v>5.2500000000874998</v>
      </c>
      <c r="DR163" s="427">
        <f t="shared" si="654"/>
        <v>10.500000000090001</v>
      </c>
      <c r="DS163" s="427">
        <f t="shared" si="655"/>
        <v>6.0000000001050005</v>
      </c>
      <c r="DT163" s="427">
        <f t="shared" si="656"/>
        <v>0</v>
      </c>
      <c r="DU163" s="427" t="b">
        <f t="shared" si="614"/>
        <v>1</v>
      </c>
      <c r="DV163" s="427" t="b">
        <f t="shared" si="615"/>
        <v>0</v>
      </c>
      <c r="DW163" s="427" t="b">
        <f t="shared" si="616"/>
        <v>1</v>
      </c>
      <c r="DX163" s="427" t="b">
        <f t="shared" si="617"/>
        <v>0</v>
      </c>
      <c r="DY163" s="427" t="b">
        <f t="shared" si="600"/>
        <v>1</v>
      </c>
      <c r="DZ163" s="427" t="b">
        <f t="shared" si="601"/>
        <v>1</v>
      </c>
      <c r="EA163" s="427" t="b">
        <f t="shared" si="602"/>
        <v>1</v>
      </c>
      <c r="EB163" s="427" t="b">
        <f t="shared" si="603"/>
        <v>0</v>
      </c>
      <c r="EC163" s="427">
        <v>1</v>
      </c>
      <c r="ED163" s="427">
        <v>1</v>
      </c>
      <c r="EE163" s="427">
        <v>2</v>
      </c>
      <c r="EF163" s="427">
        <v>0.5</v>
      </c>
      <c r="EG163" s="427">
        <v>1.75</v>
      </c>
      <c r="EH163" s="427">
        <v>1.5</v>
      </c>
      <c r="EI163" s="427">
        <v>1.5</v>
      </c>
      <c r="EJ163" s="427">
        <v>1.5</v>
      </c>
      <c r="EK163" s="427">
        <v>3</v>
      </c>
      <c r="EL163" s="427">
        <v>4</v>
      </c>
      <c r="EM163" s="427">
        <v>7</v>
      </c>
      <c r="EN163" s="427">
        <v>4</v>
      </c>
      <c r="EO163" s="427">
        <v>5.5</v>
      </c>
      <c r="EP163" s="427">
        <v>5.5</v>
      </c>
      <c r="EQ163" s="427" t="s">
        <v>356</v>
      </c>
      <c r="ER163" s="427" t="s">
        <v>356</v>
      </c>
      <c r="ES163" s="429">
        <f t="shared" si="581"/>
        <v>3.00000000004</v>
      </c>
      <c r="ET163" s="429">
        <f t="shared" si="582"/>
        <v>4.00000000002</v>
      </c>
      <c r="EU163" s="429">
        <f t="shared" si="583"/>
        <v>7.00000000003</v>
      </c>
      <c r="EV163" s="429">
        <f t="shared" si="584"/>
        <v>4.00000000001</v>
      </c>
      <c r="EW163" s="429">
        <f t="shared" si="585"/>
        <v>5.50000000005</v>
      </c>
      <c r="EX163" s="429">
        <f t="shared" si="586"/>
        <v>5.50000000006</v>
      </c>
      <c r="EY163" s="429">
        <f t="shared" si="587"/>
        <v>0</v>
      </c>
      <c r="EZ163" s="429">
        <f t="shared" si="588"/>
        <v>0</v>
      </c>
      <c r="FA163" s="427">
        <f t="shared" si="625"/>
        <v>3.00000000004</v>
      </c>
      <c r="FB163" s="427">
        <f t="shared" si="626"/>
        <v>4.00000000002</v>
      </c>
      <c r="FC163" s="427">
        <f t="shared" si="627"/>
        <v>14.00000000006</v>
      </c>
      <c r="FD163" s="427">
        <f t="shared" si="628"/>
        <v>2.000000000005</v>
      </c>
      <c r="FE163" s="427">
        <f t="shared" si="629"/>
        <v>9.6250000000874998</v>
      </c>
      <c r="FF163" s="427">
        <f t="shared" si="630"/>
        <v>8.2500000000900009</v>
      </c>
      <c r="FG163" s="427">
        <f t="shared" si="631"/>
        <v>0</v>
      </c>
      <c r="FH163" s="427">
        <f t="shared" si="632"/>
        <v>0</v>
      </c>
      <c r="FI163" s="427" t="b">
        <f t="shared" si="604"/>
        <v>1</v>
      </c>
      <c r="FJ163" s="427" t="b">
        <f t="shared" si="605"/>
        <v>1</v>
      </c>
      <c r="FK163" s="427" t="b">
        <f t="shared" si="606"/>
        <v>1</v>
      </c>
      <c r="FL163" s="427" t="b">
        <f t="shared" si="607"/>
        <v>0</v>
      </c>
      <c r="FM163" s="427" t="b">
        <f t="shared" si="608"/>
        <v>1</v>
      </c>
      <c r="FN163" s="427" t="b">
        <f t="shared" si="609"/>
        <v>1</v>
      </c>
      <c r="FO163" s="427" t="b">
        <f t="shared" si="610"/>
        <v>0</v>
      </c>
      <c r="FP163" s="427" t="b">
        <f t="shared" si="611"/>
        <v>0</v>
      </c>
    </row>
    <row r="164" spans="1:172" s="427" customFormat="1" ht="15.6">
      <c r="A164" s="427" t="s">
        <v>1432</v>
      </c>
      <c r="B164" s="427" t="s">
        <v>255</v>
      </c>
      <c r="C164" s="427" t="s">
        <v>1214</v>
      </c>
      <c r="D164" s="427" t="s">
        <v>1433</v>
      </c>
      <c r="E164" s="427" t="s">
        <v>889</v>
      </c>
      <c r="F164" s="427" t="s">
        <v>356</v>
      </c>
      <c r="G164" s="427">
        <v>30.25</v>
      </c>
      <c r="H164" s="427">
        <v>28</v>
      </c>
      <c r="I164" s="427">
        <v>26.75</v>
      </c>
      <c r="J164" s="427">
        <f t="shared" si="562"/>
        <v>30.250000000380002</v>
      </c>
      <c r="K164" s="427">
        <f t="shared" si="563"/>
        <v>28.0000000004</v>
      </c>
      <c r="L164" s="427">
        <f t="shared" si="564"/>
        <v>26.750000000300002</v>
      </c>
      <c r="M164" s="427" t="s">
        <v>1400</v>
      </c>
      <c r="N164" s="427" t="s">
        <v>1421</v>
      </c>
      <c r="O164" s="427" t="s">
        <v>1435</v>
      </c>
      <c r="P164" s="427" t="s">
        <v>1403</v>
      </c>
      <c r="Q164" s="427" t="s">
        <v>356</v>
      </c>
      <c r="R164" s="427" t="s">
        <v>1434</v>
      </c>
      <c r="S164" s="427" t="s">
        <v>1177</v>
      </c>
      <c r="T164" s="427">
        <v>53</v>
      </c>
      <c r="U164" s="427" cm="1">
        <f t="array" ref="U164">IFERROR(INDEX('Offer Statistics'!$BQ$2:$BQ$400,MATCH(1,(A164='Offer Statistics'!$BB$2:$BB$400)*($A$11='Offer Statistics'!$BC$2:$BC$400),0)),"/")</f>
        <v>42</v>
      </c>
      <c r="V164" s="427" cm="1">
        <f t="array" ref="V164">IFERROR(INDEX('Offer Statistics'!$BD$2:$BD$400,MATCH(1,(A164='Offer Statistics'!$BB$2:$BB$400)*($A$11='Offer Statistics'!$BC$2:$BC$400),0)),"/")</f>
        <v>182</v>
      </c>
      <c r="W164" s="427" cm="1">
        <f t="array" ref="W164">IFERROR(INDEX('Offer Statistics'!$BL$2:$BL$400,MATCH(1,(A164='Offer Statistics'!$BB$2:$BB$400)*($A$11='Offer Statistics'!$BC$2:$BC$400),0)),"/")</f>
        <v>42</v>
      </c>
      <c r="X164" s="427">
        <f t="shared" si="502"/>
        <v>4.333333333333333</v>
      </c>
      <c r="Y164" s="427" t="s">
        <v>1177</v>
      </c>
      <c r="Z164" s="364" t="str">
        <f>入學要求!AF173</f>
        <v>/</v>
      </c>
      <c r="AA164" s="364" t="str">
        <f>入學要求!AG173</f>
        <v>/</v>
      </c>
      <c r="AB164" s="412" t="s">
        <v>889</v>
      </c>
      <c r="AC164" s="405" t="s">
        <v>3002</v>
      </c>
      <c r="AE164" s="406" t="s">
        <v>1400</v>
      </c>
      <c r="AF164" s="406" t="s">
        <v>3001</v>
      </c>
      <c r="AG164" s="406" t="s">
        <v>1491</v>
      </c>
      <c r="AH164" s="405" t="s">
        <v>3004</v>
      </c>
      <c r="AI164" s="406" t="s">
        <v>356</v>
      </c>
      <c r="AJ164" s="427" t="s">
        <v>356</v>
      </c>
      <c r="AK164" s="427" t="s">
        <v>356</v>
      </c>
      <c r="AL164" s="427" t="s">
        <v>356</v>
      </c>
      <c r="AM164" s="427" t="s">
        <v>356</v>
      </c>
      <c r="AN164" s="427" t="s">
        <v>356</v>
      </c>
      <c r="AO164" s="427" t="s">
        <v>356</v>
      </c>
      <c r="AP164" s="427" t="s">
        <v>356</v>
      </c>
      <c r="AQ164" s="427" t="s">
        <v>356</v>
      </c>
      <c r="AS164" s="427" t="s">
        <v>820</v>
      </c>
      <c r="AU164" s="427" t="s">
        <v>817</v>
      </c>
      <c r="AY164" s="427">
        <v>1</v>
      </c>
      <c r="AZ164" s="427">
        <v>1</v>
      </c>
      <c r="BA164" s="427">
        <v>1.5</v>
      </c>
      <c r="BB164" s="427">
        <v>0.5</v>
      </c>
      <c r="BC164" s="427">
        <v>1.5</v>
      </c>
      <c r="BD164" s="427">
        <v>1.5</v>
      </c>
      <c r="BE164" s="427">
        <v>1.5</v>
      </c>
      <c r="BF164" s="427">
        <v>1.5</v>
      </c>
      <c r="BG164" s="427" t="s">
        <v>1432</v>
      </c>
      <c r="BH164" s="428">
        <v>4</v>
      </c>
      <c r="BI164" s="428">
        <v>4</v>
      </c>
      <c r="BJ164" s="428">
        <v>3</v>
      </c>
      <c r="BK164" s="428">
        <v>4</v>
      </c>
      <c r="BL164" s="428" t="s">
        <v>356</v>
      </c>
      <c r="BM164" s="428">
        <v>5.5</v>
      </c>
      <c r="BN164" s="428">
        <v>4</v>
      </c>
      <c r="BO164" s="428">
        <v>2</v>
      </c>
      <c r="BP164" s="429">
        <f t="shared" si="565"/>
        <v>4.00000000004</v>
      </c>
      <c r="BQ164" s="429">
        <f t="shared" si="566"/>
        <v>4.00000000002</v>
      </c>
      <c r="BR164" s="429">
        <f t="shared" si="567"/>
        <v>3.00000000003</v>
      </c>
      <c r="BS164" s="429">
        <f t="shared" si="568"/>
        <v>4.00000000001</v>
      </c>
      <c r="BT164" s="429">
        <f t="shared" si="569"/>
        <v>0</v>
      </c>
      <c r="BU164" s="429">
        <f t="shared" si="570"/>
        <v>5.50000000006</v>
      </c>
      <c r="BV164" s="429">
        <f t="shared" si="571"/>
        <v>4.00000000007</v>
      </c>
      <c r="BW164" s="429">
        <f t="shared" si="572"/>
        <v>2.00000000008</v>
      </c>
      <c r="BX164" s="427">
        <f t="shared" si="641"/>
        <v>4.00000000004</v>
      </c>
      <c r="BY164" s="427">
        <f t="shared" si="642"/>
        <v>4.00000000002</v>
      </c>
      <c r="BZ164" s="427">
        <f t="shared" si="643"/>
        <v>4.5000000000450004</v>
      </c>
      <c r="CA164" s="427">
        <f t="shared" si="644"/>
        <v>2.000000000005</v>
      </c>
      <c r="CB164" s="427">
        <f t="shared" si="645"/>
        <v>0</v>
      </c>
      <c r="CC164" s="427">
        <f t="shared" si="646"/>
        <v>8.2500000000900009</v>
      </c>
      <c r="CD164" s="427">
        <f t="shared" si="647"/>
        <v>6.0000000001050005</v>
      </c>
      <c r="CE164" s="427">
        <f t="shared" si="648"/>
        <v>3.00000000012</v>
      </c>
      <c r="CF164" s="427" t="b">
        <f t="shared" si="633"/>
        <v>1</v>
      </c>
      <c r="CG164" s="427" t="b">
        <f t="shared" si="634"/>
        <v>1</v>
      </c>
      <c r="CH164" s="427" t="b">
        <f t="shared" si="635"/>
        <v>1</v>
      </c>
      <c r="CI164" s="427" t="b">
        <f t="shared" si="636"/>
        <v>0</v>
      </c>
      <c r="CJ164" s="427" t="b">
        <f t="shared" si="637"/>
        <v>0</v>
      </c>
      <c r="CK164" s="427" t="b">
        <f t="shared" si="638"/>
        <v>1</v>
      </c>
      <c r="CL164" s="427" t="b">
        <f t="shared" si="639"/>
        <v>1</v>
      </c>
      <c r="CM164" s="427" t="b">
        <f t="shared" si="640"/>
        <v>0</v>
      </c>
      <c r="CN164" s="427">
        <v>1</v>
      </c>
      <c r="CO164" s="427">
        <v>1</v>
      </c>
      <c r="CP164" s="427">
        <v>1.5</v>
      </c>
      <c r="CQ164" s="427">
        <v>0.5</v>
      </c>
      <c r="CR164" s="427">
        <v>1.5</v>
      </c>
      <c r="CS164" s="427">
        <v>1.5</v>
      </c>
      <c r="CT164" s="427">
        <v>1.5</v>
      </c>
      <c r="CU164" s="427">
        <v>1.5</v>
      </c>
      <c r="CW164" s="427">
        <v>4</v>
      </c>
      <c r="CX164" s="427">
        <v>3</v>
      </c>
      <c r="CY164" s="427">
        <v>4</v>
      </c>
      <c r="CZ164" s="427">
        <v>4</v>
      </c>
      <c r="DA164" s="427" t="s">
        <v>356</v>
      </c>
      <c r="DB164" s="427">
        <v>4</v>
      </c>
      <c r="DC164" s="427">
        <v>4</v>
      </c>
      <c r="DD164" s="427">
        <v>4</v>
      </c>
      <c r="DE164" s="429">
        <f t="shared" si="573"/>
        <v>4.00000000004</v>
      </c>
      <c r="DF164" s="429">
        <f t="shared" si="574"/>
        <v>3.00000000002</v>
      </c>
      <c r="DG164" s="429">
        <f t="shared" si="575"/>
        <v>4.00000000003</v>
      </c>
      <c r="DH164" s="429">
        <f t="shared" si="576"/>
        <v>4.00000000001</v>
      </c>
      <c r="DI164" s="429">
        <f t="shared" si="577"/>
        <v>0</v>
      </c>
      <c r="DJ164" s="429">
        <f t="shared" si="578"/>
        <v>4.00000000006</v>
      </c>
      <c r="DK164" s="429">
        <f t="shared" si="579"/>
        <v>4.00000000007</v>
      </c>
      <c r="DL164" s="429">
        <f t="shared" si="580"/>
        <v>4.00000000008</v>
      </c>
      <c r="DM164" s="427">
        <f t="shared" si="649"/>
        <v>4.00000000004</v>
      </c>
      <c r="DN164" s="427">
        <f t="shared" si="650"/>
        <v>3.00000000002</v>
      </c>
      <c r="DO164" s="427">
        <f t="shared" si="651"/>
        <v>6.0000000000450004</v>
      </c>
      <c r="DP164" s="427">
        <f t="shared" si="652"/>
        <v>2.000000000005</v>
      </c>
      <c r="DQ164" s="427">
        <f t="shared" si="653"/>
        <v>0</v>
      </c>
      <c r="DR164" s="427">
        <f t="shared" si="654"/>
        <v>6.00000000009</v>
      </c>
      <c r="DS164" s="427">
        <f t="shared" si="655"/>
        <v>6.0000000001050005</v>
      </c>
      <c r="DT164" s="427">
        <f t="shared" si="656"/>
        <v>6.00000000012</v>
      </c>
      <c r="DU164" s="427" t="b">
        <f t="shared" si="614"/>
        <v>1</v>
      </c>
      <c r="DV164" s="427" t="b">
        <f t="shared" si="615"/>
        <v>0</v>
      </c>
      <c r="DW164" s="427" t="b">
        <f t="shared" si="616"/>
        <v>1</v>
      </c>
      <c r="DX164" s="427" t="b">
        <f t="shared" si="617"/>
        <v>0</v>
      </c>
      <c r="DY164" s="427" t="b">
        <f t="shared" si="600"/>
        <v>0</v>
      </c>
      <c r="DZ164" s="427" t="b">
        <f t="shared" si="601"/>
        <v>1</v>
      </c>
      <c r="EA164" s="427" t="b">
        <f t="shared" si="602"/>
        <v>1</v>
      </c>
      <c r="EB164" s="427" t="b">
        <f t="shared" si="603"/>
        <v>1</v>
      </c>
      <c r="EC164" s="427">
        <v>1</v>
      </c>
      <c r="ED164" s="427">
        <v>1</v>
      </c>
      <c r="EE164" s="427">
        <v>1.5</v>
      </c>
      <c r="EF164" s="427">
        <v>0.5</v>
      </c>
      <c r="EG164" s="427">
        <v>1.5</v>
      </c>
      <c r="EH164" s="427">
        <v>1.5</v>
      </c>
      <c r="EI164" s="427">
        <v>1.5</v>
      </c>
      <c r="EJ164" s="427">
        <v>1.5</v>
      </c>
      <c r="EK164" s="427">
        <v>3</v>
      </c>
      <c r="EL164" s="427">
        <v>4</v>
      </c>
      <c r="EM164" s="427">
        <v>4</v>
      </c>
      <c r="EN164" s="427">
        <v>4</v>
      </c>
      <c r="EO164" s="427">
        <v>2</v>
      </c>
      <c r="EP164" s="427">
        <v>5.5</v>
      </c>
      <c r="EQ164" s="427">
        <v>4</v>
      </c>
      <c r="ER164" s="427">
        <v>4</v>
      </c>
      <c r="ES164" s="429">
        <f t="shared" si="581"/>
        <v>3.00000000004</v>
      </c>
      <c r="ET164" s="429">
        <f t="shared" si="582"/>
        <v>4.00000000002</v>
      </c>
      <c r="EU164" s="429">
        <f t="shared" si="583"/>
        <v>4.00000000003</v>
      </c>
      <c r="EV164" s="429">
        <f t="shared" si="584"/>
        <v>4.00000000001</v>
      </c>
      <c r="EW164" s="429">
        <f t="shared" si="585"/>
        <v>2.00000000005</v>
      </c>
      <c r="EX164" s="429">
        <f t="shared" si="586"/>
        <v>5.50000000006</v>
      </c>
      <c r="EY164" s="429">
        <f t="shared" si="587"/>
        <v>4.00000000007</v>
      </c>
      <c r="EZ164" s="429">
        <f t="shared" si="588"/>
        <v>4.00000000008</v>
      </c>
      <c r="FA164" s="427">
        <f t="shared" si="625"/>
        <v>3.00000000004</v>
      </c>
      <c r="FB164" s="427">
        <f t="shared" si="626"/>
        <v>4.00000000002</v>
      </c>
      <c r="FC164" s="427">
        <f t="shared" si="627"/>
        <v>6.0000000000450004</v>
      </c>
      <c r="FD164" s="427">
        <f t="shared" si="628"/>
        <v>2.000000000005</v>
      </c>
      <c r="FE164" s="427">
        <f t="shared" si="629"/>
        <v>3.000000000075</v>
      </c>
      <c r="FF164" s="427">
        <f t="shared" si="630"/>
        <v>8.2500000000900009</v>
      </c>
      <c r="FG164" s="427">
        <f t="shared" si="631"/>
        <v>6.0000000001050005</v>
      </c>
      <c r="FH164" s="427">
        <f t="shared" si="632"/>
        <v>6.00000000012</v>
      </c>
      <c r="FI164" s="427" t="b">
        <f t="shared" si="604"/>
        <v>0</v>
      </c>
      <c r="FJ164" s="427" t="b">
        <f t="shared" si="605"/>
        <v>1</v>
      </c>
      <c r="FK164" s="427" t="b">
        <f t="shared" si="606"/>
        <v>1</v>
      </c>
      <c r="FL164" s="427" t="b">
        <f t="shared" si="607"/>
        <v>0</v>
      </c>
      <c r="FM164" s="427" t="b">
        <f t="shared" si="608"/>
        <v>0</v>
      </c>
      <c r="FN164" s="427" t="b">
        <f t="shared" si="609"/>
        <v>1</v>
      </c>
      <c r="FO164" s="427" t="b">
        <f t="shared" si="610"/>
        <v>1</v>
      </c>
      <c r="FP164" s="427" t="b">
        <f t="shared" si="611"/>
        <v>1</v>
      </c>
    </row>
    <row r="165" spans="1:172" s="427" customFormat="1" ht="15.6">
      <c r="A165" s="427" t="s">
        <v>474</v>
      </c>
      <c r="B165" s="427" t="s">
        <v>255</v>
      </c>
      <c r="C165" s="427" t="s">
        <v>1214</v>
      </c>
      <c r="D165" s="427" t="s">
        <v>1436</v>
      </c>
      <c r="E165" s="427" t="s">
        <v>889</v>
      </c>
      <c r="F165" s="427" t="s">
        <v>356</v>
      </c>
      <c r="G165" s="427">
        <v>41.5</v>
      </c>
      <c r="H165" s="427">
        <v>40</v>
      </c>
      <c r="I165" s="427">
        <v>38.5</v>
      </c>
      <c r="J165" s="427">
        <f t="shared" si="562"/>
        <v>41.500000000359989</v>
      </c>
      <c r="K165" s="427">
        <f t="shared" si="563"/>
        <v>40.000000000370001</v>
      </c>
      <c r="L165" s="427">
        <f t="shared" si="564"/>
        <v>38.500000000350006</v>
      </c>
      <c r="M165" s="427" t="s">
        <v>356</v>
      </c>
      <c r="N165" s="427" t="s">
        <v>356</v>
      </c>
      <c r="O165" s="427" t="s">
        <v>1438</v>
      </c>
      <c r="P165" s="427" t="s">
        <v>1439</v>
      </c>
      <c r="Q165" s="427" t="s">
        <v>356</v>
      </c>
      <c r="R165" s="427" t="s">
        <v>1437</v>
      </c>
      <c r="S165" s="427" t="s">
        <v>1177</v>
      </c>
      <c r="T165" s="427">
        <v>44</v>
      </c>
      <c r="U165" s="427" cm="1">
        <f t="array" ref="U165">IFERROR(INDEX('Offer Statistics'!$BQ$2:$BQ$400,MATCH(1,(A165='Offer Statistics'!$BB$2:$BB$400)*($A$11='Offer Statistics'!$BC$2:$BC$400),0)),"/")</f>
        <v>21</v>
      </c>
      <c r="V165" s="427" cm="1">
        <f t="array" ref="V165">IFERROR(INDEX('Offer Statistics'!$BD$2:$BD$400,MATCH(1,(A165='Offer Statistics'!$BB$2:$BB$400)*($A$11='Offer Statistics'!$BC$2:$BC$400),0)),"/")</f>
        <v>162</v>
      </c>
      <c r="W165" s="427" cm="1">
        <f t="array" ref="W165">IFERROR(INDEX('Offer Statistics'!$BL$2:$BL$400,MATCH(1,(A165='Offer Statistics'!$BB$2:$BB$400)*($A$11='Offer Statistics'!$BC$2:$BC$400),0)),"/")</f>
        <v>21</v>
      </c>
      <c r="X165" s="427">
        <f t="shared" si="502"/>
        <v>7.7142857142857144</v>
      </c>
      <c r="Y165" s="427" t="s">
        <v>1177</v>
      </c>
      <c r="Z165" s="364" t="str">
        <f>入學要求!AF174</f>
        <v>以下一科選修取得Lv.3︰M1/2、生物、化學、組合科學、物理</v>
      </c>
      <c r="AA165" s="364" t="str">
        <f>入學要求!AG174</f>
        <v>/</v>
      </c>
      <c r="AB165" s="405" t="s">
        <v>889</v>
      </c>
      <c r="AC165" s="405" t="s">
        <v>3002</v>
      </c>
      <c r="AE165" s="406" t="s">
        <v>356</v>
      </c>
      <c r="AF165" s="406" t="s">
        <v>356</v>
      </c>
      <c r="AG165" s="405" t="s">
        <v>3007</v>
      </c>
      <c r="AH165" s="406" t="s">
        <v>1439</v>
      </c>
      <c r="AI165" s="406" t="s">
        <v>356</v>
      </c>
      <c r="AJ165" s="427" t="s">
        <v>356</v>
      </c>
      <c r="AK165" s="427" t="s">
        <v>356</v>
      </c>
      <c r="AL165" s="427" t="s">
        <v>356</v>
      </c>
      <c r="AM165" s="427" t="s">
        <v>356</v>
      </c>
      <c r="AN165" s="427" t="s">
        <v>356</v>
      </c>
      <c r="AO165" s="427" t="s">
        <v>356</v>
      </c>
      <c r="AP165" s="427" t="s">
        <v>356</v>
      </c>
      <c r="AQ165" s="427" t="s">
        <v>356</v>
      </c>
      <c r="AS165" s="427" t="s">
        <v>820</v>
      </c>
      <c r="AU165" s="427" t="s">
        <v>817</v>
      </c>
      <c r="AY165" s="427">
        <v>1</v>
      </c>
      <c r="AZ165" s="427">
        <v>1.5</v>
      </c>
      <c r="BA165" s="427">
        <v>1.5</v>
      </c>
      <c r="BB165" s="427">
        <v>1</v>
      </c>
      <c r="BC165" s="427">
        <v>1</v>
      </c>
      <c r="BD165" s="427">
        <v>1.5</v>
      </c>
      <c r="BE165" s="427">
        <v>1.5</v>
      </c>
      <c r="BF165" s="427">
        <v>1</v>
      </c>
      <c r="BG165" s="406" t="s">
        <v>474</v>
      </c>
      <c r="BH165" s="428">
        <v>4</v>
      </c>
      <c r="BI165" s="428">
        <v>4</v>
      </c>
      <c r="BJ165" s="428">
        <v>4</v>
      </c>
      <c r="BK165" s="428">
        <v>4</v>
      </c>
      <c r="BL165" s="428" t="s">
        <v>356</v>
      </c>
      <c r="BM165" s="428">
        <v>7</v>
      </c>
      <c r="BN165" s="428">
        <v>7</v>
      </c>
      <c r="BO165" s="428">
        <v>5.5</v>
      </c>
      <c r="BP165" s="429">
        <f t="shared" si="565"/>
        <v>4.00000000004</v>
      </c>
      <c r="BQ165" s="429">
        <f t="shared" si="566"/>
        <v>4.00000000002</v>
      </c>
      <c r="BR165" s="429">
        <f t="shared" si="567"/>
        <v>4.00000000003</v>
      </c>
      <c r="BS165" s="429">
        <f t="shared" si="568"/>
        <v>4.00000000001</v>
      </c>
      <c r="BT165" s="429">
        <f t="shared" si="569"/>
        <v>0</v>
      </c>
      <c r="BU165" s="429">
        <f t="shared" si="570"/>
        <v>7.00000000006</v>
      </c>
      <c r="BV165" s="429">
        <f t="shared" si="571"/>
        <v>7.00000000007</v>
      </c>
      <c r="BW165" s="429">
        <f t="shared" si="572"/>
        <v>5.50000000008</v>
      </c>
      <c r="BX165" s="427">
        <f t="shared" si="641"/>
        <v>4.00000000004</v>
      </c>
      <c r="BY165" s="427">
        <f t="shared" si="642"/>
        <v>6.00000000003</v>
      </c>
      <c r="BZ165" s="427">
        <f t="shared" si="643"/>
        <v>6.0000000000450004</v>
      </c>
      <c r="CA165" s="427">
        <f t="shared" si="644"/>
        <v>4.00000000001</v>
      </c>
      <c r="CB165" s="427">
        <f t="shared" si="645"/>
        <v>0</v>
      </c>
      <c r="CC165" s="427">
        <f t="shared" si="646"/>
        <v>10.500000000090001</v>
      </c>
      <c r="CD165" s="427">
        <f t="shared" si="647"/>
        <v>10.500000000105</v>
      </c>
      <c r="CE165" s="427">
        <f t="shared" si="648"/>
        <v>5.50000000008</v>
      </c>
      <c r="CF165" s="427" t="b">
        <f t="shared" si="633"/>
        <v>0</v>
      </c>
      <c r="CG165" s="427" t="b">
        <f t="shared" si="634"/>
        <v>1</v>
      </c>
      <c r="CH165" s="427" t="b">
        <f t="shared" si="635"/>
        <v>1</v>
      </c>
      <c r="CI165" s="427" t="b">
        <f t="shared" si="636"/>
        <v>0</v>
      </c>
      <c r="CJ165" s="427" t="b">
        <f t="shared" si="637"/>
        <v>0</v>
      </c>
      <c r="CK165" s="427" t="b">
        <f t="shared" si="638"/>
        <v>1</v>
      </c>
      <c r="CL165" s="427" t="b">
        <f t="shared" si="639"/>
        <v>1</v>
      </c>
      <c r="CM165" s="427" t="b">
        <f t="shared" si="640"/>
        <v>1</v>
      </c>
      <c r="CN165" s="427">
        <v>1</v>
      </c>
      <c r="CO165" s="427">
        <v>1.5</v>
      </c>
      <c r="CP165" s="427">
        <v>1.5</v>
      </c>
      <c r="CQ165" s="427">
        <v>1</v>
      </c>
      <c r="CR165" s="427">
        <v>1</v>
      </c>
      <c r="CS165" s="427">
        <v>1.5</v>
      </c>
      <c r="CT165" s="427">
        <v>1.5</v>
      </c>
      <c r="CU165" s="406">
        <v>1.5</v>
      </c>
      <c r="CW165" s="427">
        <v>3</v>
      </c>
      <c r="CX165" s="427">
        <v>4</v>
      </c>
      <c r="CY165" s="427">
        <v>5.5</v>
      </c>
      <c r="CZ165" s="427">
        <v>7</v>
      </c>
      <c r="DA165" s="427">
        <v>5.5</v>
      </c>
      <c r="DB165" s="427">
        <v>5.5</v>
      </c>
      <c r="DC165" s="427">
        <v>5.5</v>
      </c>
      <c r="DD165" s="427">
        <v>5.5</v>
      </c>
      <c r="DE165" s="429">
        <f t="shared" si="573"/>
        <v>3.00000000004</v>
      </c>
      <c r="DF165" s="429">
        <f t="shared" si="574"/>
        <v>4.00000000002</v>
      </c>
      <c r="DG165" s="429">
        <f t="shared" si="575"/>
        <v>5.50000000003</v>
      </c>
      <c r="DH165" s="429">
        <f t="shared" si="576"/>
        <v>7.00000000001</v>
      </c>
      <c r="DI165" s="429">
        <f t="shared" si="577"/>
        <v>5.50000000005</v>
      </c>
      <c r="DJ165" s="429">
        <f t="shared" si="578"/>
        <v>5.50000000006</v>
      </c>
      <c r="DK165" s="429">
        <f t="shared" si="579"/>
        <v>5.50000000007</v>
      </c>
      <c r="DL165" s="429">
        <f t="shared" si="580"/>
        <v>5.50000000008</v>
      </c>
      <c r="DM165" s="427">
        <f t="shared" si="649"/>
        <v>3.00000000004</v>
      </c>
      <c r="DN165" s="427">
        <f t="shared" si="650"/>
        <v>6.00000000003</v>
      </c>
      <c r="DO165" s="427">
        <f t="shared" si="651"/>
        <v>8.2500000000450004</v>
      </c>
      <c r="DP165" s="427">
        <f t="shared" si="652"/>
        <v>7.00000000001</v>
      </c>
      <c r="DQ165" s="427">
        <f t="shared" si="653"/>
        <v>5.50000000005</v>
      </c>
      <c r="DR165" s="427">
        <f t="shared" si="654"/>
        <v>8.2500000000900009</v>
      </c>
      <c r="DS165" s="427">
        <f t="shared" si="655"/>
        <v>8.2500000001050005</v>
      </c>
      <c r="DT165" s="427">
        <f t="shared" si="656"/>
        <v>8.25000000012</v>
      </c>
      <c r="DU165" s="427" t="b">
        <f t="shared" si="614"/>
        <v>0</v>
      </c>
      <c r="DV165" s="427" t="b">
        <f t="shared" si="615"/>
        <v>0</v>
      </c>
      <c r="DW165" s="427" t="b">
        <f t="shared" si="616"/>
        <v>1</v>
      </c>
      <c r="DX165" s="427" t="b">
        <f t="shared" si="617"/>
        <v>1</v>
      </c>
      <c r="DY165" s="427" t="b">
        <f t="shared" si="600"/>
        <v>0</v>
      </c>
      <c r="DZ165" s="427" t="b">
        <f t="shared" si="601"/>
        <v>1</v>
      </c>
      <c r="EA165" s="427" t="b">
        <f t="shared" si="602"/>
        <v>1</v>
      </c>
      <c r="EB165" s="427" t="b">
        <f t="shared" si="603"/>
        <v>1</v>
      </c>
      <c r="EC165" s="427">
        <v>1</v>
      </c>
      <c r="ED165" s="427">
        <v>1.5</v>
      </c>
      <c r="EE165" s="427">
        <v>1.5</v>
      </c>
      <c r="EF165" s="427">
        <v>1</v>
      </c>
      <c r="EG165" s="427">
        <v>1</v>
      </c>
      <c r="EH165" s="427">
        <v>1</v>
      </c>
      <c r="EI165" s="427">
        <v>1.5</v>
      </c>
      <c r="EJ165" s="427">
        <v>1.5</v>
      </c>
      <c r="EK165" s="427">
        <v>4</v>
      </c>
      <c r="EL165" s="427">
        <v>5.5</v>
      </c>
      <c r="EM165" s="427">
        <v>5.5</v>
      </c>
      <c r="EN165" s="427">
        <v>3</v>
      </c>
      <c r="EO165" s="427">
        <v>3</v>
      </c>
      <c r="EP165" s="427">
        <v>8.5</v>
      </c>
      <c r="EQ165" s="427">
        <v>5.5</v>
      </c>
      <c r="ER165" s="427">
        <v>5.5</v>
      </c>
      <c r="ES165" s="429">
        <f t="shared" si="581"/>
        <v>4.00000000004</v>
      </c>
      <c r="ET165" s="429">
        <f t="shared" si="582"/>
        <v>5.50000000002</v>
      </c>
      <c r="EU165" s="429">
        <f t="shared" si="583"/>
        <v>5.50000000003</v>
      </c>
      <c r="EV165" s="429">
        <f t="shared" si="584"/>
        <v>3.00000000001</v>
      </c>
      <c r="EW165" s="429">
        <f t="shared" si="585"/>
        <v>3.00000000005</v>
      </c>
      <c r="EX165" s="429">
        <f t="shared" si="586"/>
        <v>8.50000000006</v>
      </c>
      <c r="EY165" s="429">
        <f t="shared" si="587"/>
        <v>5.50000000007</v>
      </c>
      <c r="EZ165" s="429">
        <f t="shared" si="588"/>
        <v>5.50000000008</v>
      </c>
      <c r="FA165" s="427">
        <f t="shared" si="625"/>
        <v>4.00000000004</v>
      </c>
      <c r="FB165" s="427">
        <f t="shared" si="626"/>
        <v>8.2500000000299991</v>
      </c>
      <c r="FC165" s="427">
        <f t="shared" si="627"/>
        <v>8.2500000000450004</v>
      </c>
      <c r="FD165" s="427">
        <f t="shared" si="628"/>
        <v>3.00000000001</v>
      </c>
      <c r="FE165" s="427">
        <f t="shared" si="629"/>
        <v>3.00000000005</v>
      </c>
      <c r="FF165" s="427">
        <f t="shared" si="630"/>
        <v>8.50000000006</v>
      </c>
      <c r="FG165" s="427">
        <f t="shared" si="631"/>
        <v>8.2500000001050005</v>
      </c>
      <c r="FH165" s="427">
        <f t="shared" si="632"/>
        <v>8.25000000012</v>
      </c>
      <c r="FI165" s="427" t="b">
        <f t="shared" si="604"/>
        <v>0</v>
      </c>
      <c r="FJ165" s="427" t="b">
        <f t="shared" si="605"/>
        <v>1</v>
      </c>
      <c r="FK165" s="427" t="b">
        <f t="shared" si="606"/>
        <v>1</v>
      </c>
      <c r="FL165" s="427" t="b">
        <f t="shared" si="607"/>
        <v>0</v>
      </c>
      <c r="FM165" s="427" t="b">
        <f t="shared" si="608"/>
        <v>0</v>
      </c>
      <c r="FN165" s="427" t="b">
        <f t="shared" si="609"/>
        <v>1</v>
      </c>
      <c r="FO165" s="427" t="b">
        <f t="shared" si="610"/>
        <v>1</v>
      </c>
      <c r="FP165" s="427" t="b">
        <f t="shared" si="611"/>
        <v>1</v>
      </c>
    </row>
    <row r="166" spans="1:172" s="427" customFormat="1" ht="15.6">
      <c r="A166" s="427" t="s">
        <v>1440</v>
      </c>
      <c r="B166" s="427" t="s">
        <v>255</v>
      </c>
      <c r="C166" s="427" t="s">
        <v>1214</v>
      </c>
      <c r="D166" s="427" t="s">
        <v>1441</v>
      </c>
      <c r="E166" s="427" t="s">
        <v>889</v>
      </c>
      <c r="F166" s="427" t="s">
        <v>356</v>
      </c>
      <c r="G166" s="427">
        <v>29.05</v>
      </c>
      <c r="H166" s="427">
        <v>28</v>
      </c>
      <c r="I166" s="427">
        <v>27.3</v>
      </c>
      <c r="J166" s="427">
        <f t="shared" si="562"/>
        <v>29.050000000337</v>
      </c>
      <c r="K166" s="427">
        <f t="shared" si="563"/>
        <v>28.000000000324999</v>
      </c>
      <c r="L166" s="427">
        <f t="shared" si="564"/>
        <v>27.300000000252002</v>
      </c>
      <c r="M166" s="427" t="s">
        <v>356</v>
      </c>
      <c r="N166" s="427" t="s">
        <v>356</v>
      </c>
      <c r="O166" s="427" t="s">
        <v>1443</v>
      </c>
      <c r="P166" s="427" t="s">
        <v>1444</v>
      </c>
      <c r="Q166" s="427" t="s">
        <v>1403</v>
      </c>
      <c r="R166" s="427" t="s">
        <v>1442</v>
      </c>
      <c r="S166" s="427" t="s">
        <v>1177</v>
      </c>
      <c r="T166" s="427">
        <v>28</v>
      </c>
      <c r="U166" s="427" cm="1">
        <f t="array" ref="U166">IFERROR(INDEX('Offer Statistics'!$BQ$2:$BQ$400,MATCH(1,(A166='Offer Statistics'!$BB$2:$BB$400)*($A$11='Offer Statistics'!$BC$2:$BC$400),0)),"/")</f>
        <v>33</v>
      </c>
      <c r="V166" s="427" cm="1">
        <f t="array" ref="V166">IFERROR(INDEX('Offer Statistics'!$BD$2:$BD$400,MATCH(1,(A166='Offer Statistics'!$BB$2:$BB$400)*($A$11='Offer Statistics'!$BC$2:$BC$400),0)),"/")</f>
        <v>337</v>
      </c>
      <c r="W166" s="427" cm="1">
        <f t="array" ref="W166">IFERROR(INDEX('Offer Statistics'!$BL$2:$BL$400,MATCH(1,(A166='Offer Statistics'!$BB$2:$BB$400)*($A$11='Offer Statistics'!$BC$2:$BC$400),0)),"/")</f>
        <v>33</v>
      </c>
      <c r="X166" s="427">
        <f t="shared" si="502"/>
        <v>10.212121212121213</v>
      </c>
      <c r="Y166" s="427" t="s">
        <v>1177</v>
      </c>
      <c r="Z166" s="364" t="str">
        <f>入學要求!AF175</f>
        <v>以下一科選修取得Lv.3︰M1/2、生物、化學、組合科學、DAT、ICT、物理</v>
      </c>
      <c r="AA166" s="364" t="str">
        <f>入學要求!AG175</f>
        <v>/</v>
      </c>
      <c r="AB166" s="412" t="s">
        <v>889</v>
      </c>
      <c r="AC166" s="405" t="s">
        <v>3002</v>
      </c>
      <c r="AE166" s="406" t="s">
        <v>356</v>
      </c>
      <c r="AF166" s="406" t="s">
        <v>356</v>
      </c>
      <c r="AG166" s="406" t="s">
        <v>3008</v>
      </c>
      <c r="AH166" s="406" t="s">
        <v>1444</v>
      </c>
      <c r="AI166" s="406" t="s">
        <v>1403</v>
      </c>
      <c r="AJ166" s="427" t="s">
        <v>356</v>
      </c>
      <c r="AK166" s="427" t="s">
        <v>356</v>
      </c>
      <c r="AL166" s="427" t="s">
        <v>356</v>
      </c>
      <c r="AM166" s="427" t="s">
        <v>356</v>
      </c>
      <c r="AN166" s="427" t="s">
        <v>356</v>
      </c>
      <c r="AO166" s="427" t="s">
        <v>356</v>
      </c>
      <c r="AP166" s="427" t="s">
        <v>356</v>
      </c>
      <c r="AQ166" s="427" t="s">
        <v>356</v>
      </c>
      <c r="AS166" s="427" t="s">
        <v>820</v>
      </c>
      <c r="AU166" s="427" t="s">
        <v>817</v>
      </c>
      <c r="AY166" s="427">
        <v>1</v>
      </c>
      <c r="AZ166" s="427">
        <v>1</v>
      </c>
      <c r="BA166" s="427">
        <v>1.5</v>
      </c>
      <c r="BB166" s="427">
        <v>0.5</v>
      </c>
      <c r="BC166" s="427">
        <v>1.5</v>
      </c>
      <c r="BD166" s="427">
        <v>1.2</v>
      </c>
      <c r="BE166" s="427">
        <v>1</v>
      </c>
      <c r="BF166" s="427">
        <v>1</v>
      </c>
      <c r="BG166" s="427" t="s">
        <v>1440</v>
      </c>
      <c r="BH166" s="428">
        <v>3</v>
      </c>
      <c r="BI166" s="428">
        <v>3</v>
      </c>
      <c r="BJ166" s="428">
        <v>7</v>
      </c>
      <c r="BK166" s="428">
        <v>4</v>
      </c>
      <c r="BL166" s="428">
        <v>4</v>
      </c>
      <c r="BM166" s="428">
        <v>4</v>
      </c>
      <c r="BN166" s="428" t="s">
        <v>356</v>
      </c>
      <c r="BO166" s="428" t="s">
        <v>356</v>
      </c>
      <c r="BP166" s="429">
        <f t="shared" si="565"/>
        <v>3.00000000004</v>
      </c>
      <c r="BQ166" s="429">
        <f t="shared" si="566"/>
        <v>3.00000000002</v>
      </c>
      <c r="BR166" s="429">
        <f t="shared" si="567"/>
        <v>7.00000000003</v>
      </c>
      <c r="BS166" s="429">
        <f t="shared" si="568"/>
        <v>4.00000000001</v>
      </c>
      <c r="BT166" s="429">
        <f t="shared" si="569"/>
        <v>4.00000000005</v>
      </c>
      <c r="BU166" s="429">
        <f t="shared" si="570"/>
        <v>4.00000000006</v>
      </c>
      <c r="BV166" s="429">
        <f t="shared" si="571"/>
        <v>0</v>
      </c>
      <c r="BW166" s="429">
        <f t="shared" si="572"/>
        <v>0</v>
      </c>
      <c r="BX166" s="427">
        <f t="shared" si="641"/>
        <v>3.00000000004</v>
      </c>
      <c r="BY166" s="427">
        <f t="shared" si="642"/>
        <v>3.00000000002</v>
      </c>
      <c r="BZ166" s="427">
        <f t="shared" si="643"/>
        <v>10.500000000045</v>
      </c>
      <c r="CA166" s="427">
        <f t="shared" si="644"/>
        <v>2.000000000005</v>
      </c>
      <c r="CB166" s="427">
        <f t="shared" si="645"/>
        <v>6.0000000000749996</v>
      </c>
      <c r="CC166" s="427">
        <f t="shared" si="646"/>
        <v>4.800000000072</v>
      </c>
      <c r="CD166" s="427">
        <f t="shared" si="647"/>
        <v>0</v>
      </c>
      <c r="CE166" s="427">
        <f t="shared" si="648"/>
        <v>0</v>
      </c>
      <c r="CF166" s="427" t="b">
        <f t="shared" si="633"/>
        <v>1</v>
      </c>
      <c r="CG166" s="427" t="b">
        <f t="shared" si="634"/>
        <v>1</v>
      </c>
      <c r="CH166" s="427" t="b">
        <f t="shared" si="635"/>
        <v>1</v>
      </c>
      <c r="CI166" s="427" t="b">
        <f t="shared" si="636"/>
        <v>0</v>
      </c>
      <c r="CJ166" s="427" t="b">
        <f t="shared" si="637"/>
        <v>1</v>
      </c>
      <c r="CK166" s="427" t="b">
        <f t="shared" si="638"/>
        <v>1</v>
      </c>
      <c r="CL166" s="427" t="b">
        <f t="shared" si="639"/>
        <v>0</v>
      </c>
      <c r="CM166" s="427" t="b">
        <f t="shared" si="640"/>
        <v>0</v>
      </c>
      <c r="CN166" s="427">
        <v>1</v>
      </c>
      <c r="CO166" s="427">
        <v>1</v>
      </c>
      <c r="CP166" s="427">
        <v>1.5</v>
      </c>
      <c r="CQ166" s="427">
        <v>0.5</v>
      </c>
      <c r="CR166" s="427">
        <v>1.5</v>
      </c>
      <c r="CS166" s="427">
        <v>1</v>
      </c>
      <c r="CT166" s="427">
        <v>1.5</v>
      </c>
      <c r="CU166" s="427">
        <v>1</v>
      </c>
      <c r="CW166" s="427">
        <v>3</v>
      </c>
      <c r="CX166" s="427">
        <v>3</v>
      </c>
      <c r="CY166" s="427">
        <v>5.5</v>
      </c>
      <c r="CZ166" s="427">
        <v>4</v>
      </c>
      <c r="DA166" s="427">
        <v>5.5</v>
      </c>
      <c r="DB166" s="427">
        <v>4</v>
      </c>
      <c r="DC166" s="427">
        <v>3</v>
      </c>
      <c r="DD166" s="427" t="s">
        <v>356</v>
      </c>
      <c r="DE166" s="429">
        <f t="shared" si="573"/>
        <v>3.00000000004</v>
      </c>
      <c r="DF166" s="429">
        <f t="shared" si="574"/>
        <v>3.00000000002</v>
      </c>
      <c r="DG166" s="429">
        <f t="shared" si="575"/>
        <v>5.50000000003</v>
      </c>
      <c r="DH166" s="429">
        <f t="shared" si="576"/>
        <v>4.00000000001</v>
      </c>
      <c r="DI166" s="429">
        <f t="shared" si="577"/>
        <v>5.50000000005</v>
      </c>
      <c r="DJ166" s="429">
        <f t="shared" si="578"/>
        <v>4.00000000006</v>
      </c>
      <c r="DK166" s="429">
        <f t="shared" si="579"/>
        <v>3.00000000007</v>
      </c>
      <c r="DL166" s="429">
        <f t="shared" si="580"/>
        <v>0</v>
      </c>
      <c r="DM166" s="427">
        <f t="shared" si="649"/>
        <v>3.00000000004</v>
      </c>
      <c r="DN166" s="427">
        <f t="shared" si="650"/>
        <v>3.00000000002</v>
      </c>
      <c r="DO166" s="427">
        <f t="shared" si="651"/>
        <v>8.2500000000450004</v>
      </c>
      <c r="DP166" s="427">
        <f t="shared" si="652"/>
        <v>2.000000000005</v>
      </c>
      <c r="DQ166" s="427">
        <f t="shared" si="653"/>
        <v>8.2500000000749996</v>
      </c>
      <c r="DR166" s="427">
        <f t="shared" si="654"/>
        <v>4.00000000006</v>
      </c>
      <c r="DS166" s="427">
        <f t="shared" si="655"/>
        <v>4.5000000001050005</v>
      </c>
      <c r="DT166" s="427">
        <f t="shared" si="656"/>
        <v>0</v>
      </c>
      <c r="DU166" s="427" t="b">
        <f t="shared" si="614"/>
        <v>1</v>
      </c>
      <c r="DV166" s="427" t="b">
        <f t="shared" si="615"/>
        <v>0</v>
      </c>
      <c r="DW166" s="427" t="b">
        <f t="shared" si="616"/>
        <v>1</v>
      </c>
      <c r="DX166" s="427" t="b">
        <f t="shared" si="617"/>
        <v>0</v>
      </c>
      <c r="DY166" s="427" t="b">
        <f t="shared" si="600"/>
        <v>1</v>
      </c>
      <c r="DZ166" s="427" t="b">
        <f t="shared" si="601"/>
        <v>1</v>
      </c>
      <c r="EA166" s="427" t="b">
        <f t="shared" si="602"/>
        <v>1</v>
      </c>
      <c r="EB166" s="427" t="b">
        <f t="shared" si="603"/>
        <v>0</v>
      </c>
      <c r="EC166" s="427">
        <v>1</v>
      </c>
      <c r="ED166" s="427">
        <v>1</v>
      </c>
      <c r="EE166" s="427">
        <v>1.5</v>
      </c>
      <c r="EF166" s="427">
        <v>0.5</v>
      </c>
      <c r="EG166" s="427">
        <v>1.5</v>
      </c>
      <c r="EH166" s="427">
        <v>1.2</v>
      </c>
      <c r="EI166" s="427">
        <v>1.5</v>
      </c>
      <c r="EJ166" s="427">
        <v>1.5</v>
      </c>
      <c r="EK166" s="427">
        <v>4</v>
      </c>
      <c r="EL166" s="427">
        <v>3</v>
      </c>
      <c r="EM166" s="427">
        <v>5.5</v>
      </c>
      <c r="EN166" s="427">
        <v>5.5</v>
      </c>
      <c r="EO166" s="427">
        <v>4</v>
      </c>
      <c r="EP166" s="427">
        <v>4</v>
      </c>
      <c r="EQ166" s="427">
        <v>4</v>
      </c>
      <c r="ER166" s="427" t="s">
        <v>356</v>
      </c>
      <c r="ES166" s="429">
        <f t="shared" si="581"/>
        <v>4.00000000004</v>
      </c>
      <c r="ET166" s="429">
        <f t="shared" si="582"/>
        <v>3.00000000002</v>
      </c>
      <c r="EU166" s="429">
        <f t="shared" si="583"/>
        <v>5.50000000003</v>
      </c>
      <c r="EV166" s="429">
        <f t="shared" si="584"/>
        <v>5.50000000001</v>
      </c>
      <c r="EW166" s="429">
        <f t="shared" si="585"/>
        <v>4.00000000005</v>
      </c>
      <c r="EX166" s="429">
        <f t="shared" si="586"/>
        <v>4.00000000006</v>
      </c>
      <c r="EY166" s="429">
        <f t="shared" si="587"/>
        <v>4.00000000007</v>
      </c>
      <c r="EZ166" s="429">
        <f t="shared" si="588"/>
        <v>0</v>
      </c>
      <c r="FA166" s="427">
        <f t="shared" si="625"/>
        <v>4.00000000004</v>
      </c>
      <c r="FB166" s="427">
        <f t="shared" si="626"/>
        <v>3.00000000002</v>
      </c>
      <c r="FC166" s="427">
        <f t="shared" si="627"/>
        <v>8.2500000000450004</v>
      </c>
      <c r="FD166" s="427">
        <f t="shared" si="628"/>
        <v>2.750000000005</v>
      </c>
      <c r="FE166" s="427">
        <f t="shared" si="629"/>
        <v>6.0000000000749996</v>
      </c>
      <c r="FF166" s="427">
        <f t="shared" si="630"/>
        <v>4.800000000072</v>
      </c>
      <c r="FG166" s="427">
        <f t="shared" si="631"/>
        <v>6.0000000001050005</v>
      </c>
      <c r="FH166" s="427">
        <f t="shared" si="632"/>
        <v>0</v>
      </c>
      <c r="FI166" s="427" t="b">
        <f t="shared" si="604"/>
        <v>1</v>
      </c>
      <c r="FJ166" s="427" t="b">
        <f t="shared" si="605"/>
        <v>0</v>
      </c>
      <c r="FK166" s="427" t="b">
        <f t="shared" si="606"/>
        <v>1</v>
      </c>
      <c r="FL166" s="427" t="b">
        <f t="shared" si="607"/>
        <v>0</v>
      </c>
      <c r="FM166" s="427" t="b">
        <f t="shared" si="608"/>
        <v>1</v>
      </c>
      <c r="FN166" s="427" t="b">
        <f t="shared" si="609"/>
        <v>1</v>
      </c>
      <c r="FO166" s="427" t="b">
        <f t="shared" si="610"/>
        <v>1</v>
      </c>
      <c r="FP166" s="427" t="b">
        <f t="shared" si="611"/>
        <v>0</v>
      </c>
    </row>
    <row r="167" spans="1:172" s="427" customFormat="1" ht="15.6">
      <c r="A167" s="427" t="s">
        <v>1445</v>
      </c>
      <c r="B167" s="427" t="s">
        <v>255</v>
      </c>
      <c r="C167" s="427" t="s">
        <v>1214</v>
      </c>
      <c r="D167" s="427" t="s">
        <v>1446</v>
      </c>
      <c r="E167" s="427" t="s">
        <v>889</v>
      </c>
      <c r="F167" s="427" t="s">
        <v>356</v>
      </c>
      <c r="G167" s="427">
        <v>58</v>
      </c>
      <c r="H167" s="427">
        <v>54.125</v>
      </c>
      <c r="I167" s="427">
        <v>51.375</v>
      </c>
      <c r="J167" s="427">
        <f t="shared" si="562"/>
        <v>58.000000000385</v>
      </c>
      <c r="K167" s="427">
        <f t="shared" si="563"/>
        <v>54.125000000455003</v>
      </c>
      <c r="L167" s="427">
        <f t="shared" si="564"/>
        <v>51.375000000415007</v>
      </c>
      <c r="M167" s="427" t="s">
        <v>1400</v>
      </c>
      <c r="N167" s="427" t="s">
        <v>480</v>
      </c>
      <c r="O167" s="427" t="s">
        <v>1422</v>
      </c>
      <c r="P167" s="427" t="s">
        <v>1448</v>
      </c>
      <c r="Q167" s="427" t="s">
        <v>942</v>
      </c>
      <c r="R167" s="427" t="s">
        <v>1447</v>
      </c>
      <c r="S167" s="427" t="s">
        <v>1177</v>
      </c>
      <c r="T167" s="427">
        <v>30</v>
      </c>
      <c r="U167" s="427" cm="1">
        <f t="array" ref="U167">IFERROR(INDEX('Offer Statistics'!$BQ$2:$BQ$400,MATCH(1,(A167='Offer Statistics'!$BB$2:$BB$400)*($A$11='Offer Statistics'!$BC$2:$BC$400),0)),"/")</f>
        <v>35</v>
      </c>
      <c r="V167" s="427" cm="1">
        <f t="array" ref="V167">IFERROR(INDEX('Offer Statistics'!$BD$2:$BD$400,MATCH(1,(A167='Offer Statistics'!$BB$2:$BB$400)*($A$11='Offer Statistics'!$BC$2:$BC$400),0)),"/")</f>
        <v>162</v>
      </c>
      <c r="W167" s="427" cm="1">
        <f t="array" ref="W167">IFERROR(INDEX('Offer Statistics'!$BL$2:$BL$400,MATCH(1,(A167='Offer Statistics'!$BB$2:$BB$400)*($A$11='Offer Statistics'!$BC$2:$BC$400),0)),"/")</f>
        <v>35</v>
      </c>
      <c r="X167" s="427">
        <f t="shared" si="502"/>
        <v>4.628571428571429</v>
      </c>
      <c r="Y167" s="427" t="s">
        <v>1177</v>
      </c>
      <c r="Z167" s="364" t="str">
        <f>入學要求!AF176</f>
        <v>數學科考獲 Lv.4 及 其他科目考獲優異成績的考生</v>
      </c>
      <c r="AA167" s="364" t="str">
        <f>入學要求!AG176</f>
        <v>優先考慮以下一科選修︰M1/2、生物、化學、物理、ICT</v>
      </c>
      <c r="AB167" s="405" t="s">
        <v>889</v>
      </c>
      <c r="AC167" s="405" t="s">
        <v>3002</v>
      </c>
      <c r="AE167" s="406" t="s">
        <v>1400</v>
      </c>
      <c r="AF167" s="406" t="s">
        <v>3010</v>
      </c>
      <c r="AG167" s="406" t="s">
        <v>1422</v>
      </c>
      <c r="AH167" s="405" t="s">
        <v>3009</v>
      </c>
      <c r="AI167" s="406" t="s">
        <v>942</v>
      </c>
      <c r="AJ167" s="427" t="s">
        <v>356</v>
      </c>
      <c r="AK167" s="427" t="s">
        <v>356</v>
      </c>
      <c r="AL167" s="427" t="s">
        <v>356</v>
      </c>
      <c r="AM167" s="427" t="s">
        <v>356</v>
      </c>
      <c r="AN167" s="427" t="s">
        <v>356</v>
      </c>
      <c r="AO167" s="427" t="s">
        <v>356</v>
      </c>
      <c r="AP167" s="427" t="s">
        <v>356</v>
      </c>
      <c r="AQ167" s="427" t="s">
        <v>356</v>
      </c>
      <c r="AS167" s="427" t="s">
        <v>820</v>
      </c>
      <c r="AU167" s="427" t="s">
        <v>817</v>
      </c>
      <c r="AY167" s="427">
        <v>1.25</v>
      </c>
      <c r="AZ167" s="427">
        <v>1.25</v>
      </c>
      <c r="BA167" s="427">
        <v>1.75</v>
      </c>
      <c r="BB167" s="427">
        <v>1</v>
      </c>
      <c r="BC167" s="427">
        <v>1.75</v>
      </c>
      <c r="BD167" s="427">
        <v>1.5</v>
      </c>
      <c r="BE167" s="427">
        <v>1.5</v>
      </c>
      <c r="BF167" s="427">
        <v>1</v>
      </c>
      <c r="BG167" s="427" t="s">
        <v>1445</v>
      </c>
      <c r="BH167" s="428">
        <v>3</v>
      </c>
      <c r="BI167" s="428">
        <v>4</v>
      </c>
      <c r="BJ167" s="428">
        <v>8.5</v>
      </c>
      <c r="BK167" s="428">
        <v>4</v>
      </c>
      <c r="BL167" s="428">
        <v>7</v>
      </c>
      <c r="BM167" s="428">
        <v>7</v>
      </c>
      <c r="BN167" s="428">
        <v>5.5</v>
      </c>
      <c r="BO167" s="428">
        <v>5.5</v>
      </c>
      <c r="BP167" s="429">
        <f t="shared" si="565"/>
        <v>3.00000000004</v>
      </c>
      <c r="BQ167" s="429">
        <f t="shared" si="566"/>
        <v>4.00000000002</v>
      </c>
      <c r="BR167" s="429">
        <f t="shared" si="567"/>
        <v>8.5000000000299991</v>
      </c>
      <c r="BS167" s="429">
        <f t="shared" si="568"/>
        <v>4.00000000001</v>
      </c>
      <c r="BT167" s="429">
        <f t="shared" si="569"/>
        <v>7.00000000005</v>
      </c>
      <c r="BU167" s="429">
        <f t="shared" si="570"/>
        <v>7.00000000006</v>
      </c>
      <c r="BV167" s="429">
        <f t="shared" si="571"/>
        <v>5.50000000007</v>
      </c>
      <c r="BW167" s="429">
        <f t="shared" si="572"/>
        <v>5.50000000008</v>
      </c>
      <c r="BX167" s="427">
        <f t="shared" si="641"/>
        <v>3.75000000005</v>
      </c>
      <c r="BY167" s="427">
        <f t="shared" si="642"/>
        <v>5.0000000000250004</v>
      </c>
      <c r="BZ167" s="427">
        <f t="shared" si="643"/>
        <v>14.875000000052498</v>
      </c>
      <c r="CA167" s="427">
        <f t="shared" si="644"/>
        <v>4.00000000001</v>
      </c>
      <c r="CB167" s="427">
        <f t="shared" si="645"/>
        <v>12.2500000000875</v>
      </c>
      <c r="CC167" s="427">
        <f t="shared" si="646"/>
        <v>10.500000000090001</v>
      </c>
      <c r="CD167" s="427">
        <f t="shared" si="647"/>
        <v>8.2500000001050005</v>
      </c>
      <c r="CE167" s="427">
        <f t="shared" si="648"/>
        <v>5.50000000008</v>
      </c>
      <c r="CF167" s="427" t="b">
        <f t="shared" si="633"/>
        <v>0</v>
      </c>
      <c r="CG167" s="427" t="b">
        <f t="shared" si="634"/>
        <v>0</v>
      </c>
      <c r="CH167" s="427" t="b">
        <f t="shared" si="635"/>
        <v>1</v>
      </c>
      <c r="CI167" s="427" t="b">
        <f t="shared" si="636"/>
        <v>0</v>
      </c>
      <c r="CJ167" s="427" t="b">
        <f t="shared" si="637"/>
        <v>1</v>
      </c>
      <c r="CK167" s="427" t="b">
        <f t="shared" si="638"/>
        <v>1</v>
      </c>
      <c r="CL167" s="427" t="b">
        <f t="shared" si="639"/>
        <v>1</v>
      </c>
      <c r="CM167" s="427" t="b">
        <f t="shared" si="640"/>
        <v>1</v>
      </c>
      <c r="CN167" s="427">
        <v>1.25</v>
      </c>
      <c r="CO167" s="427">
        <v>1.25</v>
      </c>
      <c r="CP167" s="427">
        <v>1.75</v>
      </c>
      <c r="CQ167" s="427">
        <v>1</v>
      </c>
      <c r="CR167" s="427">
        <v>1.75</v>
      </c>
      <c r="CS167" s="427">
        <v>1.5</v>
      </c>
      <c r="CT167" s="427">
        <v>1.5</v>
      </c>
      <c r="CU167" s="427">
        <v>1.5</v>
      </c>
      <c r="CW167" s="427">
        <v>3</v>
      </c>
      <c r="CX167" s="427">
        <v>4</v>
      </c>
      <c r="CY167" s="427">
        <v>8.5</v>
      </c>
      <c r="CZ167" s="427">
        <v>3</v>
      </c>
      <c r="DA167" s="427">
        <v>7</v>
      </c>
      <c r="DB167" s="427">
        <v>7</v>
      </c>
      <c r="DC167" s="427">
        <v>5.5</v>
      </c>
      <c r="DD167" s="427">
        <v>5.5</v>
      </c>
      <c r="DE167" s="429">
        <f t="shared" si="573"/>
        <v>3.00000000004</v>
      </c>
      <c r="DF167" s="429">
        <f t="shared" si="574"/>
        <v>4.00000000002</v>
      </c>
      <c r="DG167" s="429">
        <f t="shared" si="575"/>
        <v>8.5000000000299991</v>
      </c>
      <c r="DH167" s="429">
        <f t="shared" si="576"/>
        <v>3.00000000001</v>
      </c>
      <c r="DI167" s="429">
        <f t="shared" si="577"/>
        <v>7.00000000005</v>
      </c>
      <c r="DJ167" s="429">
        <f t="shared" si="578"/>
        <v>7.00000000006</v>
      </c>
      <c r="DK167" s="429">
        <f t="shared" si="579"/>
        <v>5.50000000007</v>
      </c>
      <c r="DL167" s="429">
        <f t="shared" si="580"/>
        <v>5.50000000008</v>
      </c>
      <c r="DM167" s="427">
        <f t="shared" si="649"/>
        <v>3.75000000005</v>
      </c>
      <c r="DN167" s="427">
        <f t="shared" si="650"/>
        <v>5.0000000000250004</v>
      </c>
      <c r="DO167" s="427">
        <f t="shared" si="651"/>
        <v>14.875000000052498</v>
      </c>
      <c r="DP167" s="427">
        <f t="shared" si="652"/>
        <v>3.00000000001</v>
      </c>
      <c r="DQ167" s="427">
        <f t="shared" si="653"/>
        <v>12.2500000000875</v>
      </c>
      <c r="DR167" s="427">
        <f t="shared" si="654"/>
        <v>10.500000000090001</v>
      </c>
      <c r="DS167" s="427">
        <f t="shared" si="655"/>
        <v>8.2500000001050005</v>
      </c>
      <c r="DT167" s="427">
        <f t="shared" si="656"/>
        <v>8.25000000012</v>
      </c>
      <c r="DU167" s="427" t="b">
        <f t="shared" si="614"/>
        <v>0</v>
      </c>
      <c r="DV167" s="427" t="b">
        <f t="shared" si="615"/>
        <v>0</v>
      </c>
      <c r="DW167" s="427" t="b">
        <f t="shared" si="616"/>
        <v>1</v>
      </c>
      <c r="DX167" s="427" t="b">
        <f t="shared" si="617"/>
        <v>0</v>
      </c>
      <c r="DY167" s="427" t="b">
        <f t="shared" si="600"/>
        <v>1</v>
      </c>
      <c r="DZ167" s="427" t="b">
        <f t="shared" si="601"/>
        <v>1</v>
      </c>
      <c r="EA167" s="427" t="b">
        <f t="shared" si="602"/>
        <v>1</v>
      </c>
      <c r="EB167" s="427" t="b">
        <f t="shared" si="603"/>
        <v>1</v>
      </c>
      <c r="EC167" s="427">
        <v>1.25</v>
      </c>
      <c r="ED167" s="427">
        <v>1.25</v>
      </c>
      <c r="EE167" s="427">
        <v>1.75</v>
      </c>
      <c r="EF167" s="427">
        <v>1</v>
      </c>
      <c r="EG167" s="427">
        <v>1.75</v>
      </c>
      <c r="EH167" s="427">
        <v>1.5</v>
      </c>
      <c r="EI167" s="427">
        <v>1.5</v>
      </c>
      <c r="EJ167" s="427">
        <v>1.5</v>
      </c>
      <c r="EK167" s="427">
        <v>4</v>
      </c>
      <c r="EL167" s="427">
        <v>4</v>
      </c>
      <c r="EM167" s="427">
        <v>8.5</v>
      </c>
      <c r="EN167" s="427">
        <v>4</v>
      </c>
      <c r="EO167" s="427">
        <v>8.5</v>
      </c>
      <c r="EP167" s="427">
        <v>8.5</v>
      </c>
      <c r="EQ167" s="427">
        <v>7</v>
      </c>
      <c r="ER167" s="427" t="s">
        <v>356</v>
      </c>
      <c r="ES167" s="429">
        <f t="shared" si="581"/>
        <v>4.00000000004</v>
      </c>
      <c r="ET167" s="429">
        <f t="shared" si="582"/>
        <v>4.00000000002</v>
      </c>
      <c r="EU167" s="429">
        <f t="shared" si="583"/>
        <v>8.5000000000299991</v>
      </c>
      <c r="EV167" s="429">
        <f t="shared" si="584"/>
        <v>4.00000000001</v>
      </c>
      <c r="EW167" s="429">
        <f t="shared" si="585"/>
        <v>8.5000000000499991</v>
      </c>
      <c r="EX167" s="429">
        <f t="shared" si="586"/>
        <v>8.50000000006</v>
      </c>
      <c r="EY167" s="429">
        <f t="shared" si="587"/>
        <v>7.00000000007</v>
      </c>
      <c r="EZ167" s="429">
        <f t="shared" si="588"/>
        <v>0</v>
      </c>
      <c r="FA167" s="427">
        <f t="shared" si="625"/>
        <v>5.00000000005</v>
      </c>
      <c r="FB167" s="427">
        <f t="shared" si="626"/>
        <v>5.0000000000250004</v>
      </c>
      <c r="FC167" s="427">
        <f t="shared" si="627"/>
        <v>14.875000000052498</v>
      </c>
      <c r="FD167" s="427">
        <f t="shared" si="628"/>
        <v>4.00000000001</v>
      </c>
      <c r="FE167" s="427">
        <f t="shared" si="629"/>
        <v>14.875000000087498</v>
      </c>
      <c r="FF167" s="427">
        <f t="shared" si="630"/>
        <v>12.750000000090001</v>
      </c>
      <c r="FG167" s="427">
        <f t="shared" si="631"/>
        <v>10.500000000105</v>
      </c>
      <c r="FH167" s="427">
        <f t="shared" si="632"/>
        <v>0</v>
      </c>
      <c r="FI167" s="427" t="b">
        <f t="shared" si="604"/>
        <v>1</v>
      </c>
      <c r="FJ167" s="427" t="b">
        <f t="shared" si="605"/>
        <v>0</v>
      </c>
      <c r="FK167" s="427" t="b">
        <f t="shared" si="606"/>
        <v>1</v>
      </c>
      <c r="FL167" s="427" t="b">
        <f t="shared" si="607"/>
        <v>0</v>
      </c>
      <c r="FM167" s="427" t="b">
        <f t="shared" si="608"/>
        <v>1</v>
      </c>
      <c r="FN167" s="427" t="b">
        <f t="shared" si="609"/>
        <v>1</v>
      </c>
      <c r="FO167" s="427" t="b">
        <f t="shared" si="610"/>
        <v>1</v>
      </c>
      <c r="FP167" s="427" t="b">
        <f t="shared" si="611"/>
        <v>0</v>
      </c>
    </row>
    <row r="168" spans="1:172" ht="15.6">
      <c r="A168" s="2" t="s">
        <v>1449</v>
      </c>
      <c r="B168" s="2" t="s">
        <v>255</v>
      </c>
      <c r="C168" s="2" t="s">
        <v>1450</v>
      </c>
      <c r="D168" s="2" t="s">
        <v>1451</v>
      </c>
      <c r="E168" s="2" t="s">
        <v>1452</v>
      </c>
      <c r="F168" s="2" t="s">
        <v>356</v>
      </c>
      <c r="G168" s="2">
        <v>44</v>
      </c>
      <c r="H168" s="2">
        <v>43</v>
      </c>
      <c r="I168" s="2">
        <v>41</v>
      </c>
      <c r="J168" s="2">
        <f t="shared" si="562"/>
        <v>44.000000000310003</v>
      </c>
      <c r="K168" s="2">
        <f t="shared" si="563"/>
        <v>43.000000000310003</v>
      </c>
      <c r="L168" s="2">
        <f t="shared" si="564"/>
        <v>41.000000000310003</v>
      </c>
      <c r="M168" s="364" t="s">
        <v>1454</v>
      </c>
      <c r="N168" s="364" t="s">
        <v>1455</v>
      </c>
      <c r="O168" s="364" t="s">
        <v>2987</v>
      </c>
      <c r="P168" s="364" t="s">
        <v>356</v>
      </c>
      <c r="Q168" s="364" t="s">
        <v>356</v>
      </c>
      <c r="R168" s="2" t="s">
        <v>1453</v>
      </c>
      <c r="S168" s="2" t="s">
        <v>817</v>
      </c>
      <c r="T168" s="2">
        <v>295</v>
      </c>
      <c r="U168" s="2" cm="1">
        <f t="array" ref="U168">IFERROR(INDEX('Offer Statistics'!$BQ$2:$BQ$400,MATCH(1,(A168='Offer Statistics'!$BB$2:$BB$400)*($A$11='Offer Statistics'!$BC$2:$BC$400),0)),"/")</f>
        <v>177</v>
      </c>
      <c r="V168" s="2" cm="1">
        <f t="array" ref="V168">IFERROR(INDEX('Offer Statistics'!$BD$2:$BD$400,MATCH(1,(A168='Offer Statistics'!$BB$2:$BB$400)*($A$11='Offer Statistics'!$BC$2:$BC$400),0)),"/")</f>
        <v>409</v>
      </c>
      <c r="W168" s="2" cm="1">
        <f t="array" ref="W168">IFERROR(INDEX('Offer Statistics'!$BL$2:$BL$400,MATCH(1,(A168='Offer Statistics'!$BB$2:$BB$400)*($A$11='Offer Statistics'!$BC$2:$BC$400),0)),"/")</f>
        <v>177</v>
      </c>
      <c r="X168" s="2">
        <f t="shared" si="502"/>
        <v>2.3107344632768361</v>
      </c>
      <c r="Y168" s="2" t="s">
        <v>817</v>
      </c>
      <c r="Z168" s="364" t="str">
        <f>入學要求!AF177</f>
        <v>以下一科選修取得Lv.3︰生物、化學</v>
      </c>
      <c r="AA168" s="364" t="str">
        <f>入學要求!AG177</f>
        <v>優先考慮 同時修讀 生物 及 化學 者</v>
      </c>
      <c r="AB168" s="368" t="s">
        <v>3014</v>
      </c>
      <c r="AC168" s="368"/>
      <c r="AD168" s="368"/>
      <c r="AE168" s="368" t="s">
        <v>1454</v>
      </c>
      <c r="AF168" s="368" t="s">
        <v>1455</v>
      </c>
      <c r="AG168" s="368" t="s">
        <v>2987</v>
      </c>
      <c r="AH168" s="368" t="s">
        <v>356</v>
      </c>
      <c r="AI168" s="368" t="s">
        <v>356</v>
      </c>
      <c r="AJ168" s="2" t="s">
        <v>356</v>
      </c>
      <c r="AK168" s="2" t="s">
        <v>356</v>
      </c>
      <c r="AL168" s="2" t="s">
        <v>356</v>
      </c>
      <c r="AM168" s="2" t="s">
        <v>2988</v>
      </c>
      <c r="AN168" s="2" t="s">
        <v>356</v>
      </c>
      <c r="AO168" s="2" t="s">
        <v>2989</v>
      </c>
      <c r="AP168" s="2" t="s">
        <v>2990</v>
      </c>
      <c r="AQ168" s="2" t="s">
        <v>356</v>
      </c>
      <c r="AS168" s="2" t="s">
        <v>820</v>
      </c>
      <c r="AU168" s="2" t="s">
        <v>1355</v>
      </c>
      <c r="AY168" s="2">
        <v>1</v>
      </c>
      <c r="AZ168" s="2">
        <v>1</v>
      </c>
      <c r="BA168" s="2">
        <v>1</v>
      </c>
      <c r="BB168" s="2">
        <v>1</v>
      </c>
      <c r="BC168" s="2">
        <v>0</v>
      </c>
      <c r="BD168" s="2">
        <v>1</v>
      </c>
      <c r="BE168" s="2">
        <v>1</v>
      </c>
      <c r="BF168" s="2">
        <v>1</v>
      </c>
      <c r="BG168" s="2" t="s">
        <v>1449</v>
      </c>
      <c r="BH168">
        <v>7</v>
      </c>
      <c r="BI168">
        <v>7</v>
      </c>
      <c r="BJ168">
        <v>5</v>
      </c>
      <c r="BK168">
        <v>5</v>
      </c>
      <c r="BL168">
        <v>5</v>
      </c>
      <c r="BM168">
        <v>6</v>
      </c>
      <c r="BN168">
        <v>6</v>
      </c>
      <c r="BO168">
        <v>5</v>
      </c>
      <c r="BP168" s="206">
        <f t="shared" si="565"/>
        <v>7.00000000004</v>
      </c>
      <c r="BQ168" s="206">
        <f t="shared" si="566"/>
        <v>7.00000000002</v>
      </c>
      <c r="BR168" s="206">
        <f t="shared" si="567"/>
        <v>5.00000000003</v>
      </c>
      <c r="BS168" s="206">
        <f t="shared" si="568"/>
        <v>5.00000000001</v>
      </c>
      <c r="BT168" s="206">
        <f t="shared" si="569"/>
        <v>5.00000000005</v>
      </c>
      <c r="BU168" s="206">
        <f t="shared" si="570"/>
        <v>6.00000000006</v>
      </c>
      <c r="BV168" s="206">
        <f t="shared" si="571"/>
        <v>6.00000000007</v>
      </c>
      <c r="BW168" s="206">
        <f t="shared" si="572"/>
        <v>5.00000000008</v>
      </c>
      <c r="BX168" s="2">
        <f t="shared" si="641"/>
        <v>7.00000000004</v>
      </c>
      <c r="BY168" s="2">
        <f t="shared" si="642"/>
        <v>7.00000000002</v>
      </c>
      <c r="BZ168" s="2">
        <f t="shared" si="643"/>
        <v>5.00000000003</v>
      </c>
      <c r="CA168" s="2">
        <f t="shared" si="644"/>
        <v>5.00000000001</v>
      </c>
      <c r="CB168" s="2">
        <f t="shared" si="645"/>
        <v>0</v>
      </c>
      <c r="CC168" s="2">
        <f t="shared" si="646"/>
        <v>6.00000000006</v>
      </c>
      <c r="CD168" s="2">
        <f t="shared" si="647"/>
        <v>6.00000000007</v>
      </c>
      <c r="CE168" s="2">
        <f t="shared" si="648"/>
        <v>5.00000000008</v>
      </c>
      <c r="CF168" s="2" t="b">
        <v>1</v>
      </c>
      <c r="CG168" s="2" t="b">
        <v>1</v>
      </c>
      <c r="CH168" s="2" t="b">
        <v>1</v>
      </c>
      <c r="CI168" s="2" t="b">
        <v>1</v>
      </c>
      <c r="CJ168" s="2" t="b">
        <f>IF(CB168&gt;LARGE($CB168:$CE168,4),TRUE)</f>
        <v>0</v>
      </c>
      <c r="CK168" s="2" t="b">
        <f t="shared" ref="CK168:CM168" si="657">IF(CC168&gt;LARGE($CB168:$CE168,4),TRUE)</f>
        <v>1</v>
      </c>
      <c r="CL168" s="2" t="b">
        <f t="shared" si="657"/>
        <v>1</v>
      </c>
      <c r="CM168" s="2" t="b">
        <f t="shared" si="657"/>
        <v>1</v>
      </c>
      <c r="CN168" s="2">
        <v>1</v>
      </c>
      <c r="CO168" s="2">
        <v>1</v>
      </c>
      <c r="CP168" s="2">
        <v>1</v>
      </c>
      <c r="CQ168" s="2">
        <v>1</v>
      </c>
      <c r="CR168" s="2">
        <v>0</v>
      </c>
      <c r="CS168" s="2">
        <v>1</v>
      </c>
      <c r="CT168" s="2">
        <v>1</v>
      </c>
      <c r="CU168" s="2">
        <v>1</v>
      </c>
      <c r="CW168" s="2">
        <v>7</v>
      </c>
      <c r="CX168" s="2">
        <v>6</v>
      </c>
      <c r="CY168" s="2">
        <v>6</v>
      </c>
      <c r="CZ168" s="2">
        <v>5</v>
      </c>
      <c r="DA168" s="2">
        <v>5</v>
      </c>
      <c r="DB168" s="2">
        <v>7</v>
      </c>
      <c r="DC168" s="2">
        <v>6</v>
      </c>
      <c r="DD168" s="2">
        <v>6</v>
      </c>
      <c r="DE168" s="206">
        <f t="shared" si="573"/>
        <v>7.00000000004</v>
      </c>
      <c r="DF168" s="206">
        <f t="shared" si="574"/>
        <v>6.00000000002</v>
      </c>
      <c r="DG168" s="206">
        <f t="shared" si="575"/>
        <v>6.00000000003</v>
      </c>
      <c r="DH168" s="206">
        <f t="shared" si="576"/>
        <v>5.00000000001</v>
      </c>
      <c r="DI168" s="206">
        <f t="shared" si="577"/>
        <v>5.00000000005</v>
      </c>
      <c r="DJ168" s="206">
        <f t="shared" si="578"/>
        <v>7.00000000006</v>
      </c>
      <c r="DK168" s="206">
        <f t="shared" si="579"/>
        <v>6.00000000007</v>
      </c>
      <c r="DL168" s="206">
        <f t="shared" si="580"/>
        <v>6.00000000008</v>
      </c>
      <c r="DM168" s="2">
        <f t="shared" si="649"/>
        <v>7.00000000004</v>
      </c>
      <c r="DN168" s="2">
        <f t="shared" si="650"/>
        <v>6.00000000002</v>
      </c>
      <c r="DO168" s="2">
        <f t="shared" si="651"/>
        <v>6.00000000003</v>
      </c>
      <c r="DP168" s="2">
        <f t="shared" si="652"/>
        <v>5.00000000001</v>
      </c>
      <c r="DQ168" s="2">
        <f t="shared" si="653"/>
        <v>0</v>
      </c>
      <c r="DR168" s="2">
        <f t="shared" si="654"/>
        <v>7.00000000006</v>
      </c>
      <c r="DS168" s="2">
        <f t="shared" si="655"/>
        <v>6.00000000007</v>
      </c>
      <c r="DT168" s="2">
        <f t="shared" si="656"/>
        <v>6.00000000008</v>
      </c>
      <c r="DU168" s="2" t="b">
        <v>1</v>
      </c>
      <c r="DV168" s="2" t="b">
        <v>1</v>
      </c>
      <c r="DW168" s="2" t="b">
        <v>1</v>
      </c>
      <c r="DX168" s="2" t="b">
        <v>1</v>
      </c>
      <c r="DY168" s="2" t="b">
        <v>0</v>
      </c>
      <c r="DZ168" s="2" t="b">
        <f t="shared" ref="DZ168" si="658">IF(DR168&gt;LARGE($CB168:$CE168,4),TRUE)</f>
        <v>1</v>
      </c>
      <c r="EA168" s="2" t="b">
        <f t="shared" ref="EA168:EA169" si="659">IF(DS168&gt;LARGE($CB168:$CE168,4),TRUE)</f>
        <v>1</v>
      </c>
      <c r="EB168" s="2" t="b">
        <f t="shared" ref="EB168:EB169" si="660">IF(DT168&gt;LARGE($CB168:$CE168,4),TRUE)</f>
        <v>1</v>
      </c>
      <c r="EC168" s="2">
        <v>1</v>
      </c>
      <c r="ED168" s="2">
        <v>1</v>
      </c>
      <c r="EE168" s="2">
        <v>1</v>
      </c>
      <c r="EF168" s="2">
        <v>1</v>
      </c>
      <c r="EG168" s="2">
        <v>0</v>
      </c>
      <c r="EH168" s="2">
        <v>1</v>
      </c>
      <c r="EI168" s="2">
        <v>1</v>
      </c>
      <c r="EJ168" s="2">
        <v>1</v>
      </c>
      <c r="EK168" s="2">
        <v>5</v>
      </c>
      <c r="EL168" s="2">
        <v>7</v>
      </c>
      <c r="EM168" s="2">
        <v>7</v>
      </c>
      <c r="EN168" s="2">
        <v>5</v>
      </c>
      <c r="EO168" s="2">
        <v>5</v>
      </c>
      <c r="EP168" s="2">
        <v>7</v>
      </c>
      <c r="EQ168" s="2">
        <v>7</v>
      </c>
      <c r="ER168" s="2">
        <v>6</v>
      </c>
      <c r="ES168" s="206">
        <f t="shared" si="581"/>
        <v>5.00000000004</v>
      </c>
      <c r="ET168" s="206">
        <f t="shared" si="582"/>
        <v>7.00000000002</v>
      </c>
      <c r="EU168" s="206">
        <f t="shared" si="583"/>
        <v>7.00000000003</v>
      </c>
      <c r="EV168" s="206">
        <f t="shared" si="584"/>
        <v>5.00000000001</v>
      </c>
      <c r="EW168" s="206">
        <f t="shared" si="585"/>
        <v>5.00000000005</v>
      </c>
      <c r="EX168" s="206">
        <f t="shared" si="586"/>
        <v>7.00000000006</v>
      </c>
      <c r="EY168" s="206">
        <f t="shared" si="587"/>
        <v>7.00000000007</v>
      </c>
      <c r="EZ168" s="206">
        <f t="shared" si="588"/>
        <v>6.00000000008</v>
      </c>
      <c r="FA168" s="2">
        <f t="shared" si="625"/>
        <v>5.00000000004</v>
      </c>
      <c r="FB168" s="2">
        <f t="shared" si="626"/>
        <v>7.00000000002</v>
      </c>
      <c r="FC168" s="2">
        <f t="shared" si="627"/>
        <v>7.00000000003</v>
      </c>
      <c r="FD168" s="2">
        <f t="shared" si="628"/>
        <v>5.00000000001</v>
      </c>
      <c r="FE168" s="2">
        <f t="shared" si="629"/>
        <v>0</v>
      </c>
      <c r="FF168" s="2">
        <f t="shared" si="630"/>
        <v>7.00000000006</v>
      </c>
      <c r="FG168" s="2">
        <f t="shared" si="631"/>
        <v>7.00000000007</v>
      </c>
      <c r="FH168" s="2">
        <f t="shared" si="632"/>
        <v>6.00000000008</v>
      </c>
      <c r="FI168" s="2" t="b">
        <v>1</v>
      </c>
      <c r="FJ168" s="2" t="b">
        <v>1</v>
      </c>
      <c r="FK168" s="2" t="b">
        <v>1</v>
      </c>
      <c r="FL168" s="2" t="b">
        <v>1</v>
      </c>
      <c r="FM168" s="2" t="b">
        <f>IF(FE168&gt;LARGE($FE168:$FH168,4),TRUE)</f>
        <v>0</v>
      </c>
      <c r="FN168" s="2" t="b">
        <f t="shared" ref="FN168:FP168" si="661">IF(FF168&gt;LARGE($FE168:$FH168,4),TRUE)</f>
        <v>1</v>
      </c>
      <c r="FO168" s="2" t="b">
        <f t="shared" si="661"/>
        <v>1</v>
      </c>
      <c r="FP168" s="2" t="b">
        <f t="shared" si="661"/>
        <v>1</v>
      </c>
    </row>
    <row r="169" spans="1:172" ht="15.6">
      <c r="A169" s="2" t="s">
        <v>487</v>
      </c>
      <c r="B169" s="2" t="s">
        <v>255</v>
      </c>
      <c r="C169" s="2" t="s">
        <v>1450</v>
      </c>
      <c r="D169" s="2" t="s">
        <v>1456</v>
      </c>
      <c r="E169" s="2" t="s">
        <v>1452</v>
      </c>
      <c r="F169" s="2" t="s">
        <v>356</v>
      </c>
      <c r="G169" s="2">
        <v>47.5</v>
      </c>
      <c r="H169" s="2">
        <v>47</v>
      </c>
      <c r="I169" s="2">
        <v>46</v>
      </c>
      <c r="J169" s="2">
        <f t="shared" si="562"/>
        <v>47.499999800326428</v>
      </c>
      <c r="K169" s="2">
        <f t="shared" si="563"/>
        <v>47.000000000310003</v>
      </c>
      <c r="L169" s="2">
        <f t="shared" si="564"/>
        <v>46.000000000310003</v>
      </c>
      <c r="M169" s="364" t="s">
        <v>1454</v>
      </c>
      <c r="N169" s="364" t="s">
        <v>1455</v>
      </c>
      <c r="O169" s="364" t="s">
        <v>2987</v>
      </c>
      <c r="P169" s="364" t="s">
        <v>356</v>
      </c>
      <c r="Q169" s="364" t="s">
        <v>356</v>
      </c>
      <c r="R169" s="2" t="s">
        <v>1457</v>
      </c>
      <c r="S169" s="2" t="s">
        <v>817</v>
      </c>
      <c r="T169" s="2">
        <v>30</v>
      </c>
      <c r="U169" s="2" cm="1">
        <f t="array" ref="U169">IFERROR(INDEX('Offer Statistics'!$BQ$2:$BQ$400,MATCH(1,(A169='Offer Statistics'!$BB$2:$BB$400)*($A$11='Offer Statistics'!$BC$2:$BC$400),0)),"/")</f>
        <v>30</v>
      </c>
      <c r="V169" s="2" cm="1">
        <f t="array" ref="V169">IFERROR(INDEX('Offer Statistics'!$BD$2:$BD$400,MATCH(1,(A169='Offer Statistics'!$BB$2:$BB$400)*($A$11='Offer Statistics'!$BC$2:$BC$400),0)),"/")</f>
        <v>67</v>
      </c>
      <c r="W169" s="2" cm="1">
        <f t="array" ref="W169">IFERROR(INDEX('Offer Statistics'!$BL$2:$BL$400,MATCH(1,(A169='Offer Statistics'!$BB$2:$BB$400)*($A$11='Offer Statistics'!$BC$2:$BC$400),0)),"/")</f>
        <v>30</v>
      </c>
      <c r="X169" s="2">
        <f t="shared" si="502"/>
        <v>2.2333333333333334</v>
      </c>
      <c r="Y169" s="2" t="s">
        <v>817</v>
      </c>
      <c r="Z169" s="364" t="str">
        <f>入學要求!AF178</f>
        <v>以下一科選修取得Lv.3︰生物、化學 (優先考慮 同時修讀 者)</v>
      </c>
      <c r="AA169" s="364" t="str">
        <f>入學要求!AG178</f>
        <v>7科不低於46分，並至少有4科5**</v>
      </c>
      <c r="AB169" s="368" t="s">
        <v>3014</v>
      </c>
      <c r="AC169" s="368"/>
      <c r="AD169" s="368"/>
      <c r="AE169" s="368" t="s">
        <v>1454</v>
      </c>
      <c r="AF169" s="368" t="s">
        <v>1455</v>
      </c>
      <c r="AG169" s="368" t="s">
        <v>2987</v>
      </c>
      <c r="AH169" s="368" t="s">
        <v>356</v>
      </c>
      <c r="AI169" s="368" t="s">
        <v>356</v>
      </c>
      <c r="AJ169" s="2" t="s">
        <v>356</v>
      </c>
      <c r="AK169" s="2" t="s">
        <v>356</v>
      </c>
      <c r="AL169" s="2" t="s">
        <v>356</v>
      </c>
      <c r="AM169" s="2" t="s">
        <v>2988</v>
      </c>
      <c r="AN169" s="2" t="s">
        <v>356</v>
      </c>
      <c r="AO169" s="2" t="s">
        <v>2989</v>
      </c>
      <c r="AP169" s="2" t="s">
        <v>2990</v>
      </c>
      <c r="AQ169" s="2" t="s">
        <v>356</v>
      </c>
      <c r="AS169" s="2" t="s">
        <v>820</v>
      </c>
      <c r="AU169" s="2" t="s">
        <v>1355</v>
      </c>
      <c r="AY169" s="2">
        <v>1</v>
      </c>
      <c r="AZ169" s="2">
        <v>1</v>
      </c>
      <c r="BA169" s="2">
        <v>1</v>
      </c>
      <c r="BB169" s="2">
        <v>1</v>
      </c>
      <c r="BC169" s="2">
        <v>0</v>
      </c>
      <c r="BD169" s="2">
        <v>1</v>
      </c>
      <c r="BE169" s="2">
        <v>1</v>
      </c>
      <c r="BF169" s="2">
        <v>1</v>
      </c>
      <c r="BG169" s="2" t="s">
        <v>487</v>
      </c>
      <c r="BH169">
        <v>7</v>
      </c>
      <c r="BI169">
        <v>7</v>
      </c>
      <c r="BJ169">
        <v>6</v>
      </c>
      <c r="BK169">
        <v>6</v>
      </c>
      <c r="BL169" t="s">
        <v>356</v>
      </c>
      <c r="BM169">
        <v>7</v>
      </c>
      <c r="BN169">
        <v>7</v>
      </c>
      <c r="BO169">
        <v>6</v>
      </c>
      <c r="BP169" s="206">
        <f t="shared" si="565"/>
        <v>7.00000000004</v>
      </c>
      <c r="BQ169" s="206">
        <f t="shared" si="566"/>
        <v>7.00000000002</v>
      </c>
      <c r="BR169" s="206">
        <f t="shared" si="567"/>
        <v>6.00000000003</v>
      </c>
      <c r="BS169" s="206">
        <f t="shared" si="568"/>
        <v>6.00000000001</v>
      </c>
      <c r="BT169" s="206">
        <f t="shared" si="569"/>
        <v>0</v>
      </c>
      <c r="BU169" s="206">
        <f t="shared" si="570"/>
        <v>7.00000000006</v>
      </c>
      <c r="BV169" s="206">
        <f t="shared" si="571"/>
        <v>7.00000000007</v>
      </c>
      <c r="BW169" s="206">
        <f t="shared" si="572"/>
        <v>6.00000000008</v>
      </c>
      <c r="BX169" s="2">
        <f t="shared" si="641"/>
        <v>7.00000000004</v>
      </c>
      <c r="BY169" s="2">
        <f t="shared" si="642"/>
        <v>7.00000000002</v>
      </c>
      <c r="BZ169" s="2">
        <f t="shared" si="643"/>
        <v>6.00000000003</v>
      </c>
      <c r="CA169" s="2">
        <f t="shared" si="644"/>
        <v>6.00000000001</v>
      </c>
      <c r="CB169" s="2">
        <f t="shared" si="645"/>
        <v>0</v>
      </c>
      <c r="CC169" s="2">
        <f t="shared" si="646"/>
        <v>7.00000000006</v>
      </c>
      <c r="CD169" s="2">
        <f t="shared" si="647"/>
        <v>7.00000000007</v>
      </c>
      <c r="CE169" s="2">
        <f t="shared" si="648"/>
        <v>6.00000000008</v>
      </c>
      <c r="CF169" s="2" t="b">
        <v>1</v>
      </c>
      <c r="CG169" s="2" t="b">
        <v>1</v>
      </c>
      <c r="CH169" s="2" t="b">
        <v>1</v>
      </c>
      <c r="CI169" s="2" t="b">
        <v>1</v>
      </c>
      <c r="CJ169" s="2" t="b">
        <f>IF(CB169&gt;LARGE($CB169:$CE169,4),TRUE)</f>
        <v>0</v>
      </c>
      <c r="CK169" s="2" t="b">
        <f>IF(CC169&gt;LARGE($CB169:$CE169,4),TRUE)</f>
        <v>1</v>
      </c>
      <c r="CL169" s="2" t="b">
        <f t="shared" ref="CL169" si="662">IF(CD169&gt;LARGE($CB169:$CE169,4),TRUE)</f>
        <v>1</v>
      </c>
      <c r="CM169" s="2" t="b">
        <f t="shared" ref="CM169" si="663">IF(CE169&gt;LARGE($CB169:$CE169,4),TRUE)</f>
        <v>1</v>
      </c>
      <c r="CN169" s="2">
        <v>1</v>
      </c>
      <c r="CO169" s="2">
        <v>1</v>
      </c>
      <c r="CP169" s="2">
        <v>1</v>
      </c>
      <c r="CQ169" s="2">
        <v>1</v>
      </c>
      <c r="CR169" s="2">
        <v>0</v>
      </c>
      <c r="CS169" s="2">
        <v>1</v>
      </c>
      <c r="CT169" s="2">
        <v>1</v>
      </c>
      <c r="CU169" s="2">
        <v>1</v>
      </c>
      <c r="CW169" s="2">
        <v>6</v>
      </c>
      <c r="CX169" s="2">
        <v>7</v>
      </c>
      <c r="CY169" s="2">
        <v>7</v>
      </c>
      <c r="CZ169" s="2">
        <v>7</v>
      </c>
      <c r="DA169" s="2">
        <v>6</v>
      </c>
      <c r="DB169" s="2">
        <v>7</v>
      </c>
      <c r="DC169" s="2">
        <v>7</v>
      </c>
      <c r="DD169" s="2">
        <v>6</v>
      </c>
      <c r="DE169" s="206">
        <f t="shared" si="573"/>
        <v>6.00000000004</v>
      </c>
      <c r="DF169" s="206">
        <f t="shared" si="574"/>
        <v>7.00000000002</v>
      </c>
      <c r="DG169" s="206">
        <f t="shared" si="575"/>
        <v>7.00000000003</v>
      </c>
      <c r="DH169" s="206">
        <f t="shared" si="576"/>
        <v>7.00000000001</v>
      </c>
      <c r="DI169" s="206">
        <f t="shared" si="577"/>
        <v>6.00000000005</v>
      </c>
      <c r="DJ169" s="206">
        <f t="shared" si="578"/>
        <v>7.00000000006</v>
      </c>
      <c r="DK169" s="206">
        <f t="shared" si="579"/>
        <v>7.00000000007</v>
      </c>
      <c r="DL169" s="206">
        <f t="shared" si="580"/>
        <v>6.00000000008</v>
      </c>
      <c r="DM169" s="2">
        <f t="shared" si="649"/>
        <v>6.00000000004</v>
      </c>
      <c r="DN169" s="2">
        <f t="shared" si="650"/>
        <v>7.00000000002</v>
      </c>
      <c r="DO169" s="2">
        <f t="shared" si="651"/>
        <v>7.00000000003</v>
      </c>
      <c r="DP169" s="2">
        <f t="shared" si="652"/>
        <v>7.00000000001</v>
      </c>
      <c r="DQ169" s="2">
        <f t="shared" si="653"/>
        <v>0</v>
      </c>
      <c r="DR169" s="2">
        <f t="shared" si="654"/>
        <v>7.00000000006</v>
      </c>
      <c r="DS169" s="2">
        <f t="shared" si="655"/>
        <v>7.00000000007</v>
      </c>
      <c r="DT169" s="2">
        <f t="shared" si="656"/>
        <v>6.00000000008</v>
      </c>
      <c r="DU169" s="2" t="b">
        <v>1</v>
      </c>
      <c r="DV169" s="2" t="b">
        <v>1</v>
      </c>
      <c r="DW169" s="2" t="b">
        <v>1</v>
      </c>
      <c r="DX169" s="2" t="b">
        <v>1</v>
      </c>
      <c r="DY169" s="2" t="b">
        <v>0</v>
      </c>
      <c r="DZ169" s="2" t="b">
        <f>IF(DR169&gt;LARGE($CB169:$CE169,4),TRUE)</f>
        <v>1</v>
      </c>
      <c r="EA169" s="2" t="b">
        <f t="shared" si="659"/>
        <v>1</v>
      </c>
      <c r="EB169" s="2" t="b">
        <f t="shared" si="660"/>
        <v>1</v>
      </c>
      <c r="EC169" s="2">
        <v>1</v>
      </c>
      <c r="ED169" s="2">
        <v>1</v>
      </c>
      <c r="EE169" s="2">
        <v>0</v>
      </c>
      <c r="EF169" s="2">
        <v>1</v>
      </c>
      <c r="EG169" s="2">
        <v>0.92857140000000005</v>
      </c>
      <c r="EH169" s="2">
        <v>1</v>
      </c>
      <c r="EI169" s="2">
        <v>1</v>
      </c>
      <c r="EJ169" s="2">
        <v>1</v>
      </c>
      <c r="EK169" s="2">
        <v>7</v>
      </c>
      <c r="EL169" s="2">
        <v>6</v>
      </c>
      <c r="EM169" s="2">
        <v>6</v>
      </c>
      <c r="EN169" s="2">
        <v>7</v>
      </c>
      <c r="EO169" s="2">
        <v>7</v>
      </c>
      <c r="EP169" s="2">
        <v>7</v>
      </c>
      <c r="EQ169" s="2">
        <v>7</v>
      </c>
      <c r="ER169" s="2">
        <v>7</v>
      </c>
      <c r="ES169" s="206">
        <f t="shared" si="581"/>
        <v>7.00000000004</v>
      </c>
      <c r="ET169" s="206">
        <f t="shared" si="582"/>
        <v>6.00000000002</v>
      </c>
      <c r="EU169" s="206">
        <f t="shared" si="583"/>
        <v>6.00000000003</v>
      </c>
      <c r="EV169" s="206">
        <f t="shared" si="584"/>
        <v>7.00000000001</v>
      </c>
      <c r="EW169" s="206">
        <f t="shared" si="585"/>
        <v>7.00000000005</v>
      </c>
      <c r="EX169" s="206">
        <f t="shared" si="586"/>
        <v>7.00000000006</v>
      </c>
      <c r="EY169" s="206">
        <f t="shared" si="587"/>
        <v>7.00000000007</v>
      </c>
      <c r="EZ169" s="206">
        <f t="shared" si="588"/>
        <v>7.00000000008</v>
      </c>
      <c r="FA169" s="2">
        <f t="shared" si="625"/>
        <v>7.00000000004</v>
      </c>
      <c r="FB169" s="2">
        <f t="shared" si="626"/>
        <v>6.00000000002</v>
      </c>
      <c r="FC169" s="2">
        <f t="shared" si="627"/>
        <v>0</v>
      </c>
      <c r="FD169" s="2">
        <f t="shared" si="628"/>
        <v>7.00000000001</v>
      </c>
      <c r="FE169" s="2">
        <f t="shared" si="629"/>
        <v>6.499999800046429</v>
      </c>
      <c r="FF169" s="2">
        <f t="shared" si="630"/>
        <v>7.00000000006</v>
      </c>
      <c r="FG169" s="2">
        <f t="shared" si="631"/>
        <v>7.00000000007</v>
      </c>
      <c r="FH169" s="2">
        <f t="shared" si="632"/>
        <v>7.00000000008</v>
      </c>
      <c r="FI169" s="2" t="b">
        <v>1</v>
      </c>
      <c r="FJ169" s="2" t="b">
        <v>1</v>
      </c>
      <c r="FK169" s="2" t="b">
        <v>0</v>
      </c>
      <c r="FL169" s="2" t="b">
        <v>1</v>
      </c>
      <c r="FM169" s="2" t="b">
        <v>1</v>
      </c>
      <c r="FN169" s="2" t="b">
        <v>1</v>
      </c>
      <c r="FO169" s="2" t="b">
        <v>1</v>
      </c>
      <c r="FP169" s="2" t="b">
        <v>1</v>
      </c>
    </row>
    <row r="170" spans="1:172" s="427" customFormat="1" ht="15.6">
      <c r="A170" s="427" t="s">
        <v>1458</v>
      </c>
      <c r="B170" s="427" t="s">
        <v>255</v>
      </c>
      <c r="C170" s="427" t="s">
        <v>1450</v>
      </c>
      <c r="D170" s="427" t="s">
        <v>1459</v>
      </c>
      <c r="E170" s="427" t="s">
        <v>815</v>
      </c>
      <c r="F170" s="427" t="s">
        <v>356</v>
      </c>
      <c r="G170" s="427">
        <v>34.1</v>
      </c>
      <c r="H170" s="427">
        <v>32.9</v>
      </c>
      <c r="I170" s="427">
        <v>31.1</v>
      </c>
      <c r="J170" s="427">
        <f t="shared" si="562"/>
        <v>34.100000000244002</v>
      </c>
      <c r="K170" s="427">
        <f t="shared" si="563"/>
        <v>32.900000000242002</v>
      </c>
      <c r="L170" s="427">
        <f t="shared" si="564"/>
        <v>31.100000000242002</v>
      </c>
      <c r="M170" s="427" t="s">
        <v>1460</v>
      </c>
      <c r="N170" s="427" t="s">
        <v>398</v>
      </c>
      <c r="O170" s="427" t="s">
        <v>3016</v>
      </c>
      <c r="P170" s="427" t="s">
        <v>356</v>
      </c>
      <c r="Q170" s="427" t="s">
        <v>356</v>
      </c>
      <c r="R170" s="427" t="s">
        <v>1284</v>
      </c>
      <c r="S170" s="427" t="s">
        <v>1177</v>
      </c>
      <c r="T170" s="427">
        <v>217</v>
      </c>
      <c r="U170" s="427" cm="1">
        <f t="array" ref="U170">IFERROR(INDEX('Offer Statistics'!$BQ$2:$BQ$400,MATCH(1,(A170='Offer Statistics'!$BB$2:$BB$400)*($A$11='Offer Statistics'!$BC$2:$BC$400),0)),"/")</f>
        <v>245</v>
      </c>
      <c r="V170" s="427" cm="1">
        <f t="array" ref="V170">IFERROR(INDEX('Offer Statistics'!$BD$2:$BD$400,MATCH(1,(A170='Offer Statistics'!$BB$2:$BB$400)*($A$11='Offer Statistics'!$BC$2:$BC$400),0)),"/")</f>
        <v>900</v>
      </c>
      <c r="W170" s="427" cm="1">
        <f t="array" ref="W170">IFERROR(INDEX('Offer Statistics'!$BL$2:$BL$400,MATCH(1,(A170='Offer Statistics'!$BB$2:$BB$400)*($A$11='Offer Statistics'!$BC$2:$BC$400),0)),"/")</f>
        <v>245</v>
      </c>
      <c r="X170" s="427">
        <f t="shared" si="502"/>
        <v>3.6734693877551021</v>
      </c>
      <c r="Y170" s="427" t="s">
        <v>1177</v>
      </c>
      <c r="Z170" s="364" t="str">
        <f>入學要求!AF179</f>
        <v>/</v>
      </c>
      <c r="AA170" s="364" t="str">
        <f>入學要求!AG179</f>
        <v>/</v>
      </c>
      <c r="AB170" s="412" t="s">
        <v>889</v>
      </c>
      <c r="AC170" s="405" t="s">
        <v>3002</v>
      </c>
      <c r="AE170" s="406" t="s">
        <v>1460</v>
      </c>
      <c r="AF170" s="407" t="s">
        <v>2835</v>
      </c>
      <c r="AG170" s="406" t="s">
        <v>3015</v>
      </c>
      <c r="AH170" s="406" t="s">
        <v>356</v>
      </c>
      <c r="AI170" s="406" t="s">
        <v>356</v>
      </c>
      <c r="AJ170" s="427" t="s">
        <v>356</v>
      </c>
      <c r="AK170" s="427" t="s">
        <v>356</v>
      </c>
      <c r="AL170" s="427" t="s">
        <v>356</v>
      </c>
      <c r="AM170" s="427" t="s">
        <v>356</v>
      </c>
      <c r="AN170" s="427" t="s">
        <v>356</v>
      </c>
      <c r="AO170" s="427" t="s">
        <v>356</v>
      </c>
      <c r="AP170" s="427" t="s">
        <v>356</v>
      </c>
      <c r="AQ170" s="427" t="s">
        <v>356</v>
      </c>
      <c r="AS170" s="427" t="s">
        <v>820</v>
      </c>
      <c r="AU170" s="427" t="s">
        <v>817</v>
      </c>
      <c r="AY170" s="427">
        <v>1</v>
      </c>
      <c r="AZ170" s="427">
        <v>1</v>
      </c>
      <c r="BA170" s="427">
        <v>1</v>
      </c>
      <c r="BB170" s="427">
        <v>1</v>
      </c>
      <c r="BC170" s="427">
        <v>1</v>
      </c>
      <c r="BD170" s="427">
        <v>1.2</v>
      </c>
      <c r="BE170" s="427">
        <v>1</v>
      </c>
      <c r="BF170" s="427">
        <v>1</v>
      </c>
      <c r="BG170" s="427" t="s">
        <v>1458</v>
      </c>
      <c r="BH170" s="428">
        <v>5.5</v>
      </c>
      <c r="BI170" s="428">
        <v>4</v>
      </c>
      <c r="BJ170" s="428">
        <v>5.5</v>
      </c>
      <c r="BK170" s="428">
        <v>4</v>
      </c>
      <c r="BL170" s="428" t="s">
        <v>356</v>
      </c>
      <c r="BM170" s="428">
        <v>5.5</v>
      </c>
      <c r="BN170" s="428">
        <v>5.5</v>
      </c>
      <c r="BO170" s="428">
        <v>4</v>
      </c>
      <c r="BP170" s="429">
        <f t="shared" si="565"/>
        <v>5.50000000004</v>
      </c>
      <c r="BQ170" s="429">
        <f t="shared" si="566"/>
        <v>4.00000000002</v>
      </c>
      <c r="BR170" s="429">
        <f t="shared" si="567"/>
        <v>5.50000000003</v>
      </c>
      <c r="BS170" s="429">
        <f t="shared" si="568"/>
        <v>4.00000000001</v>
      </c>
      <c r="BT170" s="429">
        <f t="shared" si="569"/>
        <v>0</v>
      </c>
      <c r="BU170" s="429">
        <f t="shared" si="570"/>
        <v>5.50000000006</v>
      </c>
      <c r="BV170" s="429">
        <f t="shared" si="571"/>
        <v>5.50000000007</v>
      </c>
      <c r="BW170" s="429">
        <f t="shared" si="572"/>
        <v>4.00000000008</v>
      </c>
      <c r="BX170" s="427">
        <f t="shared" si="641"/>
        <v>5.50000000004</v>
      </c>
      <c r="BY170" s="427">
        <f t="shared" si="642"/>
        <v>4.00000000002</v>
      </c>
      <c r="BZ170" s="427">
        <f t="shared" si="643"/>
        <v>5.50000000003</v>
      </c>
      <c r="CA170" s="427">
        <f t="shared" si="644"/>
        <v>4.00000000001</v>
      </c>
      <c r="CB170" s="427">
        <f t="shared" si="645"/>
        <v>0</v>
      </c>
      <c r="CC170" s="427">
        <f t="shared" si="646"/>
        <v>6.6000000000719998</v>
      </c>
      <c r="CD170" s="427">
        <f t="shared" si="647"/>
        <v>5.50000000007</v>
      </c>
      <c r="CE170" s="427">
        <f t="shared" si="648"/>
        <v>4.00000000008</v>
      </c>
      <c r="CF170" s="427" t="b">
        <f t="shared" ref="CF170:CF182" si="664">IF($E170="4C2X",TRUE,IF($E170="Best 5",IF(BX170&gt;LARGE($BX170:$CE170,6),TRUE),IF($E170="Best 6",IF(BX170&gt;LARGE($BX170:$CE170,7),TRUE))))</f>
        <v>1</v>
      </c>
      <c r="CG170" s="427" t="b">
        <f t="shared" ref="CG170:CG182" si="665">IF($E170="4C2X",TRUE,IF($E170="Best 5",IF(BY170&gt;LARGE($BX170:$CE170,6),TRUE),IF($E170="Best 6",IF(BY170&gt;LARGE($BX170:$CE170,7),TRUE))))</f>
        <v>1</v>
      </c>
      <c r="CH170" s="427" t="b">
        <f t="shared" ref="CH170:CH182" si="666">IF($E170="4C2X",TRUE,IF($E170="Best 5",IF(BZ170&gt;LARGE($BX170:$CE170,6),TRUE),IF($E170="Best 6",IF(BZ170&gt;LARGE($BX170:$CE170,7),TRUE))))</f>
        <v>1</v>
      </c>
      <c r="CI170" s="427" t="b">
        <f t="shared" ref="CI170:CI182" si="667">IF($E170="4C2X",TRUE,IF($E170="Best 5",IF(CA170&gt;LARGE($BX170:$CE170,6),TRUE),IF($E170="Best 6",IF(CA170&gt;LARGE($BX170:$CE170,7),TRUE))))</f>
        <v>1</v>
      </c>
      <c r="CJ170" s="427" t="b">
        <f t="shared" ref="CJ170:CJ182" si="668">IF($E170="4C2X",IF(CB170&gt;LARGE($CB170:$CE170,3),TRUE),IF($E170="Best 5",IF(CB170&gt;LARGE($BX170:$CE170,6),TRUE),IF($E170="Best 6",IF(CB170&gt;LARGE($BX170:$CE170,7),TRUE))))</f>
        <v>0</v>
      </c>
      <c r="CK170" s="427" t="b">
        <f t="shared" ref="CK170:CK182" si="669">IF($E170="4C2X",IF(CC170&gt;LARGE($CB170:$CE170,3),TRUE),IF($E170="Best 5",IF(CC170&gt;LARGE($BX170:$CE170,6),TRUE),IF($E170="Best 6",IF(CC170&gt;LARGE($BX170:$CE170,7),TRUE))))</f>
        <v>1</v>
      </c>
      <c r="CL170" s="427" t="b">
        <f t="shared" ref="CL170:CL182" si="670">IF($E170="4C2X",IF(CD170&gt;LARGE($CB170:$CE170,3),TRUE),IF($E170="Best 5",IF(CD170&gt;LARGE($BX170:$CE170,6),TRUE),IF($E170="Best 6",IF(CD170&gt;LARGE($BX170:$CE170,7),TRUE))))</f>
        <v>1</v>
      </c>
      <c r="CM170" s="427" t="b">
        <f t="shared" ref="CM170:CM182" si="671">IF($E170="4C2X",IF(CE170&gt;LARGE($CB170:$CE170,3),TRUE),IF($E170="Best 5",IF(CE170&gt;LARGE($BX170:$CE170,6),TRUE),IF($E170="Best 6",IF(CE170&gt;LARGE($BX170:$CE170,7),TRUE))))</f>
        <v>0</v>
      </c>
      <c r="CN170" s="427">
        <v>1</v>
      </c>
      <c r="CO170" s="427">
        <v>1</v>
      </c>
      <c r="CP170" s="427">
        <v>1</v>
      </c>
      <c r="CQ170" s="427">
        <v>1</v>
      </c>
      <c r="CR170" s="427">
        <v>1</v>
      </c>
      <c r="CS170" s="427">
        <v>1.2</v>
      </c>
      <c r="CT170" s="427">
        <v>1</v>
      </c>
      <c r="CU170" s="427">
        <v>1</v>
      </c>
      <c r="CW170" s="427">
        <v>4</v>
      </c>
      <c r="CX170" s="427">
        <v>4</v>
      </c>
      <c r="CY170" s="427">
        <v>4</v>
      </c>
      <c r="CZ170" s="427">
        <v>5.5</v>
      </c>
      <c r="DA170" s="427" t="s">
        <v>356</v>
      </c>
      <c r="DB170" s="427">
        <v>7</v>
      </c>
      <c r="DC170" s="427">
        <v>7</v>
      </c>
      <c r="DD170" s="427" t="s">
        <v>356</v>
      </c>
      <c r="DE170" s="429">
        <f t="shared" si="573"/>
        <v>4.00000000004</v>
      </c>
      <c r="DF170" s="429">
        <f t="shared" si="574"/>
        <v>4.00000000002</v>
      </c>
      <c r="DG170" s="429">
        <f t="shared" si="575"/>
        <v>4.00000000003</v>
      </c>
      <c r="DH170" s="429">
        <f t="shared" si="576"/>
        <v>5.50000000001</v>
      </c>
      <c r="DI170" s="429">
        <f t="shared" si="577"/>
        <v>0</v>
      </c>
      <c r="DJ170" s="429">
        <f t="shared" si="578"/>
        <v>7.00000000006</v>
      </c>
      <c r="DK170" s="429">
        <f t="shared" si="579"/>
        <v>7.00000000007</v>
      </c>
      <c r="DL170" s="429">
        <f t="shared" si="580"/>
        <v>0</v>
      </c>
      <c r="DM170" s="427">
        <f t="shared" si="649"/>
        <v>4.00000000004</v>
      </c>
      <c r="DN170" s="427">
        <f t="shared" si="650"/>
        <v>4.00000000002</v>
      </c>
      <c r="DO170" s="427">
        <f t="shared" si="651"/>
        <v>4.00000000003</v>
      </c>
      <c r="DP170" s="427">
        <f t="shared" si="652"/>
        <v>5.50000000001</v>
      </c>
      <c r="DQ170" s="427">
        <f t="shared" si="653"/>
        <v>0</v>
      </c>
      <c r="DR170" s="427">
        <f t="shared" si="654"/>
        <v>8.4000000000719997</v>
      </c>
      <c r="DS170" s="427">
        <f t="shared" si="655"/>
        <v>7.00000000007</v>
      </c>
      <c r="DT170" s="427">
        <f t="shared" si="656"/>
        <v>0</v>
      </c>
      <c r="DU170" s="427" t="b">
        <f t="shared" ref="DU170:DU181" si="672">IF($E170="4C2X",TRUE,IF($E170="Best 5",IF(DM170&gt;LARGE($DM170:$DT170,6),TRUE),IF($E170="Best 6",IF(DM170&gt;LARGE($DM170:$DT170,7),TRUE))))</f>
        <v>1</v>
      </c>
      <c r="DV170" s="427" t="b">
        <f t="shared" ref="DV170:DV181" si="673">IF($E170="4C2X",TRUE,IF($E170="Best 5",IF(DN170&gt;LARGE($DM170:$DT170,6),TRUE),IF($E170="Best 6",IF(DN170&gt;LARGE($DM170:$DT170,7),TRUE))))</f>
        <v>1</v>
      </c>
      <c r="DW170" s="427" t="b">
        <f t="shared" ref="DW170:DW181" si="674">IF($E170="4C2X",TRUE,IF($E170="Best 5",IF(DO170&gt;LARGE($DM170:$DT170,6),TRUE),IF($E170="Best 6",IF(DO170&gt;LARGE($DM170:$DT170,7),TRUE))))</f>
        <v>1</v>
      </c>
      <c r="DX170" s="427" t="b">
        <f t="shared" ref="DX170:DX181" si="675">IF($E170="4C2X",TRUE,IF($E170="Best 5",IF(DP170&gt;LARGE($DM170:$DT170,6),TRUE),IF($E170="Best 6",IF(DP170&gt;LARGE($DM170:$DT170,7),TRUE))))</f>
        <v>1</v>
      </c>
      <c r="DY170" s="427" t="b">
        <f t="shared" ref="DY170:DY181" si="676">IF($E170="4C2X",IF(DQ170&gt;LARGE($DQ170:$DT170,3),TRUE),IF($E170="Best 5",IF(DQ170&gt;LARGE($DM170:$DT170,6),TRUE),IF($E170="Best 6",IF(DQ170&gt;LARGE($DM170:$DT170,7),TRUE))))</f>
        <v>0</v>
      </c>
      <c r="DZ170" s="427" t="b">
        <f t="shared" ref="DZ170:DZ181" si="677">IF($E170="4C2X",IF(DR170&gt;LARGE($DQ170:$DT170,3),TRUE),IF($E170="Best 5",IF(DR170&gt;LARGE($DM170:$DT170,6),TRUE),IF($E170="Best 6",IF(DR170&gt;LARGE($DM170:$DT170,7),TRUE))))</f>
        <v>1</v>
      </c>
      <c r="EA170" s="427" t="b">
        <f t="shared" ref="EA170:EA181" si="678">IF($E170="4C2X",IF(DS170&gt;LARGE($DQ170:$DT170,3),TRUE),IF($E170="Best 5",IF(DS170&gt;LARGE($DM170:$DT170,6),TRUE),IF($E170="Best 6",IF(DS170&gt;LARGE($DM170:$DT170,7),TRUE))))</f>
        <v>1</v>
      </c>
      <c r="EB170" s="427" t="b">
        <f t="shared" ref="EB170:EB181" si="679">IF($E170="4C2X",IF(DT170&gt;LARGE($DQ170:$DT170,3),TRUE),IF($E170="Best 5",IF(DT170&gt;LARGE($DM170:$DT170,6),TRUE),IF($E170="Best 6",IF(DT170&gt;LARGE($DM170:$DT170,7),TRUE))))</f>
        <v>0</v>
      </c>
      <c r="EC170" s="427">
        <v>1</v>
      </c>
      <c r="ED170" s="427">
        <v>1</v>
      </c>
      <c r="EE170" s="427">
        <v>1</v>
      </c>
      <c r="EF170" s="427">
        <v>1</v>
      </c>
      <c r="EG170" s="427">
        <v>1</v>
      </c>
      <c r="EH170" s="427">
        <v>1</v>
      </c>
      <c r="EI170" s="427">
        <v>1.2</v>
      </c>
      <c r="EJ170" s="427">
        <v>1</v>
      </c>
      <c r="EK170" s="427">
        <v>5.5</v>
      </c>
      <c r="EL170" s="427">
        <v>4</v>
      </c>
      <c r="EM170" s="427">
        <v>5.5</v>
      </c>
      <c r="EN170" s="427">
        <v>5.5</v>
      </c>
      <c r="EO170" s="427" t="s">
        <v>356</v>
      </c>
      <c r="EP170" s="427">
        <v>7</v>
      </c>
      <c r="EQ170" s="427">
        <v>5.5</v>
      </c>
      <c r="ER170" s="427">
        <v>4</v>
      </c>
      <c r="ES170" s="429">
        <f t="shared" si="581"/>
        <v>5.50000000004</v>
      </c>
      <c r="ET170" s="429">
        <f t="shared" si="582"/>
        <v>4.00000000002</v>
      </c>
      <c r="EU170" s="429">
        <f t="shared" si="583"/>
        <v>5.50000000003</v>
      </c>
      <c r="EV170" s="429">
        <f t="shared" si="584"/>
        <v>5.50000000001</v>
      </c>
      <c r="EW170" s="429">
        <f t="shared" si="585"/>
        <v>0</v>
      </c>
      <c r="EX170" s="429">
        <f t="shared" si="586"/>
        <v>7.00000000006</v>
      </c>
      <c r="EY170" s="429">
        <f t="shared" si="587"/>
        <v>5.50000000007</v>
      </c>
      <c r="EZ170" s="429">
        <f t="shared" si="588"/>
        <v>4.00000000008</v>
      </c>
      <c r="FA170" s="427">
        <f t="shared" si="625"/>
        <v>5.50000000004</v>
      </c>
      <c r="FB170" s="427">
        <f t="shared" si="626"/>
        <v>4.00000000002</v>
      </c>
      <c r="FC170" s="427">
        <f t="shared" si="627"/>
        <v>5.50000000003</v>
      </c>
      <c r="FD170" s="427">
        <f t="shared" si="628"/>
        <v>5.50000000001</v>
      </c>
      <c r="FE170" s="427">
        <f t="shared" si="629"/>
        <v>0</v>
      </c>
      <c r="FF170" s="427">
        <f t="shared" si="630"/>
        <v>7.00000000006</v>
      </c>
      <c r="FG170" s="427">
        <f t="shared" si="631"/>
        <v>6.600000000084</v>
      </c>
      <c r="FH170" s="427">
        <f t="shared" si="632"/>
        <v>4.00000000008</v>
      </c>
      <c r="FI170" s="427" t="b">
        <f t="shared" ref="FI170:FI181" si="680">IF($E170="4C2X",TRUE,IF($E170="Best 5",IF(FA170&gt;LARGE($FA170:$FH170,6),TRUE),IF($E170="Best 6",IF(FA170&gt;LARGE($FA170:$FH170,7),TRUE))))</f>
        <v>1</v>
      </c>
      <c r="FJ170" s="427" t="b">
        <f t="shared" ref="FJ170:FJ181" si="681">IF($E170="4C2X",TRUE,IF($E170="Best 5",IF(FB170&gt;LARGE($FA170:$FH170,6),TRUE),IF($E170="Best 6",IF(FB170&gt;LARGE($FA170:$FH170,7),TRUE))))</f>
        <v>1</v>
      </c>
      <c r="FK170" s="427" t="b">
        <f t="shared" ref="FK170:FK181" si="682">IF($E170="4C2X",TRUE,IF($E170="Best 5",IF(FC170&gt;LARGE($FA170:$FH170,6),TRUE),IF($E170="Best 6",IF(FC170&gt;LARGE($FA170:$FH170,7),TRUE))))</f>
        <v>1</v>
      </c>
      <c r="FL170" s="427" t="b">
        <f t="shared" ref="FL170:FL181" si="683">IF($E170="4C2X",TRUE,IF($E170="Best 5",IF(FD170&gt;LARGE($FA170:$FH170,6),TRUE),IF($E170="Best 6",IF(FD170&gt;LARGE($FA170:$FH170,7),TRUE))))</f>
        <v>1</v>
      </c>
      <c r="FM170" s="427" t="b">
        <f t="shared" ref="FM170:FM181" si="684">IF($E170="4C2X",IF(FE170&gt;LARGE($FE170:$FH170,3),TRUE),IF($E170="Best 5",IF(FE170&gt;LARGE($FA170:$FH170,6),TRUE),IF($E170="Best 6",IF(FE170&gt;LARGE($FA170:$FH170,7),TRUE))))</f>
        <v>0</v>
      </c>
      <c r="FN170" s="427" t="b">
        <f t="shared" ref="FN170:FN181" si="685">IF($E170="4C2X",IF(FF170&gt;LARGE($FE170:$FH170,3),TRUE),IF($E170="Best 5",IF(FF170&gt;LARGE($FA170:$FH170,6),TRUE),IF($E170="Best 6",IF(FF170&gt;LARGE($FA170:$FH170,7),TRUE))))</f>
        <v>1</v>
      </c>
      <c r="FO170" s="427" t="b">
        <f t="shared" ref="FO170:FO181" si="686">IF($E170="4C2X",IF(FG170&gt;LARGE($FE170:$FH170,3),TRUE),IF($E170="Best 5",IF(FG170&gt;LARGE($FA170:$FH170,6),TRUE),IF($E170="Best 6",IF(FG170&gt;LARGE($FA170:$FH170,7),TRUE))))</f>
        <v>1</v>
      </c>
      <c r="FP170" s="427" t="b">
        <f t="shared" ref="FP170:FP181" si="687">IF($E170="4C2X",IF(FH170&gt;LARGE($FE170:$FH170,3),TRUE),IF($E170="Best 5",IF(FH170&gt;LARGE($FA170:$FH170,6),TRUE),IF($E170="Best 6",IF(FH170&gt;LARGE($FA170:$FH170,7),TRUE))))</f>
        <v>0</v>
      </c>
    </row>
    <row r="171" spans="1:172" ht="15.6">
      <c r="A171" s="2" t="s">
        <v>1461</v>
      </c>
      <c r="B171" s="2" t="s">
        <v>255</v>
      </c>
      <c r="C171" s="2" t="s">
        <v>1450</v>
      </c>
      <c r="D171" s="2" t="s">
        <v>1462</v>
      </c>
      <c r="E171" s="2" t="s">
        <v>815</v>
      </c>
      <c r="F171" s="2" t="s">
        <v>356</v>
      </c>
      <c r="G171" s="2">
        <v>36</v>
      </c>
      <c r="H171" s="2">
        <v>34.5</v>
      </c>
      <c r="I171" s="2">
        <v>33</v>
      </c>
      <c r="J171" s="2">
        <f t="shared" si="562"/>
        <v>36.000000000230003</v>
      </c>
      <c r="K171" s="2">
        <f t="shared" si="563"/>
        <v>34.500000000230003</v>
      </c>
      <c r="L171" s="2">
        <f t="shared" si="564"/>
        <v>33.00000000024</v>
      </c>
      <c r="M171" s="364" t="s">
        <v>356</v>
      </c>
      <c r="N171" s="364" t="s">
        <v>356</v>
      </c>
      <c r="O171" s="364" t="s">
        <v>356</v>
      </c>
      <c r="P171" s="364" t="s">
        <v>356</v>
      </c>
      <c r="Q171" s="364" t="s">
        <v>356</v>
      </c>
      <c r="R171" s="2" t="s">
        <v>1463</v>
      </c>
      <c r="S171" s="2" t="s">
        <v>1177</v>
      </c>
      <c r="T171" s="2">
        <v>59</v>
      </c>
      <c r="U171" s="2" cm="1">
        <f t="array" ref="U171">IFERROR(INDEX('Offer Statistics'!$BQ$2:$BQ$400,MATCH(1,(A171='Offer Statistics'!$BB$2:$BB$400)*($A$11='Offer Statistics'!$BC$2:$BC$400),0)),"/")</f>
        <v>60</v>
      </c>
      <c r="V171" s="2" cm="1">
        <f t="array" ref="V171">IFERROR(INDEX('Offer Statistics'!$BD$2:$BD$400,MATCH(1,(A171='Offer Statistics'!$BB$2:$BB$400)*($A$11='Offer Statistics'!$BC$2:$BC$400),0)),"/")</f>
        <v>307</v>
      </c>
      <c r="W171" s="2" cm="1">
        <f t="array" ref="W171">IFERROR(INDEX('Offer Statistics'!$BL$2:$BL$400,MATCH(1,(A171='Offer Statistics'!$BB$2:$BB$400)*($A$11='Offer Statistics'!$BC$2:$BC$400),0)),"/")</f>
        <v>60</v>
      </c>
      <c r="X171" s="2">
        <f t="shared" si="502"/>
        <v>5.1166666666666663</v>
      </c>
      <c r="Y171" s="2" t="s">
        <v>1177</v>
      </c>
      <c r="Z171" s="364" t="str">
        <f>入學要求!AF180</f>
        <v>/</v>
      </c>
      <c r="AA171" s="364" t="str">
        <f>入學要求!AG180</f>
        <v>/</v>
      </c>
      <c r="AB171" s="406" t="s">
        <v>889</v>
      </c>
      <c r="AC171" s="368"/>
      <c r="AD171" s="368"/>
      <c r="AE171" s="368" t="s">
        <v>3022</v>
      </c>
      <c r="AF171" s="368" t="s">
        <v>356</v>
      </c>
      <c r="AG171" s="368" t="s">
        <v>356</v>
      </c>
      <c r="AH171" s="368" t="s">
        <v>356</v>
      </c>
      <c r="AI171" s="406" t="s">
        <v>356</v>
      </c>
      <c r="AJ171" s="2" t="s">
        <v>356</v>
      </c>
      <c r="AK171" s="2" t="s">
        <v>356</v>
      </c>
      <c r="AL171" s="2" t="s">
        <v>356</v>
      </c>
      <c r="AM171" s="2" t="s">
        <v>356</v>
      </c>
      <c r="AN171" s="2" t="s">
        <v>356</v>
      </c>
      <c r="AO171" s="2" t="s">
        <v>3018</v>
      </c>
      <c r="AP171" s="2" t="s">
        <v>356</v>
      </c>
      <c r="AQ171" s="2" t="s">
        <v>356</v>
      </c>
      <c r="AS171" s="2" t="s">
        <v>820</v>
      </c>
      <c r="AU171" s="2" t="s">
        <v>1336</v>
      </c>
      <c r="AY171" s="2">
        <v>1</v>
      </c>
      <c r="AZ171" s="2">
        <v>1</v>
      </c>
      <c r="BA171" s="2">
        <v>1</v>
      </c>
      <c r="BB171" s="2">
        <v>1</v>
      </c>
      <c r="BC171" s="2">
        <v>1</v>
      </c>
      <c r="BD171" s="2">
        <v>1</v>
      </c>
      <c r="BE171" s="2">
        <v>1</v>
      </c>
      <c r="BF171" s="2">
        <v>1</v>
      </c>
      <c r="BG171" s="2" t="s">
        <v>1461</v>
      </c>
      <c r="BH171">
        <v>7</v>
      </c>
      <c r="BI171">
        <v>5.5</v>
      </c>
      <c r="BJ171">
        <v>4</v>
      </c>
      <c r="BK171">
        <v>4</v>
      </c>
      <c r="BL171" t="s">
        <v>356</v>
      </c>
      <c r="BM171">
        <v>7</v>
      </c>
      <c r="BN171">
        <v>5.5</v>
      </c>
      <c r="BO171">
        <v>5.5</v>
      </c>
      <c r="BP171" s="206">
        <f t="shared" si="565"/>
        <v>7.00000000004</v>
      </c>
      <c r="BQ171" s="206">
        <f t="shared" si="566"/>
        <v>5.50000000002</v>
      </c>
      <c r="BR171" s="206">
        <f t="shared" si="567"/>
        <v>4.00000000003</v>
      </c>
      <c r="BS171" s="206">
        <f t="shared" si="568"/>
        <v>4.00000000001</v>
      </c>
      <c r="BT171" s="206">
        <f t="shared" si="569"/>
        <v>0</v>
      </c>
      <c r="BU171" s="206">
        <f t="shared" si="570"/>
        <v>7.00000000006</v>
      </c>
      <c r="BV171" s="206">
        <f t="shared" si="571"/>
        <v>5.50000000007</v>
      </c>
      <c r="BW171" s="206">
        <f t="shared" si="572"/>
        <v>5.50000000008</v>
      </c>
      <c r="BX171" s="2">
        <f t="shared" si="641"/>
        <v>7.00000000004</v>
      </c>
      <c r="BY171" s="2">
        <f t="shared" si="642"/>
        <v>5.50000000002</v>
      </c>
      <c r="BZ171" s="2">
        <f t="shared" si="643"/>
        <v>4.00000000003</v>
      </c>
      <c r="CA171" s="2">
        <f t="shared" si="644"/>
        <v>4.00000000001</v>
      </c>
      <c r="CB171" s="2">
        <f t="shared" si="645"/>
        <v>0</v>
      </c>
      <c r="CC171" s="2">
        <f t="shared" si="646"/>
        <v>7.00000000006</v>
      </c>
      <c r="CD171" s="2">
        <f t="shared" si="647"/>
        <v>5.50000000007</v>
      </c>
      <c r="CE171" s="2">
        <f t="shared" si="648"/>
        <v>5.50000000008</v>
      </c>
      <c r="CF171" s="2" t="b">
        <f t="shared" si="664"/>
        <v>1</v>
      </c>
      <c r="CG171" s="2" t="b">
        <f t="shared" si="665"/>
        <v>1</v>
      </c>
      <c r="CH171" s="2" t="b">
        <f t="shared" si="666"/>
        <v>1</v>
      </c>
      <c r="CI171" s="2" t="b">
        <f t="shared" si="667"/>
        <v>1</v>
      </c>
      <c r="CJ171" s="2" t="b">
        <f t="shared" si="668"/>
        <v>0</v>
      </c>
      <c r="CK171" s="2" t="b">
        <f t="shared" si="669"/>
        <v>1</v>
      </c>
      <c r="CL171" s="2" t="b">
        <f t="shared" si="670"/>
        <v>0</v>
      </c>
      <c r="CM171" s="2" t="b">
        <f t="shared" si="671"/>
        <v>1</v>
      </c>
      <c r="CN171" s="2">
        <v>1</v>
      </c>
      <c r="CO171" s="2">
        <v>1</v>
      </c>
      <c r="CP171" s="2">
        <v>1</v>
      </c>
      <c r="CQ171" s="2">
        <v>1</v>
      </c>
      <c r="CR171" s="2">
        <v>1</v>
      </c>
      <c r="CS171" s="2">
        <v>1</v>
      </c>
      <c r="CT171" s="2">
        <v>1</v>
      </c>
      <c r="CU171" s="2">
        <v>1</v>
      </c>
      <c r="CW171" s="2">
        <v>5.5</v>
      </c>
      <c r="CX171" s="2">
        <v>5.5</v>
      </c>
      <c r="CY171" s="2">
        <v>7</v>
      </c>
      <c r="CZ171" s="2">
        <v>4</v>
      </c>
      <c r="DA171" s="2">
        <v>3</v>
      </c>
      <c r="DB171" s="2">
        <v>7</v>
      </c>
      <c r="DC171" s="2">
        <v>5.5</v>
      </c>
      <c r="DD171" s="2">
        <v>4</v>
      </c>
      <c r="DE171" s="206">
        <f t="shared" si="573"/>
        <v>5.50000000004</v>
      </c>
      <c r="DF171" s="206">
        <f t="shared" si="574"/>
        <v>5.50000000002</v>
      </c>
      <c r="DG171" s="206">
        <f t="shared" si="575"/>
        <v>7.00000000003</v>
      </c>
      <c r="DH171" s="206">
        <f t="shared" si="576"/>
        <v>4.00000000001</v>
      </c>
      <c r="DI171" s="206">
        <f t="shared" si="577"/>
        <v>3.00000000005</v>
      </c>
      <c r="DJ171" s="206">
        <f t="shared" si="578"/>
        <v>7.00000000006</v>
      </c>
      <c r="DK171" s="206">
        <f t="shared" si="579"/>
        <v>5.50000000007</v>
      </c>
      <c r="DL171" s="206">
        <f t="shared" si="580"/>
        <v>4.00000000008</v>
      </c>
      <c r="DM171" s="2">
        <f t="shared" si="649"/>
        <v>5.50000000004</v>
      </c>
      <c r="DN171" s="2">
        <f t="shared" si="650"/>
        <v>5.50000000002</v>
      </c>
      <c r="DO171" s="2">
        <f t="shared" si="651"/>
        <v>7.00000000003</v>
      </c>
      <c r="DP171" s="2">
        <f t="shared" si="652"/>
        <v>4.00000000001</v>
      </c>
      <c r="DQ171" s="2">
        <f t="shared" si="653"/>
        <v>3.00000000005</v>
      </c>
      <c r="DR171" s="2">
        <f t="shared" si="654"/>
        <v>7.00000000006</v>
      </c>
      <c r="DS171" s="2">
        <f t="shared" si="655"/>
        <v>5.50000000007</v>
      </c>
      <c r="DT171" s="2">
        <f t="shared" si="656"/>
        <v>4.00000000008</v>
      </c>
      <c r="DU171" s="2" t="b">
        <f t="shared" si="672"/>
        <v>1</v>
      </c>
      <c r="DV171" s="2" t="b">
        <f t="shared" si="673"/>
        <v>1</v>
      </c>
      <c r="DW171" s="2" t="b">
        <f t="shared" si="674"/>
        <v>1</v>
      </c>
      <c r="DX171" s="2" t="b">
        <f t="shared" si="675"/>
        <v>1</v>
      </c>
      <c r="DY171" s="2" t="b">
        <f t="shared" si="676"/>
        <v>0</v>
      </c>
      <c r="DZ171" s="2" t="b">
        <f t="shared" si="677"/>
        <v>1</v>
      </c>
      <c r="EA171" s="2" t="b">
        <f t="shared" si="678"/>
        <v>1</v>
      </c>
      <c r="EB171" s="2" t="b">
        <f t="shared" si="679"/>
        <v>0</v>
      </c>
      <c r="EC171" s="2">
        <v>1</v>
      </c>
      <c r="ED171" s="2">
        <v>1</v>
      </c>
      <c r="EE171" s="2">
        <v>1</v>
      </c>
      <c r="EF171" s="2">
        <v>1</v>
      </c>
      <c r="EG171" s="2">
        <v>1</v>
      </c>
      <c r="EH171" s="2">
        <v>1</v>
      </c>
      <c r="EI171" s="2">
        <v>1</v>
      </c>
      <c r="EJ171" s="2">
        <v>1</v>
      </c>
      <c r="EK171" s="2">
        <v>7</v>
      </c>
      <c r="EL171" s="2">
        <v>4</v>
      </c>
      <c r="EM171" s="2">
        <v>7</v>
      </c>
      <c r="EN171" s="2">
        <v>5.5</v>
      </c>
      <c r="EO171" s="2">
        <v>4</v>
      </c>
      <c r="EP171" s="2">
        <v>7</v>
      </c>
      <c r="EQ171" s="2">
        <v>5.5</v>
      </c>
      <c r="ER171" s="2" t="s">
        <v>356</v>
      </c>
      <c r="ES171" s="206">
        <f t="shared" si="581"/>
        <v>7.00000000004</v>
      </c>
      <c r="ET171" s="206">
        <f t="shared" si="582"/>
        <v>4.00000000002</v>
      </c>
      <c r="EU171" s="206">
        <f t="shared" si="583"/>
        <v>7.00000000003</v>
      </c>
      <c r="EV171" s="206">
        <f t="shared" si="584"/>
        <v>5.50000000001</v>
      </c>
      <c r="EW171" s="206">
        <f t="shared" si="585"/>
        <v>4.00000000005</v>
      </c>
      <c r="EX171" s="206">
        <f t="shared" si="586"/>
        <v>7.00000000006</v>
      </c>
      <c r="EY171" s="206">
        <f t="shared" si="587"/>
        <v>5.50000000007</v>
      </c>
      <c r="EZ171" s="206">
        <f t="shared" si="588"/>
        <v>0</v>
      </c>
      <c r="FA171" s="2">
        <f t="shared" si="625"/>
        <v>7.00000000004</v>
      </c>
      <c r="FB171" s="2">
        <f t="shared" si="626"/>
        <v>4.00000000002</v>
      </c>
      <c r="FC171" s="2">
        <f t="shared" si="627"/>
        <v>7.00000000003</v>
      </c>
      <c r="FD171" s="2">
        <f t="shared" si="628"/>
        <v>5.50000000001</v>
      </c>
      <c r="FE171" s="2">
        <f t="shared" si="629"/>
        <v>4.00000000005</v>
      </c>
      <c r="FF171" s="2">
        <f t="shared" si="630"/>
        <v>7.00000000006</v>
      </c>
      <c r="FG171" s="2">
        <f t="shared" si="631"/>
        <v>5.50000000007</v>
      </c>
      <c r="FH171" s="2">
        <f t="shared" si="632"/>
        <v>0</v>
      </c>
      <c r="FI171" s="2" t="b">
        <f t="shared" si="680"/>
        <v>1</v>
      </c>
      <c r="FJ171" s="2" t="b">
        <f t="shared" si="681"/>
        <v>1</v>
      </c>
      <c r="FK171" s="2" t="b">
        <f t="shared" si="682"/>
        <v>1</v>
      </c>
      <c r="FL171" s="2" t="b">
        <f t="shared" si="683"/>
        <v>1</v>
      </c>
      <c r="FM171" s="2" t="b">
        <f t="shared" si="684"/>
        <v>0</v>
      </c>
      <c r="FN171" s="2" t="b">
        <f t="shared" si="685"/>
        <v>1</v>
      </c>
      <c r="FO171" s="2" t="b">
        <f t="shared" si="686"/>
        <v>1</v>
      </c>
      <c r="FP171" s="2" t="b">
        <f t="shared" si="687"/>
        <v>0</v>
      </c>
    </row>
    <row r="172" spans="1:172" ht="15.6">
      <c r="A172" s="2" t="s">
        <v>1464</v>
      </c>
      <c r="B172" s="2" t="s">
        <v>255</v>
      </c>
      <c r="C172" s="2" t="s">
        <v>1450</v>
      </c>
      <c r="D172" s="2" t="s">
        <v>1465</v>
      </c>
      <c r="E172" s="2" t="s">
        <v>889</v>
      </c>
      <c r="F172" s="2" t="s">
        <v>356</v>
      </c>
      <c r="G172" s="2">
        <v>24.5</v>
      </c>
      <c r="H172" s="2">
        <v>24.5</v>
      </c>
      <c r="I172" s="2">
        <v>23.5</v>
      </c>
      <c r="J172" s="2">
        <f t="shared" si="562"/>
        <v>24.500000000259998</v>
      </c>
      <c r="K172" s="2">
        <f t="shared" si="563"/>
        <v>24.500000000209997</v>
      </c>
      <c r="L172" s="2">
        <f t="shared" si="564"/>
        <v>23.500000000219998</v>
      </c>
      <c r="M172" s="364" t="s">
        <v>356</v>
      </c>
      <c r="N172" s="364" t="s">
        <v>356</v>
      </c>
      <c r="O172" s="364" t="s">
        <v>356</v>
      </c>
      <c r="P172" s="364" t="s">
        <v>356</v>
      </c>
      <c r="Q172" s="364" t="s">
        <v>356</v>
      </c>
      <c r="R172" s="2" t="s">
        <v>1466</v>
      </c>
      <c r="S172" s="2" t="s">
        <v>1177</v>
      </c>
      <c r="T172" s="2">
        <v>31</v>
      </c>
      <c r="U172" s="2" cm="1">
        <f t="array" ref="U172">IFERROR(INDEX('Offer Statistics'!$BQ$2:$BQ$400,MATCH(1,(A172='Offer Statistics'!$BB$2:$BB$400)*($A$11='Offer Statistics'!$BC$2:$BC$400),0)),"/")</f>
        <v>15</v>
      </c>
      <c r="V172" s="2" cm="1">
        <f t="array" ref="V172">IFERROR(INDEX('Offer Statistics'!$BD$2:$BD$400,MATCH(1,(A172='Offer Statistics'!$BB$2:$BB$400)*($A$11='Offer Statistics'!$BC$2:$BC$400),0)),"/")</f>
        <v>104</v>
      </c>
      <c r="W172" s="2" cm="1">
        <f t="array" ref="W172">IFERROR(INDEX('Offer Statistics'!$BL$2:$BL$400,MATCH(1,(A172='Offer Statistics'!$BB$2:$BB$400)*($A$11='Offer Statistics'!$BC$2:$BC$400),0)),"/")</f>
        <v>15</v>
      </c>
      <c r="X172" s="2">
        <f t="shared" si="502"/>
        <v>6.9333333333333336</v>
      </c>
      <c r="Y172" s="2" t="s">
        <v>1177</v>
      </c>
      <c r="Z172" s="364" t="str">
        <f>入學要求!AF181</f>
        <v>/</v>
      </c>
      <c r="AA172" s="364" t="str">
        <f>入學要求!AG181</f>
        <v>/</v>
      </c>
      <c r="AB172" s="368" t="s">
        <v>889</v>
      </c>
      <c r="AC172" s="368"/>
      <c r="AD172" s="368"/>
      <c r="AE172" s="368" t="s">
        <v>356</v>
      </c>
      <c r="AF172" s="368" t="s">
        <v>356</v>
      </c>
      <c r="AG172" s="368" t="s">
        <v>356</v>
      </c>
      <c r="AH172" s="368" t="s">
        <v>356</v>
      </c>
      <c r="AI172" s="406" t="s">
        <v>356</v>
      </c>
      <c r="AJ172" s="2" t="s">
        <v>356</v>
      </c>
      <c r="AK172" s="2" t="s">
        <v>356</v>
      </c>
      <c r="AL172" s="2" t="s">
        <v>356</v>
      </c>
      <c r="AM172" s="2" t="s">
        <v>356</v>
      </c>
      <c r="AN172" s="2" t="s">
        <v>356</v>
      </c>
      <c r="AO172" s="2" t="s">
        <v>356</v>
      </c>
      <c r="AP172" s="2" t="s">
        <v>356</v>
      </c>
      <c r="AQ172" s="2" t="s">
        <v>356</v>
      </c>
      <c r="AS172" s="2" t="s">
        <v>820</v>
      </c>
      <c r="AU172" s="2" t="s">
        <v>817</v>
      </c>
      <c r="AY172" s="2">
        <v>1</v>
      </c>
      <c r="AZ172" s="2">
        <v>1</v>
      </c>
      <c r="BA172" s="2">
        <v>1</v>
      </c>
      <c r="BB172" s="2">
        <v>1</v>
      </c>
      <c r="BC172" s="2">
        <v>1</v>
      </c>
      <c r="BD172" s="2">
        <v>1</v>
      </c>
      <c r="BE172" s="2">
        <v>1</v>
      </c>
      <c r="BF172" s="2">
        <v>1</v>
      </c>
      <c r="BG172" s="2" t="s">
        <v>1464</v>
      </c>
      <c r="BH172">
        <v>5.5</v>
      </c>
      <c r="BI172">
        <v>3</v>
      </c>
      <c r="BJ172">
        <v>4</v>
      </c>
      <c r="BK172">
        <v>4</v>
      </c>
      <c r="BL172" t="s">
        <v>356</v>
      </c>
      <c r="BM172">
        <v>7</v>
      </c>
      <c r="BN172">
        <v>3</v>
      </c>
      <c r="BO172">
        <v>3</v>
      </c>
      <c r="BP172" s="206">
        <f t="shared" si="565"/>
        <v>5.50000000004</v>
      </c>
      <c r="BQ172" s="206">
        <f t="shared" si="566"/>
        <v>3.00000000002</v>
      </c>
      <c r="BR172" s="206">
        <f t="shared" si="567"/>
        <v>4.00000000003</v>
      </c>
      <c r="BS172" s="206">
        <f t="shared" si="568"/>
        <v>4.00000000001</v>
      </c>
      <c r="BT172" s="206">
        <f t="shared" si="569"/>
        <v>0</v>
      </c>
      <c r="BU172" s="206">
        <f t="shared" si="570"/>
        <v>7.00000000006</v>
      </c>
      <c r="BV172" s="206">
        <f t="shared" si="571"/>
        <v>3.00000000007</v>
      </c>
      <c r="BW172" s="206">
        <f t="shared" si="572"/>
        <v>3.00000000008</v>
      </c>
      <c r="BX172" s="2">
        <f t="shared" si="641"/>
        <v>5.50000000004</v>
      </c>
      <c r="BY172" s="2">
        <f t="shared" si="642"/>
        <v>3.00000000002</v>
      </c>
      <c r="BZ172" s="2">
        <f t="shared" si="643"/>
        <v>4.00000000003</v>
      </c>
      <c r="CA172" s="2">
        <f t="shared" si="644"/>
        <v>4.00000000001</v>
      </c>
      <c r="CB172" s="2">
        <f t="shared" si="645"/>
        <v>0</v>
      </c>
      <c r="CC172" s="2">
        <f t="shared" si="646"/>
        <v>7.00000000006</v>
      </c>
      <c r="CD172" s="2">
        <f t="shared" si="647"/>
        <v>3.00000000007</v>
      </c>
      <c r="CE172" s="2">
        <f t="shared" si="648"/>
        <v>3.00000000008</v>
      </c>
      <c r="CF172" s="2" t="b">
        <f t="shared" si="664"/>
        <v>1</v>
      </c>
      <c r="CG172" s="2" t="b">
        <f t="shared" si="665"/>
        <v>0</v>
      </c>
      <c r="CH172" s="2" t="b">
        <f t="shared" si="666"/>
        <v>1</v>
      </c>
      <c r="CI172" s="2" t="b">
        <f t="shared" si="667"/>
        <v>1</v>
      </c>
      <c r="CJ172" s="2" t="b">
        <f t="shared" si="668"/>
        <v>0</v>
      </c>
      <c r="CK172" s="2" t="b">
        <f t="shared" si="669"/>
        <v>1</v>
      </c>
      <c r="CL172" s="2" t="b">
        <f t="shared" si="670"/>
        <v>0</v>
      </c>
      <c r="CM172" s="2" t="b">
        <f t="shared" si="671"/>
        <v>1</v>
      </c>
      <c r="CN172" s="2">
        <v>1</v>
      </c>
      <c r="CO172" s="2">
        <v>1</v>
      </c>
      <c r="CP172" s="2">
        <v>1</v>
      </c>
      <c r="CQ172" s="2">
        <v>1</v>
      </c>
      <c r="CR172" s="2">
        <v>1</v>
      </c>
      <c r="CS172" s="2">
        <v>1</v>
      </c>
      <c r="CT172" s="2">
        <v>1</v>
      </c>
      <c r="CU172" s="2">
        <v>1</v>
      </c>
      <c r="CW172" s="2">
        <v>5.5</v>
      </c>
      <c r="CX172" s="2">
        <v>4</v>
      </c>
      <c r="CY172" s="2">
        <v>5.5</v>
      </c>
      <c r="CZ172" s="2">
        <v>5.5</v>
      </c>
      <c r="DA172" s="2" t="s">
        <v>356</v>
      </c>
      <c r="DB172" s="2">
        <v>4</v>
      </c>
      <c r="DC172" s="2">
        <v>4</v>
      </c>
      <c r="DD172" s="2" t="s">
        <v>356</v>
      </c>
      <c r="DE172" s="206">
        <f t="shared" si="573"/>
        <v>5.50000000004</v>
      </c>
      <c r="DF172" s="206">
        <f t="shared" si="574"/>
        <v>4.00000000002</v>
      </c>
      <c r="DG172" s="206">
        <f t="shared" si="575"/>
        <v>5.50000000003</v>
      </c>
      <c r="DH172" s="206">
        <f t="shared" si="576"/>
        <v>5.50000000001</v>
      </c>
      <c r="DI172" s="206">
        <f t="shared" si="577"/>
        <v>0</v>
      </c>
      <c r="DJ172" s="206">
        <f t="shared" si="578"/>
        <v>4.00000000006</v>
      </c>
      <c r="DK172" s="206">
        <f t="shared" si="579"/>
        <v>4.00000000007</v>
      </c>
      <c r="DL172" s="206">
        <f t="shared" si="580"/>
        <v>0</v>
      </c>
      <c r="DM172" s="2">
        <f t="shared" si="649"/>
        <v>5.50000000004</v>
      </c>
      <c r="DN172" s="2">
        <f t="shared" si="650"/>
        <v>4.00000000002</v>
      </c>
      <c r="DO172" s="2">
        <f t="shared" si="651"/>
        <v>5.50000000003</v>
      </c>
      <c r="DP172" s="2">
        <f t="shared" si="652"/>
        <v>5.50000000001</v>
      </c>
      <c r="DQ172" s="2">
        <f t="shared" si="653"/>
        <v>0</v>
      </c>
      <c r="DR172" s="2">
        <f t="shared" si="654"/>
        <v>4.00000000006</v>
      </c>
      <c r="DS172" s="2">
        <f t="shared" si="655"/>
        <v>4.00000000007</v>
      </c>
      <c r="DT172" s="2">
        <f t="shared" si="656"/>
        <v>0</v>
      </c>
      <c r="DU172" s="2" t="b">
        <f t="shared" si="672"/>
        <v>1</v>
      </c>
      <c r="DV172" s="2" t="b">
        <f t="shared" si="673"/>
        <v>0</v>
      </c>
      <c r="DW172" s="2" t="b">
        <f t="shared" si="674"/>
        <v>1</v>
      </c>
      <c r="DX172" s="2" t="b">
        <f t="shared" si="675"/>
        <v>1</v>
      </c>
      <c r="DY172" s="2" t="b">
        <f t="shared" si="676"/>
        <v>0</v>
      </c>
      <c r="DZ172" s="2" t="b">
        <f t="shared" si="677"/>
        <v>1</v>
      </c>
      <c r="EA172" s="2" t="b">
        <f t="shared" si="678"/>
        <v>1</v>
      </c>
      <c r="EB172" s="2" t="b">
        <f t="shared" si="679"/>
        <v>0</v>
      </c>
      <c r="EC172" s="2">
        <v>1</v>
      </c>
      <c r="ED172" s="2">
        <v>1</v>
      </c>
      <c r="EE172" s="2">
        <v>1</v>
      </c>
      <c r="EF172" s="2">
        <v>1</v>
      </c>
      <c r="EG172" s="2">
        <v>1</v>
      </c>
      <c r="EH172" s="2">
        <v>1</v>
      </c>
      <c r="EI172" s="2">
        <v>1</v>
      </c>
      <c r="EJ172" s="2">
        <v>1</v>
      </c>
      <c r="EK172" s="2">
        <v>5.5</v>
      </c>
      <c r="EL172" s="2">
        <v>4</v>
      </c>
      <c r="EM172" s="2">
        <v>4</v>
      </c>
      <c r="EN172" s="2">
        <v>5.5</v>
      </c>
      <c r="EO172" s="2" t="s">
        <v>356</v>
      </c>
      <c r="EP172" s="2">
        <v>5.5</v>
      </c>
      <c r="EQ172" s="2">
        <v>4</v>
      </c>
      <c r="ER172" s="2">
        <v>4</v>
      </c>
      <c r="ES172" s="206">
        <f t="shared" si="581"/>
        <v>5.50000000004</v>
      </c>
      <c r="ET172" s="206">
        <f t="shared" si="582"/>
        <v>4.00000000002</v>
      </c>
      <c r="EU172" s="206">
        <f t="shared" si="583"/>
        <v>4.00000000003</v>
      </c>
      <c r="EV172" s="206">
        <f t="shared" si="584"/>
        <v>5.50000000001</v>
      </c>
      <c r="EW172" s="206">
        <f t="shared" si="585"/>
        <v>0</v>
      </c>
      <c r="EX172" s="206">
        <f t="shared" si="586"/>
        <v>5.50000000006</v>
      </c>
      <c r="EY172" s="206">
        <f t="shared" si="587"/>
        <v>4.00000000007</v>
      </c>
      <c r="EZ172" s="206">
        <f t="shared" si="588"/>
        <v>4.00000000008</v>
      </c>
      <c r="FA172" s="2">
        <f t="shared" si="625"/>
        <v>5.50000000004</v>
      </c>
      <c r="FB172" s="2">
        <f t="shared" si="626"/>
        <v>4.00000000002</v>
      </c>
      <c r="FC172" s="2">
        <f t="shared" si="627"/>
        <v>4.00000000003</v>
      </c>
      <c r="FD172" s="2">
        <f t="shared" si="628"/>
        <v>5.50000000001</v>
      </c>
      <c r="FE172" s="2">
        <f t="shared" si="629"/>
        <v>0</v>
      </c>
      <c r="FF172" s="2">
        <f t="shared" si="630"/>
        <v>5.50000000006</v>
      </c>
      <c r="FG172" s="2">
        <f t="shared" si="631"/>
        <v>4.00000000007</v>
      </c>
      <c r="FH172" s="2">
        <f t="shared" si="632"/>
        <v>4.00000000008</v>
      </c>
      <c r="FI172" s="2" t="b">
        <f t="shared" si="680"/>
        <v>1</v>
      </c>
      <c r="FJ172" s="2" t="b">
        <f t="shared" si="681"/>
        <v>0</v>
      </c>
      <c r="FK172" s="2" t="b">
        <f t="shared" si="682"/>
        <v>0</v>
      </c>
      <c r="FL172" s="2" t="b">
        <f t="shared" si="683"/>
        <v>1</v>
      </c>
      <c r="FM172" s="2" t="b">
        <f t="shared" si="684"/>
        <v>0</v>
      </c>
      <c r="FN172" s="2" t="b">
        <f t="shared" si="685"/>
        <v>1</v>
      </c>
      <c r="FO172" s="2" t="b">
        <f t="shared" si="686"/>
        <v>1</v>
      </c>
      <c r="FP172" s="2" t="b">
        <f t="shared" si="687"/>
        <v>1</v>
      </c>
    </row>
    <row r="173" spans="1:172" s="427" customFormat="1" ht="15.6">
      <c r="A173" s="427" t="s">
        <v>1467</v>
      </c>
      <c r="B173" s="427" t="s">
        <v>255</v>
      </c>
      <c r="C173" s="427" t="s">
        <v>1450</v>
      </c>
      <c r="D173" s="427" t="s">
        <v>1468</v>
      </c>
      <c r="E173" s="427" t="s">
        <v>815</v>
      </c>
      <c r="F173" s="427" t="s">
        <v>356</v>
      </c>
      <c r="G173" s="427">
        <v>34.5</v>
      </c>
      <c r="H173" s="427">
        <v>32</v>
      </c>
      <c r="I173" s="427">
        <v>31.5</v>
      </c>
      <c r="J173" s="427">
        <f t="shared" si="562"/>
        <v>34.500000000230003</v>
      </c>
      <c r="K173" s="427">
        <f t="shared" si="563"/>
        <v>32.000000000210001</v>
      </c>
      <c r="L173" s="427">
        <f t="shared" si="564"/>
        <v>31.500000000210001</v>
      </c>
      <c r="M173" s="427" t="s">
        <v>1460</v>
      </c>
      <c r="N173" s="427" t="s">
        <v>398</v>
      </c>
      <c r="O173" s="427" t="s">
        <v>356</v>
      </c>
      <c r="P173" s="427" t="s">
        <v>356</v>
      </c>
      <c r="Q173" s="427" t="s">
        <v>356</v>
      </c>
      <c r="R173" s="427" t="s">
        <v>1469</v>
      </c>
      <c r="S173" s="427" t="s">
        <v>1177</v>
      </c>
      <c r="T173" s="427">
        <v>20</v>
      </c>
      <c r="U173" s="427" cm="1">
        <f t="array" ref="U173">IFERROR(INDEX('Offer Statistics'!$BQ$2:$BQ$400,MATCH(1,(A173='Offer Statistics'!$BB$2:$BB$400)*($A$11='Offer Statistics'!$BC$2:$BC$400),0)),"/")</f>
        <v>27</v>
      </c>
      <c r="V173" s="427" cm="1">
        <f t="array" ref="V173">IFERROR(INDEX('Offer Statistics'!$BD$2:$BD$400,MATCH(1,(A173='Offer Statistics'!$BB$2:$BB$400)*($A$11='Offer Statistics'!$BC$2:$BC$400),0)),"/")</f>
        <v>191</v>
      </c>
      <c r="W173" s="427" cm="1">
        <f t="array" ref="W173">IFERROR(INDEX('Offer Statistics'!$BL$2:$BL$400,MATCH(1,(A173='Offer Statistics'!$BB$2:$BB$400)*($A$11='Offer Statistics'!$BC$2:$BC$400),0)),"/")</f>
        <v>27</v>
      </c>
      <c r="X173" s="427">
        <f t="shared" si="502"/>
        <v>7.0740740740740744</v>
      </c>
      <c r="Y173" s="427" t="s">
        <v>1177</v>
      </c>
      <c r="Z173" s="364" t="str">
        <f>入學要求!AF182</f>
        <v>/</v>
      </c>
      <c r="AA173" s="364" t="str">
        <f>入學要求!AG182</f>
        <v>/</v>
      </c>
      <c r="AB173" s="406" t="s">
        <v>889</v>
      </c>
      <c r="AE173" s="405" t="s">
        <v>1460</v>
      </c>
      <c r="AF173" s="405" t="s">
        <v>2835</v>
      </c>
      <c r="AG173" s="406" t="s">
        <v>356</v>
      </c>
      <c r="AH173" s="406" t="s">
        <v>356</v>
      </c>
      <c r="AI173" s="406" t="s">
        <v>356</v>
      </c>
      <c r="AJ173" s="427" t="s">
        <v>356</v>
      </c>
      <c r="AK173" s="427" t="s">
        <v>356</v>
      </c>
      <c r="AL173" s="427" t="s">
        <v>356</v>
      </c>
      <c r="AM173" s="427" t="s">
        <v>356</v>
      </c>
      <c r="AN173" s="427" t="s">
        <v>356</v>
      </c>
      <c r="AO173" s="427" t="s">
        <v>356</v>
      </c>
      <c r="AP173" s="427" t="s">
        <v>356</v>
      </c>
      <c r="AQ173" s="427" t="s">
        <v>356</v>
      </c>
      <c r="AS173" s="427" t="s">
        <v>820</v>
      </c>
      <c r="AU173" s="427" t="s">
        <v>817</v>
      </c>
      <c r="AY173" s="427">
        <v>1</v>
      </c>
      <c r="AZ173" s="427">
        <v>1</v>
      </c>
      <c r="BA173" s="427">
        <v>1</v>
      </c>
      <c r="BB173" s="427">
        <v>1</v>
      </c>
      <c r="BC173" s="427">
        <v>1</v>
      </c>
      <c r="BD173" s="427">
        <v>1</v>
      </c>
      <c r="BE173" s="427">
        <v>1</v>
      </c>
      <c r="BF173" s="427">
        <v>1</v>
      </c>
      <c r="BG173" s="427" t="s">
        <v>1467</v>
      </c>
      <c r="BH173" s="428">
        <v>7</v>
      </c>
      <c r="BI173" s="428">
        <v>4</v>
      </c>
      <c r="BJ173" s="428">
        <v>5.5</v>
      </c>
      <c r="BK173" s="428">
        <v>4</v>
      </c>
      <c r="BL173" s="428">
        <v>5.5</v>
      </c>
      <c r="BM173" s="428">
        <v>5.5</v>
      </c>
      <c r="BN173" s="428" t="s">
        <v>356</v>
      </c>
      <c r="BO173" s="428" t="s">
        <v>356</v>
      </c>
      <c r="BP173" s="429">
        <f t="shared" si="565"/>
        <v>7.00000000004</v>
      </c>
      <c r="BQ173" s="429">
        <f t="shared" si="566"/>
        <v>4.00000000002</v>
      </c>
      <c r="BR173" s="429">
        <f t="shared" si="567"/>
        <v>5.50000000003</v>
      </c>
      <c r="BS173" s="429">
        <f t="shared" si="568"/>
        <v>4.00000000001</v>
      </c>
      <c r="BT173" s="429">
        <f t="shared" si="569"/>
        <v>5.50000000005</v>
      </c>
      <c r="BU173" s="429">
        <f t="shared" si="570"/>
        <v>5.50000000006</v>
      </c>
      <c r="BV173" s="429">
        <f t="shared" si="571"/>
        <v>0</v>
      </c>
      <c r="BW173" s="429">
        <f t="shared" si="572"/>
        <v>0</v>
      </c>
      <c r="BX173" s="427">
        <f t="shared" si="641"/>
        <v>7.00000000004</v>
      </c>
      <c r="BY173" s="427">
        <f t="shared" si="642"/>
        <v>4.00000000002</v>
      </c>
      <c r="BZ173" s="427">
        <f t="shared" si="643"/>
        <v>5.50000000003</v>
      </c>
      <c r="CA173" s="427">
        <f t="shared" si="644"/>
        <v>4.00000000001</v>
      </c>
      <c r="CB173" s="427">
        <f t="shared" si="645"/>
        <v>5.50000000005</v>
      </c>
      <c r="CC173" s="427">
        <f t="shared" si="646"/>
        <v>5.50000000006</v>
      </c>
      <c r="CD173" s="427">
        <f t="shared" si="647"/>
        <v>0</v>
      </c>
      <c r="CE173" s="427">
        <f t="shared" si="648"/>
        <v>0</v>
      </c>
      <c r="CF173" s="427" t="b">
        <f t="shared" si="664"/>
        <v>1</v>
      </c>
      <c r="CG173" s="427" t="b">
        <f t="shared" si="665"/>
        <v>1</v>
      </c>
      <c r="CH173" s="427" t="b">
        <f t="shared" si="666"/>
        <v>1</v>
      </c>
      <c r="CI173" s="427" t="b">
        <f t="shared" si="667"/>
        <v>1</v>
      </c>
      <c r="CJ173" s="427" t="b">
        <f t="shared" si="668"/>
        <v>1</v>
      </c>
      <c r="CK173" s="427" t="b">
        <f t="shared" si="669"/>
        <v>1</v>
      </c>
      <c r="CL173" s="427" t="b">
        <f t="shared" si="670"/>
        <v>0</v>
      </c>
      <c r="CM173" s="427" t="b">
        <f t="shared" si="671"/>
        <v>0</v>
      </c>
      <c r="CN173" s="427">
        <v>1</v>
      </c>
      <c r="CO173" s="427">
        <v>1</v>
      </c>
      <c r="CP173" s="427">
        <v>1</v>
      </c>
      <c r="CQ173" s="427">
        <v>1</v>
      </c>
      <c r="CR173" s="427">
        <v>1</v>
      </c>
      <c r="CS173" s="427">
        <v>1</v>
      </c>
      <c r="CT173" s="427">
        <v>1</v>
      </c>
      <c r="CU173" s="427">
        <v>1</v>
      </c>
      <c r="CW173" s="427">
        <v>7</v>
      </c>
      <c r="CX173" s="427">
        <v>3</v>
      </c>
      <c r="CY173" s="427">
        <v>7</v>
      </c>
      <c r="CZ173" s="427">
        <v>4</v>
      </c>
      <c r="DA173" s="427">
        <v>5.5</v>
      </c>
      <c r="DB173" s="427">
        <v>5.5</v>
      </c>
      <c r="DC173" s="427">
        <v>4</v>
      </c>
      <c r="DD173" s="427" t="s">
        <v>356</v>
      </c>
      <c r="DE173" s="429">
        <f t="shared" si="573"/>
        <v>7.00000000004</v>
      </c>
      <c r="DF173" s="429">
        <f t="shared" si="574"/>
        <v>3.00000000002</v>
      </c>
      <c r="DG173" s="429">
        <f t="shared" si="575"/>
        <v>7.00000000003</v>
      </c>
      <c r="DH173" s="429">
        <f t="shared" si="576"/>
        <v>4.00000000001</v>
      </c>
      <c r="DI173" s="429">
        <f t="shared" si="577"/>
        <v>5.50000000005</v>
      </c>
      <c r="DJ173" s="429">
        <f t="shared" si="578"/>
        <v>5.50000000006</v>
      </c>
      <c r="DK173" s="429">
        <f t="shared" si="579"/>
        <v>4.00000000007</v>
      </c>
      <c r="DL173" s="429">
        <f t="shared" si="580"/>
        <v>0</v>
      </c>
      <c r="DM173" s="427">
        <f t="shared" si="649"/>
        <v>7.00000000004</v>
      </c>
      <c r="DN173" s="427">
        <f t="shared" si="650"/>
        <v>3.00000000002</v>
      </c>
      <c r="DO173" s="427">
        <f t="shared" si="651"/>
        <v>7.00000000003</v>
      </c>
      <c r="DP173" s="427">
        <f t="shared" si="652"/>
        <v>4.00000000001</v>
      </c>
      <c r="DQ173" s="427">
        <f t="shared" si="653"/>
        <v>5.50000000005</v>
      </c>
      <c r="DR173" s="427">
        <f t="shared" si="654"/>
        <v>5.50000000006</v>
      </c>
      <c r="DS173" s="427">
        <f t="shared" si="655"/>
        <v>4.00000000007</v>
      </c>
      <c r="DT173" s="427">
        <f t="shared" si="656"/>
        <v>0</v>
      </c>
      <c r="DU173" s="427" t="b">
        <f t="shared" si="672"/>
        <v>1</v>
      </c>
      <c r="DV173" s="427" t="b">
        <f t="shared" si="673"/>
        <v>1</v>
      </c>
      <c r="DW173" s="427" t="b">
        <f t="shared" si="674"/>
        <v>1</v>
      </c>
      <c r="DX173" s="427" t="b">
        <f t="shared" si="675"/>
        <v>1</v>
      </c>
      <c r="DY173" s="427" t="b">
        <f t="shared" si="676"/>
        <v>1</v>
      </c>
      <c r="DZ173" s="427" t="b">
        <f t="shared" si="677"/>
        <v>1</v>
      </c>
      <c r="EA173" s="427" t="b">
        <f t="shared" si="678"/>
        <v>0</v>
      </c>
      <c r="EB173" s="427" t="b">
        <f t="shared" si="679"/>
        <v>0</v>
      </c>
      <c r="EC173" s="427">
        <v>1</v>
      </c>
      <c r="ED173" s="427">
        <v>1</v>
      </c>
      <c r="EE173" s="427">
        <v>1</v>
      </c>
      <c r="EF173" s="427">
        <v>1</v>
      </c>
      <c r="EG173" s="427">
        <v>1</v>
      </c>
      <c r="EH173" s="427">
        <v>1</v>
      </c>
      <c r="EI173" s="427">
        <v>1</v>
      </c>
      <c r="EJ173" s="427">
        <v>1</v>
      </c>
      <c r="EK173" s="427">
        <v>4</v>
      </c>
      <c r="EL173" s="427">
        <v>5.5</v>
      </c>
      <c r="EM173" s="427">
        <v>7</v>
      </c>
      <c r="EN173" s="427">
        <v>4</v>
      </c>
      <c r="EO173" s="427" t="s">
        <v>356</v>
      </c>
      <c r="EP173" s="427">
        <v>7</v>
      </c>
      <c r="EQ173" s="427">
        <v>7</v>
      </c>
      <c r="ER173" s="427" t="s">
        <v>356</v>
      </c>
      <c r="ES173" s="429">
        <f t="shared" si="581"/>
        <v>4.00000000004</v>
      </c>
      <c r="ET173" s="429">
        <f t="shared" si="582"/>
        <v>5.50000000002</v>
      </c>
      <c r="EU173" s="429">
        <f t="shared" si="583"/>
        <v>7.00000000003</v>
      </c>
      <c r="EV173" s="429">
        <f t="shared" si="584"/>
        <v>4.00000000001</v>
      </c>
      <c r="EW173" s="429">
        <f t="shared" si="585"/>
        <v>0</v>
      </c>
      <c r="EX173" s="429">
        <f t="shared" si="586"/>
        <v>7.00000000006</v>
      </c>
      <c r="EY173" s="429">
        <f t="shared" si="587"/>
        <v>7.00000000007</v>
      </c>
      <c r="EZ173" s="429">
        <f t="shared" si="588"/>
        <v>0</v>
      </c>
      <c r="FA173" s="427">
        <f t="shared" si="625"/>
        <v>4.00000000004</v>
      </c>
      <c r="FB173" s="427">
        <f t="shared" si="626"/>
        <v>5.50000000002</v>
      </c>
      <c r="FC173" s="427">
        <f t="shared" si="627"/>
        <v>7.00000000003</v>
      </c>
      <c r="FD173" s="427">
        <f t="shared" si="628"/>
        <v>4.00000000001</v>
      </c>
      <c r="FE173" s="427">
        <f t="shared" si="629"/>
        <v>0</v>
      </c>
      <c r="FF173" s="427">
        <f t="shared" si="630"/>
        <v>7.00000000006</v>
      </c>
      <c r="FG173" s="427">
        <f t="shared" si="631"/>
        <v>7.00000000007</v>
      </c>
      <c r="FH173" s="427">
        <f t="shared" si="632"/>
        <v>0</v>
      </c>
      <c r="FI173" s="427" t="b">
        <f t="shared" si="680"/>
        <v>1</v>
      </c>
      <c r="FJ173" s="427" t="b">
        <f t="shared" si="681"/>
        <v>1</v>
      </c>
      <c r="FK173" s="427" t="b">
        <f t="shared" si="682"/>
        <v>1</v>
      </c>
      <c r="FL173" s="427" t="b">
        <f t="shared" si="683"/>
        <v>1</v>
      </c>
      <c r="FM173" s="427" t="b">
        <f t="shared" si="684"/>
        <v>0</v>
      </c>
      <c r="FN173" s="427" t="b">
        <f t="shared" si="685"/>
        <v>1</v>
      </c>
      <c r="FO173" s="427" t="b">
        <f t="shared" si="686"/>
        <v>1</v>
      </c>
      <c r="FP173" s="427" t="b">
        <f t="shared" si="687"/>
        <v>0</v>
      </c>
    </row>
    <row r="174" spans="1:172" s="427" customFormat="1" ht="15.6">
      <c r="A174" s="427" t="s">
        <v>1470</v>
      </c>
      <c r="B174" s="427" t="s">
        <v>255</v>
      </c>
      <c r="C174" s="427" t="s">
        <v>1450</v>
      </c>
      <c r="D174" s="427" t="s">
        <v>1471</v>
      </c>
      <c r="E174" s="427" t="s">
        <v>815</v>
      </c>
      <c r="F174" s="427" t="s">
        <v>356</v>
      </c>
      <c r="G174" s="427">
        <v>36</v>
      </c>
      <c r="H174" s="427">
        <v>35</v>
      </c>
      <c r="I174" s="427">
        <v>34.5</v>
      </c>
      <c r="J174" s="427">
        <f t="shared" si="562"/>
        <v>36.000000000230003</v>
      </c>
      <c r="K174" s="427">
        <f t="shared" si="563"/>
        <v>35.000000000210001</v>
      </c>
      <c r="L174" s="427">
        <f t="shared" si="564"/>
        <v>34.500000000210001</v>
      </c>
      <c r="M174" s="427" t="s">
        <v>356</v>
      </c>
      <c r="N174" s="427" t="s">
        <v>356</v>
      </c>
      <c r="O174" s="427" t="s">
        <v>356</v>
      </c>
      <c r="P174" s="427" t="s">
        <v>356</v>
      </c>
      <c r="Q174" s="427" t="s">
        <v>356</v>
      </c>
      <c r="R174" s="427" t="s">
        <v>1472</v>
      </c>
      <c r="S174" s="427" t="s">
        <v>1177</v>
      </c>
      <c r="T174" s="427">
        <v>19</v>
      </c>
      <c r="U174" s="427" cm="1">
        <f t="array" ref="U174">IFERROR(INDEX('Offer Statistics'!$BQ$2:$BQ$400,MATCH(1,(A174='Offer Statistics'!$BB$2:$BB$400)*($A$11='Offer Statistics'!$BC$2:$BC$400),0)),"/")</f>
        <v>18</v>
      </c>
      <c r="V174" s="427" cm="1">
        <f t="array" ref="V174">IFERROR(INDEX('Offer Statistics'!$BD$2:$BD$400,MATCH(1,(A174='Offer Statistics'!$BB$2:$BB$400)*($A$11='Offer Statistics'!$BC$2:$BC$400),0)),"/")</f>
        <v>121</v>
      </c>
      <c r="W174" s="427" cm="1">
        <f t="array" ref="W174">IFERROR(INDEX('Offer Statistics'!$BL$2:$BL$400,MATCH(1,(A174='Offer Statistics'!$BB$2:$BB$400)*($A$11='Offer Statistics'!$BC$2:$BC$400),0)),"/")</f>
        <v>18</v>
      </c>
      <c r="X174" s="427">
        <f t="shared" si="502"/>
        <v>6.7222222222222223</v>
      </c>
      <c r="Y174" s="427" t="s">
        <v>1177</v>
      </c>
      <c r="Z174" s="364" t="str">
        <f>入學要求!AF183</f>
        <v>以下一科選修取得Lv.3︰生物、化學</v>
      </c>
      <c r="AA174" s="364" t="str">
        <f>入學要求!AG183</f>
        <v>/</v>
      </c>
      <c r="AB174" s="405" t="s">
        <v>2820</v>
      </c>
      <c r="AE174" s="405" t="s">
        <v>3023</v>
      </c>
      <c r="AF174" s="406" t="s">
        <v>356</v>
      </c>
      <c r="AG174" s="405" t="s">
        <v>3020</v>
      </c>
      <c r="AH174" s="406" t="s">
        <v>356</v>
      </c>
      <c r="AI174" s="406" t="s">
        <v>356</v>
      </c>
      <c r="AJ174" s="427" t="s">
        <v>356</v>
      </c>
      <c r="AK174" s="427" t="s">
        <v>356</v>
      </c>
      <c r="AL174" s="427" t="s">
        <v>356</v>
      </c>
      <c r="AM174" s="427" t="s">
        <v>356</v>
      </c>
      <c r="AN174" s="427" t="s">
        <v>356</v>
      </c>
      <c r="AO174" s="427" t="s">
        <v>356</v>
      </c>
      <c r="AP174" s="427" t="s">
        <v>356</v>
      </c>
      <c r="AQ174" s="427" t="s">
        <v>356</v>
      </c>
      <c r="AS174" s="427" t="s">
        <v>820</v>
      </c>
      <c r="AU174" s="427" t="s">
        <v>817</v>
      </c>
      <c r="AY174" s="427">
        <v>1</v>
      </c>
      <c r="AZ174" s="427">
        <v>1</v>
      </c>
      <c r="BA174" s="427">
        <v>1</v>
      </c>
      <c r="BB174" s="427">
        <v>1</v>
      </c>
      <c r="BC174" s="427">
        <v>1</v>
      </c>
      <c r="BD174" s="427">
        <v>1</v>
      </c>
      <c r="BE174" s="427">
        <v>1</v>
      </c>
      <c r="BF174" s="427">
        <v>1</v>
      </c>
      <c r="BG174" s="427" t="s">
        <v>1470</v>
      </c>
      <c r="BH174" s="428">
        <v>4</v>
      </c>
      <c r="BI174" s="428">
        <v>5.5</v>
      </c>
      <c r="BJ174" s="428">
        <v>5.5</v>
      </c>
      <c r="BK174" s="428">
        <v>5.5</v>
      </c>
      <c r="BL174" s="428">
        <v>7</v>
      </c>
      <c r="BM174" s="428">
        <v>7</v>
      </c>
      <c r="BN174" s="428">
        <v>5.5</v>
      </c>
      <c r="BO174" s="428">
        <v>5.5</v>
      </c>
      <c r="BP174" s="429">
        <f t="shared" si="565"/>
        <v>4.00000000004</v>
      </c>
      <c r="BQ174" s="429">
        <f t="shared" si="566"/>
        <v>5.50000000002</v>
      </c>
      <c r="BR174" s="429">
        <f t="shared" si="567"/>
        <v>5.50000000003</v>
      </c>
      <c r="BS174" s="429">
        <f t="shared" si="568"/>
        <v>5.50000000001</v>
      </c>
      <c r="BT174" s="429">
        <f t="shared" si="569"/>
        <v>7.00000000005</v>
      </c>
      <c r="BU174" s="429">
        <f t="shared" si="570"/>
        <v>7.00000000006</v>
      </c>
      <c r="BV174" s="429">
        <f t="shared" si="571"/>
        <v>5.50000000007</v>
      </c>
      <c r="BW174" s="429">
        <f t="shared" si="572"/>
        <v>5.50000000008</v>
      </c>
      <c r="BX174" s="427">
        <f t="shared" si="641"/>
        <v>4.00000000004</v>
      </c>
      <c r="BY174" s="427">
        <f t="shared" si="642"/>
        <v>5.50000000002</v>
      </c>
      <c r="BZ174" s="427">
        <f t="shared" si="643"/>
        <v>5.50000000003</v>
      </c>
      <c r="CA174" s="427">
        <f t="shared" si="644"/>
        <v>5.50000000001</v>
      </c>
      <c r="CB174" s="427">
        <f t="shared" si="645"/>
        <v>7.00000000005</v>
      </c>
      <c r="CC174" s="427">
        <f t="shared" si="646"/>
        <v>7.00000000006</v>
      </c>
      <c r="CD174" s="427">
        <f t="shared" si="647"/>
        <v>5.50000000007</v>
      </c>
      <c r="CE174" s="427">
        <f t="shared" si="648"/>
        <v>5.50000000008</v>
      </c>
      <c r="CF174" s="427" t="b">
        <f t="shared" si="664"/>
        <v>1</v>
      </c>
      <c r="CG174" s="427" t="b">
        <f t="shared" si="665"/>
        <v>1</v>
      </c>
      <c r="CH174" s="427" t="b">
        <f t="shared" si="666"/>
        <v>1</v>
      </c>
      <c r="CI174" s="427" t="b">
        <f t="shared" si="667"/>
        <v>1</v>
      </c>
      <c r="CJ174" s="427" t="b">
        <f t="shared" si="668"/>
        <v>1</v>
      </c>
      <c r="CK174" s="427" t="b">
        <f t="shared" si="669"/>
        <v>1</v>
      </c>
      <c r="CL174" s="427" t="b">
        <f t="shared" si="670"/>
        <v>0</v>
      </c>
      <c r="CM174" s="427" t="b">
        <f t="shared" si="671"/>
        <v>0</v>
      </c>
      <c r="CN174" s="427">
        <v>1</v>
      </c>
      <c r="CO174" s="427">
        <v>1</v>
      </c>
      <c r="CP174" s="427">
        <v>1</v>
      </c>
      <c r="CQ174" s="427">
        <v>1</v>
      </c>
      <c r="CR174" s="427">
        <v>1</v>
      </c>
      <c r="CS174" s="427">
        <v>1</v>
      </c>
      <c r="CT174" s="427">
        <v>1</v>
      </c>
      <c r="CU174" s="427">
        <v>1</v>
      </c>
      <c r="CW174" s="427">
        <v>3</v>
      </c>
      <c r="CX174" s="427">
        <v>5.5</v>
      </c>
      <c r="CY174" s="427">
        <v>8.5</v>
      </c>
      <c r="CZ174" s="427">
        <v>4</v>
      </c>
      <c r="DA174" s="427">
        <v>7</v>
      </c>
      <c r="DB174" s="427">
        <v>7</v>
      </c>
      <c r="DC174" s="427">
        <v>4</v>
      </c>
      <c r="DD174" s="427" t="s">
        <v>356</v>
      </c>
      <c r="DE174" s="429">
        <f t="shared" si="573"/>
        <v>3.00000000004</v>
      </c>
      <c r="DF174" s="429">
        <f t="shared" si="574"/>
        <v>5.50000000002</v>
      </c>
      <c r="DG174" s="429">
        <f t="shared" si="575"/>
        <v>8.5000000000299991</v>
      </c>
      <c r="DH174" s="429">
        <f t="shared" si="576"/>
        <v>4.00000000001</v>
      </c>
      <c r="DI174" s="429">
        <f t="shared" si="577"/>
        <v>7.00000000005</v>
      </c>
      <c r="DJ174" s="429">
        <f t="shared" si="578"/>
        <v>7.00000000006</v>
      </c>
      <c r="DK174" s="429">
        <f t="shared" si="579"/>
        <v>4.00000000007</v>
      </c>
      <c r="DL174" s="429">
        <f t="shared" si="580"/>
        <v>0</v>
      </c>
      <c r="DM174" s="427">
        <f t="shared" si="649"/>
        <v>3.00000000004</v>
      </c>
      <c r="DN174" s="427">
        <f t="shared" si="650"/>
        <v>5.50000000002</v>
      </c>
      <c r="DO174" s="427">
        <f t="shared" si="651"/>
        <v>8.5000000000299991</v>
      </c>
      <c r="DP174" s="427">
        <f t="shared" si="652"/>
        <v>4.00000000001</v>
      </c>
      <c r="DQ174" s="427">
        <f t="shared" si="653"/>
        <v>7.00000000005</v>
      </c>
      <c r="DR174" s="427">
        <f t="shared" si="654"/>
        <v>7.00000000006</v>
      </c>
      <c r="DS174" s="427">
        <f t="shared" si="655"/>
        <v>4.00000000007</v>
      </c>
      <c r="DT174" s="427">
        <f t="shared" si="656"/>
        <v>0</v>
      </c>
      <c r="DU174" s="427" t="b">
        <f t="shared" si="672"/>
        <v>1</v>
      </c>
      <c r="DV174" s="427" t="b">
        <f t="shared" si="673"/>
        <v>1</v>
      </c>
      <c r="DW174" s="427" t="b">
        <f t="shared" si="674"/>
        <v>1</v>
      </c>
      <c r="DX174" s="427" t="b">
        <f t="shared" si="675"/>
        <v>1</v>
      </c>
      <c r="DY174" s="427" t="b">
        <f t="shared" si="676"/>
        <v>1</v>
      </c>
      <c r="DZ174" s="427" t="b">
        <f t="shared" si="677"/>
        <v>1</v>
      </c>
      <c r="EA174" s="427" t="b">
        <f t="shared" si="678"/>
        <v>0</v>
      </c>
      <c r="EB174" s="427" t="b">
        <f t="shared" si="679"/>
        <v>0</v>
      </c>
      <c r="EC174" s="427">
        <v>1</v>
      </c>
      <c r="ED174" s="427">
        <v>1</v>
      </c>
      <c r="EE174" s="427">
        <v>1</v>
      </c>
      <c r="EF174" s="427">
        <v>1</v>
      </c>
      <c r="EG174" s="427">
        <v>1</v>
      </c>
      <c r="EH174" s="427">
        <v>1</v>
      </c>
      <c r="EI174" s="427">
        <v>1</v>
      </c>
      <c r="EJ174" s="427">
        <v>1</v>
      </c>
      <c r="EK174" s="427">
        <v>4</v>
      </c>
      <c r="EL174" s="427">
        <v>5.5</v>
      </c>
      <c r="EM174" s="427">
        <v>5.5</v>
      </c>
      <c r="EN174" s="427">
        <v>7</v>
      </c>
      <c r="EO174" s="427" t="s">
        <v>356</v>
      </c>
      <c r="EP174" s="427">
        <v>7</v>
      </c>
      <c r="EQ174" s="427">
        <v>7</v>
      </c>
      <c r="ER174" s="427">
        <v>5.5</v>
      </c>
      <c r="ES174" s="429">
        <f t="shared" si="581"/>
        <v>4.00000000004</v>
      </c>
      <c r="ET174" s="429">
        <f t="shared" si="582"/>
        <v>5.50000000002</v>
      </c>
      <c r="EU174" s="429">
        <f t="shared" si="583"/>
        <v>5.50000000003</v>
      </c>
      <c r="EV174" s="429">
        <f t="shared" si="584"/>
        <v>7.00000000001</v>
      </c>
      <c r="EW174" s="429">
        <f t="shared" si="585"/>
        <v>0</v>
      </c>
      <c r="EX174" s="429">
        <f t="shared" si="586"/>
        <v>7.00000000006</v>
      </c>
      <c r="EY174" s="429">
        <f t="shared" si="587"/>
        <v>7.00000000007</v>
      </c>
      <c r="EZ174" s="429">
        <f t="shared" si="588"/>
        <v>5.50000000008</v>
      </c>
      <c r="FA174" s="427">
        <f t="shared" si="625"/>
        <v>4.00000000004</v>
      </c>
      <c r="FB174" s="427">
        <f t="shared" si="626"/>
        <v>5.50000000002</v>
      </c>
      <c r="FC174" s="427">
        <f t="shared" si="627"/>
        <v>5.50000000003</v>
      </c>
      <c r="FD174" s="427">
        <f t="shared" si="628"/>
        <v>7.00000000001</v>
      </c>
      <c r="FE174" s="427">
        <f t="shared" si="629"/>
        <v>0</v>
      </c>
      <c r="FF174" s="427">
        <f t="shared" si="630"/>
        <v>7.00000000006</v>
      </c>
      <c r="FG174" s="427">
        <f t="shared" si="631"/>
        <v>7.00000000007</v>
      </c>
      <c r="FH174" s="427">
        <f t="shared" si="632"/>
        <v>5.50000000008</v>
      </c>
      <c r="FI174" s="427" t="b">
        <f t="shared" si="680"/>
        <v>1</v>
      </c>
      <c r="FJ174" s="427" t="b">
        <f t="shared" si="681"/>
        <v>1</v>
      </c>
      <c r="FK174" s="427" t="b">
        <f t="shared" si="682"/>
        <v>1</v>
      </c>
      <c r="FL174" s="427" t="b">
        <f t="shared" si="683"/>
        <v>1</v>
      </c>
      <c r="FM174" s="427" t="b">
        <f t="shared" si="684"/>
        <v>0</v>
      </c>
      <c r="FN174" s="427" t="b">
        <f t="shared" si="685"/>
        <v>1</v>
      </c>
      <c r="FO174" s="427" t="b">
        <f t="shared" si="686"/>
        <v>1</v>
      </c>
      <c r="FP174" s="427" t="b">
        <f t="shared" si="687"/>
        <v>0</v>
      </c>
    </row>
    <row r="175" spans="1:172" s="427" customFormat="1" ht="15.6">
      <c r="A175" s="427" t="s">
        <v>1473</v>
      </c>
      <c r="B175" s="427" t="s">
        <v>255</v>
      </c>
      <c r="C175" s="427" t="s">
        <v>975</v>
      </c>
      <c r="D175" s="427" t="s">
        <v>1474</v>
      </c>
      <c r="E175" s="427" t="s">
        <v>889</v>
      </c>
      <c r="F175" s="427" t="s">
        <v>356</v>
      </c>
      <c r="G175" s="427">
        <v>39</v>
      </c>
      <c r="H175" s="427">
        <v>35.25</v>
      </c>
      <c r="I175" s="427">
        <v>33</v>
      </c>
      <c r="J175" s="427">
        <f t="shared" si="562"/>
        <v>39.000000000325002</v>
      </c>
      <c r="K175" s="427">
        <f t="shared" si="563"/>
        <v>35.250000000429999</v>
      </c>
      <c r="L175" s="427">
        <f t="shared" si="564"/>
        <v>33.000000000444999</v>
      </c>
      <c r="M175" s="427" t="s">
        <v>1460</v>
      </c>
      <c r="N175" s="427" t="s">
        <v>1476</v>
      </c>
      <c r="O175" s="427" t="s">
        <v>1477</v>
      </c>
      <c r="P175" s="427" t="s">
        <v>356</v>
      </c>
      <c r="Q175" s="427" t="s">
        <v>1479</v>
      </c>
      <c r="R175" s="427" t="s">
        <v>1475</v>
      </c>
      <c r="S175" s="427" t="s">
        <v>1177</v>
      </c>
      <c r="T175" s="427">
        <v>352</v>
      </c>
      <c r="U175" s="427" cm="1">
        <f t="array" ref="U175">IFERROR(INDEX('Offer Statistics'!$BQ$2:$BQ$400,MATCH(1,(A175='Offer Statistics'!$BB$2:$BB$400)*($A$11='Offer Statistics'!$BC$2:$BC$400),0)),"/")</f>
        <v>380</v>
      </c>
      <c r="V175" s="427" cm="1">
        <f t="array" ref="V175">IFERROR(INDEX('Offer Statistics'!$BD$2:$BD$400,MATCH(1,(A175='Offer Statistics'!$BB$2:$BB$400)*($A$11='Offer Statistics'!$BC$2:$BC$400),0)),"/")</f>
        <v>1827</v>
      </c>
      <c r="W175" s="427" cm="1">
        <f t="array" ref="W175">IFERROR(INDEX('Offer Statistics'!$BL$2:$BL$400,MATCH(1,(A175='Offer Statistics'!$BB$2:$BB$400)*($A$11='Offer Statistics'!$BC$2:$BC$400),0)),"/")</f>
        <v>375</v>
      </c>
      <c r="X175" s="427">
        <f t="shared" si="502"/>
        <v>4.8719999999999999</v>
      </c>
      <c r="Y175" s="427" t="s">
        <v>1177</v>
      </c>
      <c r="Z175" s="364" t="str">
        <f>入學要求!AF184</f>
        <v>以下一科選修取得Lv.3︰M1/2、生物、化學、組合科學、綜合科學、物理</v>
      </c>
      <c r="AA175" s="364" t="str">
        <f>入學要求!AG184</f>
        <v>/</v>
      </c>
      <c r="AB175" s="405" t="s">
        <v>889</v>
      </c>
      <c r="AE175" s="406"/>
      <c r="AF175" s="406"/>
      <c r="AG175" s="405" t="s">
        <v>3024</v>
      </c>
      <c r="AH175" s="406" t="s">
        <v>1478</v>
      </c>
      <c r="AI175" s="406" t="s">
        <v>1479</v>
      </c>
      <c r="AJ175" s="427" t="s">
        <v>356</v>
      </c>
      <c r="AK175" s="427" t="s">
        <v>356</v>
      </c>
      <c r="AL175" s="427" t="s">
        <v>356</v>
      </c>
      <c r="AM175" s="427" t="s">
        <v>356</v>
      </c>
      <c r="AN175" s="427" t="s">
        <v>356</v>
      </c>
      <c r="AO175" s="427" t="s">
        <v>356</v>
      </c>
      <c r="AP175" s="427" t="s">
        <v>356</v>
      </c>
      <c r="AQ175" s="427" t="s">
        <v>356</v>
      </c>
      <c r="AS175" s="427" t="s">
        <v>820</v>
      </c>
      <c r="AU175" s="427" t="s">
        <v>817</v>
      </c>
      <c r="AY175" s="427">
        <v>1</v>
      </c>
      <c r="AZ175" s="427">
        <v>1</v>
      </c>
      <c r="BA175" s="427">
        <v>1.5</v>
      </c>
      <c r="BB175" s="427">
        <v>1</v>
      </c>
      <c r="BC175" s="427">
        <v>1</v>
      </c>
      <c r="BD175" s="427">
        <v>1</v>
      </c>
      <c r="BE175" s="427">
        <v>2</v>
      </c>
      <c r="BF175" s="427">
        <v>2</v>
      </c>
      <c r="BG175" s="427" t="s">
        <v>1473</v>
      </c>
      <c r="BH175" s="428">
        <v>5.5</v>
      </c>
      <c r="BI175" s="428">
        <v>3</v>
      </c>
      <c r="BJ175" s="428">
        <v>4</v>
      </c>
      <c r="BK175" s="428">
        <v>4</v>
      </c>
      <c r="BL175" s="428">
        <v>2</v>
      </c>
      <c r="BM175" s="428">
        <v>5.5</v>
      </c>
      <c r="BN175" s="428">
        <v>4</v>
      </c>
      <c r="BO175" s="428">
        <v>4</v>
      </c>
      <c r="BP175" s="427">
        <f t="shared" si="565"/>
        <v>5.50000000004</v>
      </c>
      <c r="BQ175" s="427">
        <f t="shared" si="566"/>
        <v>3.00000000002</v>
      </c>
      <c r="BR175" s="427">
        <f t="shared" si="567"/>
        <v>4.00000000003</v>
      </c>
      <c r="BS175" s="427">
        <f t="shared" si="568"/>
        <v>4.00000000001</v>
      </c>
      <c r="BT175" s="427">
        <f t="shared" si="569"/>
        <v>2.00000000005</v>
      </c>
      <c r="BU175" s="427">
        <f t="shared" si="570"/>
        <v>5.50000000006</v>
      </c>
      <c r="BV175" s="427">
        <f t="shared" si="571"/>
        <v>4.00000000007</v>
      </c>
      <c r="BW175" s="427">
        <f t="shared" si="572"/>
        <v>4.00000000008</v>
      </c>
      <c r="BX175" s="427">
        <f t="shared" si="641"/>
        <v>5.50000000004</v>
      </c>
      <c r="BY175" s="427">
        <f t="shared" si="642"/>
        <v>3.00000000002</v>
      </c>
      <c r="BZ175" s="427">
        <f t="shared" si="643"/>
        <v>6.0000000000450004</v>
      </c>
      <c r="CA175" s="427">
        <f t="shared" si="644"/>
        <v>4.00000000001</v>
      </c>
      <c r="CB175" s="427">
        <f t="shared" si="645"/>
        <v>2.00000000005</v>
      </c>
      <c r="CC175" s="427">
        <f t="shared" si="646"/>
        <v>5.50000000006</v>
      </c>
      <c r="CD175" s="427">
        <f t="shared" si="647"/>
        <v>8.00000000014</v>
      </c>
      <c r="CE175" s="427">
        <f t="shared" si="648"/>
        <v>8.00000000016</v>
      </c>
      <c r="CF175" s="427" t="b">
        <f t="shared" si="664"/>
        <v>1</v>
      </c>
      <c r="CG175" s="427" t="b">
        <f t="shared" si="665"/>
        <v>0</v>
      </c>
      <c r="CH175" s="427" t="b">
        <f t="shared" si="666"/>
        <v>1</v>
      </c>
      <c r="CI175" s="427" t="b">
        <f t="shared" si="667"/>
        <v>0</v>
      </c>
      <c r="CJ175" s="427" t="b">
        <f t="shared" si="668"/>
        <v>0</v>
      </c>
      <c r="CK175" s="427" t="b">
        <f t="shared" si="669"/>
        <v>1</v>
      </c>
      <c r="CL175" s="427" t="b">
        <f t="shared" si="670"/>
        <v>1</v>
      </c>
      <c r="CM175" s="427" t="b">
        <f t="shared" si="671"/>
        <v>1</v>
      </c>
      <c r="CN175" s="427">
        <v>1</v>
      </c>
      <c r="CO175" s="427">
        <v>1</v>
      </c>
      <c r="CP175" s="427">
        <v>1.5</v>
      </c>
      <c r="CQ175" s="427">
        <v>1</v>
      </c>
      <c r="CR175" s="427">
        <v>1</v>
      </c>
      <c r="CS175" s="427">
        <v>2</v>
      </c>
      <c r="CT175" s="427">
        <v>1.5</v>
      </c>
      <c r="CU175" s="427">
        <v>1.5</v>
      </c>
      <c r="CW175" s="427">
        <v>4</v>
      </c>
      <c r="CX175" s="427">
        <v>4</v>
      </c>
      <c r="CY175" s="427">
        <v>5.5</v>
      </c>
      <c r="CZ175" s="427">
        <v>3</v>
      </c>
      <c r="DA175" s="427" t="s">
        <v>356</v>
      </c>
      <c r="DB175" s="427">
        <v>5.5</v>
      </c>
      <c r="DC175" s="427">
        <v>4</v>
      </c>
      <c r="DD175" s="427">
        <v>4</v>
      </c>
      <c r="DE175" s="427">
        <f t="shared" si="573"/>
        <v>4.00000000004</v>
      </c>
      <c r="DF175" s="427">
        <f t="shared" si="574"/>
        <v>4.00000000002</v>
      </c>
      <c r="DG175" s="427">
        <f t="shared" si="575"/>
        <v>5.50000000003</v>
      </c>
      <c r="DH175" s="427">
        <f t="shared" si="576"/>
        <v>3.00000000001</v>
      </c>
      <c r="DI175" s="427">
        <f t="shared" si="577"/>
        <v>0</v>
      </c>
      <c r="DJ175" s="427">
        <f t="shared" si="578"/>
        <v>5.50000000006</v>
      </c>
      <c r="DK175" s="427">
        <f t="shared" si="579"/>
        <v>4.00000000007</v>
      </c>
      <c r="DL175" s="427">
        <f t="shared" si="580"/>
        <v>4.00000000008</v>
      </c>
      <c r="DM175" s="427">
        <f t="shared" si="649"/>
        <v>4.00000000004</v>
      </c>
      <c r="DN175" s="427">
        <f t="shared" si="650"/>
        <v>4.00000000002</v>
      </c>
      <c r="DO175" s="427">
        <f t="shared" si="651"/>
        <v>8.2500000000450004</v>
      </c>
      <c r="DP175" s="427">
        <f t="shared" si="652"/>
        <v>3.00000000001</v>
      </c>
      <c r="DQ175" s="427">
        <f t="shared" si="653"/>
        <v>0</v>
      </c>
      <c r="DR175" s="427">
        <f t="shared" si="654"/>
        <v>11.00000000012</v>
      </c>
      <c r="DS175" s="427">
        <f t="shared" si="655"/>
        <v>6.0000000001050005</v>
      </c>
      <c r="DT175" s="427">
        <f t="shared" si="656"/>
        <v>6.00000000012</v>
      </c>
      <c r="DU175" s="427" t="b">
        <f t="shared" si="672"/>
        <v>1</v>
      </c>
      <c r="DV175" s="427" t="b">
        <f t="shared" si="673"/>
        <v>0</v>
      </c>
      <c r="DW175" s="427" t="b">
        <f t="shared" si="674"/>
        <v>1</v>
      </c>
      <c r="DX175" s="427" t="b">
        <f t="shared" si="675"/>
        <v>0</v>
      </c>
      <c r="DY175" s="427" t="b">
        <f t="shared" si="676"/>
        <v>0</v>
      </c>
      <c r="DZ175" s="427" t="b">
        <f t="shared" si="677"/>
        <v>1</v>
      </c>
      <c r="EA175" s="427" t="b">
        <f t="shared" si="678"/>
        <v>1</v>
      </c>
      <c r="EB175" s="427" t="b">
        <f t="shared" si="679"/>
        <v>1</v>
      </c>
      <c r="EC175" s="427">
        <v>1</v>
      </c>
      <c r="ED175" s="427">
        <v>1</v>
      </c>
      <c r="EE175" s="427">
        <v>1.5</v>
      </c>
      <c r="EF175" s="427">
        <v>1</v>
      </c>
      <c r="EG175" s="427">
        <v>2</v>
      </c>
      <c r="EH175" s="427">
        <v>2</v>
      </c>
      <c r="EI175" s="427">
        <v>1</v>
      </c>
      <c r="EJ175" s="427">
        <v>1</v>
      </c>
      <c r="EK175" s="427">
        <v>4</v>
      </c>
      <c r="EL175" s="427">
        <v>5.5</v>
      </c>
      <c r="EM175" s="427">
        <v>7</v>
      </c>
      <c r="EN175" s="427">
        <v>3</v>
      </c>
      <c r="EO175" s="427">
        <v>5.5</v>
      </c>
      <c r="EP175" s="427">
        <v>4</v>
      </c>
      <c r="EQ175" s="427" t="s">
        <v>356</v>
      </c>
      <c r="ER175" s="427" t="s">
        <v>356</v>
      </c>
      <c r="ES175" s="427">
        <f t="shared" si="581"/>
        <v>4.00000000004</v>
      </c>
      <c r="ET175" s="427">
        <f t="shared" si="582"/>
        <v>5.50000000002</v>
      </c>
      <c r="EU175" s="427">
        <f t="shared" si="583"/>
        <v>7.00000000003</v>
      </c>
      <c r="EV175" s="427">
        <f t="shared" si="584"/>
        <v>3.00000000001</v>
      </c>
      <c r="EW175" s="427">
        <f t="shared" si="585"/>
        <v>5.50000000005</v>
      </c>
      <c r="EX175" s="427">
        <f t="shared" si="586"/>
        <v>4.00000000006</v>
      </c>
      <c r="EY175" s="427">
        <f t="shared" si="587"/>
        <v>0</v>
      </c>
      <c r="EZ175" s="427">
        <f t="shared" si="588"/>
        <v>0</v>
      </c>
      <c r="FA175" s="427">
        <f t="shared" si="625"/>
        <v>4.00000000004</v>
      </c>
      <c r="FB175" s="427">
        <f t="shared" si="626"/>
        <v>5.50000000002</v>
      </c>
      <c r="FC175" s="427">
        <f t="shared" si="627"/>
        <v>10.500000000045</v>
      </c>
      <c r="FD175" s="427">
        <f t="shared" si="628"/>
        <v>3.00000000001</v>
      </c>
      <c r="FE175" s="427">
        <f t="shared" si="629"/>
        <v>11.0000000001</v>
      </c>
      <c r="FF175" s="427">
        <f t="shared" si="630"/>
        <v>8.00000000012</v>
      </c>
      <c r="FG175" s="427">
        <f t="shared" si="631"/>
        <v>0</v>
      </c>
      <c r="FH175" s="427">
        <f t="shared" si="632"/>
        <v>0</v>
      </c>
      <c r="FI175" s="427" t="b">
        <f t="shared" si="680"/>
        <v>1</v>
      </c>
      <c r="FJ175" s="427" t="b">
        <f t="shared" si="681"/>
        <v>1</v>
      </c>
      <c r="FK175" s="427" t="b">
        <f t="shared" si="682"/>
        <v>1</v>
      </c>
      <c r="FL175" s="427" t="b">
        <f t="shared" si="683"/>
        <v>0</v>
      </c>
      <c r="FM175" s="427" t="b">
        <f t="shared" si="684"/>
        <v>1</v>
      </c>
      <c r="FN175" s="427" t="b">
        <f t="shared" si="685"/>
        <v>1</v>
      </c>
      <c r="FO175" s="427" t="b">
        <f t="shared" si="686"/>
        <v>0</v>
      </c>
      <c r="FP175" s="427" t="b">
        <f t="shared" si="687"/>
        <v>0</v>
      </c>
    </row>
    <row r="176" spans="1:172" s="427" customFormat="1" ht="13.95" customHeight="1">
      <c r="A176" s="427" t="s">
        <v>491</v>
      </c>
      <c r="B176" s="427" t="s">
        <v>255</v>
      </c>
      <c r="C176" s="427" t="s">
        <v>975</v>
      </c>
      <c r="D176" s="427" t="s">
        <v>1480</v>
      </c>
      <c r="E176" s="427" t="s">
        <v>889</v>
      </c>
      <c r="F176" s="427" t="s">
        <v>356</v>
      </c>
      <c r="G176" s="427">
        <v>56</v>
      </c>
      <c r="H176" s="427">
        <v>49</v>
      </c>
      <c r="I176" s="427">
        <v>45</v>
      </c>
      <c r="J176" s="427">
        <f t="shared" si="562"/>
        <v>56.000000000459998</v>
      </c>
      <c r="K176" s="427">
        <f t="shared" si="563"/>
        <v>49.000000000520004</v>
      </c>
      <c r="L176" s="427">
        <f t="shared" si="564"/>
        <v>45.000000000459998</v>
      </c>
      <c r="M176" s="427" t="s">
        <v>356</v>
      </c>
      <c r="N176" s="427" t="s">
        <v>356</v>
      </c>
      <c r="O176" s="427" t="s">
        <v>1481</v>
      </c>
      <c r="P176" s="427" t="s">
        <v>356</v>
      </c>
      <c r="R176" s="427" t="s">
        <v>1482</v>
      </c>
      <c r="S176" s="427" t="s">
        <v>1177</v>
      </c>
      <c r="T176" s="427">
        <v>35</v>
      </c>
      <c r="U176" s="427" cm="1">
        <f t="array" ref="U176">IFERROR(INDEX('Offer Statistics'!$BQ$2:$BQ$400,MATCH(1,(A176='Offer Statistics'!$BB$2:$BB$400)*($A$11='Offer Statistics'!$BC$2:$BC$400),0)),"/")</f>
        <v>38</v>
      </c>
      <c r="V176" s="427" cm="1">
        <f t="array" ref="V176">IFERROR(INDEX('Offer Statistics'!$BD$2:$BD$400,MATCH(1,(A176='Offer Statistics'!$BB$2:$BB$400)*($A$11='Offer Statistics'!$BC$2:$BC$400),0)),"/")</f>
        <v>185</v>
      </c>
      <c r="W176" s="427" cm="1">
        <f t="array" ref="W176">IFERROR(INDEX('Offer Statistics'!$BL$2:$BL$400,MATCH(1,(A176='Offer Statistics'!$BB$2:$BB$400)*($A$11='Offer Statistics'!$BC$2:$BC$400),0)),"/")</f>
        <v>38</v>
      </c>
      <c r="X176" s="427">
        <f t="shared" si="502"/>
        <v>4.8684210526315788</v>
      </c>
      <c r="Y176" s="427" t="s">
        <v>1177</v>
      </c>
      <c r="Z176" s="364" t="str">
        <f>入學要求!AF185</f>
        <v>以下一科選修取得Lv.4︰M1/2、生物、化學、組合科學、地理、物理</v>
      </c>
      <c r="AA176" s="364" t="str">
        <f>入學要求!AG185</f>
        <v>/</v>
      </c>
      <c r="AB176" s="405" t="s">
        <v>889</v>
      </c>
      <c r="AE176" s="406" t="s">
        <v>356</v>
      </c>
      <c r="AF176" s="406" t="s">
        <v>356</v>
      </c>
      <c r="AG176" s="405" t="s">
        <v>3025</v>
      </c>
      <c r="AH176" s="405" t="s">
        <v>3026</v>
      </c>
      <c r="AI176" s="406"/>
      <c r="AJ176" s="427" t="s">
        <v>356</v>
      </c>
      <c r="AK176" s="427" t="s">
        <v>356</v>
      </c>
      <c r="AL176" s="427" t="s">
        <v>356</v>
      </c>
      <c r="AM176" s="427" t="s">
        <v>356</v>
      </c>
      <c r="AN176" s="427" t="s">
        <v>356</v>
      </c>
      <c r="AO176" s="427" t="s">
        <v>356</v>
      </c>
      <c r="AP176" s="427" t="s">
        <v>356</v>
      </c>
      <c r="AQ176" s="427" t="s">
        <v>356</v>
      </c>
      <c r="AS176" s="427" t="s">
        <v>820</v>
      </c>
      <c r="AU176" s="427" t="s">
        <v>817</v>
      </c>
      <c r="AY176" s="427">
        <v>1</v>
      </c>
      <c r="AZ176" s="427">
        <v>2</v>
      </c>
      <c r="BA176" s="427">
        <v>2</v>
      </c>
      <c r="BB176" s="427">
        <v>1</v>
      </c>
      <c r="BC176" s="427">
        <v>2</v>
      </c>
      <c r="BD176" s="427">
        <v>1</v>
      </c>
      <c r="BE176" s="427">
        <v>2</v>
      </c>
      <c r="BF176" s="427">
        <v>2</v>
      </c>
      <c r="BG176" s="427" t="s">
        <v>2249</v>
      </c>
      <c r="BH176" s="428">
        <v>7</v>
      </c>
      <c r="BI176" s="428">
        <v>4</v>
      </c>
      <c r="BJ176" s="428">
        <v>4</v>
      </c>
      <c r="BK176" s="428">
        <v>4</v>
      </c>
      <c r="BL176" s="428" t="s">
        <v>356</v>
      </c>
      <c r="BM176" s="428">
        <v>7</v>
      </c>
      <c r="BN176" s="428">
        <v>5.5</v>
      </c>
      <c r="BO176" s="428">
        <v>5.5</v>
      </c>
      <c r="BP176" s="429">
        <f t="shared" si="565"/>
        <v>7.00000000004</v>
      </c>
      <c r="BQ176" s="429">
        <f t="shared" si="566"/>
        <v>4.00000000002</v>
      </c>
      <c r="BR176" s="429">
        <f t="shared" si="567"/>
        <v>4.00000000003</v>
      </c>
      <c r="BS176" s="429">
        <f t="shared" si="568"/>
        <v>4.00000000001</v>
      </c>
      <c r="BT176" s="429">
        <f t="shared" si="569"/>
        <v>0</v>
      </c>
      <c r="BU176" s="429">
        <f t="shared" si="570"/>
        <v>7.00000000006</v>
      </c>
      <c r="BV176" s="429">
        <f t="shared" si="571"/>
        <v>5.50000000007</v>
      </c>
      <c r="BW176" s="429">
        <f t="shared" si="572"/>
        <v>5.50000000008</v>
      </c>
      <c r="BX176" s="427">
        <f t="shared" si="641"/>
        <v>7.00000000004</v>
      </c>
      <c r="BY176" s="427">
        <f t="shared" si="642"/>
        <v>8.00000000004</v>
      </c>
      <c r="BZ176" s="427">
        <f t="shared" si="643"/>
        <v>8.00000000006</v>
      </c>
      <c r="CA176" s="427">
        <f t="shared" si="644"/>
        <v>4.00000000001</v>
      </c>
      <c r="CB176" s="427">
        <f t="shared" si="645"/>
        <v>0</v>
      </c>
      <c r="CC176" s="427">
        <f t="shared" si="646"/>
        <v>7.00000000006</v>
      </c>
      <c r="CD176" s="427">
        <f t="shared" si="647"/>
        <v>11.00000000014</v>
      </c>
      <c r="CE176" s="427">
        <f t="shared" si="648"/>
        <v>11.00000000016</v>
      </c>
      <c r="CF176" s="427" t="b">
        <f t="shared" si="664"/>
        <v>0</v>
      </c>
      <c r="CG176" s="427" t="b">
        <f t="shared" si="665"/>
        <v>1</v>
      </c>
      <c r="CH176" s="427" t="b">
        <f t="shared" si="666"/>
        <v>1</v>
      </c>
      <c r="CI176" s="427" t="b">
        <f t="shared" si="667"/>
        <v>0</v>
      </c>
      <c r="CJ176" s="427" t="b">
        <f t="shared" si="668"/>
        <v>0</v>
      </c>
      <c r="CK176" s="427" t="b">
        <f t="shared" si="669"/>
        <v>1</v>
      </c>
      <c r="CL176" s="427" t="b">
        <f t="shared" si="670"/>
        <v>1</v>
      </c>
      <c r="CM176" s="427" t="b">
        <f t="shared" si="671"/>
        <v>1</v>
      </c>
      <c r="CN176" s="427">
        <v>1</v>
      </c>
      <c r="CO176" s="427">
        <v>2</v>
      </c>
      <c r="CP176" s="427">
        <v>2</v>
      </c>
      <c r="CQ176" s="427">
        <v>1</v>
      </c>
      <c r="CR176" s="427">
        <v>2</v>
      </c>
      <c r="CS176" s="427">
        <v>2</v>
      </c>
      <c r="CT176" s="427">
        <v>2</v>
      </c>
      <c r="CU176" s="427">
        <v>2</v>
      </c>
      <c r="CW176" s="431">
        <v>3</v>
      </c>
      <c r="CX176" s="431">
        <v>4</v>
      </c>
      <c r="CY176" s="431">
        <v>4</v>
      </c>
      <c r="CZ176" s="431">
        <v>2</v>
      </c>
      <c r="DA176" s="431" t="s">
        <v>356</v>
      </c>
      <c r="DB176" s="431">
        <v>5.5</v>
      </c>
      <c r="DC176" s="431">
        <v>5.5</v>
      </c>
      <c r="DD176" s="431">
        <v>5.5</v>
      </c>
      <c r="DE176" s="429">
        <f t="shared" si="573"/>
        <v>3.00000000004</v>
      </c>
      <c r="DF176" s="429">
        <f t="shared" si="574"/>
        <v>4.00000000002</v>
      </c>
      <c r="DG176" s="429">
        <f t="shared" si="575"/>
        <v>4.00000000003</v>
      </c>
      <c r="DH176" s="429">
        <f t="shared" si="576"/>
        <v>2.00000000001</v>
      </c>
      <c r="DI176" s="429">
        <f t="shared" si="577"/>
        <v>0</v>
      </c>
      <c r="DJ176" s="429">
        <f t="shared" si="578"/>
        <v>5.50000000006</v>
      </c>
      <c r="DK176" s="429">
        <f t="shared" si="579"/>
        <v>5.50000000007</v>
      </c>
      <c r="DL176" s="429">
        <f t="shared" si="580"/>
        <v>5.50000000008</v>
      </c>
      <c r="DM176" s="427">
        <f t="shared" si="649"/>
        <v>3.00000000004</v>
      </c>
      <c r="DN176" s="427">
        <f t="shared" si="650"/>
        <v>8.00000000004</v>
      </c>
      <c r="DO176" s="427">
        <f t="shared" si="651"/>
        <v>8.00000000006</v>
      </c>
      <c r="DP176" s="427">
        <f t="shared" si="652"/>
        <v>2.00000000001</v>
      </c>
      <c r="DQ176" s="427">
        <f t="shared" si="653"/>
        <v>0</v>
      </c>
      <c r="DR176" s="427">
        <f t="shared" si="654"/>
        <v>11.00000000012</v>
      </c>
      <c r="DS176" s="427">
        <f t="shared" si="655"/>
        <v>11.00000000014</v>
      </c>
      <c r="DT176" s="427">
        <f t="shared" si="656"/>
        <v>11.00000000016</v>
      </c>
      <c r="DU176" s="427" t="b">
        <f t="shared" si="672"/>
        <v>0</v>
      </c>
      <c r="DV176" s="427" t="b">
        <f t="shared" si="673"/>
        <v>1</v>
      </c>
      <c r="DW176" s="427" t="b">
        <f t="shared" si="674"/>
        <v>1</v>
      </c>
      <c r="DX176" s="427" t="b">
        <f t="shared" si="675"/>
        <v>0</v>
      </c>
      <c r="DY176" s="427" t="b">
        <f t="shared" si="676"/>
        <v>0</v>
      </c>
      <c r="DZ176" s="427" t="b">
        <f t="shared" si="677"/>
        <v>1</v>
      </c>
      <c r="EA176" s="427" t="b">
        <f t="shared" si="678"/>
        <v>1</v>
      </c>
      <c r="EB176" s="427" t="b">
        <f t="shared" si="679"/>
        <v>1</v>
      </c>
      <c r="EC176" s="427">
        <v>1</v>
      </c>
      <c r="ED176" s="427">
        <v>2</v>
      </c>
      <c r="EE176" s="427">
        <v>2</v>
      </c>
      <c r="EF176" s="427">
        <v>1</v>
      </c>
      <c r="EG176" s="427">
        <v>2</v>
      </c>
      <c r="EH176" s="427">
        <v>2</v>
      </c>
      <c r="EI176" s="427">
        <v>2</v>
      </c>
      <c r="EJ176" s="427">
        <v>2</v>
      </c>
      <c r="EK176" s="431">
        <v>5.5</v>
      </c>
      <c r="EL176" s="431">
        <v>3</v>
      </c>
      <c r="EM176" s="431">
        <v>7</v>
      </c>
      <c r="EN176" s="431">
        <v>4</v>
      </c>
      <c r="EO176" s="431">
        <v>4</v>
      </c>
      <c r="EP176" s="431">
        <v>7</v>
      </c>
      <c r="EQ176" s="431">
        <v>7</v>
      </c>
      <c r="ER176" s="431" t="s">
        <v>356</v>
      </c>
      <c r="ES176" s="429">
        <f t="shared" si="581"/>
        <v>5.50000000004</v>
      </c>
      <c r="ET176" s="429">
        <f t="shared" si="582"/>
        <v>3.00000000002</v>
      </c>
      <c r="EU176" s="429">
        <f t="shared" si="583"/>
        <v>7.00000000003</v>
      </c>
      <c r="EV176" s="429">
        <f t="shared" si="584"/>
        <v>4.00000000001</v>
      </c>
      <c r="EW176" s="429">
        <f t="shared" si="585"/>
        <v>4.00000000005</v>
      </c>
      <c r="EX176" s="429">
        <f t="shared" si="586"/>
        <v>7.00000000006</v>
      </c>
      <c r="EY176" s="429">
        <f t="shared" si="587"/>
        <v>7.00000000007</v>
      </c>
      <c r="EZ176" s="429">
        <f t="shared" si="588"/>
        <v>0</v>
      </c>
      <c r="FA176" s="427">
        <f t="shared" si="625"/>
        <v>5.50000000004</v>
      </c>
      <c r="FB176" s="427">
        <f t="shared" si="626"/>
        <v>6.00000000004</v>
      </c>
      <c r="FC176" s="427">
        <f t="shared" si="627"/>
        <v>14.00000000006</v>
      </c>
      <c r="FD176" s="427">
        <f t="shared" si="628"/>
        <v>4.00000000001</v>
      </c>
      <c r="FE176" s="427">
        <f t="shared" si="629"/>
        <v>8.0000000001</v>
      </c>
      <c r="FF176" s="427">
        <f t="shared" si="630"/>
        <v>14.00000000012</v>
      </c>
      <c r="FG176" s="427">
        <f t="shared" si="631"/>
        <v>14.00000000014</v>
      </c>
      <c r="FH176" s="427">
        <f t="shared" si="632"/>
        <v>0</v>
      </c>
      <c r="FI176" s="427" t="b">
        <f t="shared" si="680"/>
        <v>0</v>
      </c>
      <c r="FJ176" s="427" t="b">
        <f t="shared" si="681"/>
        <v>1</v>
      </c>
      <c r="FK176" s="427" t="b">
        <f t="shared" si="682"/>
        <v>1</v>
      </c>
      <c r="FL176" s="427" t="b">
        <f t="shared" si="683"/>
        <v>0</v>
      </c>
      <c r="FM176" s="427" t="b">
        <f t="shared" si="684"/>
        <v>1</v>
      </c>
      <c r="FN176" s="427" t="b">
        <f t="shared" si="685"/>
        <v>1</v>
      </c>
      <c r="FO176" s="427" t="b">
        <f t="shared" si="686"/>
        <v>1</v>
      </c>
      <c r="FP176" s="427" t="b">
        <f t="shared" si="687"/>
        <v>0</v>
      </c>
    </row>
    <row r="177" spans="1:172" ht="15.6">
      <c r="A177" s="2" t="s">
        <v>1483</v>
      </c>
      <c r="B177" s="2" t="s">
        <v>255</v>
      </c>
      <c r="C177" s="2" t="s">
        <v>975</v>
      </c>
      <c r="D177" s="2" t="s">
        <v>1484</v>
      </c>
      <c r="E177" s="2" t="s">
        <v>889</v>
      </c>
      <c r="F177" s="2" t="s">
        <v>356</v>
      </c>
      <c r="G177" s="2">
        <v>56.25</v>
      </c>
      <c r="H177" s="2">
        <v>52.5</v>
      </c>
      <c r="I177" s="2">
        <v>48</v>
      </c>
      <c r="J177" s="2">
        <f t="shared" si="562"/>
        <v>56.250000000414992</v>
      </c>
      <c r="K177" s="2">
        <f t="shared" si="563"/>
        <v>52.500000000415</v>
      </c>
      <c r="L177" s="2">
        <f t="shared" si="564"/>
        <v>48.000000000355001</v>
      </c>
      <c r="M177" s="364" t="s">
        <v>1487</v>
      </c>
      <c r="N177" s="364" t="s">
        <v>356</v>
      </c>
      <c r="O177" s="364" t="s">
        <v>1485</v>
      </c>
      <c r="P177" s="427" t="s">
        <v>356</v>
      </c>
      <c r="Q177" s="364" t="s">
        <v>356</v>
      </c>
      <c r="R177" s="2" t="s">
        <v>1486</v>
      </c>
      <c r="S177" s="2" t="s">
        <v>1177</v>
      </c>
      <c r="T177" s="2">
        <v>35</v>
      </c>
      <c r="U177" s="2" cm="1">
        <f t="array" ref="U177">IFERROR(INDEX('Offer Statistics'!$BQ$2:$BQ$400,MATCH(1,(A177='Offer Statistics'!$BB$2:$BB$400)*($A$11='Offer Statistics'!$BC$2:$BC$400),0)),"/")</f>
        <v>32</v>
      </c>
      <c r="V177" s="2" cm="1">
        <f t="array" ref="V177">IFERROR(INDEX('Offer Statistics'!$BD$2:$BD$400,MATCH(1,(A177='Offer Statistics'!$BB$2:$BB$400)*($A$11='Offer Statistics'!$BC$2:$BC$400),0)),"/")</f>
        <v>113</v>
      </c>
      <c r="W177" s="2" cm="1">
        <f t="array" ref="W177">IFERROR(INDEX('Offer Statistics'!$BL$2:$BL$400,MATCH(1,(A177='Offer Statistics'!$BB$2:$BB$400)*($A$11='Offer Statistics'!$BC$2:$BC$400),0)),"/")</f>
        <v>32</v>
      </c>
      <c r="X177" s="2">
        <f t="shared" si="502"/>
        <v>3.53125</v>
      </c>
      <c r="Y177" s="2" t="s">
        <v>1177</v>
      </c>
      <c r="Z177" s="364" t="str">
        <f>入學要求!AF186</f>
        <v>以下一科選修取得Lv.3︰生物、化學、組合科學、經濟、地理、ICT、綜合科學、物理、科技與生活</v>
      </c>
      <c r="AA177" s="364" t="str">
        <f>入學要求!AG186</f>
        <v>M1/2 需考獲Lv.4或以上</v>
      </c>
      <c r="AB177" s="401" t="s">
        <v>889</v>
      </c>
      <c r="AC177" s="368"/>
      <c r="AD177" s="368"/>
      <c r="AE177" s="368" t="s">
        <v>1487</v>
      </c>
      <c r="AF177" s="368" t="s">
        <v>356</v>
      </c>
      <c r="AG177" s="368" t="s">
        <v>1485</v>
      </c>
      <c r="AH177" s="368"/>
      <c r="AI177" s="368" t="s">
        <v>356</v>
      </c>
      <c r="AJ177" s="2" t="s">
        <v>356</v>
      </c>
      <c r="AK177" s="2" t="s">
        <v>356</v>
      </c>
      <c r="AL177" s="2" t="s">
        <v>356</v>
      </c>
      <c r="AM177" s="2" t="s">
        <v>356</v>
      </c>
      <c r="AN177" s="2" t="s">
        <v>356</v>
      </c>
      <c r="AO177" s="2" t="s">
        <v>356</v>
      </c>
      <c r="AP177" s="2" t="s">
        <v>356</v>
      </c>
      <c r="AQ177" s="2" t="s">
        <v>356</v>
      </c>
      <c r="AS177" s="2" t="s">
        <v>820</v>
      </c>
      <c r="AU177" s="2" t="s">
        <v>817</v>
      </c>
      <c r="AY177" s="2">
        <v>1</v>
      </c>
      <c r="AZ177" s="2">
        <v>1</v>
      </c>
      <c r="BA177" s="2">
        <v>1</v>
      </c>
      <c r="BB177" s="2">
        <v>1</v>
      </c>
      <c r="BC177" s="2">
        <v>3.5</v>
      </c>
      <c r="BD177" s="2">
        <v>1</v>
      </c>
      <c r="BE177" s="2">
        <v>1</v>
      </c>
      <c r="BF177" s="2">
        <v>1</v>
      </c>
      <c r="BG177" s="2" t="s">
        <v>1483</v>
      </c>
      <c r="BH177">
        <v>3</v>
      </c>
      <c r="BI177">
        <v>4</v>
      </c>
      <c r="BJ177">
        <v>7</v>
      </c>
      <c r="BK177">
        <v>3</v>
      </c>
      <c r="BL177">
        <v>7</v>
      </c>
      <c r="BM177">
        <v>7</v>
      </c>
      <c r="BN177">
        <v>5.5</v>
      </c>
      <c r="BO177">
        <v>3</v>
      </c>
      <c r="BP177" s="206">
        <f t="shared" si="565"/>
        <v>3.00000000004</v>
      </c>
      <c r="BQ177" s="206">
        <f t="shared" si="566"/>
        <v>4.00000000002</v>
      </c>
      <c r="BR177" s="206">
        <f t="shared" si="567"/>
        <v>7.00000000003</v>
      </c>
      <c r="BS177" s="206">
        <f t="shared" si="568"/>
        <v>3.00000000001</v>
      </c>
      <c r="BT177" s="206">
        <f t="shared" si="569"/>
        <v>7.00000000005</v>
      </c>
      <c r="BU177" s="206">
        <f t="shared" si="570"/>
        <v>7.00000000006</v>
      </c>
      <c r="BV177" s="206">
        <f t="shared" si="571"/>
        <v>5.50000000007</v>
      </c>
      <c r="BW177" s="206">
        <f t="shared" si="572"/>
        <v>3.00000000008</v>
      </c>
      <c r="BX177" s="2">
        <f t="shared" si="641"/>
        <v>3.00000000004</v>
      </c>
      <c r="BY177" s="2">
        <f t="shared" si="642"/>
        <v>4.00000000002</v>
      </c>
      <c r="BZ177" s="2">
        <f t="shared" si="643"/>
        <v>7.00000000003</v>
      </c>
      <c r="CA177" s="2">
        <f t="shared" si="644"/>
        <v>3.00000000001</v>
      </c>
      <c r="CB177" s="2">
        <f t="shared" si="645"/>
        <v>24.500000000175</v>
      </c>
      <c r="CC177" s="2">
        <f t="shared" si="646"/>
        <v>7.00000000006</v>
      </c>
      <c r="CD177" s="2">
        <f t="shared" si="647"/>
        <v>5.50000000007</v>
      </c>
      <c r="CE177" s="2">
        <f t="shared" si="648"/>
        <v>3.00000000008</v>
      </c>
      <c r="CF177" s="2" t="b">
        <f t="shared" si="664"/>
        <v>0</v>
      </c>
      <c r="CG177" s="2" t="b">
        <f t="shared" si="665"/>
        <v>1</v>
      </c>
      <c r="CH177" s="2" t="b">
        <f t="shared" si="666"/>
        <v>1</v>
      </c>
      <c r="CI177" s="2" t="b">
        <f t="shared" si="667"/>
        <v>0</v>
      </c>
      <c r="CJ177" s="2" t="b">
        <f t="shared" si="668"/>
        <v>1</v>
      </c>
      <c r="CK177" s="2" t="b">
        <f t="shared" si="669"/>
        <v>1</v>
      </c>
      <c r="CL177" s="2" t="b">
        <f t="shared" si="670"/>
        <v>1</v>
      </c>
      <c r="CM177" s="2" t="b">
        <f t="shared" si="671"/>
        <v>0</v>
      </c>
      <c r="CN177" s="2">
        <v>1</v>
      </c>
      <c r="CO177" s="2">
        <v>1</v>
      </c>
      <c r="CP177" s="2">
        <v>1</v>
      </c>
      <c r="CQ177" s="2">
        <v>1</v>
      </c>
      <c r="CR177" s="2">
        <v>3.5</v>
      </c>
      <c r="CS177" s="2">
        <v>1</v>
      </c>
      <c r="CT177" s="2">
        <v>1</v>
      </c>
      <c r="CU177" s="2">
        <v>1</v>
      </c>
      <c r="CW177" s="2">
        <v>4</v>
      </c>
      <c r="CX177" s="2">
        <v>4</v>
      </c>
      <c r="CY177" s="2">
        <v>8.5</v>
      </c>
      <c r="CZ177" s="2">
        <v>4</v>
      </c>
      <c r="DA177" s="2">
        <v>7</v>
      </c>
      <c r="DB177" s="2">
        <v>7</v>
      </c>
      <c r="DC177" s="2">
        <v>7</v>
      </c>
      <c r="DD177" s="2">
        <v>5.5</v>
      </c>
      <c r="DE177" s="206">
        <f t="shared" si="573"/>
        <v>4.00000000004</v>
      </c>
      <c r="DF177" s="206">
        <f t="shared" si="574"/>
        <v>4.00000000002</v>
      </c>
      <c r="DG177" s="206">
        <f t="shared" si="575"/>
        <v>8.5000000000299991</v>
      </c>
      <c r="DH177" s="206">
        <f t="shared" si="576"/>
        <v>4.00000000001</v>
      </c>
      <c r="DI177" s="206">
        <f t="shared" si="577"/>
        <v>7.00000000005</v>
      </c>
      <c r="DJ177" s="206">
        <f t="shared" si="578"/>
        <v>7.00000000006</v>
      </c>
      <c r="DK177" s="206">
        <f t="shared" si="579"/>
        <v>7.00000000007</v>
      </c>
      <c r="DL177" s="206">
        <f t="shared" si="580"/>
        <v>5.50000000008</v>
      </c>
      <c r="DM177" s="2">
        <f t="shared" si="649"/>
        <v>4.00000000004</v>
      </c>
      <c r="DN177" s="2">
        <f t="shared" si="650"/>
        <v>4.00000000002</v>
      </c>
      <c r="DO177" s="2">
        <f t="shared" si="651"/>
        <v>8.5000000000299991</v>
      </c>
      <c r="DP177" s="2">
        <f t="shared" si="652"/>
        <v>4.00000000001</v>
      </c>
      <c r="DQ177" s="2">
        <f t="shared" si="653"/>
        <v>24.500000000175</v>
      </c>
      <c r="DR177" s="2">
        <f t="shared" si="654"/>
        <v>7.00000000006</v>
      </c>
      <c r="DS177" s="2">
        <f t="shared" si="655"/>
        <v>7.00000000007</v>
      </c>
      <c r="DT177" s="2">
        <f t="shared" si="656"/>
        <v>5.50000000008</v>
      </c>
      <c r="DU177" s="2" t="b">
        <f t="shared" si="672"/>
        <v>0</v>
      </c>
      <c r="DV177" s="2" t="b">
        <f t="shared" si="673"/>
        <v>0</v>
      </c>
      <c r="DW177" s="2" t="b">
        <f t="shared" si="674"/>
        <v>1</v>
      </c>
      <c r="DX177" s="2" t="b">
        <f t="shared" si="675"/>
        <v>0</v>
      </c>
      <c r="DY177" s="2" t="b">
        <f t="shared" si="676"/>
        <v>1</v>
      </c>
      <c r="DZ177" s="2" t="b">
        <f t="shared" si="677"/>
        <v>1</v>
      </c>
      <c r="EA177" s="2" t="b">
        <f t="shared" si="678"/>
        <v>1</v>
      </c>
      <c r="EB177" s="2" t="b">
        <f t="shared" si="679"/>
        <v>1</v>
      </c>
      <c r="EC177" s="2">
        <v>1</v>
      </c>
      <c r="ED177" s="2">
        <v>1</v>
      </c>
      <c r="EE177" s="2">
        <v>1</v>
      </c>
      <c r="EF177" s="2">
        <v>1</v>
      </c>
      <c r="EG177" s="2">
        <v>3.5</v>
      </c>
      <c r="EH177" s="2">
        <v>1</v>
      </c>
      <c r="EI177" s="2">
        <v>1</v>
      </c>
      <c r="EJ177" s="2">
        <v>1</v>
      </c>
      <c r="EK177" s="2">
        <v>4</v>
      </c>
      <c r="EL177" s="2">
        <v>4</v>
      </c>
      <c r="EM177" s="2">
        <v>8.5</v>
      </c>
      <c r="EN177" s="2">
        <v>3</v>
      </c>
      <c r="EO177" s="2">
        <v>8.5</v>
      </c>
      <c r="EP177" s="2">
        <v>7</v>
      </c>
      <c r="EQ177" s="2">
        <v>5.5</v>
      </c>
      <c r="ER177" s="2">
        <v>5.5</v>
      </c>
      <c r="ES177" s="206">
        <f t="shared" si="581"/>
        <v>4.00000000004</v>
      </c>
      <c r="ET177" s="206">
        <f t="shared" si="582"/>
        <v>4.00000000002</v>
      </c>
      <c r="EU177" s="206">
        <f t="shared" si="583"/>
        <v>8.5000000000299991</v>
      </c>
      <c r="EV177" s="206">
        <f t="shared" si="584"/>
        <v>3.00000000001</v>
      </c>
      <c r="EW177" s="206">
        <f t="shared" si="585"/>
        <v>8.5000000000499991</v>
      </c>
      <c r="EX177" s="206">
        <f t="shared" si="586"/>
        <v>7.00000000006</v>
      </c>
      <c r="EY177" s="206">
        <f t="shared" si="587"/>
        <v>5.50000000007</v>
      </c>
      <c r="EZ177" s="206">
        <f t="shared" si="588"/>
        <v>5.50000000008</v>
      </c>
      <c r="FA177" s="2">
        <f t="shared" si="625"/>
        <v>4.00000000004</v>
      </c>
      <c r="FB177" s="2">
        <f t="shared" si="626"/>
        <v>4.00000000002</v>
      </c>
      <c r="FC177" s="2">
        <f t="shared" si="627"/>
        <v>8.5000000000299991</v>
      </c>
      <c r="FD177" s="2">
        <f t="shared" si="628"/>
        <v>3.00000000001</v>
      </c>
      <c r="FE177" s="2">
        <f t="shared" si="629"/>
        <v>29.750000000174996</v>
      </c>
      <c r="FF177" s="2">
        <f t="shared" si="630"/>
        <v>7.00000000006</v>
      </c>
      <c r="FG177" s="2">
        <f t="shared" si="631"/>
        <v>5.50000000007</v>
      </c>
      <c r="FH177" s="2">
        <f t="shared" si="632"/>
        <v>5.50000000008</v>
      </c>
      <c r="FI177" s="2" t="b">
        <f t="shared" si="680"/>
        <v>0</v>
      </c>
      <c r="FJ177" s="2" t="b">
        <f t="shared" si="681"/>
        <v>0</v>
      </c>
      <c r="FK177" s="2" t="b">
        <f t="shared" si="682"/>
        <v>1</v>
      </c>
      <c r="FL177" s="2" t="b">
        <f t="shared" si="683"/>
        <v>0</v>
      </c>
      <c r="FM177" s="2" t="b">
        <f t="shared" si="684"/>
        <v>1</v>
      </c>
      <c r="FN177" s="2" t="b">
        <f t="shared" si="685"/>
        <v>1</v>
      </c>
      <c r="FO177" s="2" t="b">
        <f t="shared" si="686"/>
        <v>1</v>
      </c>
      <c r="FP177" s="2" t="b">
        <f t="shared" si="687"/>
        <v>1</v>
      </c>
    </row>
    <row r="178" spans="1:172" ht="15.6">
      <c r="A178" s="2" t="s">
        <v>1488</v>
      </c>
      <c r="B178" s="2" t="s">
        <v>255</v>
      </c>
      <c r="C178" s="2" t="s">
        <v>975</v>
      </c>
      <c r="D178" s="2" t="s">
        <v>1489</v>
      </c>
      <c r="E178" s="2" t="s">
        <v>889</v>
      </c>
      <c r="F178" s="2" t="s">
        <v>356</v>
      </c>
      <c r="G178" s="2">
        <v>48.5</v>
      </c>
      <c r="H178" s="2">
        <v>45.25</v>
      </c>
      <c r="I178" s="2">
        <v>43</v>
      </c>
      <c r="J178" s="2">
        <f t="shared" si="562"/>
        <v>48.500000000335</v>
      </c>
      <c r="K178" s="2">
        <f t="shared" si="563"/>
        <v>45.250000000349999</v>
      </c>
      <c r="L178" s="2">
        <f t="shared" si="564"/>
        <v>43.000000000349999</v>
      </c>
      <c r="M178" s="364" t="s">
        <v>1493</v>
      </c>
      <c r="N178" s="364" t="s">
        <v>356</v>
      </c>
      <c r="O178" s="364" t="s">
        <v>1490</v>
      </c>
      <c r="P178" s="364" t="s">
        <v>1491</v>
      </c>
      <c r="Q178" s="364" t="s">
        <v>356</v>
      </c>
      <c r="R178" s="2" t="s">
        <v>1492</v>
      </c>
      <c r="S178" s="2" t="s">
        <v>1177</v>
      </c>
      <c r="T178" s="2">
        <v>20</v>
      </c>
      <c r="U178" s="2" cm="1">
        <f t="array" ref="U178">IFERROR(INDEX('Offer Statistics'!$BQ$2:$BQ$400,MATCH(1,(A178='Offer Statistics'!$BB$2:$BB$400)*($A$11='Offer Statistics'!$BC$2:$BC$400),0)),"/")</f>
        <v>27</v>
      </c>
      <c r="V178" s="2" cm="1">
        <f t="array" ref="V178">IFERROR(INDEX('Offer Statistics'!$BD$2:$BD$400,MATCH(1,(A178='Offer Statistics'!$BB$2:$BB$400)*($A$11='Offer Statistics'!$BC$2:$BC$400),0)),"/")</f>
        <v>77</v>
      </c>
      <c r="W178" s="2" cm="1">
        <f t="array" ref="W178">IFERROR(INDEX('Offer Statistics'!$BL$2:$BL$400,MATCH(1,(A178='Offer Statistics'!$BB$2:$BB$400)*($A$11='Offer Statistics'!$BC$2:$BC$400),0)),"/")</f>
        <v>27</v>
      </c>
      <c r="X178" s="2">
        <f t="shared" si="502"/>
        <v>2.8518518518518516</v>
      </c>
      <c r="Y178" s="2" t="s">
        <v>1177</v>
      </c>
      <c r="Z178" s="364" t="str">
        <f>入學要求!AF187</f>
        <v>物理 需考獲Lv.4或以上</v>
      </c>
      <c r="AA178" s="364" t="str">
        <f>入學要求!AG187</f>
        <v>以下一科選修取得Lv.3︰M1/2、生物、化學、組合科學、經濟、地理、ICT、綜合科學、科技與生活</v>
      </c>
      <c r="AB178" s="401" t="s">
        <v>889</v>
      </c>
      <c r="AC178" s="368"/>
      <c r="AD178" s="368"/>
      <c r="AE178" s="368" t="s">
        <v>1493</v>
      </c>
      <c r="AF178" s="368" t="s">
        <v>356</v>
      </c>
      <c r="AG178" s="368" t="s">
        <v>1490</v>
      </c>
      <c r="AH178" s="368" t="s">
        <v>1491</v>
      </c>
      <c r="AI178" s="368" t="s">
        <v>356</v>
      </c>
      <c r="AJ178" s="2" t="s">
        <v>356</v>
      </c>
      <c r="AK178" s="2" t="s">
        <v>356</v>
      </c>
      <c r="AL178" s="2" t="s">
        <v>356</v>
      </c>
      <c r="AM178" s="2" t="s">
        <v>356</v>
      </c>
      <c r="AN178" s="2" t="s">
        <v>356</v>
      </c>
      <c r="AO178" s="2" t="s">
        <v>356</v>
      </c>
      <c r="AP178" s="2" t="s">
        <v>356</v>
      </c>
      <c r="AQ178" s="2" t="s">
        <v>356</v>
      </c>
      <c r="AS178" s="2" t="s">
        <v>820</v>
      </c>
      <c r="AU178" s="2" t="s">
        <v>817</v>
      </c>
      <c r="AY178" s="2">
        <v>1</v>
      </c>
      <c r="AZ178" s="2">
        <v>1</v>
      </c>
      <c r="BA178" s="2">
        <v>1.5</v>
      </c>
      <c r="BB178" s="2">
        <v>1</v>
      </c>
      <c r="BC178" s="2">
        <v>1.5</v>
      </c>
      <c r="BD178" s="2">
        <v>2</v>
      </c>
      <c r="BE178" s="2">
        <v>1</v>
      </c>
      <c r="BF178" s="2">
        <v>1</v>
      </c>
      <c r="BG178" s="2" t="s">
        <v>1488</v>
      </c>
      <c r="BH178">
        <v>4</v>
      </c>
      <c r="BI178">
        <v>4</v>
      </c>
      <c r="BJ178">
        <v>5.5</v>
      </c>
      <c r="BK178">
        <v>2</v>
      </c>
      <c r="BL178">
        <v>5.5</v>
      </c>
      <c r="BM178">
        <v>8.5</v>
      </c>
      <c r="BN178">
        <v>5.5</v>
      </c>
      <c r="BO178" t="s">
        <v>356</v>
      </c>
      <c r="BP178" s="206">
        <f t="shared" si="565"/>
        <v>4.00000000004</v>
      </c>
      <c r="BQ178" s="206">
        <f t="shared" si="566"/>
        <v>4.00000000002</v>
      </c>
      <c r="BR178" s="206">
        <f t="shared" si="567"/>
        <v>5.50000000003</v>
      </c>
      <c r="BS178" s="206">
        <f t="shared" si="568"/>
        <v>2.00000000001</v>
      </c>
      <c r="BT178" s="206">
        <f t="shared" si="569"/>
        <v>5.50000000005</v>
      </c>
      <c r="BU178" s="206">
        <f t="shared" si="570"/>
        <v>8.50000000006</v>
      </c>
      <c r="BV178" s="206">
        <f t="shared" si="571"/>
        <v>5.50000000007</v>
      </c>
      <c r="BW178" s="206">
        <f t="shared" si="572"/>
        <v>0</v>
      </c>
      <c r="BX178" s="2">
        <f t="shared" si="641"/>
        <v>4.00000000004</v>
      </c>
      <c r="BY178" s="2">
        <f t="shared" si="642"/>
        <v>4.00000000002</v>
      </c>
      <c r="BZ178" s="2">
        <f t="shared" si="643"/>
        <v>8.2500000000450004</v>
      </c>
      <c r="CA178" s="2">
        <f t="shared" si="644"/>
        <v>2.00000000001</v>
      </c>
      <c r="CB178" s="2">
        <f t="shared" si="645"/>
        <v>8.2500000000749996</v>
      </c>
      <c r="CC178" s="2">
        <f t="shared" si="646"/>
        <v>17.00000000012</v>
      </c>
      <c r="CD178" s="2">
        <f t="shared" si="647"/>
        <v>5.50000000007</v>
      </c>
      <c r="CE178" s="2">
        <f t="shared" si="648"/>
        <v>0</v>
      </c>
      <c r="CF178" s="2" t="b">
        <f t="shared" si="664"/>
        <v>1</v>
      </c>
      <c r="CG178" s="2" t="b">
        <f t="shared" si="665"/>
        <v>0</v>
      </c>
      <c r="CH178" s="2" t="b">
        <f t="shared" si="666"/>
        <v>1</v>
      </c>
      <c r="CI178" s="2" t="b">
        <f t="shared" si="667"/>
        <v>0</v>
      </c>
      <c r="CJ178" s="2" t="b">
        <f t="shared" si="668"/>
        <v>1</v>
      </c>
      <c r="CK178" s="2" t="b">
        <f t="shared" si="669"/>
        <v>1</v>
      </c>
      <c r="CL178" s="2" t="b">
        <f t="shared" si="670"/>
        <v>1</v>
      </c>
      <c r="CM178" s="2" t="b">
        <f t="shared" si="671"/>
        <v>0</v>
      </c>
      <c r="CN178" s="2">
        <v>1</v>
      </c>
      <c r="CO178" s="2">
        <v>1</v>
      </c>
      <c r="CP178" s="2">
        <v>1.5</v>
      </c>
      <c r="CQ178" s="2">
        <v>1</v>
      </c>
      <c r="CR178" s="2">
        <v>1.5</v>
      </c>
      <c r="CS178" s="2">
        <v>2</v>
      </c>
      <c r="CT178" s="2">
        <v>1</v>
      </c>
      <c r="CU178" s="2">
        <v>1</v>
      </c>
      <c r="CW178" s="2">
        <v>4</v>
      </c>
      <c r="CX178" s="2">
        <v>4</v>
      </c>
      <c r="CY178" s="2">
        <v>7</v>
      </c>
      <c r="CZ178" s="2">
        <v>4</v>
      </c>
      <c r="DA178" s="2">
        <v>5.5</v>
      </c>
      <c r="DB178" s="2">
        <v>8.5</v>
      </c>
      <c r="DC178" s="2">
        <v>5.5</v>
      </c>
      <c r="DD178" s="2" t="s">
        <v>356</v>
      </c>
      <c r="DE178" s="206">
        <f t="shared" si="573"/>
        <v>4.00000000004</v>
      </c>
      <c r="DF178" s="206">
        <f t="shared" si="574"/>
        <v>4.00000000002</v>
      </c>
      <c r="DG178" s="206">
        <f t="shared" si="575"/>
        <v>7.00000000003</v>
      </c>
      <c r="DH178" s="206">
        <f t="shared" si="576"/>
        <v>4.00000000001</v>
      </c>
      <c r="DI178" s="206">
        <f t="shared" si="577"/>
        <v>5.50000000005</v>
      </c>
      <c r="DJ178" s="206">
        <f t="shared" si="578"/>
        <v>8.50000000006</v>
      </c>
      <c r="DK178" s="206">
        <f t="shared" si="579"/>
        <v>5.50000000007</v>
      </c>
      <c r="DL178" s="206">
        <f t="shared" si="580"/>
        <v>0</v>
      </c>
      <c r="DM178" s="2">
        <f t="shared" si="649"/>
        <v>4.00000000004</v>
      </c>
      <c r="DN178" s="2">
        <f t="shared" si="650"/>
        <v>4.00000000002</v>
      </c>
      <c r="DO178" s="2">
        <f t="shared" si="651"/>
        <v>10.500000000045</v>
      </c>
      <c r="DP178" s="2">
        <f t="shared" si="652"/>
        <v>4.00000000001</v>
      </c>
      <c r="DQ178" s="2">
        <f t="shared" si="653"/>
        <v>8.2500000000749996</v>
      </c>
      <c r="DR178" s="2">
        <f t="shared" si="654"/>
        <v>17.00000000012</v>
      </c>
      <c r="DS178" s="2">
        <f t="shared" si="655"/>
        <v>5.50000000007</v>
      </c>
      <c r="DT178" s="2">
        <f t="shared" si="656"/>
        <v>0</v>
      </c>
      <c r="DU178" s="2" t="b">
        <f t="shared" si="672"/>
        <v>1</v>
      </c>
      <c r="DV178" s="2" t="b">
        <f t="shared" si="673"/>
        <v>0</v>
      </c>
      <c r="DW178" s="2" t="b">
        <f t="shared" si="674"/>
        <v>1</v>
      </c>
      <c r="DX178" s="2" t="b">
        <f t="shared" si="675"/>
        <v>0</v>
      </c>
      <c r="DY178" s="2" t="b">
        <f t="shared" si="676"/>
        <v>1</v>
      </c>
      <c r="DZ178" s="2" t="b">
        <f t="shared" si="677"/>
        <v>1</v>
      </c>
      <c r="EA178" s="2" t="b">
        <f t="shared" si="678"/>
        <v>1</v>
      </c>
      <c r="EB178" s="2" t="b">
        <f t="shared" si="679"/>
        <v>0</v>
      </c>
      <c r="EC178" s="2">
        <v>1</v>
      </c>
      <c r="ED178" s="2">
        <v>1</v>
      </c>
      <c r="EE178" s="2">
        <v>1.5</v>
      </c>
      <c r="EF178" s="2">
        <v>1</v>
      </c>
      <c r="EG178" s="2">
        <v>1.5</v>
      </c>
      <c r="EH178" s="2">
        <v>2</v>
      </c>
      <c r="EI178" s="2">
        <v>1</v>
      </c>
      <c r="EJ178" s="2">
        <v>1</v>
      </c>
      <c r="EK178" s="2">
        <v>4</v>
      </c>
      <c r="EL178" s="2">
        <v>5.5</v>
      </c>
      <c r="EM178" s="2">
        <v>7</v>
      </c>
      <c r="EN178" s="2">
        <v>4</v>
      </c>
      <c r="EO178" s="2" t="s">
        <v>356</v>
      </c>
      <c r="EP178" s="2">
        <v>8.5</v>
      </c>
      <c r="EQ178" s="2">
        <v>8.5</v>
      </c>
      <c r="ER178" s="2">
        <v>7</v>
      </c>
      <c r="ES178" s="206">
        <f t="shared" si="581"/>
        <v>4.00000000004</v>
      </c>
      <c r="ET178" s="206">
        <f t="shared" si="582"/>
        <v>5.50000000002</v>
      </c>
      <c r="EU178" s="206">
        <f t="shared" si="583"/>
        <v>7.00000000003</v>
      </c>
      <c r="EV178" s="206">
        <f t="shared" si="584"/>
        <v>4.00000000001</v>
      </c>
      <c r="EW178" s="206">
        <f t="shared" si="585"/>
        <v>0</v>
      </c>
      <c r="EX178" s="206">
        <f t="shared" si="586"/>
        <v>8.50000000006</v>
      </c>
      <c r="EY178" s="206">
        <f t="shared" si="587"/>
        <v>8.5000000000699991</v>
      </c>
      <c r="EZ178" s="206">
        <f t="shared" si="588"/>
        <v>7.00000000008</v>
      </c>
      <c r="FA178" s="2">
        <f t="shared" si="625"/>
        <v>4.00000000004</v>
      </c>
      <c r="FB178" s="2">
        <f t="shared" si="626"/>
        <v>5.50000000002</v>
      </c>
      <c r="FC178" s="2">
        <f t="shared" si="627"/>
        <v>10.500000000045</v>
      </c>
      <c r="FD178" s="2">
        <f t="shared" si="628"/>
        <v>4.00000000001</v>
      </c>
      <c r="FE178" s="2">
        <f t="shared" si="629"/>
        <v>0</v>
      </c>
      <c r="FF178" s="2">
        <f t="shared" si="630"/>
        <v>17.00000000012</v>
      </c>
      <c r="FG178" s="2">
        <f t="shared" si="631"/>
        <v>8.5000000000699991</v>
      </c>
      <c r="FH178" s="2">
        <f t="shared" si="632"/>
        <v>7.00000000008</v>
      </c>
      <c r="FI178" s="2" t="b">
        <f t="shared" si="680"/>
        <v>0</v>
      </c>
      <c r="FJ178" s="2" t="b">
        <f t="shared" si="681"/>
        <v>1</v>
      </c>
      <c r="FK178" s="2" t="b">
        <f t="shared" si="682"/>
        <v>1</v>
      </c>
      <c r="FL178" s="2" t="b">
        <f t="shared" si="683"/>
        <v>0</v>
      </c>
      <c r="FM178" s="2" t="b">
        <f t="shared" si="684"/>
        <v>0</v>
      </c>
      <c r="FN178" s="2" t="b">
        <f t="shared" si="685"/>
        <v>1</v>
      </c>
      <c r="FO178" s="2" t="b">
        <f t="shared" si="686"/>
        <v>1</v>
      </c>
      <c r="FP178" s="2" t="b">
        <f t="shared" si="687"/>
        <v>1</v>
      </c>
    </row>
    <row r="179" spans="1:172" ht="15.6">
      <c r="A179" s="2" t="s">
        <v>1494</v>
      </c>
      <c r="B179" s="2" t="s">
        <v>255</v>
      </c>
      <c r="C179" s="2" t="s">
        <v>975</v>
      </c>
      <c r="D179" s="2" t="s">
        <v>1495</v>
      </c>
      <c r="E179" s="2" t="s">
        <v>889</v>
      </c>
      <c r="F179" s="2" t="s">
        <v>356</v>
      </c>
      <c r="G179" s="2">
        <v>44.5</v>
      </c>
      <c r="H179" s="2">
        <v>41.5</v>
      </c>
      <c r="I179" s="2">
        <v>39</v>
      </c>
      <c r="J179" s="2">
        <f t="shared" si="562"/>
        <v>44.500000000329997</v>
      </c>
      <c r="K179" s="2">
        <f t="shared" si="563"/>
        <v>41.500000000330004</v>
      </c>
      <c r="L179" s="2">
        <f t="shared" si="564"/>
        <v>39.000000000330004</v>
      </c>
      <c r="M179" s="364" t="s">
        <v>356</v>
      </c>
      <c r="N179" s="364" t="s">
        <v>356</v>
      </c>
      <c r="O179" s="364" t="s">
        <v>1497</v>
      </c>
      <c r="P179" s="364" t="s">
        <v>356</v>
      </c>
      <c r="Q179" s="364" t="s">
        <v>356</v>
      </c>
      <c r="R179" s="2" t="s">
        <v>1496</v>
      </c>
      <c r="S179" s="2" t="s">
        <v>1177</v>
      </c>
      <c r="T179" s="2">
        <v>25</v>
      </c>
      <c r="U179" s="2" cm="1">
        <f t="array" ref="U179">IFERROR(INDEX('Offer Statistics'!$BQ$2:$BQ$400,MATCH(1,(A179='Offer Statistics'!$BB$2:$BB$400)*($A$11='Offer Statistics'!$BC$2:$BC$400),0)),"/")</f>
        <v>30</v>
      </c>
      <c r="V179" s="2" cm="1">
        <f t="array" ref="V179">IFERROR(INDEX('Offer Statistics'!$BD$2:$BD$400,MATCH(1,(A179='Offer Statistics'!$BB$2:$BB$400)*($A$11='Offer Statistics'!$BC$2:$BC$400),0)),"/")</f>
        <v>89</v>
      </c>
      <c r="W179" s="2" cm="1">
        <f t="array" ref="W179">IFERROR(INDEX('Offer Statistics'!$BL$2:$BL$400,MATCH(1,(A179='Offer Statistics'!$BB$2:$BB$400)*($A$11='Offer Statistics'!$BC$2:$BC$400),0)),"/")</f>
        <v>30</v>
      </c>
      <c r="X179" s="2">
        <f t="shared" si="502"/>
        <v>2.9666666666666668</v>
      </c>
      <c r="Y179" s="2" t="s">
        <v>1177</v>
      </c>
      <c r="Z179" s="364" t="str">
        <f>入學要求!AF188</f>
        <v>M1/2 需取得Lv.3或以上</v>
      </c>
      <c r="AA179" s="364" t="str">
        <f>入學要求!AG188</f>
        <v>/</v>
      </c>
      <c r="AB179" s="401" t="s">
        <v>889</v>
      </c>
      <c r="AC179" s="51"/>
      <c r="AD179" s="51"/>
      <c r="AE179" s="368" t="s">
        <v>356</v>
      </c>
      <c r="AF179" s="368" t="s">
        <v>356</v>
      </c>
      <c r="AG179" s="368" t="s">
        <v>1497</v>
      </c>
      <c r="AH179" s="368" t="s">
        <v>356</v>
      </c>
      <c r="AI179" s="368" t="s">
        <v>356</v>
      </c>
      <c r="AJ179" s="2" t="s">
        <v>356</v>
      </c>
      <c r="AK179" s="2" t="s">
        <v>356</v>
      </c>
      <c r="AL179" s="2" t="s">
        <v>356</v>
      </c>
      <c r="AM179" s="2" t="s">
        <v>356</v>
      </c>
      <c r="AN179" s="2" t="s">
        <v>356</v>
      </c>
      <c r="AO179" s="2" t="s">
        <v>356</v>
      </c>
      <c r="AP179" s="2" t="s">
        <v>356</v>
      </c>
      <c r="AQ179" s="2" t="s">
        <v>356</v>
      </c>
      <c r="AS179" s="2" t="s">
        <v>820</v>
      </c>
      <c r="AU179" s="2" t="s">
        <v>817</v>
      </c>
      <c r="AY179" s="2">
        <v>1</v>
      </c>
      <c r="AZ179" s="2">
        <v>1</v>
      </c>
      <c r="BA179" s="2">
        <v>2</v>
      </c>
      <c r="BB179" s="2">
        <v>1</v>
      </c>
      <c r="BC179" s="2">
        <v>2</v>
      </c>
      <c r="BD179" s="2">
        <v>1</v>
      </c>
      <c r="BE179" s="2">
        <v>1</v>
      </c>
      <c r="BF179" s="2">
        <v>1</v>
      </c>
      <c r="BG179" s="2" t="s">
        <v>1494</v>
      </c>
      <c r="BH179">
        <v>3</v>
      </c>
      <c r="BI179">
        <v>3</v>
      </c>
      <c r="BJ179">
        <v>7</v>
      </c>
      <c r="BK179">
        <v>3</v>
      </c>
      <c r="BL179">
        <v>5.5</v>
      </c>
      <c r="BM179">
        <v>5.5</v>
      </c>
      <c r="BN179">
        <v>5.5</v>
      </c>
      <c r="BO179" t="s">
        <v>356</v>
      </c>
      <c r="BP179" s="206">
        <f t="shared" si="565"/>
        <v>3.00000000004</v>
      </c>
      <c r="BQ179" s="206">
        <f t="shared" si="566"/>
        <v>3.00000000002</v>
      </c>
      <c r="BR179" s="206">
        <f t="shared" si="567"/>
        <v>7.00000000003</v>
      </c>
      <c r="BS179" s="206">
        <f t="shared" si="568"/>
        <v>3.00000000001</v>
      </c>
      <c r="BT179" s="206">
        <f t="shared" si="569"/>
        <v>5.50000000005</v>
      </c>
      <c r="BU179" s="206">
        <f t="shared" si="570"/>
        <v>5.50000000006</v>
      </c>
      <c r="BV179" s="206">
        <f t="shared" si="571"/>
        <v>5.50000000007</v>
      </c>
      <c r="BW179" s="206">
        <f t="shared" si="572"/>
        <v>0</v>
      </c>
      <c r="BX179" s="2">
        <f t="shared" si="641"/>
        <v>3.00000000004</v>
      </c>
      <c r="BY179" s="2">
        <f t="shared" si="642"/>
        <v>3.00000000002</v>
      </c>
      <c r="BZ179" s="2">
        <f t="shared" si="643"/>
        <v>14.00000000006</v>
      </c>
      <c r="CA179" s="2">
        <f t="shared" si="644"/>
        <v>3.00000000001</v>
      </c>
      <c r="CB179" s="2">
        <f t="shared" si="645"/>
        <v>11.0000000001</v>
      </c>
      <c r="CC179" s="2">
        <f t="shared" si="646"/>
        <v>5.50000000006</v>
      </c>
      <c r="CD179" s="2">
        <f t="shared" si="647"/>
        <v>5.50000000007</v>
      </c>
      <c r="CE179" s="2">
        <f t="shared" si="648"/>
        <v>0</v>
      </c>
      <c r="CF179" s="2" t="b">
        <f t="shared" si="664"/>
        <v>1</v>
      </c>
      <c r="CG179" s="2" t="b">
        <f t="shared" si="665"/>
        <v>0</v>
      </c>
      <c r="CH179" s="2" t="b">
        <f t="shared" si="666"/>
        <v>1</v>
      </c>
      <c r="CI179" s="2" t="b">
        <f t="shared" si="667"/>
        <v>0</v>
      </c>
      <c r="CJ179" s="2" t="b">
        <f t="shared" si="668"/>
        <v>1</v>
      </c>
      <c r="CK179" s="2" t="b">
        <f t="shared" si="669"/>
        <v>1</v>
      </c>
      <c r="CL179" s="2" t="b">
        <f t="shared" si="670"/>
        <v>1</v>
      </c>
      <c r="CM179" s="2" t="b">
        <f t="shared" si="671"/>
        <v>0</v>
      </c>
      <c r="CN179" s="2">
        <v>1</v>
      </c>
      <c r="CO179" s="2">
        <v>1</v>
      </c>
      <c r="CP179" s="2">
        <v>2</v>
      </c>
      <c r="CQ179" s="2">
        <v>1</v>
      </c>
      <c r="CR179" s="2">
        <v>2</v>
      </c>
      <c r="CS179" s="2">
        <v>1</v>
      </c>
      <c r="CT179" s="2">
        <v>1</v>
      </c>
      <c r="CU179" s="2">
        <v>1</v>
      </c>
      <c r="CW179" s="2">
        <v>4</v>
      </c>
      <c r="CX179" s="2">
        <v>3</v>
      </c>
      <c r="CY179" s="2">
        <v>5.5</v>
      </c>
      <c r="CZ179" s="2">
        <v>3</v>
      </c>
      <c r="DA179" s="2">
        <v>7</v>
      </c>
      <c r="DB179" s="2">
        <v>7</v>
      </c>
      <c r="DC179" s="2">
        <v>5.5</v>
      </c>
      <c r="DD179" s="2" t="s">
        <v>356</v>
      </c>
      <c r="DE179" s="206">
        <f t="shared" si="573"/>
        <v>4.00000000004</v>
      </c>
      <c r="DF179" s="206">
        <f t="shared" si="574"/>
        <v>3.00000000002</v>
      </c>
      <c r="DG179" s="206">
        <f t="shared" si="575"/>
        <v>5.50000000003</v>
      </c>
      <c r="DH179" s="206">
        <f t="shared" si="576"/>
        <v>3.00000000001</v>
      </c>
      <c r="DI179" s="206">
        <f t="shared" si="577"/>
        <v>7.00000000005</v>
      </c>
      <c r="DJ179" s="206">
        <f t="shared" si="578"/>
        <v>7.00000000006</v>
      </c>
      <c r="DK179" s="206">
        <f t="shared" si="579"/>
        <v>5.50000000007</v>
      </c>
      <c r="DL179" s="206">
        <f t="shared" si="580"/>
        <v>0</v>
      </c>
      <c r="DM179" s="2">
        <f t="shared" si="649"/>
        <v>4.00000000004</v>
      </c>
      <c r="DN179" s="2">
        <f t="shared" si="650"/>
        <v>3.00000000002</v>
      </c>
      <c r="DO179" s="2">
        <f t="shared" si="651"/>
        <v>11.00000000006</v>
      </c>
      <c r="DP179" s="2">
        <f t="shared" si="652"/>
        <v>3.00000000001</v>
      </c>
      <c r="DQ179" s="2">
        <f t="shared" si="653"/>
        <v>14.0000000001</v>
      </c>
      <c r="DR179" s="2">
        <f t="shared" si="654"/>
        <v>7.00000000006</v>
      </c>
      <c r="DS179" s="2">
        <f t="shared" si="655"/>
        <v>5.50000000007</v>
      </c>
      <c r="DT179" s="2">
        <f t="shared" si="656"/>
        <v>0</v>
      </c>
      <c r="DU179" s="2" t="b">
        <f t="shared" si="672"/>
        <v>1</v>
      </c>
      <c r="DV179" s="2" t="b">
        <f t="shared" si="673"/>
        <v>0</v>
      </c>
      <c r="DW179" s="2" t="b">
        <f t="shared" si="674"/>
        <v>1</v>
      </c>
      <c r="DX179" s="2" t="b">
        <f t="shared" si="675"/>
        <v>0</v>
      </c>
      <c r="DY179" s="2" t="b">
        <f t="shared" si="676"/>
        <v>1</v>
      </c>
      <c r="DZ179" s="2" t="b">
        <f t="shared" si="677"/>
        <v>1</v>
      </c>
      <c r="EA179" s="2" t="b">
        <f t="shared" si="678"/>
        <v>1</v>
      </c>
      <c r="EB179" s="2" t="b">
        <f t="shared" si="679"/>
        <v>0</v>
      </c>
      <c r="EC179" s="2">
        <v>1</v>
      </c>
      <c r="ED179" s="2">
        <v>1</v>
      </c>
      <c r="EE179" s="2">
        <v>2</v>
      </c>
      <c r="EF179" s="2">
        <v>1</v>
      </c>
      <c r="EG179" s="2">
        <v>2</v>
      </c>
      <c r="EH179" s="2">
        <v>1</v>
      </c>
      <c r="EI179" s="2">
        <v>1</v>
      </c>
      <c r="EJ179" s="2">
        <v>1</v>
      </c>
      <c r="EK179" s="2">
        <v>4</v>
      </c>
      <c r="EL179" s="2">
        <v>4</v>
      </c>
      <c r="EM179" s="2">
        <v>5.5</v>
      </c>
      <c r="EN179" s="2">
        <v>4</v>
      </c>
      <c r="EO179" s="2">
        <v>8.5</v>
      </c>
      <c r="EP179" s="2">
        <v>7</v>
      </c>
      <c r="EQ179" s="2">
        <v>5.5</v>
      </c>
      <c r="ER179" s="2" t="s">
        <v>356</v>
      </c>
      <c r="ES179" s="206">
        <f t="shared" si="581"/>
        <v>4.00000000004</v>
      </c>
      <c r="ET179" s="206">
        <f t="shared" si="582"/>
        <v>4.00000000002</v>
      </c>
      <c r="EU179" s="206">
        <f t="shared" si="583"/>
        <v>5.50000000003</v>
      </c>
      <c r="EV179" s="206">
        <f t="shared" si="584"/>
        <v>4.00000000001</v>
      </c>
      <c r="EW179" s="206">
        <f t="shared" si="585"/>
        <v>8.5000000000499991</v>
      </c>
      <c r="EX179" s="206">
        <f t="shared" si="586"/>
        <v>7.00000000006</v>
      </c>
      <c r="EY179" s="206">
        <f t="shared" si="587"/>
        <v>5.50000000007</v>
      </c>
      <c r="EZ179" s="206">
        <f t="shared" si="588"/>
        <v>0</v>
      </c>
      <c r="FA179" s="2">
        <f t="shared" si="625"/>
        <v>4.00000000004</v>
      </c>
      <c r="FB179" s="2">
        <f t="shared" si="626"/>
        <v>4.00000000002</v>
      </c>
      <c r="FC179" s="2">
        <f t="shared" si="627"/>
        <v>11.00000000006</v>
      </c>
      <c r="FD179" s="2">
        <f t="shared" si="628"/>
        <v>4.00000000001</v>
      </c>
      <c r="FE179" s="2">
        <f t="shared" si="629"/>
        <v>17.000000000099998</v>
      </c>
      <c r="FF179" s="2">
        <f t="shared" si="630"/>
        <v>7.00000000006</v>
      </c>
      <c r="FG179" s="2">
        <f t="shared" si="631"/>
        <v>5.50000000007</v>
      </c>
      <c r="FH179" s="2">
        <f t="shared" si="632"/>
        <v>0</v>
      </c>
      <c r="FI179" s="2" t="b">
        <f t="shared" si="680"/>
        <v>1</v>
      </c>
      <c r="FJ179" s="2" t="b">
        <f t="shared" si="681"/>
        <v>0</v>
      </c>
      <c r="FK179" s="2" t="b">
        <f t="shared" si="682"/>
        <v>1</v>
      </c>
      <c r="FL179" s="2" t="b">
        <f t="shared" si="683"/>
        <v>0</v>
      </c>
      <c r="FM179" s="2" t="b">
        <f t="shared" si="684"/>
        <v>1</v>
      </c>
      <c r="FN179" s="2" t="b">
        <f t="shared" si="685"/>
        <v>1</v>
      </c>
      <c r="FO179" s="2" t="b">
        <f t="shared" si="686"/>
        <v>1</v>
      </c>
      <c r="FP179" s="2" t="b">
        <f t="shared" si="687"/>
        <v>0</v>
      </c>
    </row>
    <row r="180" spans="1:172" ht="15.6">
      <c r="A180" s="2" t="s">
        <v>1498</v>
      </c>
      <c r="B180" s="2" t="s">
        <v>255</v>
      </c>
      <c r="C180" s="2" t="s">
        <v>1499</v>
      </c>
      <c r="D180" s="2" t="s">
        <v>1500</v>
      </c>
      <c r="E180" s="2" t="s">
        <v>889</v>
      </c>
      <c r="F180" s="2" t="s">
        <v>356</v>
      </c>
      <c r="G180" s="2">
        <v>30.5</v>
      </c>
      <c r="H180" s="2">
        <v>29</v>
      </c>
      <c r="I180" s="2">
        <v>29</v>
      </c>
      <c r="J180" s="2">
        <f t="shared" si="562"/>
        <v>30.500000000220002</v>
      </c>
      <c r="K180" s="2">
        <f t="shared" si="563"/>
        <v>29.00000000028</v>
      </c>
      <c r="L180" s="2">
        <f t="shared" si="564"/>
        <v>29.000000000209997</v>
      </c>
      <c r="M180" s="364" t="s">
        <v>356</v>
      </c>
      <c r="N180" s="364" t="s">
        <v>356</v>
      </c>
      <c r="O180" s="364" t="s">
        <v>356</v>
      </c>
      <c r="P180" s="364" t="s">
        <v>356</v>
      </c>
      <c r="Q180" s="364" t="s">
        <v>356</v>
      </c>
      <c r="R180" s="2" t="s">
        <v>1501</v>
      </c>
      <c r="S180" s="2" t="s">
        <v>1177</v>
      </c>
      <c r="T180" s="2">
        <v>15</v>
      </c>
      <c r="U180" s="2" cm="1">
        <f t="array" ref="U180">IFERROR(INDEX('Offer Statistics'!$BQ$2:$BQ$400,MATCH(1,(A180='Offer Statistics'!$BB$2:$BB$400)*($A$11='Offer Statistics'!$BC$2:$BC$400),0)),"/")</f>
        <v>15</v>
      </c>
      <c r="V180" s="2" cm="1">
        <f t="array" ref="V180">IFERROR(INDEX('Offer Statistics'!$BD$2:$BD$400,MATCH(1,(A180='Offer Statistics'!$BB$2:$BB$400)*($A$11='Offer Statistics'!$BC$2:$BC$400),0)),"/")</f>
        <v>59</v>
      </c>
      <c r="W180" s="2" cm="1">
        <f t="array" ref="W180">IFERROR(INDEX('Offer Statistics'!$BL$2:$BL$400,MATCH(1,(A180='Offer Statistics'!$BB$2:$BB$400)*($A$11='Offer Statistics'!$BC$2:$BC$400),0)),"/")</f>
        <v>15</v>
      </c>
      <c r="X180" s="2">
        <f t="shared" si="502"/>
        <v>3.9333333333333331</v>
      </c>
      <c r="Y180" s="2" t="s">
        <v>1177</v>
      </c>
      <c r="Z180" s="364" t="str">
        <f>入學要求!AF189</f>
        <v>以下一科選修取得Lv.3︰生物、化學</v>
      </c>
      <c r="AA180" s="364" t="str">
        <f>入學要求!AG189</f>
        <v>/</v>
      </c>
      <c r="AB180" s="368" t="s">
        <v>889</v>
      </c>
      <c r="AC180" s="368"/>
      <c r="AD180" s="368"/>
      <c r="AE180" s="368" t="s">
        <v>356</v>
      </c>
      <c r="AF180" s="368" t="s">
        <v>356</v>
      </c>
      <c r="AG180" s="368" t="s">
        <v>356</v>
      </c>
      <c r="AH180" s="368" t="s">
        <v>356</v>
      </c>
      <c r="AI180" s="368" t="s">
        <v>356</v>
      </c>
      <c r="AJ180" s="2" t="s">
        <v>356</v>
      </c>
      <c r="AK180" s="2" t="s">
        <v>356</v>
      </c>
      <c r="AL180" s="2" t="s">
        <v>356</v>
      </c>
      <c r="AM180" s="2" t="s">
        <v>356</v>
      </c>
      <c r="AN180" s="2" t="s">
        <v>356</v>
      </c>
      <c r="AO180" s="2" t="s">
        <v>356</v>
      </c>
      <c r="AP180" s="2" t="s">
        <v>356</v>
      </c>
      <c r="AQ180" s="2" t="s">
        <v>356</v>
      </c>
      <c r="AS180" s="2" t="s">
        <v>820</v>
      </c>
      <c r="AU180" s="2" t="s">
        <v>817</v>
      </c>
      <c r="AY180" s="2">
        <v>1</v>
      </c>
      <c r="AZ180" s="2">
        <v>1</v>
      </c>
      <c r="BA180" s="2">
        <v>1</v>
      </c>
      <c r="BB180" s="2">
        <v>1</v>
      </c>
      <c r="BC180" s="2">
        <v>1</v>
      </c>
      <c r="BD180" s="2">
        <v>1</v>
      </c>
      <c r="BE180" s="2">
        <v>1</v>
      </c>
      <c r="BF180" s="2">
        <v>1</v>
      </c>
      <c r="BG180" s="2" t="s">
        <v>1498</v>
      </c>
      <c r="BH180">
        <v>4</v>
      </c>
      <c r="BI180">
        <v>4</v>
      </c>
      <c r="BJ180">
        <v>4</v>
      </c>
      <c r="BK180">
        <v>5.5</v>
      </c>
      <c r="BL180" t="s">
        <v>356</v>
      </c>
      <c r="BM180">
        <v>8.5</v>
      </c>
      <c r="BN180">
        <v>7</v>
      </c>
      <c r="BO180" t="s">
        <v>356</v>
      </c>
      <c r="BP180" s="206">
        <f t="shared" si="565"/>
        <v>4.00000000004</v>
      </c>
      <c r="BQ180" s="206">
        <f t="shared" si="566"/>
        <v>4.00000000002</v>
      </c>
      <c r="BR180" s="206">
        <f t="shared" si="567"/>
        <v>4.00000000003</v>
      </c>
      <c r="BS180" s="206">
        <f t="shared" si="568"/>
        <v>5.50000000001</v>
      </c>
      <c r="BT180" s="206">
        <f t="shared" si="569"/>
        <v>0</v>
      </c>
      <c r="BU180" s="206">
        <f t="shared" si="570"/>
        <v>8.50000000006</v>
      </c>
      <c r="BV180" s="206">
        <f t="shared" si="571"/>
        <v>7.00000000007</v>
      </c>
      <c r="BW180" s="206">
        <f t="shared" si="572"/>
        <v>0</v>
      </c>
      <c r="BX180" s="2">
        <f t="shared" si="641"/>
        <v>4.00000000004</v>
      </c>
      <c r="BY180" s="2">
        <f t="shared" si="642"/>
        <v>4.00000000002</v>
      </c>
      <c r="BZ180" s="2">
        <f t="shared" si="643"/>
        <v>4.00000000003</v>
      </c>
      <c r="CA180" s="2">
        <f t="shared" si="644"/>
        <v>5.50000000001</v>
      </c>
      <c r="CB180" s="2">
        <f t="shared" si="645"/>
        <v>0</v>
      </c>
      <c r="CC180" s="2">
        <f t="shared" si="646"/>
        <v>8.50000000006</v>
      </c>
      <c r="CD180" s="2">
        <f t="shared" si="647"/>
        <v>7.00000000007</v>
      </c>
      <c r="CE180" s="2">
        <f t="shared" si="648"/>
        <v>0</v>
      </c>
      <c r="CF180" s="2" t="b">
        <f t="shared" si="664"/>
        <v>1</v>
      </c>
      <c r="CG180" s="2" t="b">
        <f t="shared" si="665"/>
        <v>0</v>
      </c>
      <c r="CH180" s="2" t="b">
        <f t="shared" si="666"/>
        <v>1</v>
      </c>
      <c r="CI180" s="2" t="b">
        <f t="shared" si="667"/>
        <v>1</v>
      </c>
      <c r="CJ180" s="2" t="b">
        <f t="shared" si="668"/>
        <v>0</v>
      </c>
      <c r="CK180" s="2" t="b">
        <f t="shared" si="669"/>
        <v>1</v>
      </c>
      <c r="CL180" s="2" t="b">
        <f t="shared" si="670"/>
        <v>1</v>
      </c>
      <c r="CM180" s="2" t="b">
        <f t="shared" si="671"/>
        <v>0</v>
      </c>
      <c r="CN180" s="2">
        <v>1</v>
      </c>
      <c r="CO180" s="2">
        <v>1</v>
      </c>
      <c r="CP180" s="2">
        <v>1</v>
      </c>
      <c r="CQ180" s="2">
        <v>1</v>
      </c>
      <c r="CR180" s="2">
        <v>1</v>
      </c>
      <c r="CS180" s="2">
        <v>1</v>
      </c>
      <c r="CT180" s="2">
        <v>1</v>
      </c>
      <c r="CU180" s="2">
        <v>1</v>
      </c>
      <c r="CW180" s="2">
        <v>5.5</v>
      </c>
      <c r="CX180" s="2">
        <v>4</v>
      </c>
      <c r="CY180" s="2">
        <v>5.5</v>
      </c>
      <c r="CZ180" s="2">
        <v>4</v>
      </c>
      <c r="DA180" s="2" t="s">
        <v>356</v>
      </c>
      <c r="DB180" s="2">
        <v>7</v>
      </c>
      <c r="DC180" s="2">
        <v>5.5</v>
      </c>
      <c r="DD180" s="2">
        <v>5.5</v>
      </c>
      <c r="DE180" s="206">
        <f t="shared" si="573"/>
        <v>5.50000000004</v>
      </c>
      <c r="DF180" s="206">
        <f t="shared" si="574"/>
        <v>4.00000000002</v>
      </c>
      <c r="DG180" s="206">
        <f t="shared" si="575"/>
        <v>5.50000000003</v>
      </c>
      <c r="DH180" s="206">
        <f t="shared" si="576"/>
        <v>4.00000000001</v>
      </c>
      <c r="DI180" s="206">
        <f t="shared" si="577"/>
        <v>0</v>
      </c>
      <c r="DJ180" s="206">
        <f t="shared" si="578"/>
        <v>7.00000000006</v>
      </c>
      <c r="DK180" s="206">
        <f t="shared" si="579"/>
        <v>5.50000000007</v>
      </c>
      <c r="DL180" s="206">
        <f t="shared" si="580"/>
        <v>5.50000000008</v>
      </c>
      <c r="DM180" s="2">
        <f t="shared" si="649"/>
        <v>5.50000000004</v>
      </c>
      <c r="DN180" s="2">
        <f t="shared" si="650"/>
        <v>4.00000000002</v>
      </c>
      <c r="DO180" s="2">
        <f t="shared" si="651"/>
        <v>5.50000000003</v>
      </c>
      <c r="DP180" s="2">
        <f t="shared" si="652"/>
        <v>4.00000000001</v>
      </c>
      <c r="DQ180" s="2">
        <f t="shared" si="653"/>
        <v>0</v>
      </c>
      <c r="DR180" s="2">
        <f t="shared" si="654"/>
        <v>7.00000000006</v>
      </c>
      <c r="DS180" s="2">
        <f t="shared" si="655"/>
        <v>5.50000000007</v>
      </c>
      <c r="DT180" s="2">
        <f t="shared" si="656"/>
        <v>5.50000000008</v>
      </c>
      <c r="DU180" s="2" t="b">
        <f t="shared" si="672"/>
        <v>1</v>
      </c>
      <c r="DV180" s="2" t="b">
        <f t="shared" si="673"/>
        <v>0</v>
      </c>
      <c r="DW180" s="2" t="b">
        <f t="shared" si="674"/>
        <v>1</v>
      </c>
      <c r="DX180" s="2" t="b">
        <f t="shared" si="675"/>
        <v>0</v>
      </c>
      <c r="DY180" s="2" t="b">
        <f t="shared" si="676"/>
        <v>0</v>
      </c>
      <c r="DZ180" s="2" t="b">
        <f t="shared" si="677"/>
        <v>1</v>
      </c>
      <c r="EA180" s="2" t="b">
        <f t="shared" si="678"/>
        <v>1</v>
      </c>
      <c r="EB180" s="2" t="b">
        <f t="shared" si="679"/>
        <v>1</v>
      </c>
      <c r="EC180" s="2">
        <v>1</v>
      </c>
      <c r="ED180" s="2">
        <v>1</v>
      </c>
      <c r="EE180" s="2">
        <v>1</v>
      </c>
      <c r="EF180" s="2">
        <v>1</v>
      </c>
      <c r="EG180" s="2">
        <v>1</v>
      </c>
      <c r="EH180" s="2">
        <v>1</v>
      </c>
      <c r="EI180" s="2">
        <v>1</v>
      </c>
      <c r="EJ180" s="2">
        <v>1</v>
      </c>
      <c r="EK180" s="2">
        <v>4</v>
      </c>
      <c r="EL180" s="2">
        <v>7</v>
      </c>
      <c r="EM180" s="2">
        <v>5.5</v>
      </c>
      <c r="EN180" s="2">
        <v>3</v>
      </c>
      <c r="EO180" s="2" t="s">
        <v>356</v>
      </c>
      <c r="EP180" s="2">
        <v>7</v>
      </c>
      <c r="EQ180" s="2">
        <v>7</v>
      </c>
      <c r="ER180" s="2" t="s">
        <v>356</v>
      </c>
      <c r="ES180" s="206">
        <f t="shared" si="581"/>
        <v>4.00000000004</v>
      </c>
      <c r="ET180" s="206">
        <f t="shared" si="582"/>
        <v>7.00000000002</v>
      </c>
      <c r="EU180" s="206">
        <f t="shared" si="583"/>
        <v>5.50000000003</v>
      </c>
      <c r="EV180" s="206">
        <f t="shared" si="584"/>
        <v>3.00000000001</v>
      </c>
      <c r="EW180" s="206">
        <f t="shared" si="585"/>
        <v>0</v>
      </c>
      <c r="EX180" s="206">
        <f t="shared" si="586"/>
        <v>7.00000000006</v>
      </c>
      <c r="EY180" s="206">
        <f t="shared" si="587"/>
        <v>7.00000000007</v>
      </c>
      <c r="EZ180" s="206">
        <f t="shared" si="588"/>
        <v>0</v>
      </c>
      <c r="FA180" s="2">
        <f t="shared" si="625"/>
        <v>4.00000000004</v>
      </c>
      <c r="FB180" s="2">
        <f t="shared" si="626"/>
        <v>7.00000000002</v>
      </c>
      <c r="FC180" s="2">
        <f t="shared" si="627"/>
        <v>5.50000000003</v>
      </c>
      <c r="FD180" s="2">
        <f t="shared" si="628"/>
        <v>3.00000000001</v>
      </c>
      <c r="FE180" s="2">
        <f t="shared" si="629"/>
        <v>0</v>
      </c>
      <c r="FF180" s="2">
        <f t="shared" si="630"/>
        <v>7.00000000006</v>
      </c>
      <c r="FG180" s="2">
        <f t="shared" si="631"/>
        <v>7.00000000007</v>
      </c>
      <c r="FH180" s="2">
        <f t="shared" si="632"/>
        <v>0</v>
      </c>
      <c r="FI180" s="2" t="b">
        <f t="shared" si="680"/>
        <v>1</v>
      </c>
      <c r="FJ180" s="2" t="b">
        <f t="shared" si="681"/>
        <v>1</v>
      </c>
      <c r="FK180" s="2" t="b">
        <f t="shared" si="682"/>
        <v>1</v>
      </c>
      <c r="FL180" s="2" t="b">
        <f t="shared" si="683"/>
        <v>0</v>
      </c>
      <c r="FM180" s="2" t="b">
        <f t="shared" si="684"/>
        <v>0</v>
      </c>
      <c r="FN180" s="2" t="b">
        <f t="shared" si="685"/>
        <v>1</v>
      </c>
      <c r="FO180" s="2" t="b">
        <f t="shared" si="686"/>
        <v>1</v>
      </c>
      <c r="FP180" s="2" t="b">
        <f t="shared" si="687"/>
        <v>0</v>
      </c>
    </row>
    <row r="181" spans="1:172" s="427" customFormat="1" ht="15.6">
      <c r="A181" s="427" t="s">
        <v>1502</v>
      </c>
      <c r="B181" s="427" t="s">
        <v>255</v>
      </c>
      <c r="C181" s="427" t="s">
        <v>1503</v>
      </c>
      <c r="D181" s="427" t="s">
        <v>1504</v>
      </c>
      <c r="E181" s="427" t="s">
        <v>815</v>
      </c>
      <c r="F181" s="427" t="s">
        <v>356</v>
      </c>
      <c r="G181" s="427" t="s">
        <v>356</v>
      </c>
      <c r="H181" s="427" t="s">
        <v>356</v>
      </c>
      <c r="I181" s="427" t="s">
        <v>356</v>
      </c>
      <c r="J181" s="427">
        <f t="shared" si="562"/>
        <v>0</v>
      </c>
      <c r="K181" s="427">
        <f t="shared" si="563"/>
        <v>0</v>
      </c>
      <c r="L181" s="427">
        <f t="shared" si="564"/>
        <v>0</v>
      </c>
      <c r="M181" s="427" t="s">
        <v>1460</v>
      </c>
      <c r="N181" s="427" t="s">
        <v>1506</v>
      </c>
      <c r="O181" s="427" t="s">
        <v>1497</v>
      </c>
      <c r="P181" s="427" t="s">
        <v>1448</v>
      </c>
      <c r="Q181" s="427" t="s">
        <v>1403</v>
      </c>
      <c r="R181" s="427" t="s">
        <v>1505</v>
      </c>
      <c r="S181" s="427" t="s">
        <v>1177</v>
      </c>
      <c r="T181" s="427">
        <v>13</v>
      </c>
      <c r="U181" s="427" cm="1">
        <f t="array" ref="U181">IFERROR(INDEX('Offer Statistics'!$BQ$2:$BQ$400,MATCH(1,(A181='Offer Statistics'!$BB$2:$BB$400)*($A$11='Offer Statistics'!$BC$2:$BC$400),0)),"/")</f>
        <v>4</v>
      </c>
      <c r="V181" s="427" cm="1">
        <f t="array" ref="V181">IFERROR(INDEX('Offer Statistics'!$BD$2:$BD$400,MATCH(1,(A181='Offer Statistics'!$BB$2:$BB$400)*($A$11='Offer Statistics'!$BC$2:$BC$400),0)),"/")</f>
        <v>24</v>
      </c>
      <c r="W181" s="427" cm="1">
        <f t="array" ref="W181">IFERROR(INDEX('Offer Statistics'!$BL$2:$BL$400,MATCH(1,(A181='Offer Statistics'!$BB$2:$BB$400)*($A$11='Offer Statistics'!$BC$2:$BC$400),0)),"/")</f>
        <v>3</v>
      </c>
      <c r="X181" s="427">
        <f t="shared" si="502"/>
        <v>8</v>
      </c>
      <c r="Y181" s="427" t="s">
        <v>1177</v>
      </c>
      <c r="Z181" s="364" t="str">
        <f>入學要求!AF190</f>
        <v>M1/2 需取得Lv.5或以上</v>
      </c>
      <c r="AA181" s="364" t="str">
        <f>入學要求!AG190</f>
        <v>/</v>
      </c>
      <c r="AB181" s="405" t="s">
        <v>889</v>
      </c>
      <c r="AC181" s="405" t="s">
        <v>3002</v>
      </c>
      <c r="AE181" s="406" t="s">
        <v>1460</v>
      </c>
      <c r="AF181" s="406" t="s">
        <v>3011</v>
      </c>
      <c r="AG181" s="406" t="s">
        <v>1497</v>
      </c>
      <c r="AH181" s="405" t="s">
        <v>3009</v>
      </c>
      <c r="AI181" s="406" t="s">
        <v>356</v>
      </c>
      <c r="AJ181" s="427" t="s">
        <v>356</v>
      </c>
      <c r="AK181" s="427" t="s">
        <v>356</v>
      </c>
      <c r="AL181" s="427" t="s">
        <v>356</v>
      </c>
      <c r="AM181" s="430" t="s">
        <v>1332</v>
      </c>
      <c r="AN181" s="427" t="s">
        <v>356</v>
      </c>
      <c r="AO181" s="427" t="s">
        <v>356</v>
      </c>
      <c r="AP181" s="427" t="s">
        <v>356</v>
      </c>
      <c r="AQ181" s="427" t="s">
        <v>356</v>
      </c>
      <c r="AS181" s="427" t="s">
        <v>820</v>
      </c>
      <c r="AU181" s="427" t="s">
        <v>817</v>
      </c>
      <c r="AY181" s="427">
        <v>1</v>
      </c>
      <c r="AZ181" s="427">
        <v>1</v>
      </c>
      <c r="BA181" s="427">
        <v>2</v>
      </c>
      <c r="BB181" s="427">
        <v>0.5</v>
      </c>
      <c r="BC181" s="427">
        <v>2</v>
      </c>
      <c r="BD181" s="427">
        <v>1.5</v>
      </c>
      <c r="BE181" s="427">
        <v>1.5</v>
      </c>
      <c r="BF181" s="427">
        <v>1.5</v>
      </c>
      <c r="BG181" s="427" t="s">
        <v>1502</v>
      </c>
      <c r="BH181" s="428" t="s">
        <v>356</v>
      </c>
      <c r="BI181" s="428" t="s">
        <v>356</v>
      </c>
      <c r="BJ181" s="428" t="s">
        <v>356</v>
      </c>
      <c r="BK181" s="428" t="s">
        <v>356</v>
      </c>
      <c r="BL181" s="428" t="s">
        <v>356</v>
      </c>
      <c r="BM181" s="428" t="s">
        <v>356</v>
      </c>
      <c r="BN181" s="428" t="s">
        <v>356</v>
      </c>
      <c r="BO181" s="428" t="s">
        <v>356</v>
      </c>
      <c r="BP181" s="429">
        <f t="shared" si="565"/>
        <v>0</v>
      </c>
      <c r="BQ181" s="429">
        <f t="shared" si="566"/>
        <v>0</v>
      </c>
      <c r="BR181" s="429">
        <f t="shared" si="567"/>
        <v>0</v>
      </c>
      <c r="BS181" s="429">
        <f t="shared" si="568"/>
        <v>0</v>
      </c>
      <c r="BT181" s="429">
        <f t="shared" si="569"/>
        <v>0</v>
      </c>
      <c r="BU181" s="429">
        <f t="shared" si="570"/>
        <v>0</v>
      </c>
      <c r="BV181" s="429">
        <f t="shared" si="571"/>
        <v>0</v>
      </c>
      <c r="BW181" s="429">
        <f t="shared" si="572"/>
        <v>0</v>
      </c>
      <c r="BX181" s="427">
        <f t="shared" si="641"/>
        <v>0</v>
      </c>
      <c r="BY181" s="427">
        <f t="shared" si="642"/>
        <v>0</v>
      </c>
      <c r="BZ181" s="427">
        <f t="shared" si="643"/>
        <v>0</v>
      </c>
      <c r="CA181" s="427">
        <f t="shared" si="644"/>
        <v>0</v>
      </c>
      <c r="CB181" s="427">
        <f t="shared" si="645"/>
        <v>0</v>
      </c>
      <c r="CC181" s="427">
        <f t="shared" si="646"/>
        <v>0</v>
      </c>
      <c r="CD181" s="427">
        <f t="shared" si="647"/>
        <v>0</v>
      </c>
      <c r="CE181" s="427">
        <f t="shared" si="648"/>
        <v>0</v>
      </c>
      <c r="CF181" s="427" t="b">
        <f t="shared" si="664"/>
        <v>1</v>
      </c>
      <c r="CG181" s="427" t="b">
        <f t="shared" si="665"/>
        <v>1</v>
      </c>
      <c r="CH181" s="427" t="b">
        <f t="shared" si="666"/>
        <v>1</v>
      </c>
      <c r="CI181" s="427" t="b">
        <f t="shared" si="667"/>
        <v>1</v>
      </c>
      <c r="CJ181" s="427" t="b">
        <f t="shared" si="668"/>
        <v>0</v>
      </c>
      <c r="CK181" s="427" t="b">
        <f t="shared" si="669"/>
        <v>0</v>
      </c>
      <c r="CL181" s="427" t="b">
        <f t="shared" si="670"/>
        <v>0</v>
      </c>
      <c r="CM181" s="427" t="b">
        <f t="shared" si="671"/>
        <v>0</v>
      </c>
      <c r="CN181" s="427">
        <v>1</v>
      </c>
      <c r="CO181" s="427">
        <v>1</v>
      </c>
      <c r="CP181" s="427">
        <v>2</v>
      </c>
      <c r="CQ181" s="427">
        <v>0.5</v>
      </c>
      <c r="CR181" s="427">
        <v>2</v>
      </c>
      <c r="CS181" s="427">
        <v>1.5</v>
      </c>
      <c r="CT181" s="427">
        <v>1.5</v>
      </c>
      <c r="CU181" s="427">
        <v>1.5</v>
      </c>
      <c r="CW181" s="427" t="s">
        <v>356</v>
      </c>
      <c r="CX181" s="427" t="s">
        <v>356</v>
      </c>
      <c r="CY181" s="427" t="s">
        <v>356</v>
      </c>
      <c r="CZ181" s="427" t="s">
        <v>356</v>
      </c>
      <c r="DA181" s="427" t="s">
        <v>356</v>
      </c>
      <c r="DB181" s="427" t="s">
        <v>356</v>
      </c>
      <c r="DC181" s="427" t="s">
        <v>356</v>
      </c>
      <c r="DD181" s="427" t="s">
        <v>356</v>
      </c>
      <c r="DE181" s="429">
        <f t="shared" si="573"/>
        <v>0</v>
      </c>
      <c r="DF181" s="429">
        <f t="shared" si="574"/>
        <v>0</v>
      </c>
      <c r="DG181" s="429">
        <f t="shared" ref="DG181:DG197" si="688">IFERROR(CY181+0.00000000003,0)</f>
        <v>0</v>
      </c>
      <c r="DH181" s="429">
        <f t="shared" ref="DH181:DH197" si="689">IFERROR(CZ181+0.00000000001,0)</f>
        <v>0</v>
      </c>
      <c r="DI181" s="429">
        <f t="shared" ref="DI181:DI197" si="690">IFERROR(DA181+0.00000000005,0)</f>
        <v>0</v>
      </c>
      <c r="DJ181" s="429">
        <f t="shared" ref="DJ181:DJ197" si="691">IFERROR(DB181+0.00000000006,0)</f>
        <v>0</v>
      </c>
      <c r="DK181" s="429">
        <f t="shared" ref="DK181:DK197" si="692">IFERROR(DC181+0.00000000007,0)</f>
        <v>0</v>
      </c>
      <c r="DL181" s="429">
        <f t="shared" ref="DL181:DL197" si="693">IFERROR(DD181+0.00000000008,0)</f>
        <v>0</v>
      </c>
      <c r="DM181" s="427">
        <f t="shared" ref="DM181:DM197" si="694">DE181*CN181</f>
        <v>0</v>
      </c>
      <c r="DN181" s="427">
        <f t="shared" si="650"/>
        <v>0</v>
      </c>
      <c r="DO181" s="427">
        <f t="shared" si="651"/>
        <v>0</v>
      </c>
      <c r="DP181" s="427">
        <f t="shared" si="652"/>
        <v>0</v>
      </c>
      <c r="DQ181" s="427">
        <f t="shared" si="653"/>
        <v>0</v>
      </c>
      <c r="DR181" s="427">
        <f t="shared" si="654"/>
        <v>0</v>
      </c>
      <c r="DS181" s="427">
        <f t="shared" si="655"/>
        <v>0</v>
      </c>
      <c r="DT181" s="427">
        <f t="shared" si="656"/>
        <v>0</v>
      </c>
      <c r="DU181" s="427" t="b">
        <f t="shared" si="672"/>
        <v>1</v>
      </c>
      <c r="DV181" s="427" t="b">
        <f t="shared" si="673"/>
        <v>1</v>
      </c>
      <c r="DW181" s="427" t="b">
        <f t="shared" si="674"/>
        <v>1</v>
      </c>
      <c r="DX181" s="427" t="b">
        <f t="shared" si="675"/>
        <v>1</v>
      </c>
      <c r="DY181" s="427" t="b">
        <f t="shared" si="676"/>
        <v>0</v>
      </c>
      <c r="DZ181" s="427" t="b">
        <f t="shared" si="677"/>
        <v>0</v>
      </c>
      <c r="EA181" s="427" t="b">
        <f t="shared" si="678"/>
        <v>0</v>
      </c>
      <c r="EB181" s="427" t="b">
        <f t="shared" si="679"/>
        <v>0</v>
      </c>
      <c r="EC181" s="427">
        <v>1</v>
      </c>
      <c r="ED181" s="427">
        <v>1</v>
      </c>
      <c r="EE181" s="427">
        <v>2</v>
      </c>
      <c r="EF181" s="427">
        <v>0.5</v>
      </c>
      <c r="EG181" s="427">
        <v>2</v>
      </c>
      <c r="EH181" s="427">
        <v>1.5</v>
      </c>
      <c r="EI181" s="427">
        <v>1.5</v>
      </c>
      <c r="EJ181" s="427">
        <v>1.5</v>
      </c>
      <c r="EK181" s="427" t="s">
        <v>356</v>
      </c>
      <c r="EL181" s="427" t="s">
        <v>356</v>
      </c>
      <c r="EM181" s="427" t="s">
        <v>356</v>
      </c>
      <c r="EN181" s="427" t="s">
        <v>356</v>
      </c>
      <c r="EO181" s="427" t="s">
        <v>356</v>
      </c>
      <c r="EP181" s="427" t="s">
        <v>356</v>
      </c>
      <c r="EQ181" s="427" t="s">
        <v>356</v>
      </c>
      <c r="ER181" s="427" t="s">
        <v>356</v>
      </c>
      <c r="ES181" s="429">
        <f t="shared" si="581"/>
        <v>0</v>
      </c>
      <c r="ET181" s="429">
        <f t="shared" si="582"/>
        <v>0</v>
      </c>
      <c r="EU181" s="429">
        <f t="shared" si="583"/>
        <v>0</v>
      </c>
      <c r="EV181" s="429">
        <f t="shared" si="584"/>
        <v>0</v>
      </c>
      <c r="EW181" s="429">
        <f t="shared" si="585"/>
        <v>0</v>
      </c>
      <c r="EX181" s="429">
        <f t="shared" si="586"/>
        <v>0</v>
      </c>
      <c r="EY181" s="429">
        <f t="shared" si="587"/>
        <v>0</v>
      </c>
      <c r="EZ181" s="429">
        <f t="shared" si="588"/>
        <v>0</v>
      </c>
      <c r="FA181" s="427">
        <f t="shared" si="625"/>
        <v>0</v>
      </c>
      <c r="FB181" s="427">
        <f t="shared" si="626"/>
        <v>0</v>
      </c>
      <c r="FC181" s="427">
        <f t="shared" si="627"/>
        <v>0</v>
      </c>
      <c r="FD181" s="427">
        <f t="shared" si="628"/>
        <v>0</v>
      </c>
      <c r="FE181" s="427">
        <f t="shared" si="629"/>
        <v>0</v>
      </c>
      <c r="FF181" s="427">
        <f t="shared" si="630"/>
        <v>0</v>
      </c>
      <c r="FG181" s="427">
        <f t="shared" si="631"/>
        <v>0</v>
      </c>
      <c r="FH181" s="427">
        <f t="shared" si="632"/>
        <v>0</v>
      </c>
      <c r="FI181" s="427" t="b">
        <f t="shared" si="680"/>
        <v>1</v>
      </c>
      <c r="FJ181" s="427" t="b">
        <f t="shared" si="681"/>
        <v>1</v>
      </c>
      <c r="FK181" s="427" t="b">
        <f t="shared" si="682"/>
        <v>1</v>
      </c>
      <c r="FL181" s="427" t="b">
        <f t="shared" si="683"/>
        <v>1</v>
      </c>
      <c r="FM181" s="427" t="b">
        <f t="shared" si="684"/>
        <v>0</v>
      </c>
      <c r="FN181" s="427" t="b">
        <f t="shared" si="685"/>
        <v>0</v>
      </c>
      <c r="FO181" s="427" t="b">
        <f t="shared" si="686"/>
        <v>0</v>
      </c>
      <c r="FP181" s="427" t="b">
        <f t="shared" si="687"/>
        <v>0</v>
      </c>
    </row>
    <row r="182" spans="1:172" s="427" customFormat="1" ht="15.6">
      <c r="A182" s="427" t="s">
        <v>2562</v>
      </c>
      <c r="B182" s="427" t="s">
        <v>255</v>
      </c>
      <c r="C182" s="427" t="s">
        <v>1503</v>
      </c>
      <c r="D182" s="427" t="s">
        <v>2985</v>
      </c>
      <c r="E182" s="427" t="s">
        <v>2804</v>
      </c>
      <c r="F182" s="427" t="s">
        <v>356</v>
      </c>
      <c r="G182" s="427" t="s">
        <v>356</v>
      </c>
      <c r="H182" s="427" t="s">
        <v>356</v>
      </c>
      <c r="I182" s="427" t="s">
        <v>356</v>
      </c>
      <c r="J182" s="427">
        <f t="shared" si="562"/>
        <v>0</v>
      </c>
      <c r="K182" s="427">
        <f t="shared" si="563"/>
        <v>0</v>
      </c>
      <c r="L182" s="427">
        <f t="shared" si="564"/>
        <v>0</v>
      </c>
      <c r="M182" s="427" t="s">
        <v>356</v>
      </c>
      <c r="N182" s="427" t="s">
        <v>356</v>
      </c>
      <c r="O182" s="427" t="s">
        <v>356</v>
      </c>
      <c r="P182" s="427" t="s">
        <v>356</v>
      </c>
      <c r="Q182" s="427" t="s">
        <v>356</v>
      </c>
      <c r="R182" s="427" t="s">
        <v>2991</v>
      </c>
      <c r="S182" s="427" t="s">
        <v>1177</v>
      </c>
      <c r="T182" s="427">
        <v>20</v>
      </c>
      <c r="U182" s="427" t="str" cm="1">
        <f t="array" ref="U182">IFERROR(INDEX('Offer Statistics'!$BQ$2:$BQ$400,MATCH(1,(A182='Offer Statistics'!$BB$2:$BB$400)*($A$11='Offer Statistics'!$BC$2:$BC$400),0)),"/")</f>
        <v>/</v>
      </c>
      <c r="V182" s="427" t="str" cm="1">
        <f t="array" ref="V182">IFERROR(INDEX('Offer Statistics'!$BD$2:$BD$400,MATCH(1,(A182='Offer Statistics'!$BB$2:$BB$400)*($A$11='Offer Statistics'!$BC$2:$BC$400),0)),"/")</f>
        <v>/</v>
      </c>
      <c r="W182" s="427" t="str" cm="1">
        <f t="array" ref="W182">IFERROR(INDEX('Offer Statistics'!$BL$2:$BL$400,MATCH(1,(A182='Offer Statistics'!$BB$2:$BB$400)*($A$11='Offer Statistics'!$BC$2:$BC$400),0)),"/")</f>
        <v>/</v>
      </c>
      <c r="X182" s="427" t="str">
        <f t="shared" si="502"/>
        <v>新科目</v>
      </c>
      <c r="Z182" s="364" t="str">
        <f>入學要求!AF191</f>
        <v>優先考慮修讀以下科目者︰</v>
      </c>
      <c r="AA182" s="364" t="str">
        <f>入學要求!AG191</f>
        <v>M1/2、生物、化學、物理、地理</v>
      </c>
      <c r="AB182" s="412" t="s">
        <v>889</v>
      </c>
      <c r="AC182" s="427" t="s">
        <v>2992</v>
      </c>
      <c r="AE182" s="406" t="s">
        <v>1460</v>
      </c>
      <c r="AF182" s="406" t="s">
        <v>3012</v>
      </c>
      <c r="AG182" s="406" t="s">
        <v>3013</v>
      </c>
      <c r="AH182" s="406" t="s">
        <v>884</v>
      </c>
      <c r="AI182" s="406"/>
      <c r="AJ182" s="427" t="s">
        <v>356</v>
      </c>
      <c r="AK182" s="427" t="s">
        <v>356</v>
      </c>
      <c r="AL182" s="427" t="s">
        <v>356</v>
      </c>
      <c r="AM182" s="427" t="s">
        <v>356</v>
      </c>
      <c r="AN182" s="427" t="s">
        <v>356</v>
      </c>
      <c r="AO182" s="427" t="s">
        <v>356</v>
      </c>
      <c r="AP182" s="427" t="s">
        <v>356</v>
      </c>
      <c r="AQ182" s="427" t="s">
        <v>356</v>
      </c>
      <c r="AS182" s="427" t="s">
        <v>820</v>
      </c>
      <c r="AU182" s="427" t="s">
        <v>817</v>
      </c>
      <c r="AY182" s="427">
        <v>1</v>
      </c>
      <c r="AZ182" s="427">
        <v>1</v>
      </c>
      <c r="BA182" s="427">
        <v>1.5</v>
      </c>
      <c r="BB182" s="427">
        <v>1</v>
      </c>
      <c r="BC182" s="427">
        <v>2</v>
      </c>
      <c r="BD182" s="427">
        <v>2</v>
      </c>
      <c r="BE182" s="427">
        <v>2</v>
      </c>
      <c r="BF182" s="427">
        <v>1</v>
      </c>
      <c r="BG182" s="427" t="s">
        <v>2562</v>
      </c>
      <c r="BH182" s="428" t="s">
        <v>356</v>
      </c>
      <c r="BI182" s="428" t="s">
        <v>356</v>
      </c>
      <c r="BJ182" s="428" t="s">
        <v>356</v>
      </c>
      <c r="BK182" s="428" t="s">
        <v>356</v>
      </c>
      <c r="BL182" s="428" t="s">
        <v>356</v>
      </c>
      <c r="BM182" s="428" t="s">
        <v>356</v>
      </c>
      <c r="BN182" s="428" t="s">
        <v>356</v>
      </c>
      <c r="BO182" s="428" t="s">
        <v>356</v>
      </c>
      <c r="BP182" s="429">
        <f t="shared" si="565"/>
        <v>0</v>
      </c>
      <c r="BQ182" s="429">
        <f t="shared" si="566"/>
        <v>0</v>
      </c>
      <c r="BR182" s="429">
        <f t="shared" si="567"/>
        <v>0</v>
      </c>
      <c r="BS182" s="429">
        <f t="shared" si="568"/>
        <v>0</v>
      </c>
      <c r="BT182" s="429">
        <f t="shared" si="569"/>
        <v>0</v>
      </c>
      <c r="BU182" s="429">
        <f t="shared" si="570"/>
        <v>0</v>
      </c>
      <c r="BV182" s="429">
        <f t="shared" si="571"/>
        <v>0</v>
      </c>
      <c r="BW182" s="429">
        <f t="shared" si="572"/>
        <v>0</v>
      </c>
      <c r="BX182" s="427">
        <f t="shared" si="641"/>
        <v>0</v>
      </c>
      <c r="BY182" s="427">
        <f t="shared" si="642"/>
        <v>0</v>
      </c>
      <c r="BZ182" s="427">
        <f t="shared" si="643"/>
        <v>0</v>
      </c>
      <c r="CA182" s="427">
        <f t="shared" si="644"/>
        <v>0</v>
      </c>
      <c r="CB182" s="427">
        <f t="shared" si="645"/>
        <v>0</v>
      </c>
      <c r="CC182" s="427">
        <f t="shared" si="646"/>
        <v>0</v>
      </c>
      <c r="CD182" s="427">
        <f t="shared" si="647"/>
        <v>0</v>
      </c>
      <c r="CE182" s="427">
        <f t="shared" si="648"/>
        <v>0</v>
      </c>
      <c r="CF182" s="427" t="b">
        <f t="shared" si="664"/>
        <v>0</v>
      </c>
      <c r="CG182" s="427" t="b">
        <f t="shared" si="665"/>
        <v>0</v>
      </c>
      <c r="CH182" s="427" t="b">
        <f t="shared" si="666"/>
        <v>0</v>
      </c>
      <c r="CI182" s="427" t="b">
        <f t="shared" si="667"/>
        <v>0</v>
      </c>
      <c r="CJ182" s="427" t="b">
        <f t="shared" si="668"/>
        <v>0</v>
      </c>
      <c r="CK182" s="427" t="b">
        <f t="shared" si="669"/>
        <v>0</v>
      </c>
      <c r="CL182" s="427" t="b">
        <f t="shared" si="670"/>
        <v>0</v>
      </c>
      <c r="CM182" s="427" t="b">
        <f t="shared" si="671"/>
        <v>0</v>
      </c>
      <c r="CN182" s="427">
        <v>1</v>
      </c>
      <c r="CO182" s="427">
        <v>1</v>
      </c>
      <c r="CP182" s="427">
        <v>1.5</v>
      </c>
      <c r="CQ182" s="427">
        <v>1</v>
      </c>
      <c r="CR182" s="427">
        <v>2</v>
      </c>
      <c r="CS182" s="427">
        <v>2</v>
      </c>
      <c r="CT182" s="427">
        <v>2</v>
      </c>
      <c r="CU182" s="427">
        <v>1</v>
      </c>
      <c r="CW182" s="427" t="s">
        <v>356</v>
      </c>
      <c r="CX182" s="427" t="s">
        <v>356</v>
      </c>
      <c r="CY182" s="427" t="s">
        <v>356</v>
      </c>
      <c r="CZ182" s="427" t="s">
        <v>356</v>
      </c>
      <c r="DA182" s="427" t="s">
        <v>356</v>
      </c>
      <c r="DB182" s="427" t="s">
        <v>356</v>
      </c>
      <c r="DC182" s="427" t="s">
        <v>356</v>
      </c>
      <c r="DD182" s="427" t="s">
        <v>356</v>
      </c>
      <c r="DE182" s="429">
        <f t="shared" si="573"/>
        <v>0</v>
      </c>
      <c r="DF182" s="429">
        <f t="shared" si="574"/>
        <v>0</v>
      </c>
      <c r="DG182" s="429">
        <f t="shared" si="688"/>
        <v>0</v>
      </c>
      <c r="DH182" s="429">
        <f t="shared" si="689"/>
        <v>0</v>
      </c>
      <c r="DI182" s="429">
        <f t="shared" si="690"/>
        <v>0</v>
      </c>
      <c r="DJ182" s="429">
        <f t="shared" si="691"/>
        <v>0</v>
      </c>
      <c r="DK182" s="429">
        <f t="shared" si="692"/>
        <v>0</v>
      </c>
      <c r="DL182" s="429">
        <f t="shared" si="693"/>
        <v>0</v>
      </c>
      <c r="DM182" s="427">
        <f t="shared" si="694"/>
        <v>0</v>
      </c>
      <c r="DN182" s="427">
        <f t="shared" ref="DN182" si="695">DF182*CO182</f>
        <v>0</v>
      </c>
      <c r="DO182" s="427">
        <f t="shared" ref="DO182" si="696">DG182*CP182</f>
        <v>0</v>
      </c>
      <c r="DP182" s="427">
        <f t="shared" ref="DP182" si="697">DH182*CQ182</f>
        <v>0</v>
      </c>
      <c r="DQ182" s="427">
        <f t="shared" ref="DQ182" si="698">DI182*CR182</f>
        <v>0</v>
      </c>
      <c r="DR182" s="427">
        <f t="shared" ref="DR182" si="699">DJ182*CS182</f>
        <v>0</v>
      </c>
      <c r="DS182" s="427">
        <f t="shared" ref="DS182" si="700">DK182*CT182</f>
        <v>0</v>
      </c>
      <c r="DT182" s="427">
        <f t="shared" ref="DT182" si="701">DL182*CU182</f>
        <v>0</v>
      </c>
      <c r="DU182" s="427" t="b">
        <f t="shared" ref="DU182" si="702">IF($E182="4C2X",TRUE,IF($E182="Best 5",IF(DM182&gt;LARGE($DM182:$DT182,6),TRUE),IF($E182="Best 6",IF(DM182&gt;LARGE($DM182:$DT182,7),TRUE))))</f>
        <v>0</v>
      </c>
      <c r="DV182" s="427" t="b">
        <f t="shared" ref="DV182" si="703">IF($E182="4C2X",TRUE,IF($E182="Best 5",IF(DN182&gt;LARGE($DM182:$DT182,6),TRUE),IF($E182="Best 6",IF(DN182&gt;LARGE($DM182:$DT182,7),TRUE))))</f>
        <v>0</v>
      </c>
      <c r="DW182" s="427" t="b">
        <f t="shared" ref="DW182" si="704">IF($E182="4C2X",TRUE,IF($E182="Best 5",IF(DO182&gt;LARGE($DM182:$DT182,6),TRUE),IF($E182="Best 6",IF(DO182&gt;LARGE($DM182:$DT182,7),TRUE))))</f>
        <v>0</v>
      </c>
      <c r="DX182" s="427" t="b">
        <f t="shared" ref="DX182" si="705">IF($E182="4C2X",TRUE,IF($E182="Best 5",IF(DP182&gt;LARGE($DM182:$DT182,6),TRUE),IF($E182="Best 6",IF(DP182&gt;LARGE($DM182:$DT182,7),TRUE))))</f>
        <v>0</v>
      </c>
      <c r="DY182" s="427" t="b">
        <f t="shared" ref="DY182" si="706">IF($E182="4C2X",IF(DQ182&gt;LARGE($DQ182:$DT182,3),TRUE),IF($E182="Best 5",IF(DQ182&gt;LARGE($DM182:$DT182,6),TRUE),IF($E182="Best 6",IF(DQ182&gt;LARGE($DM182:$DT182,7),TRUE))))</f>
        <v>0</v>
      </c>
      <c r="DZ182" s="427" t="b">
        <f t="shared" ref="DZ182" si="707">IF($E182="4C2X",IF(DR182&gt;LARGE($DQ182:$DT182,3),TRUE),IF($E182="Best 5",IF(DR182&gt;LARGE($DM182:$DT182,6),TRUE),IF($E182="Best 6",IF(DR182&gt;LARGE($DM182:$DT182,7),TRUE))))</f>
        <v>0</v>
      </c>
      <c r="EA182" s="427" t="b">
        <f t="shared" ref="EA182" si="708">IF($E182="4C2X",IF(DS182&gt;LARGE($DQ182:$DT182,3),TRUE),IF($E182="Best 5",IF(DS182&gt;LARGE($DM182:$DT182,6),TRUE),IF($E182="Best 6",IF(DS182&gt;LARGE($DM182:$DT182,7),TRUE))))</f>
        <v>0</v>
      </c>
      <c r="EB182" s="427" t="b">
        <f t="shared" ref="EB182" si="709">IF($E182="4C2X",IF(DT182&gt;LARGE($DQ182:$DT182,3),TRUE),IF($E182="Best 5",IF(DT182&gt;LARGE($DM182:$DT182,6),TRUE),IF($E182="Best 6",IF(DT182&gt;LARGE($DM182:$DT182,7),TRUE))))</f>
        <v>0</v>
      </c>
      <c r="EC182" s="427">
        <v>1</v>
      </c>
      <c r="ED182" s="427">
        <v>1</v>
      </c>
      <c r="EE182" s="427">
        <v>1.5</v>
      </c>
      <c r="EF182" s="427">
        <v>1</v>
      </c>
      <c r="EG182" s="427">
        <v>2</v>
      </c>
      <c r="EH182" s="427">
        <v>2</v>
      </c>
      <c r="EI182" s="427">
        <v>2</v>
      </c>
      <c r="EJ182" s="427">
        <v>1</v>
      </c>
      <c r="EK182" s="427" t="s">
        <v>356</v>
      </c>
      <c r="EL182" s="427" t="s">
        <v>356</v>
      </c>
      <c r="EM182" s="427" t="s">
        <v>356</v>
      </c>
      <c r="EN182" s="427" t="s">
        <v>356</v>
      </c>
      <c r="EO182" s="427" t="s">
        <v>356</v>
      </c>
      <c r="EP182" s="427" t="s">
        <v>356</v>
      </c>
      <c r="EQ182" s="427" t="s">
        <v>356</v>
      </c>
      <c r="ER182" s="427" t="s">
        <v>356</v>
      </c>
      <c r="ES182" s="429">
        <f t="shared" si="581"/>
        <v>0</v>
      </c>
      <c r="ET182" s="429">
        <f t="shared" si="582"/>
        <v>0</v>
      </c>
      <c r="EU182" s="429">
        <f t="shared" si="583"/>
        <v>0</v>
      </c>
      <c r="EV182" s="429">
        <f t="shared" si="584"/>
        <v>0</v>
      </c>
      <c r="EW182" s="429">
        <f t="shared" si="585"/>
        <v>0</v>
      </c>
      <c r="EX182" s="429">
        <f t="shared" si="586"/>
        <v>0</v>
      </c>
      <c r="EY182" s="429">
        <f t="shared" si="587"/>
        <v>0</v>
      </c>
      <c r="EZ182" s="429">
        <f t="shared" si="588"/>
        <v>0</v>
      </c>
    </row>
    <row r="183" spans="1:172" s="427" customFormat="1" ht="15.6">
      <c r="A183" s="427" t="s">
        <v>1507</v>
      </c>
      <c r="B183" s="427" t="s">
        <v>255</v>
      </c>
      <c r="C183" s="427" t="s">
        <v>1508</v>
      </c>
      <c r="D183" s="427" t="s">
        <v>1509</v>
      </c>
      <c r="E183" s="406" t="s">
        <v>889</v>
      </c>
      <c r="F183" s="427" t="s">
        <v>356</v>
      </c>
      <c r="G183" s="427">
        <v>31</v>
      </c>
      <c r="H183" s="427">
        <v>29.5</v>
      </c>
      <c r="I183" s="427">
        <v>25</v>
      </c>
      <c r="J183" s="427">
        <f t="shared" si="562"/>
        <v>31.000000000244999</v>
      </c>
      <c r="K183" s="427">
        <f t="shared" si="563"/>
        <v>29.500000000235001</v>
      </c>
      <c r="L183" s="427">
        <f t="shared" si="564"/>
        <v>25.000000000255</v>
      </c>
      <c r="M183" s="427" t="s">
        <v>356</v>
      </c>
      <c r="N183" s="427" t="s">
        <v>356</v>
      </c>
      <c r="O183" s="427" t="s">
        <v>884</v>
      </c>
      <c r="P183" s="427" t="s">
        <v>356</v>
      </c>
      <c r="Q183" s="427" t="s">
        <v>356</v>
      </c>
      <c r="R183" s="427" t="s">
        <v>1510</v>
      </c>
      <c r="S183" s="427" t="s">
        <v>1177</v>
      </c>
      <c r="T183" s="427">
        <v>20</v>
      </c>
      <c r="U183" s="427" cm="1">
        <f t="array" ref="U183">IFERROR(INDEX('Offer Statistics'!$BQ$2:$BQ$400,MATCH(1,(A183='Offer Statistics'!$BB$2:$BB$400)*($A$11='Offer Statistics'!$BC$2:$BC$400),0)),"/")</f>
        <v>9</v>
      </c>
      <c r="V183" s="427" cm="1">
        <f t="array" ref="V183">IFERROR(INDEX('Offer Statistics'!$BD$2:$BD$400,MATCH(1,(A183='Offer Statistics'!$BB$2:$BB$400)*($A$11='Offer Statistics'!$BC$2:$BC$400),0)),"/")</f>
        <v>37</v>
      </c>
      <c r="W183" s="427" cm="1">
        <f t="array" ref="W183">IFERROR(INDEX('Offer Statistics'!$BL$2:$BL$400,MATCH(1,(A183='Offer Statistics'!$BB$2:$BB$400)*($A$11='Offer Statistics'!$BC$2:$BC$400),0)),"/")</f>
        <v>9</v>
      </c>
      <c r="X183" s="427">
        <f t="shared" si="502"/>
        <v>4.1111111111111107</v>
      </c>
      <c r="Y183" s="427" t="s">
        <v>1177</v>
      </c>
      <c r="Z183" s="364" t="str">
        <f>入學要求!AF192</f>
        <v>/</v>
      </c>
      <c r="AA183" s="364" t="str">
        <f>入學要求!AG192</f>
        <v>/</v>
      </c>
      <c r="AB183" s="401" t="s">
        <v>889</v>
      </c>
      <c r="AC183" s="406"/>
      <c r="AD183" s="406"/>
      <c r="AE183" s="406" t="s">
        <v>356</v>
      </c>
      <c r="AF183" s="406" t="s">
        <v>356</v>
      </c>
      <c r="AG183" s="405" t="s">
        <v>1491</v>
      </c>
      <c r="AH183" s="405" t="s">
        <v>2994</v>
      </c>
      <c r="AI183" s="406" t="s">
        <v>356</v>
      </c>
      <c r="AJ183" s="427" t="s">
        <v>356</v>
      </c>
      <c r="AK183" s="427" t="s">
        <v>356</v>
      </c>
      <c r="AL183" s="427" t="s">
        <v>356</v>
      </c>
      <c r="AM183" s="427" t="s">
        <v>356</v>
      </c>
      <c r="AN183" s="427" t="s">
        <v>356</v>
      </c>
      <c r="AO183" s="427" t="s">
        <v>356</v>
      </c>
      <c r="AP183" s="427" t="s">
        <v>356</v>
      </c>
      <c r="AQ183" s="427" t="s">
        <v>356</v>
      </c>
      <c r="AS183" s="427" t="s">
        <v>820</v>
      </c>
      <c r="AU183" s="427" t="s">
        <v>817</v>
      </c>
      <c r="AY183" s="427">
        <v>1</v>
      </c>
      <c r="AZ183" s="427">
        <v>1</v>
      </c>
      <c r="BA183" s="427">
        <v>1.5</v>
      </c>
      <c r="BB183" s="427">
        <v>1</v>
      </c>
      <c r="BC183" s="427">
        <v>1</v>
      </c>
      <c r="BD183" s="427">
        <v>1</v>
      </c>
      <c r="BE183" s="427">
        <v>1</v>
      </c>
      <c r="BF183" s="427">
        <v>1</v>
      </c>
      <c r="BG183" s="427" t="s">
        <v>2473</v>
      </c>
      <c r="BH183" s="428">
        <v>5.5</v>
      </c>
      <c r="BI183" s="428">
        <v>5.5</v>
      </c>
      <c r="BJ183" s="428">
        <v>4</v>
      </c>
      <c r="BK183" s="428">
        <v>4</v>
      </c>
      <c r="BL183" s="428">
        <v>4</v>
      </c>
      <c r="BM183" s="428">
        <v>4</v>
      </c>
      <c r="BN183" s="428">
        <v>4</v>
      </c>
      <c r="BO183" s="428">
        <v>4</v>
      </c>
      <c r="BP183" s="427">
        <f t="shared" si="565"/>
        <v>5.50000000004</v>
      </c>
      <c r="BQ183" s="427">
        <f t="shared" si="566"/>
        <v>5.50000000002</v>
      </c>
      <c r="BR183" s="427">
        <f t="shared" si="567"/>
        <v>4.00000000003</v>
      </c>
      <c r="BS183" s="427">
        <f t="shared" si="568"/>
        <v>4.00000000001</v>
      </c>
      <c r="BT183" s="427">
        <f t="shared" si="569"/>
        <v>4.00000000005</v>
      </c>
      <c r="BU183" s="427">
        <f t="shared" si="570"/>
        <v>4.00000000006</v>
      </c>
      <c r="BV183" s="427">
        <f t="shared" si="571"/>
        <v>4.00000000007</v>
      </c>
      <c r="BW183" s="427">
        <f t="shared" si="572"/>
        <v>4.00000000008</v>
      </c>
      <c r="BX183" s="427">
        <f t="shared" ref="BX183:BX197" si="710">AY183*BP183</f>
        <v>5.50000000004</v>
      </c>
      <c r="BY183" s="427">
        <f t="shared" ref="BY183:BY197" si="711">AZ183*BQ183</f>
        <v>5.50000000002</v>
      </c>
      <c r="BZ183" s="427">
        <f t="shared" ref="BZ183:BZ197" si="712">BA183*BR183</f>
        <v>6.0000000000450004</v>
      </c>
      <c r="CA183" s="427">
        <f t="shared" ref="CA183:CA197" si="713">BB183*BS183</f>
        <v>4.00000000001</v>
      </c>
      <c r="CB183" s="427">
        <f t="shared" ref="CB183:CB197" si="714">BC183*BT183</f>
        <v>4.00000000005</v>
      </c>
      <c r="CC183" s="427">
        <f t="shared" ref="CC183:CC197" si="715">BD183*BU183</f>
        <v>4.00000000006</v>
      </c>
      <c r="CD183" s="427">
        <f t="shared" ref="CD183:CD197" si="716">BE183*BV183</f>
        <v>4.00000000007</v>
      </c>
      <c r="CE183" s="427">
        <f t="shared" ref="CE183:CE197" si="717">BF183*BW183</f>
        <v>4.00000000008</v>
      </c>
      <c r="CF183" s="427" t="b">
        <f t="shared" ref="CF183:CF197" si="718">IF($E183="4C2X",TRUE,IF($E183="Best 5",IF(BX183&gt;LARGE($BX183:$CE183,6),TRUE),IF($E183="Best 6",IF(BX183&gt;LARGE($BX183:$CE183,7),TRUE))))</f>
        <v>1</v>
      </c>
      <c r="CG183" s="427" t="b">
        <f t="shared" ref="CG183:CG197" si="719">IF($E183="4C2X",TRUE,IF($E183="Best 5",IF(BY183&gt;LARGE($BX183:$CE183,6),TRUE),IF($E183="Best 6",IF(BY183&gt;LARGE($BX183:$CE183,7),TRUE))))</f>
        <v>1</v>
      </c>
      <c r="CH183" s="427" t="b">
        <f t="shared" ref="CH183:CH197" si="720">IF($E183="4C2X",TRUE,IF($E183="Best 5",IF(BZ183&gt;LARGE($BX183:$CE183,6),TRUE),IF($E183="Best 6",IF(BZ183&gt;LARGE($BX183:$CE183,7),TRUE))))</f>
        <v>1</v>
      </c>
      <c r="CI183" s="427" t="b">
        <f t="shared" ref="CI183:CI197" si="721">IF($E183="4C2X",TRUE,IF($E183="Best 5",IF(CA183&gt;LARGE($BX183:$CE183,6),TRUE),IF($E183="Best 6",IF(CA183&gt;LARGE($BX183:$CE183,7),TRUE))))</f>
        <v>0</v>
      </c>
      <c r="CJ183" s="427" t="b">
        <f t="shared" ref="CJ183:CJ197" si="722">IF($E183="4C2X",IF(CB183&gt;LARGE($CB183:$CE183,3),TRUE),IF($E183="Best 5",IF(CB183&gt;LARGE($BX183:$CE183,6),TRUE),IF($E183="Best 6",IF(CB183&gt;LARGE($BX183:$CE183,7),TRUE))))</f>
        <v>0</v>
      </c>
      <c r="CK183" s="427" t="b">
        <f t="shared" ref="CK183:CK197" si="723">IF($E183="4C2X",IF(CC183&gt;LARGE($CB183:$CE183,3),TRUE),IF($E183="Best 5",IF(CC183&gt;LARGE($BX183:$CE183,6),TRUE),IF($E183="Best 6",IF(CC183&gt;LARGE($BX183:$CE183,7),TRUE))))</f>
        <v>0</v>
      </c>
      <c r="CL183" s="427" t="b">
        <f t="shared" ref="CL183:CL197" si="724">IF($E183="4C2X",IF(CD183&gt;LARGE($CB183:$CE183,3),TRUE),IF($E183="Best 5",IF(CD183&gt;LARGE($BX183:$CE183,6),TRUE),IF($E183="Best 6",IF(CD183&gt;LARGE($BX183:$CE183,7),TRUE))))</f>
        <v>1</v>
      </c>
      <c r="CM183" s="427" t="b">
        <f t="shared" ref="CM183:CM197" si="725">IF($E183="4C2X",IF(CE183&gt;LARGE($CB183:$CE183,3),TRUE),IF($E183="Best 5",IF(CE183&gt;LARGE($BX183:$CE183,6),TRUE),IF($E183="Best 6",IF(CE183&gt;LARGE($BX183:$CE183,7),TRUE))))</f>
        <v>1</v>
      </c>
      <c r="CN183" s="427">
        <v>1</v>
      </c>
      <c r="CO183" s="427">
        <v>1</v>
      </c>
      <c r="CP183" s="427">
        <v>1.5</v>
      </c>
      <c r="CQ183" s="427">
        <v>1</v>
      </c>
      <c r="CR183" s="427">
        <v>1</v>
      </c>
      <c r="CS183" s="427">
        <v>1</v>
      </c>
      <c r="CT183" s="427">
        <v>1</v>
      </c>
      <c r="CU183" s="427">
        <v>1</v>
      </c>
      <c r="CW183" s="427">
        <v>4</v>
      </c>
      <c r="CX183" s="427">
        <v>4</v>
      </c>
      <c r="CY183" s="427">
        <v>7</v>
      </c>
      <c r="CZ183" s="427">
        <v>5.5</v>
      </c>
      <c r="DA183" s="427">
        <v>5.5</v>
      </c>
      <c r="DB183" s="427">
        <v>4</v>
      </c>
      <c r="DC183" s="427">
        <v>4</v>
      </c>
      <c r="DD183" s="427" t="s">
        <v>356</v>
      </c>
      <c r="DE183" s="427">
        <f t="shared" si="573"/>
        <v>4.00000000004</v>
      </c>
      <c r="DF183" s="427">
        <f t="shared" si="574"/>
        <v>4.00000000002</v>
      </c>
      <c r="DG183" s="427">
        <f t="shared" si="688"/>
        <v>7.00000000003</v>
      </c>
      <c r="DH183" s="427">
        <f t="shared" si="689"/>
        <v>5.50000000001</v>
      </c>
      <c r="DI183" s="427">
        <f t="shared" si="690"/>
        <v>5.50000000005</v>
      </c>
      <c r="DJ183" s="427">
        <f t="shared" si="691"/>
        <v>4.00000000006</v>
      </c>
      <c r="DK183" s="427">
        <f t="shared" si="692"/>
        <v>4.00000000007</v>
      </c>
      <c r="DL183" s="427">
        <f t="shared" si="693"/>
        <v>0</v>
      </c>
      <c r="DM183" s="427">
        <f t="shared" si="694"/>
        <v>4.00000000004</v>
      </c>
      <c r="DN183" s="427">
        <f t="shared" ref="DN183:DN197" si="726">DF183*CO183</f>
        <v>4.00000000002</v>
      </c>
      <c r="DO183" s="427">
        <f t="shared" ref="DO183:DO197" si="727">DG183*CP183</f>
        <v>10.500000000045</v>
      </c>
      <c r="DP183" s="427">
        <f t="shared" ref="DP183:DP197" si="728">DH183*CQ183</f>
        <v>5.50000000001</v>
      </c>
      <c r="DQ183" s="427">
        <f t="shared" ref="DQ183:DQ197" si="729">DI183*CR183</f>
        <v>5.50000000005</v>
      </c>
      <c r="DR183" s="427">
        <f t="shared" ref="DR183:DR197" si="730">DJ183*CS183</f>
        <v>4.00000000006</v>
      </c>
      <c r="DS183" s="427">
        <f t="shared" ref="DS183:DS197" si="731">DK183*CT183</f>
        <v>4.00000000007</v>
      </c>
      <c r="DT183" s="427">
        <f t="shared" ref="DT183:DT197" si="732">DL183*CU183</f>
        <v>0</v>
      </c>
      <c r="DU183" s="427" t="b">
        <f t="shared" ref="DU183:DU197" si="733">IF($E183="4C2X",TRUE,IF($E183="Best 5",IF(DM183&gt;LARGE($DM183:$DT183,6),TRUE),IF($E183="Best 6",IF(DM183&gt;LARGE($DM183:$DT183,7),TRUE))))</f>
        <v>0</v>
      </c>
      <c r="DV183" s="427" t="b">
        <f t="shared" ref="DV183:DV197" si="734">IF($E183="4C2X",TRUE,IF($E183="Best 5",IF(DN183&gt;LARGE($DM183:$DT183,6),TRUE),IF($E183="Best 6",IF(DN183&gt;LARGE($DM183:$DT183,7),TRUE))))</f>
        <v>0</v>
      </c>
      <c r="DW183" s="427" t="b">
        <f t="shared" ref="DW183:DW197" si="735">IF($E183="4C2X",TRUE,IF($E183="Best 5",IF(DO183&gt;LARGE($DM183:$DT183,6),TRUE),IF($E183="Best 6",IF(DO183&gt;LARGE($DM183:$DT183,7),TRUE))))</f>
        <v>1</v>
      </c>
      <c r="DX183" s="427" t="b">
        <f t="shared" ref="DX183:DX197" si="736">IF($E183="4C2X",TRUE,IF($E183="Best 5",IF(DP183&gt;LARGE($DM183:$DT183,6),TRUE),IF($E183="Best 6",IF(DP183&gt;LARGE($DM183:$DT183,7),TRUE))))</f>
        <v>1</v>
      </c>
      <c r="DY183" s="427" t="b">
        <f t="shared" ref="DY183:DY197" si="737">IF($E183="4C2X",IF(DQ183&gt;LARGE($DQ183:$DT183,3),TRUE),IF($E183="Best 5",IF(DQ183&gt;LARGE($DM183:$DT183,6),TRUE),IF($E183="Best 6",IF(DQ183&gt;LARGE($DM183:$DT183,7),TRUE))))</f>
        <v>1</v>
      </c>
      <c r="DZ183" s="427" t="b">
        <f t="shared" ref="DZ183:DZ197" si="738">IF($E183="4C2X",IF(DR183&gt;LARGE($DQ183:$DT183,3),TRUE),IF($E183="Best 5",IF(DR183&gt;LARGE($DM183:$DT183,6),TRUE),IF($E183="Best 6",IF(DR183&gt;LARGE($DM183:$DT183,7),TRUE))))</f>
        <v>1</v>
      </c>
      <c r="EA183" s="427" t="b">
        <f t="shared" ref="EA183:EA197" si="739">IF($E183="4C2X",IF(DS183&gt;LARGE($DQ183:$DT183,3),TRUE),IF($E183="Best 5",IF(DS183&gt;LARGE($DM183:$DT183,6),TRUE),IF($E183="Best 6",IF(DS183&gt;LARGE($DM183:$DT183,7),TRUE))))</f>
        <v>1</v>
      </c>
      <c r="EB183" s="427" t="b">
        <f t="shared" ref="EB183:EB197" si="740">IF($E183="4C2X",IF(DT183&gt;LARGE($DQ183:$DT183,3),TRUE),IF($E183="Best 5",IF(DT183&gt;LARGE($DM183:$DT183,6),TRUE),IF($E183="Best 6",IF(DT183&gt;LARGE($DM183:$DT183,7),TRUE))))</f>
        <v>0</v>
      </c>
      <c r="EC183" s="427">
        <v>1</v>
      </c>
      <c r="ED183" s="427">
        <v>1</v>
      </c>
      <c r="EE183" s="427">
        <v>1.5</v>
      </c>
      <c r="EF183" s="427">
        <v>1</v>
      </c>
      <c r="EG183" s="427">
        <v>1</v>
      </c>
      <c r="EH183" s="427">
        <v>1</v>
      </c>
      <c r="EI183" s="427">
        <v>1</v>
      </c>
      <c r="EJ183" s="427">
        <v>1</v>
      </c>
      <c r="EK183" s="427">
        <v>3</v>
      </c>
      <c r="EL183" s="427">
        <v>4</v>
      </c>
      <c r="EM183" s="427">
        <v>7</v>
      </c>
      <c r="EN183" s="427">
        <v>4</v>
      </c>
      <c r="EO183" s="427">
        <v>5.5</v>
      </c>
      <c r="EP183" s="427">
        <v>5.5</v>
      </c>
      <c r="EQ183" s="427">
        <v>5.5</v>
      </c>
      <c r="ER183" s="427" t="s">
        <v>356</v>
      </c>
      <c r="ES183" s="427">
        <f t="shared" si="581"/>
        <v>3.00000000004</v>
      </c>
      <c r="ET183" s="427">
        <f t="shared" si="582"/>
        <v>4.00000000002</v>
      </c>
      <c r="EU183" s="427">
        <f t="shared" si="583"/>
        <v>7.00000000003</v>
      </c>
      <c r="EV183" s="427">
        <f t="shared" si="584"/>
        <v>4.00000000001</v>
      </c>
      <c r="EW183" s="427">
        <f t="shared" si="585"/>
        <v>5.50000000005</v>
      </c>
      <c r="EX183" s="427">
        <f t="shared" si="586"/>
        <v>5.50000000006</v>
      </c>
      <c r="EY183" s="427">
        <f t="shared" si="587"/>
        <v>5.50000000007</v>
      </c>
      <c r="EZ183" s="427">
        <f t="shared" si="588"/>
        <v>0</v>
      </c>
      <c r="FA183" s="427">
        <f t="shared" si="625"/>
        <v>3.00000000004</v>
      </c>
      <c r="FB183" s="427">
        <f t="shared" si="626"/>
        <v>4.00000000002</v>
      </c>
      <c r="FC183" s="427">
        <f t="shared" si="627"/>
        <v>10.500000000045</v>
      </c>
      <c r="FD183" s="427">
        <f t="shared" si="628"/>
        <v>4.00000000001</v>
      </c>
      <c r="FE183" s="427">
        <f t="shared" si="629"/>
        <v>5.50000000005</v>
      </c>
      <c r="FF183" s="427">
        <f t="shared" si="630"/>
        <v>5.50000000006</v>
      </c>
      <c r="FG183" s="427">
        <f t="shared" si="631"/>
        <v>5.50000000007</v>
      </c>
      <c r="FH183" s="427">
        <f t="shared" si="632"/>
        <v>0</v>
      </c>
      <c r="FI183" s="427" t="b">
        <f t="shared" ref="FI183:FI197" si="741">IF($E183="4C2X",TRUE,IF($E183="Best 5",IF(FA183&gt;LARGE($FA183:$FH183,6),TRUE),IF($E183="Best 6",IF(FA183&gt;LARGE($FA183:$FH183,7),TRUE))))</f>
        <v>0</v>
      </c>
      <c r="FJ183" s="427" t="b">
        <f t="shared" ref="FJ183:FJ197" si="742">IF($E183="4C2X",TRUE,IF($E183="Best 5",IF(FB183&gt;LARGE($FA183:$FH183,6),TRUE),IF($E183="Best 6",IF(FB183&gt;LARGE($FA183:$FH183,7),TRUE))))</f>
        <v>1</v>
      </c>
      <c r="FK183" s="427" t="b">
        <f t="shared" ref="FK183:FK197" si="743">IF($E183="4C2X",TRUE,IF($E183="Best 5",IF(FC183&gt;LARGE($FA183:$FH183,6),TRUE),IF($E183="Best 6",IF(FC183&gt;LARGE($FA183:$FH183,7),TRUE))))</f>
        <v>1</v>
      </c>
      <c r="FL183" s="427" t="b">
        <f t="shared" ref="FL183:FL197" si="744">IF($E183="4C2X",TRUE,IF($E183="Best 5",IF(FD183&gt;LARGE($FA183:$FH183,6),TRUE),IF($E183="Best 6",IF(FD183&gt;LARGE($FA183:$FH183,7),TRUE))))</f>
        <v>0</v>
      </c>
      <c r="FM183" s="427" t="b">
        <f t="shared" ref="FM183:FM197" si="745">IF($E183="4C2X",IF(FE183&gt;LARGE($FE183:$FH183,3),TRUE),IF($E183="Best 5",IF(FE183&gt;LARGE($FA183:$FH183,6),TRUE),IF($E183="Best 6",IF(FE183&gt;LARGE($FA183:$FH183,7),TRUE))))</f>
        <v>1</v>
      </c>
      <c r="FN183" s="427" t="b">
        <f t="shared" ref="FN183:FN197" si="746">IF($E183="4C2X",IF(FF183&gt;LARGE($FE183:$FH183,3),TRUE),IF($E183="Best 5",IF(FF183&gt;LARGE($FA183:$FH183,6),TRUE),IF($E183="Best 6",IF(FF183&gt;LARGE($FA183:$FH183,7),TRUE))))</f>
        <v>1</v>
      </c>
      <c r="FO183" s="427" t="b">
        <f t="shared" ref="FO183:FO197" si="747">IF($E183="4C2X",IF(FG183&gt;LARGE($FE183:$FH183,3),TRUE),IF($E183="Best 5",IF(FG183&gt;LARGE($FA183:$FH183,6),TRUE),IF($E183="Best 6",IF(FG183&gt;LARGE($FA183:$FH183,7),TRUE))))</f>
        <v>1</v>
      </c>
      <c r="FP183" s="427" t="b">
        <f t="shared" ref="FP183:FP197" si="748">IF($E183="4C2X",IF(FH183&gt;LARGE($FE183:$FH183,3),TRUE),IF($E183="Best 5",IF(FH183&gt;LARGE($FA183:$FH183,6),TRUE),IF($E183="Best 6",IF(FH183&gt;LARGE($FA183:$FH183,7),TRUE))))</f>
        <v>0</v>
      </c>
    </row>
    <row r="184" spans="1:172" ht="15.6">
      <c r="A184" s="2" t="s">
        <v>1511</v>
      </c>
      <c r="B184" s="2" t="s">
        <v>255</v>
      </c>
      <c r="C184" s="2" t="s">
        <v>1137</v>
      </c>
      <c r="D184" s="2" t="s">
        <v>1512</v>
      </c>
      <c r="E184" s="2" t="s">
        <v>889</v>
      </c>
      <c r="F184" s="2" t="s">
        <v>356</v>
      </c>
      <c r="G184" s="2">
        <v>27.2</v>
      </c>
      <c r="H184" s="2">
        <v>26.15</v>
      </c>
      <c r="I184" s="2">
        <v>25.7</v>
      </c>
      <c r="J184" s="2">
        <f t="shared" si="562"/>
        <v>27.200000000275999</v>
      </c>
      <c r="K184" s="2">
        <f t="shared" si="563"/>
        <v>26.150000000225997</v>
      </c>
      <c r="L184" s="2">
        <f t="shared" si="564"/>
        <v>25.700000000226002</v>
      </c>
      <c r="M184" s="364" t="s">
        <v>356</v>
      </c>
      <c r="N184" s="364" t="s">
        <v>356</v>
      </c>
      <c r="O184" s="364" t="s">
        <v>1514</v>
      </c>
      <c r="P184" s="364" t="s">
        <v>356</v>
      </c>
      <c r="Q184" s="364" t="s">
        <v>356</v>
      </c>
      <c r="R184" s="2" t="s">
        <v>1513</v>
      </c>
      <c r="S184" s="2" t="s">
        <v>1177</v>
      </c>
      <c r="T184" s="2">
        <v>63</v>
      </c>
      <c r="U184" s="2" cm="1">
        <f t="array" ref="U184">IFERROR(INDEX('Offer Statistics'!$BQ$2:$BQ$400,MATCH(1,(A184='Offer Statistics'!$BB$2:$BB$400)*($A$11='Offer Statistics'!$BC$2:$BC$400),0)),"/")</f>
        <v>84</v>
      </c>
      <c r="V184" s="2" cm="1">
        <f t="array" ref="V184">IFERROR(INDEX('Offer Statistics'!$BD$2:$BD$400,MATCH(1,(A184='Offer Statistics'!$BB$2:$BB$400)*($A$11='Offer Statistics'!$BC$2:$BC$400),0)),"/")</f>
        <v>819</v>
      </c>
      <c r="W184" s="2" cm="1">
        <f t="array" ref="W184">IFERROR(INDEX('Offer Statistics'!$BL$2:$BL$400,MATCH(1,(A184='Offer Statistics'!$BB$2:$BB$400)*($A$11='Offer Statistics'!$BC$2:$BC$400),0)),"/")</f>
        <v>84</v>
      </c>
      <c r="X184" s="2">
        <f t="shared" si="502"/>
        <v>9.75</v>
      </c>
      <c r="Y184" s="2" t="s">
        <v>1177</v>
      </c>
      <c r="Z184" s="364" t="str">
        <f>入學要求!AF193</f>
        <v>/</v>
      </c>
      <c r="AA184" s="364" t="str">
        <f>入學要求!AG193</f>
        <v>/</v>
      </c>
      <c r="AB184" s="401" t="s">
        <v>889</v>
      </c>
      <c r="AC184" s="368"/>
      <c r="AD184" s="368"/>
      <c r="AE184" s="368" t="s">
        <v>356</v>
      </c>
      <c r="AF184" s="368" t="s">
        <v>356</v>
      </c>
      <c r="AG184" s="368" t="s">
        <v>1514</v>
      </c>
      <c r="AH184" s="368" t="s">
        <v>356</v>
      </c>
      <c r="AI184" s="368" t="s">
        <v>356</v>
      </c>
      <c r="AJ184" s="2" t="s">
        <v>356</v>
      </c>
      <c r="AK184" s="2" t="s">
        <v>356</v>
      </c>
      <c r="AL184" s="2" t="s">
        <v>356</v>
      </c>
      <c r="AM184" s="2" t="s">
        <v>356</v>
      </c>
      <c r="AN184" s="2" t="s">
        <v>356</v>
      </c>
      <c r="AO184" s="2" t="s">
        <v>356</v>
      </c>
      <c r="AP184" s="2" t="s">
        <v>356</v>
      </c>
      <c r="AQ184" s="2" t="s">
        <v>356</v>
      </c>
      <c r="AS184" s="2" t="s">
        <v>820</v>
      </c>
      <c r="AU184" s="2" t="s">
        <v>817</v>
      </c>
      <c r="AY184" s="2">
        <v>1</v>
      </c>
      <c r="AZ184" s="2">
        <v>1.3</v>
      </c>
      <c r="BA184" s="2">
        <v>1</v>
      </c>
      <c r="BB184" s="2">
        <v>1</v>
      </c>
      <c r="BC184" s="2">
        <v>1</v>
      </c>
      <c r="BD184" s="2">
        <v>1</v>
      </c>
      <c r="BE184" s="2">
        <v>1</v>
      </c>
      <c r="BF184" s="2">
        <v>1</v>
      </c>
      <c r="BG184" s="2" t="s">
        <v>1511</v>
      </c>
      <c r="BH184">
        <v>4</v>
      </c>
      <c r="BI184">
        <v>4</v>
      </c>
      <c r="BJ184">
        <v>4</v>
      </c>
      <c r="BK184">
        <v>4</v>
      </c>
      <c r="BL184" t="s">
        <v>356</v>
      </c>
      <c r="BM184">
        <v>7</v>
      </c>
      <c r="BN184">
        <v>5.5</v>
      </c>
      <c r="BO184" t="s">
        <v>356</v>
      </c>
      <c r="BP184" s="206">
        <f t="shared" si="565"/>
        <v>4.00000000004</v>
      </c>
      <c r="BQ184" s="206">
        <f t="shared" si="566"/>
        <v>4.00000000002</v>
      </c>
      <c r="BR184" s="206">
        <f t="shared" si="567"/>
        <v>4.00000000003</v>
      </c>
      <c r="BS184" s="206">
        <f t="shared" si="568"/>
        <v>4.00000000001</v>
      </c>
      <c r="BT184" s="206">
        <f t="shared" si="569"/>
        <v>0</v>
      </c>
      <c r="BU184" s="206">
        <f t="shared" si="570"/>
        <v>7.00000000006</v>
      </c>
      <c r="BV184" s="206">
        <f t="shared" si="571"/>
        <v>5.50000000007</v>
      </c>
      <c r="BW184" s="206">
        <f t="shared" si="572"/>
        <v>0</v>
      </c>
      <c r="BX184" s="2">
        <f t="shared" si="710"/>
        <v>4.00000000004</v>
      </c>
      <c r="BY184" s="2">
        <f t="shared" si="711"/>
        <v>5.2000000000259998</v>
      </c>
      <c r="BZ184" s="2">
        <f t="shared" si="712"/>
        <v>4.00000000003</v>
      </c>
      <c r="CA184" s="2">
        <f t="shared" si="713"/>
        <v>4.00000000001</v>
      </c>
      <c r="CB184" s="2">
        <f t="shared" si="714"/>
        <v>0</v>
      </c>
      <c r="CC184" s="2">
        <f t="shared" si="715"/>
        <v>7.00000000006</v>
      </c>
      <c r="CD184" s="2">
        <f t="shared" si="716"/>
        <v>5.50000000007</v>
      </c>
      <c r="CE184" s="2">
        <f t="shared" si="717"/>
        <v>0</v>
      </c>
      <c r="CF184" s="2" t="b">
        <f t="shared" si="718"/>
        <v>1</v>
      </c>
      <c r="CG184" s="2" t="b">
        <f t="shared" si="719"/>
        <v>1</v>
      </c>
      <c r="CH184" s="2" t="b">
        <f t="shared" si="720"/>
        <v>1</v>
      </c>
      <c r="CI184" s="2" t="b">
        <f t="shared" si="721"/>
        <v>0</v>
      </c>
      <c r="CJ184" s="2" t="b">
        <f t="shared" si="722"/>
        <v>0</v>
      </c>
      <c r="CK184" s="2" t="b">
        <f t="shared" si="723"/>
        <v>1</v>
      </c>
      <c r="CL184" s="2" t="b">
        <f t="shared" si="724"/>
        <v>1</v>
      </c>
      <c r="CM184" s="2" t="b">
        <f t="shared" si="725"/>
        <v>0</v>
      </c>
      <c r="CN184" s="2">
        <v>1</v>
      </c>
      <c r="CO184" s="2">
        <v>1.3</v>
      </c>
      <c r="CP184" s="2">
        <v>1</v>
      </c>
      <c r="CQ184" s="2">
        <v>1</v>
      </c>
      <c r="CR184" s="2">
        <v>1</v>
      </c>
      <c r="CS184" s="2">
        <v>1</v>
      </c>
      <c r="CT184" s="2">
        <v>1</v>
      </c>
      <c r="CU184" s="2">
        <v>1</v>
      </c>
      <c r="CW184" s="2">
        <v>4</v>
      </c>
      <c r="CX184" s="2">
        <v>5.5</v>
      </c>
      <c r="CY184" s="2">
        <v>5.5</v>
      </c>
      <c r="CZ184" s="2">
        <v>4</v>
      </c>
      <c r="DA184" s="2" t="s">
        <v>356</v>
      </c>
      <c r="DB184" s="2">
        <v>5.5</v>
      </c>
      <c r="DC184" s="2">
        <v>4</v>
      </c>
      <c r="DD184" s="2" t="s">
        <v>356</v>
      </c>
      <c r="DE184" s="206">
        <f t="shared" si="573"/>
        <v>4.00000000004</v>
      </c>
      <c r="DF184" s="206">
        <f t="shared" si="574"/>
        <v>5.50000000002</v>
      </c>
      <c r="DG184" s="206">
        <f t="shared" si="688"/>
        <v>5.50000000003</v>
      </c>
      <c r="DH184" s="206">
        <f t="shared" si="689"/>
        <v>4.00000000001</v>
      </c>
      <c r="DI184" s="206">
        <f t="shared" si="690"/>
        <v>0</v>
      </c>
      <c r="DJ184" s="206">
        <f t="shared" si="691"/>
        <v>5.50000000006</v>
      </c>
      <c r="DK184" s="206">
        <f t="shared" si="692"/>
        <v>4.00000000007</v>
      </c>
      <c r="DL184" s="206">
        <f t="shared" si="693"/>
        <v>0</v>
      </c>
      <c r="DM184" s="2">
        <f t="shared" si="694"/>
        <v>4.00000000004</v>
      </c>
      <c r="DN184" s="2">
        <f t="shared" si="726"/>
        <v>7.150000000026</v>
      </c>
      <c r="DO184" s="2">
        <f t="shared" si="727"/>
        <v>5.50000000003</v>
      </c>
      <c r="DP184" s="2">
        <f t="shared" si="728"/>
        <v>4.00000000001</v>
      </c>
      <c r="DQ184" s="2">
        <f t="shared" si="729"/>
        <v>0</v>
      </c>
      <c r="DR184" s="2">
        <f t="shared" si="730"/>
        <v>5.50000000006</v>
      </c>
      <c r="DS184" s="2">
        <f t="shared" si="731"/>
        <v>4.00000000007</v>
      </c>
      <c r="DT184" s="2">
        <f t="shared" si="732"/>
        <v>0</v>
      </c>
      <c r="DU184" s="2" t="b">
        <f t="shared" si="733"/>
        <v>1</v>
      </c>
      <c r="DV184" s="2" t="b">
        <f t="shared" si="734"/>
        <v>1</v>
      </c>
      <c r="DW184" s="2" t="b">
        <f t="shared" si="735"/>
        <v>1</v>
      </c>
      <c r="DX184" s="2" t="b">
        <f t="shared" si="736"/>
        <v>0</v>
      </c>
      <c r="DY184" s="2" t="b">
        <f t="shared" si="737"/>
        <v>0</v>
      </c>
      <c r="DZ184" s="2" t="b">
        <f t="shared" si="738"/>
        <v>1</v>
      </c>
      <c r="EA184" s="2" t="b">
        <f t="shared" si="739"/>
        <v>1</v>
      </c>
      <c r="EB184" s="2" t="b">
        <f t="shared" si="740"/>
        <v>0</v>
      </c>
      <c r="EC184" s="2">
        <v>1</v>
      </c>
      <c r="ED184" s="2">
        <v>1.3</v>
      </c>
      <c r="EE184" s="2">
        <v>1</v>
      </c>
      <c r="EF184" s="2">
        <v>1</v>
      </c>
      <c r="EG184" s="2">
        <v>1</v>
      </c>
      <c r="EH184" s="2">
        <v>1</v>
      </c>
      <c r="EI184" s="2">
        <v>1</v>
      </c>
      <c r="EJ184" s="2">
        <v>1</v>
      </c>
      <c r="EK184" s="2">
        <v>5.5</v>
      </c>
      <c r="EL184" s="2">
        <v>4</v>
      </c>
      <c r="EM184" s="2">
        <v>4</v>
      </c>
      <c r="EN184" s="2">
        <v>4</v>
      </c>
      <c r="EO184" s="2" t="s">
        <v>356</v>
      </c>
      <c r="EP184" s="2">
        <v>7</v>
      </c>
      <c r="EQ184" s="2">
        <v>5.5</v>
      </c>
      <c r="ER184" s="2">
        <v>4</v>
      </c>
      <c r="ES184" s="206">
        <f t="shared" si="581"/>
        <v>5.50000000004</v>
      </c>
      <c r="ET184" s="206">
        <f t="shared" si="582"/>
        <v>4.00000000002</v>
      </c>
      <c r="EU184" s="206">
        <f t="shared" si="583"/>
        <v>4.00000000003</v>
      </c>
      <c r="EV184" s="206">
        <f t="shared" si="584"/>
        <v>4.00000000001</v>
      </c>
      <c r="EW184" s="206">
        <f t="shared" si="585"/>
        <v>0</v>
      </c>
      <c r="EX184" s="206">
        <f t="shared" si="586"/>
        <v>7.00000000006</v>
      </c>
      <c r="EY184" s="206">
        <f t="shared" si="587"/>
        <v>5.50000000007</v>
      </c>
      <c r="EZ184" s="206">
        <f t="shared" si="588"/>
        <v>4.00000000008</v>
      </c>
      <c r="FA184" s="2">
        <f t="shared" si="625"/>
        <v>5.50000000004</v>
      </c>
      <c r="FB184" s="2">
        <f t="shared" si="626"/>
        <v>5.2000000000259998</v>
      </c>
      <c r="FC184" s="2">
        <f t="shared" si="627"/>
        <v>4.00000000003</v>
      </c>
      <c r="FD184" s="2">
        <f t="shared" si="628"/>
        <v>4.00000000001</v>
      </c>
      <c r="FE184" s="2">
        <f t="shared" si="629"/>
        <v>0</v>
      </c>
      <c r="FF184" s="2">
        <f t="shared" si="630"/>
        <v>7.00000000006</v>
      </c>
      <c r="FG184" s="2">
        <f t="shared" si="631"/>
        <v>5.50000000007</v>
      </c>
      <c r="FH184" s="2">
        <f t="shared" si="632"/>
        <v>4.00000000008</v>
      </c>
      <c r="FI184" s="2" t="b">
        <f t="shared" si="741"/>
        <v>1</v>
      </c>
      <c r="FJ184" s="2" t="b">
        <f t="shared" si="742"/>
        <v>1</v>
      </c>
      <c r="FK184" s="2" t="b">
        <f t="shared" si="743"/>
        <v>0</v>
      </c>
      <c r="FL184" s="2" t="b">
        <f t="shared" si="744"/>
        <v>0</v>
      </c>
      <c r="FM184" s="2" t="b">
        <f t="shared" si="745"/>
        <v>0</v>
      </c>
      <c r="FN184" s="2" t="b">
        <f t="shared" si="746"/>
        <v>1</v>
      </c>
      <c r="FO184" s="2" t="b">
        <f t="shared" si="747"/>
        <v>1</v>
      </c>
      <c r="FP184" s="2" t="b">
        <f t="shared" si="748"/>
        <v>1</v>
      </c>
    </row>
    <row r="185" spans="1:172" ht="15.6">
      <c r="A185" s="2" t="s">
        <v>1515</v>
      </c>
      <c r="B185" s="2" t="s">
        <v>255</v>
      </c>
      <c r="C185" s="2" t="s">
        <v>1137</v>
      </c>
      <c r="D185" s="2" t="s">
        <v>1516</v>
      </c>
      <c r="E185" s="2" t="s">
        <v>889</v>
      </c>
      <c r="F185" s="2" t="s">
        <v>356</v>
      </c>
      <c r="G185" s="2">
        <v>31</v>
      </c>
      <c r="H185" s="2">
        <v>28</v>
      </c>
      <c r="I185" s="2">
        <v>27.25</v>
      </c>
      <c r="J185" s="2">
        <f t="shared" si="562"/>
        <v>31.000000000229999</v>
      </c>
      <c r="K185" s="2">
        <f t="shared" si="563"/>
        <v>28.000000000269999</v>
      </c>
      <c r="L185" s="2">
        <f t="shared" si="564"/>
        <v>27.250000000269996</v>
      </c>
      <c r="M185" s="364" t="s">
        <v>356</v>
      </c>
      <c r="N185" s="364" t="s">
        <v>356</v>
      </c>
      <c r="O185" s="364" t="s">
        <v>836</v>
      </c>
      <c r="P185" s="364" t="s">
        <v>356</v>
      </c>
      <c r="Q185" s="364" t="s">
        <v>356</v>
      </c>
      <c r="R185" s="2" t="s">
        <v>1517</v>
      </c>
      <c r="S185" s="2" t="s">
        <v>1177</v>
      </c>
      <c r="T185" s="2">
        <v>31</v>
      </c>
      <c r="U185" s="2" cm="1">
        <f t="array" ref="U185">IFERROR(INDEX('Offer Statistics'!$BQ$2:$BQ$400,MATCH(1,(A185='Offer Statistics'!$BB$2:$BB$400)*($A$11='Offer Statistics'!$BC$2:$BC$400),0)),"/")</f>
        <v>33</v>
      </c>
      <c r="V185" s="2" cm="1">
        <f t="array" ref="V185">IFERROR(INDEX('Offer Statistics'!$BD$2:$BD$400,MATCH(1,(A185='Offer Statistics'!$BB$2:$BB$400)*($A$11='Offer Statistics'!$BC$2:$BC$400),0)),"/")</f>
        <v>165</v>
      </c>
      <c r="W185" s="2" cm="1">
        <f t="array" ref="W185">IFERROR(INDEX('Offer Statistics'!$BL$2:$BL$400,MATCH(1,(A185='Offer Statistics'!$BB$2:$BB$400)*($A$11='Offer Statistics'!$BC$2:$BC$400),0)),"/")</f>
        <v>33</v>
      </c>
      <c r="X185" s="2">
        <f t="shared" si="502"/>
        <v>5</v>
      </c>
      <c r="Y185" s="2" t="s">
        <v>1177</v>
      </c>
      <c r="Z185" s="364" t="str">
        <f>入學要求!AF194</f>
        <v>/</v>
      </c>
      <c r="AA185" s="364" t="str">
        <f>入學要求!AG194</f>
        <v>/</v>
      </c>
      <c r="AB185" s="401" t="s">
        <v>889</v>
      </c>
      <c r="AC185" s="368"/>
      <c r="AD185" s="368"/>
      <c r="AE185" s="368" t="s">
        <v>356</v>
      </c>
      <c r="AF185" s="368" t="s">
        <v>356</v>
      </c>
      <c r="AG185" s="368" t="s">
        <v>836</v>
      </c>
      <c r="AH185" s="368" t="s">
        <v>356</v>
      </c>
      <c r="AI185" s="368" t="s">
        <v>356</v>
      </c>
      <c r="AJ185" s="2" t="s">
        <v>356</v>
      </c>
      <c r="AK185" s="2" t="s">
        <v>356</v>
      </c>
      <c r="AL185" s="2" t="s">
        <v>356</v>
      </c>
      <c r="AM185" s="2" t="s">
        <v>1518</v>
      </c>
      <c r="AN185" s="160" t="s">
        <v>1519</v>
      </c>
      <c r="AO185" s="2" t="s">
        <v>356</v>
      </c>
      <c r="AP185" s="2" t="s">
        <v>356</v>
      </c>
      <c r="AQ185" s="2" t="s">
        <v>356</v>
      </c>
      <c r="AS185" s="2" t="s">
        <v>820</v>
      </c>
      <c r="AU185" s="2" t="s">
        <v>817</v>
      </c>
      <c r="AY185" s="2">
        <v>1</v>
      </c>
      <c r="AZ185" s="2">
        <v>1.5</v>
      </c>
      <c r="BA185" s="2">
        <v>1</v>
      </c>
      <c r="BB185" s="2">
        <v>1</v>
      </c>
      <c r="BC185" s="2">
        <v>1</v>
      </c>
      <c r="BD185" s="2">
        <v>1</v>
      </c>
      <c r="BE185" s="2">
        <v>1</v>
      </c>
      <c r="BF185" s="2">
        <v>1</v>
      </c>
      <c r="BG185" s="2" t="s">
        <v>1515</v>
      </c>
      <c r="BH185">
        <v>4</v>
      </c>
      <c r="BI185">
        <v>5.5</v>
      </c>
      <c r="BJ185">
        <v>5.5</v>
      </c>
      <c r="BK185">
        <v>4</v>
      </c>
      <c r="BL185" t="s">
        <v>356</v>
      </c>
      <c r="BM185">
        <v>5.5</v>
      </c>
      <c r="BN185">
        <v>4</v>
      </c>
      <c r="BO185">
        <v>4</v>
      </c>
      <c r="BP185" s="206">
        <f t="shared" si="565"/>
        <v>4.00000000004</v>
      </c>
      <c r="BQ185" s="206">
        <f t="shared" si="566"/>
        <v>5.50000000002</v>
      </c>
      <c r="BR185" s="206">
        <f t="shared" si="567"/>
        <v>5.50000000003</v>
      </c>
      <c r="BS185" s="206">
        <f t="shared" si="568"/>
        <v>4.00000000001</v>
      </c>
      <c r="BT185" s="206">
        <f t="shared" si="569"/>
        <v>0</v>
      </c>
      <c r="BU185" s="206">
        <f t="shared" si="570"/>
        <v>5.50000000006</v>
      </c>
      <c r="BV185" s="206">
        <f t="shared" si="571"/>
        <v>4.00000000007</v>
      </c>
      <c r="BW185" s="206">
        <f t="shared" si="572"/>
        <v>4.00000000008</v>
      </c>
      <c r="BX185" s="2">
        <f t="shared" si="710"/>
        <v>4.00000000004</v>
      </c>
      <c r="BY185" s="2">
        <f t="shared" si="711"/>
        <v>8.2500000000299991</v>
      </c>
      <c r="BZ185" s="2">
        <f t="shared" si="712"/>
        <v>5.50000000003</v>
      </c>
      <c r="CA185" s="2">
        <f t="shared" si="713"/>
        <v>4.00000000001</v>
      </c>
      <c r="CB185" s="2">
        <f t="shared" si="714"/>
        <v>0</v>
      </c>
      <c r="CC185" s="2">
        <f t="shared" si="715"/>
        <v>5.50000000006</v>
      </c>
      <c r="CD185" s="2">
        <f t="shared" si="716"/>
        <v>4.00000000007</v>
      </c>
      <c r="CE185" s="2">
        <f t="shared" si="717"/>
        <v>4.00000000008</v>
      </c>
      <c r="CF185" s="2" t="b">
        <f t="shared" si="718"/>
        <v>0</v>
      </c>
      <c r="CG185" s="2" t="b">
        <f t="shared" si="719"/>
        <v>1</v>
      </c>
      <c r="CH185" s="2" t="b">
        <f t="shared" si="720"/>
        <v>1</v>
      </c>
      <c r="CI185" s="2" t="b">
        <f t="shared" si="721"/>
        <v>0</v>
      </c>
      <c r="CJ185" s="2" t="b">
        <f t="shared" si="722"/>
        <v>0</v>
      </c>
      <c r="CK185" s="2" t="b">
        <f t="shared" si="723"/>
        <v>1</v>
      </c>
      <c r="CL185" s="2" t="b">
        <f t="shared" si="724"/>
        <v>1</v>
      </c>
      <c r="CM185" s="2" t="b">
        <f t="shared" si="725"/>
        <v>1</v>
      </c>
      <c r="CN185" s="2">
        <v>1</v>
      </c>
      <c r="CO185" s="2">
        <v>1.5</v>
      </c>
      <c r="CP185" s="2">
        <v>1</v>
      </c>
      <c r="CQ185" s="2">
        <v>1</v>
      </c>
      <c r="CR185" s="2">
        <v>1</v>
      </c>
      <c r="CS185" s="2">
        <v>1</v>
      </c>
      <c r="CT185" s="2">
        <v>1</v>
      </c>
      <c r="CU185" s="2">
        <v>1</v>
      </c>
      <c r="CW185" s="2">
        <v>4</v>
      </c>
      <c r="CX185" s="2">
        <v>4</v>
      </c>
      <c r="CY185" s="2">
        <v>7</v>
      </c>
      <c r="CZ185" s="2">
        <v>4</v>
      </c>
      <c r="DA185" s="2">
        <v>4</v>
      </c>
      <c r="DB185" s="2">
        <v>7</v>
      </c>
      <c r="DC185" s="2">
        <v>4</v>
      </c>
      <c r="DD185" s="2">
        <v>4</v>
      </c>
      <c r="DE185" s="206">
        <f t="shared" si="573"/>
        <v>4.00000000004</v>
      </c>
      <c r="DF185" s="206">
        <f t="shared" si="574"/>
        <v>4.00000000002</v>
      </c>
      <c r="DG185" s="206">
        <f t="shared" si="688"/>
        <v>7.00000000003</v>
      </c>
      <c r="DH185" s="206">
        <f t="shared" si="689"/>
        <v>4.00000000001</v>
      </c>
      <c r="DI185" s="206">
        <f t="shared" si="690"/>
        <v>4.00000000005</v>
      </c>
      <c r="DJ185" s="206">
        <f t="shared" si="691"/>
        <v>7.00000000006</v>
      </c>
      <c r="DK185" s="206">
        <f t="shared" si="692"/>
        <v>4.00000000007</v>
      </c>
      <c r="DL185" s="206">
        <f t="shared" si="693"/>
        <v>4.00000000008</v>
      </c>
      <c r="DM185" s="2">
        <f t="shared" si="694"/>
        <v>4.00000000004</v>
      </c>
      <c r="DN185" s="2">
        <f t="shared" si="726"/>
        <v>6.00000000003</v>
      </c>
      <c r="DO185" s="2">
        <f t="shared" si="727"/>
        <v>7.00000000003</v>
      </c>
      <c r="DP185" s="2">
        <f t="shared" si="728"/>
        <v>4.00000000001</v>
      </c>
      <c r="DQ185" s="2">
        <f t="shared" si="729"/>
        <v>4.00000000005</v>
      </c>
      <c r="DR185" s="2">
        <f t="shared" si="730"/>
        <v>7.00000000006</v>
      </c>
      <c r="DS185" s="2">
        <f t="shared" si="731"/>
        <v>4.00000000007</v>
      </c>
      <c r="DT185" s="2">
        <f t="shared" si="732"/>
        <v>4.00000000008</v>
      </c>
      <c r="DU185" s="2" t="b">
        <f t="shared" si="733"/>
        <v>0</v>
      </c>
      <c r="DV185" s="2" t="b">
        <f t="shared" si="734"/>
        <v>1</v>
      </c>
      <c r="DW185" s="2" t="b">
        <f t="shared" si="735"/>
        <v>1</v>
      </c>
      <c r="DX185" s="2" t="b">
        <f t="shared" si="736"/>
        <v>0</v>
      </c>
      <c r="DY185" s="2" t="b">
        <f t="shared" si="737"/>
        <v>0</v>
      </c>
      <c r="DZ185" s="2" t="b">
        <f t="shared" si="738"/>
        <v>1</v>
      </c>
      <c r="EA185" s="2" t="b">
        <f t="shared" si="739"/>
        <v>1</v>
      </c>
      <c r="EB185" s="2" t="b">
        <f t="shared" si="740"/>
        <v>1</v>
      </c>
      <c r="EC185" s="2">
        <v>1</v>
      </c>
      <c r="ED185" s="2">
        <v>1.5</v>
      </c>
      <c r="EE185" s="2">
        <v>1</v>
      </c>
      <c r="EF185" s="2">
        <v>1</v>
      </c>
      <c r="EG185" s="2">
        <v>1</v>
      </c>
      <c r="EH185" s="2">
        <v>1</v>
      </c>
      <c r="EI185" s="2">
        <v>1</v>
      </c>
      <c r="EJ185" s="2">
        <v>1</v>
      </c>
      <c r="EK185" s="2">
        <v>8.5</v>
      </c>
      <c r="EL185" s="2">
        <v>4</v>
      </c>
      <c r="EM185" s="2">
        <v>5.5</v>
      </c>
      <c r="EN185" s="2">
        <v>5.5</v>
      </c>
      <c r="EO185" s="2" t="s">
        <v>356</v>
      </c>
      <c r="EP185" s="2">
        <v>5.5</v>
      </c>
      <c r="EQ185" s="2">
        <v>5.5</v>
      </c>
      <c r="ER185" s="2" t="s">
        <v>356</v>
      </c>
      <c r="ES185" s="206">
        <f t="shared" si="581"/>
        <v>8.50000000004</v>
      </c>
      <c r="ET185" s="206">
        <f t="shared" si="582"/>
        <v>4.00000000002</v>
      </c>
      <c r="EU185" s="206">
        <f t="shared" si="583"/>
        <v>5.50000000003</v>
      </c>
      <c r="EV185" s="206">
        <f t="shared" si="584"/>
        <v>5.50000000001</v>
      </c>
      <c r="EW185" s="206">
        <f t="shared" si="585"/>
        <v>0</v>
      </c>
      <c r="EX185" s="206">
        <f t="shared" si="586"/>
        <v>5.50000000006</v>
      </c>
      <c r="EY185" s="206">
        <f t="shared" si="587"/>
        <v>5.50000000007</v>
      </c>
      <c r="EZ185" s="206">
        <f t="shared" si="588"/>
        <v>0</v>
      </c>
      <c r="FA185" s="2">
        <f t="shared" si="625"/>
        <v>8.50000000004</v>
      </c>
      <c r="FB185" s="2">
        <f t="shared" si="626"/>
        <v>6.00000000003</v>
      </c>
      <c r="FC185" s="2">
        <f t="shared" si="627"/>
        <v>5.50000000003</v>
      </c>
      <c r="FD185" s="2">
        <f t="shared" si="628"/>
        <v>5.50000000001</v>
      </c>
      <c r="FE185" s="2">
        <f t="shared" si="629"/>
        <v>0</v>
      </c>
      <c r="FF185" s="2">
        <f t="shared" si="630"/>
        <v>5.50000000006</v>
      </c>
      <c r="FG185" s="2">
        <f t="shared" si="631"/>
        <v>5.50000000007</v>
      </c>
      <c r="FH185" s="2">
        <f t="shared" si="632"/>
        <v>0</v>
      </c>
      <c r="FI185" s="2" t="b">
        <f t="shared" si="741"/>
        <v>1</v>
      </c>
      <c r="FJ185" s="2" t="b">
        <f t="shared" si="742"/>
        <v>1</v>
      </c>
      <c r="FK185" s="2" t="b">
        <f t="shared" si="743"/>
        <v>1</v>
      </c>
      <c r="FL185" s="2" t="b">
        <f t="shared" si="744"/>
        <v>0</v>
      </c>
      <c r="FM185" s="2" t="b">
        <f t="shared" si="745"/>
        <v>0</v>
      </c>
      <c r="FN185" s="2" t="b">
        <f t="shared" si="746"/>
        <v>1</v>
      </c>
      <c r="FO185" s="2" t="b">
        <f t="shared" si="747"/>
        <v>1</v>
      </c>
      <c r="FP185" s="2" t="b">
        <f t="shared" si="748"/>
        <v>0</v>
      </c>
    </row>
    <row r="186" spans="1:172" ht="15.6">
      <c r="A186" s="2" t="s">
        <v>1520</v>
      </c>
      <c r="B186" s="2" t="s">
        <v>255</v>
      </c>
      <c r="C186" s="2" t="s">
        <v>1137</v>
      </c>
      <c r="D186" s="2" t="s">
        <v>1521</v>
      </c>
      <c r="E186" s="2" t="s">
        <v>889</v>
      </c>
      <c r="F186" s="2" t="s">
        <v>356</v>
      </c>
      <c r="G186" s="2">
        <v>31.5</v>
      </c>
      <c r="H186" s="2">
        <v>30</v>
      </c>
      <c r="I186" s="2">
        <v>28.5</v>
      </c>
      <c r="J186" s="2">
        <f t="shared" si="562"/>
        <v>31.500000000275001</v>
      </c>
      <c r="K186" s="2">
        <f t="shared" si="563"/>
        <v>30.000000000235001</v>
      </c>
      <c r="L186" s="2">
        <f t="shared" si="564"/>
        <v>28.500000000330001</v>
      </c>
      <c r="M186" s="364" t="s">
        <v>356</v>
      </c>
      <c r="N186" s="364" t="s">
        <v>356</v>
      </c>
      <c r="O186" s="364" t="s">
        <v>882</v>
      </c>
      <c r="P186" s="364" t="s">
        <v>1361</v>
      </c>
      <c r="Q186" s="364" t="s">
        <v>356</v>
      </c>
      <c r="R186" s="2" t="s">
        <v>1522</v>
      </c>
      <c r="S186" s="2" t="s">
        <v>1177</v>
      </c>
      <c r="T186" s="2">
        <v>65</v>
      </c>
      <c r="U186" s="2" cm="1">
        <f t="array" ref="U186">IFERROR(INDEX('Offer Statistics'!$BQ$2:$BQ$400,MATCH(1,(A186='Offer Statistics'!$BB$2:$BB$400)*($A$11='Offer Statistics'!$BC$2:$BC$400),0)),"/")</f>
        <v>45</v>
      </c>
      <c r="V186" s="2" cm="1">
        <f t="array" ref="V186">IFERROR(INDEX('Offer Statistics'!$BD$2:$BD$400,MATCH(1,(A186='Offer Statistics'!$BB$2:$BB$400)*($A$11='Offer Statistics'!$BC$2:$BC$400),0)),"/")</f>
        <v>438</v>
      </c>
      <c r="W186" s="2" cm="1">
        <f t="array" ref="W186">IFERROR(INDEX('Offer Statistics'!$BL$2:$BL$400,MATCH(1,(A186='Offer Statistics'!$BB$2:$BB$400)*($A$11='Offer Statistics'!$BC$2:$BC$400),0)),"/")</f>
        <v>45</v>
      </c>
      <c r="X186" s="2">
        <f t="shared" si="502"/>
        <v>9.7333333333333325</v>
      </c>
      <c r="Y186" s="2" t="s">
        <v>1177</v>
      </c>
      <c r="Z186" s="364" t="str">
        <f>入學要求!AF195</f>
        <v>/</v>
      </c>
      <c r="AA186" s="364" t="str">
        <f>入學要求!AG195</f>
        <v>/</v>
      </c>
      <c r="AB186" s="401" t="s">
        <v>889</v>
      </c>
      <c r="AC186" s="368"/>
      <c r="AD186" s="368"/>
      <c r="AE186" s="368" t="s">
        <v>356</v>
      </c>
      <c r="AF186" s="368" t="s">
        <v>356</v>
      </c>
      <c r="AG186" s="368" t="s">
        <v>882</v>
      </c>
      <c r="AH186" s="368" t="s">
        <v>1361</v>
      </c>
      <c r="AI186" s="368" t="s">
        <v>356</v>
      </c>
      <c r="AJ186" s="2" t="s">
        <v>356</v>
      </c>
      <c r="AK186" s="2" t="s">
        <v>356</v>
      </c>
      <c r="AL186" s="2" t="s">
        <v>356</v>
      </c>
      <c r="AM186" s="2" t="s">
        <v>356</v>
      </c>
      <c r="AN186" s="2" t="s">
        <v>356</v>
      </c>
      <c r="AO186" s="2" t="s">
        <v>356</v>
      </c>
      <c r="AP186" s="2" t="s">
        <v>356</v>
      </c>
      <c r="AQ186" s="2" t="s">
        <v>356</v>
      </c>
      <c r="AS186" s="2" t="s">
        <v>820</v>
      </c>
      <c r="AU186" s="2" t="s">
        <v>817</v>
      </c>
      <c r="AY186" s="2">
        <v>1</v>
      </c>
      <c r="AZ186" s="2">
        <v>1</v>
      </c>
      <c r="BA186" s="2">
        <v>1.5</v>
      </c>
      <c r="BB186" s="2">
        <v>1</v>
      </c>
      <c r="BC186" s="360">
        <v>1.5</v>
      </c>
      <c r="BD186" s="365">
        <v>1</v>
      </c>
      <c r="BE186" s="2">
        <v>1</v>
      </c>
      <c r="BF186" s="2">
        <v>1</v>
      </c>
      <c r="BG186" s="2" t="s">
        <v>1520</v>
      </c>
      <c r="BH186">
        <v>3</v>
      </c>
      <c r="BI186">
        <v>3</v>
      </c>
      <c r="BJ186">
        <v>5.5</v>
      </c>
      <c r="BK186">
        <v>3</v>
      </c>
      <c r="BL186">
        <v>5.5</v>
      </c>
      <c r="BM186">
        <v>4</v>
      </c>
      <c r="BN186">
        <v>4</v>
      </c>
      <c r="BO186">
        <v>4</v>
      </c>
      <c r="BP186" s="206">
        <f t="shared" si="565"/>
        <v>3.00000000004</v>
      </c>
      <c r="BQ186" s="206">
        <f t="shared" si="566"/>
        <v>3.00000000002</v>
      </c>
      <c r="BR186" s="206">
        <f t="shared" si="567"/>
        <v>5.50000000003</v>
      </c>
      <c r="BS186" s="206">
        <f t="shared" si="568"/>
        <v>3.00000000001</v>
      </c>
      <c r="BT186" s="206">
        <f t="shared" si="569"/>
        <v>5.50000000005</v>
      </c>
      <c r="BU186" s="206">
        <f t="shared" si="570"/>
        <v>4.00000000006</v>
      </c>
      <c r="BV186" s="206">
        <f t="shared" si="571"/>
        <v>4.00000000007</v>
      </c>
      <c r="BW186" s="206">
        <f t="shared" si="572"/>
        <v>4.00000000008</v>
      </c>
      <c r="BX186" s="2">
        <f t="shared" si="710"/>
        <v>3.00000000004</v>
      </c>
      <c r="BY186" s="2">
        <f t="shared" si="711"/>
        <v>3.00000000002</v>
      </c>
      <c r="BZ186" s="2">
        <f t="shared" si="712"/>
        <v>8.2500000000450004</v>
      </c>
      <c r="CA186" s="2">
        <f t="shared" si="713"/>
        <v>3.00000000001</v>
      </c>
      <c r="CB186" s="2">
        <f t="shared" si="714"/>
        <v>8.2500000000749996</v>
      </c>
      <c r="CC186" s="2">
        <f t="shared" si="715"/>
        <v>4.00000000006</v>
      </c>
      <c r="CD186" s="2">
        <f t="shared" si="716"/>
        <v>4.00000000007</v>
      </c>
      <c r="CE186" s="2">
        <f t="shared" si="717"/>
        <v>4.00000000008</v>
      </c>
      <c r="CF186" s="2" t="b">
        <f t="shared" si="718"/>
        <v>0</v>
      </c>
      <c r="CG186" s="2" t="b">
        <f t="shared" si="719"/>
        <v>0</v>
      </c>
      <c r="CH186" s="2" t="b">
        <f t="shared" si="720"/>
        <v>1</v>
      </c>
      <c r="CI186" s="2" t="b">
        <f t="shared" si="721"/>
        <v>0</v>
      </c>
      <c r="CJ186" s="2" t="b">
        <f t="shared" si="722"/>
        <v>1</v>
      </c>
      <c r="CK186" s="2" t="b">
        <f t="shared" si="723"/>
        <v>1</v>
      </c>
      <c r="CL186" s="2" t="b">
        <f t="shared" si="724"/>
        <v>1</v>
      </c>
      <c r="CM186" s="2" t="b">
        <f t="shared" si="725"/>
        <v>1</v>
      </c>
      <c r="CN186" s="2">
        <v>1</v>
      </c>
      <c r="CO186" s="2">
        <v>1</v>
      </c>
      <c r="CP186" s="2">
        <v>1.5</v>
      </c>
      <c r="CQ186" s="2">
        <v>1</v>
      </c>
      <c r="CR186" s="150">
        <v>1</v>
      </c>
      <c r="CS186" s="150">
        <v>1.5</v>
      </c>
      <c r="CT186" s="95">
        <v>1</v>
      </c>
      <c r="CU186" s="2">
        <v>1</v>
      </c>
      <c r="CW186" s="2">
        <v>3</v>
      </c>
      <c r="CX186" s="2">
        <v>4</v>
      </c>
      <c r="CY186" s="2">
        <v>5.5</v>
      </c>
      <c r="CZ186" s="2">
        <v>4</v>
      </c>
      <c r="DA186" s="2" t="s">
        <v>356</v>
      </c>
      <c r="DB186" s="2">
        <v>5.5</v>
      </c>
      <c r="DC186" s="2">
        <v>5.5</v>
      </c>
      <c r="DD186" s="2" t="s">
        <v>356</v>
      </c>
      <c r="DE186" s="206">
        <f t="shared" si="573"/>
        <v>3.00000000004</v>
      </c>
      <c r="DF186" s="206">
        <f t="shared" si="574"/>
        <v>4.00000000002</v>
      </c>
      <c r="DG186" s="206">
        <f t="shared" si="688"/>
        <v>5.50000000003</v>
      </c>
      <c r="DH186" s="206">
        <f t="shared" si="689"/>
        <v>4.00000000001</v>
      </c>
      <c r="DI186" s="206">
        <f t="shared" si="690"/>
        <v>0</v>
      </c>
      <c r="DJ186" s="206">
        <f t="shared" si="691"/>
        <v>5.50000000006</v>
      </c>
      <c r="DK186" s="206">
        <f t="shared" si="692"/>
        <v>5.50000000007</v>
      </c>
      <c r="DL186" s="206">
        <f t="shared" si="693"/>
        <v>0</v>
      </c>
      <c r="DM186" s="2">
        <f t="shared" si="694"/>
        <v>3.00000000004</v>
      </c>
      <c r="DN186" s="2">
        <f t="shared" si="726"/>
        <v>4.00000000002</v>
      </c>
      <c r="DO186" s="2">
        <f t="shared" si="727"/>
        <v>8.2500000000450004</v>
      </c>
      <c r="DP186" s="2">
        <f t="shared" si="728"/>
        <v>4.00000000001</v>
      </c>
      <c r="DQ186" s="2">
        <f t="shared" si="729"/>
        <v>0</v>
      </c>
      <c r="DR186" s="2">
        <f t="shared" si="730"/>
        <v>8.2500000000900009</v>
      </c>
      <c r="DS186" s="2">
        <f t="shared" si="731"/>
        <v>5.50000000007</v>
      </c>
      <c r="DT186" s="2">
        <f t="shared" si="732"/>
        <v>0</v>
      </c>
      <c r="DU186" s="2" t="b">
        <f t="shared" si="733"/>
        <v>0</v>
      </c>
      <c r="DV186" s="2" t="b">
        <f t="shared" si="734"/>
        <v>1</v>
      </c>
      <c r="DW186" s="2" t="b">
        <f t="shared" si="735"/>
        <v>1</v>
      </c>
      <c r="DX186" s="2" t="b">
        <f t="shared" si="736"/>
        <v>1</v>
      </c>
      <c r="DY186" s="2" t="b">
        <f t="shared" si="737"/>
        <v>0</v>
      </c>
      <c r="DZ186" s="2" t="b">
        <f t="shared" si="738"/>
        <v>1</v>
      </c>
      <c r="EA186" s="2" t="b">
        <f t="shared" si="739"/>
        <v>1</v>
      </c>
      <c r="EB186" s="2" t="b">
        <f t="shared" si="740"/>
        <v>0</v>
      </c>
      <c r="EC186" s="2">
        <v>1</v>
      </c>
      <c r="ED186" s="2">
        <v>1</v>
      </c>
      <c r="EE186" s="2">
        <v>1.5</v>
      </c>
      <c r="EF186" s="2">
        <v>1</v>
      </c>
      <c r="EG186" s="2">
        <v>1</v>
      </c>
      <c r="EH186" s="150">
        <v>1.5</v>
      </c>
      <c r="EI186" s="2">
        <v>1</v>
      </c>
      <c r="EJ186" s="2">
        <v>1</v>
      </c>
      <c r="EK186" s="2">
        <v>3</v>
      </c>
      <c r="EL186" s="2">
        <v>5.5</v>
      </c>
      <c r="EM186" s="2">
        <v>5.5</v>
      </c>
      <c r="EN186" s="2">
        <v>3</v>
      </c>
      <c r="EO186" s="2">
        <v>4</v>
      </c>
      <c r="EP186" s="2">
        <v>5.5</v>
      </c>
      <c r="EQ186" s="2">
        <v>5.5</v>
      </c>
      <c r="ER186" s="2" t="s">
        <v>356</v>
      </c>
      <c r="ES186" s="206">
        <f t="shared" si="581"/>
        <v>3.00000000004</v>
      </c>
      <c r="ET186" s="206">
        <f t="shared" si="582"/>
        <v>5.50000000002</v>
      </c>
      <c r="EU186" s="206">
        <f t="shared" si="583"/>
        <v>5.50000000003</v>
      </c>
      <c r="EV186" s="206">
        <f t="shared" si="584"/>
        <v>3.00000000001</v>
      </c>
      <c r="EW186" s="206">
        <f t="shared" si="585"/>
        <v>4.00000000005</v>
      </c>
      <c r="EX186" s="206">
        <f t="shared" si="586"/>
        <v>5.50000000006</v>
      </c>
      <c r="EY186" s="206">
        <f t="shared" si="587"/>
        <v>5.50000000007</v>
      </c>
      <c r="EZ186" s="206">
        <f t="shared" si="588"/>
        <v>0</v>
      </c>
      <c r="FA186" s="2">
        <f>ES186*EC186</f>
        <v>3.00000000004</v>
      </c>
      <c r="FB186" s="2">
        <f t="shared" si="626"/>
        <v>5.50000000002</v>
      </c>
      <c r="FC186" s="2">
        <f t="shared" si="627"/>
        <v>8.2500000000450004</v>
      </c>
      <c r="FD186" s="2">
        <f t="shared" si="628"/>
        <v>3.00000000001</v>
      </c>
      <c r="FE186" s="2">
        <f t="shared" si="629"/>
        <v>4.00000000005</v>
      </c>
      <c r="FF186" s="2">
        <f t="shared" si="630"/>
        <v>8.2500000000900009</v>
      </c>
      <c r="FG186" s="2">
        <f t="shared" si="631"/>
        <v>5.50000000007</v>
      </c>
      <c r="FH186" s="2">
        <f t="shared" si="632"/>
        <v>0</v>
      </c>
      <c r="FI186" s="2" t="b">
        <f t="shared" si="741"/>
        <v>0</v>
      </c>
      <c r="FJ186" s="2" t="b">
        <f t="shared" si="742"/>
        <v>1</v>
      </c>
      <c r="FK186" s="2" t="b">
        <f t="shared" si="743"/>
        <v>1</v>
      </c>
      <c r="FL186" s="2" t="b">
        <f t="shared" si="744"/>
        <v>0</v>
      </c>
      <c r="FM186" s="2" t="b">
        <f t="shared" si="745"/>
        <v>1</v>
      </c>
      <c r="FN186" s="2" t="b">
        <f t="shared" si="746"/>
        <v>1</v>
      </c>
      <c r="FO186" s="2" t="b">
        <f t="shared" si="747"/>
        <v>1</v>
      </c>
      <c r="FP186" s="2" t="b">
        <f t="shared" si="748"/>
        <v>0</v>
      </c>
    </row>
    <row r="187" spans="1:172" ht="15.6">
      <c r="A187" s="2" t="s">
        <v>1523</v>
      </c>
      <c r="B187" s="2" t="s">
        <v>255</v>
      </c>
      <c r="C187" s="2" t="s">
        <v>1137</v>
      </c>
      <c r="D187" s="2" t="s">
        <v>1524</v>
      </c>
      <c r="E187" s="2" t="s">
        <v>889</v>
      </c>
      <c r="F187" s="2" t="s">
        <v>356</v>
      </c>
      <c r="G187" s="2">
        <v>31.5</v>
      </c>
      <c r="H187" s="2">
        <v>30</v>
      </c>
      <c r="I187" s="2">
        <v>28.5</v>
      </c>
      <c r="J187" s="2">
        <f t="shared" si="562"/>
        <v>31.500000000259998</v>
      </c>
      <c r="K187" s="2">
        <f t="shared" si="563"/>
        <v>30.0000000002</v>
      </c>
      <c r="L187" s="2">
        <f t="shared" si="564"/>
        <v>28.500000000259998</v>
      </c>
      <c r="M187" s="364" t="s">
        <v>356</v>
      </c>
      <c r="N187" s="364" t="s">
        <v>356</v>
      </c>
      <c r="O187" s="364" t="s">
        <v>1526</v>
      </c>
      <c r="P187" s="364" t="s">
        <v>356</v>
      </c>
      <c r="Q187" s="364" t="s">
        <v>356</v>
      </c>
      <c r="R187" s="2" t="s">
        <v>1525</v>
      </c>
      <c r="S187" s="2" t="s">
        <v>1177</v>
      </c>
      <c r="T187" s="2">
        <v>39</v>
      </c>
      <c r="U187" s="2" cm="1">
        <f t="array" ref="U187">IFERROR(INDEX('Offer Statistics'!$BQ$2:$BQ$400,MATCH(1,(A187='Offer Statistics'!$BB$2:$BB$400)*($A$11='Offer Statistics'!$BC$2:$BC$400),0)),"/")</f>
        <v>45</v>
      </c>
      <c r="V187" s="2" cm="1">
        <f t="array" ref="V187">IFERROR(INDEX('Offer Statistics'!$BD$2:$BD$400,MATCH(1,(A187='Offer Statistics'!$BB$2:$BB$400)*($A$11='Offer Statistics'!$BC$2:$BC$400),0)),"/")</f>
        <v>351</v>
      </c>
      <c r="W187" s="2" cm="1">
        <f t="array" ref="W187">IFERROR(INDEX('Offer Statistics'!$BL$2:$BL$400,MATCH(1,(A187='Offer Statistics'!$BB$2:$BB$400)*($A$11='Offer Statistics'!$BC$2:$BC$400),0)),"/")</f>
        <v>45</v>
      </c>
      <c r="X187" s="2">
        <f t="shared" si="502"/>
        <v>7.8</v>
      </c>
      <c r="Y187" s="2" t="s">
        <v>1177</v>
      </c>
      <c r="Z187" s="364" t="str">
        <f>入學要求!AF196</f>
        <v>/</v>
      </c>
      <c r="AA187" s="364" t="str">
        <f>入學要求!AG196</f>
        <v>/</v>
      </c>
      <c r="AB187" s="401" t="s">
        <v>889</v>
      </c>
      <c r="AC187" s="368"/>
      <c r="AD187" s="368"/>
      <c r="AE187" s="368" t="s">
        <v>356</v>
      </c>
      <c r="AF187" s="368" t="s">
        <v>356</v>
      </c>
      <c r="AG187" s="368" t="s">
        <v>1526</v>
      </c>
      <c r="AH187" s="368" t="s">
        <v>356</v>
      </c>
      <c r="AI187" s="368" t="s">
        <v>356</v>
      </c>
      <c r="AJ187" s="2" t="s">
        <v>356</v>
      </c>
      <c r="AK187" s="2" t="s">
        <v>356</v>
      </c>
      <c r="AL187" s="2" t="s">
        <v>356</v>
      </c>
      <c r="AM187" s="2" t="s">
        <v>356</v>
      </c>
      <c r="AN187" s="2" t="s">
        <v>356</v>
      </c>
      <c r="AO187" s="2" t="s">
        <v>356</v>
      </c>
      <c r="AP187" s="2" t="s">
        <v>356</v>
      </c>
      <c r="AQ187" s="2" t="s">
        <v>356</v>
      </c>
      <c r="AS187" s="2" t="s">
        <v>820</v>
      </c>
      <c r="AU187" s="2" t="s">
        <v>817</v>
      </c>
      <c r="AY187" s="2">
        <v>1</v>
      </c>
      <c r="AZ187" s="2">
        <v>1.5</v>
      </c>
      <c r="BA187" s="2">
        <v>1</v>
      </c>
      <c r="BB187" s="2">
        <v>1</v>
      </c>
      <c r="BC187" s="2">
        <v>1</v>
      </c>
      <c r="BD187" s="2">
        <v>1.5</v>
      </c>
      <c r="BE187" s="2">
        <v>1</v>
      </c>
      <c r="BF187" s="2">
        <v>1</v>
      </c>
      <c r="BG187" s="2" t="s">
        <v>1523</v>
      </c>
      <c r="BH187">
        <v>4</v>
      </c>
      <c r="BI187">
        <v>4</v>
      </c>
      <c r="BJ187">
        <v>4</v>
      </c>
      <c r="BK187">
        <v>4</v>
      </c>
      <c r="BL187" t="s">
        <v>356</v>
      </c>
      <c r="BM187">
        <v>7</v>
      </c>
      <c r="BN187">
        <v>4</v>
      </c>
      <c r="BO187" t="s">
        <v>356</v>
      </c>
      <c r="BP187" s="206">
        <f t="shared" si="565"/>
        <v>4.00000000004</v>
      </c>
      <c r="BQ187" s="206">
        <f t="shared" si="566"/>
        <v>4.00000000002</v>
      </c>
      <c r="BR187" s="206">
        <f t="shared" si="567"/>
        <v>4.00000000003</v>
      </c>
      <c r="BS187" s="206">
        <f t="shared" si="568"/>
        <v>4.00000000001</v>
      </c>
      <c r="BT187" s="206">
        <f t="shared" si="569"/>
        <v>0</v>
      </c>
      <c r="BU187" s="206">
        <f t="shared" si="570"/>
        <v>7.00000000006</v>
      </c>
      <c r="BV187" s="206">
        <f t="shared" si="571"/>
        <v>4.00000000007</v>
      </c>
      <c r="BW187" s="206">
        <f t="shared" si="572"/>
        <v>0</v>
      </c>
      <c r="BX187" s="2">
        <f t="shared" si="710"/>
        <v>4.00000000004</v>
      </c>
      <c r="BY187" s="2">
        <f t="shared" si="711"/>
        <v>6.00000000003</v>
      </c>
      <c r="BZ187" s="2">
        <f t="shared" si="712"/>
        <v>4.00000000003</v>
      </c>
      <c r="CA187" s="2">
        <f t="shared" si="713"/>
        <v>4.00000000001</v>
      </c>
      <c r="CB187" s="2">
        <f t="shared" si="714"/>
        <v>0</v>
      </c>
      <c r="CC187" s="2">
        <f t="shared" si="715"/>
        <v>10.500000000090001</v>
      </c>
      <c r="CD187" s="2">
        <f t="shared" si="716"/>
        <v>4.00000000007</v>
      </c>
      <c r="CE187" s="2">
        <f t="shared" si="717"/>
        <v>0</v>
      </c>
      <c r="CF187" s="2" t="b">
        <f t="shared" si="718"/>
        <v>1</v>
      </c>
      <c r="CG187" s="2" t="b">
        <f t="shared" si="719"/>
        <v>1</v>
      </c>
      <c r="CH187" s="2" t="b">
        <f t="shared" si="720"/>
        <v>1</v>
      </c>
      <c r="CI187" s="2" t="b">
        <f t="shared" si="721"/>
        <v>0</v>
      </c>
      <c r="CJ187" s="2" t="b">
        <f t="shared" si="722"/>
        <v>0</v>
      </c>
      <c r="CK187" s="2" t="b">
        <f t="shared" si="723"/>
        <v>1</v>
      </c>
      <c r="CL187" s="2" t="b">
        <f t="shared" si="724"/>
        <v>1</v>
      </c>
      <c r="CM187" s="2" t="b">
        <f t="shared" si="725"/>
        <v>0</v>
      </c>
      <c r="CN187" s="2">
        <v>1</v>
      </c>
      <c r="CO187" s="2">
        <v>1.5</v>
      </c>
      <c r="CP187" s="2">
        <v>1</v>
      </c>
      <c r="CQ187" s="2">
        <v>1</v>
      </c>
      <c r="CR187" s="2">
        <v>1</v>
      </c>
      <c r="CS187" s="2">
        <v>1.5</v>
      </c>
      <c r="CT187" s="2">
        <v>1</v>
      </c>
      <c r="CU187" s="2">
        <v>1</v>
      </c>
      <c r="CW187" s="2">
        <v>4</v>
      </c>
      <c r="CX187" s="2">
        <v>4</v>
      </c>
      <c r="CY187" s="2">
        <v>5.5</v>
      </c>
      <c r="CZ187" s="2">
        <v>4</v>
      </c>
      <c r="DA187" s="2" t="s">
        <v>356</v>
      </c>
      <c r="DB187" s="2">
        <v>7</v>
      </c>
      <c r="DC187" s="2">
        <v>3</v>
      </c>
      <c r="DD187" s="2" t="s">
        <v>356</v>
      </c>
      <c r="DE187" s="206">
        <f t="shared" si="573"/>
        <v>4.00000000004</v>
      </c>
      <c r="DF187" s="206">
        <f t="shared" si="574"/>
        <v>4.00000000002</v>
      </c>
      <c r="DG187" s="206">
        <f t="shared" si="688"/>
        <v>5.50000000003</v>
      </c>
      <c r="DH187" s="206">
        <f t="shared" si="689"/>
        <v>4.00000000001</v>
      </c>
      <c r="DI187" s="206">
        <f t="shared" si="690"/>
        <v>0</v>
      </c>
      <c r="DJ187" s="206">
        <f t="shared" si="691"/>
        <v>7.00000000006</v>
      </c>
      <c r="DK187" s="206">
        <f t="shared" si="692"/>
        <v>3.00000000007</v>
      </c>
      <c r="DL187" s="206">
        <f t="shared" si="693"/>
        <v>0</v>
      </c>
      <c r="DM187" s="2">
        <f t="shared" si="694"/>
        <v>4.00000000004</v>
      </c>
      <c r="DN187" s="2">
        <f t="shared" si="726"/>
        <v>6.00000000003</v>
      </c>
      <c r="DO187" s="2">
        <f t="shared" si="727"/>
        <v>5.50000000003</v>
      </c>
      <c r="DP187" s="2">
        <f t="shared" si="728"/>
        <v>4.00000000001</v>
      </c>
      <c r="DQ187" s="2">
        <f t="shared" si="729"/>
        <v>0</v>
      </c>
      <c r="DR187" s="2">
        <f t="shared" si="730"/>
        <v>10.500000000090001</v>
      </c>
      <c r="DS187" s="2">
        <f t="shared" si="731"/>
        <v>3.00000000007</v>
      </c>
      <c r="DT187" s="2">
        <f t="shared" si="732"/>
        <v>0</v>
      </c>
      <c r="DU187" s="2" t="b">
        <f t="shared" si="733"/>
        <v>1</v>
      </c>
      <c r="DV187" s="2" t="b">
        <f t="shared" si="734"/>
        <v>1</v>
      </c>
      <c r="DW187" s="2" t="b">
        <f t="shared" si="735"/>
        <v>1</v>
      </c>
      <c r="DX187" s="2" t="b">
        <f t="shared" si="736"/>
        <v>1</v>
      </c>
      <c r="DY187" s="2" t="b">
        <f t="shared" si="737"/>
        <v>0</v>
      </c>
      <c r="DZ187" s="2" t="b">
        <f t="shared" si="738"/>
        <v>1</v>
      </c>
      <c r="EA187" s="2" t="b">
        <f t="shared" si="739"/>
        <v>0</v>
      </c>
      <c r="EB187" s="2" t="b">
        <f t="shared" si="740"/>
        <v>0</v>
      </c>
      <c r="EC187" s="2">
        <v>1</v>
      </c>
      <c r="ED187" s="2">
        <v>1.5</v>
      </c>
      <c r="EE187" s="2">
        <v>1</v>
      </c>
      <c r="EF187" s="2">
        <v>1</v>
      </c>
      <c r="EG187" s="2">
        <v>1</v>
      </c>
      <c r="EH187" s="2">
        <v>1.5</v>
      </c>
      <c r="EI187" s="2">
        <v>1</v>
      </c>
      <c r="EJ187" s="2">
        <v>1</v>
      </c>
      <c r="EK187" s="2">
        <v>5.5</v>
      </c>
      <c r="EL187" s="2">
        <v>5.5</v>
      </c>
      <c r="EM187" s="2">
        <v>4</v>
      </c>
      <c r="EN187" s="2">
        <v>4</v>
      </c>
      <c r="EO187" s="2" t="s">
        <v>356</v>
      </c>
      <c r="EP187" s="2">
        <v>5.5</v>
      </c>
      <c r="EQ187" s="2">
        <v>5.5</v>
      </c>
      <c r="ER187" s="2" t="s">
        <v>356</v>
      </c>
      <c r="ES187" s="206">
        <f t="shared" si="581"/>
        <v>5.50000000004</v>
      </c>
      <c r="ET187" s="206">
        <f t="shared" si="582"/>
        <v>5.50000000002</v>
      </c>
      <c r="EU187" s="206">
        <f t="shared" si="583"/>
        <v>4.00000000003</v>
      </c>
      <c r="EV187" s="206">
        <f t="shared" si="584"/>
        <v>4.00000000001</v>
      </c>
      <c r="EW187" s="206">
        <f t="shared" si="585"/>
        <v>0</v>
      </c>
      <c r="EX187" s="206">
        <f t="shared" si="586"/>
        <v>5.50000000006</v>
      </c>
      <c r="EY187" s="206">
        <f t="shared" si="587"/>
        <v>5.50000000007</v>
      </c>
      <c r="EZ187" s="206">
        <f t="shared" si="588"/>
        <v>0</v>
      </c>
      <c r="FA187" s="2">
        <f t="shared" ref="FA187:FA197" si="749">ES187*EC187</f>
        <v>5.50000000004</v>
      </c>
      <c r="FB187" s="2">
        <f t="shared" si="626"/>
        <v>8.2500000000299991</v>
      </c>
      <c r="FC187" s="2">
        <f t="shared" si="627"/>
        <v>4.00000000003</v>
      </c>
      <c r="FD187" s="2">
        <f t="shared" si="628"/>
        <v>4.00000000001</v>
      </c>
      <c r="FE187" s="2">
        <f t="shared" si="629"/>
        <v>0</v>
      </c>
      <c r="FF187" s="2">
        <f t="shared" si="630"/>
        <v>8.2500000000900009</v>
      </c>
      <c r="FG187" s="2">
        <f t="shared" si="631"/>
        <v>5.50000000007</v>
      </c>
      <c r="FH187" s="2">
        <f t="shared" si="632"/>
        <v>0</v>
      </c>
      <c r="FI187" s="2" t="b">
        <f t="shared" si="741"/>
        <v>1</v>
      </c>
      <c r="FJ187" s="2" t="b">
        <f t="shared" si="742"/>
        <v>1</v>
      </c>
      <c r="FK187" s="2" t="b">
        <f t="shared" si="743"/>
        <v>1</v>
      </c>
      <c r="FL187" s="2" t="b">
        <f t="shared" si="744"/>
        <v>0</v>
      </c>
      <c r="FM187" s="2" t="b">
        <f t="shared" si="745"/>
        <v>0</v>
      </c>
      <c r="FN187" s="2" t="b">
        <f t="shared" si="746"/>
        <v>1</v>
      </c>
      <c r="FO187" s="2" t="b">
        <f t="shared" si="747"/>
        <v>1</v>
      </c>
      <c r="FP187" s="2" t="b">
        <f t="shared" si="748"/>
        <v>0</v>
      </c>
    </row>
    <row r="188" spans="1:172" ht="15.6">
      <c r="A188" s="2" t="s">
        <v>1527</v>
      </c>
      <c r="B188" s="2" t="s">
        <v>255</v>
      </c>
      <c r="C188" s="2" t="s">
        <v>1137</v>
      </c>
      <c r="D188" s="2" t="s">
        <v>1528</v>
      </c>
      <c r="E188" s="2" t="s">
        <v>889</v>
      </c>
      <c r="F188" s="2" t="s">
        <v>356</v>
      </c>
      <c r="G188" s="2">
        <v>27.5</v>
      </c>
      <c r="H188" s="2">
        <v>24.5</v>
      </c>
      <c r="I188" s="2">
        <v>24.5</v>
      </c>
      <c r="J188" s="2">
        <f t="shared" si="562"/>
        <v>27.500000000269999</v>
      </c>
      <c r="K188" s="2">
        <f t="shared" si="563"/>
        <v>24.50000000028</v>
      </c>
      <c r="L188" s="2">
        <f t="shared" si="564"/>
        <v>24.500000000209997</v>
      </c>
      <c r="M188" s="364" t="s">
        <v>356</v>
      </c>
      <c r="N188" s="364" t="s">
        <v>356</v>
      </c>
      <c r="O188" s="364" t="s">
        <v>356</v>
      </c>
      <c r="P188" s="364" t="s">
        <v>356</v>
      </c>
      <c r="Q188" s="364" t="s">
        <v>356</v>
      </c>
      <c r="R188" s="2" t="s">
        <v>1529</v>
      </c>
      <c r="S188" s="2" t="s">
        <v>1177</v>
      </c>
      <c r="T188" s="2">
        <v>19</v>
      </c>
      <c r="U188" s="2" cm="1">
        <f t="array" ref="U188">IFERROR(INDEX('Offer Statistics'!$BQ$2:$BQ$400,MATCH(1,(A188='Offer Statistics'!$BB$2:$BB$400)*($A$11='Offer Statistics'!$BC$2:$BC$400),0)),"/")</f>
        <v>27</v>
      </c>
      <c r="V188" s="2" cm="1">
        <f t="array" ref="V188">IFERROR(INDEX('Offer Statistics'!$BD$2:$BD$400,MATCH(1,(A188='Offer Statistics'!$BB$2:$BB$400)*($A$11='Offer Statistics'!$BC$2:$BC$400),0)),"/")</f>
        <v>176</v>
      </c>
      <c r="W188" s="2" cm="1">
        <f t="array" ref="W188">IFERROR(INDEX('Offer Statistics'!$BL$2:$BL$400,MATCH(1,(A188='Offer Statistics'!$BB$2:$BB$400)*($A$11='Offer Statistics'!$BC$2:$BC$400),0)),"/")</f>
        <v>27</v>
      </c>
      <c r="X188" s="2">
        <f t="shared" si="502"/>
        <v>6.5185185185185182</v>
      </c>
      <c r="Y188" s="2" t="s">
        <v>1177</v>
      </c>
      <c r="Z188" s="364" t="str">
        <f>入學要求!AF197</f>
        <v>/</v>
      </c>
      <c r="AA188" s="364" t="str">
        <f>入學要求!AG197</f>
        <v>/</v>
      </c>
      <c r="AB188" s="368" t="s">
        <v>889</v>
      </c>
      <c r="AC188" s="368"/>
      <c r="AD188" s="368"/>
      <c r="AE188" s="368" t="s">
        <v>356</v>
      </c>
      <c r="AF188" s="368" t="s">
        <v>356</v>
      </c>
      <c r="AG188" s="368" t="s">
        <v>356</v>
      </c>
      <c r="AH188" s="368" t="s">
        <v>356</v>
      </c>
      <c r="AI188" s="368" t="s">
        <v>356</v>
      </c>
      <c r="AJ188" s="2" t="s">
        <v>356</v>
      </c>
      <c r="AK188" s="2" t="s">
        <v>356</v>
      </c>
      <c r="AL188" s="2" t="s">
        <v>356</v>
      </c>
      <c r="AM188" s="2" t="s">
        <v>356</v>
      </c>
      <c r="AN188" s="2" t="s">
        <v>356</v>
      </c>
      <c r="AO188" s="2" t="s">
        <v>356</v>
      </c>
      <c r="AP188" s="2" t="s">
        <v>356</v>
      </c>
      <c r="AQ188" s="2" t="s">
        <v>356</v>
      </c>
      <c r="AS188" s="2" t="s">
        <v>820</v>
      </c>
      <c r="AU188" s="2" t="s">
        <v>817</v>
      </c>
      <c r="AY188" s="2">
        <v>1</v>
      </c>
      <c r="AZ188" s="2">
        <v>1</v>
      </c>
      <c r="BA188" s="2">
        <v>1</v>
      </c>
      <c r="BB188" s="2">
        <v>1</v>
      </c>
      <c r="BC188" s="2">
        <v>1</v>
      </c>
      <c r="BD188" s="2">
        <v>1</v>
      </c>
      <c r="BE188" s="2">
        <v>1</v>
      </c>
      <c r="BF188" s="2">
        <v>1</v>
      </c>
      <c r="BG188" s="2" t="s">
        <v>1527</v>
      </c>
      <c r="BH188">
        <v>4</v>
      </c>
      <c r="BI188">
        <v>3</v>
      </c>
      <c r="BJ188">
        <v>4</v>
      </c>
      <c r="BK188">
        <v>4</v>
      </c>
      <c r="BL188" t="s">
        <v>356</v>
      </c>
      <c r="BM188">
        <v>7</v>
      </c>
      <c r="BN188">
        <v>5.5</v>
      </c>
      <c r="BO188" t="s">
        <v>356</v>
      </c>
      <c r="BP188" s="206">
        <f t="shared" si="565"/>
        <v>4.00000000004</v>
      </c>
      <c r="BQ188" s="206">
        <f t="shared" si="566"/>
        <v>3.00000000002</v>
      </c>
      <c r="BR188" s="206">
        <f t="shared" si="567"/>
        <v>4.00000000003</v>
      </c>
      <c r="BS188" s="206">
        <f t="shared" si="568"/>
        <v>4.00000000001</v>
      </c>
      <c r="BT188" s="206">
        <f t="shared" si="569"/>
        <v>0</v>
      </c>
      <c r="BU188" s="206">
        <f t="shared" si="570"/>
        <v>7.00000000006</v>
      </c>
      <c r="BV188" s="206">
        <f t="shared" si="571"/>
        <v>5.50000000007</v>
      </c>
      <c r="BW188" s="206">
        <f t="shared" si="572"/>
        <v>0</v>
      </c>
      <c r="BX188" s="2">
        <f t="shared" si="710"/>
        <v>4.00000000004</v>
      </c>
      <c r="BY188" s="2">
        <f t="shared" si="711"/>
        <v>3.00000000002</v>
      </c>
      <c r="BZ188" s="2">
        <f t="shared" si="712"/>
        <v>4.00000000003</v>
      </c>
      <c r="CA188" s="2">
        <f t="shared" si="713"/>
        <v>4.00000000001</v>
      </c>
      <c r="CB188" s="2">
        <f t="shared" si="714"/>
        <v>0</v>
      </c>
      <c r="CC188" s="2">
        <f t="shared" si="715"/>
        <v>7.00000000006</v>
      </c>
      <c r="CD188" s="2">
        <f t="shared" si="716"/>
        <v>5.50000000007</v>
      </c>
      <c r="CE188" s="2">
        <f t="shared" si="717"/>
        <v>0</v>
      </c>
      <c r="CF188" s="2" t="b">
        <f t="shared" si="718"/>
        <v>1</v>
      </c>
      <c r="CG188" s="2" t="b">
        <f t="shared" si="719"/>
        <v>0</v>
      </c>
      <c r="CH188" s="2" t="b">
        <f t="shared" si="720"/>
        <v>1</v>
      </c>
      <c r="CI188" s="2" t="b">
        <f t="shared" si="721"/>
        <v>1</v>
      </c>
      <c r="CJ188" s="2" t="b">
        <f t="shared" si="722"/>
        <v>0</v>
      </c>
      <c r="CK188" s="2" t="b">
        <f t="shared" si="723"/>
        <v>1</v>
      </c>
      <c r="CL188" s="2" t="b">
        <f t="shared" si="724"/>
        <v>1</v>
      </c>
      <c r="CM188" s="2" t="b">
        <f t="shared" si="725"/>
        <v>0</v>
      </c>
      <c r="CN188" s="2">
        <v>1</v>
      </c>
      <c r="CO188" s="2">
        <v>1</v>
      </c>
      <c r="CP188" s="2">
        <v>1</v>
      </c>
      <c r="CQ188" s="2">
        <v>1</v>
      </c>
      <c r="CR188" s="2">
        <v>1</v>
      </c>
      <c r="CS188" s="2">
        <v>1</v>
      </c>
      <c r="CT188" s="2">
        <v>1</v>
      </c>
      <c r="CU188" s="2">
        <v>1</v>
      </c>
      <c r="CW188" s="2">
        <v>4</v>
      </c>
      <c r="CX188" s="2">
        <v>4</v>
      </c>
      <c r="CY188" s="2">
        <v>4</v>
      </c>
      <c r="CZ188" s="2">
        <v>3</v>
      </c>
      <c r="DA188" s="2" t="s">
        <v>356</v>
      </c>
      <c r="DB188" s="2">
        <v>5.5</v>
      </c>
      <c r="DC188" s="2">
        <v>5.5</v>
      </c>
      <c r="DD188" s="2">
        <v>5.5</v>
      </c>
      <c r="DE188" s="206">
        <f t="shared" si="573"/>
        <v>4.00000000004</v>
      </c>
      <c r="DF188" s="206">
        <f t="shared" si="574"/>
        <v>4.00000000002</v>
      </c>
      <c r="DG188" s="206">
        <f t="shared" si="688"/>
        <v>4.00000000003</v>
      </c>
      <c r="DH188" s="206">
        <f t="shared" si="689"/>
        <v>3.00000000001</v>
      </c>
      <c r="DI188" s="206">
        <f t="shared" si="690"/>
        <v>0</v>
      </c>
      <c r="DJ188" s="206">
        <f t="shared" si="691"/>
        <v>5.50000000006</v>
      </c>
      <c r="DK188" s="206">
        <f t="shared" si="692"/>
        <v>5.50000000007</v>
      </c>
      <c r="DL188" s="206">
        <f t="shared" si="693"/>
        <v>5.50000000008</v>
      </c>
      <c r="DM188" s="2">
        <f t="shared" si="694"/>
        <v>4.00000000004</v>
      </c>
      <c r="DN188" s="2">
        <f t="shared" si="726"/>
        <v>4.00000000002</v>
      </c>
      <c r="DO188" s="2">
        <f t="shared" si="727"/>
        <v>4.00000000003</v>
      </c>
      <c r="DP188" s="2">
        <f t="shared" si="728"/>
        <v>3.00000000001</v>
      </c>
      <c r="DQ188" s="2">
        <f t="shared" si="729"/>
        <v>0</v>
      </c>
      <c r="DR188" s="2">
        <f t="shared" si="730"/>
        <v>5.50000000006</v>
      </c>
      <c r="DS188" s="2">
        <f t="shared" si="731"/>
        <v>5.50000000007</v>
      </c>
      <c r="DT188" s="2">
        <f t="shared" si="732"/>
        <v>5.50000000008</v>
      </c>
      <c r="DU188" s="2" t="b">
        <f t="shared" si="733"/>
        <v>1</v>
      </c>
      <c r="DV188" s="2" t="b">
        <f t="shared" si="734"/>
        <v>0</v>
      </c>
      <c r="DW188" s="2" t="b">
        <f t="shared" si="735"/>
        <v>1</v>
      </c>
      <c r="DX188" s="2" t="b">
        <f t="shared" si="736"/>
        <v>0</v>
      </c>
      <c r="DY188" s="2" t="b">
        <f t="shared" si="737"/>
        <v>0</v>
      </c>
      <c r="DZ188" s="2" t="b">
        <f t="shared" si="738"/>
        <v>1</v>
      </c>
      <c r="EA188" s="2" t="b">
        <f t="shared" si="739"/>
        <v>1</v>
      </c>
      <c r="EB188" s="2" t="b">
        <f t="shared" si="740"/>
        <v>1</v>
      </c>
      <c r="EC188" s="2">
        <v>1</v>
      </c>
      <c r="ED188" s="2">
        <v>1</v>
      </c>
      <c r="EE188" s="2">
        <v>1</v>
      </c>
      <c r="EF188" s="2">
        <v>1</v>
      </c>
      <c r="EG188" s="2">
        <v>1</v>
      </c>
      <c r="EH188" s="2">
        <v>1</v>
      </c>
      <c r="EI188" s="2">
        <v>1</v>
      </c>
      <c r="EJ188" s="2">
        <v>1</v>
      </c>
      <c r="EK188" s="2">
        <v>7</v>
      </c>
      <c r="EL188" s="2">
        <v>8.5</v>
      </c>
      <c r="EM188" s="2">
        <v>3</v>
      </c>
      <c r="EN188" s="2">
        <v>4</v>
      </c>
      <c r="EO188" s="2" t="s">
        <v>356</v>
      </c>
      <c r="EP188" s="2">
        <v>4</v>
      </c>
      <c r="EQ188" s="2">
        <v>4</v>
      </c>
      <c r="ER188" s="2">
        <v>4</v>
      </c>
      <c r="ES188" s="206">
        <f t="shared" si="581"/>
        <v>7.00000000004</v>
      </c>
      <c r="ET188" s="206">
        <f t="shared" si="582"/>
        <v>8.50000000002</v>
      </c>
      <c r="EU188" s="206">
        <f t="shared" si="583"/>
        <v>3.00000000003</v>
      </c>
      <c r="EV188" s="206">
        <f t="shared" si="584"/>
        <v>4.00000000001</v>
      </c>
      <c r="EW188" s="206">
        <f t="shared" si="585"/>
        <v>0</v>
      </c>
      <c r="EX188" s="206">
        <f t="shared" si="586"/>
        <v>4.00000000006</v>
      </c>
      <c r="EY188" s="206">
        <f t="shared" si="587"/>
        <v>4.00000000007</v>
      </c>
      <c r="EZ188" s="206">
        <f t="shared" si="588"/>
        <v>4.00000000008</v>
      </c>
      <c r="FA188" s="2">
        <f t="shared" si="749"/>
        <v>7.00000000004</v>
      </c>
      <c r="FB188" s="2">
        <f t="shared" si="626"/>
        <v>8.50000000002</v>
      </c>
      <c r="FC188" s="2">
        <f t="shared" si="627"/>
        <v>3.00000000003</v>
      </c>
      <c r="FD188" s="2">
        <f t="shared" si="628"/>
        <v>4.00000000001</v>
      </c>
      <c r="FE188" s="2">
        <f t="shared" si="629"/>
        <v>0</v>
      </c>
      <c r="FF188" s="2">
        <f t="shared" si="630"/>
        <v>4.00000000006</v>
      </c>
      <c r="FG188" s="2">
        <f t="shared" si="631"/>
        <v>4.00000000007</v>
      </c>
      <c r="FH188" s="2">
        <f t="shared" si="632"/>
        <v>4.00000000008</v>
      </c>
      <c r="FI188" s="2" t="b">
        <f t="shared" si="741"/>
        <v>1</v>
      </c>
      <c r="FJ188" s="2" t="b">
        <f t="shared" si="742"/>
        <v>1</v>
      </c>
      <c r="FK188" s="2" t="b">
        <f t="shared" si="743"/>
        <v>0</v>
      </c>
      <c r="FL188" s="2" t="b">
        <f t="shared" si="744"/>
        <v>0</v>
      </c>
      <c r="FM188" s="2" t="b">
        <f t="shared" si="745"/>
        <v>0</v>
      </c>
      <c r="FN188" s="2" t="b">
        <f t="shared" si="746"/>
        <v>1</v>
      </c>
      <c r="FO188" s="2" t="b">
        <f t="shared" si="747"/>
        <v>1</v>
      </c>
      <c r="FP188" s="2" t="b">
        <f t="shared" si="748"/>
        <v>1</v>
      </c>
    </row>
    <row r="189" spans="1:172" s="427" customFormat="1" ht="15.6">
      <c r="A189" s="427" t="s">
        <v>1530</v>
      </c>
      <c r="B189" s="427" t="s">
        <v>255</v>
      </c>
      <c r="C189" s="427" t="s">
        <v>1137</v>
      </c>
      <c r="D189" s="427" t="s">
        <v>1531</v>
      </c>
      <c r="E189" s="427" t="s">
        <v>889</v>
      </c>
      <c r="F189" s="427" t="s">
        <v>356</v>
      </c>
      <c r="G189" s="427">
        <v>27.75</v>
      </c>
      <c r="H189" s="427">
        <v>27.375</v>
      </c>
      <c r="I189" s="427">
        <v>26.75</v>
      </c>
      <c r="J189" s="427">
        <f t="shared" si="562"/>
        <v>27.750000000242498</v>
      </c>
      <c r="K189" s="427">
        <f t="shared" si="563"/>
        <v>27.375000000222496</v>
      </c>
      <c r="L189" s="427">
        <f t="shared" si="564"/>
        <v>26.750000000222496</v>
      </c>
      <c r="M189" s="427" t="s">
        <v>356</v>
      </c>
      <c r="N189" s="427" t="s">
        <v>356</v>
      </c>
      <c r="O189" s="427" t="s">
        <v>836</v>
      </c>
      <c r="P189" s="427" t="s">
        <v>1533</v>
      </c>
      <c r="Q189" s="427" t="s">
        <v>356</v>
      </c>
      <c r="R189" s="427" t="s">
        <v>1532</v>
      </c>
      <c r="S189" s="427" t="s">
        <v>1177</v>
      </c>
      <c r="T189" s="427">
        <v>37</v>
      </c>
      <c r="U189" s="427" cm="1">
        <f t="array" ref="U189">IFERROR(INDEX('Offer Statistics'!$BQ$2:$BQ$400,MATCH(1,(A189='Offer Statistics'!$BB$2:$BB$400)*($A$11='Offer Statistics'!$BC$2:$BC$400),0)),"/")</f>
        <v>34</v>
      </c>
      <c r="V189" s="427" cm="1">
        <f t="array" ref="V189">IFERROR(INDEX('Offer Statistics'!$BD$2:$BD$400,MATCH(1,(A189='Offer Statistics'!$BB$2:$BB$400)*($A$11='Offer Statistics'!$BC$2:$BC$400),0)),"/")</f>
        <v>319</v>
      </c>
      <c r="W189" s="427" cm="1">
        <f t="array" ref="W189">IFERROR(INDEX('Offer Statistics'!$BL$2:$BL$400,MATCH(1,(A189='Offer Statistics'!$BB$2:$BB$400)*($A$11='Offer Statistics'!$BC$2:$BC$400),0)),"/")</f>
        <v>34</v>
      </c>
      <c r="X189" s="427">
        <f t="shared" si="502"/>
        <v>9.382352941176471</v>
      </c>
      <c r="Y189" s="427" t="s">
        <v>1177</v>
      </c>
      <c r="Z189" s="364" t="str">
        <f>入學要求!AF198</f>
        <v>/</v>
      </c>
      <c r="AA189" s="364" t="str">
        <f>入學要求!AG198</f>
        <v>/</v>
      </c>
      <c r="AB189" s="405" t="s">
        <v>889</v>
      </c>
      <c r="AC189" s="427" t="s">
        <v>2855</v>
      </c>
      <c r="AE189" s="406" t="s">
        <v>356</v>
      </c>
      <c r="AF189" s="406" t="s">
        <v>356</v>
      </c>
      <c r="AG189" s="406" t="s">
        <v>836</v>
      </c>
      <c r="AH189" s="405" t="s">
        <v>3027</v>
      </c>
      <c r="AI189" s="406" t="s">
        <v>356</v>
      </c>
      <c r="AJ189" s="427" t="s">
        <v>356</v>
      </c>
      <c r="AK189" s="427" t="s">
        <v>356</v>
      </c>
      <c r="AL189" s="427" t="s">
        <v>356</v>
      </c>
      <c r="AM189" s="427" t="s">
        <v>356</v>
      </c>
      <c r="AN189" s="427" t="s">
        <v>356</v>
      </c>
      <c r="AO189" s="427" t="s">
        <v>356</v>
      </c>
      <c r="AP189" s="427" t="s">
        <v>356</v>
      </c>
      <c r="AQ189" s="427" t="s">
        <v>356</v>
      </c>
      <c r="AS189" s="427" t="s">
        <v>820</v>
      </c>
      <c r="AU189" s="427" t="s">
        <v>1427</v>
      </c>
      <c r="AY189" s="427">
        <v>1.25</v>
      </c>
      <c r="AZ189" s="427">
        <v>1.5</v>
      </c>
      <c r="BA189" s="427">
        <v>1</v>
      </c>
      <c r="BB189" s="427">
        <v>1.25</v>
      </c>
      <c r="BC189" s="427">
        <v>1</v>
      </c>
      <c r="BD189" s="427">
        <v>1</v>
      </c>
      <c r="BE189" s="427">
        <v>1</v>
      </c>
      <c r="BF189" s="427">
        <v>1</v>
      </c>
      <c r="BG189" s="427" t="s">
        <v>1530</v>
      </c>
      <c r="BH189" s="428">
        <v>7</v>
      </c>
      <c r="BI189" s="428">
        <v>3</v>
      </c>
      <c r="BJ189" s="428">
        <v>3</v>
      </c>
      <c r="BK189" s="428">
        <v>4</v>
      </c>
      <c r="BL189" s="428" t="s">
        <v>356</v>
      </c>
      <c r="BM189" s="428">
        <v>5.5</v>
      </c>
      <c r="BN189" s="428">
        <v>3</v>
      </c>
      <c r="BO189" s="428" t="s">
        <v>356</v>
      </c>
      <c r="BP189" s="429">
        <f t="shared" si="565"/>
        <v>7.00000000004</v>
      </c>
      <c r="BQ189" s="429">
        <f t="shared" si="566"/>
        <v>3.00000000002</v>
      </c>
      <c r="BR189" s="429">
        <f t="shared" si="567"/>
        <v>3.00000000003</v>
      </c>
      <c r="BS189" s="429">
        <f t="shared" si="568"/>
        <v>4.00000000001</v>
      </c>
      <c r="BT189" s="429">
        <f t="shared" si="569"/>
        <v>0</v>
      </c>
      <c r="BU189" s="429">
        <f t="shared" si="570"/>
        <v>5.50000000006</v>
      </c>
      <c r="BV189" s="429">
        <f t="shared" si="571"/>
        <v>3.00000000007</v>
      </c>
      <c r="BW189" s="429">
        <f t="shared" si="572"/>
        <v>0</v>
      </c>
      <c r="BX189" s="427">
        <f t="shared" si="710"/>
        <v>8.7500000000500009</v>
      </c>
      <c r="BY189" s="427">
        <f t="shared" si="711"/>
        <v>4.50000000003</v>
      </c>
      <c r="BZ189" s="427">
        <f t="shared" si="712"/>
        <v>3.00000000003</v>
      </c>
      <c r="CA189" s="427">
        <f t="shared" si="713"/>
        <v>5.0000000000125002</v>
      </c>
      <c r="CB189" s="427">
        <f t="shared" si="714"/>
        <v>0</v>
      </c>
      <c r="CC189" s="427">
        <f t="shared" si="715"/>
        <v>5.50000000006</v>
      </c>
      <c r="CD189" s="427">
        <f t="shared" si="716"/>
        <v>3.00000000007</v>
      </c>
      <c r="CE189" s="427">
        <f t="shared" si="717"/>
        <v>0</v>
      </c>
      <c r="CF189" s="427" t="b">
        <f t="shared" si="718"/>
        <v>1</v>
      </c>
      <c r="CG189" s="427" t="b">
        <f t="shared" si="719"/>
        <v>1</v>
      </c>
      <c r="CH189" s="427" t="b">
        <f t="shared" si="720"/>
        <v>0</v>
      </c>
      <c r="CI189" s="427" t="b">
        <f t="shared" si="721"/>
        <v>1</v>
      </c>
      <c r="CJ189" s="427" t="b">
        <f t="shared" si="722"/>
        <v>0</v>
      </c>
      <c r="CK189" s="427" t="b">
        <f t="shared" si="723"/>
        <v>1</v>
      </c>
      <c r="CL189" s="427" t="b">
        <f t="shared" si="724"/>
        <v>1</v>
      </c>
      <c r="CM189" s="427" t="b">
        <f t="shared" si="725"/>
        <v>0</v>
      </c>
      <c r="CN189" s="427">
        <v>1.25</v>
      </c>
      <c r="CO189" s="427">
        <v>1.5</v>
      </c>
      <c r="CP189" s="427">
        <v>1</v>
      </c>
      <c r="CQ189" s="427">
        <v>1.25</v>
      </c>
      <c r="CR189" s="427">
        <v>1</v>
      </c>
      <c r="CS189" s="427">
        <v>1</v>
      </c>
      <c r="CT189" s="427">
        <v>1</v>
      </c>
      <c r="CU189" s="427">
        <v>1</v>
      </c>
      <c r="CW189" s="427">
        <v>5.5</v>
      </c>
      <c r="CX189" s="427">
        <v>4</v>
      </c>
      <c r="CY189" s="427">
        <v>4</v>
      </c>
      <c r="CZ189" s="427">
        <v>4</v>
      </c>
      <c r="DA189" s="427" t="s">
        <v>356</v>
      </c>
      <c r="DB189" s="427">
        <v>5.5</v>
      </c>
      <c r="DC189" s="427">
        <v>4</v>
      </c>
      <c r="DD189" s="427" t="s">
        <v>356</v>
      </c>
      <c r="DE189" s="429">
        <f t="shared" si="573"/>
        <v>5.50000000004</v>
      </c>
      <c r="DF189" s="429">
        <f t="shared" si="574"/>
        <v>4.00000000002</v>
      </c>
      <c r="DG189" s="429">
        <f t="shared" si="688"/>
        <v>4.00000000003</v>
      </c>
      <c r="DH189" s="429">
        <f t="shared" si="689"/>
        <v>4.00000000001</v>
      </c>
      <c r="DI189" s="429">
        <f t="shared" si="690"/>
        <v>0</v>
      </c>
      <c r="DJ189" s="429">
        <f t="shared" si="691"/>
        <v>5.50000000006</v>
      </c>
      <c r="DK189" s="429">
        <f t="shared" si="692"/>
        <v>4.00000000007</v>
      </c>
      <c r="DL189" s="429">
        <f t="shared" si="693"/>
        <v>0</v>
      </c>
      <c r="DM189" s="427">
        <f t="shared" si="694"/>
        <v>6.87500000005</v>
      </c>
      <c r="DN189" s="427">
        <f t="shared" si="726"/>
        <v>6.00000000003</v>
      </c>
      <c r="DO189" s="427">
        <f t="shared" si="727"/>
        <v>4.00000000003</v>
      </c>
      <c r="DP189" s="427">
        <f t="shared" si="728"/>
        <v>5.0000000000125002</v>
      </c>
      <c r="DQ189" s="427">
        <f t="shared" si="729"/>
        <v>0</v>
      </c>
      <c r="DR189" s="427">
        <f t="shared" si="730"/>
        <v>5.50000000006</v>
      </c>
      <c r="DS189" s="427">
        <f t="shared" si="731"/>
        <v>4.00000000007</v>
      </c>
      <c r="DT189" s="427">
        <f t="shared" si="732"/>
        <v>0</v>
      </c>
      <c r="DU189" s="427" t="b">
        <f t="shared" si="733"/>
        <v>1</v>
      </c>
      <c r="DV189" s="427" t="b">
        <f t="shared" si="734"/>
        <v>1</v>
      </c>
      <c r="DW189" s="427" t="b">
        <f t="shared" si="735"/>
        <v>0</v>
      </c>
      <c r="DX189" s="427" t="b">
        <f t="shared" si="736"/>
        <v>1</v>
      </c>
      <c r="DY189" s="427" t="b">
        <f t="shared" si="737"/>
        <v>0</v>
      </c>
      <c r="DZ189" s="427" t="b">
        <f t="shared" si="738"/>
        <v>1</v>
      </c>
      <c r="EA189" s="427" t="b">
        <f t="shared" si="739"/>
        <v>1</v>
      </c>
      <c r="EB189" s="427" t="b">
        <f t="shared" si="740"/>
        <v>0</v>
      </c>
      <c r="EC189" s="427">
        <v>1.25</v>
      </c>
      <c r="ED189" s="427">
        <v>1.5</v>
      </c>
      <c r="EE189" s="427">
        <v>1</v>
      </c>
      <c r="EF189" s="427">
        <v>1.25</v>
      </c>
      <c r="EG189" s="427">
        <v>1</v>
      </c>
      <c r="EH189" s="427">
        <v>1</v>
      </c>
      <c r="EI189" s="427">
        <v>1</v>
      </c>
      <c r="EJ189" s="427">
        <v>1</v>
      </c>
      <c r="EK189" s="427">
        <v>5.5</v>
      </c>
      <c r="EL189" s="427">
        <v>4</v>
      </c>
      <c r="EM189" s="427">
        <v>3</v>
      </c>
      <c r="EN189" s="427">
        <v>5.5</v>
      </c>
      <c r="EO189" s="427" t="s">
        <v>356</v>
      </c>
      <c r="EP189" s="427">
        <v>4</v>
      </c>
      <c r="EQ189" s="427">
        <v>4</v>
      </c>
      <c r="ER189" s="427">
        <v>4</v>
      </c>
      <c r="ES189" s="429">
        <f t="shared" si="581"/>
        <v>5.50000000004</v>
      </c>
      <c r="ET189" s="429">
        <f t="shared" si="582"/>
        <v>4.00000000002</v>
      </c>
      <c r="EU189" s="429">
        <f t="shared" si="583"/>
        <v>3.00000000003</v>
      </c>
      <c r="EV189" s="429">
        <f t="shared" si="584"/>
        <v>5.50000000001</v>
      </c>
      <c r="EW189" s="429">
        <f t="shared" si="585"/>
        <v>0</v>
      </c>
      <c r="EX189" s="429">
        <f t="shared" si="586"/>
        <v>4.00000000006</v>
      </c>
      <c r="EY189" s="429">
        <f t="shared" si="587"/>
        <v>4.00000000007</v>
      </c>
      <c r="EZ189" s="429">
        <f t="shared" si="588"/>
        <v>4.00000000008</v>
      </c>
      <c r="FA189" s="427">
        <f t="shared" si="749"/>
        <v>6.87500000005</v>
      </c>
      <c r="FB189" s="427">
        <f t="shared" si="626"/>
        <v>6.00000000003</v>
      </c>
      <c r="FC189" s="427">
        <f t="shared" si="627"/>
        <v>3.00000000003</v>
      </c>
      <c r="FD189" s="427">
        <f t="shared" si="628"/>
        <v>6.8750000000125002</v>
      </c>
      <c r="FE189" s="427">
        <f t="shared" si="629"/>
        <v>0</v>
      </c>
      <c r="FF189" s="427">
        <f t="shared" si="630"/>
        <v>4.00000000006</v>
      </c>
      <c r="FG189" s="427">
        <f t="shared" si="631"/>
        <v>4.00000000007</v>
      </c>
      <c r="FH189" s="427">
        <f t="shared" si="632"/>
        <v>4.00000000008</v>
      </c>
      <c r="FI189" s="427" t="b">
        <f t="shared" si="741"/>
        <v>1</v>
      </c>
      <c r="FJ189" s="427" t="b">
        <f t="shared" si="742"/>
        <v>1</v>
      </c>
      <c r="FK189" s="427" t="b">
        <f t="shared" si="743"/>
        <v>0</v>
      </c>
      <c r="FL189" s="427" t="b">
        <f t="shared" si="744"/>
        <v>1</v>
      </c>
      <c r="FM189" s="427" t="b">
        <f t="shared" si="745"/>
        <v>0</v>
      </c>
      <c r="FN189" s="427" t="b">
        <f t="shared" si="746"/>
        <v>0</v>
      </c>
      <c r="FO189" s="427" t="b">
        <f t="shared" si="747"/>
        <v>1</v>
      </c>
      <c r="FP189" s="427" t="b">
        <f t="shared" si="748"/>
        <v>1</v>
      </c>
    </row>
    <row r="190" spans="1:172" ht="15.6">
      <c r="A190" s="2" t="s">
        <v>1534</v>
      </c>
      <c r="B190" s="2" t="s">
        <v>255</v>
      </c>
      <c r="C190" s="2" t="s">
        <v>1137</v>
      </c>
      <c r="D190" s="2" t="s">
        <v>1535</v>
      </c>
      <c r="E190" s="2" t="s">
        <v>889</v>
      </c>
      <c r="F190" s="2" t="s">
        <v>356</v>
      </c>
      <c r="G190" s="2">
        <v>32.75</v>
      </c>
      <c r="H190" s="2">
        <v>30.65</v>
      </c>
      <c r="I190" s="2">
        <v>28.85</v>
      </c>
      <c r="J190" s="2">
        <f t="shared" si="562"/>
        <v>32.750000000287997</v>
      </c>
      <c r="K190" s="2">
        <f t="shared" si="563"/>
        <v>30.650000000176</v>
      </c>
      <c r="L190" s="2">
        <f t="shared" si="564"/>
        <v>28.850000000248002</v>
      </c>
      <c r="M190" s="364" t="s">
        <v>356</v>
      </c>
      <c r="N190" s="364" t="s">
        <v>356</v>
      </c>
      <c r="O190" s="364" t="s">
        <v>1537</v>
      </c>
      <c r="P190" s="364" t="s">
        <v>356</v>
      </c>
      <c r="Q190" s="364" t="s">
        <v>356</v>
      </c>
      <c r="R190" s="2" t="s">
        <v>1536</v>
      </c>
      <c r="S190" s="2" t="s">
        <v>1177</v>
      </c>
      <c r="T190" s="2">
        <v>43</v>
      </c>
      <c r="U190" s="2" cm="1">
        <f t="array" ref="U190">IFERROR(INDEX('Offer Statistics'!$BQ$2:$BQ$400,MATCH(1,(A190='Offer Statistics'!$BB$2:$BB$400)*($A$11='Offer Statistics'!$BC$2:$BC$400),0)),"/")</f>
        <v>45</v>
      </c>
      <c r="V190" s="2" cm="1">
        <f t="array" ref="V190">IFERROR(INDEX('Offer Statistics'!$BD$2:$BD$400,MATCH(1,(A190='Offer Statistics'!$BB$2:$BB$400)*($A$11='Offer Statistics'!$BC$2:$BC$400),0)),"/")</f>
        <v>196</v>
      </c>
      <c r="W190" s="2" cm="1">
        <f t="array" ref="W190">IFERROR(INDEX('Offer Statistics'!$BL$2:$BL$400,MATCH(1,(A190='Offer Statistics'!$BB$2:$BB$400)*($A$11='Offer Statistics'!$BC$2:$BC$400),0)),"/")</f>
        <v>45</v>
      </c>
      <c r="X190" s="2">
        <f t="shared" si="502"/>
        <v>4.3555555555555552</v>
      </c>
      <c r="Y190" s="2" t="s">
        <v>1177</v>
      </c>
      <c r="Z190" s="364" t="str">
        <f>入學要求!AF199</f>
        <v>/</v>
      </c>
      <c r="AA190" s="364" t="str">
        <f>入學要求!AG199</f>
        <v>/</v>
      </c>
      <c r="AB190" s="401" t="s">
        <v>889</v>
      </c>
      <c r="AC190" s="368"/>
      <c r="AD190" s="368"/>
      <c r="AE190" s="368" t="s">
        <v>356</v>
      </c>
      <c r="AF190" s="368" t="s">
        <v>356</v>
      </c>
      <c r="AG190" s="368" t="s">
        <v>1537</v>
      </c>
      <c r="AH190" s="368" t="s">
        <v>356</v>
      </c>
      <c r="AI190" s="368" t="s">
        <v>356</v>
      </c>
      <c r="AJ190" s="2" t="s">
        <v>356</v>
      </c>
      <c r="AK190" s="2" t="s">
        <v>356</v>
      </c>
      <c r="AL190" s="2" t="s">
        <v>356</v>
      </c>
      <c r="AM190" s="2" t="s">
        <v>356</v>
      </c>
      <c r="AN190" s="2" t="s">
        <v>356</v>
      </c>
      <c r="AO190" s="2" t="s">
        <v>356</v>
      </c>
      <c r="AP190" s="2" t="s">
        <v>356</v>
      </c>
      <c r="AQ190" s="2" t="s">
        <v>356</v>
      </c>
      <c r="AS190" s="2" t="s">
        <v>820</v>
      </c>
      <c r="AU190" s="2" t="s">
        <v>817</v>
      </c>
      <c r="AY190" s="2">
        <v>1.3</v>
      </c>
      <c r="AZ190" s="2">
        <v>1.3</v>
      </c>
      <c r="BA190" s="2">
        <v>1</v>
      </c>
      <c r="BB190" s="2">
        <v>1</v>
      </c>
      <c r="BC190" s="2">
        <v>1</v>
      </c>
      <c r="BD190" s="2">
        <v>1</v>
      </c>
      <c r="BE190" s="2">
        <v>1</v>
      </c>
      <c r="BF190" s="2">
        <v>1</v>
      </c>
      <c r="BG190" s="2" t="s">
        <v>1534</v>
      </c>
      <c r="BH190">
        <v>5.5</v>
      </c>
      <c r="BI190">
        <v>4</v>
      </c>
      <c r="BJ190">
        <v>7</v>
      </c>
      <c r="BK190">
        <v>4</v>
      </c>
      <c r="BL190">
        <v>4</v>
      </c>
      <c r="BM190">
        <v>5.5</v>
      </c>
      <c r="BN190">
        <v>4</v>
      </c>
      <c r="BO190">
        <v>4</v>
      </c>
      <c r="BP190" s="206">
        <f t="shared" si="565"/>
        <v>5.50000000004</v>
      </c>
      <c r="BQ190" s="206">
        <f t="shared" si="566"/>
        <v>4.00000000002</v>
      </c>
      <c r="BR190" s="206">
        <f t="shared" si="567"/>
        <v>7.00000000003</v>
      </c>
      <c r="BS190" s="206">
        <f t="shared" si="568"/>
        <v>4.00000000001</v>
      </c>
      <c r="BT190" s="206">
        <f t="shared" si="569"/>
        <v>4.00000000005</v>
      </c>
      <c r="BU190" s="206">
        <f t="shared" si="570"/>
        <v>5.50000000006</v>
      </c>
      <c r="BV190" s="206">
        <f t="shared" si="571"/>
        <v>4.00000000007</v>
      </c>
      <c r="BW190" s="206">
        <f t="shared" si="572"/>
        <v>4.00000000008</v>
      </c>
      <c r="BX190" s="2">
        <f t="shared" si="710"/>
        <v>7.1500000000520005</v>
      </c>
      <c r="BY190" s="2">
        <f t="shared" si="711"/>
        <v>5.2000000000259998</v>
      </c>
      <c r="BZ190" s="2">
        <f t="shared" si="712"/>
        <v>7.00000000003</v>
      </c>
      <c r="CA190" s="2">
        <f t="shared" si="713"/>
        <v>4.00000000001</v>
      </c>
      <c r="CB190" s="2">
        <f t="shared" si="714"/>
        <v>4.00000000005</v>
      </c>
      <c r="CC190" s="2">
        <f t="shared" si="715"/>
        <v>5.50000000006</v>
      </c>
      <c r="CD190" s="2">
        <f t="shared" si="716"/>
        <v>4.00000000007</v>
      </c>
      <c r="CE190" s="2">
        <f t="shared" si="717"/>
        <v>4.00000000008</v>
      </c>
      <c r="CF190" s="2" t="b">
        <f t="shared" si="718"/>
        <v>1</v>
      </c>
      <c r="CG190" s="2" t="b">
        <f t="shared" si="719"/>
        <v>1</v>
      </c>
      <c r="CH190" s="2" t="b">
        <f t="shared" si="720"/>
        <v>1</v>
      </c>
      <c r="CI190" s="2" t="b">
        <f t="shared" si="721"/>
        <v>0</v>
      </c>
      <c r="CJ190" s="2" t="b">
        <f t="shared" si="722"/>
        <v>0</v>
      </c>
      <c r="CK190" s="2" t="b">
        <f t="shared" si="723"/>
        <v>1</v>
      </c>
      <c r="CL190" s="2" t="b">
        <f t="shared" si="724"/>
        <v>0</v>
      </c>
      <c r="CM190" s="2" t="b">
        <f t="shared" si="725"/>
        <v>1</v>
      </c>
      <c r="CN190" s="2">
        <v>1.3</v>
      </c>
      <c r="CO190" s="2">
        <v>1.3</v>
      </c>
      <c r="CP190" s="2">
        <v>1</v>
      </c>
      <c r="CQ190" s="2">
        <v>1</v>
      </c>
      <c r="CR190" s="2">
        <v>1</v>
      </c>
      <c r="CS190" s="2">
        <v>1</v>
      </c>
      <c r="CT190" s="2">
        <v>1</v>
      </c>
      <c r="CU190" s="2">
        <v>1</v>
      </c>
      <c r="CW190" s="2">
        <v>4</v>
      </c>
      <c r="CX190" s="2">
        <v>5.5</v>
      </c>
      <c r="CY190" s="2">
        <v>5.5</v>
      </c>
      <c r="CZ190" s="2">
        <v>5.5</v>
      </c>
      <c r="DA190" s="2">
        <v>5.5</v>
      </c>
      <c r="DB190" s="2">
        <v>7</v>
      </c>
      <c r="DC190" s="2">
        <v>4</v>
      </c>
      <c r="DD190" s="2" t="s">
        <v>356</v>
      </c>
      <c r="DE190" s="206">
        <f t="shared" si="573"/>
        <v>4.00000000004</v>
      </c>
      <c r="DF190" s="206">
        <f t="shared" si="574"/>
        <v>5.50000000002</v>
      </c>
      <c r="DG190" s="206">
        <f t="shared" si="688"/>
        <v>5.50000000003</v>
      </c>
      <c r="DH190" s="206">
        <f t="shared" si="689"/>
        <v>5.50000000001</v>
      </c>
      <c r="DI190" s="206">
        <f t="shared" si="690"/>
        <v>5.50000000005</v>
      </c>
      <c r="DJ190" s="206">
        <f t="shared" si="691"/>
        <v>7.00000000006</v>
      </c>
      <c r="DK190" s="206">
        <f t="shared" si="692"/>
        <v>4.00000000007</v>
      </c>
      <c r="DL190" s="206">
        <f t="shared" si="693"/>
        <v>0</v>
      </c>
      <c r="DM190" s="2">
        <f t="shared" si="694"/>
        <v>5.2000000000520004</v>
      </c>
      <c r="DN190" s="2">
        <f t="shared" si="726"/>
        <v>7.150000000026</v>
      </c>
      <c r="DO190" s="2">
        <f t="shared" si="727"/>
        <v>5.50000000003</v>
      </c>
      <c r="DP190" s="2">
        <f t="shared" si="728"/>
        <v>5.50000000001</v>
      </c>
      <c r="DQ190" s="2">
        <f t="shared" si="729"/>
        <v>5.50000000005</v>
      </c>
      <c r="DR190" s="2">
        <f t="shared" si="730"/>
        <v>7.00000000006</v>
      </c>
      <c r="DS190" s="2">
        <f t="shared" si="731"/>
        <v>4.00000000007</v>
      </c>
      <c r="DT190" s="2">
        <f t="shared" si="732"/>
        <v>0</v>
      </c>
      <c r="DU190" s="2" t="b">
        <f t="shared" si="733"/>
        <v>0</v>
      </c>
      <c r="DV190" s="2" t="b">
        <f t="shared" si="734"/>
        <v>1</v>
      </c>
      <c r="DW190" s="2" t="b">
        <f t="shared" si="735"/>
        <v>1</v>
      </c>
      <c r="DX190" s="2" t="b">
        <f t="shared" si="736"/>
        <v>1</v>
      </c>
      <c r="DY190" s="2" t="b">
        <f t="shared" si="737"/>
        <v>1</v>
      </c>
      <c r="DZ190" s="2" t="b">
        <f t="shared" si="738"/>
        <v>1</v>
      </c>
      <c r="EA190" s="2" t="b">
        <f t="shared" si="739"/>
        <v>0</v>
      </c>
      <c r="EB190" s="2" t="b">
        <f t="shared" si="740"/>
        <v>0</v>
      </c>
      <c r="EC190" s="2">
        <v>1.3</v>
      </c>
      <c r="ED190" s="2">
        <v>1.3</v>
      </c>
      <c r="EE190" s="2">
        <v>1</v>
      </c>
      <c r="EF190" s="2">
        <v>1</v>
      </c>
      <c r="EG190" s="2">
        <v>1</v>
      </c>
      <c r="EH190" s="2">
        <v>1</v>
      </c>
      <c r="EI190" s="2">
        <v>1</v>
      </c>
      <c r="EJ190" s="2">
        <v>1</v>
      </c>
      <c r="EK190" s="2">
        <v>7</v>
      </c>
      <c r="EL190" s="2">
        <v>5.5</v>
      </c>
      <c r="EM190" s="2">
        <v>5.5</v>
      </c>
      <c r="EN190" s="2">
        <v>4</v>
      </c>
      <c r="EO190" s="2" t="s">
        <v>356</v>
      </c>
      <c r="EP190" s="2">
        <v>5.5</v>
      </c>
      <c r="EQ190" s="2">
        <v>5.5</v>
      </c>
      <c r="ER190" s="2">
        <v>5.5</v>
      </c>
      <c r="ES190" s="206">
        <f t="shared" si="581"/>
        <v>7.00000000004</v>
      </c>
      <c r="ET190" s="206">
        <f t="shared" si="582"/>
        <v>5.50000000002</v>
      </c>
      <c r="EU190" s="206">
        <f t="shared" si="583"/>
        <v>5.50000000003</v>
      </c>
      <c r="EV190" s="206">
        <f t="shared" si="584"/>
        <v>4.00000000001</v>
      </c>
      <c r="EW190" s="206">
        <f t="shared" si="585"/>
        <v>0</v>
      </c>
      <c r="EX190" s="206">
        <f t="shared" si="586"/>
        <v>5.50000000006</v>
      </c>
      <c r="EY190" s="206">
        <f t="shared" si="587"/>
        <v>5.50000000007</v>
      </c>
      <c r="EZ190" s="206">
        <f t="shared" si="588"/>
        <v>5.50000000008</v>
      </c>
      <c r="FA190" s="2">
        <f t="shared" si="749"/>
        <v>9.1000000000520007</v>
      </c>
      <c r="FB190" s="2">
        <f t="shared" si="626"/>
        <v>7.150000000026</v>
      </c>
      <c r="FC190" s="2">
        <f t="shared" si="627"/>
        <v>5.50000000003</v>
      </c>
      <c r="FD190" s="2">
        <f t="shared" si="628"/>
        <v>4.00000000001</v>
      </c>
      <c r="FE190" s="2">
        <f t="shared" si="629"/>
        <v>0</v>
      </c>
      <c r="FF190" s="2">
        <f t="shared" si="630"/>
        <v>5.50000000006</v>
      </c>
      <c r="FG190" s="2">
        <f t="shared" si="631"/>
        <v>5.50000000007</v>
      </c>
      <c r="FH190" s="2">
        <f t="shared" si="632"/>
        <v>5.50000000008</v>
      </c>
      <c r="FI190" s="2" t="b">
        <f t="shared" si="741"/>
        <v>1</v>
      </c>
      <c r="FJ190" s="2" t="b">
        <f t="shared" si="742"/>
        <v>1</v>
      </c>
      <c r="FK190" s="2" t="b">
        <f t="shared" si="743"/>
        <v>0</v>
      </c>
      <c r="FL190" s="2" t="b">
        <f t="shared" si="744"/>
        <v>0</v>
      </c>
      <c r="FM190" s="2" t="b">
        <f t="shared" si="745"/>
        <v>0</v>
      </c>
      <c r="FN190" s="2" t="b">
        <f t="shared" si="746"/>
        <v>1</v>
      </c>
      <c r="FO190" s="2" t="b">
        <f t="shared" si="747"/>
        <v>1</v>
      </c>
      <c r="FP190" s="2" t="b">
        <f t="shared" si="748"/>
        <v>1</v>
      </c>
    </row>
    <row r="191" spans="1:172" ht="15.6">
      <c r="A191" s="2" t="s">
        <v>1538</v>
      </c>
      <c r="B191" s="2" t="s">
        <v>255</v>
      </c>
      <c r="C191" s="2" t="s">
        <v>1137</v>
      </c>
      <c r="D191" s="2" t="s">
        <v>1539</v>
      </c>
      <c r="E191" s="2" t="s">
        <v>889</v>
      </c>
      <c r="F191" s="2" t="s">
        <v>356</v>
      </c>
      <c r="G191" s="2">
        <v>32.6</v>
      </c>
      <c r="H191" s="2">
        <v>28.7</v>
      </c>
      <c r="I191" s="2">
        <v>27.2</v>
      </c>
      <c r="J191" s="2">
        <f t="shared" si="562"/>
        <v>32.600000000226004</v>
      </c>
      <c r="K191" s="2">
        <f t="shared" si="563"/>
        <v>28.700000000176004</v>
      </c>
      <c r="L191" s="2">
        <f t="shared" si="564"/>
        <v>27.200000000226002</v>
      </c>
      <c r="M191" s="364" t="s">
        <v>356</v>
      </c>
      <c r="N191" s="364" t="s">
        <v>356</v>
      </c>
      <c r="O191" s="364" t="s">
        <v>1514</v>
      </c>
      <c r="P191" s="364" t="s">
        <v>356</v>
      </c>
      <c r="Q191" s="364" t="s">
        <v>356</v>
      </c>
      <c r="R191" s="2" t="s">
        <v>1540</v>
      </c>
      <c r="S191" s="2" t="s">
        <v>1177</v>
      </c>
      <c r="T191" s="2">
        <v>9</v>
      </c>
      <c r="U191" s="2" cm="1">
        <f t="array" ref="U191">IFERROR(INDEX('Offer Statistics'!$BQ$2:$BQ$400,MATCH(1,(A191='Offer Statistics'!$BB$2:$BB$400)*($A$11='Offer Statistics'!$BC$2:$BC$400),0)),"/")</f>
        <v>10</v>
      </c>
      <c r="V191" s="2" cm="1">
        <f t="array" ref="V191">IFERROR(INDEX('Offer Statistics'!$BD$2:$BD$400,MATCH(1,(A191='Offer Statistics'!$BB$2:$BB$400)*($A$11='Offer Statistics'!$BC$2:$BC$400),0)),"/")</f>
        <v>40</v>
      </c>
      <c r="W191" s="2" cm="1">
        <f t="array" ref="W191">IFERROR(INDEX('Offer Statistics'!$BL$2:$BL$400,MATCH(1,(A191='Offer Statistics'!$BB$2:$BB$400)*($A$11='Offer Statistics'!$BC$2:$BC$400),0)),"/")</f>
        <v>10</v>
      </c>
      <c r="X191" s="2">
        <f t="shared" si="502"/>
        <v>4</v>
      </c>
      <c r="Y191" s="2" t="s">
        <v>1177</v>
      </c>
      <c r="Z191" s="364" t="str">
        <f>入學要求!AF200</f>
        <v>/</v>
      </c>
      <c r="AA191" s="364" t="str">
        <f>入學要求!AG200</f>
        <v>/</v>
      </c>
      <c r="AB191" s="401" t="s">
        <v>889</v>
      </c>
      <c r="AC191" s="368"/>
      <c r="AD191" s="368"/>
      <c r="AE191" s="368" t="s">
        <v>356</v>
      </c>
      <c r="AF191" s="368" t="s">
        <v>356</v>
      </c>
      <c r="AG191" s="368" t="s">
        <v>1514</v>
      </c>
      <c r="AH191" s="368" t="s">
        <v>356</v>
      </c>
      <c r="AI191" s="368" t="s">
        <v>356</v>
      </c>
      <c r="AJ191" s="2" t="s">
        <v>356</v>
      </c>
      <c r="AK191" s="2" t="s">
        <v>356</v>
      </c>
      <c r="AL191" s="2" t="s">
        <v>356</v>
      </c>
      <c r="AM191" s="2" t="s">
        <v>356</v>
      </c>
      <c r="AN191" s="2" t="s">
        <v>356</v>
      </c>
      <c r="AO191" s="2" t="s">
        <v>356</v>
      </c>
      <c r="AP191" s="2" t="s">
        <v>356</v>
      </c>
      <c r="AQ191" s="2" t="s">
        <v>356</v>
      </c>
      <c r="AS191" s="2" t="s">
        <v>820</v>
      </c>
      <c r="AU191" s="2" t="s">
        <v>817</v>
      </c>
      <c r="AY191" s="2">
        <v>1</v>
      </c>
      <c r="AZ191" s="2">
        <v>1.3</v>
      </c>
      <c r="BA191" s="2">
        <v>1</v>
      </c>
      <c r="BB191" s="2">
        <v>1</v>
      </c>
      <c r="BC191" s="2">
        <v>1</v>
      </c>
      <c r="BD191" s="2">
        <v>1</v>
      </c>
      <c r="BE191" s="2">
        <v>1</v>
      </c>
      <c r="BF191" s="2">
        <v>1</v>
      </c>
      <c r="BG191" s="2" t="s">
        <v>1538</v>
      </c>
      <c r="BH191">
        <v>8.5</v>
      </c>
      <c r="BI191">
        <v>4</v>
      </c>
      <c r="BJ191">
        <v>4</v>
      </c>
      <c r="BK191">
        <v>4</v>
      </c>
      <c r="BL191" t="s">
        <v>356</v>
      </c>
      <c r="BM191">
        <v>5.5</v>
      </c>
      <c r="BN191">
        <v>4</v>
      </c>
      <c r="BO191" t="s">
        <v>356</v>
      </c>
      <c r="BP191" s="206">
        <f t="shared" si="565"/>
        <v>8.50000000004</v>
      </c>
      <c r="BQ191" s="206">
        <f t="shared" si="566"/>
        <v>4.00000000002</v>
      </c>
      <c r="BR191" s="206">
        <f t="shared" si="567"/>
        <v>4.00000000003</v>
      </c>
      <c r="BS191" s="206">
        <f t="shared" si="568"/>
        <v>4.00000000001</v>
      </c>
      <c r="BT191" s="206">
        <f t="shared" si="569"/>
        <v>0</v>
      </c>
      <c r="BU191" s="206">
        <f t="shared" si="570"/>
        <v>5.50000000006</v>
      </c>
      <c r="BV191" s="206">
        <f t="shared" si="571"/>
        <v>4.00000000007</v>
      </c>
      <c r="BW191" s="206">
        <f t="shared" si="572"/>
        <v>0</v>
      </c>
      <c r="BX191" s="2">
        <f t="shared" si="710"/>
        <v>8.50000000004</v>
      </c>
      <c r="BY191" s="2">
        <f t="shared" si="711"/>
        <v>5.2000000000259998</v>
      </c>
      <c r="BZ191" s="2">
        <f t="shared" si="712"/>
        <v>4.00000000003</v>
      </c>
      <c r="CA191" s="2">
        <f t="shared" si="713"/>
        <v>4.00000000001</v>
      </c>
      <c r="CB191" s="2">
        <f t="shared" si="714"/>
        <v>0</v>
      </c>
      <c r="CC191" s="2">
        <f t="shared" si="715"/>
        <v>5.50000000006</v>
      </c>
      <c r="CD191" s="2">
        <f t="shared" si="716"/>
        <v>4.00000000007</v>
      </c>
      <c r="CE191" s="2">
        <f t="shared" si="717"/>
        <v>0</v>
      </c>
      <c r="CF191" s="2" t="b">
        <f t="shared" si="718"/>
        <v>1</v>
      </c>
      <c r="CG191" s="2" t="b">
        <f t="shared" si="719"/>
        <v>1</v>
      </c>
      <c r="CH191" s="2" t="b">
        <f t="shared" si="720"/>
        <v>1</v>
      </c>
      <c r="CI191" s="2" t="b">
        <f t="shared" si="721"/>
        <v>0</v>
      </c>
      <c r="CJ191" s="2" t="b">
        <f t="shared" si="722"/>
        <v>0</v>
      </c>
      <c r="CK191" s="2" t="b">
        <f t="shared" si="723"/>
        <v>1</v>
      </c>
      <c r="CL191" s="2" t="b">
        <f t="shared" si="724"/>
        <v>1</v>
      </c>
      <c r="CM191" s="2" t="b">
        <f t="shared" si="725"/>
        <v>0</v>
      </c>
      <c r="CN191" s="2">
        <v>1</v>
      </c>
      <c r="CO191" s="2">
        <v>1.3</v>
      </c>
      <c r="CP191" s="2">
        <v>1</v>
      </c>
      <c r="CQ191" s="2">
        <v>1</v>
      </c>
      <c r="CR191" s="2">
        <v>1</v>
      </c>
      <c r="CS191" s="2">
        <v>1</v>
      </c>
      <c r="CT191" s="2">
        <v>1</v>
      </c>
      <c r="CU191" s="2">
        <v>1</v>
      </c>
      <c r="CW191" s="2">
        <v>4</v>
      </c>
      <c r="CX191" s="2">
        <v>4</v>
      </c>
      <c r="CY191" s="2">
        <v>7</v>
      </c>
      <c r="CZ191" s="2">
        <v>5.5</v>
      </c>
      <c r="DA191" s="2">
        <v>5.5</v>
      </c>
      <c r="DB191" s="2">
        <v>5.5</v>
      </c>
      <c r="DC191" s="2" t="s">
        <v>356</v>
      </c>
      <c r="DD191" s="2" t="s">
        <v>356</v>
      </c>
      <c r="DE191" s="206">
        <f t="shared" si="573"/>
        <v>4.00000000004</v>
      </c>
      <c r="DF191" s="206">
        <f t="shared" si="574"/>
        <v>4.00000000002</v>
      </c>
      <c r="DG191" s="206">
        <f t="shared" si="688"/>
        <v>7.00000000003</v>
      </c>
      <c r="DH191" s="206">
        <f t="shared" si="689"/>
        <v>5.50000000001</v>
      </c>
      <c r="DI191" s="206">
        <f t="shared" si="690"/>
        <v>5.50000000005</v>
      </c>
      <c r="DJ191" s="206">
        <f t="shared" si="691"/>
        <v>5.50000000006</v>
      </c>
      <c r="DK191" s="206">
        <f t="shared" si="692"/>
        <v>0</v>
      </c>
      <c r="DL191" s="206">
        <f t="shared" si="693"/>
        <v>0</v>
      </c>
      <c r="DM191" s="2">
        <f t="shared" si="694"/>
        <v>4.00000000004</v>
      </c>
      <c r="DN191" s="2">
        <f t="shared" si="726"/>
        <v>5.2000000000259998</v>
      </c>
      <c r="DO191" s="2">
        <f t="shared" si="727"/>
        <v>7.00000000003</v>
      </c>
      <c r="DP191" s="2">
        <f t="shared" si="728"/>
        <v>5.50000000001</v>
      </c>
      <c r="DQ191" s="2">
        <f t="shared" si="729"/>
        <v>5.50000000005</v>
      </c>
      <c r="DR191" s="2">
        <f t="shared" si="730"/>
        <v>5.50000000006</v>
      </c>
      <c r="DS191" s="2">
        <f t="shared" si="731"/>
        <v>0</v>
      </c>
      <c r="DT191" s="2">
        <f t="shared" si="732"/>
        <v>0</v>
      </c>
      <c r="DU191" s="2" t="b">
        <f t="shared" si="733"/>
        <v>0</v>
      </c>
      <c r="DV191" s="2" t="b">
        <f t="shared" si="734"/>
        <v>1</v>
      </c>
      <c r="DW191" s="2" t="b">
        <f t="shared" si="735"/>
        <v>1</v>
      </c>
      <c r="DX191" s="2" t="b">
        <f t="shared" si="736"/>
        <v>1</v>
      </c>
      <c r="DY191" s="2" t="b">
        <f t="shared" si="737"/>
        <v>1</v>
      </c>
      <c r="DZ191" s="2" t="b">
        <f t="shared" si="738"/>
        <v>1</v>
      </c>
      <c r="EA191" s="2" t="b">
        <f t="shared" si="739"/>
        <v>0</v>
      </c>
      <c r="EB191" s="2" t="b">
        <f t="shared" si="740"/>
        <v>0</v>
      </c>
      <c r="EC191" s="2">
        <v>1</v>
      </c>
      <c r="ED191" s="2">
        <v>1.3</v>
      </c>
      <c r="EE191" s="2">
        <v>1</v>
      </c>
      <c r="EF191" s="2">
        <v>1</v>
      </c>
      <c r="EG191" s="2">
        <v>1</v>
      </c>
      <c r="EH191" s="2">
        <v>1</v>
      </c>
      <c r="EI191" s="2">
        <v>1</v>
      </c>
      <c r="EJ191" s="2">
        <v>1</v>
      </c>
      <c r="EK191" s="2">
        <v>7</v>
      </c>
      <c r="EL191" s="2">
        <v>7</v>
      </c>
      <c r="EM191" s="2">
        <v>5.5</v>
      </c>
      <c r="EN191" s="2">
        <v>4</v>
      </c>
      <c r="EO191" s="2" t="s">
        <v>356</v>
      </c>
      <c r="EP191" s="2">
        <v>5.5</v>
      </c>
      <c r="EQ191" s="2">
        <v>5.5</v>
      </c>
      <c r="ER191" s="2" t="s">
        <v>356</v>
      </c>
      <c r="ES191" s="206">
        <f t="shared" si="581"/>
        <v>7.00000000004</v>
      </c>
      <c r="ET191" s="206">
        <f t="shared" si="582"/>
        <v>7.00000000002</v>
      </c>
      <c r="EU191" s="206">
        <f t="shared" si="583"/>
        <v>5.50000000003</v>
      </c>
      <c r="EV191" s="206">
        <f t="shared" si="584"/>
        <v>4.00000000001</v>
      </c>
      <c r="EW191" s="206">
        <f t="shared" si="585"/>
        <v>0</v>
      </c>
      <c r="EX191" s="206">
        <f t="shared" si="586"/>
        <v>5.50000000006</v>
      </c>
      <c r="EY191" s="206">
        <f t="shared" si="587"/>
        <v>5.50000000007</v>
      </c>
      <c r="EZ191" s="206">
        <f t="shared" si="588"/>
        <v>0</v>
      </c>
      <c r="FA191" s="2">
        <f t="shared" si="749"/>
        <v>7.00000000004</v>
      </c>
      <c r="FB191" s="2">
        <f t="shared" si="626"/>
        <v>9.1000000000260002</v>
      </c>
      <c r="FC191" s="2">
        <f t="shared" si="627"/>
        <v>5.50000000003</v>
      </c>
      <c r="FD191" s="2">
        <f t="shared" si="628"/>
        <v>4.00000000001</v>
      </c>
      <c r="FE191" s="2">
        <f t="shared" si="629"/>
        <v>0</v>
      </c>
      <c r="FF191" s="2">
        <f t="shared" si="630"/>
        <v>5.50000000006</v>
      </c>
      <c r="FG191" s="2">
        <f t="shared" si="631"/>
        <v>5.50000000007</v>
      </c>
      <c r="FH191" s="2">
        <f t="shared" si="632"/>
        <v>0</v>
      </c>
      <c r="FI191" s="2" t="b">
        <f t="shared" si="741"/>
        <v>1</v>
      </c>
      <c r="FJ191" s="2" t="b">
        <f t="shared" si="742"/>
        <v>1</v>
      </c>
      <c r="FK191" s="2" t="b">
        <f t="shared" si="743"/>
        <v>1</v>
      </c>
      <c r="FL191" s="2" t="b">
        <f t="shared" si="744"/>
        <v>0</v>
      </c>
      <c r="FM191" s="2" t="b">
        <f t="shared" si="745"/>
        <v>0</v>
      </c>
      <c r="FN191" s="2" t="b">
        <f t="shared" si="746"/>
        <v>1</v>
      </c>
      <c r="FO191" s="2" t="b">
        <f t="shared" si="747"/>
        <v>1</v>
      </c>
      <c r="FP191" s="2" t="b">
        <f t="shared" si="748"/>
        <v>0</v>
      </c>
    </row>
    <row r="192" spans="1:172" ht="15.6">
      <c r="A192" s="2" t="s">
        <v>43</v>
      </c>
      <c r="B192" s="2" t="s">
        <v>255</v>
      </c>
      <c r="C192" s="2" t="s">
        <v>1137</v>
      </c>
      <c r="D192" s="2" t="s">
        <v>1541</v>
      </c>
      <c r="E192" s="2" t="s">
        <v>889</v>
      </c>
      <c r="F192" s="2" t="s">
        <v>356</v>
      </c>
      <c r="G192" s="2">
        <v>34.5</v>
      </c>
      <c r="H192" s="2">
        <v>33</v>
      </c>
      <c r="I192" s="2">
        <v>30.75</v>
      </c>
      <c r="J192" s="2">
        <f t="shared" si="562"/>
        <v>34.500000000265004</v>
      </c>
      <c r="K192" s="2">
        <f t="shared" si="563"/>
        <v>33.000000000245002</v>
      </c>
      <c r="L192" s="2">
        <f t="shared" si="564"/>
        <v>30.750000000244999</v>
      </c>
      <c r="M192" s="364" t="s">
        <v>356</v>
      </c>
      <c r="N192" s="364" t="s">
        <v>356</v>
      </c>
      <c r="O192" s="364" t="s">
        <v>1544</v>
      </c>
      <c r="P192" s="364" t="s">
        <v>356</v>
      </c>
      <c r="Q192" s="364" t="s">
        <v>356</v>
      </c>
      <c r="R192" s="2" t="s">
        <v>1543</v>
      </c>
      <c r="S192" s="2" t="s">
        <v>1177</v>
      </c>
      <c r="T192" s="2">
        <v>56</v>
      </c>
      <c r="U192" s="2" cm="1">
        <f t="array" ref="U192">IFERROR(INDEX('Offer Statistics'!$BQ$2:$BQ$400,MATCH(1,(A192='Offer Statistics'!$BB$2:$BB$400)*($A$11='Offer Statistics'!$BC$2:$BC$400),0)),"/")</f>
        <v>73</v>
      </c>
      <c r="V192" s="2" cm="1">
        <f t="array" ref="V192">IFERROR(INDEX('Offer Statistics'!$BD$2:$BD$400,MATCH(1,(A192='Offer Statistics'!$BB$2:$BB$400)*($A$11='Offer Statistics'!$BC$2:$BC$400),0)),"/")</f>
        <v>400</v>
      </c>
      <c r="W192" s="2" cm="1">
        <f t="array" ref="W192">IFERROR(INDEX('Offer Statistics'!$BL$2:$BL$400,MATCH(1,(A192='Offer Statistics'!$BB$2:$BB$400)*($A$11='Offer Statistics'!$BC$2:$BC$400),0)),"/")</f>
        <v>73</v>
      </c>
      <c r="X192" s="2">
        <f t="shared" si="502"/>
        <v>5.4794520547945202</v>
      </c>
      <c r="Y192" s="2" t="s">
        <v>1177</v>
      </c>
      <c r="Z192" s="364" t="str">
        <f>入學要求!AF201</f>
        <v>/</v>
      </c>
      <c r="AA192" s="364" t="str">
        <f>入學要求!AG201</f>
        <v>/</v>
      </c>
      <c r="AB192" s="401" t="s">
        <v>889</v>
      </c>
      <c r="AC192" s="368"/>
      <c r="AD192" s="368"/>
      <c r="AE192" s="368" t="s">
        <v>356</v>
      </c>
      <c r="AF192" s="368" t="s">
        <v>356</v>
      </c>
      <c r="AG192" s="368" t="s">
        <v>1544</v>
      </c>
      <c r="AH192" s="368" t="s">
        <v>356</v>
      </c>
      <c r="AI192" s="368" t="s">
        <v>356</v>
      </c>
      <c r="AJ192" s="2" t="s">
        <v>356</v>
      </c>
      <c r="AK192" s="2" t="s">
        <v>356</v>
      </c>
      <c r="AL192" s="2" t="s">
        <v>356</v>
      </c>
      <c r="AM192" s="2" t="s">
        <v>356</v>
      </c>
      <c r="AN192" s="2" t="s">
        <v>356</v>
      </c>
      <c r="AO192" s="2" t="s">
        <v>356</v>
      </c>
      <c r="AP192" s="2" t="s">
        <v>356</v>
      </c>
      <c r="AQ192" s="2" t="s">
        <v>356</v>
      </c>
      <c r="AS192" s="2" t="s">
        <v>820</v>
      </c>
      <c r="AU192" s="2" t="s">
        <v>817</v>
      </c>
      <c r="AY192" s="2">
        <v>1</v>
      </c>
      <c r="AZ192" s="2">
        <v>1.5</v>
      </c>
      <c r="BA192" s="2">
        <v>1.5</v>
      </c>
      <c r="BB192" s="2">
        <v>1</v>
      </c>
      <c r="BC192" s="2">
        <v>1</v>
      </c>
      <c r="BD192" s="2">
        <v>1</v>
      </c>
      <c r="BE192" s="2">
        <v>1</v>
      </c>
      <c r="BF192" s="2">
        <v>1</v>
      </c>
      <c r="BG192" s="2" t="s">
        <v>43</v>
      </c>
      <c r="BH192">
        <v>5.5</v>
      </c>
      <c r="BI192">
        <v>4</v>
      </c>
      <c r="BJ192">
        <v>5.5</v>
      </c>
      <c r="BK192">
        <v>4</v>
      </c>
      <c r="BL192" t="s">
        <v>356</v>
      </c>
      <c r="BM192">
        <v>5.5</v>
      </c>
      <c r="BN192">
        <v>5.5</v>
      </c>
      <c r="BO192">
        <v>4</v>
      </c>
      <c r="BP192" s="206">
        <f t="shared" si="565"/>
        <v>5.50000000004</v>
      </c>
      <c r="BQ192" s="206">
        <f t="shared" si="566"/>
        <v>4.00000000002</v>
      </c>
      <c r="BR192" s="206">
        <f t="shared" si="567"/>
        <v>5.50000000003</v>
      </c>
      <c r="BS192" s="206">
        <f t="shared" si="568"/>
        <v>4.00000000001</v>
      </c>
      <c r="BT192" s="206">
        <f t="shared" si="569"/>
        <v>0</v>
      </c>
      <c r="BU192" s="206">
        <f t="shared" si="570"/>
        <v>5.50000000006</v>
      </c>
      <c r="BV192" s="206">
        <f t="shared" si="571"/>
        <v>5.50000000007</v>
      </c>
      <c r="BW192" s="206">
        <f t="shared" si="572"/>
        <v>4.00000000008</v>
      </c>
      <c r="BX192" s="2">
        <f t="shared" si="710"/>
        <v>5.50000000004</v>
      </c>
      <c r="BY192" s="2">
        <f t="shared" si="711"/>
        <v>6.00000000003</v>
      </c>
      <c r="BZ192" s="2">
        <f t="shared" si="712"/>
        <v>8.2500000000450004</v>
      </c>
      <c r="CA192" s="2">
        <f t="shared" si="713"/>
        <v>4.00000000001</v>
      </c>
      <c r="CB192" s="2">
        <f t="shared" si="714"/>
        <v>0</v>
      </c>
      <c r="CC192" s="2">
        <f t="shared" si="715"/>
        <v>5.50000000006</v>
      </c>
      <c r="CD192" s="2">
        <f t="shared" si="716"/>
        <v>5.50000000007</v>
      </c>
      <c r="CE192" s="2">
        <f t="shared" si="717"/>
        <v>4.00000000008</v>
      </c>
      <c r="CF192" s="2" t="b">
        <f t="shared" si="718"/>
        <v>1</v>
      </c>
      <c r="CG192" s="2" t="b">
        <f t="shared" si="719"/>
        <v>1</v>
      </c>
      <c r="CH192" s="2" t="b">
        <f t="shared" si="720"/>
        <v>1</v>
      </c>
      <c r="CI192" s="2" t="b">
        <f t="shared" si="721"/>
        <v>0</v>
      </c>
      <c r="CJ192" s="2" t="b">
        <f t="shared" si="722"/>
        <v>0</v>
      </c>
      <c r="CK192" s="2" t="b">
        <f t="shared" si="723"/>
        <v>1</v>
      </c>
      <c r="CL192" s="2" t="b">
        <f t="shared" si="724"/>
        <v>1</v>
      </c>
      <c r="CM192" s="2" t="b">
        <f t="shared" si="725"/>
        <v>0</v>
      </c>
      <c r="CN192" s="2">
        <v>1</v>
      </c>
      <c r="CO192" s="2">
        <v>1.5</v>
      </c>
      <c r="CP192" s="2">
        <v>1.5</v>
      </c>
      <c r="CQ192" s="2">
        <v>1</v>
      </c>
      <c r="CR192" s="2">
        <v>1</v>
      </c>
      <c r="CS192" s="2">
        <v>1</v>
      </c>
      <c r="CT192" s="2">
        <v>1</v>
      </c>
      <c r="CU192" s="2">
        <v>1</v>
      </c>
      <c r="CW192" s="2">
        <v>5.5</v>
      </c>
      <c r="CX192" s="2">
        <v>7</v>
      </c>
      <c r="CY192" s="2">
        <v>4</v>
      </c>
      <c r="CZ192" s="2">
        <v>4</v>
      </c>
      <c r="DA192" s="2" t="s">
        <v>356</v>
      </c>
      <c r="DB192" s="2">
        <v>5.5</v>
      </c>
      <c r="DC192" s="2">
        <v>5.5</v>
      </c>
      <c r="DD192" s="2" t="s">
        <v>356</v>
      </c>
      <c r="DE192" s="206">
        <f t="shared" si="573"/>
        <v>5.50000000004</v>
      </c>
      <c r="DF192" s="206">
        <f t="shared" si="574"/>
        <v>7.00000000002</v>
      </c>
      <c r="DG192" s="206">
        <f t="shared" si="688"/>
        <v>4.00000000003</v>
      </c>
      <c r="DH192" s="206">
        <f t="shared" si="689"/>
        <v>4.00000000001</v>
      </c>
      <c r="DI192" s="206">
        <f t="shared" si="690"/>
        <v>0</v>
      </c>
      <c r="DJ192" s="206">
        <f t="shared" si="691"/>
        <v>5.50000000006</v>
      </c>
      <c r="DK192" s="206">
        <f t="shared" si="692"/>
        <v>5.50000000007</v>
      </c>
      <c r="DL192" s="206">
        <f t="shared" si="693"/>
        <v>0</v>
      </c>
      <c r="DM192" s="2">
        <f t="shared" si="694"/>
        <v>5.50000000004</v>
      </c>
      <c r="DN192" s="2">
        <f t="shared" si="726"/>
        <v>10.500000000029999</v>
      </c>
      <c r="DO192" s="2">
        <f t="shared" si="727"/>
        <v>6.0000000000450004</v>
      </c>
      <c r="DP192" s="2">
        <f t="shared" si="728"/>
        <v>4.00000000001</v>
      </c>
      <c r="DQ192" s="2">
        <f t="shared" si="729"/>
        <v>0</v>
      </c>
      <c r="DR192" s="2">
        <f t="shared" si="730"/>
        <v>5.50000000006</v>
      </c>
      <c r="DS192" s="2">
        <f t="shared" si="731"/>
        <v>5.50000000007</v>
      </c>
      <c r="DT192" s="2">
        <f t="shared" si="732"/>
        <v>0</v>
      </c>
      <c r="DU192" s="2" t="b">
        <f t="shared" si="733"/>
        <v>1</v>
      </c>
      <c r="DV192" s="2" t="b">
        <f t="shared" si="734"/>
        <v>1</v>
      </c>
      <c r="DW192" s="2" t="b">
        <f t="shared" si="735"/>
        <v>1</v>
      </c>
      <c r="DX192" s="2" t="b">
        <f t="shared" si="736"/>
        <v>0</v>
      </c>
      <c r="DY192" s="2" t="b">
        <f t="shared" si="737"/>
        <v>0</v>
      </c>
      <c r="DZ192" s="2" t="b">
        <f t="shared" si="738"/>
        <v>1</v>
      </c>
      <c r="EA192" s="2" t="b">
        <f t="shared" si="739"/>
        <v>1</v>
      </c>
      <c r="EB192" s="2" t="b">
        <f t="shared" si="740"/>
        <v>0</v>
      </c>
      <c r="EC192" s="2">
        <v>1</v>
      </c>
      <c r="ED192" s="2">
        <v>1.5</v>
      </c>
      <c r="EE192" s="2">
        <v>1.5</v>
      </c>
      <c r="EF192" s="2">
        <v>1</v>
      </c>
      <c r="EG192" s="2">
        <v>1</v>
      </c>
      <c r="EH192" s="2">
        <v>1</v>
      </c>
      <c r="EI192" s="2">
        <v>1</v>
      </c>
      <c r="EJ192" s="2">
        <v>1</v>
      </c>
      <c r="EK192" s="2">
        <v>7</v>
      </c>
      <c r="EL192" s="2">
        <v>5.5</v>
      </c>
      <c r="EM192" s="2">
        <v>5.5</v>
      </c>
      <c r="EN192" s="2">
        <v>5.5</v>
      </c>
      <c r="EO192" s="2" t="s">
        <v>356</v>
      </c>
      <c r="EP192" s="2">
        <v>5.5</v>
      </c>
      <c r="EQ192" s="2">
        <v>5.5</v>
      </c>
      <c r="ER192" s="2">
        <v>5.5</v>
      </c>
      <c r="ES192" s="206">
        <f t="shared" si="581"/>
        <v>7.00000000004</v>
      </c>
      <c r="ET192" s="206">
        <f t="shared" si="582"/>
        <v>5.50000000002</v>
      </c>
      <c r="EU192" s="206">
        <f t="shared" si="583"/>
        <v>5.50000000003</v>
      </c>
      <c r="EV192" s="206">
        <f t="shared" si="584"/>
        <v>5.50000000001</v>
      </c>
      <c r="EW192" s="206">
        <f t="shared" si="585"/>
        <v>0</v>
      </c>
      <c r="EX192" s="206">
        <f t="shared" si="586"/>
        <v>5.50000000006</v>
      </c>
      <c r="EY192" s="206">
        <f t="shared" si="587"/>
        <v>5.50000000007</v>
      </c>
      <c r="EZ192" s="206">
        <f t="shared" si="588"/>
        <v>5.50000000008</v>
      </c>
      <c r="FA192" s="2">
        <f t="shared" si="749"/>
        <v>7.00000000004</v>
      </c>
      <c r="FB192" s="2">
        <f t="shared" si="626"/>
        <v>8.2500000000299991</v>
      </c>
      <c r="FC192" s="2">
        <f t="shared" si="627"/>
        <v>8.2500000000450004</v>
      </c>
      <c r="FD192" s="2">
        <f t="shared" si="628"/>
        <v>5.50000000001</v>
      </c>
      <c r="FE192" s="2">
        <f t="shared" si="629"/>
        <v>0</v>
      </c>
      <c r="FF192" s="2">
        <f t="shared" si="630"/>
        <v>5.50000000006</v>
      </c>
      <c r="FG192" s="2">
        <f t="shared" si="631"/>
        <v>5.50000000007</v>
      </c>
      <c r="FH192" s="2">
        <f t="shared" si="632"/>
        <v>5.50000000008</v>
      </c>
      <c r="FI192" s="2" t="b">
        <f t="shared" si="741"/>
        <v>1</v>
      </c>
      <c r="FJ192" s="2" t="b">
        <f t="shared" si="742"/>
        <v>1</v>
      </c>
      <c r="FK192" s="2" t="b">
        <f t="shared" si="743"/>
        <v>1</v>
      </c>
      <c r="FL192" s="2" t="b">
        <f t="shared" si="744"/>
        <v>0</v>
      </c>
      <c r="FM192" s="2" t="b">
        <f t="shared" si="745"/>
        <v>0</v>
      </c>
      <c r="FN192" s="2" t="b">
        <f t="shared" si="746"/>
        <v>0</v>
      </c>
      <c r="FO192" s="2" t="b">
        <f t="shared" si="747"/>
        <v>1</v>
      </c>
      <c r="FP192" s="2" t="b">
        <f t="shared" si="748"/>
        <v>1</v>
      </c>
    </row>
    <row r="193" spans="1:172" ht="15.6">
      <c r="A193" s="2" t="s">
        <v>1545</v>
      </c>
      <c r="B193" s="2" t="s">
        <v>255</v>
      </c>
      <c r="C193" s="2" t="s">
        <v>1137</v>
      </c>
      <c r="D193" s="2" t="s">
        <v>1546</v>
      </c>
      <c r="E193" s="2" t="s">
        <v>889</v>
      </c>
      <c r="F193" s="2" t="s">
        <v>356</v>
      </c>
      <c r="G193" s="2">
        <v>29</v>
      </c>
      <c r="H193" s="2">
        <v>27.5</v>
      </c>
      <c r="I193" s="2">
        <v>27.5</v>
      </c>
      <c r="J193" s="2">
        <f t="shared" ref="J193:J197" si="750">SUMIF(FI193:FP193,TRUE,FA193:FH193)</f>
        <v>29.000000000220002</v>
      </c>
      <c r="K193" s="2">
        <f t="shared" ref="K193:K197" si="751">SUMIF(DU193:EB193,TRUE,DM193:DT193)</f>
        <v>27.500000000289997</v>
      </c>
      <c r="L193" s="2">
        <f t="shared" ref="L193:L197" si="752">SUMIF(CF193:CM193,TRUE,BX193:CE193)</f>
        <v>27.5000000002</v>
      </c>
      <c r="M193" s="364" t="s">
        <v>356</v>
      </c>
      <c r="N193" s="364" t="s">
        <v>356</v>
      </c>
      <c r="O193" s="364" t="s">
        <v>356</v>
      </c>
      <c r="P193" s="364" t="s">
        <v>356</v>
      </c>
      <c r="Q193" s="364" t="s">
        <v>356</v>
      </c>
      <c r="R193" s="2" t="s">
        <v>1547</v>
      </c>
      <c r="S193" s="2" t="s">
        <v>1177</v>
      </c>
      <c r="T193" s="2">
        <v>45</v>
      </c>
      <c r="U193" s="2" cm="1">
        <f t="array" ref="U193">IFERROR(INDEX('Offer Statistics'!$BQ$2:$BQ$400,MATCH(1,(A193='Offer Statistics'!$BB$2:$BB$400)*($A$11='Offer Statistics'!$BC$2:$BC$400),0)),"/")</f>
        <v>40</v>
      </c>
      <c r="V193" s="2" cm="1">
        <f t="array" ref="V193">IFERROR(INDEX('Offer Statistics'!$BD$2:$BD$400,MATCH(1,(A193='Offer Statistics'!$BB$2:$BB$400)*($A$11='Offer Statistics'!$BC$2:$BC$400),0)),"/")</f>
        <v>385</v>
      </c>
      <c r="W193" s="2" cm="1">
        <f t="array" ref="W193">IFERROR(INDEX('Offer Statistics'!$BL$2:$BL$400,MATCH(1,(A193='Offer Statistics'!$BB$2:$BB$400)*($A$11='Offer Statistics'!$BC$2:$BC$400),0)),"/")</f>
        <v>40</v>
      </c>
      <c r="X193" s="2">
        <f t="shared" ref="X193:X197" si="753">IFERROR(V193/W193,"新科目")</f>
        <v>9.625</v>
      </c>
      <c r="Y193" s="2" t="s">
        <v>1177</v>
      </c>
      <c r="Z193" s="364" t="str">
        <f>入學要求!AF202</f>
        <v>/</v>
      </c>
      <c r="AA193" s="364" t="str">
        <f>入學要求!AG202</f>
        <v>/</v>
      </c>
      <c r="AB193" s="368" t="s">
        <v>889</v>
      </c>
      <c r="AC193" s="368"/>
      <c r="AD193" s="368"/>
      <c r="AE193" s="368" t="s">
        <v>356</v>
      </c>
      <c r="AF193" s="368" t="s">
        <v>356</v>
      </c>
      <c r="AG193" s="368" t="s">
        <v>356</v>
      </c>
      <c r="AH193" s="368" t="s">
        <v>356</v>
      </c>
      <c r="AI193" s="368" t="s">
        <v>356</v>
      </c>
      <c r="AJ193" s="2" t="s">
        <v>356</v>
      </c>
      <c r="AK193" s="2" t="s">
        <v>356</v>
      </c>
      <c r="AL193" s="2" t="s">
        <v>356</v>
      </c>
      <c r="AM193" s="2" t="s">
        <v>356</v>
      </c>
      <c r="AN193" s="2" t="s">
        <v>356</v>
      </c>
      <c r="AO193" s="2" t="s">
        <v>356</v>
      </c>
      <c r="AP193" s="2" t="s">
        <v>356</v>
      </c>
      <c r="AQ193" s="2" t="s">
        <v>356</v>
      </c>
      <c r="AS193" s="2" t="s">
        <v>820</v>
      </c>
      <c r="AU193" s="2" t="s">
        <v>817</v>
      </c>
      <c r="AY193" s="2">
        <v>1</v>
      </c>
      <c r="AZ193" s="2">
        <v>1</v>
      </c>
      <c r="BA193" s="2">
        <v>1</v>
      </c>
      <c r="BB193" s="2">
        <v>1</v>
      </c>
      <c r="BC193" s="2">
        <v>1</v>
      </c>
      <c r="BD193" s="2">
        <v>1</v>
      </c>
      <c r="BE193" s="2">
        <v>1</v>
      </c>
      <c r="BF193" s="2">
        <v>1</v>
      </c>
      <c r="BG193" s="2" t="s">
        <v>1545</v>
      </c>
      <c r="BH193">
        <v>5.5</v>
      </c>
      <c r="BI193">
        <v>4</v>
      </c>
      <c r="BJ193">
        <v>3</v>
      </c>
      <c r="BK193">
        <v>4</v>
      </c>
      <c r="BL193" t="s">
        <v>356</v>
      </c>
      <c r="BM193">
        <v>7</v>
      </c>
      <c r="BN193">
        <v>7</v>
      </c>
      <c r="BO193" t="s">
        <v>356</v>
      </c>
      <c r="BP193" s="206">
        <f t="shared" ref="BP193:BP197" si="754">IFERROR(BH193+0.00000000004,0)</f>
        <v>5.50000000004</v>
      </c>
      <c r="BQ193" s="206">
        <f t="shared" ref="BQ193:BQ197" si="755">IFERROR(BI193+0.00000000002,0)</f>
        <v>4.00000000002</v>
      </c>
      <c r="BR193" s="206">
        <f t="shared" ref="BR193:BR197" si="756">IFERROR(BJ193+0.00000000003,0)</f>
        <v>3.00000000003</v>
      </c>
      <c r="BS193" s="206">
        <f t="shared" ref="BS193:BS197" si="757">IFERROR(BK193+0.00000000001,0)</f>
        <v>4.00000000001</v>
      </c>
      <c r="BT193" s="206">
        <f t="shared" ref="BT193:BT197" si="758">IFERROR(BL193+0.00000000005,0)</f>
        <v>0</v>
      </c>
      <c r="BU193" s="206">
        <f t="shared" ref="BU193:BU197" si="759">IFERROR(BM193+0.00000000006,0)</f>
        <v>7.00000000006</v>
      </c>
      <c r="BV193" s="206">
        <f t="shared" ref="BV193:BV197" si="760">IFERROR(BN193+0.00000000007,0)</f>
        <v>7.00000000007</v>
      </c>
      <c r="BW193" s="206">
        <f t="shared" ref="BW193:BW197" si="761">IFERROR(BO193+0.00000000008,0)</f>
        <v>0</v>
      </c>
      <c r="BX193" s="2">
        <f t="shared" si="710"/>
        <v>5.50000000004</v>
      </c>
      <c r="BY193" s="2">
        <f t="shared" si="711"/>
        <v>4.00000000002</v>
      </c>
      <c r="BZ193" s="2">
        <f t="shared" si="712"/>
        <v>3.00000000003</v>
      </c>
      <c r="CA193" s="2">
        <f t="shared" si="713"/>
        <v>4.00000000001</v>
      </c>
      <c r="CB193" s="2">
        <f t="shared" si="714"/>
        <v>0</v>
      </c>
      <c r="CC193" s="2">
        <f t="shared" si="715"/>
        <v>7.00000000006</v>
      </c>
      <c r="CD193" s="2">
        <f t="shared" si="716"/>
        <v>7.00000000007</v>
      </c>
      <c r="CE193" s="2">
        <f t="shared" si="717"/>
        <v>0</v>
      </c>
      <c r="CF193" s="2" t="b">
        <f t="shared" si="718"/>
        <v>1</v>
      </c>
      <c r="CG193" s="2" t="b">
        <f t="shared" si="719"/>
        <v>1</v>
      </c>
      <c r="CH193" s="2" t="b">
        <f t="shared" si="720"/>
        <v>0</v>
      </c>
      <c r="CI193" s="2" t="b">
        <f t="shared" si="721"/>
        <v>1</v>
      </c>
      <c r="CJ193" s="2" t="b">
        <f t="shared" si="722"/>
        <v>0</v>
      </c>
      <c r="CK193" s="2" t="b">
        <f t="shared" si="723"/>
        <v>1</v>
      </c>
      <c r="CL193" s="2" t="b">
        <f t="shared" si="724"/>
        <v>1</v>
      </c>
      <c r="CM193" s="2" t="b">
        <f t="shared" si="725"/>
        <v>0</v>
      </c>
      <c r="CN193" s="2">
        <v>1</v>
      </c>
      <c r="CO193" s="2">
        <v>1</v>
      </c>
      <c r="CP193" s="2">
        <v>1</v>
      </c>
      <c r="CQ193" s="2">
        <v>1</v>
      </c>
      <c r="CR193" s="2">
        <v>1</v>
      </c>
      <c r="CS193" s="2">
        <v>1</v>
      </c>
      <c r="CT193" s="2">
        <v>1</v>
      </c>
      <c r="CU193" s="2">
        <v>1</v>
      </c>
      <c r="CW193" s="2">
        <v>4</v>
      </c>
      <c r="CX193" s="2">
        <v>3</v>
      </c>
      <c r="CY193" s="2">
        <v>7</v>
      </c>
      <c r="CZ193" s="2">
        <v>4</v>
      </c>
      <c r="DA193" s="2">
        <v>5.5</v>
      </c>
      <c r="DB193" s="2">
        <v>5.5</v>
      </c>
      <c r="DC193" s="2">
        <v>5.5</v>
      </c>
      <c r="DD193" s="2">
        <v>4</v>
      </c>
      <c r="DE193" s="206">
        <f t="shared" ref="DE193:DE197" si="762">IFERROR(CW193+0.00000000004,0)</f>
        <v>4.00000000004</v>
      </c>
      <c r="DF193" s="206">
        <f t="shared" ref="DF193:DF195" si="763">IFERROR(CX193+0.00000000002,0)</f>
        <v>3.00000000002</v>
      </c>
      <c r="DG193" s="206">
        <f t="shared" si="688"/>
        <v>7.00000000003</v>
      </c>
      <c r="DH193" s="206">
        <f t="shared" si="689"/>
        <v>4.00000000001</v>
      </c>
      <c r="DI193" s="206">
        <f t="shared" si="690"/>
        <v>5.50000000005</v>
      </c>
      <c r="DJ193" s="206">
        <f t="shared" si="691"/>
        <v>5.50000000006</v>
      </c>
      <c r="DK193" s="206">
        <f t="shared" si="692"/>
        <v>5.50000000007</v>
      </c>
      <c r="DL193" s="206">
        <f t="shared" si="693"/>
        <v>4.00000000008</v>
      </c>
      <c r="DM193" s="2">
        <f t="shared" si="694"/>
        <v>4.00000000004</v>
      </c>
      <c r="DN193" s="2">
        <f t="shared" si="726"/>
        <v>3.00000000002</v>
      </c>
      <c r="DO193" s="2">
        <f t="shared" si="727"/>
        <v>7.00000000003</v>
      </c>
      <c r="DP193" s="2">
        <f t="shared" si="728"/>
        <v>4.00000000001</v>
      </c>
      <c r="DQ193" s="2">
        <f t="shared" si="729"/>
        <v>5.50000000005</v>
      </c>
      <c r="DR193" s="2">
        <f t="shared" si="730"/>
        <v>5.50000000006</v>
      </c>
      <c r="DS193" s="2">
        <f t="shared" si="731"/>
        <v>5.50000000007</v>
      </c>
      <c r="DT193" s="2">
        <f t="shared" si="732"/>
        <v>4.00000000008</v>
      </c>
      <c r="DU193" s="2" t="b">
        <f t="shared" si="733"/>
        <v>0</v>
      </c>
      <c r="DV193" s="2" t="b">
        <f t="shared" si="734"/>
        <v>0</v>
      </c>
      <c r="DW193" s="2" t="b">
        <f t="shared" si="735"/>
        <v>1</v>
      </c>
      <c r="DX193" s="2" t="b">
        <f t="shared" si="736"/>
        <v>0</v>
      </c>
      <c r="DY193" s="2" t="b">
        <f t="shared" si="737"/>
        <v>1</v>
      </c>
      <c r="DZ193" s="2" t="b">
        <f t="shared" si="738"/>
        <v>1</v>
      </c>
      <c r="EA193" s="2" t="b">
        <f t="shared" si="739"/>
        <v>1</v>
      </c>
      <c r="EB193" s="2" t="b">
        <f t="shared" si="740"/>
        <v>1</v>
      </c>
      <c r="EC193" s="2">
        <v>1</v>
      </c>
      <c r="ED193" s="2">
        <v>1</v>
      </c>
      <c r="EE193" s="2">
        <v>1</v>
      </c>
      <c r="EF193" s="2">
        <v>1</v>
      </c>
      <c r="EG193" s="2">
        <v>1</v>
      </c>
      <c r="EH193" s="2">
        <v>1</v>
      </c>
      <c r="EI193" s="2">
        <v>1</v>
      </c>
      <c r="EJ193" s="2">
        <v>1</v>
      </c>
      <c r="EK193" s="2">
        <v>8.5</v>
      </c>
      <c r="EL193" s="2">
        <v>5.5</v>
      </c>
      <c r="EM193" s="2">
        <v>5.5</v>
      </c>
      <c r="EN193" s="2">
        <v>4</v>
      </c>
      <c r="EO193" s="2" t="s">
        <v>356</v>
      </c>
      <c r="EP193" s="2">
        <v>5.5</v>
      </c>
      <c r="EQ193" s="2">
        <v>4</v>
      </c>
      <c r="ER193" s="2">
        <v>3</v>
      </c>
      <c r="ES193" s="206">
        <f t="shared" ref="ES193:ES197" si="764">IFERROR(EK193+0.00000000004,0)</f>
        <v>8.50000000004</v>
      </c>
      <c r="ET193" s="206">
        <f t="shared" ref="ET193:ET197" si="765">IFERROR(EL193+0.00000000002,0)</f>
        <v>5.50000000002</v>
      </c>
      <c r="EU193" s="206">
        <f t="shared" ref="EU193:EU197" si="766">IFERROR(EM193+0.00000000003,0)</f>
        <v>5.50000000003</v>
      </c>
      <c r="EV193" s="206">
        <f t="shared" ref="EV193:EV197" si="767">IFERROR(EN193+0.00000000001,0)</f>
        <v>4.00000000001</v>
      </c>
      <c r="EW193" s="206">
        <f t="shared" ref="EW193:EW197" si="768">IFERROR(EO193+0.00000000005,0)</f>
        <v>0</v>
      </c>
      <c r="EX193" s="206">
        <f t="shared" ref="EX193:EX197" si="769">IFERROR(EP193+0.00000000006,0)</f>
        <v>5.50000000006</v>
      </c>
      <c r="EY193" s="206">
        <f t="shared" ref="EY193:EY197" si="770">IFERROR(EQ193+0.00000000007,0)</f>
        <v>4.00000000007</v>
      </c>
      <c r="EZ193" s="206">
        <f t="shared" ref="EZ193:EZ197" si="771">IFERROR(ER193+0.00000000008,0)</f>
        <v>3.00000000008</v>
      </c>
      <c r="FA193" s="2">
        <f t="shared" si="749"/>
        <v>8.50000000004</v>
      </c>
      <c r="FB193" s="2">
        <f t="shared" si="626"/>
        <v>5.50000000002</v>
      </c>
      <c r="FC193" s="2">
        <f t="shared" si="627"/>
        <v>5.50000000003</v>
      </c>
      <c r="FD193" s="2">
        <f t="shared" si="628"/>
        <v>4.00000000001</v>
      </c>
      <c r="FE193" s="2">
        <f t="shared" si="629"/>
        <v>0</v>
      </c>
      <c r="FF193" s="2">
        <f t="shared" si="630"/>
        <v>5.50000000006</v>
      </c>
      <c r="FG193" s="2">
        <f t="shared" si="631"/>
        <v>4.00000000007</v>
      </c>
      <c r="FH193" s="2">
        <f t="shared" si="632"/>
        <v>3.00000000008</v>
      </c>
      <c r="FI193" s="2" t="b">
        <f t="shared" si="741"/>
        <v>1</v>
      </c>
      <c r="FJ193" s="2" t="b">
        <f t="shared" si="742"/>
        <v>1</v>
      </c>
      <c r="FK193" s="2" t="b">
        <f t="shared" si="743"/>
        <v>1</v>
      </c>
      <c r="FL193" s="2" t="b">
        <f t="shared" si="744"/>
        <v>0</v>
      </c>
      <c r="FM193" s="2" t="b">
        <f t="shared" si="745"/>
        <v>0</v>
      </c>
      <c r="FN193" s="2" t="b">
        <f t="shared" si="746"/>
        <v>1</v>
      </c>
      <c r="FO193" s="2" t="b">
        <f t="shared" si="747"/>
        <v>1</v>
      </c>
      <c r="FP193" s="2" t="b">
        <f t="shared" si="748"/>
        <v>0</v>
      </c>
    </row>
    <row r="194" spans="1:172" s="427" customFormat="1" ht="15.6">
      <c r="A194" s="427" t="s">
        <v>1548</v>
      </c>
      <c r="B194" s="427" t="s">
        <v>255</v>
      </c>
      <c r="C194" s="427" t="s">
        <v>1137</v>
      </c>
      <c r="D194" s="427" t="s">
        <v>1549</v>
      </c>
      <c r="E194" s="427" t="s">
        <v>889</v>
      </c>
      <c r="F194" s="427" t="s">
        <v>356</v>
      </c>
      <c r="G194" s="427">
        <v>28.5</v>
      </c>
      <c r="H194" s="427">
        <v>27.75</v>
      </c>
      <c r="I194" s="427">
        <v>27</v>
      </c>
      <c r="J194" s="427">
        <f t="shared" si="750"/>
        <v>28.500000000175</v>
      </c>
      <c r="K194" s="427">
        <f t="shared" si="751"/>
        <v>27.750000000175</v>
      </c>
      <c r="L194" s="427">
        <f t="shared" si="752"/>
        <v>27.000000000184997</v>
      </c>
      <c r="M194" s="427" t="s">
        <v>356</v>
      </c>
      <c r="N194" s="427" t="s">
        <v>356</v>
      </c>
      <c r="O194" s="427" t="s">
        <v>1551</v>
      </c>
      <c r="P194" s="427" t="s">
        <v>356</v>
      </c>
      <c r="Q194" s="427" t="s">
        <v>356</v>
      </c>
      <c r="R194" s="427" t="s">
        <v>1550</v>
      </c>
      <c r="S194" s="427" t="s">
        <v>1177</v>
      </c>
      <c r="T194" s="427">
        <v>38</v>
      </c>
      <c r="U194" s="427" cm="1">
        <f t="array" ref="U194">IFERROR(INDEX('Offer Statistics'!$BQ$2:$BQ$400,MATCH(1,(A194='Offer Statistics'!$BB$2:$BB$400)*($A$11='Offer Statistics'!$BC$2:$BC$400),0)),"/")</f>
        <v>49</v>
      </c>
      <c r="V194" s="427" cm="1">
        <f t="array" ref="V194">IFERROR(INDEX('Offer Statistics'!$BD$2:$BD$400,MATCH(1,(A194='Offer Statistics'!$BB$2:$BB$400)*($A$11='Offer Statistics'!$BC$2:$BC$400),0)),"/")</f>
        <v>422</v>
      </c>
      <c r="W194" s="427" cm="1">
        <f t="array" ref="W194">IFERROR(INDEX('Offer Statistics'!$BL$2:$BL$400,MATCH(1,(A194='Offer Statistics'!$BB$2:$BB$400)*($A$11='Offer Statistics'!$BC$2:$BC$400),0)),"/")</f>
        <v>47</v>
      </c>
      <c r="X194" s="427">
        <f t="shared" si="753"/>
        <v>8.9787234042553195</v>
      </c>
      <c r="Y194" s="427" t="s">
        <v>1177</v>
      </c>
      <c r="Z194" s="364" t="str">
        <f>入學要求!AF203</f>
        <v>/</v>
      </c>
      <c r="AA194" s="364" t="str">
        <f>入學要求!AG203</f>
        <v>/</v>
      </c>
      <c r="AB194" s="405" t="s">
        <v>889</v>
      </c>
      <c r="AE194" s="406" t="s">
        <v>356</v>
      </c>
      <c r="AF194" s="406" t="s">
        <v>356</v>
      </c>
      <c r="AG194" s="405" t="s">
        <v>838</v>
      </c>
      <c r="AH194" s="406" t="s">
        <v>356</v>
      </c>
      <c r="AI194" s="406" t="s">
        <v>356</v>
      </c>
      <c r="AJ194" s="427" t="s">
        <v>356</v>
      </c>
      <c r="AK194" s="427" t="s">
        <v>356</v>
      </c>
      <c r="AL194" s="427" t="s">
        <v>356</v>
      </c>
      <c r="AM194" s="427" t="s">
        <v>356</v>
      </c>
      <c r="AN194" s="427" t="s">
        <v>356</v>
      </c>
      <c r="AO194" s="427" t="s">
        <v>356</v>
      </c>
      <c r="AP194" s="427" t="s">
        <v>356</v>
      </c>
      <c r="AQ194" s="427" t="s">
        <v>356</v>
      </c>
      <c r="AS194" s="427" t="s">
        <v>820</v>
      </c>
      <c r="AU194" s="427" t="s">
        <v>817</v>
      </c>
      <c r="AY194" s="427">
        <v>1</v>
      </c>
      <c r="AZ194" s="427">
        <v>1.5</v>
      </c>
      <c r="BA194" s="427">
        <v>1</v>
      </c>
      <c r="BB194" s="427">
        <v>1.5</v>
      </c>
      <c r="BC194" s="427">
        <v>1</v>
      </c>
      <c r="BD194" s="427">
        <v>1</v>
      </c>
      <c r="BE194" s="427">
        <v>1</v>
      </c>
      <c r="BF194" s="427">
        <v>1</v>
      </c>
      <c r="BG194" s="427" t="s">
        <v>1548</v>
      </c>
      <c r="BH194" s="428">
        <v>5.5</v>
      </c>
      <c r="BI194" s="428">
        <v>4</v>
      </c>
      <c r="BJ194" s="428">
        <v>5.5</v>
      </c>
      <c r="BK194" s="428">
        <v>4</v>
      </c>
      <c r="BL194" s="428">
        <v>3</v>
      </c>
      <c r="BM194" s="428">
        <v>4</v>
      </c>
      <c r="BN194" s="428">
        <v>4</v>
      </c>
      <c r="BO194" s="428">
        <v>3</v>
      </c>
      <c r="BP194" s="429">
        <f t="shared" si="754"/>
        <v>5.50000000004</v>
      </c>
      <c r="BQ194" s="429">
        <f t="shared" si="755"/>
        <v>4.00000000002</v>
      </c>
      <c r="BR194" s="429">
        <f t="shared" si="756"/>
        <v>5.50000000003</v>
      </c>
      <c r="BS194" s="429">
        <f t="shared" si="757"/>
        <v>4.00000000001</v>
      </c>
      <c r="BT194" s="429">
        <f t="shared" si="758"/>
        <v>3.00000000005</v>
      </c>
      <c r="BU194" s="429">
        <f t="shared" si="759"/>
        <v>4.00000000006</v>
      </c>
      <c r="BV194" s="429">
        <f t="shared" si="760"/>
        <v>4.00000000007</v>
      </c>
      <c r="BW194" s="429">
        <f t="shared" si="761"/>
        <v>3.00000000008</v>
      </c>
      <c r="BX194" s="427">
        <f t="shared" si="710"/>
        <v>5.50000000004</v>
      </c>
      <c r="BY194" s="427">
        <f t="shared" si="711"/>
        <v>6.00000000003</v>
      </c>
      <c r="BZ194" s="427">
        <f t="shared" si="712"/>
        <v>5.50000000003</v>
      </c>
      <c r="CA194" s="427">
        <f t="shared" si="713"/>
        <v>6.0000000000149996</v>
      </c>
      <c r="CB194" s="427">
        <f t="shared" si="714"/>
        <v>3.00000000005</v>
      </c>
      <c r="CC194" s="427">
        <f t="shared" si="715"/>
        <v>4.00000000006</v>
      </c>
      <c r="CD194" s="427">
        <f t="shared" si="716"/>
        <v>4.00000000007</v>
      </c>
      <c r="CE194" s="427">
        <f t="shared" si="717"/>
        <v>3.00000000008</v>
      </c>
      <c r="CF194" s="427" t="b">
        <f t="shared" si="718"/>
        <v>1</v>
      </c>
      <c r="CG194" s="427" t="b">
        <f t="shared" si="719"/>
        <v>1</v>
      </c>
      <c r="CH194" s="427" t="b">
        <f t="shared" si="720"/>
        <v>1</v>
      </c>
      <c r="CI194" s="427" t="b">
        <f t="shared" si="721"/>
        <v>1</v>
      </c>
      <c r="CJ194" s="427" t="b">
        <f t="shared" si="722"/>
        <v>0</v>
      </c>
      <c r="CK194" s="427" t="b">
        <f t="shared" si="723"/>
        <v>0</v>
      </c>
      <c r="CL194" s="427" t="b">
        <f t="shared" si="724"/>
        <v>1</v>
      </c>
      <c r="CM194" s="427" t="b">
        <f t="shared" si="725"/>
        <v>0</v>
      </c>
      <c r="CN194" s="427">
        <v>1</v>
      </c>
      <c r="CO194" s="427">
        <v>1.5</v>
      </c>
      <c r="CP194" s="427">
        <v>1</v>
      </c>
      <c r="CQ194" s="427">
        <v>1.5</v>
      </c>
      <c r="CR194" s="427">
        <v>1</v>
      </c>
      <c r="CS194" s="427">
        <v>1</v>
      </c>
      <c r="CT194" s="427">
        <v>1</v>
      </c>
      <c r="CU194" s="427">
        <v>1</v>
      </c>
      <c r="CW194" s="427">
        <v>4</v>
      </c>
      <c r="CX194" s="427">
        <v>5.5</v>
      </c>
      <c r="CY194" s="427">
        <v>4</v>
      </c>
      <c r="CZ194" s="427">
        <v>4</v>
      </c>
      <c r="DA194" s="427" t="s">
        <v>356</v>
      </c>
      <c r="DB194" s="427">
        <v>5.5</v>
      </c>
      <c r="DC194" s="427">
        <v>3</v>
      </c>
      <c r="DD194" s="427" t="s">
        <v>356</v>
      </c>
      <c r="DE194" s="429">
        <f t="shared" si="762"/>
        <v>4.00000000004</v>
      </c>
      <c r="DF194" s="429">
        <f t="shared" si="763"/>
        <v>5.50000000002</v>
      </c>
      <c r="DG194" s="429">
        <f t="shared" si="688"/>
        <v>4.00000000003</v>
      </c>
      <c r="DH194" s="429">
        <f t="shared" si="689"/>
        <v>4.00000000001</v>
      </c>
      <c r="DI194" s="429">
        <f t="shared" si="690"/>
        <v>0</v>
      </c>
      <c r="DJ194" s="429">
        <f t="shared" si="691"/>
        <v>5.50000000006</v>
      </c>
      <c r="DK194" s="429">
        <f t="shared" si="692"/>
        <v>3.00000000007</v>
      </c>
      <c r="DL194" s="429">
        <f t="shared" si="693"/>
        <v>0</v>
      </c>
      <c r="DM194" s="427">
        <f t="shared" si="694"/>
        <v>4.00000000004</v>
      </c>
      <c r="DN194" s="427">
        <f t="shared" si="726"/>
        <v>8.2500000000299991</v>
      </c>
      <c r="DO194" s="427">
        <f t="shared" si="727"/>
        <v>4.00000000003</v>
      </c>
      <c r="DP194" s="427">
        <f t="shared" si="728"/>
        <v>6.0000000000149996</v>
      </c>
      <c r="DQ194" s="427">
        <f t="shared" si="729"/>
        <v>0</v>
      </c>
      <c r="DR194" s="427">
        <f t="shared" si="730"/>
        <v>5.50000000006</v>
      </c>
      <c r="DS194" s="427">
        <f t="shared" si="731"/>
        <v>3.00000000007</v>
      </c>
      <c r="DT194" s="427">
        <f t="shared" si="732"/>
        <v>0</v>
      </c>
      <c r="DU194" s="427" t="b">
        <f t="shared" si="733"/>
        <v>1</v>
      </c>
      <c r="DV194" s="427" t="b">
        <f t="shared" si="734"/>
        <v>1</v>
      </c>
      <c r="DW194" s="427" t="b">
        <f t="shared" si="735"/>
        <v>1</v>
      </c>
      <c r="DX194" s="427" t="b">
        <f t="shared" si="736"/>
        <v>1</v>
      </c>
      <c r="DY194" s="427" t="b">
        <f t="shared" si="737"/>
        <v>0</v>
      </c>
      <c r="DZ194" s="427" t="b">
        <f t="shared" si="738"/>
        <v>1</v>
      </c>
      <c r="EA194" s="427" t="b">
        <f t="shared" si="739"/>
        <v>0</v>
      </c>
      <c r="EB194" s="427" t="b">
        <f t="shared" si="740"/>
        <v>0</v>
      </c>
      <c r="EC194" s="427">
        <v>1</v>
      </c>
      <c r="ED194" s="427">
        <v>1.5</v>
      </c>
      <c r="EE194" s="427">
        <v>1</v>
      </c>
      <c r="EF194" s="427">
        <v>1.5</v>
      </c>
      <c r="EG194" s="427">
        <v>1</v>
      </c>
      <c r="EH194" s="427">
        <v>1</v>
      </c>
      <c r="EI194" s="427">
        <v>1</v>
      </c>
      <c r="EJ194" s="427">
        <v>1</v>
      </c>
      <c r="EK194" s="427">
        <v>4</v>
      </c>
      <c r="EL194" s="427">
        <v>4</v>
      </c>
      <c r="EM194" s="427">
        <v>4</v>
      </c>
      <c r="EN194" s="427">
        <v>7</v>
      </c>
      <c r="EO194" s="427" t="s">
        <v>356</v>
      </c>
      <c r="EP194" s="427">
        <v>4</v>
      </c>
      <c r="EQ194" s="427">
        <v>3</v>
      </c>
      <c r="ER194" s="427" t="s">
        <v>356</v>
      </c>
      <c r="ES194" s="429">
        <f t="shared" si="764"/>
        <v>4.00000000004</v>
      </c>
      <c r="ET194" s="429">
        <f t="shared" si="765"/>
        <v>4.00000000002</v>
      </c>
      <c r="EU194" s="429">
        <f t="shared" si="766"/>
        <v>4.00000000003</v>
      </c>
      <c r="EV194" s="429">
        <f t="shared" si="767"/>
        <v>7.00000000001</v>
      </c>
      <c r="EW194" s="429">
        <f t="shared" si="768"/>
        <v>0</v>
      </c>
      <c r="EX194" s="429">
        <f t="shared" si="769"/>
        <v>4.00000000006</v>
      </c>
      <c r="EY194" s="429">
        <f t="shared" si="770"/>
        <v>3.00000000007</v>
      </c>
      <c r="EZ194" s="429">
        <f t="shared" si="771"/>
        <v>0</v>
      </c>
      <c r="FA194" s="427">
        <f t="shared" si="749"/>
        <v>4.00000000004</v>
      </c>
      <c r="FB194" s="427">
        <f t="shared" si="626"/>
        <v>6.00000000003</v>
      </c>
      <c r="FC194" s="427">
        <f t="shared" si="627"/>
        <v>4.00000000003</v>
      </c>
      <c r="FD194" s="427">
        <f t="shared" si="628"/>
        <v>10.500000000015</v>
      </c>
      <c r="FE194" s="427">
        <f t="shared" si="629"/>
        <v>0</v>
      </c>
      <c r="FF194" s="427">
        <f t="shared" si="630"/>
        <v>4.00000000006</v>
      </c>
      <c r="FG194" s="427">
        <f t="shared" si="631"/>
        <v>3.00000000007</v>
      </c>
      <c r="FH194" s="427">
        <f t="shared" si="632"/>
        <v>0</v>
      </c>
      <c r="FI194" s="427" t="b">
        <f t="shared" si="741"/>
        <v>1</v>
      </c>
      <c r="FJ194" s="427" t="b">
        <f t="shared" si="742"/>
        <v>1</v>
      </c>
      <c r="FK194" s="427" t="b">
        <f t="shared" si="743"/>
        <v>1</v>
      </c>
      <c r="FL194" s="427" t="b">
        <f t="shared" si="744"/>
        <v>1</v>
      </c>
      <c r="FM194" s="427" t="b">
        <f t="shared" si="745"/>
        <v>0</v>
      </c>
      <c r="FN194" s="427" t="b">
        <f t="shared" si="746"/>
        <v>1</v>
      </c>
      <c r="FO194" s="427" t="b">
        <f t="shared" si="747"/>
        <v>0</v>
      </c>
      <c r="FP194" s="427" t="b">
        <f t="shared" si="748"/>
        <v>0</v>
      </c>
    </row>
    <row r="195" spans="1:172">
      <c r="A195" s="2" t="s">
        <v>1552</v>
      </c>
      <c r="B195" s="2" t="s">
        <v>255</v>
      </c>
      <c r="C195" s="2" t="s">
        <v>1137</v>
      </c>
      <c r="D195" s="2" t="s">
        <v>1553</v>
      </c>
      <c r="E195" s="2" t="s">
        <v>889</v>
      </c>
      <c r="F195" s="2" t="s">
        <v>356</v>
      </c>
      <c r="G195" s="2">
        <v>29.5</v>
      </c>
      <c r="H195" s="2">
        <v>26.5</v>
      </c>
      <c r="I195" s="2">
        <v>25.75</v>
      </c>
      <c r="J195" s="2">
        <f t="shared" si="750"/>
        <v>29.50000000028</v>
      </c>
      <c r="K195" s="2">
        <f t="shared" si="751"/>
        <v>26.500000000229999</v>
      </c>
      <c r="L195" s="2">
        <f t="shared" si="752"/>
        <v>25.750000000209997</v>
      </c>
      <c r="M195" s="364" t="s">
        <v>356</v>
      </c>
      <c r="N195" s="364" t="s">
        <v>356</v>
      </c>
      <c r="O195" s="364" t="s">
        <v>836</v>
      </c>
      <c r="P195" s="364" t="s">
        <v>356</v>
      </c>
      <c r="Q195" s="364" t="s">
        <v>356</v>
      </c>
      <c r="R195" s="2" t="s">
        <v>1554</v>
      </c>
      <c r="S195" s="2" t="s">
        <v>1177</v>
      </c>
      <c r="T195" s="2">
        <v>19</v>
      </c>
      <c r="U195" s="2" cm="1">
        <f t="array" ref="U195">IFERROR(INDEX('Offer Statistics'!$BQ$2:$BQ$400,MATCH(1,(A195='Offer Statistics'!$BB$2:$BB$400)*($A$11='Offer Statistics'!$BC$2:$BC$400),0)),"/")</f>
        <v>16</v>
      </c>
      <c r="V195" s="2" cm="1">
        <f t="array" ref="V195">IFERROR(INDEX('Offer Statistics'!$BD$2:$BD$400,MATCH(1,(A195='Offer Statistics'!$BB$2:$BB$400)*($A$11='Offer Statistics'!$BC$2:$BC$400),0)),"/")</f>
        <v>84</v>
      </c>
      <c r="W195" s="2" cm="1">
        <f t="array" ref="W195">IFERROR(INDEX('Offer Statistics'!$BL$2:$BL$400,MATCH(1,(A195='Offer Statistics'!$BB$2:$BB$400)*($A$11='Offer Statistics'!$BC$2:$BC$400),0)),"/")</f>
        <v>16</v>
      </c>
      <c r="X195" s="2">
        <f t="shared" si="753"/>
        <v>5.25</v>
      </c>
      <c r="Y195" s="2" t="s">
        <v>1177</v>
      </c>
      <c r="Z195" s="364" t="str">
        <f>入學要求!AF204</f>
        <v>/</v>
      </c>
      <c r="AA195" s="364" t="str">
        <f>入學要求!AG204</f>
        <v>/</v>
      </c>
      <c r="AB195" s="401" t="s">
        <v>889</v>
      </c>
      <c r="AC195" s="368"/>
      <c r="AD195" s="368"/>
      <c r="AE195" s="368" t="s">
        <v>356</v>
      </c>
      <c r="AF195" s="368" t="s">
        <v>356</v>
      </c>
      <c r="AG195" s="368" t="s">
        <v>836</v>
      </c>
      <c r="AH195" s="368" t="s">
        <v>356</v>
      </c>
      <c r="AI195" s="368" t="s">
        <v>356</v>
      </c>
      <c r="AJ195" s="2" t="s">
        <v>356</v>
      </c>
      <c r="AK195" s="2" t="s">
        <v>356</v>
      </c>
      <c r="AL195" s="2" t="s">
        <v>356</v>
      </c>
      <c r="AM195" s="2" t="s">
        <v>356</v>
      </c>
      <c r="AN195" s="2" t="s">
        <v>356</v>
      </c>
      <c r="AO195" s="2" t="s">
        <v>356</v>
      </c>
      <c r="AP195" s="2" t="s">
        <v>356</v>
      </c>
      <c r="AQ195" s="2" t="s">
        <v>356</v>
      </c>
      <c r="AS195" s="2" t="s">
        <v>820</v>
      </c>
      <c r="AU195" s="2" t="s">
        <v>817</v>
      </c>
      <c r="AY195" s="2">
        <v>1</v>
      </c>
      <c r="AZ195" s="2">
        <v>1.5</v>
      </c>
      <c r="BA195" s="2">
        <v>1</v>
      </c>
      <c r="BB195" s="2">
        <v>1</v>
      </c>
      <c r="BC195" s="2">
        <v>1</v>
      </c>
      <c r="BD195" s="2">
        <v>1</v>
      </c>
      <c r="BE195" s="2">
        <v>1</v>
      </c>
      <c r="BF195" s="2">
        <v>1</v>
      </c>
      <c r="BG195" s="2" t="s">
        <v>1552</v>
      </c>
      <c r="BH195" s="2">
        <v>4</v>
      </c>
      <c r="BI195" s="2">
        <v>5.5</v>
      </c>
      <c r="BJ195" s="2">
        <v>2</v>
      </c>
      <c r="BK195" s="2">
        <v>4</v>
      </c>
      <c r="BL195" s="2" t="s">
        <v>356</v>
      </c>
      <c r="BM195" s="2">
        <v>5.5</v>
      </c>
      <c r="BN195" s="2">
        <v>4</v>
      </c>
      <c r="BO195" s="2" t="s">
        <v>356</v>
      </c>
      <c r="BP195" s="206">
        <f t="shared" si="754"/>
        <v>4.00000000004</v>
      </c>
      <c r="BQ195" s="206">
        <f t="shared" si="755"/>
        <v>5.50000000002</v>
      </c>
      <c r="BR195" s="206">
        <f t="shared" si="756"/>
        <v>2.00000000003</v>
      </c>
      <c r="BS195" s="206">
        <f t="shared" si="757"/>
        <v>4.00000000001</v>
      </c>
      <c r="BT195" s="206">
        <f t="shared" si="758"/>
        <v>0</v>
      </c>
      <c r="BU195" s="206">
        <f t="shared" si="759"/>
        <v>5.50000000006</v>
      </c>
      <c r="BV195" s="206">
        <f t="shared" si="760"/>
        <v>4.00000000007</v>
      </c>
      <c r="BW195" s="206">
        <f t="shared" si="761"/>
        <v>0</v>
      </c>
      <c r="BX195" s="2">
        <f t="shared" si="710"/>
        <v>4.00000000004</v>
      </c>
      <c r="BY195" s="2">
        <f t="shared" si="711"/>
        <v>8.2500000000299991</v>
      </c>
      <c r="BZ195" s="2">
        <f t="shared" si="712"/>
        <v>2.00000000003</v>
      </c>
      <c r="CA195" s="2">
        <f t="shared" si="713"/>
        <v>4.00000000001</v>
      </c>
      <c r="CB195" s="2">
        <f t="shared" si="714"/>
        <v>0</v>
      </c>
      <c r="CC195" s="2">
        <f t="shared" si="715"/>
        <v>5.50000000006</v>
      </c>
      <c r="CD195" s="2">
        <f t="shared" si="716"/>
        <v>4.00000000007</v>
      </c>
      <c r="CE195" s="2">
        <f t="shared" si="717"/>
        <v>0</v>
      </c>
      <c r="CF195" s="2" t="b">
        <f t="shared" si="718"/>
        <v>1</v>
      </c>
      <c r="CG195" s="2" t="b">
        <f t="shared" si="719"/>
        <v>1</v>
      </c>
      <c r="CH195" s="2" t="b">
        <f t="shared" si="720"/>
        <v>0</v>
      </c>
      <c r="CI195" s="2" t="b">
        <f t="shared" si="721"/>
        <v>1</v>
      </c>
      <c r="CJ195" s="2" t="b">
        <f t="shared" si="722"/>
        <v>0</v>
      </c>
      <c r="CK195" s="2" t="b">
        <f t="shared" si="723"/>
        <v>1</v>
      </c>
      <c r="CL195" s="2" t="b">
        <f t="shared" si="724"/>
        <v>1</v>
      </c>
      <c r="CM195" s="2" t="b">
        <f t="shared" si="725"/>
        <v>0</v>
      </c>
      <c r="CN195" s="2">
        <v>1</v>
      </c>
      <c r="CO195" s="2">
        <v>1.5</v>
      </c>
      <c r="CP195" s="2">
        <v>1</v>
      </c>
      <c r="CQ195" s="2">
        <v>1</v>
      </c>
      <c r="CR195" s="2">
        <v>1</v>
      </c>
      <c r="CS195" s="2">
        <v>1</v>
      </c>
      <c r="CT195" s="2">
        <v>1</v>
      </c>
      <c r="CU195" s="2">
        <v>1</v>
      </c>
      <c r="CW195" s="2">
        <v>4</v>
      </c>
      <c r="CX195" s="2">
        <v>7</v>
      </c>
      <c r="CY195" s="2">
        <v>4</v>
      </c>
      <c r="CZ195" s="2">
        <v>4</v>
      </c>
      <c r="DA195" s="2" t="s">
        <v>356</v>
      </c>
      <c r="DB195" s="2">
        <v>4</v>
      </c>
      <c r="DC195" s="2">
        <v>4</v>
      </c>
      <c r="DD195" s="2" t="s">
        <v>356</v>
      </c>
      <c r="DE195" s="206">
        <f t="shared" si="762"/>
        <v>4.00000000004</v>
      </c>
      <c r="DF195" s="206">
        <f t="shared" si="763"/>
        <v>7.00000000002</v>
      </c>
      <c r="DG195" s="206">
        <f t="shared" si="688"/>
        <v>4.00000000003</v>
      </c>
      <c r="DH195" s="206">
        <f t="shared" si="689"/>
        <v>4.00000000001</v>
      </c>
      <c r="DI195" s="206">
        <f t="shared" si="690"/>
        <v>0</v>
      </c>
      <c r="DJ195" s="206">
        <f t="shared" si="691"/>
        <v>4.00000000006</v>
      </c>
      <c r="DK195" s="206">
        <f t="shared" si="692"/>
        <v>4.00000000007</v>
      </c>
      <c r="DL195" s="206">
        <f t="shared" si="693"/>
        <v>0</v>
      </c>
      <c r="DM195" s="2">
        <f t="shared" si="694"/>
        <v>4.00000000004</v>
      </c>
      <c r="DN195" s="2">
        <f t="shared" si="726"/>
        <v>10.500000000029999</v>
      </c>
      <c r="DO195" s="2">
        <f t="shared" si="727"/>
        <v>4.00000000003</v>
      </c>
      <c r="DP195" s="2">
        <f t="shared" si="728"/>
        <v>4.00000000001</v>
      </c>
      <c r="DQ195" s="2">
        <f t="shared" si="729"/>
        <v>0</v>
      </c>
      <c r="DR195" s="2">
        <f t="shared" si="730"/>
        <v>4.00000000006</v>
      </c>
      <c r="DS195" s="2">
        <f t="shared" si="731"/>
        <v>4.00000000007</v>
      </c>
      <c r="DT195" s="2">
        <f t="shared" si="732"/>
        <v>0</v>
      </c>
      <c r="DU195" s="2" t="b">
        <f t="shared" si="733"/>
        <v>1</v>
      </c>
      <c r="DV195" s="2" t="b">
        <f t="shared" si="734"/>
        <v>1</v>
      </c>
      <c r="DW195" s="2" t="b">
        <f t="shared" si="735"/>
        <v>1</v>
      </c>
      <c r="DX195" s="2" t="b">
        <f t="shared" si="736"/>
        <v>0</v>
      </c>
      <c r="DY195" s="2" t="b">
        <f t="shared" si="737"/>
        <v>0</v>
      </c>
      <c r="DZ195" s="2" t="b">
        <f t="shared" si="738"/>
        <v>1</v>
      </c>
      <c r="EA195" s="2" t="b">
        <f t="shared" si="739"/>
        <v>1</v>
      </c>
      <c r="EB195" s="2" t="b">
        <f t="shared" si="740"/>
        <v>0</v>
      </c>
      <c r="EC195" s="2">
        <v>1</v>
      </c>
      <c r="ED195" s="2">
        <v>1.5</v>
      </c>
      <c r="EE195" s="2">
        <v>1</v>
      </c>
      <c r="EF195" s="2">
        <v>1</v>
      </c>
      <c r="EG195" s="2">
        <v>1</v>
      </c>
      <c r="EH195" s="2">
        <v>1</v>
      </c>
      <c r="EI195" s="2">
        <v>1</v>
      </c>
      <c r="EJ195" s="2">
        <v>1</v>
      </c>
      <c r="EK195" s="2">
        <v>4</v>
      </c>
      <c r="EL195" s="2">
        <v>4</v>
      </c>
      <c r="EM195" s="2">
        <v>4</v>
      </c>
      <c r="EN195" s="2">
        <v>4</v>
      </c>
      <c r="EO195" s="2" t="s">
        <v>356</v>
      </c>
      <c r="EP195" s="2">
        <v>7</v>
      </c>
      <c r="EQ195" s="2">
        <v>7</v>
      </c>
      <c r="ER195" s="2">
        <v>5.5</v>
      </c>
      <c r="ES195" s="206">
        <f t="shared" si="764"/>
        <v>4.00000000004</v>
      </c>
      <c r="ET195" s="206">
        <f t="shared" si="765"/>
        <v>4.00000000002</v>
      </c>
      <c r="EU195" s="206">
        <f t="shared" si="766"/>
        <v>4.00000000003</v>
      </c>
      <c r="EV195" s="206">
        <f t="shared" si="767"/>
        <v>4.00000000001</v>
      </c>
      <c r="EW195" s="206">
        <f t="shared" si="768"/>
        <v>0</v>
      </c>
      <c r="EX195" s="206">
        <f t="shared" si="769"/>
        <v>7.00000000006</v>
      </c>
      <c r="EY195" s="206">
        <f t="shared" si="770"/>
        <v>7.00000000007</v>
      </c>
      <c r="EZ195" s="206">
        <f t="shared" si="771"/>
        <v>5.50000000008</v>
      </c>
      <c r="FA195" s="2">
        <f t="shared" si="749"/>
        <v>4.00000000004</v>
      </c>
      <c r="FB195" s="2">
        <f t="shared" si="626"/>
        <v>6.00000000003</v>
      </c>
      <c r="FC195" s="2">
        <f t="shared" si="627"/>
        <v>4.00000000003</v>
      </c>
      <c r="FD195" s="2">
        <f t="shared" si="628"/>
        <v>4.00000000001</v>
      </c>
      <c r="FE195" s="2">
        <f t="shared" si="629"/>
        <v>0</v>
      </c>
      <c r="FF195" s="2">
        <f t="shared" si="630"/>
        <v>7.00000000006</v>
      </c>
      <c r="FG195" s="2">
        <f t="shared" si="631"/>
        <v>7.00000000007</v>
      </c>
      <c r="FH195" s="2">
        <f t="shared" si="632"/>
        <v>5.50000000008</v>
      </c>
      <c r="FI195" s="2" t="b">
        <f t="shared" si="741"/>
        <v>1</v>
      </c>
      <c r="FJ195" s="2" t="b">
        <f t="shared" si="742"/>
        <v>1</v>
      </c>
      <c r="FK195" s="2" t="b">
        <f t="shared" si="743"/>
        <v>0</v>
      </c>
      <c r="FL195" s="2" t="b">
        <f t="shared" si="744"/>
        <v>0</v>
      </c>
      <c r="FM195" s="2" t="b">
        <f t="shared" si="745"/>
        <v>0</v>
      </c>
      <c r="FN195" s="2" t="b">
        <f t="shared" si="746"/>
        <v>1</v>
      </c>
      <c r="FO195" s="2" t="b">
        <f t="shared" si="747"/>
        <v>1</v>
      </c>
      <c r="FP195" s="2" t="b">
        <f t="shared" si="748"/>
        <v>1</v>
      </c>
    </row>
    <row r="196" spans="1:172">
      <c r="A196" s="2" t="s">
        <v>1555</v>
      </c>
      <c r="B196" s="2" t="s">
        <v>255</v>
      </c>
      <c r="C196" s="2" t="s">
        <v>1137</v>
      </c>
      <c r="D196" s="2" t="s">
        <v>1556</v>
      </c>
      <c r="E196" s="2" t="s">
        <v>889</v>
      </c>
      <c r="F196" s="2" t="s">
        <v>356</v>
      </c>
      <c r="G196" s="2">
        <v>26</v>
      </c>
      <c r="H196" s="2">
        <v>23</v>
      </c>
      <c r="I196" s="2">
        <v>21.5</v>
      </c>
      <c r="J196" s="2">
        <f t="shared" si="750"/>
        <v>26.000000000220002</v>
      </c>
      <c r="K196" s="2">
        <f t="shared" si="751"/>
        <v>23.000000000220002</v>
      </c>
      <c r="L196" s="2">
        <f t="shared" si="752"/>
        <v>21.500000000220002</v>
      </c>
      <c r="M196" s="364" t="s">
        <v>356</v>
      </c>
      <c r="N196" s="364" t="s">
        <v>356</v>
      </c>
      <c r="O196" s="364" t="s">
        <v>356</v>
      </c>
      <c r="P196" s="364" t="s">
        <v>356</v>
      </c>
      <c r="Q196" s="364" t="s">
        <v>356</v>
      </c>
      <c r="R196" s="2" t="s">
        <v>1557</v>
      </c>
      <c r="S196" s="2" t="s">
        <v>1177</v>
      </c>
      <c r="T196" s="2">
        <v>19</v>
      </c>
      <c r="U196" s="2" cm="1">
        <f t="array" ref="U196">IFERROR(INDEX('Offer Statistics'!$BQ$2:$BQ$400,MATCH(1,(A196='Offer Statistics'!$BB$2:$BB$400)*($A$11='Offer Statistics'!$BC$2:$BC$400),0)),"/")</f>
        <v>12</v>
      </c>
      <c r="V196" s="2" cm="1">
        <f t="array" ref="V196">IFERROR(INDEX('Offer Statistics'!$BD$2:$BD$400,MATCH(1,(A196='Offer Statistics'!$BB$2:$BB$400)*($A$11='Offer Statistics'!$BC$2:$BC$400),0)),"/")</f>
        <v>33</v>
      </c>
      <c r="W196" s="2" cm="1">
        <f t="array" ref="W196">IFERROR(INDEX('Offer Statistics'!$BL$2:$BL$400,MATCH(1,(A196='Offer Statistics'!$BB$2:$BB$400)*($A$11='Offer Statistics'!$BC$2:$BC$400),0)),"/")</f>
        <v>12</v>
      </c>
      <c r="X196" s="2">
        <f t="shared" si="753"/>
        <v>2.75</v>
      </c>
      <c r="Y196" s="2" t="s">
        <v>1177</v>
      </c>
      <c r="Z196" s="364" t="str">
        <f>入學要求!AF205</f>
        <v>/</v>
      </c>
      <c r="AA196" s="364" t="str">
        <f>入學要求!AG205</f>
        <v>/</v>
      </c>
      <c r="AB196" s="368" t="s">
        <v>889</v>
      </c>
      <c r="AC196" s="368"/>
      <c r="AD196" s="368"/>
      <c r="AE196" s="368" t="s">
        <v>356</v>
      </c>
      <c r="AF196" s="368" t="s">
        <v>356</v>
      </c>
      <c r="AG196" s="368" t="s">
        <v>356</v>
      </c>
      <c r="AH196" s="368" t="s">
        <v>356</v>
      </c>
      <c r="AI196" s="368" t="s">
        <v>356</v>
      </c>
      <c r="AJ196" s="2" t="s">
        <v>356</v>
      </c>
      <c r="AK196" s="2" t="s">
        <v>356</v>
      </c>
      <c r="AL196" s="2" t="s">
        <v>356</v>
      </c>
      <c r="AM196" s="2" t="s">
        <v>356</v>
      </c>
      <c r="AN196" s="2" t="s">
        <v>356</v>
      </c>
      <c r="AO196" s="2" t="s">
        <v>356</v>
      </c>
      <c r="AP196" s="2" t="s">
        <v>356</v>
      </c>
      <c r="AQ196" s="2" t="s">
        <v>356</v>
      </c>
      <c r="AS196" s="2" t="s">
        <v>820</v>
      </c>
      <c r="AU196" s="2" t="s">
        <v>817</v>
      </c>
      <c r="AY196" s="2">
        <v>1</v>
      </c>
      <c r="AZ196" s="2">
        <v>1</v>
      </c>
      <c r="BA196" s="2">
        <v>1</v>
      </c>
      <c r="BB196" s="2">
        <v>1</v>
      </c>
      <c r="BC196" s="2">
        <v>1</v>
      </c>
      <c r="BD196" s="2">
        <v>1</v>
      </c>
      <c r="BE196" s="2">
        <v>1</v>
      </c>
      <c r="BF196" s="2">
        <v>1</v>
      </c>
      <c r="BG196" s="2" t="s">
        <v>1555</v>
      </c>
      <c r="BH196" s="2">
        <v>4</v>
      </c>
      <c r="BI196" s="2">
        <v>4</v>
      </c>
      <c r="BJ196" s="2">
        <v>4</v>
      </c>
      <c r="BK196" s="2">
        <v>4</v>
      </c>
      <c r="BL196" s="2" t="s">
        <v>356</v>
      </c>
      <c r="BM196" s="2">
        <v>5.5</v>
      </c>
      <c r="BN196" s="2">
        <v>4</v>
      </c>
      <c r="BO196" s="2">
        <v>3</v>
      </c>
      <c r="BP196" s="206">
        <f t="shared" si="754"/>
        <v>4.00000000004</v>
      </c>
      <c r="BQ196" s="206">
        <f t="shared" si="755"/>
        <v>4.00000000002</v>
      </c>
      <c r="BR196" s="206">
        <f t="shared" si="756"/>
        <v>4.00000000003</v>
      </c>
      <c r="BS196" s="206">
        <f t="shared" si="757"/>
        <v>4.00000000001</v>
      </c>
      <c r="BT196" s="206">
        <f t="shared" si="758"/>
        <v>0</v>
      </c>
      <c r="BU196" s="206">
        <f t="shared" si="759"/>
        <v>5.50000000006</v>
      </c>
      <c r="BV196" s="206">
        <f t="shared" si="760"/>
        <v>4.00000000007</v>
      </c>
      <c r="BW196" s="206">
        <f t="shared" si="761"/>
        <v>3.00000000008</v>
      </c>
      <c r="BX196" s="2">
        <f t="shared" si="710"/>
        <v>4.00000000004</v>
      </c>
      <c r="BY196" s="2">
        <f t="shared" si="711"/>
        <v>4.00000000002</v>
      </c>
      <c r="BZ196" s="2">
        <f t="shared" si="712"/>
        <v>4.00000000003</v>
      </c>
      <c r="CA196" s="2">
        <f t="shared" si="713"/>
        <v>4.00000000001</v>
      </c>
      <c r="CB196" s="2">
        <f t="shared" si="714"/>
        <v>0</v>
      </c>
      <c r="CC196" s="2">
        <f t="shared" si="715"/>
        <v>5.50000000006</v>
      </c>
      <c r="CD196" s="2">
        <f t="shared" si="716"/>
        <v>4.00000000007</v>
      </c>
      <c r="CE196" s="2">
        <f t="shared" si="717"/>
        <v>3.00000000008</v>
      </c>
      <c r="CF196" s="2" t="b">
        <f t="shared" si="718"/>
        <v>1</v>
      </c>
      <c r="CG196" s="2" t="b">
        <f t="shared" si="719"/>
        <v>1</v>
      </c>
      <c r="CH196" s="2" t="b">
        <f t="shared" si="720"/>
        <v>1</v>
      </c>
      <c r="CI196" s="2" t="b">
        <f t="shared" si="721"/>
        <v>0</v>
      </c>
      <c r="CJ196" s="2" t="b">
        <f t="shared" si="722"/>
        <v>0</v>
      </c>
      <c r="CK196" s="2" t="b">
        <f t="shared" si="723"/>
        <v>1</v>
      </c>
      <c r="CL196" s="2" t="b">
        <f t="shared" si="724"/>
        <v>1</v>
      </c>
      <c r="CM196" s="2" t="b">
        <f t="shared" si="725"/>
        <v>0</v>
      </c>
      <c r="CN196" s="2">
        <v>1</v>
      </c>
      <c r="CO196" s="2">
        <v>1</v>
      </c>
      <c r="CP196" s="2">
        <v>1</v>
      </c>
      <c r="CQ196" s="2">
        <v>1</v>
      </c>
      <c r="CR196" s="2">
        <v>1</v>
      </c>
      <c r="CS196" s="2">
        <v>1</v>
      </c>
      <c r="CT196" s="2">
        <v>1</v>
      </c>
      <c r="CU196" s="2">
        <v>1</v>
      </c>
      <c r="CW196" s="2">
        <v>4</v>
      </c>
      <c r="CX196" s="2">
        <v>4</v>
      </c>
      <c r="CY196" s="2">
        <v>5.5</v>
      </c>
      <c r="CZ196" s="2">
        <v>4</v>
      </c>
      <c r="DA196" s="2">
        <v>3</v>
      </c>
      <c r="DB196" s="2">
        <v>5.5</v>
      </c>
      <c r="DC196" s="2">
        <v>4</v>
      </c>
      <c r="DD196" s="2" t="s">
        <v>356</v>
      </c>
      <c r="DE196" s="206">
        <f t="shared" si="762"/>
        <v>4.00000000004</v>
      </c>
      <c r="DF196" s="206">
        <f>IFERROR(CX196+0.00000000002,0)</f>
        <v>4.00000000002</v>
      </c>
      <c r="DG196" s="206">
        <f t="shared" si="688"/>
        <v>5.50000000003</v>
      </c>
      <c r="DH196" s="206">
        <f t="shared" si="689"/>
        <v>4.00000000001</v>
      </c>
      <c r="DI196" s="206">
        <f t="shared" si="690"/>
        <v>3.00000000005</v>
      </c>
      <c r="DJ196" s="206">
        <f t="shared" si="691"/>
        <v>5.50000000006</v>
      </c>
      <c r="DK196" s="206">
        <f t="shared" si="692"/>
        <v>4.00000000007</v>
      </c>
      <c r="DL196" s="206">
        <f t="shared" si="693"/>
        <v>0</v>
      </c>
      <c r="DM196" s="2">
        <f t="shared" si="694"/>
        <v>4.00000000004</v>
      </c>
      <c r="DN196" s="2">
        <f t="shared" si="726"/>
        <v>4.00000000002</v>
      </c>
      <c r="DO196" s="2">
        <f t="shared" si="727"/>
        <v>5.50000000003</v>
      </c>
      <c r="DP196" s="2">
        <f t="shared" si="728"/>
        <v>4.00000000001</v>
      </c>
      <c r="DQ196" s="2">
        <f t="shared" si="729"/>
        <v>3.00000000005</v>
      </c>
      <c r="DR196" s="2">
        <f t="shared" si="730"/>
        <v>5.50000000006</v>
      </c>
      <c r="DS196" s="2">
        <f t="shared" si="731"/>
        <v>4.00000000007</v>
      </c>
      <c r="DT196" s="2">
        <f t="shared" si="732"/>
        <v>0</v>
      </c>
      <c r="DU196" s="2" t="b">
        <f t="shared" si="733"/>
        <v>1</v>
      </c>
      <c r="DV196" s="2" t="b">
        <f t="shared" si="734"/>
        <v>1</v>
      </c>
      <c r="DW196" s="2" t="b">
        <f t="shared" si="735"/>
        <v>1</v>
      </c>
      <c r="DX196" s="2" t="b">
        <f t="shared" si="736"/>
        <v>0</v>
      </c>
      <c r="DY196" s="2" t="b">
        <f t="shared" si="737"/>
        <v>0</v>
      </c>
      <c r="DZ196" s="2" t="b">
        <f t="shared" si="738"/>
        <v>1</v>
      </c>
      <c r="EA196" s="2" t="b">
        <f t="shared" si="739"/>
        <v>1</v>
      </c>
      <c r="EB196" s="2" t="b">
        <f t="shared" si="740"/>
        <v>0</v>
      </c>
      <c r="EC196" s="2">
        <v>1</v>
      </c>
      <c r="ED196" s="2">
        <v>1</v>
      </c>
      <c r="EE196" s="2">
        <v>1</v>
      </c>
      <c r="EF196" s="2">
        <v>1</v>
      </c>
      <c r="EG196" s="2">
        <v>1</v>
      </c>
      <c r="EH196" s="2">
        <v>1</v>
      </c>
      <c r="EI196" s="2">
        <v>1</v>
      </c>
      <c r="EJ196" s="2">
        <v>1</v>
      </c>
      <c r="EK196" s="2">
        <v>3</v>
      </c>
      <c r="EL196" s="2">
        <v>3</v>
      </c>
      <c r="EM196" s="2">
        <v>5.5</v>
      </c>
      <c r="EN196" s="2">
        <v>4</v>
      </c>
      <c r="EO196" s="2">
        <v>5.5</v>
      </c>
      <c r="EP196" s="2">
        <v>5.5</v>
      </c>
      <c r="EQ196" s="2">
        <v>5.5</v>
      </c>
      <c r="ER196" s="2" t="s">
        <v>356</v>
      </c>
      <c r="ES196" s="206">
        <f t="shared" si="764"/>
        <v>3.00000000004</v>
      </c>
      <c r="ET196" s="206">
        <f t="shared" si="765"/>
        <v>3.00000000002</v>
      </c>
      <c r="EU196" s="206">
        <f t="shared" si="766"/>
        <v>5.50000000003</v>
      </c>
      <c r="EV196" s="206">
        <f t="shared" si="767"/>
        <v>4.00000000001</v>
      </c>
      <c r="EW196" s="206">
        <f t="shared" si="768"/>
        <v>5.50000000005</v>
      </c>
      <c r="EX196" s="206">
        <f t="shared" si="769"/>
        <v>5.50000000006</v>
      </c>
      <c r="EY196" s="206">
        <f t="shared" si="770"/>
        <v>5.50000000007</v>
      </c>
      <c r="EZ196" s="206">
        <f t="shared" si="771"/>
        <v>0</v>
      </c>
      <c r="FA196" s="2">
        <f t="shared" si="749"/>
        <v>3.00000000004</v>
      </c>
      <c r="FB196" s="2">
        <f t="shared" si="626"/>
        <v>3.00000000002</v>
      </c>
      <c r="FC196" s="2">
        <f t="shared" si="627"/>
        <v>5.50000000003</v>
      </c>
      <c r="FD196" s="2">
        <f t="shared" si="628"/>
        <v>4.00000000001</v>
      </c>
      <c r="FE196" s="2">
        <f t="shared" si="629"/>
        <v>5.50000000005</v>
      </c>
      <c r="FF196" s="2">
        <f t="shared" si="630"/>
        <v>5.50000000006</v>
      </c>
      <c r="FG196" s="2">
        <f t="shared" si="631"/>
        <v>5.50000000007</v>
      </c>
      <c r="FH196" s="2">
        <f t="shared" si="632"/>
        <v>0</v>
      </c>
      <c r="FI196" s="2" t="b">
        <f t="shared" si="741"/>
        <v>0</v>
      </c>
      <c r="FJ196" s="2" t="b">
        <f t="shared" si="742"/>
        <v>0</v>
      </c>
      <c r="FK196" s="2" t="b">
        <f t="shared" si="743"/>
        <v>1</v>
      </c>
      <c r="FL196" s="2" t="b">
        <f t="shared" si="744"/>
        <v>1</v>
      </c>
      <c r="FM196" s="2" t="b">
        <f t="shared" si="745"/>
        <v>1</v>
      </c>
      <c r="FN196" s="2" t="b">
        <f t="shared" si="746"/>
        <v>1</v>
      </c>
      <c r="FO196" s="2" t="b">
        <f t="shared" si="747"/>
        <v>1</v>
      </c>
      <c r="FP196" s="2" t="b">
        <f t="shared" si="748"/>
        <v>0</v>
      </c>
    </row>
    <row r="197" spans="1:172" s="406" customFormat="1">
      <c r="A197" s="406" t="s">
        <v>1558</v>
      </c>
      <c r="B197" s="406" t="s">
        <v>255</v>
      </c>
      <c r="C197" s="406" t="s">
        <v>1559</v>
      </c>
      <c r="D197" s="406" t="s">
        <v>596</v>
      </c>
      <c r="E197" s="406" t="s">
        <v>815</v>
      </c>
      <c r="F197" s="406" t="s">
        <v>356</v>
      </c>
      <c r="G197" s="406">
        <v>47.5</v>
      </c>
      <c r="H197" s="406">
        <v>45.25</v>
      </c>
      <c r="I197" s="406">
        <v>43.75</v>
      </c>
      <c r="J197" s="406">
        <f t="shared" si="750"/>
        <v>47.500000000280004</v>
      </c>
      <c r="K197" s="406">
        <f t="shared" si="751"/>
        <v>45.250000000290001</v>
      </c>
      <c r="L197" s="406">
        <f t="shared" si="752"/>
        <v>43.750000000280004</v>
      </c>
      <c r="M197" s="406" t="s">
        <v>356</v>
      </c>
      <c r="N197" s="406" t="s">
        <v>356</v>
      </c>
      <c r="O197" s="406" t="s">
        <v>1371</v>
      </c>
      <c r="P197" s="406" t="s">
        <v>982</v>
      </c>
      <c r="Q197" s="406" t="s">
        <v>356</v>
      </c>
      <c r="R197" s="406" t="s">
        <v>905</v>
      </c>
      <c r="S197" s="406" t="s">
        <v>1177</v>
      </c>
      <c r="T197" s="406">
        <v>73</v>
      </c>
      <c r="U197" s="406" cm="1">
        <f t="array" ref="U197">IFERROR(INDEX('Offer Statistics'!$BQ$2:$BQ$400,MATCH(1,(A197='Offer Statistics'!$BB$2:$BB$400)*($A$11='Offer Statistics'!$BC$2:$BC$400),0)),"/")</f>
        <v>46</v>
      </c>
      <c r="V197" s="406" cm="1">
        <f t="array" ref="V197">IFERROR(INDEX('Offer Statistics'!$BD$2:$BD$400,MATCH(1,(A197='Offer Statistics'!$BB$2:$BB$400)*($A$11='Offer Statistics'!$BC$2:$BC$400),0)),"/")</f>
        <v>247</v>
      </c>
      <c r="W197" s="406" cm="1">
        <f t="array" ref="W197">IFERROR(INDEX('Offer Statistics'!$BL$2:$BL$400,MATCH(1,(A197='Offer Statistics'!$BB$2:$BB$400)*($A$11='Offer Statistics'!$BC$2:$BC$400),0)),"/")</f>
        <v>46</v>
      </c>
      <c r="X197" s="406">
        <f t="shared" si="753"/>
        <v>5.3695652173913047</v>
      </c>
      <c r="Y197" s="406" t="s">
        <v>1177</v>
      </c>
      <c r="Z197" s="364" t="str">
        <f>入學要求!AF206</f>
        <v>/</v>
      </c>
      <c r="AA197" s="364" t="str">
        <f>入學要求!AG206</f>
        <v>/</v>
      </c>
      <c r="AB197" s="405" t="s">
        <v>2820</v>
      </c>
      <c r="AC197" s="406" t="s">
        <v>2855</v>
      </c>
      <c r="AE197" s="406" t="s">
        <v>356</v>
      </c>
      <c r="AF197" s="406" t="s">
        <v>356</v>
      </c>
      <c r="AG197" s="406" t="s">
        <v>874</v>
      </c>
      <c r="AH197" s="405" t="s">
        <v>356</v>
      </c>
      <c r="AI197" s="406" t="s">
        <v>356</v>
      </c>
      <c r="AJ197" s="406" t="s">
        <v>356</v>
      </c>
      <c r="AK197" s="406" t="s">
        <v>356</v>
      </c>
      <c r="AL197" s="406" t="s">
        <v>356</v>
      </c>
      <c r="AM197" s="406" t="s">
        <v>356</v>
      </c>
      <c r="AN197" s="406" t="s">
        <v>356</v>
      </c>
      <c r="AO197" s="406" t="s">
        <v>356</v>
      </c>
      <c r="AP197" s="406" t="s">
        <v>356</v>
      </c>
      <c r="AQ197" s="406" t="s">
        <v>356</v>
      </c>
      <c r="AS197" s="406" t="s">
        <v>820</v>
      </c>
      <c r="AU197" s="406" t="s">
        <v>1336</v>
      </c>
      <c r="AY197" s="406">
        <v>1.5</v>
      </c>
      <c r="AZ197" s="406">
        <v>2</v>
      </c>
      <c r="BA197" s="406">
        <v>1</v>
      </c>
      <c r="BB197" s="406">
        <v>2</v>
      </c>
      <c r="BC197" s="406">
        <v>1</v>
      </c>
      <c r="BD197" s="406">
        <v>1</v>
      </c>
      <c r="BE197" s="406">
        <v>1</v>
      </c>
      <c r="BF197" s="406">
        <v>1</v>
      </c>
      <c r="BG197" s="406" t="s">
        <v>1558</v>
      </c>
      <c r="BH197" s="406">
        <v>5.5</v>
      </c>
      <c r="BI197" s="406">
        <v>5.5</v>
      </c>
      <c r="BJ197" s="406">
        <v>4</v>
      </c>
      <c r="BK197" s="406">
        <v>5.5</v>
      </c>
      <c r="BL197" s="406" t="s">
        <v>356</v>
      </c>
      <c r="BM197" s="406">
        <v>5.5</v>
      </c>
      <c r="BN197" s="406">
        <v>4</v>
      </c>
      <c r="BO197" s="406">
        <v>3</v>
      </c>
      <c r="BP197" s="407">
        <f t="shared" si="754"/>
        <v>5.50000000004</v>
      </c>
      <c r="BQ197" s="407">
        <f t="shared" si="755"/>
        <v>5.50000000002</v>
      </c>
      <c r="BR197" s="407">
        <f t="shared" si="756"/>
        <v>4.00000000003</v>
      </c>
      <c r="BS197" s="407">
        <f t="shared" si="757"/>
        <v>5.50000000001</v>
      </c>
      <c r="BT197" s="407">
        <f t="shared" si="758"/>
        <v>0</v>
      </c>
      <c r="BU197" s="407">
        <f t="shared" si="759"/>
        <v>5.50000000006</v>
      </c>
      <c r="BV197" s="407">
        <f t="shared" si="760"/>
        <v>4.00000000007</v>
      </c>
      <c r="BW197" s="407">
        <f t="shared" si="761"/>
        <v>3.00000000008</v>
      </c>
      <c r="BX197" s="406">
        <f t="shared" si="710"/>
        <v>8.25000000006</v>
      </c>
      <c r="BY197" s="406">
        <f t="shared" si="711"/>
        <v>11.00000000004</v>
      </c>
      <c r="BZ197" s="406">
        <f t="shared" si="712"/>
        <v>4.00000000003</v>
      </c>
      <c r="CA197" s="406">
        <f t="shared" si="713"/>
        <v>11.00000000002</v>
      </c>
      <c r="CB197" s="406">
        <f t="shared" si="714"/>
        <v>0</v>
      </c>
      <c r="CC197" s="406">
        <f t="shared" si="715"/>
        <v>5.50000000006</v>
      </c>
      <c r="CD197" s="406">
        <f t="shared" si="716"/>
        <v>4.00000000007</v>
      </c>
      <c r="CE197" s="406">
        <f t="shared" si="717"/>
        <v>3.00000000008</v>
      </c>
      <c r="CF197" s="406" t="b">
        <f t="shared" si="718"/>
        <v>1</v>
      </c>
      <c r="CG197" s="406" t="b">
        <f t="shared" si="719"/>
        <v>1</v>
      </c>
      <c r="CH197" s="406" t="b">
        <f t="shared" si="720"/>
        <v>1</v>
      </c>
      <c r="CI197" s="406" t="b">
        <f t="shared" si="721"/>
        <v>1</v>
      </c>
      <c r="CJ197" s="406" t="b">
        <f t="shared" si="722"/>
        <v>0</v>
      </c>
      <c r="CK197" s="406" t="b">
        <f t="shared" si="723"/>
        <v>1</v>
      </c>
      <c r="CL197" s="406" t="b">
        <f t="shared" si="724"/>
        <v>1</v>
      </c>
      <c r="CM197" s="406" t="b">
        <f t="shared" si="725"/>
        <v>0</v>
      </c>
      <c r="CN197" s="406">
        <v>1.5</v>
      </c>
      <c r="CO197" s="406">
        <v>2</v>
      </c>
      <c r="CP197" s="406">
        <v>1</v>
      </c>
      <c r="CQ197" s="406">
        <v>2</v>
      </c>
      <c r="CR197" s="406">
        <v>1</v>
      </c>
      <c r="CS197" s="406">
        <v>1</v>
      </c>
      <c r="CT197" s="406">
        <v>1</v>
      </c>
      <c r="CU197" s="406">
        <v>1</v>
      </c>
      <c r="CW197" s="406">
        <v>5.5</v>
      </c>
      <c r="CX197" s="406">
        <v>7</v>
      </c>
      <c r="CY197" s="406">
        <v>5.5</v>
      </c>
      <c r="CZ197" s="406">
        <v>4</v>
      </c>
      <c r="DA197" s="406" t="s">
        <v>356</v>
      </c>
      <c r="DB197" s="406">
        <v>5.5</v>
      </c>
      <c r="DC197" s="406">
        <v>4</v>
      </c>
      <c r="DD197" s="406">
        <v>4</v>
      </c>
      <c r="DE197" s="407">
        <f t="shared" si="762"/>
        <v>5.50000000004</v>
      </c>
      <c r="DF197" s="407">
        <f>IFERROR(CX197+0.00000000002,0)</f>
        <v>7.00000000002</v>
      </c>
      <c r="DG197" s="407">
        <f t="shared" si="688"/>
        <v>5.50000000003</v>
      </c>
      <c r="DH197" s="407">
        <f t="shared" si="689"/>
        <v>4.00000000001</v>
      </c>
      <c r="DI197" s="407">
        <f t="shared" si="690"/>
        <v>0</v>
      </c>
      <c r="DJ197" s="407">
        <f t="shared" si="691"/>
        <v>5.50000000006</v>
      </c>
      <c r="DK197" s="407">
        <f t="shared" si="692"/>
        <v>4.00000000007</v>
      </c>
      <c r="DL197" s="407">
        <f t="shared" si="693"/>
        <v>4.00000000008</v>
      </c>
      <c r="DM197" s="406">
        <f t="shared" si="694"/>
        <v>8.25000000006</v>
      </c>
      <c r="DN197" s="406">
        <f t="shared" si="726"/>
        <v>14.00000000004</v>
      </c>
      <c r="DO197" s="406">
        <f t="shared" si="727"/>
        <v>5.50000000003</v>
      </c>
      <c r="DP197" s="406">
        <f t="shared" si="728"/>
        <v>8.00000000002</v>
      </c>
      <c r="DQ197" s="406">
        <f t="shared" si="729"/>
        <v>0</v>
      </c>
      <c r="DR197" s="406">
        <f t="shared" si="730"/>
        <v>5.50000000006</v>
      </c>
      <c r="DS197" s="406">
        <f t="shared" si="731"/>
        <v>4.00000000007</v>
      </c>
      <c r="DT197" s="406">
        <f t="shared" si="732"/>
        <v>4.00000000008</v>
      </c>
      <c r="DU197" s="406" t="b">
        <f t="shared" si="733"/>
        <v>1</v>
      </c>
      <c r="DV197" s="406" t="b">
        <f t="shared" si="734"/>
        <v>1</v>
      </c>
      <c r="DW197" s="406" t="b">
        <f t="shared" si="735"/>
        <v>1</v>
      </c>
      <c r="DX197" s="406" t="b">
        <f t="shared" si="736"/>
        <v>1</v>
      </c>
      <c r="DY197" s="406" t="b">
        <f t="shared" si="737"/>
        <v>0</v>
      </c>
      <c r="DZ197" s="406" t="b">
        <f t="shared" si="738"/>
        <v>1</v>
      </c>
      <c r="EA197" s="406" t="b">
        <f t="shared" si="739"/>
        <v>0</v>
      </c>
      <c r="EB197" s="406" t="b">
        <f t="shared" si="740"/>
        <v>1</v>
      </c>
      <c r="EC197" s="406">
        <v>1.5</v>
      </c>
      <c r="ED197" s="406">
        <v>2</v>
      </c>
      <c r="EE197" s="406">
        <v>1</v>
      </c>
      <c r="EF197" s="406">
        <v>2</v>
      </c>
      <c r="EG197" s="406">
        <v>1</v>
      </c>
      <c r="EH197" s="406">
        <v>1</v>
      </c>
      <c r="EI197" s="406">
        <v>1</v>
      </c>
      <c r="EJ197" s="406">
        <v>1</v>
      </c>
      <c r="EK197" s="406">
        <v>4</v>
      </c>
      <c r="EL197" s="406">
        <v>7</v>
      </c>
      <c r="EM197" s="406">
        <v>5.5</v>
      </c>
      <c r="EN197" s="406">
        <v>7</v>
      </c>
      <c r="EO197" s="406" t="s">
        <v>356</v>
      </c>
      <c r="EP197" s="406">
        <v>4</v>
      </c>
      <c r="EQ197" s="406">
        <v>4</v>
      </c>
      <c r="ER197" s="406" t="s">
        <v>356</v>
      </c>
      <c r="ES197" s="407">
        <f t="shared" si="764"/>
        <v>4.00000000004</v>
      </c>
      <c r="ET197" s="407">
        <f t="shared" si="765"/>
        <v>7.00000000002</v>
      </c>
      <c r="EU197" s="407">
        <f t="shared" si="766"/>
        <v>5.50000000003</v>
      </c>
      <c r="EV197" s="407">
        <f t="shared" si="767"/>
        <v>7.00000000001</v>
      </c>
      <c r="EW197" s="407">
        <f t="shared" si="768"/>
        <v>0</v>
      </c>
      <c r="EX197" s="407">
        <f t="shared" si="769"/>
        <v>4.00000000006</v>
      </c>
      <c r="EY197" s="407">
        <f t="shared" si="770"/>
        <v>4.00000000007</v>
      </c>
      <c r="EZ197" s="407">
        <f t="shared" si="771"/>
        <v>0</v>
      </c>
      <c r="FA197" s="406">
        <f t="shared" si="749"/>
        <v>6.00000000006</v>
      </c>
      <c r="FB197" s="406">
        <f t="shared" si="626"/>
        <v>14.00000000004</v>
      </c>
      <c r="FC197" s="406">
        <f t="shared" si="627"/>
        <v>5.50000000003</v>
      </c>
      <c r="FD197" s="406">
        <f t="shared" si="628"/>
        <v>14.00000000002</v>
      </c>
      <c r="FE197" s="406">
        <f t="shared" si="629"/>
        <v>0</v>
      </c>
      <c r="FF197" s="406">
        <f t="shared" si="630"/>
        <v>4.00000000006</v>
      </c>
      <c r="FG197" s="406">
        <f t="shared" si="631"/>
        <v>4.00000000007</v>
      </c>
      <c r="FH197" s="406">
        <f t="shared" si="632"/>
        <v>0</v>
      </c>
      <c r="FI197" s="406" t="b">
        <f t="shared" si="741"/>
        <v>1</v>
      </c>
      <c r="FJ197" s="406" t="b">
        <f t="shared" si="742"/>
        <v>1</v>
      </c>
      <c r="FK197" s="406" t="b">
        <f t="shared" si="743"/>
        <v>1</v>
      </c>
      <c r="FL197" s="406" t="b">
        <f t="shared" si="744"/>
        <v>1</v>
      </c>
      <c r="FM197" s="406" t="b">
        <f t="shared" si="745"/>
        <v>0</v>
      </c>
      <c r="FN197" s="406" t="b">
        <f t="shared" si="746"/>
        <v>1</v>
      </c>
      <c r="FO197" s="406" t="b">
        <f t="shared" si="747"/>
        <v>1</v>
      </c>
      <c r="FP197" s="406" t="b">
        <f t="shared" si="748"/>
        <v>0</v>
      </c>
    </row>
    <row r="198" spans="1:172">
      <c r="B198" s="359" t="s">
        <v>3034</v>
      </c>
      <c r="E198" s="11"/>
    </row>
    <row r="199" spans="1:172">
      <c r="T199" s="2" t="s">
        <v>75</v>
      </c>
      <c r="U199" s="2" t="s">
        <v>124</v>
      </c>
      <c r="V199" s="2" t="s">
        <v>1560</v>
      </c>
      <c r="W199" s="2" t="s">
        <v>1561</v>
      </c>
      <c r="X199" s="2" t="s">
        <v>1062</v>
      </c>
    </row>
    <row r="200" spans="1:172" ht="13.95" customHeight="1">
      <c r="A200" s="2" t="s">
        <v>515</v>
      </c>
      <c r="B200" s="2" t="s">
        <v>257</v>
      </c>
      <c r="C200" s="2" t="s">
        <v>975</v>
      </c>
      <c r="D200" s="2" t="s">
        <v>1562</v>
      </c>
      <c r="E200" s="2" t="s">
        <v>1563</v>
      </c>
      <c r="F200" s="2" t="s">
        <v>356</v>
      </c>
      <c r="G200" s="2" t="s">
        <v>356</v>
      </c>
      <c r="H200" s="364">
        <v>36.5</v>
      </c>
      <c r="I200" s="364">
        <v>34.630000000000003</v>
      </c>
      <c r="K200" s="364"/>
      <c r="M200" s="364" t="s">
        <v>3050</v>
      </c>
      <c r="N200" s="364" t="s">
        <v>3049</v>
      </c>
      <c r="O200" s="364" t="s">
        <v>1564</v>
      </c>
      <c r="P200" s="435" t="s">
        <v>1565</v>
      </c>
      <c r="Q200" s="436" t="s">
        <v>1566</v>
      </c>
      <c r="R200" s="2" t="s">
        <v>170</v>
      </c>
      <c r="S200" s="2" t="s">
        <v>817</v>
      </c>
      <c r="T200" s="2">
        <v>21</v>
      </c>
      <c r="U200" s="2" cm="1">
        <f t="array" ref="U200">IFERROR(INDEX('Offer Statistics'!$CH$2:$CH$350,MATCH(1,(A200='Offer Statistics'!$BS$2:$BS$350)*($A$11='Offer Statistics'!$BT$2:$BT$350),0)),"/")</f>
        <v>20</v>
      </c>
      <c r="V200" s="2" cm="1">
        <f t="array" ref="V200">IFERROR(INDEX('Offer Statistics'!$BU$2:$BU$350,MATCH(1,(A200='Offer Statistics'!$BS$2:$BS$350)*($A$11='Offer Statistics'!$BT$2:$BT$350),0)),"/")</f>
        <v>73</v>
      </c>
      <c r="W200" s="2" cm="1">
        <f t="array" ref="W200">IFERROR(INDEX('Offer Statistics'!$CC$2:$CC$350,MATCH(1,(A200='Offer Statistics'!$BS$2:$BS$350)*($A$11='Offer Statistics'!$BT$2:$BT$350),0)),"/")</f>
        <v>20</v>
      </c>
      <c r="X200" s="2">
        <f t="shared" ref="X200" si="772">IFERROR(V200/W200,"新科目")</f>
        <v>3.65</v>
      </c>
      <c r="Y200" s="2" t="s">
        <v>1177</v>
      </c>
      <c r="Z200" s="2" t="str">
        <f>入學要求!AF209</f>
        <v>以下一科選修取得Lv.3︰M1/2、生物、化學、組合科學、物理</v>
      </c>
      <c r="AA200" s="2" t="str">
        <f>入學要求!AG209</f>
        <v>申請人必須出席面試</v>
      </c>
      <c r="AB200" s="403" t="s">
        <v>1563</v>
      </c>
      <c r="AC200" s="364" t="s">
        <v>3073</v>
      </c>
      <c r="AE200" s="2" t="s">
        <v>1567</v>
      </c>
      <c r="AF200" s="2" t="s">
        <v>1568</v>
      </c>
      <c r="AG200" s="364" t="s">
        <v>1564</v>
      </c>
      <c r="AH200" s="435" t="s">
        <v>3076</v>
      </c>
      <c r="AI200" s="436" t="s">
        <v>1566</v>
      </c>
      <c r="AJ200" s="364" t="s">
        <v>1569</v>
      </c>
      <c r="AK200" s="364" t="s">
        <v>3052</v>
      </c>
      <c r="AL200" s="364" t="s">
        <v>356</v>
      </c>
      <c r="AM200" s="2" t="s">
        <v>1570</v>
      </c>
      <c r="AN200" s="2" t="s">
        <v>356</v>
      </c>
      <c r="AO200" s="2" t="s">
        <v>356</v>
      </c>
      <c r="AP200" s="364" t="s">
        <v>1571</v>
      </c>
      <c r="AQ200" s="364"/>
      <c r="AS200" s="2" t="s">
        <v>820</v>
      </c>
      <c r="AU200" s="2" t="s">
        <v>817</v>
      </c>
      <c r="AY200" s="2" t="s">
        <v>356</v>
      </c>
      <c r="AZ200" s="2" t="s">
        <v>356</v>
      </c>
      <c r="BA200" s="2" t="s">
        <v>356</v>
      </c>
      <c r="BB200" s="2" t="s">
        <v>356</v>
      </c>
      <c r="BC200" s="2" t="s">
        <v>356</v>
      </c>
      <c r="BD200" s="2" t="s">
        <v>356</v>
      </c>
      <c r="BE200" s="2" t="s">
        <v>356</v>
      </c>
      <c r="BF200" s="2" t="s">
        <v>356</v>
      </c>
      <c r="BH200" s="2" t="s">
        <v>356</v>
      </c>
      <c r="BI200" s="2" t="s">
        <v>356</v>
      </c>
      <c r="BJ200" s="2" t="s">
        <v>356</v>
      </c>
      <c r="BK200" s="2" t="s">
        <v>356</v>
      </c>
      <c r="BL200" s="2" t="s">
        <v>356</v>
      </c>
      <c r="BM200" s="2" t="s">
        <v>356</v>
      </c>
      <c r="BN200" s="2" t="s">
        <v>356</v>
      </c>
      <c r="BO200" s="2" t="s">
        <v>356</v>
      </c>
      <c r="BX200" s="2" t="s">
        <v>356</v>
      </c>
      <c r="BY200" s="2" t="s">
        <v>356</v>
      </c>
      <c r="BZ200" s="2" t="s">
        <v>356</v>
      </c>
      <c r="CA200" s="2" t="s">
        <v>356</v>
      </c>
      <c r="CB200" s="2" t="s">
        <v>356</v>
      </c>
      <c r="CC200" s="2" t="s">
        <v>356</v>
      </c>
      <c r="CD200" s="2" t="s">
        <v>356</v>
      </c>
      <c r="CE200" s="2" t="s">
        <v>356</v>
      </c>
      <c r="CF200" s="2" t="s">
        <v>356</v>
      </c>
      <c r="CG200" s="2" t="s">
        <v>356</v>
      </c>
      <c r="CH200" s="2" t="s">
        <v>356</v>
      </c>
      <c r="CI200" s="2" t="s">
        <v>356</v>
      </c>
      <c r="CJ200" s="2" t="s">
        <v>356</v>
      </c>
      <c r="CK200" s="2" t="s">
        <v>356</v>
      </c>
      <c r="CL200" s="2" t="s">
        <v>356</v>
      </c>
      <c r="CM200" s="2" t="s">
        <v>356</v>
      </c>
      <c r="CN200" s="2" t="s">
        <v>356</v>
      </c>
      <c r="CO200" s="2" t="s">
        <v>356</v>
      </c>
      <c r="CP200" s="2" t="s">
        <v>356</v>
      </c>
      <c r="CQ200" s="2" t="s">
        <v>356</v>
      </c>
      <c r="CR200" s="2" t="s">
        <v>356</v>
      </c>
      <c r="CS200" s="2" t="s">
        <v>356</v>
      </c>
      <c r="CT200" s="2" t="s">
        <v>356</v>
      </c>
      <c r="CU200" s="2" t="s">
        <v>356</v>
      </c>
      <c r="CW200" s="2" t="s">
        <v>356</v>
      </c>
      <c r="CX200" s="2" t="s">
        <v>356</v>
      </c>
      <c r="CY200" s="2" t="s">
        <v>356</v>
      </c>
      <c r="CZ200" s="2" t="s">
        <v>356</v>
      </c>
      <c r="DA200" s="2" t="s">
        <v>356</v>
      </c>
      <c r="DB200" s="2" t="s">
        <v>356</v>
      </c>
      <c r="DC200" s="2" t="s">
        <v>356</v>
      </c>
      <c r="DD200" s="2" t="s">
        <v>356</v>
      </c>
      <c r="DM200" s="2" t="s">
        <v>356</v>
      </c>
      <c r="DN200" s="2" t="s">
        <v>356</v>
      </c>
      <c r="DO200" s="2" t="s">
        <v>356</v>
      </c>
      <c r="DP200" s="2" t="s">
        <v>356</v>
      </c>
      <c r="DQ200" s="2" t="s">
        <v>356</v>
      </c>
      <c r="DR200" s="2" t="s">
        <v>356</v>
      </c>
      <c r="DS200" s="2" t="s">
        <v>356</v>
      </c>
      <c r="DT200" s="2" t="s">
        <v>356</v>
      </c>
      <c r="DU200" s="2" t="s">
        <v>356</v>
      </c>
      <c r="DV200" s="2" t="s">
        <v>356</v>
      </c>
      <c r="DW200" s="2" t="s">
        <v>356</v>
      </c>
      <c r="DX200" s="2" t="s">
        <v>356</v>
      </c>
      <c r="DY200" s="2" t="s">
        <v>356</v>
      </c>
      <c r="DZ200" s="2" t="s">
        <v>356</v>
      </c>
      <c r="EA200" s="2" t="s">
        <v>356</v>
      </c>
      <c r="EB200" s="2" t="s">
        <v>356</v>
      </c>
      <c r="EC200" s="2" t="s">
        <v>356</v>
      </c>
      <c r="ED200" s="2" t="s">
        <v>356</v>
      </c>
      <c r="EE200" s="2" t="s">
        <v>356</v>
      </c>
      <c r="EF200" s="2" t="s">
        <v>356</v>
      </c>
      <c r="EG200" s="2" t="s">
        <v>356</v>
      </c>
      <c r="EH200" s="2" t="s">
        <v>356</v>
      </c>
      <c r="EI200" s="2" t="s">
        <v>356</v>
      </c>
      <c r="EJ200" s="2" t="s">
        <v>356</v>
      </c>
      <c r="EK200" s="2" t="s">
        <v>356</v>
      </c>
      <c r="EL200" s="2" t="s">
        <v>356</v>
      </c>
      <c r="EM200" s="2" t="s">
        <v>356</v>
      </c>
      <c r="EN200" s="2" t="s">
        <v>356</v>
      </c>
      <c r="EO200" s="2" t="s">
        <v>356</v>
      </c>
      <c r="EP200" s="2" t="s">
        <v>356</v>
      </c>
      <c r="EQ200" s="2" t="s">
        <v>356</v>
      </c>
      <c r="ER200" s="2" t="s">
        <v>356</v>
      </c>
      <c r="FA200" s="2" t="s">
        <v>356</v>
      </c>
      <c r="FB200" s="2" t="s">
        <v>356</v>
      </c>
      <c r="FC200" s="2" t="s">
        <v>356</v>
      </c>
      <c r="FD200" s="2" t="s">
        <v>356</v>
      </c>
      <c r="FE200" s="2" t="s">
        <v>356</v>
      </c>
      <c r="FF200" s="2" t="s">
        <v>356</v>
      </c>
      <c r="FG200" s="2" t="s">
        <v>356</v>
      </c>
      <c r="FH200" s="2" t="s">
        <v>356</v>
      </c>
      <c r="FI200" s="2" t="s">
        <v>356</v>
      </c>
      <c r="FJ200" s="2" t="s">
        <v>356</v>
      </c>
      <c r="FK200" s="2" t="s">
        <v>356</v>
      </c>
      <c r="FL200" s="2" t="s">
        <v>356</v>
      </c>
      <c r="FM200" s="2" t="s">
        <v>356</v>
      </c>
      <c r="FN200" s="2" t="s">
        <v>356</v>
      </c>
      <c r="FO200" s="2" t="s">
        <v>356</v>
      </c>
      <c r="FP200" s="2" t="s">
        <v>356</v>
      </c>
    </row>
    <row r="201" spans="1:172">
      <c r="A201" s="2" t="s">
        <v>516</v>
      </c>
      <c r="B201" s="2" t="s">
        <v>257</v>
      </c>
      <c r="C201" s="2" t="s">
        <v>975</v>
      </c>
      <c r="D201" s="2" t="s">
        <v>1572</v>
      </c>
      <c r="E201" s="2" t="s">
        <v>1563</v>
      </c>
      <c r="F201" s="2" t="s">
        <v>356</v>
      </c>
      <c r="G201" s="2" t="s">
        <v>356</v>
      </c>
      <c r="H201" s="364">
        <v>29</v>
      </c>
      <c r="I201" s="364">
        <v>27</v>
      </c>
      <c r="K201" s="364"/>
      <c r="M201" s="364" t="s">
        <v>3050</v>
      </c>
      <c r="N201" s="364" t="s">
        <v>3049</v>
      </c>
      <c r="O201" s="364" t="s">
        <v>1573</v>
      </c>
      <c r="P201" s="364" t="s">
        <v>1574</v>
      </c>
      <c r="Q201" s="364" t="s">
        <v>1575</v>
      </c>
      <c r="R201" s="2" t="s">
        <v>171</v>
      </c>
      <c r="S201" s="2" t="s">
        <v>817</v>
      </c>
      <c r="T201" s="2" t="s">
        <v>3285</v>
      </c>
      <c r="U201" s="2" cm="1">
        <f t="array" ref="U201">IFERROR(INDEX('Offer Statistics'!$CH$2:$CH$350,MATCH(1,(A201='Offer Statistics'!$BS$2:$BS$350)*($A$11='Offer Statistics'!$BT$2:$BT$350),0)),"/")</f>
        <v>178</v>
      </c>
      <c r="V201" s="2" cm="1">
        <f t="array" ref="V201">IFERROR(INDEX('Offer Statistics'!$BU$2:$BU$350,MATCH(1,(A201='Offer Statistics'!$BS$2:$BS$350)*($A$11='Offer Statistics'!$BT$2:$BT$350),0)),"/")</f>
        <v>634</v>
      </c>
      <c r="W201" s="2" cm="1">
        <f t="array" ref="W201">IFERROR(INDEX('Offer Statistics'!$CC$2:$CC$350,MATCH(1,(A201='Offer Statistics'!$BS$2:$BS$350)*($A$11='Offer Statistics'!$BT$2:$BT$350),0)),"/")</f>
        <v>172</v>
      </c>
      <c r="X201" s="2">
        <f t="shared" ref="X201:X225" si="773">IFERROR(V201/W201,"新科目")</f>
        <v>3.6860465116279069</v>
      </c>
      <c r="Y201" s="2" t="s">
        <v>1177</v>
      </c>
      <c r="Z201" s="2" t="str">
        <f>入學要求!AF210</f>
        <v>以下一科選修取得Lv.3︰M1/2、生物、化學、組合科學、物理</v>
      </c>
      <c r="AA201" s="2" t="str">
        <f>入學要求!AG210</f>
        <v>/</v>
      </c>
      <c r="AB201" s="403" t="s">
        <v>1563</v>
      </c>
      <c r="AC201" s="364" t="s">
        <v>3073</v>
      </c>
      <c r="AE201" s="2" t="s">
        <v>1567</v>
      </c>
      <c r="AF201" s="2" t="s">
        <v>1568</v>
      </c>
      <c r="AG201" s="364" t="s">
        <v>1573</v>
      </c>
      <c r="AH201" s="364" t="s">
        <v>3074</v>
      </c>
      <c r="AI201" s="364" t="s">
        <v>1575</v>
      </c>
      <c r="AJ201" s="364" t="s">
        <v>1569</v>
      </c>
      <c r="AK201" s="364" t="s">
        <v>1576</v>
      </c>
      <c r="AL201" s="364" t="s">
        <v>356</v>
      </c>
      <c r="AM201" s="2" t="s">
        <v>356</v>
      </c>
      <c r="AN201" s="2" t="s">
        <v>356</v>
      </c>
      <c r="AO201" s="2" t="s">
        <v>356</v>
      </c>
      <c r="AP201" s="364" t="s">
        <v>1577</v>
      </c>
      <c r="AQ201" s="364"/>
      <c r="AS201" s="2" t="s">
        <v>820</v>
      </c>
      <c r="AU201" s="2" t="s">
        <v>817</v>
      </c>
      <c r="AY201" s="2" t="s">
        <v>356</v>
      </c>
      <c r="AZ201" s="2" t="s">
        <v>356</v>
      </c>
      <c r="BA201" s="2" t="s">
        <v>356</v>
      </c>
      <c r="BB201" s="2" t="s">
        <v>356</v>
      </c>
      <c r="BC201" s="2" t="s">
        <v>356</v>
      </c>
      <c r="BD201" s="2" t="s">
        <v>356</v>
      </c>
      <c r="BE201" s="2" t="s">
        <v>356</v>
      </c>
      <c r="BF201" s="2" t="s">
        <v>356</v>
      </c>
      <c r="BH201" s="2" t="s">
        <v>356</v>
      </c>
      <c r="BI201" s="2" t="s">
        <v>356</v>
      </c>
      <c r="BJ201" s="2" t="s">
        <v>356</v>
      </c>
      <c r="BK201" s="2" t="s">
        <v>356</v>
      </c>
      <c r="BL201" s="2" t="s">
        <v>356</v>
      </c>
      <c r="BM201" s="2" t="s">
        <v>356</v>
      </c>
      <c r="BN201" s="2" t="s">
        <v>356</v>
      </c>
      <c r="BO201" s="2" t="s">
        <v>356</v>
      </c>
      <c r="BX201" s="2" t="s">
        <v>356</v>
      </c>
      <c r="BY201" s="2" t="s">
        <v>356</v>
      </c>
      <c r="BZ201" s="2" t="s">
        <v>356</v>
      </c>
      <c r="CA201" s="2" t="s">
        <v>356</v>
      </c>
      <c r="CB201" s="2" t="s">
        <v>356</v>
      </c>
      <c r="CC201" s="2" t="s">
        <v>356</v>
      </c>
      <c r="CD201" s="2" t="s">
        <v>356</v>
      </c>
      <c r="CE201" s="2" t="s">
        <v>356</v>
      </c>
      <c r="CF201" s="2" t="s">
        <v>356</v>
      </c>
      <c r="CG201" s="2" t="s">
        <v>356</v>
      </c>
      <c r="CH201" s="2" t="s">
        <v>356</v>
      </c>
      <c r="CI201" s="2" t="s">
        <v>356</v>
      </c>
      <c r="CJ201" s="2" t="s">
        <v>356</v>
      </c>
      <c r="CK201" s="2" t="s">
        <v>356</v>
      </c>
      <c r="CL201" s="2" t="s">
        <v>356</v>
      </c>
      <c r="CM201" s="2" t="s">
        <v>356</v>
      </c>
      <c r="CN201" s="2" t="s">
        <v>356</v>
      </c>
      <c r="CO201" s="2" t="s">
        <v>356</v>
      </c>
      <c r="CP201" s="2" t="s">
        <v>356</v>
      </c>
      <c r="CQ201" s="2" t="s">
        <v>356</v>
      </c>
      <c r="CR201" s="2" t="s">
        <v>356</v>
      </c>
      <c r="CS201" s="2" t="s">
        <v>356</v>
      </c>
      <c r="CT201" s="2" t="s">
        <v>356</v>
      </c>
      <c r="CU201" s="2" t="s">
        <v>356</v>
      </c>
      <c r="CW201" s="2" t="s">
        <v>356</v>
      </c>
      <c r="CX201" s="2" t="s">
        <v>356</v>
      </c>
      <c r="CY201" s="2" t="s">
        <v>356</v>
      </c>
      <c r="CZ201" s="2" t="s">
        <v>356</v>
      </c>
      <c r="DA201" s="2" t="s">
        <v>356</v>
      </c>
      <c r="DB201" s="2" t="s">
        <v>356</v>
      </c>
      <c r="DC201" s="2" t="s">
        <v>356</v>
      </c>
      <c r="DD201" s="2" t="s">
        <v>356</v>
      </c>
      <c r="DM201" s="2" t="s">
        <v>356</v>
      </c>
      <c r="DN201" s="2" t="s">
        <v>356</v>
      </c>
      <c r="DO201" s="2" t="s">
        <v>356</v>
      </c>
      <c r="DP201" s="2" t="s">
        <v>356</v>
      </c>
      <c r="DQ201" s="2" t="s">
        <v>356</v>
      </c>
      <c r="DR201" s="2" t="s">
        <v>356</v>
      </c>
      <c r="DS201" s="2" t="s">
        <v>356</v>
      </c>
      <c r="DT201" s="2" t="s">
        <v>356</v>
      </c>
      <c r="DU201" s="2" t="s">
        <v>356</v>
      </c>
      <c r="DV201" s="2" t="s">
        <v>356</v>
      </c>
      <c r="DW201" s="2" t="s">
        <v>356</v>
      </c>
      <c r="DX201" s="2" t="s">
        <v>356</v>
      </c>
      <c r="DY201" s="2" t="s">
        <v>356</v>
      </c>
      <c r="DZ201" s="2" t="s">
        <v>356</v>
      </c>
      <c r="EA201" s="2" t="s">
        <v>356</v>
      </c>
      <c r="EB201" s="2" t="s">
        <v>356</v>
      </c>
      <c r="EC201" s="2" t="s">
        <v>356</v>
      </c>
      <c r="ED201" s="2" t="s">
        <v>356</v>
      </c>
      <c r="EE201" s="2" t="s">
        <v>356</v>
      </c>
      <c r="EF201" s="2" t="s">
        <v>356</v>
      </c>
      <c r="EG201" s="2" t="s">
        <v>356</v>
      </c>
      <c r="EH201" s="2" t="s">
        <v>356</v>
      </c>
      <c r="EI201" s="2" t="s">
        <v>356</v>
      </c>
      <c r="EJ201" s="2" t="s">
        <v>356</v>
      </c>
      <c r="EK201" s="2" t="s">
        <v>356</v>
      </c>
      <c r="EL201" s="2" t="s">
        <v>356</v>
      </c>
      <c r="EM201" s="2" t="s">
        <v>356</v>
      </c>
      <c r="EN201" s="2" t="s">
        <v>356</v>
      </c>
      <c r="EO201" s="2" t="s">
        <v>356</v>
      </c>
      <c r="EP201" s="2" t="s">
        <v>356</v>
      </c>
      <c r="EQ201" s="2" t="s">
        <v>356</v>
      </c>
      <c r="ER201" s="2" t="s">
        <v>356</v>
      </c>
      <c r="FA201" s="2" t="s">
        <v>356</v>
      </c>
      <c r="FB201" s="2" t="s">
        <v>356</v>
      </c>
      <c r="FC201" s="2" t="s">
        <v>356</v>
      </c>
      <c r="FD201" s="2" t="s">
        <v>356</v>
      </c>
      <c r="FE201" s="2" t="s">
        <v>356</v>
      </c>
      <c r="FF201" s="2" t="s">
        <v>356</v>
      </c>
      <c r="FG201" s="2" t="s">
        <v>356</v>
      </c>
      <c r="FH201" s="2" t="s">
        <v>356</v>
      </c>
      <c r="FI201" s="2" t="s">
        <v>356</v>
      </c>
      <c r="FJ201" s="2" t="s">
        <v>356</v>
      </c>
      <c r="FK201" s="2" t="s">
        <v>356</v>
      </c>
      <c r="FL201" s="2" t="s">
        <v>356</v>
      </c>
      <c r="FM201" s="2" t="s">
        <v>356</v>
      </c>
      <c r="FN201" s="2" t="s">
        <v>356</v>
      </c>
      <c r="FO201" s="2" t="s">
        <v>356</v>
      </c>
      <c r="FP201" s="2" t="s">
        <v>356</v>
      </c>
    </row>
    <row r="202" spans="1:172">
      <c r="A202" s="2" t="s">
        <v>517</v>
      </c>
      <c r="B202" s="2" t="s">
        <v>257</v>
      </c>
      <c r="C202" s="2" t="s">
        <v>975</v>
      </c>
      <c r="D202" s="2" t="s">
        <v>1578</v>
      </c>
      <c r="E202" s="2" t="s">
        <v>1563</v>
      </c>
      <c r="F202" s="2" t="s">
        <v>356</v>
      </c>
      <c r="G202" s="2" t="s">
        <v>356</v>
      </c>
      <c r="H202" s="364">
        <v>30</v>
      </c>
      <c r="I202" s="364">
        <v>28.5</v>
      </c>
      <c r="K202" s="364"/>
      <c r="M202" s="364" t="s">
        <v>3050</v>
      </c>
      <c r="N202" s="364" t="s">
        <v>3049</v>
      </c>
      <c r="O202" s="364" t="s">
        <v>1573</v>
      </c>
      <c r="P202" s="364" t="s">
        <v>1579</v>
      </c>
      <c r="Q202" s="364" t="s">
        <v>1575</v>
      </c>
      <c r="R202" s="2" t="s">
        <v>172</v>
      </c>
      <c r="S202" s="2" t="s">
        <v>817</v>
      </c>
      <c r="T202" s="2" t="s">
        <v>3285</v>
      </c>
      <c r="U202" s="2" cm="1">
        <f t="array" ref="U202">IFERROR(INDEX('Offer Statistics'!$CH$2:$CH$350,MATCH(1,(A202='Offer Statistics'!$BS$2:$BS$350)*($A$11='Offer Statistics'!$BT$2:$BT$350),0)),"/")</f>
        <v>264</v>
      </c>
      <c r="V202" s="2" cm="1">
        <f t="array" ref="V202">IFERROR(INDEX('Offer Statistics'!$BU$2:$BU$350,MATCH(1,(A202='Offer Statistics'!$BS$2:$BS$350)*($A$11='Offer Statistics'!$BT$2:$BT$350),0)),"/")</f>
        <v>858</v>
      </c>
      <c r="W202" s="2" cm="1">
        <f t="array" ref="W202">IFERROR(INDEX('Offer Statistics'!$CC$2:$CC$350,MATCH(1,(A202='Offer Statistics'!$BS$2:$BS$350)*($A$11='Offer Statistics'!$BT$2:$BT$350),0)),"/")</f>
        <v>255</v>
      </c>
      <c r="X202" s="2">
        <f t="shared" si="773"/>
        <v>3.3647058823529412</v>
      </c>
      <c r="Y202" s="2" t="s">
        <v>1177</v>
      </c>
      <c r="Z202" s="2" t="str">
        <f>入學要求!AF211</f>
        <v>以下一科選修取得Lv.3︰M1/2、生物、化學、組合科學、物理</v>
      </c>
      <c r="AA202" s="2" t="str">
        <f>入學要求!AG211</f>
        <v>/</v>
      </c>
      <c r="AB202" s="403" t="s">
        <v>1563</v>
      </c>
      <c r="AC202" s="364" t="s">
        <v>3073</v>
      </c>
      <c r="AE202" s="2" t="s">
        <v>1567</v>
      </c>
      <c r="AF202" s="2" t="s">
        <v>1580</v>
      </c>
      <c r="AG202" s="364" t="s">
        <v>1573</v>
      </c>
      <c r="AH202" s="364" t="s">
        <v>3075</v>
      </c>
      <c r="AI202" s="364" t="s">
        <v>1575</v>
      </c>
      <c r="AJ202" s="364" t="s">
        <v>1569</v>
      </c>
      <c r="AK202" s="364" t="s">
        <v>1581</v>
      </c>
      <c r="AL202" s="364" t="s">
        <v>356</v>
      </c>
      <c r="AM202" s="2" t="s">
        <v>356</v>
      </c>
      <c r="AN202" s="2" t="s">
        <v>356</v>
      </c>
      <c r="AO202" s="2" t="s">
        <v>356</v>
      </c>
      <c r="AP202" s="364" t="s">
        <v>1577</v>
      </c>
      <c r="AQ202" s="364"/>
      <c r="AS202" s="2" t="s">
        <v>820</v>
      </c>
      <c r="AU202" s="2" t="s">
        <v>817</v>
      </c>
      <c r="AY202" s="2" t="s">
        <v>356</v>
      </c>
      <c r="AZ202" s="2" t="s">
        <v>356</v>
      </c>
      <c r="BA202" s="2" t="s">
        <v>356</v>
      </c>
      <c r="BB202" s="2" t="s">
        <v>356</v>
      </c>
      <c r="BC202" s="2" t="s">
        <v>356</v>
      </c>
      <c r="BD202" s="2" t="s">
        <v>356</v>
      </c>
      <c r="BE202" s="2" t="s">
        <v>356</v>
      </c>
      <c r="BF202" s="2" t="s">
        <v>356</v>
      </c>
      <c r="BH202" s="2" t="s">
        <v>356</v>
      </c>
      <c r="BI202" s="2" t="s">
        <v>356</v>
      </c>
      <c r="BJ202" s="2" t="s">
        <v>356</v>
      </c>
      <c r="BK202" s="2" t="s">
        <v>356</v>
      </c>
      <c r="BL202" s="2" t="s">
        <v>356</v>
      </c>
      <c r="BM202" s="2" t="s">
        <v>356</v>
      </c>
      <c r="BN202" s="2" t="s">
        <v>356</v>
      </c>
      <c r="BO202" s="2" t="s">
        <v>356</v>
      </c>
      <c r="BX202" s="2" t="s">
        <v>356</v>
      </c>
      <c r="BY202" s="2" t="s">
        <v>356</v>
      </c>
      <c r="BZ202" s="2" t="s">
        <v>356</v>
      </c>
      <c r="CA202" s="2" t="s">
        <v>356</v>
      </c>
      <c r="CB202" s="2" t="s">
        <v>356</v>
      </c>
      <c r="CC202" s="2" t="s">
        <v>356</v>
      </c>
      <c r="CD202" s="2" t="s">
        <v>356</v>
      </c>
      <c r="CE202" s="2" t="s">
        <v>356</v>
      </c>
      <c r="CF202" s="2" t="s">
        <v>356</v>
      </c>
      <c r="CG202" s="2" t="s">
        <v>356</v>
      </c>
      <c r="CH202" s="2" t="s">
        <v>356</v>
      </c>
      <c r="CI202" s="2" t="s">
        <v>356</v>
      </c>
      <c r="CJ202" s="2" t="s">
        <v>356</v>
      </c>
      <c r="CK202" s="2" t="s">
        <v>356</v>
      </c>
      <c r="CL202" s="2" t="s">
        <v>356</v>
      </c>
      <c r="CM202" s="2" t="s">
        <v>356</v>
      </c>
      <c r="CN202" s="2" t="s">
        <v>356</v>
      </c>
      <c r="CO202" s="2" t="s">
        <v>356</v>
      </c>
      <c r="CP202" s="2" t="s">
        <v>356</v>
      </c>
      <c r="CQ202" s="2" t="s">
        <v>356</v>
      </c>
      <c r="CR202" s="2" t="s">
        <v>356</v>
      </c>
      <c r="CS202" s="2" t="s">
        <v>356</v>
      </c>
      <c r="CT202" s="2" t="s">
        <v>356</v>
      </c>
      <c r="CU202" s="2" t="s">
        <v>356</v>
      </c>
      <c r="CW202" s="2" t="s">
        <v>356</v>
      </c>
      <c r="CX202" s="2" t="s">
        <v>356</v>
      </c>
      <c r="CY202" s="2" t="s">
        <v>356</v>
      </c>
      <c r="CZ202" s="2" t="s">
        <v>356</v>
      </c>
      <c r="DA202" s="2" t="s">
        <v>356</v>
      </c>
      <c r="DB202" s="2" t="s">
        <v>356</v>
      </c>
      <c r="DC202" s="2" t="s">
        <v>356</v>
      </c>
      <c r="DD202" s="2" t="s">
        <v>356</v>
      </c>
      <c r="DM202" s="2" t="s">
        <v>356</v>
      </c>
      <c r="DN202" s="2" t="s">
        <v>356</v>
      </c>
      <c r="DO202" s="2" t="s">
        <v>356</v>
      </c>
      <c r="DP202" s="2" t="s">
        <v>356</v>
      </c>
      <c r="DQ202" s="2" t="s">
        <v>356</v>
      </c>
      <c r="DR202" s="2" t="s">
        <v>356</v>
      </c>
      <c r="DS202" s="2" t="s">
        <v>356</v>
      </c>
      <c r="DT202" s="2" t="s">
        <v>356</v>
      </c>
      <c r="DU202" s="2" t="s">
        <v>356</v>
      </c>
      <c r="DV202" s="2" t="s">
        <v>356</v>
      </c>
      <c r="DW202" s="2" t="s">
        <v>356</v>
      </c>
      <c r="DX202" s="2" t="s">
        <v>356</v>
      </c>
      <c r="DY202" s="2" t="s">
        <v>356</v>
      </c>
      <c r="DZ202" s="2" t="s">
        <v>356</v>
      </c>
      <c r="EA202" s="2" t="s">
        <v>356</v>
      </c>
      <c r="EB202" s="2" t="s">
        <v>356</v>
      </c>
      <c r="EC202" s="2" t="s">
        <v>356</v>
      </c>
      <c r="ED202" s="2" t="s">
        <v>356</v>
      </c>
      <c r="EE202" s="2" t="s">
        <v>356</v>
      </c>
      <c r="EF202" s="2" t="s">
        <v>356</v>
      </c>
      <c r="EG202" s="2" t="s">
        <v>356</v>
      </c>
      <c r="EH202" s="2" t="s">
        <v>356</v>
      </c>
      <c r="EI202" s="2" t="s">
        <v>356</v>
      </c>
      <c r="EJ202" s="2" t="s">
        <v>356</v>
      </c>
      <c r="EK202" s="2" t="s">
        <v>356</v>
      </c>
      <c r="EL202" s="2" t="s">
        <v>356</v>
      </c>
      <c r="EM202" s="2" t="s">
        <v>356</v>
      </c>
      <c r="EN202" s="2" t="s">
        <v>356</v>
      </c>
      <c r="EO202" s="2" t="s">
        <v>356</v>
      </c>
      <c r="EP202" s="2" t="s">
        <v>356</v>
      </c>
      <c r="EQ202" s="2" t="s">
        <v>356</v>
      </c>
      <c r="ER202" s="2" t="s">
        <v>356</v>
      </c>
      <c r="FA202" s="2" t="s">
        <v>356</v>
      </c>
      <c r="FB202" s="2" t="s">
        <v>356</v>
      </c>
      <c r="FC202" s="2" t="s">
        <v>356</v>
      </c>
      <c r="FD202" s="2" t="s">
        <v>356</v>
      </c>
      <c r="FE202" s="2" t="s">
        <v>356</v>
      </c>
      <c r="FF202" s="2" t="s">
        <v>356</v>
      </c>
      <c r="FG202" s="2" t="s">
        <v>356</v>
      </c>
      <c r="FH202" s="2" t="s">
        <v>356</v>
      </c>
      <c r="FI202" s="2" t="s">
        <v>356</v>
      </c>
      <c r="FJ202" s="2" t="s">
        <v>356</v>
      </c>
      <c r="FK202" s="2" t="s">
        <v>356</v>
      </c>
      <c r="FL202" s="2" t="s">
        <v>356</v>
      </c>
      <c r="FM202" s="2" t="s">
        <v>356</v>
      </c>
      <c r="FN202" s="2" t="s">
        <v>356</v>
      </c>
      <c r="FO202" s="2" t="s">
        <v>356</v>
      </c>
      <c r="FP202" s="2" t="s">
        <v>356</v>
      </c>
    </row>
    <row r="203" spans="1:172">
      <c r="A203" s="2" t="s">
        <v>519</v>
      </c>
      <c r="B203" s="2" t="s">
        <v>257</v>
      </c>
      <c r="C203" s="2" t="s">
        <v>975</v>
      </c>
      <c r="D203" s="2" t="s">
        <v>1582</v>
      </c>
      <c r="E203" s="2" t="s">
        <v>1563</v>
      </c>
      <c r="F203" s="2" t="s">
        <v>356</v>
      </c>
      <c r="G203" s="2" t="s">
        <v>356</v>
      </c>
      <c r="H203" s="364">
        <v>36</v>
      </c>
      <c r="I203" s="364">
        <v>34.5</v>
      </c>
      <c r="K203" s="364"/>
      <c r="M203" s="364" t="s">
        <v>3050</v>
      </c>
      <c r="N203" s="364" t="s">
        <v>3049</v>
      </c>
      <c r="O203" s="364" t="s">
        <v>1573</v>
      </c>
      <c r="P203" s="364" t="s">
        <v>1574</v>
      </c>
      <c r="Q203" s="364" t="s">
        <v>1575</v>
      </c>
      <c r="R203" s="2" t="s">
        <v>173</v>
      </c>
      <c r="S203" s="2" t="s">
        <v>817</v>
      </c>
      <c r="T203" s="2">
        <v>41</v>
      </c>
      <c r="U203" s="2" cm="1">
        <f t="array" ref="U203">IFERROR(INDEX('Offer Statistics'!$CH$2:$CH$350,MATCH(1,(A203='Offer Statistics'!$BS$2:$BS$350)*($A$11='Offer Statistics'!$BT$2:$BT$350),0)),"/")</f>
        <v>33</v>
      </c>
      <c r="V203" s="2" cm="1">
        <f t="array" ref="V203">IFERROR(INDEX('Offer Statistics'!$BU$2:$BU$350,MATCH(1,(A203='Offer Statistics'!$BS$2:$BS$350)*($A$11='Offer Statistics'!$BT$2:$BT$350),0)),"/")</f>
        <v>132</v>
      </c>
      <c r="W203" s="2" cm="1">
        <f t="array" ref="W203">IFERROR(INDEX('Offer Statistics'!$CC$2:$CC$350,MATCH(1,(A203='Offer Statistics'!$BS$2:$BS$350)*($A$11='Offer Statistics'!$BT$2:$BT$350),0)),"/")</f>
        <v>33</v>
      </c>
      <c r="X203" s="2">
        <f t="shared" si="773"/>
        <v>4</v>
      </c>
      <c r="Y203" s="2" t="s">
        <v>1177</v>
      </c>
      <c r="Z203" s="2" t="str">
        <f>入學要求!AF212</f>
        <v>以下一科選修取得Lv.3︰M1/2、生物、化學、組合科學、物理</v>
      </c>
      <c r="AA203" s="2" t="str">
        <f>入學要求!AG212</f>
        <v>/</v>
      </c>
      <c r="AB203" s="403" t="s">
        <v>1563</v>
      </c>
      <c r="AC203" s="364" t="s">
        <v>3073</v>
      </c>
      <c r="AE203" s="2" t="s">
        <v>1567</v>
      </c>
      <c r="AF203" s="2" t="s">
        <v>1580</v>
      </c>
      <c r="AG203" s="364" t="s">
        <v>1573</v>
      </c>
      <c r="AH203" s="364" t="s">
        <v>3074</v>
      </c>
      <c r="AI203" s="364" t="s">
        <v>1575</v>
      </c>
      <c r="AJ203" s="364" t="s">
        <v>1569</v>
      </c>
      <c r="AK203" s="364" t="s">
        <v>1583</v>
      </c>
      <c r="AL203" s="364" t="s">
        <v>356</v>
      </c>
      <c r="AM203" s="2" t="s">
        <v>356</v>
      </c>
      <c r="AN203" s="2" t="s">
        <v>356</v>
      </c>
      <c r="AO203" s="2" t="s">
        <v>356</v>
      </c>
      <c r="AP203" s="364" t="s">
        <v>1577</v>
      </c>
      <c r="AQ203" s="364"/>
      <c r="AS203" s="2" t="s">
        <v>820</v>
      </c>
      <c r="AU203" s="2" t="s">
        <v>817</v>
      </c>
      <c r="AY203" s="2" t="s">
        <v>356</v>
      </c>
      <c r="AZ203" s="2" t="s">
        <v>356</v>
      </c>
      <c r="BA203" s="2" t="s">
        <v>356</v>
      </c>
      <c r="BB203" s="2" t="s">
        <v>356</v>
      </c>
      <c r="BC203" s="2" t="s">
        <v>356</v>
      </c>
      <c r="BD203" s="2" t="s">
        <v>356</v>
      </c>
      <c r="BE203" s="2" t="s">
        <v>356</v>
      </c>
      <c r="BF203" s="2" t="s">
        <v>356</v>
      </c>
      <c r="BH203" s="2" t="s">
        <v>356</v>
      </c>
      <c r="BI203" s="2" t="s">
        <v>356</v>
      </c>
      <c r="BJ203" s="2" t="s">
        <v>356</v>
      </c>
      <c r="BK203" s="2" t="s">
        <v>356</v>
      </c>
      <c r="BL203" s="2" t="s">
        <v>356</v>
      </c>
      <c r="BM203" s="2" t="s">
        <v>356</v>
      </c>
      <c r="BN203" s="2" t="s">
        <v>356</v>
      </c>
      <c r="BO203" s="2" t="s">
        <v>356</v>
      </c>
      <c r="BX203" s="2" t="s">
        <v>356</v>
      </c>
      <c r="BY203" s="2" t="s">
        <v>356</v>
      </c>
      <c r="BZ203" s="2" t="s">
        <v>356</v>
      </c>
      <c r="CA203" s="2" t="s">
        <v>356</v>
      </c>
      <c r="CB203" s="2" t="s">
        <v>356</v>
      </c>
      <c r="CC203" s="2" t="s">
        <v>356</v>
      </c>
      <c r="CD203" s="2" t="s">
        <v>356</v>
      </c>
      <c r="CE203" s="2" t="s">
        <v>356</v>
      </c>
      <c r="CF203" s="2" t="s">
        <v>356</v>
      </c>
      <c r="CG203" s="2" t="s">
        <v>356</v>
      </c>
      <c r="CH203" s="2" t="s">
        <v>356</v>
      </c>
      <c r="CI203" s="2" t="s">
        <v>356</v>
      </c>
      <c r="CJ203" s="2" t="s">
        <v>356</v>
      </c>
      <c r="CK203" s="2" t="s">
        <v>356</v>
      </c>
      <c r="CL203" s="2" t="s">
        <v>356</v>
      </c>
      <c r="CM203" s="2" t="s">
        <v>356</v>
      </c>
      <c r="CN203" s="2" t="s">
        <v>356</v>
      </c>
      <c r="CO203" s="2" t="s">
        <v>356</v>
      </c>
      <c r="CP203" s="2" t="s">
        <v>356</v>
      </c>
      <c r="CQ203" s="2" t="s">
        <v>356</v>
      </c>
      <c r="CR203" s="2" t="s">
        <v>356</v>
      </c>
      <c r="CS203" s="2" t="s">
        <v>356</v>
      </c>
      <c r="CT203" s="2" t="s">
        <v>356</v>
      </c>
      <c r="CU203" s="2" t="s">
        <v>356</v>
      </c>
      <c r="CW203" s="2" t="s">
        <v>356</v>
      </c>
      <c r="CX203" s="2" t="s">
        <v>356</v>
      </c>
      <c r="CY203" s="2" t="s">
        <v>356</v>
      </c>
      <c r="CZ203" s="2" t="s">
        <v>356</v>
      </c>
      <c r="DA203" s="2" t="s">
        <v>356</v>
      </c>
      <c r="DB203" s="2" t="s">
        <v>356</v>
      </c>
      <c r="DC203" s="2" t="s">
        <v>356</v>
      </c>
      <c r="DD203" s="2" t="s">
        <v>356</v>
      </c>
      <c r="DM203" s="2" t="s">
        <v>356</v>
      </c>
      <c r="DN203" s="2" t="s">
        <v>356</v>
      </c>
      <c r="DO203" s="2" t="s">
        <v>356</v>
      </c>
      <c r="DP203" s="2" t="s">
        <v>356</v>
      </c>
      <c r="DQ203" s="2" t="s">
        <v>356</v>
      </c>
      <c r="DR203" s="2" t="s">
        <v>356</v>
      </c>
      <c r="DS203" s="2" t="s">
        <v>356</v>
      </c>
      <c r="DT203" s="2" t="s">
        <v>356</v>
      </c>
      <c r="DU203" s="2" t="s">
        <v>356</v>
      </c>
      <c r="DV203" s="2" t="s">
        <v>356</v>
      </c>
      <c r="DW203" s="2" t="s">
        <v>356</v>
      </c>
      <c r="DX203" s="2" t="s">
        <v>356</v>
      </c>
      <c r="DY203" s="2" t="s">
        <v>356</v>
      </c>
      <c r="DZ203" s="2" t="s">
        <v>356</v>
      </c>
      <c r="EA203" s="2" t="s">
        <v>356</v>
      </c>
      <c r="EB203" s="2" t="s">
        <v>356</v>
      </c>
      <c r="EC203" s="2" t="s">
        <v>356</v>
      </c>
      <c r="ED203" s="2" t="s">
        <v>356</v>
      </c>
      <c r="EE203" s="2" t="s">
        <v>356</v>
      </c>
      <c r="EF203" s="2" t="s">
        <v>356</v>
      </c>
      <c r="EG203" s="2" t="s">
        <v>356</v>
      </c>
      <c r="EH203" s="2" t="s">
        <v>356</v>
      </c>
      <c r="EI203" s="2" t="s">
        <v>356</v>
      </c>
      <c r="EJ203" s="2" t="s">
        <v>356</v>
      </c>
      <c r="EK203" s="2" t="s">
        <v>356</v>
      </c>
      <c r="EL203" s="2" t="s">
        <v>356</v>
      </c>
      <c r="EM203" s="2" t="s">
        <v>356</v>
      </c>
      <c r="EN203" s="2" t="s">
        <v>356</v>
      </c>
      <c r="EO203" s="2" t="s">
        <v>356</v>
      </c>
      <c r="EP203" s="2" t="s">
        <v>356</v>
      </c>
      <c r="EQ203" s="2" t="s">
        <v>356</v>
      </c>
      <c r="ER203" s="2" t="s">
        <v>356</v>
      </c>
      <c r="FA203" s="2" t="s">
        <v>356</v>
      </c>
      <c r="FB203" s="2" t="s">
        <v>356</v>
      </c>
      <c r="FC203" s="2" t="s">
        <v>356</v>
      </c>
      <c r="FD203" s="2" t="s">
        <v>356</v>
      </c>
      <c r="FE203" s="2" t="s">
        <v>356</v>
      </c>
      <c r="FF203" s="2" t="s">
        <v>356</v>
      </c>
      <c r="FG203" s="2" t="s">
        <v>356</v>
      </c>
      <c r="FH203" s="2" t="s">
        <v>356</v>
      </c>
      <c r="FI203" s="2" t="s">
        <v>356</v>
      </c>
      <c r="FJ203" s="2" t="s">
        <v>356</v>
      </c>
      <c r="FK203" s="2" t="s">
        <v>356</v>
      </c>
      <c r="FL203" s="2" t="s">
        <v>356</v>
      </c>
      <c r="FM203" s="2" t="s">
        <v>356</v>
      </c>
      <c r="FN203" s="2" t="s">
        <v>356</v>
      </c>
      <c r="FO203" s="2" t="s">
        <v>356</v>
      </c>
      <c r="FP203" s="2" t="s">
        <v>356</v>
      </c>
    </row>
    <row r="204" spans="1:172">
      <c r="A204" s="2" t="s">
        <v>1585</v>
      </c>
      <c r="B204" s="2" t="s">
        <v>257</v>
      </c>
      <c r="C204" s="2" t="s">
        <v>980</v>
      </c>
      <c r="D204" s="2" t="s">
        <v>1586</v>
      </c>
      <c r="E204" s="2" t="s">
        <v>1563</v>
      </c>
      <c r="F204" s="2" t="s">
        <v>356</v>
      </c>
      <c r="G204" s="2" t="s">
        <v>356</v>
      </c>
      <c r="H204" s="364">
        <v>35.5</v>
      </c>
      <c r="I204" s="364">
        <v>34</v>
      </c>
      <c r="K204" s="364"/>
      <c r="M204" s="364" t="s">
        <v>3050</v>
      </c>
      <c r="N204" s="364" t="s">
        <v>3049</v>
      </c>
      <c r="O204" s="364" t="s">
        <v>1587</v>
      </c>
      <c r="P204" s="364" t="s">
        <v>1588</v>
      </c>
      <c r="Q204" s="364" t="s">
        <v>1589</v>
      </c>
      <c r="R204" s="2" t="s">
        <v>174</v>
      </c>
      <c r="S204" s="2" t="s">
        <v>817</v>
      </c>
      <c r="T204" s="2">
        <v>532</v>
      </c>
      <c r="U204" s="2" cm="1">
        <f t="array" ref="U204">IFERROR(INDEX('Offer Statistics'!$CH$2:$CH$350,MATCH(1,(A204='Offer Statistics'!$BS$2:$BS$350)*($A$11='Offer Statistics'!$BT$2:$BT$350),0)),"/")</f>
        <v>385</v>
      </c>
      <c r="V204" s="2" cm="1">
        <f t="array" ref="V204">IFERROR(INDEX('Offer Statistics'!$BU$2:$BU$350,MATCH(1,(A204='Offer Statistics'!$BS$2:$BS$350)*($A$11='Offer Statistics'!$BT$2:$BT$350),0)),"/")</f>
        <v>1268</v>
      </c>
      <c r="W204" s="2" cm="1">
        <f t="array" ref="W204">IFERROR(INDEX('Offer Statistics'!$CC$2:$CC$350,MATCH(1,(A204='Offer Statistics'!$BS$2:$BS$350)*($A$11='Offer Statistics'!$BT$2:$BT$350),0)),"/")</f>
        <v>381</v>
      </c>
      <c r="X204" s="2">
        <f t="shared" si="773"/>
        <v>3.3280839895013123</v>
      </c>
      <c r="Y204" s="2" t="s">
        <v>1177</v>
      </c>
      <c r="Z204" s="2" t="str">
        <f>入學要求!AF213</f>
        <v>以下一科選修取得Lv.3︰生物、化學、組合科學、物理、ICT</v>
      </c>
      <c r="AA204" s="2" t="str">
        <f>入學要求!AG213</f>
        <v>/</v>
      </c>
      <c r="AB204" s="366" t="s">
        <v>1563</v>
      </c>
      <c r="AC204" s="364"/>
      <c r="AE204" s="2" t="s">
        <v>1567</v>
      </c>
      <c r="AF204" s="2" t="s">
        <v>1580</v>
      </c>
      <c r="AG204" s="364" t="s">
        <v>1587</v>
      </c>
      <c r="AH204" s="364" t="s">
        <v>1588</v>
      </c>
      <c r="AI204" s="364" t="s">
        <v>1589</v>
      </c>
      <c r="AJ204" s="364" t="s">
        <v>1569</v>
      </c>
      <c r="AK204" s="364" t="s">
        <v>1590</v>
      </c>
      <c r="AL204" s="364" t="s">
        <v>1584</v>
      </c>
      <c r="AM204" s="2" t="s">
        <v>356</v>
      </c>
      <c r="AN204" s="2" t="s">
        <v>356</v>
      </c>
      <c r="AO204" s="2" t="s">
        <v>356</v>
      </c>
      <c r="AP204" s="364" t="s">
        <v>1591</v>
      </c>
      <c r="AQ204" s="364"/>
      <c r="AS204" s="2" t="s">
        <v>820</v>
      </c>
      <c r="AU204" s="2" t="s">
        <v>817</v>
      </c>
      <c r="AY204" s="2" t="s">
        <v>356</v>
      </c>
      <c r="AZ204" s="2" t="s">
        <v>356</v>
      </c>
      <c r="BA204" s="2" t="s">
        <v>356</v>
      </c>
      <c r="BB204" s="2" t="s">
        <v>356</v>
      </c>
      <c r="BC204" s="2" t="s">
        <v>356</v>
      </c>
      <c r="BD204" s="2" t="s">
        <v>356</v>
      </c>
      <c r="BE204" s="2" t="s">
        <v>356</v>
      </c>
      <c r="BF204" s="2" t="s">
        <v>356</v>
      </c>
      <c r="BH204" s="2" t="s">
        <v>356</v>
      </c>
      <c r="BI204" s="2" t="s">
        <v>356</v>
      </c>
      <c r="BJ204" s="2" t="s">
        <v>356</v>
      </c>
      <c r="BK204" s="2" t="s">
        <v>356</v>
      </c>
      <c r="BL204" s="2" t="s">
        <v>356</v>
      </c>
      <c r="BM204" s="2" t="s">
        <v>356</v>
      </c>
      <c r="BN204" s="2" t="s">
        <v>356</v>
      </c>
      <c r="BO204" s="2" t="s">
        <v>356</v>
      </c>
      <c r="BX204" s="2" t="s">
        <v>356</v>
      </c>
      <c r="BY204" s="2" t="s">
        <v>356</v>
      </c>
      <c r="BZ204" s="2" t="s">
        <v>356</v>
      </c>
      <c r="CA204" s="2" t="s">
        <v>356</v>
      </c>
      <c r="CB204" s="2" t="s">
        <v>356</v>
      </c>
      <c r="CC204" s="2" t="s">
        <v>356</v>
      </c>
      <c r="CD204" s="2" t="s">
        <v>356</v>
      </c>
      <c r="CE204" s="2" t="s">
        <v>356</v>
      </c>
      <c r="CF204" s="2" t="s">
        <v>356</v>
      </c>
      <c r="CG204" s="2" t="s">
        <v>356</v>
      </c>
      <c r="CH204" s="2" t="s">
        <v>356</v>
      </c>
      <c r="CI204" s="2" t="s">
        <v>356</v>
      </c>
      <c r="CJ204" s="2" t="s">
        <v>356</v>
      </c>
      <c r="CK204" s="2" t="s">
        <v>356</v>
      </c>
      <c r="CL204" s="2" t="s">
        <v>356</v>
      </c>
      <c r="CM204" s="2" t="s">
        <v>356</v>
      </c>
      <c r="CN204" s="2" t="s">
        <v>356</v>
      </c>
      <c r="CO204" s="2" t="s">
        <v>356</v>
      </c>
      <c r="CP204" s="2" t="s">
        <v>356</v>
      </c>
      <c r="CQ204" s="2" t="s">
        <v>356</v>
      </c>
      <c r="CR204" s="2" t="s">
        <v>356</v>
      </c>
      <c r="CS204" s="2" t="s">
        <v>356</v>
      </c>
      <c r="CT204" s="2" t="s">
        <v>356</v>
      </c>
      <c r="CU204" s="2" t="s">
        <v>356</v>
      </c>
      <c r="CW204" s="2" t="s">
        <v>356</v>
      </c>
      <c r="CX204" s="2" t="s">
        <v>356</v>
      </c>
      <c r="CY204" s="2" t="s">
        <v>356</v>
      </c>
      <c r="CZ204" s="2" t="s">
        <v>356</v>
      </c>
      <c r="DA204" s="2" t="s">
        <v>356</v>
      </c>
      <c r="DB204" s="2" t="s">
        <v>356</v>
      </c>
      <c r="DC204" s="2" t="s">
        <v>356</v>
      </c>
      <c r="DD204" s="2" t="s">
        <v>356</v>
      </c>
      <c r="DM204" s="2" t="s">
        <v>356</v>
      </c>
      <c r="DN204" s="2" t="s">
        <v>356</v>
      </c>
      <c r="DO204" s="2" t="s">
        <v>356</v>
      </c>
      <c r="DP204" s="2" t="s">
        <v>356</v>
      </c>
      <c r="DQ204" s="2" t="s">
        <v>356</v>
      </c>
      <c r="DR204" s="2" t="s">
        <v>356</v>
      </c>
      <c r="DS204" s="2" t="s">
        <v>356</v>
      </c>
      <c r="DT204" s="2" t="s">
        <v>356</v>
      </c>
      <c r="DU204" s="2" t="s">
        <v>356</v>
      </c>
      <c r="DV204" s="2" t="s">
        <v>356</v>
      </c>
      <c r="DW204" s="2" t="s">
        <v>356</v>
      </c>
      <c r="DX204" s="2" t="s">
        <v>356</v>
      </c>
      <c r="DY204" s="2" t="s">
        <v>356</v>
      </c>
      <c r="DZ204" s="2" t="s">
        <v>356</v>
      </c>
      <c r="EA204" s="2" t="s">
        <v>356</v>
      </c>
      <c r="EB204" s="2" t="s">
        <v>356</v>
      </c>
      <c r="EC204" s="2" t="s">
        <v>356</v>
      </c>
      <c r="ED204" s="2" t="s">
        <v>356</v>
      </c>
      <c r="EE204" s="2" t="s">
        <v>356</v>
      </c>
      <c r="EF204" s="2" t="s">
        <v>356</v>
      </c>
      <c r="EG204" s="2" t="s">
        <v>356</v>
      </c>
      <c r="EH204" s="2" t="s">
        <v>356</v>
      </c>
      <c r="EI204" s="2" t="s">
        <v>356</v>
      </c>
      <c r="EJ204" s="2" t="s">
        <v>356</v>
      </c>
      <c r="EK204" s="2" t="s">
        <v>356</v>
      </c>
      <c r="EL204" s="2" t="s">
        <v>356</v>
      </c>
      <c r="EM204" s="2" t="s">
        <v>356</v>
      </c>
      <c r="EN204" s="2" t="s">
        <v>356</v>
      </c>
      <c r="EO204" s="2" t="s">
        <v>356</v>
      </c>
      <c r="EP204" s="2" t="s">
        <v>356</v>
      </c>
      <c r="EQ204" s="2" t="s">
        <v>356</v>
      </c>
      <c r="ER204" s="2" t="s">
        <v>356</v>
      </c>
      <c r="FA204" s="2" t="s">
        <v>356</v>
      </c>
      <c r="FB204" s="2" t="s">
        <v>356</v>
      </c>
      <c r="FC204" s="2" t="s">
        <v>356</v>
      </c>
      <c r="FD204" s="2" t="s">
        <v>356</v>
      </c>
      <c r="FE204" s="2" t="s">
        <v>356</v>
      </c>
      <c r="FF204" s="2" t="s">
        <v>356</v>
      </c>
      <c r="FG204" s="2" t="s">
        <v>356</v>
      </c>
      <c r="FH204" s="2" t="s">
        <v>356</v>
      </c>
      <c r="FI204" s="2" t="s">
        <v>356</v>
      </c>
      <c r="FJ204" s="2" t="s">
        <v>356</v>
      </c>
      <c r="FK204" s="2" t="s">
        <v>356</v>
      </c>
      <c r="FL204" s="2" t="s">
        <v>356</v>
      </c>
      <c r="FM204" s="2" t="s">
        <v>356</v>
      </c>
      <c r="FN204" s="2" t="s">
        <v>356</v>
      </c>
      <c r="FO204" s="2" t="s">
        <v>356</v>
      </c>
      <c r="FP204" s="2" t="s">
        <v>356</v>
      </c>
    </row>
    <row r="205" spans="1:172">
      <c r="A205" s="2" t="s">
        <v>1599</v>
      </c>
      <c r="B205" s="2" t="s">
        <v>257</v>
      </c>
      <c r="C205" s="2" t="s">
        <v>980</v>
      </c>
      <c r="D205" s="2" t="s">
        <v>1600</v>
      </c>
      <c r="E205" s="2" t="s">
        <v>1563</v>
      </c>
      <c r="F205" s="2" t="s">
        <v>356</v>
      </c>
      <c r="G205" s="2" t="s">
        <v>356</v>
      </c>
      <c r="H205" s="364">
        <v>46.5</v>
      </c>
      <c r="I205" s="364">
        <v>43.25</v>
      </c>
      <c r="K205" s="364"/>
      <c r="M205" s="364" t="s">
        <v>3050</v>
      </c>
      <c r="N205" s="364" t="s">
        <v>3049</v>
      </c>
      <c r="O205" s="364" t="s">
        <v>1587</v>
      </c>
      <c r="P205" s="364" t="s">
        <v>1588</v>
      </c>
      <c r="Q205" s="364" t="s">
        <v>1589</v>
      </c>
      <c r="R205" s="2" t="s">
        <v>176</v>
      </c>
      <c r="S205" s="2" t="s">
        <v>817</v>
      </c>
      <c r="T205" s="2">
        <v>152</v>
      </c>
      <c r="U205" s="2" cm="1">
        <f t="array" ref="U205">IFERROR(INDEX('Offer Statistics'!$CH$2:$CH$350,MATCH(1,(A205='Offer Statistics'!$BS$2:$BS$350)*($A$11='Offer Statistics'!$BT$2:$BT$350),0)),"/")</f>
        <v>140</v>
      </c>
      <c r="V205" s="2" cm="1">
        <f t="array" ref="V205">IFERROR(INDEX('Offer Statistics'!$BU$2:$BU$350,MATCH(1,(A205='Offer Statistics'!$BS$2:$BS$350)*($A$11='Offer Statistics'!$BT$2:$BT$350),0)),"/")</f>
        <v>352</v>
      </c>
      <c r="W205" s="2" cm="1">
        <f t="array" ref="W205">IFERROR(INDEX('Offer Statistics'!$CC$2:$CC$350,MATCH(1,(A205='Offer Statistics'!$BS$2:$BS$350)*($A$11='Offer Statistics'!$BT$2:$BT$350),0)),"/")</f>
        <v>140</v>
      </c>
      <c r="X205" s="2">
        <f t="shared" si="773"/>
        <v>2.5142857142857142</v>
      </c>
      <c r="Y205" s="2" t="s">
        <v>1177</v>
      </c>
      <c r="Z205" s="2" t="str">
        <f>入學要求!AF214</f>
        <v>以下一科選修取得Lv.3︰生物、化學、組合科學、物理、ICT</v>
      </c>
      <c r="AA205" s="2" t="str">
        <f>入學要求!AG214</f>
        <v>/</v>
      </c>
      <c r="AB205" s="366" t="s">
        <v>1563</v>
      </c>
      <c r="AC205" s="364"/>
      <c r="AE205" s="2" t="s">
        <v>1567</v>
      </c>
      <c r="AF205" s="2" t="s">
        <v>1580</v>
      </c>
      <c r="AG205" s="364" t="s">
        <v>1587</v>
      </c>
      <c r="AH205" s="364" t="s">
        <v>1588</v>
      </c>
      <c r="AI205" s="364" t="s">
        <v>1589</v>
      </c>
      <c r="AJ205" s="364" t="s">
        <v>1569</v>
      </c>
      <c r="AK205" s="364" t="s">
        <v>3053</v>
      </c>
      <c r="AL205" s="364" t="s">
        <v>3054</v>
      </c>
      <c r="AM205" s="2" t="s">
        <v>356</v>
      </c>
      <c r="AN205" s="2" t="s">
        <v>356</v>
      </c>
      <c r="AO205" s="2" t="s">
        <v>356</v>
      </c>
      <c r="AP205" s="364" t="s">
        <v>1591</v>
      </c>
      <c r="AQ205" s="364"/>
      <c r="AS205" s="2" t="s">
        <v>820</v>
      </c>
      <c r="AU205" s="2" t="s">
        <v>817</v>
      </c>
      <c r="AY205" s="2" t="s">
        <v>356</v>
      </c>
      <c r="AZ205" s="2" t="s">
        <v>356</v>
      </c>
      <c r="BA205" s="2" t="s">
        <v>356</v>
      </c>
      <c r="BB205" s="2" t="s">
        <v>356</v>
      </c>
      <c r="BC205" s="2" t="s">
        <v>356</v>
      </c>
      <c r="BD205" s="2" t="s">
        <v>356</v>
      </c>
      <c r="BE205" s="2" t="s">
        <v>356</v>
      </c>
      <c r="BF205" s="2" t="s">
        <v>356</v>
      </c>
      <c r="BH205" s="2" t="s">
        <v>356</v>
      </c>
      <c r="BI205" s="2" t="s">
        <v>356</v>
      </c>
      <c r="BJ205" s="2" t="s">
        <v>356</v>
      </c>
      <c r="BK205" s="2" t="s">
        <v>356</v>
      </c>
      <c r="BL205" s="2" t="s">
        <v>356</v>
      </c>
      <c r="BM205" s="2" t="s">
        <v>356</v>
      </c>
      <c r="BN205" s="2" t="s">
        <v>356</v>
      </c>
      <c r="BO205" s="2" t="s">
        <v>356</v>
      </c>
      <c r="BX205" s="2" t="s">
        <v>356</v>
      </c>
      <c r="BY205" s="2" t="s">
        <v>356</v>
      </c>
      <c r="BZ205" s="2" t="s">
        <v>356</v>
      </c>
      <c r="CA205" s="2" t="s">
        <v>356</v>
      </c>
      <c r="CB205" s="2" t="s">
        <v>356</v>
      </c>
      <c r="CC205" s="2" t="s">
        <v>356</v>
      </c>
      <c r="CD205" s="2" t="s">
        <v>356</v>
      </c>
      <c r="CE205" s="2" t="s">
        <v>356</v>
      </c>
      <c r="CF205" s="2" t="s">
        <v>356</v>
      </c>
      <c r="CG205" s="2" t="s">
        <v>356</v>
      </c>
      <c r="CH205" s="2" t="s">
        <v>356</v>
      </c>
      <c r="CI205" s="2" t="s">
        <v>356</v>
      </c>
      <c r="CJ205" s="2" t="s">
        <v>356</v>
      </c>
      <c r="CK205" s="2" t="s">
        <v>356</v>
      </c>
      <c r="CL205" s="2" t="s">
        <v>356</v>
      </c>
      <c r="CM205" s="2" t="s">
        <v>356</v>
      </c>
      <c r="CN205" s="2" t="s">
        <v>356</v>
      </c>
      <c r="CO205" s="2" t="s">
        <v>356</v>
      </c>
      <c r="CP205" s="2" t="s">
        <v>356</v>
      </c>
      <c r="CQ205" s="2" t="s">
        <v>356</v>
      </c>
      <c r="CR205" s="2" t="s">
        <v>356</v>
      </c>
      <c r="CS205" s="2" t="s">
        <v>356</v>
      </c>
      <c r="CT205" s="2" t="s">
        <v>356</v>
      </c>
      <c r="CU205" s="2" t="s">
        <v>356</v>
      </c>
      <c r="CW205" s="2" t="s">
        <v>356</v>
      </c>
      <c r="CX205" s="2" t="s">
        <v>356</v>
      </c>
      <c r="CY205" s="2" t="s">
        <v>356</v>
      </c>
      <c r="CZ205" s="2" t="s">
        <v>356</v>
      </c>
      <c r="DA205" s="2" t="s">
        <v>356</v>
      </c>
      <c r="DB205" s="2" t="s">
        <v>356</v>
      </c>
      <c r="DC205" s="2" t="s">
        <v>356</v>
      </c>
      <c r="DD205" s="2" t="s">
        <v>356</v>
      </c>
      <c r="DM205" s="2" t="s">
        <v>356</v>
      </c>
      <c r="DN205" s="2" t="s">
        <v>356</v>
      </c>
      <c r="DO205" s="2" t="s">
        <v>356</v>
      </c>
      <c r="DP205" s="2" t="s">
        <v>356</v>
      </c>
      <c r="DQ205" s="2" t="s">
        <v>356</v>
      </c>
      <c r="DR205" s="2" t="s">
        <v>356</v>
      </c>
      <c r="DS205" s="2" t="s">
        <v>356</v>
      </c>
      <c r="DT205" s="2" t="s">
        <v>356</v>
      </c>
      <c r="DU205" s="2" t="s">
        <v>356</v>
      </c>
      <c r="DV205" s="2" t="s">
        <v>356</v>
      </c>
      <c r="DW205" s="2" t="s">
        <v>356</v>
      </c>
      <c r="DX205" s="2" t="s">
        <v>356</v>
      </c>
      <c r="DY205" s="2" t="s">
        <v>356</v>
      </c>
      <c r="DZ205" s="2" t="s">
        <v>356</v>
      </c>
      <c r="EA205" s="2" t="s">
        <v>356</v>
      </c>
      <c r="EB205" s="2" t="s">
        <v>356</v>
      </c>
      <c r="EC205" s="2" t="s">
        <v>356</v>
      </c>
      <c r="ED205" s="2" t="s">
        <v>356</v>
      </c>
      <c r="EE205" s="2" t="s">
        <v>356</v>
      </c>
      <c r="EF205" s="2" t="s">
        <v>356</v>
      </c>
      <c r="EG205" s="2" t="s">
        <v>356</v>
      </c>
      <c r="EH205" s="2" t="s">
        <v>356</v>
      </c>
      <c r="EI205" s="2" t="s">
        <v>356</v>
      </c>
      <c r="EJ205" s="2" t="s">
        <v>356</v>
      </c>
      <c r="EK205" s="2" t="s">
        <v>356</v>
      </c>
      <c r="EL205" s="2" t="s">
        <v>356</v>
      </c>
      <c r="EM205" s="2" t="s">
        <v>356</v>
      </c>
      <c r="EN205" s="2" t="s">
        <v>356</v>
      </c>
      <c r="EO205" s="2" t="s">
        <v>356</v>
      </c>
      <c r="EP205" s="2" t="s">
        <v>356</v>
      </c>
      <c r="EQ205" s="2" t="s">
        <v>356</v>
      </c>
      <c r="ER205" s="2" t="s">
        <v>356</v>
      </c>
      <c r="FA205" s="2" t="s">
        <v>356</v>
      </c>
      <c r="FB205" s="2" t="s">
        <v>356</v>
      </c>
      <c r="FC205" s="2" t="s">
        <v>356</v>
      </c>
      <c r="FD205" s="2" t="s">
        <v>356</v>
      </c>
      <c r="FE205" s="2" t="s">
        <v>356</v>
      </c>
      <c r="FF205" s="2" t="s">
        <v>356</v>
      </c>
      <c r="FG205" s="2" t="s">
        <v>356</v>
      </c>
      <c r="FH205" s="2" t="s">
        <v>356</v>
      </c>
      <c r="FI205" s="2" t="s">
        <v>356</v>
      </c>
      <c r="FJ205" s="2" t="s">
        <v>356</v>
      </c>
      <c r="FK205" s="2" t="s">
        <v>356</v>
      </c>
      <c r="FL205" s="2" t="s">
        <v>356</v>
      </c>
      <c r="FM205" s="2" t="s">
        <v>356</v>
      </c>
      <c r="FN205" s="2" t="s">
        <v>356</v>
      </c>
      <c r="FO205" s="2" t="s">
        <v>356</v>
      </c>
      <c r="FP205" s="2" t="s">
        <v>356</v>
      </c>
    </row>
    <row r="206" spans="1:172">
      <c r="A206" s="2" t="s">
        <v>1601</v>
      </c>
      <c r="B206" s="2" t="s">
        <v>257</v>
      </c>
      <c r="C206" s="2" t="s">
        <v>813</v>
      </c>
      <c r="D206" s="2" t="s">
        <v>1602</v>
      </c>
      <c r="E206" s="2" t="s">
        <v>1603</v>
      </c>
      <c r="F206" s="2" t="s">
        <v>356</v>
      </c>
      <c r="G206" s="2" t="s">
        <v>356</v>
      </c>
      <c r="H206" s="364">
        <v>35</v>
      </c>
      <c r="I206" s="364">
        <v>34</v>
      </c>
      <c r="K206" s="364"/>
      <c r="M206" s="364" t="s">
        <v>3050</v>
      </c>
      <c r="N206" s="364" t="s">
        <v>3049</v>
      </c>
      <c r="O206" s="364" t="s">
        <v>1604</v>
      </c>
      <c r="P206" s="364" t="s">
        <v>356</v>
      </c>
      <c r="Q206" s="364" t="s">
        <v>356</v>
      </c>
      <c r="R206" s="2" t="s">
        <v>177</v>
      </c>
      <c r="S206" s="2" t="s">
        <v>817</v>
      </c>
      <c r="T206" s="2">
        <v>377</v>
      </c>
      <c r="U206" s="2" cm="1">
        <f t="array" ref="U206">IFERROR(INDEX('Offer Statistics'!$CH$2:$CH$350,MATCH(1,(A206='Offer Statistics'!$BS$2:$BS$350)*($A$11='Offer Statistics'!$BT$2:$BT$350),0)),"/")</f>
        <v>300</v>
      </c>
      <c r="V206" s="2" cm="1">
        <f t="array" ref="V206">IFERROR(INDEX('Offer Statistics'!$BU$2:$BU$350,MATCH(1,(A206='Offer Statistics'!$BS$2:$BS$350)*($A$11='Offer Statistics'!$BT$2:$BT$350),0)),"/")</f>
        <v>892</v>
      </c>
      <c r="W206" s="2" cm="1">
        <f t="array" ref="W206">IFERROR(INDEX('Offer Statistics'!$CC$2:$CC$350,MATCH(1,(A206='Offer Statistics'!$BS$2:$BS$350)*($A$11='Offer Statistics'!$BT$2:$BT$350),0)),"/")</f>
        <v>300</v>
      </c>
      <c r="X206" s="2">
        <f t="shared" si="773"/>
        <v>2.9733333333333332</v>
      </c>
      <c r="Y206" s="2" t="s">
        <v>1177</v>
      </c>
      <c r="Z206" s="2" t="str">
        <f>入學要求!AF215</f>
        <v>/</v>
      </c>
      <c r="AA206" s="2" t="str">
        <f>入學要求!AG215</f>
        <v>/</v>
      </c>
      <c r="AB206" s="366" t="s">
        <v>1563</v>
      </c>
      <c r="AC206" s="364"/>
      <c r="AE206" s="2" t="s">
        <v>1567</v>
      </c>
      <c r="AF206" s="2" t="s">
        <v>1580</v>
      </c>
      <c r="AG206" s="364" t="s">
        <v>3077</v>
      </c>
      <c r="AH206" s="364" t="s">
        <v>356</v>
      </c>
      <c r="AI206" s="364" t="s">
        <v>356</v>
      </c>
      <c r="AJ206" s="364" t="s">
        <v>3051</v>
      </c>
      <c r="AK206" s="364" t="s">
        <v>3059</v>
      </c>
      <c r="AL206" s="364" t="s">
        <v>356</v>
      </c>
      <c r="AM206" s="2" t="s">
        <v>356</v>
      </c>
      <c r="AN206" s="2" t="s">
        <v>356</v>
      </c>
      <c r="AO206" s="2" t="s">
        <v>356</v>
      </c>
      <c r="AP206" s="364" t="s">
        <v>1605</v>
      </c>
      <c r="AQ206" s="364"/>
      <c r="AS206" s="2" t="s">
        <v>820</v>
      </c>
      <c r="AU206" s="2" t="s">
        <v>817</v>
      </c>
      <c r="AY206" s="2" t="s">
        <v>356</v>
      </c>
      <c r="AZ206" s="2" t="s">
        <v>356</v>
      </c>
      <c r="BA206" s="2" t="s">
        <v>356</v>
      </c>
      <c r="BB206" s="2" t="s">
        <v>356</v>
      </c>
      <c r="BC206" s="2" t="s">
        <v>356</v>
      </c>
      <c r="BD206" s="2" t="s">
        <v>356</v>
      </c>
      <c r="BE206" s="2" t="s">
        <v>356</v>
      </c>
      <c r="BF206" s="2" t="s">
        <v>356</v>
      </c>
      <c r="BH206" s="2" t="s">
        <v>356</v>
      </c>
      <c r="BI206" s="2" t="s">
        <v>356</v>
      </c>
      <c r="BJ206" s="2" t="s">
        <v>356</v>
      </c>
      <c r="BK206" s="2" t="s">
        <v>356</v>
      </c>
      <c r="BL206" s="2" t="s">
        <v>356</v>
      </c>
      <c r="BM206" s="2" t="s">
        <v>356</v>
      </c>
      <c r="BN206" s="2" t="s">
        <v>356</v>
      </c>
      <c r="BO206" s="2" t="s">
        <v>356</v>
      </c>
      <c r="BX206" s="2" t="s">
        <v>356</v>
      </c>
      <c r="BY206" s="2" t="s">
        <v>356</v>
      </c>
      <c r="BZ206" s="2" t="s">
        <v>356</v>
      </c>
      <c r="CA206" s="2" t="s">
        <v>356</v>
      </c>
      <c r="CB206" s="2" t="s">
        <v>356</v>
      </c>
      <c r="CC206" s="2" t="s">
        <v>356</v>
      </c>
      <c r="CD206" s="2" t="s">
        <v>356</v>
      </c>
      <c r="CE206" s="2" t="s">
        <v>356</v>
      </c>
      <c r="CF206" s="2" t="s">
        <v>356</v>
      </c>
      <c r="CG206" s="2" t="s">
        <v>356</v>
      </c>
      <c r="CH206" s="2" t="s">
        <v>356</v>
      </c>
      <c r="CI206" s="2" t="s">
        <v>356</v>
      </c>
      <c r="CJ206" s="2" t="s">
        <v>356</v>
      </c>
      <c r="CK206" s="2" t="s">
        <v>356</v>
      </c>
      <c r="CL206" s="2" t="s">
        <v>356</v>
      </c>
      <c r="CM206" s="2" t="s">
        <v>356</v>
      </c>
      <c r="CN206" s="2" t="s">
        <v>356</v>
      </c>
      <c r="CO206" s="2" t="s">
        <v>356</v>
      </c>
      <c r="CP206" s="2" t="s">
        <v>356</v>
      </c>
      <c r="CQ206" s="2" t="s">
        <v>356</v>
      </c>
      <c r="CR206" s="2" t="s">
        <v>356</v>
      </c>
      <c r="CS206" s="2" t="s">
        <v>356</v>
      </c>
      <c r="CT206" s="2" t="s">
        <v>356</v>
      </c>
      <c r="CU206" s="2" t="s">
        <v>356</v>
      </c>
      <c r="CW206" s="2" t="s">
        <v>356</v>
      </c>
      <c r="CX206" s="2" t="s">
        <v>356</v>
      </c>
      <c r="CY206" s="2" t="s">
        <v>356</v>
      </c>
      <c r="CZ206" s="2" t="s">
        <v>356</v>
      </c>
      <c r="DA206" s="2" t="s">
        <v>356</v>
      </c>
      <c r="DB206" s="2" t="s">
        <v>356</v>
      </c>
      <c r="DC206" s="2" t="s">
        <v>356</v>
      </c>
      <c r="DD206" s="2" t="s">
        <v>356</v>
      </c>
      <c r="DM206" s="2" t="s">
        <v>356</v>
      </c>
      <c r="DN206" s="2" t="s">
        <v>356</v>
      </c>
      <c r="DO206" s="2" t="s">
        <v>356</v>
      </c>
      <c r="DP206" s="2" t="s">
        <v>356</v>
      </c>
      <c r="DQ206" s="2" t="s">
        <v>356</v>
      </c>
      <c r="DR206" s="2" t="s">
        <v>356</v>
      </c>
      <c r="DS206" s="2" t="s">
        <v>356</v>
      </c>
      <c r="DT206" s="2" t="s">
        <v>356</v>
      </c>
      <c r="DU206" s="2" t="s">
        <v>356</v>
      </c>
      <c r="DV206" s="2" t="s">
        <v>356</v>
      </c>
      <c r="DW206" s="2" t="s">
        <v>356</v>
      </c>
      <c r="DX206" s="2" t="s">
        <v>356</v>
      </c>
      <c r="DY206" s="2" t="s">
        <v>356</v>
      </c>
      <c r="DZ206" s="2" t="s">
        <v>356</v>
      </c>
      <c r="EA206" s="2" t="s">
        <v>356</v>
      </c>
      <c r="EB206" s="2" t="s">
        <v>356</v>
      </c>
      <c r="EC206" s="2" t="s">
        <v>356</v>
      </c>
      <c r="ED206" s="2" t="s">
        <v>356</v>
      </c>
      <c r="EE206" s="2" t="s">
        <v>356</v>
      </c>
      <c r="EF206" s="2" t="s">
        <v>356</v>
      </c>
      <c r="EG206" s="2" t="s">
        <v>356</v>
      </c>
      <c r="EH206" s="2" t="s">
        <v>356</v>
      </c>
      <c r="EI206" s="2" t="s">
        <v>356</v>
      </c>
      <c r="EJ206" s="2" t="s">
        <v>356</v>
      </c>
      <c r="EK206" s="2" t="s">
        <v>356</v>
      </c>
      <c r="EL206" s="2" t="s">
        <v>356</v>
      </c>
      <c r="EM206" s="2" t="s">
        <v>356</v>
      </c>
      <c r="EN206" s="2" t="s">
        <v>356</v>
      </c>
      <c r="EO206" s="2" t="s">
        <v>356</v>
      </c>
      <c r="EP206" s="2" t="s">
        <v>356</v>
      </c>
      <c r="EQ206" s="2" t="s">
        <v>356</v>
      </c>
      <c r="ER206" s="2" t="s">
        <v>356</v>
      </c>
      <c r="FA206" s="2" t="s">
        <v>356</v>
      </c>
      <c r="FB206" s="2" t="s">
        <v>356</v>
      </c>
      <c r="FC206" s="2" t="s">
        <v>356</v>
      </c>
      <c r="FD206" s="2" t="s">
        <v>356</v>
      </c>
      <c r="FE206" s="2" t="s">
        <v>356</v>
      </c>
      <c r="FF206" s="2" t="s">
        <v>356</v>
      </c>
      <c r="FG206" s="2" t="s">
        <v>356</v>
      </c>
      <c r="FH206" s="2" t="s">
        <v>356</v>
      </c>
      <c r="FI206" s="2" t="s">
        <v>356</v>
      </c>
      <c r="FJ206" s="2" t="s">
        <v>356</v>
      </c>
      <c r="FK206" s="2" t="s">
        <v>356</v>
      </c>
      <c r="FL206" s="2" t="s">
        <v>356</v>
      </c>
      <c r="FM206" s="2" t="s">
        <v>356</v>
      </c>
      <c r="FN206" s="2" t="s">
        <v>356</v>
      </c>
      <c r="FO206" s="2" t="s">
        <v>356</v>
      </c>
      <c r="FP206" s="2" t="s">
        <v>356</v>
      </c>
    </row>
    <row r="207" spans="1:172">
      <c r="A207" s="2" t="s">
        <v>1606</v>
      </c>
      <c r="B207" s="2" t="s">
        <v>257</v>
      </c>
      <c r="C207" s="2" t="s">
        <v>813</v>
      </c>
      <c r="D207" s="2" t="s">
        <v>1607</v>
      </c>
      <c r="E207" s="2" t="s">
        <v>1603</v>
      </c>
      <c r="F207" s="2" t="s">
        <v>356</v>
      </c>
      <c r="G207" s="2" t="s">
        <v>356</v>
      </c>
      <c r="H207" s="364">
        <v>38</v>
      </c>
      <c r="I207" s="364">
        <v>36.5</v>
      </c>
      <c r="K207" s="364"/>
      <c r="M207" s="364" t="s">
        <v>3050</v>
      </c>
      <c r="N207" s="364" t="s">
        <v>3049</v>
      </c>
      <c r="O207" s="364" t="s">
        <v>1604</v>
      </c>
      <c r="P207" s="364" t="s">
        <v>356</v>
      </c>
      <c r="Q207" s="364" t="s">
        <v>356</v>
      </c>
      <c r="R207" s="2" t="s">
        <v>178</v>
      </c>
      <c r="S207" s="2" t="s">
        <v>817</v>
      </c>
      <c r="T207" s="2" t="s">
        <v>3284</v>
      </c>
      <c r="U207" s="2" cm="1">
        <f t="array" ref="U207">IFERROR(INDEX('Offer Statistics'!$CH$2:$CH$350,MATCH(1,(A207='Offer Statistics'!$BS$2:$BS$350)*($A$11='Offer Statistics'!$BT$2:$BT$350),0)),"/")</f>
        <v>29</v>
      </c>
      <c r="V207" s="2" cm="1">
        <f t="array" ref="V207">IFERROR(INDEX('Offer Statistics'!$BU$2:$BU$350,MATCH(1,(A207='Offer Statistics'!$BS$2:$BS$350)*($A$11='Offer Statistics'!$BT$2:$BT$350),0)),"/")</f>
        <v>97</v>
      </c>
      <c r="W207" s="2" cm="1">
        <f t="array" ref="W207">IFERROR(INDEX('Offer Statistics'!$CC$2:$CC$350,MATCH(1,(A207='Offer Statistics'!$BS$2:$BS$350)*($A$11='Offer Statistics'!$BT$2:$BT$350),0)),"/")</f>
        <v>29</v>
      </c>
      <c r="X207" s="2">
        <f t="shared" si="773"/>
        <v>3.3448275862068964</v>
      </c>
      <c r="Y207" s="2" t="s">
        <v>1177</v>
      </c>
      <c r="Z207" s="2" t="str">
        <f>入學要求!AF216</f>
        <v>/</v>
      </c>
      <c r="AA207" s="2" t="str">
        <f>入學要求!AG216</f>
        <v>/</v>
      </c>
      <c r="AB207" s="366" t="s">
        <v>1563</v>
      </c>
      <c r="AC207" s="364"/>
      <c r="AE207" s="2" t="s">
        <v>1567</v>
      </c>
      <c r="AF207" s="2" t="s">
        <v>1580</v>
      </c>
      <c r="AG207" s="364" t="s">
        <v>3077</v>
      </c>
      <c r="AH207" s="364" t="s">
        <v>356</v>
      </c>
      <c r="AI207" s="364" t="s">
        <v>356</v>
      </c>
      <c r="AJ207" s="364" t="s">
        <v>3051</v>
      </c>
      <c r="AK207" s="364" t="s">
        <v>3060</v>
      </c>
      <c r="AL207" s="364" t="s">
        <v>356</v>
      </c>
      <c r="AM207" s="2" t="s">
        <v>356</v>
      </c>
      <c r="AN207" s="2" t="s">
        <v>356</v>
      </c>
      <c r="AO207" s="2" t="s">
        <v>356</v>
      </c>
      <c r="AP207" s="364" t="s">
        <v>1605</v>
      </c>
      <c r="AQ207" s="364"/>
      <c r="AS207" s="2" t="s">
        <v>820</v>
      </c>
      <c r="AU207" s="2" t="s">
        <v>817</v>
      </c>
      <c r="AY207" s="2" t="s">
        <v>356</v>
      </c>
      <c r="AZ207" s="2" t="s">
        <v>356</v>
      </c>
      <c r="BA207" s="2" t="s">
        <v>356</v>
      </c>
      <c r="BB207" s="2" t="s">
        <v>356</v>
      </c>
      <c r="BC207" s="2" t="s">
        <v>356</v>
      </c>
      <c r="BD207" s="2" t="s">
        <v>356</v>
      </c>
      <c r="BE207" s="2" t="s">
        <v>356</v>
      </c>
      <c r="BF207" s="2" t="s">
        <v>356</v>
      </c>
      <c r="BH207" s="2" t="s">
        <v>356</v>
      </c>
      <c r="BI207" s="2" t="s">
        <v>356</v>
      </c>
      <c r="BJ207" s="2" t="s">
        <v>356</v>
      </c>
      <c r="BK207" s="2" t="s">
        <v>356</v>
      </c>
      <c r="BL207" s="2" t="s">
        <v>356</v>
      </c>
      <c r="BM207" s="2" t="s">
        <v>356</v>
      </c>
      <c r="BN207" s="2" t="s">
        <v>356</v>
      </c>
      <c r="BO207" s="2" t="s">
        <v>356</v>
      </c>
      <c r="BX207" s="2" t="s">
        <v>356</v>
      </c>
      <c r="BY207" s="2" t="s">
        <v>356</v>
      </c>
      <c r="BZ207" s="2" t="s">
        <v>356</v>
      </c>
      <c r="CA207" s="2" t="s">
        <v>356</v>
      </c>
      <c r="CB207" s="2" t="s">
        <v>356</v>
      </c>
      <c r="CC207" s="2" t="s">
        <v>356</v>
      </c>
      <c r="CD207" s="2" t="s">
        <v>356</v>
      </c>
      <c r="CE207" s="2" t="s">
        <v>356</v>
      </c>
      <c r="CF207" s="2" t="s">
        <v>356</v>
      </c>
      <c r="CG207" s="2" t="s">
        <v>356</v>
      </c>
      <c r="CH207" s="2" t="s">
        <v>356</v>
      </c>
      <c r="CI207" s="2" t="s">
        <v>356</v>
      </c>
      <c r="CJ207" s="2" t="s">
        <v>356</v>
      </c>
      <c r="CK207" s="2" t="s">
        <v>356</v>
      </c>
      <c r="CL207" s="2" t="s">
        <v>356</v>
      </c>
      <c r="CM207" s="2" t="s">
        <v>356</v>
      </c>
      <c r="CN207" s="2" t="s">
        <v>356</v>
      </c>
      <c r="CO207" s="2" t="s">
        <v>356</v>
      </c>
      <c r="CP207" s="2" t="s">
        <v>356</v>
      </c>
      <c r="CQ207" s="2" t="s">
        <v>356</v>
      </c>
      <c r="CR207" s="2" t="s">
        <v>356</v>
      </c>
      <c r="CS207" s="2" t="s">
        <v>356</v>
      </c>
      <c r="CT207" s="2" t="s">
        <v>356</v>
      </c>
      <c r="CU207" s="2" t="s">
        <v>356</v>
      </c>
      <c r="CW207" s="2" t="s">
        <v>356</v>
      </c>
      <c r="CX207" s="2" t="s">
        <v>356</v>
      </c>
      <c r="CY207" s="2" t="s">
        <v>356</v>
      </c>
      <c r="CZ207" s="2" t="s">
        <v>356</v>
      </c>
      <c r="DA207" s="2" t="s">
        <v>356</v>
      </c>
      <c r="DB207" s="2" t="s">
        <v>356</v>
      </c>
      <c r="DC207" s="2" t="s">
        <v>356</v>
      </c>
      <c r="DD207" s="2" t="s">
        <v>356</v>
      </c>
      <c r="DM207" s="2" t="s">
        <v>356</v>
      </c>
      <c r="DN207" s="2" t="s">
        <v>356</v>
      </c>
      <c r="DO207" s="2" t="s">
        <v>356</v>
      </c>
      <c r="DP207" s="2" t="s">
        <v>356</v>
      </c>
      <c r="DQ207" s="2" t="s">
        <v>356</v>
      </c>
      <c r="DR207" s="2" t="s">
        <v>356</v>
      </c>
      <c r="DS207" s="2" t="s">
        <v>356</v>
      </c>
      <c r="DT207" s="2" t="s">
        <v>356</v>
      </c>
      <c r="DU207" s="2" t="s">
        <v>356</v>
      </c>
      <c r="DV207" s="2" t="s">
        <v>356</v>
      </c>
      <c r="DW207" s="2" t="s">
        <v>356</v>
      </c>
      <c r="DX207" s="2" t="s">
        <v>356</v>
      </c>
      <c r="DY207" s="2" t="s">
        <v>356</v>
      </c>
      <c r="DZ207" s="2" t="s">
        <v>356</v>
      </c>
      <c r="EA207" s="2" t="s">
        <v>356</v>
      </c>
      <c r="EB207" s="2" t="s">
        <v>356</v>
      </c>
      <c r="EC207" s="2" t="s">
        <v>356</v>
      </c>
      <c r="ED207" s="2" t="s">
        <v>356</v>
      </c>
      <c r="EE207" s="2" t="s">
        <v>356</v>
      </c>
      <c r="EF207" s="2" t="s">
        <v>356</v>
      </c>
      <c r="EG207" s="2" t="s">
        <v>356</v>
      </c>
      <c r="EH207" s="2" t="s">
        <v>356</v>
      </c>
      <c r="EI207" s="2" t="s">
        <v>356</v>
      </c>
      <c r="EJ207" s="2" t="s">
        <v>356</v>
      </c>
      <c r="EK207" s="2" t="s">
        <v>356</v>
      </c>
      <c r="EL207" s="2" t="s">
        <v>356</v>
      </c>
      <c r="EM207" s="2" t="s">
        <v>356</v>
      </c>
      <c r="EN207" s="2" t="s">
        <v>356</v>
      </c>
      <c r="EO207" s="2" t="s">
        <v>356</v>
      </c>
      <c r="EP207" s="2" t="s">
        <v>356</v>
      </c>
      <c r="EQ207" s="2" t="s">
        <v>356</v>
      </c>
      <c r="ER207" s="2" t="s">
        <v>356</v>
      </c>
      <c r="FA207" s="2" t="s">
        <v>356</v>
      </c>
      <c r="FB207" s="2" t="s">
        <v>356</v>
      </c>
      <c r="FC207" s="2" t="s">
        <v>356</v>
      </c>
      <c r="FD207" s="2" t="s">
        <v>356</v>
      </c>
      <c r="FE207" s="2" t="s">
        <v>356</v>
      </c>
      <c r="FF207" s="2" t="s">
        <v>356</v>
      </c>
      <c r="FG207" s="2" t="s">
        <v>356</v>
      </c>
      <c r="FH207" s="2" t="s">
        <v>356</v>
      </c>
      <c r="FI207" s="2" t="s">
        <v>356</v>
      </c>
      <c r="FJ207" s="2" t="s">
        <v>356</v>
      </c>
      <c r="FK207" s="2" t="s">
        <v>356</v>
      </c>
      <c r="FL207" s="2" t="s">
        <v>356</v>
      </c>
      <c r="FM207" s="2" t="s">
        <v>356</v>
      </c>
      <c r="FN207" s="2" t="s">
        <v>356</v>
      </c>
      <c r="FO207" s="2" t="s">
        <v>356</v>
      </c>
      <c r="FP207" s="2" t="s">
        <v>356</v>
      </c>
    </row>
    <row r="208" spans="1:172">
      <c r="A208" s="2" t="s">
        <v>1608</v>
      </c>
      <c r="B208" s="2" t="s">
        <v>257</v>
      </c>
      <c r="C208" s="2" t="s">
        <v>813</v>
      </c>
      <c r="D208" s="2" t="s">
        <v>1609</v>
      </c>
      <c r="E208" s="2" t="s">
        <v>1603</v>
      </c>
      <c r="F208" s="2" t="s">
        <v>356</v>
      </c>
      <c r="G208" s="2" t="s">
        <v>356</v>
      </c>
      <c r="H208" s="364">
        <v>47.5</v>
      </c>
      <c r="I208" s="364">
        <v>46</v>
      </c>
      <c r="K208" s="364"/>
      <c r="M208" s="364" t="s">
        <v>3050</v>
      </c>
      <c r="N208" s="364" t="s">
        <v>3049</v>
      </c>
      <c r="O208" s="364" t="s">
        <v>1610</v>
      </c>
      <c r="P208" s="436" t="s">
        <v>1611</v>
      </c>
      <c r="Q208" s="436" t="s">
        <v>1612</v>
      </c>
      <c r="R208" s="2" t="s">
        <v>179</v>
      </c>
      <c r="S208" s="2" t="s">
        <v>817</v>
      </c>
      <c r="T208" s="2">
        <v>30</v>
      </c>
      <c r="U208" s="2" cm="1">
        <f t="array" ref="U208">IFERROR(INDEX('Offer Statistics'!$CH$2:$CH$350,MATCH(1,(A208='Offer Statistics'!$BS$2:$BS$350)*($A$11='Offer Statistics'!$BT$2:$BT$350),0)),"/")</f>
        <v>45</v>
      </c>
      <c r="V208" s="2" cm="1">
        <f t="array" ref="V208">IFERROR(INDEX('Offer Statistics'!$BU$2:$BU$350,MATCH(1,(A208='Offer Statistics'!$BS$2:$BS$350)*($A$11='Offer Statistics'!$BT$2:$BT$350),0)),"/")</f>
        <v>141</v>
      </c>
      <c r="W208" s="2" cm="1">
        <f t="array" ref="W208">IFERROR(INDEX('Offer Statistics'!$CC$2:$CC$350,MATCH(1,(A208='Offer Statistics'!$BS$2:$BS$350)*($A$11='Offer Statistics'!$BT$2:$BT$350),0)),"/")</f>
        <v>45</v>
      </c>
      <c r="X208" s="2">
        <f t="shared" si="773"/>
        <v>3.1333333333333333</v>
      </c>
      <c r="Y208" s="2" t="s">
        <v>1177</v>
      </c>
      <c r="Z208" s="2" t="str">
        <f>入學要求!AF217</f>
        <v>/</v>
      </c>
      <c r="AA208" s="2" t="str">
        <f>入學要求!AG217</f>
        <v>/</v>
      </c>
      <c r="AB208" s="366" t="s">
        <v>1563</v>
      </c>
      <c r="AC208" s="364"/>
      <c r="AE208" s="2" t="s">
        <v>1567</v>
      </c>
      <c r="AF208" s="2" t="s">
        <v>1580</v>
      </c>
      <c r="AG208" s="364" t="s">
        <v>1610</v>
      </c>
      <c r="AH208" s="436" t="s">
        <v>3078</v>
      </c>
      <c r="AI208" s="436" t="s">
        <v>3079</v>
      </c>
      <c r="AJ208" s="364" t="s">
        <v>3051</v>
      </c>
      <c r="AK208" s="364" t="s">
        <v>3061</v>
      </c>
      <c r="AL208" s="364" t="s">
        <v>356</v>
      </c>
      <c r="AM208" s="2" t="s">
        <v>356</v>
      </c>
      <c r="AN208" s="2" t="s">
        <v>356</v>
      </c>
      <c r="AO208" s="2" t="s">
        <v>356</v>
      </c>
      <c r="AP208" s="364" t="s">
        <v>1591</v>
      </c>
      <c r="AQ208" s="364"/>
      <c r="AS208" s="2" t="s">
        <v>820</v>
      </c>
      <c r="AU208" s="2" t="s">
        <v>817</v>
      </c>
      <c r="AY208" s="2" t="s">
        <v>356</v>
      </c>
      <c r="AZ208" s="2" t="s">
        <v>356</v>
      </c>
      <c r="BA208" s="2" t="s">
        <v>356</v>
      </c>
      <c r="BB208" s="2" t="s">
        <v>356</v>
      </c>
      <c r="BC208" s="2" t="s">
        <v>356</v>
      </c>
      <c r="BD208" s="2" t="s">
        <v>356</v>
      </c>
      <c r="BE208" s="2" t="s">
        <v>356</v>
      </c>
      <c r="BF208" s="2" t="s">
        <v>356</v>
      </c>
      <c r="BH208" s="2" t="s">
        <v>356</v>
      </c>
      <c r="BI208" s="2" t="s">
        <v>356</v>
      </c>
      <c r="BJ208" s="2" t="s">
        <v>356</v>
      </c>
      <c r="BK208" s="2" t="s">
        <v>356</v>
      </c>
      <c r="BL208" s="2" t="s">
        <v>356</v>
      </c>
      <c r="BM208" s="2" t="s">
        <v>356</v>
      </c>
      <c r="BN208" s="2" t="s">
        <v>356</v>
      </c>
      <c r="BO208" s="2" t="s">
        <v>356</v>
      </c>
      <c r="BX208" s="2" t="s">
        <v>356</v>
      </c>
      <c r="BY208" s="2" t="s">
        <v>356</v>
      </c>
      <c r="BZ208" s="2" t="s">
        <v>356</v>
      </c>
      <c r="CA208" s="2" t="s">
        <v>356</v>
      </c>
      <c r="CB208" s="2" t="s">
        <v>356</v>
      </c>
      <c r="CC208" s="2" t="s">
        <v>356</v>
      </c>
      <c r="CD208" s="2" t="s">
        <v>356</v>
      </c>
      <c r="CE208" s="2" t="s">
        <v>356</v>
      </c>
      <c r="CF208" s="2" t="s">
        <v>356</v>
      </c>
      <c r="CG208" s="2" t="s">
        <v>356</v>
      </c>
      <c r="CH208" s="2" t="s">
        <v>356</v>
      </c>
      <c r="CI208" s="2" t="s">
        <v>356</v>
      </c>
      <c r="CJ208" s="2" t="s">
        <v>356</v>
      </c>
      <c r="CK208" s="2" t="s">
        <v>356</v>
      </c>
      <c r="CL208" s="2" t="s">
        <v>356</v>
      </c>
      <c r="CM208" s="2" t="s">
        <v>356</v>
      </c>
      <c r="CN208" s="2" t="s">
        <v>356</v>
      </c>
      <c r="CO208" s="2" t="s">
        <v>356</v>
      </c>
      <c r="CP208" s="2" t="s">
        <v>356</v>
      </c>
      <c r="CQ208" s="2" t="s">
        <v>356</v>
      </c>
      <c r="CR208" s="2" t="s">
        <v>356</v>
      </c>
      <c r="CS208" s="2" t="s">
        <v>356</v>
      </c>
      <c r="CT208" s="2" t="s">
        <v>356</v>
      </c>
      <c r="CU208" s="2" t="s">
        <v>356</v>
      </c>
      <c r="CW208" s="2" t="s">
        <v>356</v>
      </c>
      <c r="CX208" s="2" t="s">
        <v>356</v>
      </c>
      <c r="CY208" s="2" t="s">
        <v>356</v>
      </c>
      <c r="CZ208" s="2" t="s">
        <v>356</v>
      </c>
      <c r="DA208" s="2" t="s">
        <v>356</v>
      </c>
      <c r="DB208" s="2" t="s">
        <v>356</v>
      </c>
      <c r="DC208" s="2" t="s">
        <v>356</v>
      </c>
      <c r="DD208" s="2" t="s">
        <v>356</v>
      </c>
      <c r="DM208" s="2" t="s">
        <v>356</v>
      </c>
      <c r="DN208" s="2" t="s">
        <v>356</v>
      </c>
      <c r="DO208" s="2" t="s">
        <v>356</v>
      </c>
      <c r="DP208" s="2" t="s">
        <v>356</v>
      </c>
      <c r="DQ208" s="2" t="s">
        <v>356</v>
      </c>
      <c r="DR208" s="2" t="s">
        <v>356</v>
      </c>
      <c r="DS208" s="2" t="s">
        <v>356</v>
      </c>
      <c r="DT208" s="2" t="s">
        <v>356</v>
      </c>
      <c r="DU208" s="2" t="s">
        <v>356</v>
      </c>
      <c r="DV208" s="2" t="s">
        <v>356</v>
      </c>
      <c r="DW208" s="2" t="s">
        <v>356</v>
      </c>
      <c r="DX208" s="2" t="s">
        <v>356</v>
      </c>
      <c r="DY208" s="2" t="s">
        <v>356</v>
      </c>
      <c r="DZ208" s="2" t="s">
        <v>356</v>
      </c>
      <c r="EA208" s="2" t="s">
        <v>356</v>
      </c>
      <c r="EB208" s="2" t="s">
        <v>356</v>
      </c>
      <c r="EC208" s="2" t="s">
        <v>356</v>
      </c>
      <c r="ED208" s="2" t="s">
        <v>356</v>
      </c>
      <c r="EE208" s="2" t="s">
        <v>356</v>
      </c>
      <c r="EF208" s="2" t="s">
        <v>356</v>
      </c>
      <c r="EG208" s="2" t="s">
        <v>356</v>
      </c>
      <c r="EH208" s="2" t="s">
        <v>356</v>
      </c>
      <c r="EI208" s="2" t="s">
        <v>356</v>
      </c>
      <c r="EJ208" s="2" t="s">
        <v>356</v>
      </c>
      <c r="EK208" s="2" t="s">
        <v>356</v>
      </c>
      <c r="EL208" s="2" t="s">
        <v>356</v>
      </c>
      <c r="EM208" s="2" t="s">
        <v>356</v>
      </c>
      <c r="EN208" s="2" t="s">
        <v>356</v>
      </c>
      <c r="EO208" s="2" t="s">
        <v>356</v>
      </c>
      <c r="EP208" s="2" t="s">
        <v>356</v>
      </c>
      <c r="EQ208" s="2" t="s">
        <v>356</v>
      </c>
      <c r="ER208" s="2" t="s">
        <v>356</v>
      </c>
      <c r="FA208" s="2" t="s">
        <v>356</v>
      </c>
      <c r="FB208" s="2" t="s">
        <v>356</v>
      </c>
      <c r="FC208" s="2" t="s">
        <v>356</v>
      </c>
      <c r="FD208" s="2" t="s">
        <v>356</v>
      </c>
      <c r="FE208" s="2" t="s">
        <v>356</v>
      </c>
      <c r="FF208" s="2" t="s">
        <v>356</v>
      </c>
      <c r="FG208" s="2" t="s">
        <v>356</v>
      </c>
      <c r="FH208" s="2" t="s">
        <v>356</v>
      </c>
      <c r="FI208" s="2" t="s">
        <v>356</v>
      </c>
      <c r="FJ208" s="2" t="s">
        <v>356</v>
      </c>
      <c r="FK208" s="2" t="s">
        <v>356</v>
      </c>
      <c r="FL208" s="2" t="s">
        <v>356</v>
      </c>
      <c r="FM208" s="2" t="s">
        <v>356</v>
      </c>
      <c r="FN208" s="2" t="s">
        <v>356</v>
      </c>
      <c r="FO208" s="2" t="s">
        <v>356</v>
      </c>
      <c r="FP208" s="2" t="s">
        <v>356</v>
      </c>
    </row>
    <row r="209" spans="1:172">
      <c r="A209" s="2" t="s">
        <v>1613</v>
      </c>
      <c r="B209" s="2" t="s">
        <v>257</v>
      </c>
      <c r="C209" s="2" t="s">
        <v>813</v>
      </c>
      <c r="D209" s="2" t="s">
        <v>1614</v>
      </c>
      <c r="E209" s="2" t="s">
        <v>1603</v>
      </c>
      <c r="F209" s="2" t="s">
        <v>356</v>
      </c>
      <c r="G209" s="2" t="s">
        <v>356</v>
      </c>
      <c r="H209" s="364">
        <v>59</v>
      </c>
      <c r="I209" s="364">
        <v>56</v>
      </c>
      <c r="K209" s="364"/>
      <c r="M209" s="364" t="s">
        <v>3050</v>
      </c>
      <c r="N209" s="364" t="s">
        <v>3049</v>
      </c>
      <c r="O209" s="364" t="s">
        <v>1604</v>
      </c>
      <c r="P209" s="364" t="s">
        <v>356</v>
      </c>
      <c r="Q209" s="364" t="s">
        <v>356</v>
      </c>
      <c r="R209" s="2" t="s">
        <v>180</v>
      </c>
      <c r="S209" s="2" t="s">
        <v>817</v>
      </c>
      <c r="T209" s="2">
        <v>26</v>
      </c>
      <c r="U209" s="2" cm="1">
        <f t="array" ref="U209">IFERROR(INDEX('Offer Statistics'!$CH$2:$CH$350,MATCH(1,(A209='Offer Statistics'!$BS$2:$BS$350)*($A$11='Offer Statistics'!$BT$2:$BT$350),0)),"/")</f>
        <v>20</v>
      </c>
      <c r="V209" s="2" cm="1">
        <f t="array" ref="V209">IFERROR(INDEX('Offer Statistics'!$BU$2:$BU$350,MATCH(1,(A209='Offer Statistics'!$BS$2:$BS$350)*($A$11='Offer Statistics'!$BT$2:$BT$350),0)),"/")</f>
        <v>79</v>
      </c>
      <c r="W209" s="2" cm="1">
        <f t="array" ref="W209">IFERROR(INDEX('Offer Statistics'!$CC$2:$CC$350,MATCH(1,(A209='Offer Statistics'!$BS$2:$BS$350)*($A$11='Offer Statistics'!$BT$2:$BT$350),0)),"/")</f>
        <v>20</v>
      </c>
      <c r="X209" s="2">
        <f t="shared" si="773"/>
        <v>3.95</v>
      </c>
      <c r="Y209" s="2" t="s">
        <v>1177</v>
      </c>
      <c r="Z209" s="2" t="str">
        <f>入學要求!AF218</f>
        <v>英文科應考獲Lv.5 或以上</v>
      </c>
      <c r="AA209" s="2" t="str">
        <f>入學要求!AG218</f>
        <v>申請人必須出席面試</v>
      </c>
      <c r="AB209" s="366" t="s">
        <v>1563</v>
      </c>
      <c r="AC209" s="364"/>
      <c r="AE209" s="2" t="s">
        <v>1567</v>
      </c>
      <c r="AF209" s="2" t="s">
        <v>1580</v>
      </c>
      <c r="AG209" s="364" t="s">
        <v>3077</v>
      </c>
      <c r="AH209" s="364" t="s">
        <v>356</v>
      </c>
      <c r="AI209" s="364" t="s">
        <v>356</v>
      </c>
      <c r="AJ209" s="364" t="s">
        <v>3051</v>
      </c>
      <c r="AK209" s="364" t="s">
        <v>1615</v>
      </c>
      <c r="AL209" s="364" t="s">
        <v>356</v>
      </c>
      <c r="AM209" s="2" t="s">
        <v>1570</v>
      </c>
      <c r="AN209" s="2" t="s">
        <v>1616</v>
      </c>
      <c r="AO209" s="2" t="s">
        <v>356</v>
      </c>
      <c r="AP209" s="364" t="s">
        <v>1605</v>
      </c>
      <c r="AQ209" s="364"/>
      <c r="AS209" s="2" t="s">
        <v>820</v>
      </c>
      <c r="AU209" s="2" t="s">
        <v>817</v>
      </c>
      <c r="AY209" s="2" t="s">
        <v>356</v>
      </c>
      <c r="AZ209" s="2" t="s">
        <v>356</v>
      </c>
      <c r="BA209" s="2" t="s">
        <v>356</v>
      </c>
      <c r="BB209" s="2" t="s">
        <v>356</v>
      </c>
      <c r="BC209" s="2" t="s">
        <v>356</v>
      </c>
      <c r="BD209" s="2" t="s">
        <v>356</v>
      </c>
      <c r="BE209" s="2" t="s">
        <v>356</v>
      </c>
      <c r="BF209" s="2" t="s">
        <v>356</v>
      </c>
      <c r="BH209" s="2" t="s">
        <v>356</v>
      </c>
      <c r="BI209" s="2" t="s">
        <v>356</v>
      </c>
      <c r="BJ209" s="2" t="s">
        <v>356</v>
      </c>
      <c r="BK209" s="2" t="s">
        <v>356</v>
      </c>
      <c r="BL209" s="2" t="s">
        <v>356</v>
      </c>
      <c r="BM209" s="2" t="s">
        <v>356</v>
      </c>
      <c r="BN209" s="2" t="s">
        <v>356</v>
      </c>
      <c r="BO209" s="2" t="s">
        <v>356</v>
      </c>
      <c r="BX209" s="2" t="s">
        <v>356</v>
      </c>
      <c r="BY209" s="2" t="s">
        <v>356</v>
      </c>
      <c r="BZ209" s="2" t="s">
        <v>356</v>
      </c>
      <c r="CA209" s="2" t="s">
        <v>356</v>
      </c>
      <c r="CB209" s="2" t="s">
        <v>356</v>
      </c>
      <c r="CC209" s="2" t="s">
        <v>356</v>
      </c>
      <c r="CD209" s="2" t="s">
        <v>356</v>
      </c>
      <c r="CE209" s="2" t="s">
        <v>356</v>
      </c>
      <c r="CF209" s="2" t="s">
        <v>356</v>
      </c>
      <c r="CG209" s="2" t="s">
        <v>356</v>
      </c>
      <c r="CH209" s="2" t="s">
        <v>356</v>
      </c>
      <c r="CI209" s="2" t="s">
        <v>356</v>
      </c>
      <c r="CJ209" s="2" t="s">
        <v>356</v>
      </c>
      <c r="CK209" s="2" t="s">
        <v>356</v>
      </c>
      <c r="CL209" s="2" t="s">
        <v>356</v>
      </c>
      <c r="CM209" s="2" t="s">
        <v>356</v>
      </c>
      <c r="CN209" s="2" t="s">
        <v>356</v>
      </c>
      <c r="CO209" s="2" t="s">
        <v>356</v>
      </c>
      <c r="CP209" s="2" t="s">
        <v>356</v>
      </c>
      <c r="CQ209" s="2" t="s">
        <v>356</v>
      </c>
      <c r="CR209" s="2" t="s">
        <v>356</v>
      </c>
      <c r="CS209" s="2" t="s">
        <v>356</v>
      </c>
      <c r="CT209" s="2" t="s">
        <v>356</v>
      </c>
      <c r="CU209" s="2" t="s">
        <v>356</v>
      </c>
      <c r="CW209" s="2" t="s">
        <v>356</v>
      </c>
      <c r="CX209" s="2" t="s">
        <v>356</v>
      </c>
      <c r="CY209" s="2" t="s">
        <v>356</v>
      </c>
      <c r="CZ209" s="2" t="s">
        <v>356</v>
      </c>
      <c r="DA209" s="2" t="s">
        <v>356</v>
      </c>
      <c r="DB209" s="2" t="s">
        <v>356</v>
      </c>
      <c r="DC209" s="2" t="s">
        <v>356</v>
      </c>
      <c r="DD209" s="2" t="s">
        <v>356</v>
      </c>
      <c r="DM209" s="2" t="s">
        <v>356</v>
      </c>
      <c r="DN209" s="2" t="s">
        <v>356</v>
      </c>
      <c r="DO209" s="2" t="s">
        <v>356</v>
      </c>
      <c r="DP209" s="2" t="s">
        <v>356</v>
      </c>
      <c r="DQ209" s="2" t="s">
        <v>356</v>
      </c>
      <c r="DR209" s="2" t="s">
        <v>356</v>
      </c>
      <c r="DS209" s="2" t="s">
        <v>356</v>
      </c>
      <c r="DT209" s="2" t="s">
        <v>356</v>
      </c>
      <c r="DU209" s="2" t="s">
        <v>356</v>
      </c>
      <c r="DV209" s="2" t="s">
        <v>356</v>
      </c>
      <c r="DW209" s="2" t="s">
        <v>356</v>
      </c>
      <c r="DX209" s="2" t="s">
        <v>356</v>
      </c>
      <c r="DY209" s="2" t="s">
        <v>356</v>
      </c>
      <c r="DZ209" s="2" t="s">
        <v>356</v>
      </c>
      <c r="EA209" s="2" t="s">
        <v>356</v>
      </c>
      <c r="EB209" s="2" t="s">
        <v>356</v>
      </c>
      <c r="EC209" s="2" t="s">
        <v>356</v>
      </c>
      <c r="ED209" s="2" t="s">
        <v>356</v>
      </c>
      <c r="EE209" s="2" t="s">
        <v>356</v>
      </c>
      <c r="EF209" s="2" t="s">
        <v>356</v>
      </c>
      <c r="EG209" s="2" t="s">
        <v>356</v>
      </c>
      <c r="EH209" s="2" t="s">
        <v>356</v>
      </c>
      <c r="EI209" s="2" t="s">
        <v>356</v>
      </c>
      <c r="EJ209" s="2" t="s">
        <v>356</v>
      </c>
      <c r="EK209" s="2" t="s">
        <v>356</v>
      </c>
      <c r="EL209" s="2" t="s">
        <v>356</v>
      </c>
      <c r="EM209" s="2" t="s">
        <v>356</v>
      </c>
      <c r="EN209" s="2" t="s">
        <v>356</v>
      </c>
      <c r="EO209" s="2" t="s">
        <v>356</v>
      </c>
      <c r="EP209" s="2" t="s">
        <v>356</v>
      </c>
      <c r="EQ209" s="2" t="s">
        <v>356</v>
      </c>
      <c r="ER209" s="2" t="s">
        <v>356</v>
      </c>
      <c r="FA209" s="2" t="s">
        <v>356</v>
      </c>
      <c r="FB209" s="2" t="s">
        <v>356</v>
      </c>
      <c r="FC209" s="2" t="s">
        <v>356</v>
      </c>
      <c r="FD209" s="2" t="s">
        <v>356</v>
      </c>
      <c r="FE209" s="2" t="s">
        <v>356</v>
      </c>
      <c r="FF209" s="2" t="s">
        <v>356</v>
      </c>
      <c r="FG209" s="2" t="s">
        <v>356</v>
      </c>
      <c r="FH209" s="2" t="s">
        <v>356</v>
      </c>
      <c r="FI209" s="2" t="s">
        <v>356</v>
      </c>
      <c r="FJ209" s="2" t="s">
        <v>356</v>
      </c>
      <c r="FK209" s="2" t="s">
        <v>356</v>
      </c>
      <c r="FL209" s="2" t="s">
        <v>356</v>
      </c>
      <c r="FM209" s="2" t="s">
        <v>356</v>
      </c>
      <c r="FN209" s="2" t="s">
        <v>356</v>
      </c>
      <c r="FO209" s="2" t="s">
        <v>356</v>
      </c>
      <c r="FP209" s="2" t="s">
        <v>356</v>
      </c>
    </row>
    <row r="210" spans="1:172">
      <c r="A210" s="2" t="s">
        <v>1617</v>
      </c>
      <c r="B210" s="2" t="s">
        <v>257</v>
      </c>
      <c r="C210" s="2" t="s">
        <v>813</v>
      </c>
      <c r="D210" s="2" t="s">
        <v>1618</v>
      </c>
      <c r="E210" s="2" t="s">
        <v>1603</v>
      </c>
      <c r="F210" s="2" t="s">
        <v>356</v>
      </c>
      <c r="G210" s="2" t="s">
        <v>356</v>
      </c>
      <c r="H210" s="364">
        <v>38.5</v>
      </c>
      <c r="I210" s="364">
        <v>37</v>
      </c>
      <c r="K210" s="364"/>
      <c r="M210" s="364" t="s">
        <v>3050</v>
      </c>
      <c r="N210" s="364" t="s">
        <v>3049</v>
      </c>
      <c r="O210" s="364" t="s">
        <v>1604</v>
      </c>
      <c r="P210" s="364" t="s">
        <v>356</v>
      </c>
      <c r="Q210" s="364" t="s">
        <v>356</v>
      </c>
      <c r="R210" s="2" t="s">
        <v>181</v>
      </c>
      <c r="S210" s="2" t="s">
        <v>817</v>
      </c>
      <c r="T210" s="2" t="s">
        <v>3284</v>
      </c>
      <c r="U210" s="2" cm="1">
        <f t="array" ref="U210">IFERROR(INDEX('Offer Statistics'!$CH$2:$CH$350,MATCH(1,(A210='Offer Statistics'!$BS$2:$BS$350)*($A$11='Offer Statistics'!$BT$2:$BT$350),0)),"/")</f>
        <v>45</v>
      </c>
      <c r="V210" s="2" cm="1">
        <f t="array" ref="V210">IFERROR(INDEX('Offer Statistics'!$BU$2:$BU$350,MATCH(1,(A210='Offer Statistics'!$BS$2:$BS$350)*($A$11='Offer Statistics'!$BT$2:$BT$350),0)),"/")</f>
        <v>109</v>
      </c>
      <c r="W210" s="2" cm="1">
        <f t="array" ref="W210">IFERROR(INDEX('Offer Statistics'!$CC$2:$CC$350,MATCH(1,(A210='Offer Statistics'!$BS$2:$BS$350)*($A$11='Offer Statistics'!$BT$2:$BT$350),0)),"/")</f>
        <v>45</v>
      </c>
      <c r="X210" s="2">
        <f t="shared" si="773"/>
        <v>2.4222222222222221</v>
      </c>
      <c r="Y210" s="2" t="s">
        <v>1177</v>
      </c>
      <c r="Z210" s="2" t="str">
        <f>入學要求!AF219</f>
        <v>/</v>
      </c>
      <c r="AA210" s="2" t="str">
        <f>入學要求!AG219</f>
        <v>/</v>
      </c>
      <c r="AB210" s="366" t="s">
        <v>1563</v>
      </c>
      <c r="AC210" s="364"/>
      <c r="AE210" s="2" t="s">
        <v>1567</v>
      </c>
      <c r="AF210" s="2" t="s">
        <v>1580</v>
      </c>
      <c r="AG210" s="364" t="s">
        <v>3077</v>
      </c>
      <c r="AH210" s="364" t="s">
        <v>356</v>
      </c>
      <c r="AI210" s="364" t="s">
        <v>356</v>
      </c>
      <c r="AJ210" s="364" t="s">
        <v>3051</v>
      </c>
      <c r="AK210" s="364" t="s">
        <v>3062</v>
      </c>
      <c r="AL210" s="364" t="s">
        <v>356</v>
      </c>
      <c r="AM210" s="2" t="s">
        <v>356</v>
      </c>
      <c r="AN210" s="2" t="s">
        <v>356</v>
      </c>
      <c r="AO210" s="2" t="s">
        <v>356</v>
      </c>
      <c r="AP210" s="364" t="s">
        <v>1605</v>
      </c>
      <c r="AQ210" s="364"/>
      <c r="AS210" s="2" t="s">
        <v>820</v>
      </c>
      <c r="AU210" s="2" t="s">
        <v>817</v>
      </c>
      <c r="AY210" s="2" t="s">
        <v>356</v>
      </c>
      <c r="AZ210" s="2" t="s">
        <v>356</v>
      </c>
      <c r="BA210" s="2" t="s">
        <v>356</v>
      </c>
      <c r="BB210" s="2" t="s">
        <v>356</v>
      </c>
      <c r="BC210" s="2" t="s">
        <v>356</v>
      </c>
      <c r="BD210" s="2" t="s">
        <v>356</v>
      </c>
      <c r="BE210" s="2" t="s">
        <v>356</v>
      </c>
      <c r="BF210" s="2" t="s">
        <v>356</v>
      </c>
      <c r="BH210" s="2" t="s">
        <v>356</v>
      </c>
      <c r="BI210" s="2" t="s">
        <v>356</v>
      </c>
      <c r="BJ210" s="2" t="s">
        <v>356</v>
      </c>
      <c r="BK210" s="2" t="s">
        <v>356</v>
      </c>
      <c r="BL210" s="2" t="s">
        <v>356</v>
      </c>
      <c r="BM210" s="2" t="s">
        <v>356</v>
      </c>
      <c r="BN210" s="2" t="s">
        <v>356</v>
      </c>
      <c r="BO210" s="2" t="s">
        <v>356</v>
      </c>
      <c r="BX210" s="2" t="s">
        <v>356</v>
      </c>
      <c r="BY210" s="2" t="s">
        <v>356</v>
      </c>
      <c r="BZ210" s="2" t="s">
        <v>356</v>
      </c>
      <c r="CA210" s="2" t="s">
        <v>356</v>
      </c>
      <c r="CB210" s="2" t="s">
        <v>356</v>
      </c>
      <c r="CC210" s="2" t="s">
        <v>356</v>
      </c>
      <c r="CD210" s="2" t="s">
        <v>356</v>
      </c>
      <c r="CE210" s="2" t="s">
        <v>356</v>
      </c>
      <c r="CF210" s="2" t="s">
        <v>356</v>
      </c>
      <c r="CG210" s="2" t="s">
        <v>356</v>
      </c>
      <c r="CH210" s="2" t="s">
        <v>356</v>
      </c>
      <c r="CI210" s="2" t="s">
        <v>356</v>
      </c>
      <c r="CJ210" s="2" t="s">
        <v>356</v>
      </c>
      <c r="CK210" s="2" t="s">
        <v>356</v>
      </c>
      <c r="CL210" s="2" t="s">
        <v>356</v>
      </c>
      <c r="CM210" s="2" t="s">
        <v>356</v>
      </c>
      <c r="CN210" s="2" t="s">
        <v>356</v>
      </c>
      <c r="CO210" s="2" t="s">
        <v>356</v>
      </c>
      <c r="CP210" s="2" t="s">
        <v>356</v>
      </c>
      <c r="CQ210" s="2" t="s">
        <v>356</v>
      </c>
      <c r="CR210" s="2" t="s">
        <v>356</v>
      </c>
      <c r="CS210" s="2" t="s">
        <v>356</v>
      </c>
      <c r="CT210" s="2" t="s">
        <v>356</v>
      </c>
      <c r="CU210" s="2" t="s">
        <v>356</v>
      </c>
      <c r="CW210" s="2" t="s">
        <v>356</v>
      </c>
      <c r="CX210" s="2" t="s">
        <v>356</v>
      </c>
      <c r="CY210" s="2" t="s">
        <v>356</v>
      </c>
      <c r="CZ210" s="2" t="s">
        <v>356</v>
      </c>
      <c r="DA210" s="2" t="s">
        <v>356</v>
      </c>
      <c r="DB210" s="2" t="s">
        <v>356</v>
      </c>
      <c r="DC210" s="2" t="s">
        <v>356</v>
      </c>
      <c r="DD210" s="2" t="s">
        <v>356</v>
      </c>
      <c r="DM210" s="2" t="s">
        <v>356</v>
      </c>
      <c r="DN210" s="2" t="s">
        <v>356</v>
      </c>
      <c r="DO210" s="2" t="s">
        <v>356</v>
      </c>
      <c r="DP210" s="2" t="s">
        <v>356</v>
      </c>
      <c r="DQ210" s="2" t="s">
        <v>356</v>
      </c>
      <c r="DR210" s="2" t="s">
        <v>356</v>
      </c>
      <c r="DS210" s="2" t="s">
        <v>356</v>
      </c>
      <c r="DT210" s="2" t="s">
        <v>356</v>
      </c>
      <c r="DU210" s="2" t="s">
        <v>356</v>
      </c>
      <c r="DV210" s="2" t="s">
        <v>356</v>
      </c>
      <c r="DW210" s="2" t="s">
        <v>356</v>
      </c>
      <c r="DX210" s="2" t="s">
        <v>356</v>
      </c>
      <c r="DY210" s="2" t="s">
        <v>356</v>
      </c>
      <c r="DZ210" s="2" t="s">
        <v>356</v>
      </c>
      <c r="EA210" s="2" t="s">
        <v>356</v>
      </c>
      <c r="EB210" s="2" t="s">
        <v>356</v>
      </c>
      <c r="EC210" s="2" t="s">
        <v>356</v>
      </c>
      <c r="ED210" s="2" t="s">
        <v>356</v>
      </c>
      <c r="EE210" s="2" t="s">
        <v>356</v>
      </c>
      <c r="EF210" s="2" t="s">
        <v>356</v>
      </c>
      <c r="EG210" s="2" t="s">
        <v>356</v>
      </c>
      <c r="EH210" s="2" t="s">
        <v>356</v>
      </c>
      <c r="EI210" s="2" t="s">
        <v>356</v>
      </c>
      <c r="EJ210" s="2" t="s">
        <v>356</v>
      </c>
      <c r="EK210" s="2" t="s">
        <v>356</v>
      </c>
      <c r="EL210" s="2" t="s">
        <v>356</v>
      </c>
      <c r="EM210" s="2" t="s">
        <v>356</v>
      </c>
      <c r="EN210" s="2" t="s">
        <v>356</v>
      </c>
      <c r="EO210" s="2" t="s">
        <v>356</v>
      </c>
      <c r="EP210" s="2" t="s">
        <v>356</v>
      </c>
      <c r="EQ210" s="2" t="s">
        <v>356</v>
      </c>
      <c r="ER210" s="2" t="s">
        <v>356</v>
      </c>
      <c r="FA210" s="2" t="s">
        <v>356</v>
      </c>
      <c r="FB210" s="2" t="s">
        <v>356</v>
      </c>
      <c r="FC210" s="2" t="s">
        <v>356</v>
      </c>
      <c r="FD210" s="2" t="s">
        <v>356</v>
      </c>
      <c r="FE210" s="2" t="s">
        <v>356</v>
      </c>
      <c r="FF210" s="2" t="s">
        <v>356</v>
      </c>
      <c r="FG210" s="2" t="s">
        <v>356</v>
      </c>
      <c r="FH210" s="2" t="s">
        <v>356</v>
      </c>
      <c r="FI210" s="2" t="s">
        <v>356</v>
      </c>
      <c r="FJ210" s="2" t="s">
        <v>356</v>
      </c>
      <c r="FK210" s="2" t="s">
        <v>356</v>
      </c>
      <c r="FL210" s="2" t="s">
        <v>356</v>
      </c>
      <c r="FM210" s="2" t="s">
        <v>356</v>
      </c>
      <c r="FN210" s="2" t="s">
        <v>356</v>
      </c>
      <c r="FO210" s="2" t="s">
        <v>356</v>
      </c>
      <c r="FP210" s="2" t="s">
        <v>356</v>
      </c>
    </row>
    <row r="211" spans="1:172">
      <c r="A211" s="2" t="s">
        <v>1619</v>
      </c>
      <c r="B211" s="2" t="s">
        <v>257</v>
      </c>
      <c r="C211" s="2" t="s">
        <v>813</v>
      </c>
      <c r="D211" s="2" t="s">
        <v>1620</v>
      </c>
      <c r="E211" s="2" t="s">
        <v>1603</v>
      </c>
      <c r="F211" s="2" t="s">
        <v>356</v>
      </c>
      <c r="G211" s="2" t="s">
        <v>356</v>
      </c>
      <c r="H211" s="364">
        <v>35.5</v>
      </c>
      <c r="I211" s="364">
        <v>35.5</v>
      </c>
      <c r="K211" s="364"/>
      <c r="M211" s="364" t="s">
        <v>3050</v>
      </c>
      <c r="N211" s="364" t="s">
        <v>3049</v>
      </c>
      <c r="O211" s="364" t="s">
        <v>1604</v>
      </c>
      <c r="P211" s="364" t="s">
        <v>356</v>
      </c>
      <c r="Q211" s="364" t="s">
        <v>356</v>
      </c>
      <c r="R211" s="2" t="s">
        <v>182</v>
      </c>
      <c r="S211" s="2" t="s">
        <v>817</v>
      </c>
      <c r="T211" s="2" t="s">
        <v>3284</v>
      </c>
      <c r="U211" s="2" cm="1">
        <f t="array" ref="U211">IFERROR(INDEX('Offer Statistics'!$CH$2:$CH$350,MATCH(1,(A211='Offer Statistics'!$BS$2:$BS$350)*($A$11='Offer Statistics'!$BT$2:$BT$350),0)),"/")</f>
        <v>7</v>
      </c>
      <c r="V211" s="2" cm="1">
        <f t="array" ref="V211">IFERROR(INDEX('Offer Statistics'!$BU$2:$BU$350,MATCH(1,(A211='Offer Statistics'!$BS$2:$BS$350)*($A$11='Offer Statistics'!$BT$2:$BT$350),0)),"/")</f>
        <v>60</v>
      </c>
      <c r="W211" s="2" cm="1">
        <f t="array" ref="W211">IFERROR(INDEX('Offer Statistics'!$CC$2:$CC$350,MATCH(1,(A211='Offer Statistics'!$BS$2:$BS$350)*($A$11='Offer Statistics'!$BT$2:$BT$350),0)),"/")</f>
        <v>7</v>
      </c>
      <c r="X211" s="2">
        <f t="shared" si="773"/>
        <v>8.5714285714285712</v>
      </c>
      <c r="Y211" s="2" t="s">
        <v>1177</v>
      </c>
      <c r="Z211" s="2" t="str">
        <f>入學要求!AF220</f>
        <v>/</v>
      </c>
      <c r="AA211" s="2" t="str">
        <f>入學要求!AG220</f>
        <v>/</v>
      </c>
      <c r="AB211" s="366" t="s">
        <v>1563</v>
      </c>
      <c r="AC211" s="364"/>
      <c r="AE211" s="2" t="s">
        <v>1567</v>
      </c>
      <c r="AF211" s="2" t="s">
        <v>1580</v>
      </c>
      <c r="AG211" s="364" t="s">
        <v>3077</v>
      </c>
      <c r="AH211" s="364" t="s">
        <v>356</v>
      </c>
      <c r="AI211" s="364" t="s">
        <v>356</v>
      </c>
      <c r="AJ211" s="364" t="s">
        <v>3051</v>
      </c>
      <c r="AK211" s="364" t="s">
        <v>3063</v>
      </c>
      <c r="AL211" s="364" t="s">
        <v>356</v>
      </c>
      <c r="AM211" s="2" t="s">
        <v>356</v>
      </c>
      <c r="AN211" s="2" t="s">
        <v>356</v>
      </c>
      <c r="AO211" s="2" t="s">
        <v>356</v>
      </c>
      <c r="AP211" s="364" t="s">
        <v>1605</v>
      </c>
      <c r="AQ211" s="364"/>
      <c r="AS211" s="2" t="s">
        <v>820</v>
      </c>
      <c r="AU211" s="2" t="s">
        <v>817</v>
      </c>
      <c r="AY211" s="2" t="s">
        <v>356</v>
      </c>
      <c r="AZ211" s="2" t="s">
        <v>356</v>
      </c>
      <c r="BA211" s="2" t="s">
        <v>356</v>
      </c>
      <c r="BB211" s="2" t="s">
        <v>356</v>
      </c>
      <c r="BC211" s="2" t="s">
        <v>356</v>
      </c>
      <c r="BD211" s="2" t="s">
        <v>356</v>
      </c>
      <c r="BE211" s="2" t="s">
        <v>356</v>
      </c>
      <c r="BF211" s="2" t="s">
        <v>356</v>
      </c>
      <c r="BH211" s="2" t="s">
        <v>356</v>
      </c>
      <c r="BI211" s="2" t="s">
        <v>356</v>
      </c>
      <c r="BJ211" s="2" t="s">
        <v>356</v>
      </c>
      <c r="BK211" s="2" t="s">
        <v>356</v>
      </c>
      <c r="BL211" s="2" t="s">
        <v>356</v>
      </c>
      <c r="BM211" s="2" t="s">
        <v>356</v>
      </c>
      <c r="BN211" s="2" t="s">
        <v>356</v>
      </c>
      <c r="BO211" s="2" t="s">
        <v>356</v>
      </c>
      <c r="BX211" s="2" t="s">
        <v>356</v>
      </c>
      <c r="BY211" s="2" t="s">
        <v>356</v>
      </c>
      <c r="BZ211" s="2" t="s">
        <v>356</v>
      </c>
      <c r="CA211" s="2" t="s">
        <v>356</v>
      </c>
      <c r="CB211" s="2" t="s">
        <v>356</v>
      </c>
      <c r="CC211" s="2" t="s">
        <v>356</v>
      </c>
      <c r="CD211" s="2" t="s">
        <v>356</v>
      </c>
      <c r="CE211" s="2" t="s">
        <v>356</v>
      </c>
      <c r="CF211" s="2" t="s">
        <v>356</v>
      </c>
      <c r="CG211" s="2" t="s">
        <v>356</v>
      </c>
      <c r="CH211" s="2" t="s">
        <v>356</v>
      </c>
      <c r="CI211" s="2" t="s">
        <v>356</v>
      </c>
      <c r="CJ211" s="2" t="s">
        <v>356</v>
      </c>
      <c r="CK211" s="2" t="s">
        <v>356</v>
      </c>
      <c r="CL211" s="2" t="s">
        <v>356</v>
      </c>
      <c r="CM211" s="2" t="s">
        <v>356</v>
      </c>
      <c r="CN211" s="2" t="s">
        <v>356</v>
      </c>
      <c r="CO211" s="2" t="s">
        <v>356</v>
      </c>
      <c r="CP211" s="2" t="s">
        <v>356</v>
      </c>
      <c r="CQ211" s="2" t="s">
        <v>356</v>
      </c>
      <c r="CR211" s="2" t="s">
        <v>356</v>
      </c>
      <c r="CS211" s="2" t="s">
        <v>356</v>
      </c>
      <c r="CT211" s="2" t="s">
        <v>356</v>
      </c>
      <c r="CU211" s="2" t="s">
        <v>356</v>
      </c>
      <c r="CW211" s="2" t="s">
        <v>356</v>
      </c>
      <c r="CX211" s="2" t="s">
        <v>356</v>
      </c>
      <c r="CY211" s="2" t="s">
        <v>356</v>
      </c>
      <c r="CZ211" s="2" t="s">
        <v>356</v>
      </c>
      <c r="DA211" s="2" t="s">
        <v>356</v>
      </c>
      <c r="DB211" s="2" t="s">
        <v>356</v>
      </c>
      <c r="DC211" s="2" t="s">
        <v>356</v>
      </c>
      <c r="DD211" s="2" t="s">
        <v>356</v>
      </c>
      <c r="DM211" s="2" t="s">
        <v>356</v>
      </c>
      <c r="DN211" s="2" t="s">
        <v>356</v>
      </c>
      <c r="DO211" s="2" t="s">
        <v>356</v>
      </c>
      <c r="DP211" s="2" t="s">
        <v>356</v>
      </c>
      <c r="DQ211" s="2" t="s">
        <v>356</v>
      </c>
      <c r="DR211" s="2" t="s">
        <v>356</v>
      </c>
      <c r="DS211" s="2" t="s">
        <v>356</v>
      </c>
      <c r="DT211" s="2" t="s">
        <v>356</v>
      </c>
      <c r="DU211" s="2" t="s">
        <v>356</v>
      </c>
      <c r="DV211" s="2" t="s">
        <v>356</v>
      </c>
      <c r="DW211" s="2" t="s">
        <v>356</v>
      </c>
      <c r="DX211" s="2" t="s">
        <v>356</v>
      </c>
      <c r="DY211" s="2" t="s">
        <v>356</v>
      </c>
      <c r="DZ211" s="2" t="s">
        <v>356</v>
      </c>
      <c r="EA211" s="2" t="s">
        <v>356</v>
      </c>
      <c r="EB211" s="2" t="s">
        <v>356</v>
      </c>
      <c r="EC211" s="2" t="s">
        <v>356</v>
      </c>
      <c r="ED211" s="2" t="s">
        <v>356</v>
      </c>
      <c r="EE211" s="2" t="s">
        <v>356</v>
      </c>
      <c r="EF211" s="2" t="s">
        <v>356</v>
      </c>
      <c r="EG211" s="2" t="s">
        <v>356</v>
      </c>
      <c r="EH211" s="2" t="s">
        <v>356</v>
      </c>
      <c r="EI211" s="2" t="s">
        <v>356</v>
      </c>
      <c r="EJ211" s="2" t="s">
        <v>356</v>
      </c>
      <c r="EK211" s="2" t="s">
        <v>356</v>
      </c>
      <c r="EL211" s="2" t="s">
        <v>356</v>
      </c>
      <c r="EM211" s="2" t="s">
        <v>356</v>
      </c>
      <c r="EN211" s="2" t="s">
        <v>356</v>
      </c>
      <c r="EO211" s="2" t="s">
        <v>356</v>
      </c>
      <c r="EP211" s="2" t="s">
        <v>356</v>
      </c>
      <c r="EQ211" s="2" t="s">
        <v>356</v>
      </c>
      <c r="ER211" s="2" t="s">
        <v>356</v>
      </c>
      <c r="FA211" s="2" t="s">
        <v>356</v>
      </c>
      <c r="FB211" s="2" t="s">
        <v>356</v>
      </c>
      <c r="FC211" s="2" t="s">
        <v>356</v>
      </c>
      <c r="FD211" s="2" t="s">
        <v>356</v>
      </c>
      <c r="FE211" s="2" t="s">
        <v>356</v>
      </c>
      <c r="FF211" s="2" t="s">
        <v>356</v>
      </c>
      <c r="FG211" s="2" t="s">
        <v>356</v>
      </c>
      <c r="FH211" s="2" t="s">
        <v>356</v>
      </c>
      <c r="FI211" s="2" t="s">
        <v>356</v>
      </c>
      <c r="FJ211" s="2" t="s">
        <v>356</v>
      </c>
      <c r="FK211" s="2" t="s">
        <v>356</v>
      </c>
      <c r="FL211" s="2" t="s">
        <v>356</v>
      </c>
      <c r="FM211" s="2" t="s">
        <v>356</v>
      </c>
      <c r="FN211" s="2" t="s">
        <v>356</v>
      </c>
      <c r="FO211" s="2" t="s">
        <v>356</v>
      </c>
      <c r="FP211" s="2" t="s">
        <v>356</v>
      </c>
    </row>
    <row r="212" spans="1:172">
      <c r="A212" s="2" t="s">
        <v>1621</v>
      </c>
      <c r="B212" s="2" t="s">
        <v>257</v>
      </c>
      <c r="C212" s="2" t="s">
        <v>813</v>
      </c>
      <c r="D212" s="2" t="s">
        <v>1622</v>
      </c>
      <c r="E212" s="2" t="s">
        <v>1603</v>
      </c>
      <c r="F212" s="2" t="s">
        <v>356</v>
      </c>
      <c r="G212" s="2" t="s">
        <v>356</v>
      </c>
      <c r="H212" s="364">
        <v>38</v>
      </c>
      <c r="I212" s="364">
        <v>36.130000000000003</v>
      </c>
      <c r="K212" s="364"/>
      <c r="M212" s="364" t="s">
        <v>3050</v>
      </c>
      <c r="N212" s="364" t="s">
        <v>3049</v>
      </c>
      <c r="O212" s="364" t="s">
        <v>1604</v>
      </c>
      <c r="P212" s="364" t="s">
        <v>356</v>
      </c>
      <c r="Q212" s="364" t="s">
        <v>356</v>
      </c>
      <c r="R212" s="2" t="s">
        <v>183</v>
      </c>
      <c r="S212" s="2" t="s">
        <v>817</v>
      </c>
      <c r="T212" s="2" t="s">
        <v>3284</v>
      </c>
      <c r="U212" s="2" cm="1">
        <f t="array" ref="U212">IFERROR(INDEX('Offer Statistics'!$CH$2:$CH$350,MATCH(1,(A212='Offer Statistics'!$BS$2:$BS$350)*($A$11='Offer Statistics'!$BT$2:$BT$350),0)),"/")</f>
        <v>20</v>
      </c>
      <c r="V212" s="2" cm="1">
        <f t="array" ref="V212">IFERROR(INDEX('Offer Statistics'!$BU$2:$BU$350,MATCH(1,(A212='Offer Statistics'!$BS$2:$BS$350)*($A$11='Offer Statistics'!$BT$2:$BT$350),0)),"/")</f>
        <v>120</v>
      </c>
      <c r="W212" s="2" cm="1">
        <f t="array" ref="W212">IFERROR(INDEX('Offer Statistics'!$CC$2:$CC$350,MATCH(1,(A212='Offer Statistics'!$BS$2:$BS$350)*($A$11='Offer Statistics'!$BT$2:$BT$350),0)),"/")</f>
        <v>20</v>
      </c>
      <c r="X212" s="2">
        <f t="shared" si="773"/>
        <v>6</v>
      </c>
      <c r="Y212" s="2" t="s">
        <v>1177</v>
      </c>
      <c r="Z212" s="2" t="str">
        <f>入學要求!AF221</f>
        <v>/</v>
      </c>
      <c r="AA212" s="2" t="str">
        <f>入學要求!AG221</f>
        <v>/</v>
      </c>
      <c r="AB212" s="366" t="s">
        <v>1563</v>
      </c>
      <c r="AC212" s="364"/>
      <c r="AE212" s="2" t="s">
        <v>1567</v>
      </c>
      <c r="AF212" s="2" t="s">
        <v>1580</v>
      </c>
      <c r="AG212" s="364" t="s">
        <v>3077</v>
      </c>
      <c r="AH212" s="364" t="s">
        <v>356</v>
      </c>
      <c r="AI212" s="364" t="s">
        <v>356</v>
      </c>
      <c r="AJ212" s="364" t="s">
        <v>3051</v>
      </c>
      <c r="AK212" s="364" t="s">
        <v>3064</v>
      </c>
      <c r="AL212" s="364" t="s">
        <v>356</v>
      </c>
      <c r="AM212" s="2" t="s">
        <v>356</v>
      </c>
      <c r="AN212" s="2" t="s">
        <v>356</v>
      </c>
      <c r="AO212" s="2" t="s">
        <v>356</v>
      </c>
      <c r="AP212" s="364" t="s">
        <v>1605</v>
      </c>
      <c r="AQ212" s="364"/>
      <c r="AS212" s="2" t="s">
        <v>820</v>
      </c>
      <c r="AU212" s="2" t="s">
        <v>817</v>
      </c>
      <c r="AY212" s="2" t="s">
        <v>356</v>
      </c>
      <c r="AZ212" s="2" t="s">
        <v>356</v>
      </c>
      <c r="BA212" s="2" t="s">
        <v>356</v>
      </c>
      <c r="BB212" s="2" t="s">
        <v>356</v>
      </c>
      <c r="BC212" s="2" t="s">
        <v>356</v>
      </c>
      <c r="BD212" s="2" t="s">
        <v>356</v>
      </c>
      <c r="BE212" s="2" t="s">
        <v>356</v>
      </c>
      <c r="BF212" s="2" t="s">
        <v>356</v>
      </c>
      <c r="BH212" s="2" t="s">
        <v>356</v>
      </c>
      <c r="BI212" s="2" t="s">
        <v>356</v>
      </c>
      <c r="BJ212" s="2" t="s">
        <v>356</v>
      </c>
      <c r="BK212" s="2" t="s">
        <v>356</v>
      </c>
      <c r="BL212" s="2" t="s">
        <v>356</v>
      </c>
      <c r="BM212" s="2" t="s">
        <v>356</v>
      </c>
      <c r="BN212" s="2" t="s">
        <v>356</v>
      </c>
      <c r="BO212" s="2" t="s">
        <v>356</v>
      </c>
      <c r="BX212" s="2" t="s">
        <v>356</v>
      </c>
      <c r="BY212" s="2" t="s">
        <v>356</v>
      </c>
      <c r="BZ212" s="2" t="s">
        <v>356</v>
      </c>
      <c r="CA212" s="2" t="s">
        <v>356</v>
      </c>
      <c r="CB212" s="2" t="s">
        <v>356</v>
      </c>
      <c r="CC212" s="2" t="s">
        <v>356</v>
      </c>
      <c r="CD212" s="2" t="s">
        <v>356</v>
      </c>
      <c r="CE212" s="2" t="s">
        <v>356</v>
      </c>
      <c r="CF212" s="2" t="s">
        <v>356</v>
      </c>
      <c r="CG212" s="2" t="s">
        <v>356</v>
      </c>
      <c r="CH212" s="2" t="s">
        <v>356</v>
      </c>
      <c r="CI212" s="2" t="s">
        <v>356</v>
      </c>
      <c r="CJ212" s="2" t="s">
        <v>356</v>
      </c>
      <c r="CK212" s="2" t="s">
        <v>356</v>
      </c>
      <c r="CL212" s="2" t="s">
        <v>356</v>
      </c>
      <c r="CM212" s="2" t="s">
        <v>356</v>
      </c>
      <c r="CN212" s="2" t="s">
        <v>356</v>
      </c>
      <c r="CO212" s="2" t="s">
        <v>356</v>
      </c>
      <c r="CP212" s="2" t="s">
        <v>356</v>
      </c>
      <c r="CQ212" s="2" t="s">
        <v>356</v>
      </c>
      <c r="CR212" s="2" t="s">
        <v>356</v>
      </c>
      <c r="CS212" s="2" t="s">
        <v>356</v>
      </c>
      <c r="CT212" s="2" t="s">
        <v>356</v>
      </c>
      <c r="CU212" s="2" t="s">
        <v>356</v>
      </c>
      <c r="CW212" s="2" t="s">
        <v>356</v>
      </c>
      <c r="CX212" s="2" t="s">
        <v>356</v>
      </c>
      <c r="CY212" s="2" t="s">
        <v>356</v>
      </c>
      <c r="CZ212" s="2" t="s">
        <v>356</v>
      </c>
      <c r="DA212" s="2" t="s">
        <v>356</v>
      </c>
      <c r="DB212" s="2" t="s">
        <v>356</v>
      </c>
      <c r="DC212" s="2" t="s">
        <v>356</v>
      </c>
      <c r="DD212" s="2" t="s">
        <v>356</v>
      </c>
      <c r="DM212" s="2" t="s">
        <v>356</v>
      </c>
      <c r="DN212" s="2" t="s">
        <v>356</v>
      </c>
      <c r="DO212" s="2" t="s">
        <v>356</v>
      </c>
      <c r="DP212" s="2" t="s">
        <v>356</v>
      </c>
      <c r="DQ212" s="2" t="s">
        <v>356</v>
      </c>
      <c r="DR212" s="2" t="s">
        <v>356</v>
      </c>
      <c r="DS212" s="2" t="s">
        <v>356</v>
      </c>
      <c r="DT212" s="2" t="s">
        <v>356</v>
      </c>
      <c r="DU212" s="2" t="s">
        <v>356</v>
      </c>
      <c r="DV212" s="2" t="s">
        <v>356</v>
      </c>
      <c r="DW212" s="2" t="s">
        <v>356</v>
      </c>
      <c r="DX212" s="2" t="s">
        <v>356</v>
      </c>
      <c r="DY212" s="2" t="s">
        <v>356</v>
      </c>
      <c r="DZ212" s="2" t="s">
        <v>356</v>
      </c>
      <c r="EA212" s="2" t="s">
        <v>356</v>
      </c>
      <c r="EB212" s="2" t="s">
        <v>356</v>
      </c>
      <c r="EC212" s="2" t="s">
        <v>356</v>
      </c>
      <c r="ED212" s="2" t="s">
        <v>356</v>
      </c>
      <c r="EE212" s="2" t="s">
        <v>356</v>
      </c>
      <c r="EF212" s="2" t="s">
        <v>356</v>
      </c>
      <c r="EG212" s="2" t="s">
        <v>356</v>
      </c>
      <c r="EH212" s="2" t="s">
        <v>356</v>
      </c>
      <c r="EI212" s="2" t="s">
        <v>356</v>
      </c>
      <c r="EJ212" s="2" t="s">
        <v>356</v>
      </c>
      <c r="EK212" s="2" t="s">
        <v>356</v>
      </c>
      <c r="EL212" s="2" t="s">
        <v>356</v>
      </c>
      <c r="EM212" s="2" t="s">
        <v>356</v>
      </c>
      <c r="EN212" s="2" t="s">
        <v>356</v>
      </c>
      <c r="EO212" s="2" t="s">
        <v>356</v>
      </c>
      <c r="EP212" s="2" t="s">
        <v>356</v>
      </c>
      <c r="EQ212" s="2" t="s">
        <v>356</v>
      </c>
      <c r="ER212" s="2" t="s">
        <v>356</v>
      </c>
      <c r="FA212" s="2" t="s">
        <v>356</v>
      </c>
      <c r="FB212" s="2" t="s">
        <v>356</v>
      </c>
      <c r="FC212" s="2" t="s">
        <v>356</v>
      </c>
      <c r="FD212" s="2" t="s">
        <v>356</v>
      </c>
      <c r="FE212" s="2" t="s">
        <v>356</v>
      </c>
      <c r="FF212" s="2" t="s">
        <v>356</v>
      </c>
      <c r="FG212" s="2" t="s">
        <v>356</v>
      </c>
      <c r="FH212" s="2" t="s">
        <v>356</v>
      </c>
      <c r="FI212" s="2" t="s">
        <v>356</v>
      </c>
      <c r="FJ212" s="2" t="s">
        <v>356</v>
      </c>
      <c r="FK212" s="2" t="s">
        <v>356</v>
      </c>
      <c r="FL212" s="2" t="s">
        <v>356</v>
      </c>
      <c r="FM212" s="2" t="s">
        <v>356</v>
      </c>
      <c r="FN212" s="2" t="s">
        <v>356</v>
      </c>
      <c r="FO212" s="2" t="s">
        <v>356</v>
      </c>
      <c r="FP212" s="2" t="s">
        <v>356</v>
      </c>
    </row>
    <row r="213" spans="1:172">
      <c r="A213" s="2" t="s">
        <v>1623</v>
      </c>
      <c r="B213" s="2" t="s">
        <v>257</v>
      </c>
      <c r="C213" s="2" t="s">
        <v>813</v>
      </c>
      <c r="D213" s="2" t="s">
        <v>1624</v>
      </c>
      <c r="E213" s="2" t="s">
        <v>1603</v>
      </c>
      <c r="F213" s="2" t="s">
        <v>356</v>
      </c>
      <c r="G213" s="2" t="s">
        <v>356</v>
      </c>
      <c r="H213" s="364" t="s">
        <v>356</v>
      </c>
      <c r="I213" s="364" t="s">
        <v>356</v>
      </c>
      <c r="K213" s="364"/>
      <c r="M213" s="364" t="s">
        <v>3050</v>
      </c>
      <c r="N213" s="364" t="s">
        <v>3049</v>
      </c>
      <c r="O213" s="364" t="s">
        <v>1604</v>
      </c>
      <c r="P213" s="364" t="s">
        <v>356</v>
      </c>
      <c r="Q213" s="364" t="s">
        <v>356</v>
      </c>
      <c r="R213" s="2" t="s">
        <v>184</v>
      </c>
      <c r="S213" s="2" t="s">
        <v>817</v>
      </c>
      <c r="T213" s="2" t="s">
        <v>3284</v>
      </c>
      <c r="U213" s="2" cm="1">
        <f t="array" ref="U213">IFERROR(INDEX('Offer Statistics'!$CH$2:$CH$350,MATCH(1,(A213='Offer Statistics'!$BS$2:$BS$350)*($A$11='Offer Statistics'!$BT$2:$BT$350),0)),"/")</f>
        <v>0</v>
      </c>
      <c r="V213" s="2" cm="1">
        <f t="array" ref="V213">IFERROR(INDEX('Offer Statistics'!$BU$2:$BU$350,MATCH(1,(A213='Offer Statistics'!$BS$2:$BS$350)*($A$11='Offer Statistics'!$BT$2:$BT$350),0)),"/")</f>
        <v>21</v>
      </c>
      <c r="W213" s="2" cm="1">
        <f t="array" ref="W213">IFERROR(INDEX('Offer Statistics'!$CC$2:$CC$350,MATCH(1,(A213='Offer Statistics'!$BS$2:$BS$350)*($A$11='Offer Statistics'!$BT$2:$BT$350),0)),"/")</f>
        <v>0</v>
      </c>
      <c r="X213" s="2" t="str">
        <f t="shared" si="773"/>
        <v>新科目</v>
      </c>
      <c r="Y213" s="2" t="s">
        <v>1177</v>
      </c>
      <c r="Z213" s="2" t="str">
        <f>入學要求!AF222</f>
        <v>/</v>
      </c>
      <c r="AA213" s="2" t="str">
        <f>入學要求!AG222</f>
        <v>/</v>
      </c>
      <c r="AB213" s="366" t="s">
        <v>1563</v>
      </c>
      <c r="AC213" s="364"/>
      <c r="AE213" s="2" t="s">
        <v>1567</v>
      </c>
      <c r="AF213" s="2" t="s">
        <v>1580</v>
      </c>
      <c r="AG213" s="364" t="s">
        <v>3077</v>
      </c>
      <c r="AH213" s="364" t="s">
        <v>356</v>
      </c>
      <c r="AI213" s="364" t="s">
        <v>356</v>
      </c>
      <c r="AJ213" s="364" t="s">
        <v>3051</v>
      </c>
      <c r="AK213" s="364" t="s">
        <v>435</v>
      </c>
      <c r="AL213" s="364" t="s">
        <v>356</v>
      </c>
      <c r="AM213" s="2" t="s">
        <v>1332</v>
      </c>
      <c r="AN213" s="2" t="s">
        <v>356</v>
      </c>
      <c r="AO213" s="2" t="s">
        <v>356</v>
      </c>
      <c r="AP213" s="364" t="s">
        <v>1605</v>
      </c>
      <c r="AQ213" s="364"/>
      <c r="AS213" s="2" t="s">
        <v>820</v>
      </c>
      <c r="AU213" s="2" t="s">
        <v>817</v>
      </c>
      <c r="AY213" s="2" t="s">
        <v>356</v>
      </c>
      <c r="AZ213" s="2" t="s">
        <v>356</v>
      </c>
      <c r="BA213" s="2" t="s">
        <v>356</v>
      </c>
      <c r="BB213" s="2" t="s">
        <v>356</v>
      </c>
      <c r="BC213" s="2" t="s">
        <v>356</v>
      </c>
      <c r="BD213" s="2" t="s">
        <v>356</v>
      </c>
      <c r="BE213" s="2" t="s">
        <v>356</v>
      </c>
      <c r="BF213" s="2" t="s">
        <v>356</v>
      </c>
      <c r="BH213" s="2" t="s">
        <v>356</v>
      </c>
      <c r="BI213" s="2" t="s">
        <v>356</v>
      </c>
      <c r="BJ213" s="2" t="s">
        <v>356</v>
      </c>
      <c r="BK213" s="2" t="s">
        <v>356</v>
      </c>
      <c r="BL213" s="2" t="s">
        <v>356</v>
      </c>
      <c r="BM213" s="2" t="s">
        <v>356</v>
      </c>
      <c r="BN213" s="2" t="s">
        <v>356</v>
      </c>
      <c r="BO213" s="2" t="s">
        <v>356</v>
      </c>
      <c r="BX213" s="2" t="s">
        <v>356</v>
      </c>
      <c r="BY213" s="2" t="s">
        <v>356</v>
      </c>
      <c r="BZ213" s="2" t="s">
        <v>356</v>
      </c>
      <c r="CA213" s="2" t="s">
        <v>356</v>
      </c>
      <c r="CB213" s="2" t="s">
        <v>356</v>
      </c>
      <c r="CC213" s="2" t="s">
        <v>356</v>
      </c>
      <c r="CD213" s="2" t="s">
        <v>356</v>
      </c>
      <c r="CE213" s="2" t="s">
        <v>356</v>
      </c>
      <c r="CF213" s="2" t="s">
        <v>356</v>
      </c>
      <c r="CG213" s="2" t="s">
        <v>356</v>
      </c>
      <c r="CH213" s="2" t="s">
        <v>356</v>
      </c>
      <c r="CI213" s="2" t="s">
        <v>356</v>
      </c>
      <c r="CJ213" s="2" t="s">
        <v>356</v>
      </c>
      <c r="CK213" s="2" t="s">
        <v>356</v>
      </c>
      <c r="CL213" s="2" t="s">
        <v>356</v>
      </c>
      <c r="CM213" s="2" t="s">
        <v>356</v>
      </c>
      <c r="CN213" s="2" t="s">
        <v>356</v>
      </c>
      <c r="CO213" s="2" t="s">
        <v>356</v>
      </c>
      <c r="CP213" s="2" t="s">
        <v>356</v>
      </c>
      <c r="CQ213" s="2" t="s">
        <v>356</v>
      </c>
      <c r="CR213" s="2" t="s">
        <v>356</v>
      </c>
      <c r="CS213" s="2" t="s">
        <v>356</v>
      </c>
      <c r="CT213" s="2" t="s">
        <v>356</v>
      </c>
      <c r="CU213" s="2" t="s">
        <v>356</v>
      </c>
      <c r="CW213" s="2" t="s">
        <v>356</v>
      </c>
      <c r="CX213" s="2" t="s">
        <v>356</v>
      </c>
      <c r="CY213" s="2" t="s">
        <v>356</v>
      </c>
      <c r="CZ213" s="2" t="s">
        <v>356</v>
      </c>
      <c r="DA213" s="2" t="s">
        <v>356</v>
      </c>
      <c r="DB213" s="2" t="s">
        <v>356</v>
      </c>
      <c r="DC213" s="2" t="s">
        <v>356</v>
      </c>
      <c r="DD213" s="2" t="s">
        <v>356</v>
      </c>
      <c r="DM213" s="2" t="s">
        <v>356</v>
      </c>
      <c r="DN213" s="2" t="s">
        <v>356</v>
      </c>
      <c r="DO213" s="2" t="s">
        <v>356</v>
      </c>
      <c r="DP213" s="2" t="s">
        <v>356</v>
      </c>
      <c r="DQ213" s="2" t="s">
        <v>356</v>
      </c>
      <c r="DR213" s="2" t="s">
        <v>356</v>
      </c>
      <c r="DS213" s="2" t="s">
        <v>356</v>
      </c>
      <c r="DT213" s="2" t="s">
        <v>356</v>
      </c>
      <c r="DU213" s="2" t="s">
        <v>356</v>
      </c>
      <c r="DV213" s="2" t="s">
        <v>356</v>
      </c>
      <c r="DW213" s="2" t="s">
        <v>356</v>
      </c>
      <c r="DX213" s="2" t="s">
        <v>356</v>
      </c>
      <c r="DY213" s="2" t="s">
        <v>356</v>
      </c>
      <c r="DZ213" s="2" t="s">
        <v>356</v>
      </c>
      <c r="EA213" s="2" t="s">
        <v>356</v>
      </c>
      <c r="EB213" s="2" t="s">
        <v>356</v>
      </c>
      <c r="EC213" s="2" t="s">
        <v>356</v>
      </c>
      <c r="ED213" s="2" t="s">
        <v>356</v>
      </c>
      <c r="EE213" s="2" t="s">
        <v>356</v>
      </c>
      <c r="EF213" s="2" t="s">
        <v>356</v>
      </c>
      <c r="EG213" s="2" t="s">
        <v>356</v>
      </c>
      <c r="EH213" s="2" t="s">
        <v>356</v>
      </c>
      <c r="EI213" s="2" t="s">
        <v>356</v>
      </c>
      <c r="EJ213" s="2" t="s">
        <v>356</v>
      </c>
      <c r="EK213" s="2" t="s">
        <v>356</v>
      </c>
      <c r="EL213" s="2" t="s">
        <v>356</v>
      </c>
      <c r="EM213" s="2" t="s">
        <v>356</v>
      </c>
      <c r="EN213" s="2" t="s">
        <v>356</v>
      </c>
      <c r="EO213" s="2" t="s">
        <v>356</v>
      </c>
      <c r="EP213" s="2" t="s">
        <v>356</v>
      </c>
      <c r="EQ213" s="2" t="s">
        <v>356</v>
      </c>
      <c r="ER213" s="2" t="s">
        <v>356</v>
      </c>
      <c r="FA213" s="2" t="s">
        <v>356</v>
      </c>
      <c r="FB213" s="2" t="s">
        <v>356</v>
      </c>
      <c r="FC213" s="2" t="s">
        <v>356</v>
      </c>
      <c r="FD213" s="2" t="s">
        <v>356</v>
      </c>
      <c r="FE213" s="2" t="s">
        <v>356</v>
      </c>
      <c r="FF213" s="2" t="s">
        <v>356</v>
      </c>
      <c r="FG213" s="2" t="s">
        <v>356</v>
      </c>
      <c r="FH213" s="2" t="s">
        <v>356</v>
      </c>
      <c r="FI213" s="2" t="s">
        <v>356</v>
      </c>
      <c r="FJ213" s="2" t="s">
        <v>356</v>
      </c>
      <c r="FK213" s="2" t="s">
        <v>356</v>
      </c>
      <c r="FL213" s="2" t="s">
        <v>356</v>
      </c>
      <c r="FM213" s="2" t="s">
        <v>356</v>
      </c>
      <c r="FN213" s="2" t="s">
        <v>356</v>
      </c>
      <c r="FO213" s="2" t="s">
        <v>356</v>
      </c>
      <c r="FP213" s="2" t="s">
        <v>356</v>
      </c>
    </row>
    <row r="214" spans="1:172">
      <c r="A214" s="2" t="s">
        <v>1625</v>
      </c>
      <c r="B214" s="2" t="s">
        <v>257</v>
      </c>
      <c r="C214" s="2" t="s">
        <v>813</v>
      </c>
      <c r="D214" s="2" t="s">
        <v>1626</v>
      </c>
      <c r="E214" s="2" t="s">
        <v>1603</v>
      </c>
      <c r="F214" s="2" t="s">
        <v>356</v>
      </c>
      <c r="G214" s="2" t="s">
        <v>356</v>
      </c>
      <c r="H214" s="364">
        <v>37</v>
      </c>
      <c r="I214" s="364">
        <v>36.5</v>
      </c>
      <c r="K214" s="364"/>
      <c r="M214" s="364" t="s">
        <v>3050</v>
      </c>
      <c r="N214" s="364" t="s">
        <v>3049</v>
      </c>
      <c r="O214" s="364" t="s">
        <v>1604</v>
      </c>
      <c r="P214" s="364" t="s">
        <v>356</v>
      </c>
      <c r="Q214" s="364" t="s">
        <v>356</v>
      </c>
      <c r="R214" s="2" t="s">
        <v>185</v>
      </c>
      <c r="S214" s="2" t="s">
        <v>817</v>
      </c>
      <c r="T214" s="2">
        <v>60</v>
      </c>
      <c r="U214" s="2" cm="1">
        <f t="array" ref="U214">IFERROR(INDEX('Offer Statistics'!$CH$2:$CH$350,MATCH(1,(A214='Offer Statistics'!$BS$2:$BS$350)*($A$11='Offer Statistics'!$BT$2:$BT$350),0)),"/")</f>
        <v>49</v>
      </c>
      <c r="V214" s="2" cm="1">
        <f t="array" ref="V214">IFERROR(INDEX('Offer Statistics'!$BU$2:$BU$350,MATCH(1,(A214='Offer Statistics'!$BS$2:$BS$350)*($A$11='Offer Statistics'!$BT$2:$BT$350),0)),"/")</f>
        <v>175</v>
      </c>
      <c r="W214" s="2" cm="1">
        <f t="array" ref="W214">IFERROR(INDEX('Offer Statistics'!$CC$2:$CC$350,MATCH(1,(A214='Offer Statistics'!$BS$2:$BS$350)*($A$11='Offer Statistics'!$BT$2:$BT$350),0)),"/")</f>
        <v>49</v>
      </c>
      <c r="X214" s="2">
        <f t="shared" si="773"/>
        <v>3.5714285714285716</v>
      </c>
      <c r="Y214" s="2" t="s">
        <v>1177</v>
      </c>
      <c r="Z214" s="2" t="str">
        <f>入學要求!AF223</f>
        <v>/</v>
      </c>
      <c r="AA214" s="2" t="str">
        <f>入學要求!AG223</f>
        <v>/</v>
      </c>
      <c r="AB214" s="366" t="s">
        <v>1563</v>
      </c>
      <c r="AC214" s="364"/>
      <c r="AE214" s="2" t="s">
        <v>1567</v>
      </c>
      <c r="AF214" s="2" t="s">
        <v>1580</v>
      </c>
      <c r="AG214" s="364" t="s">
        <v>3077</v>
      </c>
      <c r="AH214" s="364" t="s">
        <v>356</v>
      </c>
      <c r="AI214" s="364" t="s">
        <v>356</v>
      </c>
      <c r="AJ214" s="364" t="s">
        <v>3051</v>
      </c>
      <c r="AK214" s="364" t="s">
        <v>3060</v>
      </c>
      <c r="AL214" s="364" t="s">
        <v>356</v>
      </c>
      <c r="AM214" s="2" t="s">
        <v>356</v>
      </c>
      <c r="AN214" s="2" t="s">
        <v>356</v>
      </c>
      <c r="AO214" s="2" t="s">
        <v>356</v>
      </c>
      <c r="AP214" s="364" t="s">
        <v>1605</v>
      </c>
      <c r="AQ214" s="364"/>
      <c r="AS214" s="2" t="s">
        <v>820</v>
      </c>
      <c r="AU214" s="2" t="s">
        <v>817</v>
      </c>
      <c r="AY214" s="2" t="s">
        <v>356</v>
      </c>
      <c r="AZ214" s="2" t="s">
        <v>356</v>
      </c>
      <c r="BA214" s="2" t="s">
        <v>356</v>
      </c>
      <c r="BB214" s="2" t="s">
        <v>356</v>
      </c>
      <c r="BC214" s="2" t="s">
        <v>356</v>
      </c>
      <c r="BD214" s="2" t="s">
        <v>356</v>
      </c>
      <c r="BE214" s="2" t="s">
        <v>356</v>
      </c>
      <c r="BF214" s="2" t="s">
        <v>356</v>
      </c>
      <c r="BH214" s="2" t="s">
        <v>356</v>
      </c>
      <c r="BI214" s="2" t="s">
        <v>356</v>
      </c>
      <c r="BJ214" s="2" t="s">
        <v>356</v>
      </c>
      <c r="BK214" s="2" t="s">
        <v>356</v>
      </c>
      <c r="BL214" s="2" t="s">
        <v>356</v>
      </c>
      <c r="BM214" s="2" t="s">
        <v>356</v>
      </c>
      <c r="BN214" s="2" t="s">
        <v>356</v>
      </c>
      <c r="BO214" s="2" t="s">
        <v>356</v>
      </c>
      <c r="BX214" s="2" t="s">
        <v>356</v>
      </c>
      <c r="BY214" s="2" t="s">
        <v>356</v>
      </c>
      <c r="BZ214" s="2" t="s">
        <v>356</v>
      </c>
      <c r="CA214" s="2" t="s">
        <v>356</v>
      </c>
      <c r="CB214" s="2" t="s">
        <v>356</v>
      </c>
      <c r="CC214" s="2" t="s">
        <v>356</v>
      </c>
      <c r="CD214" s="2" t="s">
        <v>356</v>
      </c>
      <c r="CE214" s="2" t="s">
        <v>356</v>
      </c>
      <c r="CF214" s="2" t="s">
        <v>356</v>
      </c>
      <c r="CG214" s="2" t="s">
        <v>356</v>
      </c>
      <c r="CH214" s="2" t="s">
        <v>356</v>
      </c>
      <c r="CI214" s="2" t="s">
        <v>356</v>
      </c>
      <c r="CJ214" s="2" t="s">
        <v>356</v>
      </c>
      <c r="CK214" s="2" t="s">
        <v>356</v>
      </c>
      <c r="CL214" s="2" t="s">
        <v>356</v>
      </c>
      <c r="CM214" s="2" t="s">
        <v>356</v>
      </c>
      <c r="CN214" s="2" t="s">
        <v>356</v>
      </c>
      <c r="CO214" s="2" t="s">
        <v>356</v>
      </c>
      <c r="CP214" s="2" t="s">
        <v>356</v>
      </c>
      <c r="CQ214" s="2" t="s">
        <v>356</v>
      </c>
      <c r="CR214" s="2" t="s">
        <v>356</v>
      </c>
      <c r="CS214" s="2" t="s">
        <v>356</v>
      </c>
      <c r="CT214" s="2" t="s">
        <v>356</v>
      </c>
      <c r="CU214" s="2" t="s">
        <v>356</v>
      </c>
      <c r="CW214" s="2" t="s">
        <v>356</v>
      </c>
      <c r="CX214" s="2" t="s">
        <v>356</v>
      </c>
      <c r="CY214" s="2" t="s">
        <v>356</v>
      </c>
      <c r="CZ214" s="2" t="s">
        <v>356</v>
      </c>
      <c r="DA214" s="2" t="s">
        <v>356</v>
      </c>
      <c r="DB214" s="2" t="s">
        <v>356</v>
      </c>
      <c r="DC214" s="2" t="s">
        <v>356</v>
      </c>
      <c r="DD214" s="2" t="s">
        <v>356</v>
      </c>
      <c r="DM214" s="2" t="s">
        <v>356</v>
      </c>
      <c r="DN214" s="2" t="s">
        <v>356</v>
      </c>
      <c r="DO214" s="2" t="s">
        <v>356</v>
      </c>
      <c r="DP214" s="2" t="s">
        <v>356</v>
      </c>
      <c r="DQ214" s="2" t="s">
        <v>356</v>
      </c>
      <c r="DR214" s="2" t="s">
        <v>356</v>
      </c>
      <c r="DS214" s="2" t="s">
        <v>356</v>
      </c>
      <c r="DT214" s="2" t="s">
        <v>356</v>
      </c>
      <c r="DU214" s="2" t="s">
        <v>356</v>
      </c>
      <c r="DV214" s="2" t="s">
        <v>356</v>
      </c>
      <c r="DW214" s="2" t="s">
        <v>356</v>
      </c>
      <c r="DX214" s="2" t="s">
        <v>356</v>
      </c>
      <c r="DY214" s="2" t="s">
        <v>356</v>
      </c>
      <c r="DZ214" s="2" t="s">
        <v>356</v>
      </c>
      <c r="EA214" s="2" t="s">
        <v>356</v>
      </c>
      <c r="EB214" s="2" t="s">
        <v>356</v>
      </c>
      <c r="EC214" s="2" t="s">
        <v>356</v>
      </c>
      <c r="ED214" s="2" t="s">
        <v>356</v>
      </c>
      <c r="EE214" s="2" t="s">
        <v>356</v>
      </c>
      <c r="EF214" s="2" t="s">
        <v>356</v>
      </c>
      <c r="EG214" s="2" t="s">
        <v>356</v>
      </c>
      <c r="EH214" s="2" t="s">
        <v>356</v>
      </c>
      <c r="EI214" s="2" t="s">
        <v>356</v>
      </c>
      <c r="EJ214" s="2" t="s">
        <v>356</v>
      </c>
      <c r="EK214" s="2" t="s">
        <v>356</v>
      </c>
      <c r="EL214" s="2" t="s">
        <v>356</v>
      </c>
      <c r="EM214" s="2" t="s">
        <v>356</v>
      </c>
      <c r="EN214" s="2" t="s">
        <v>356</v>
      </c>
      <c r="EO214" s="2" t="s">
        <v>356</v>
      </c>
      <c r="EP214" s="2" t="s">
        <v>356</v>
      </c>
      <c r="EQ214" s="2" t="s">
        <v>356</v>
      </c>
      <c r="ER214" s="2" t="s">
        <v>356</v>
      </c>
      <c r="FA214" s="2" t="s">
        <v>356</v>
      </c>
      <c r="FB214" s="2" t="s">
        <v>356</v>
      </c>
      <c r="FC214" s="2" t="s">
        <v>356</v>
      </c>
      <c r="FD214" s="2" t="s">
        <v>356</v>
      </c>
      <c r="FE214" s="2" t="s">
        <v>356</v>
      </c>
      <c r="FF214" s="2" t="s">
        <v>356</v>
      </c>
      <c r="FG214" s="2" t="s">
        <v>356</v>
      </c>
      <c r="FH214" s="2" t="s">
        <v>356</v>
      </c>
      <c r="FI214" s="2" t="s">
        <v>356</v>
      </c>
      <c r="FJ214" s="2" t="s">
        <v>356</v>
      </c>
      <c r="FK214" s="2" t="s">
        <v>356</v>
      </c>
      <c r="FL214" s="2" t="s">
        <v>356</v>
      </c>
      <c r="FM214" s="2" t="s">
        <v>356</v>
      </c>
      <c r="FN214" s="2" t="s">
        <v>356</v>
      </c>
      <c r="FO214" s="2" t="s">
        <v>356</v>
      </c>
      <c r="FP214" s="2" t="s">
        <v>356</v>
      </c>
    </row>
    <row r="215" spans="1:172">
      <c r="A215" s="2" t="s">
        <v>1627</v>
      </c>
      <c r="B215" s="2" t="s">
        <v>257</v>
      </c>
      <c r="C215" s="2" t="s">
        <v>813</v>
      </c>
      <c r="D215" s="2" t="s">
        <v>1628</v>
      </c>
      <c r="E215" s="2" t="s">
        <v>1603</v>
      </c>
      <c r="F215" s="2" t="s">
        <v>356</v>
      </c>
      <c r="G215" s="2" t="s">
        <v>356</v>
      </c>
      <c r="H215" s="364">
        <v>52.75</v>
      </c>
      <c r="I215" s="364">
        <v>51.25</v>
      </c>
      <c r="K215" s="364"/>
      <c r="M215" s="364" t="s">
        <v>3050</v>
      </c>
      <c r="N215" s="364" t="s">
        <v>3049</v>
      </c>
      <c r="O215" s="364" t="s">
        <v>1610</v>
      </c>
      <c r="P215" s="436" t="s">
        <v>1611</v>
      </c>
      <c r="Q215" s="436" t="s">
        <v>1612</v>
      </c>
      <c r="R215" s="2" t="s">
        <v>186</v>
      </c>
      <c r="S215" s="2" t="s">
        <v>817</v>
      </c>
      <c r="T215" s="2">
        <v>26</v>
      </c>
      <c r="U215" s="2" cm="1">
        <f t="array" ref="U215">IFERROR(INDEX('Offer Statistics'!$CH$2:$CH$350,MATCH(1,(A215='Offer Statistics'!$BS$2:$BS$350)*($A$11='Offer Statistics'!$BT$2:$BT$350),0)),"/")</f>
        <v>33</v>
      </c>
      <c r="V215" s="2" cm="1">
        <f t="array" ref="V215">IFERROR(INDEX('Offer Statistics'!$BU$2:$BU$350,MATCH(1,(A215='Offer Statistics'!$BS$2:$BS$350)*($A$11='Offer Statistics'!$BT$2:$BT$350),0)),"/")</f>
        <v>106</v>
      </c>
      <c r="W215" s="2" cm="1">
        <f t="array" ref="W215">IFERROR(INDEX('Offer Statistics'!$CC$2:$CC$350,MATCH(1,(A215='Offer Statistics'!$BS$2:$BS$350)*($A$11='Offer Statistics'!$BT$2:$BT$350),0)),"/")</f>
        <v>33</v>
      </c>
      <c r="X215" s="2">
        <f t="shared" si="773"/>
        <v>3.2121212121212119</v>
      </c>
      <c r="Y215" s="2" t="s">
        <v>1177</v>
      </c>
      <c r="Z215" s="2" t="str">
        <f>入學要求!AF224</f>
        <v>申請人必須出席面試</v>
      </c>
      <c r="AA215" s="2" t="str">
        <f>入學要求!AG224</f>
        <v>/</v>
      </c>
      <c r="AB215" s="366" t="s">
        <v>1563</v>
      </c>
      <c r="AC215" s="364"/>
      <c r="AE215" s="2" t="s">
        <v>1567</v>
      </c>
      <c r="AF215" s="2" t="s">
        <v>1580</v>
      </c>
      <c r="AG215" s="364" t="s">
        <v>1610</v>
      </c>
      <c r="AH215" s="436" t="s">
        <v>3078</v>
      </c>
      <c r="AI215" s="436" t="s">
        <v>3079</v>
      </c>
      <c r="AJ215" s="364" t="s">
        <v>3051</v>
      </c>
      <c r="AK215" s="364" t="s">
        <v>3065</v>
      </c>
      <c r="AL215" s="364" t="s">
        <v>356</v>
      </c>
      <c r="AM215" s="2" t="s">
        <v>1570</v>
      </c>
      <c r="AN215" s="2" t="s">
        <v>356</v>
      </c>
      <c r="AO215" s="2" t="s">
        <v>356</v>
      </c>
      <c r="AP215" s="364" t="s">
        <v>1591</v>
      </c>
      <c r="AQ215" s="364"/>
      <c r="AS215" s="2" t="s">
        <v>820</v>
      </c>
      <c r="AU215" s="2" t="s">
        <v>817</v>
      </c>
      <c r="AY215" s="2" t="s">
        <v>356</v>
      </c>
      <c r="AZ215" s="2" t="s">
        <v>356</v>
      </c>
      <c r="BA215" s="2" t="s">
        <v>356</v>
      </c>
      <c r="BB215" s="2" t="s">
        <v>356</v>
      </c>
      <c r="BC215" s="2" t="s">
        <v>356</v>
      </c>
      <c r="BD215" s="2" t="s">
        <v>356</v>
      </c>
      <c r="BE215" s="2" t="s">
        <v>356</v>
      </c>
      <c r="BF215" s="2" t="s">
        <v>356</v>
      </c>
      <c r="BH215" s="2" t="s">
        <v>356</v>
      </c>
      <c r="BI215" s="2" t="s">
        <v>356</v>
      </c>
      <c r="BJ215" s="2" t="s">
        <v>356</v>
      </c>
      <c r="BK215" s="2" t="s">
        <v>356</v>
      </c>
      <c r="BL215" s="2" t="s">
        <v>356</v>
      </c>
      <c r="BM215" s="2" t="s">
        <v>356</v>
      </c>
      <c r="BN215" s="2" t="s">
        <v>356</v>
      </c>
      <c r="BO215" s="2" t="s">
        <v>356</v>
      </c>
      <c r="BX215" s="2" t="s">
        <v>356</v>
      </c>
      <c r="BY215" s="2" t="s">
        <v>356</v>
      </c>
      <c r="BZ215" s="2" t="s">
        <v>356</v>
      </c>
      <c r="CA215" s="2" t="s">
        <v>356</v>
      </c>
      <c r="CB215" s="2" t="s">
        <v>356</v>
      </c>
      <c r="CC215" s="2" t="s">
        <v>356</v>
      </c>
      <c r="CD215" s="2" t="s">
        <v>356</v>
      </c>
      <c r="CE215" s="2" t="s">
        <v>356</v>
      </c>
      <c r="CF215" s="2" t="s">
        <v>356</v>
      </c>
      <c r="CG215" s="2" t="s">
        <v>356</v>
      </c>
      <c r="CH215" s="2" t="s">
        <v>356</v>
      </c>
      <c r="CI215" s="2" t="s">
        <v>356</v>
      </c>
      <c r="CJ215" s="2" t="s">
        <v>356</v>
      </c>
      <c r="CK215" s="2" t="s">
        <v>356</v>
      </c>
      <c r="CL215" s="2" t="s">
        <v>356</v>
      </c>
      <c r="CM215" s="2" t="s">
        <v>356</v>
      </c>
      <c r="CN215" s="2" t="s">
        <v>356</v>
      </c>
      <c r="CO215" s="2" t="s">
        <v>356</v>
      </c>
      <c r="CP215" s="2" t="s">
        <v>356</v>
      </c>
      <c r="CQ215" s="2" t="s">
        <v>356</v>
      </c>
      <c r="CR215" s="2" t="s">
        <v>356</v>
      </c>
      <c r="CS215" s="2" t="s">
        <v>356</v>
      </c>
      <c r="CT215" s="2" t="s">
        <v>356</v>
      </c>
      <c r="CU215" s="2" t="s">
        <v>356</v>
      </c>
      <c r="CW215" s="2" t="s">
        <v>356</v>
      </c>
      <c r="CX215" s="2" t="s">
        <v>356</v>
      </c>
      <c r="CY215" s="2" t="s">
        <v>356</v>
      </c>
      <c r="CZ215" s="2" t="s">
        <v>356</v>
      </c>
      <c r="DA215" s="2" t="s">
        <v>356</v>
      </c>
      <c r="DB215" s="2" t="s">
        <v>356</v>
      </c>
      <c r="DC215" s="2" t="s">
        <v>356</v>
      </c>
      <c r="DD215" s="2" t="s">
        <v>356</v>
      </c>
      <c r="DM215" s="2" t="s">
        <v>356</v>
      </c>
      <c r="DN215" s="2" t="s">
        <v>356</v>
      </c>
      <c r="DO215" s="2" t="s">
        <v>356</v>
      </c>
      <c r="DP215" s="2" t="s">
        <v>356</v>
      </c>
      <c r="DQ215" s="2" t="s">
        <v>356</v>
      </c>
      <c r="DR215" s="2" t="s">
        <v>356</v>
      </c>
      <c r="DS215" s="2" t="s">
        <v>356</v>
      </c>
      <c r="DT215" s="2" t="s">
        <v>356</v>
      </c>
      <c r="DU215" s="2" t="s">
        <v>356</v>
      </c>
      <c r="DV215" s="2" t="s">
        <v>356</v>
      </c>
      <c r="DW215" s="2" t="s">
        <v>356</v>
      </c>
      <c r="DX215" s="2" t="s">
        <v>356</v>
      </c>
      <c r="DY215" s="2" t="s">
        <v>356</v>
      </c>
      <c r="DZ215" s="2" t="s">
        <v>356</v>
      </c>
      <c r="EA215" s="2" t="s">
        <v>356</v>
      </c>
      <c r="EB215" s="2" t="s">
        <v>356</v>
      </c>
      <c r="EC215" s="2" t="s">
        <v>356</v>
      </c>
      <c r="ED215" s="2" t="s">
        <v>356</v>
      </c>
      <c r="EE215" s="2" t="s">
        <v>356</v>
      </c>
      <c r="EF215" s="2" t="s">
        <v>356</v>
      </c>
      <c r="EG215" s="2" t="s">
        <v>356</v>
      </c>
      <c r="EH215" s="2" t="s">
        <v>356</v>
      </c>
      <c r="EI215" s="2" t="s">
        <v>356</v>
      </c>
      <c r="EJ215" s="2" t="s">
        <v>356</v>
      </c>
      <c r="EK215" s="2" t="s">
        <v>356</v>
      </c>
      <c r="EL215" s="2" t="s">
        <v>356</v>
      </c>
      <c r="EM215" s="2" t="s">
        <v>356</v>
      </c>
      <c r="EN215" s="2" t="s">
        <v>356</v>
      </c>
      <c r="EO215" s="2" t="s">
        <v>356</v>
      </c>
      <c r="EP215" s="2" t="s">
        <v>356</v>
      </c>
      <c r="EQ215" s="2" t="s">
        <v>356</v>
      </c>
      <c r="ER215" s="2" t="s">
        <v>356</v>
      </c>
      <c r="FA215" s="2" t="s">
        <v>356</v>
      </c>
      <c r="FB215" s="2" t="s">
        <v>356</v>
      </c>
      <c r="FC215" s="2" t="s">
        <v>356</v>
      </c>
      <c r="FD215" s="2" t="s">
        <v>356</v>
      </c>
      <c r="FE215" s="2" t="s">
        <v>356</v>
      </c>
      <c r="FF215" s="2" t="s">
        <v>356</v>
      </c>
      <c r="FG215" s="2" t="s">
        <v>356</v>
      </c>
      <c r="FH215" s="2" t="s">
        <v>356</v>
      </c>
      <c r="FI215" s="2" t="s">
        <v>356</v>
      </c>
      <c r="FJ215" s="2" t="s">
        <v>356</v>
      </c>
      <c r="FK215" s="2" t="s">
        <v>356</v>
      </c>
      <c r="FL215" s="2" t="s">
        <v>356</v>
      </c>
      <c r="FM215" s="2" t="s">
        <v>356</v>
      </c>
      <c r="FN215" s="2" t="s">
        <v>356</v>
      </c>
      <c r="FO215" s="2" t="s">
        <v>356</v>
      </c>
      <c r="FP215" s="2" t="s">
        <v>356</v>
      </c>
    </row>
    <row r="216" spans="1:172">
      <c r="A216" s="2" t="s">
        <v>1629</v>
      </c>
      <c r="B216" s="2" t="s">
        <v>257</v>
      </c>
      <c r="C216" s="2" t="s">
        <v>813</v>
      </c>
      <c r="D216" s="2" t="s">
        <v>1630</v>
      </c>
      <c r="E216" s="2" t="s">
        <v>1603</v>
      </c>
      <c r="F216" s="2" t="s">
        <v>356</v>
      </c>
      <c r="G216" s="2" t="s">
        <v>356</v>
      </c>
      <c r="H216" s="364">
        <v>62.5</v>
      </c>
      <c r="I216" s="364">
        <v>60.25</v>
      </c>
      <c r="K216" s="364"/>
      <c r="M216" s="364" t="s">
        <v>3050</v>
      </c>
      <c r="N216" s="364" t="s">
        <v>3049</v>
      </c>
      <c r="O216" s="364" t="s">
        <v>1610</v>
      </c>
      <c r="P216" s="436" t="s">
        <v>1611</v>
      </c>
      <c r="Q216" s="436" t="s">
        <v>1612</v>
      </c>
      <c r="R216" s="2" t="s">
        <v>187</v>
      </c>
      <c r="S216" s="2" t="s">
        <v>817</v>
      </c>
      <c r="T216" s="2">
        <v>20</v>
      </c>
      <c r="U216" s="2" cm="1">
        <f t="array" ref="U216">IFERROR(INDEX('Offer Statistics'!$CH$2:$CH$350,MATCH(1,(A216='Offer Statistics'!$BS$2:$BS$350)*($A$11='Offer Statistics'!$BT$2:$BT$350),0)),"/")</f>
        <v>13</v>
      </c>
      <c r="V216" s="2" cm="1">
        <f t="array" ref="V216">IFERROR(INDEX('Offer Statistics'!$BU$2:$BU$350,MATCH(1,(A216='Offer Statistics'!$BS$2:$BS$350)*($A$11='Offer Statistics'!$BT$2:$BT$350),0)),"/")</f>
        <v>38</v>
      </c>
      <c r="W216" s="2" cm="1">
        <f t="array" ref="W216">IFERROR(INDEX('Offer Statistics'!$CC$2:$CC$350,MATCH(1,(A216='Offer Statistics'!$BS$2:$BS$350)*($A$11='Offer Statistics'!$BT$2:$BT$350),0)),"/")</f>
        <v>13</v>
      </c>
      <c r="X216" s="2">
        <f t="shared" si="773"/>
        <v>2.9230769230769229</v>
      </c>
      <c r="Y216" s="2" t="s">
        <v>1177</v>
      </c>
      <c r="Z216" s="2" t="str">
        <f>入學要求!AF225</f>
        <v>申請人必須出席面試</v>
      </c>
      <c r="AA216" s="2" t="str">
        <f>入學要求!AG225</f>
        <v>/</v>
      </c>
      <c r="AB216" s="366" t="s">
        <v>1563</v>
      </c>
      <c r="AC216" s="364"/>
      <c r="AE216" s="2" t="s">
        <v>1567</v>
      </c>
      <c r="AF216" s="2" t="s">
        <v>1580</v>
      </c>
      <c r="AG216" s="364" t="s">
        <v>1610</v>
      </c>
      <c r="AH216" s="436" t="s">
        <v>3078</v>
      </c>
      <c r="AI216" s="436" t="s">
        <v>3079</v>
      </c>
      <c r="AJ216" s="364" t="s">
        <v>3051</v>
      </c>
      <c r="AK216" s="364" t="s">
        <v>3066</v>
      </c>
      <c r="AL216" s="364" t="s">
        <v>356</v>
      </c>
      <c r="AM216" s="2" t="s">
        <v>1570</v>
      </c>
      <c r="AN216" s="2" t="s">
        <v>356</v>
      </c>
      <c r="AO216" s="2" t="s">
        <v>356</v>
      </c>
      <c r="AP216" s="364" t="s">
        <v>1591</v>
      </c>
      <c r="AQ216" s="364"/>
      <c r="AS216" s="2" t="s">
        <v>820</v>
      </c>
      <c r="AU216" s="2" t="s">
        <v>817</v>
      </c>
      <c r="AY216" s="2" t="s">
        <v>356</v>
      </c>
      <c r="AZ216" s="2" t="s">
        <v>356</v>
      </c>
      <c r="BA216" s="2" t="s">
        <v>356</v>
      </c>
      <c r="BB216" s="2" t="s">
        <v>356</v>
      </c>
      <c r="BC216" s="2" t="s">
        <v>356</v>
      </c>
      <c r="BD216" s="2" t="s">
        <v>356</v>
      </c>
      <c r="BE216" s="2" t="s">
        <v>356</v>
      </c>
      <c r="BF216" s="2" t="s">
        <v>356</v>
      </c>
      <c r="BH216" s="2" t="s">
        <v>356</v>
      </c>
      <c r="BI216" s="2" t="s">
        <v>356</v>
      </c>
      <c r="BJ216" s="2" t="s">
        <v>356</v>
      </c>
      <c r="BK216" s="2" t="s">
        <v>356</v>
      </c>
      <c r="BL216" s="2" t="s">
        <v>356</v>
      </c>
      <c r="BM216" s="2" t="s">
        <v>356</v>
      </c>
      <c r="BN216" s="2" t="s">
        <v>356</v>
      </c>
      <c r="BO216" s="2" t="s">
        <v>356</v>
      </c>
      <c r="BX216" s="2" t="s">
        <v>356</v>
      </c>
      <c r="BY216" s="2" t="s">
        <v>356</v>
      </c>
      <c r="BZ216" s="2" t="s">
        <v>356</v>
      </c>
      <c r="CA216" s="2" t="s">
        <v>356</v>
      </c>
      <c r="CB216" s="2" t="s">
        <v>356</v>
      </c>
      <c r="CC216" s="2" t="s">
        <v>356</v>
      </c>
      <c r="CD216" s="2" t="s">
        <v>356</v>
      </c>
      <c r="CE216" s="2" t="s">
        <v>356</v>
      </c>
      <c r="CF216" s="2" t="s">
        <v>356</v>
      </c>
      <c r="CG216" s="2" t="s">
        <v>356</v>
      </c>
      <c r="CH216" s="2" t="s">
        <v>356</v>
      </c>
      <c r="CI216" s="2" t="s">
        <v>356</v>
      </c>
      <c r="CJ216" s="2" t="s">
        <v>356</v>
      </c>
      <c r="CK216" s="2" t="s">
        <v>356</v>
      </c>
      <c r="CL216" s="2" t="s">
        <v>356</v>
      </c>
      <c r="CM216" s="2" t="s">
        <v>356</v>
      </c>
      <c r="CN216" s="2" t="s">
        <v>356</v>
      </c>
      <c r="CO216" s="2" t="s">
        <v>356</v>
      </c>
      <c r="CP216" s="2" t="s">
        <v>356</v>
      </c>
      <c r="CQ216" s="2" t="s">
        <v>356</v>
      </c>
      <c r="CR216" s="2" t="s">
        <v>356</v>
      </c>
      <c r="CS216" s="2" t="s">
        <v>356</v>
      </c>
      <c r="CT216" s="2" t="s">
        <v>356</v>
      </c>
      <c r="CU216" s="2" t="s">
        <v>356</v>
      </c>
      <c r="CW216" s="2" t="s">
        <v>356</v>
      </c>
      <c r="CX216" s="2" t="s">
        <v>356</v>
      </c>
      <c r="CY216" s="2" t="s">
        <v>356</v>
      </c>
      <c r="CZ216" s="2" t="s">
        <v>356</v>
      </c>
      <c r="DA216" s="2" t="s">
        <v>356</v>
      </c>
      <c r="DB216" s="2" t="s">
        <v>356</v>
      </c>
      <c r="DC216" s="2" t="s">
        <v>356</v>
      </c>
      <c r="DD216" s="2" t="s">
        <v>356</v>
      </c>
      <c r="DM216" s="2" t="s">
        <v>356</v>
      </c>
      <c r="DN216" s="2" t="s">
        <v>356</v>
      </c>
      <c r="DO216" s="2" t="s">
        <v>356</v>
      </c>
      <c r="DP216" s="2" t="s">
        <v>356</v>
      </c>
      <c r="DQ216" s="2" t="s">
        <v>356</v>
      </c>
      <c r="DR216" s="2" t="s">
        <v>356</v>
      </c>
      <c r="DS216" s="2" t="s">
        <v>356</v>
      </c>
      <c r="DT216" s="2" t="s">
        <v>356</v>
      </c>
      <c r="DU216" s="2" t="s">
        <v>356</v>
      </c>
      <c r="DV216" s="2" t="s">
        <v>356</v>
      </c>
      <c r="DW216" s="2" t="s">
        <v>356</v>
      </c>
      <c r="DX216" s="2" t="s">
        <v>356</v>
      </c>
      <c r="DY216" s="2" t="s">
        <v>356</v>
      </c>
      <c r="DZ216" s="2" t="s">
        <v>356</v>
      </c>
      <c r="EA216" s="2" t="s">
        <v>356</v>
      </c>
      <c r="EB216" s="2" t="s">
        <v>356</v>
      </c>
      <c r="EC216" s="2" t="s">
        <v>356</v>
      </c>
      <c r="ED216" s="2" t="s">
        <v>356</v>
      </c>
      <c r="EE216" s="2" t="s">
        <v>356</v>
      </c>
      <c r="EF216" s="2" t="s">
        <v>356</v>
      </c>
      <c r="EG216" s="2" t="s">
        <v>356</v>
      </c>
      <c r="EH216" s="2" t="s">
        <v>356</v>
      </c>
      <c r="EI216" s="2" t="s">
        <v>356</v>
      </c>
      <c r="EJ216" s="2" t="s">
        <v>356</v>
      </c>
      <c r="EK216" s="2" t="s">
        <v>356</v>
      </c>
      <c r="EL216" s="2" t="s">
        <v>356</v>
      </c>
      <c r="EM216" s="2" t="s">
        <v>356</v>
      </c>
      <c r="EN216" s="2" t="s">
        <v>356</v>
      </c>
      <c r="EO216" s="2" t="s">
        <v>356</v>
      </c>
      <c r="EP216" s="2" t="s">
        <v>356</v>
      </c>
      <c r="EQ216" s="2" t="s">
        <v>356</v>
      </c>
      <c r="ER216" s="2" t="s">
        <v>356</v>
      </c>
      <c r="FA216" s="2" t="s">
        <v>356</v>
      </c>
      <c r="FB216" s="2" t="s">
        <v>356</v>
      </c>
      <c r="FC216" s="2" t="s">
        <v>356</v>
      </c>
      <c r="FD216" s="2" t="s">
        <v>356</v>
      </c>
      <c r="FE216" s="2" t="s">
        <v>356</v>
      </c>
      <c r="FF216" s="2" t="s">
        <v>356</v>
      </c>
      <c r="FG216" s="2" t="s">
        <v>356</v>
      </c>
      <c r="FH216" s="2" t="s">
        <v>356</v>
      </c>
      <c r="FI216" s="2" t="s">
        <v>356</v>
      </c>
      <c r="FJ216" s="2" t="s">
        <v>356</v>
      </c>
      <c r="FK216" s="2" t="s">
        <v>356</v>
      </c>
      <c r="FL216" s="2" t="s">
        <v>356</v>
      </c>
      <c r="FM216" s="2" t="s">
        <v>356</v>
      </c>
      <c r="FN216" s="2" t="s">
        <v>356</v>
      </c>
      <c r="FO216" s="2" t="s">
        <v>356</v>
      </c>
      <c r="FP216" s="2" t="s">
        <v>356</v>
      </c>
    </row>
    <row r="217" spans="1:172">
      <c r="A217" s="2" t="s">
        <v>1631</v>
      </c>
      <c r="B217" s="2" t="s">
        <v>257</v>
      </c>
      <c r="C217" s="2" t="s">
        <v>1632</v>
      </c>
      <c r="D217" s="2" t="s">
        <v>1633</v>
      </c>
      <c r="E217" s="2" t="s">
        <v>1634</v>
      </c>
      <c r="F217" s="2" t="s">
        <v>356</v>
      </c>
      <c r="G217" s="2" t="s">
        <v>356</v>
      </c>
      <c r="H217" s="364">
        <v>29.5</v>
      </c>
      <c r="I217" s="364">
        <v>29</v>
      </c>
      <c r="K217" s="364"/>
      <c r="M217" s="364" t="s">
        <v>3050</v>
      </c>
      <c r="N217" s="364" t="s">
        <v>3049</v>
      </c>
      <c r="O217" s="364" t="s">
        <v>1635</v>
      </c>
      <c r="P217" s="364" t="s">
        <v>356</v>
      </c>
      <c r="Q217" s="364" t="s">
        <v>356</v>
      </c>
      <c r="R217" s="2" t="s">
        <v>188</v>
      </c>
      <c r="S217" s="2" t="s">
        <v>817</v>
      </c>
      <c r="T217" s="2">
        <v>50</v>
      </c>
      <c r="U217" s="2" cm="1">
        <f t="array" ref="U217">IFERROR(INDEX('Offer Statistics'!$CH$2:$CH$350,MATCH(1,(A217='Offer Statistics'!$BS$2:$BS$350)*($A$11='Offer Statistics'!$BT$2:$BT$350),0)),"/")</f>
        <v>52</v>
      </c>
      <c r="V217" s="2" cm="1">
        <f t="array" ref="V217">IFERROR(INDEX('Offer Statistics'!$BU$2:$BU$350,MATCH(1,(A217='Offer Statistics'!$BS$2:$BS$350)*($A$11='Offer Statistics'!$BT$2:$BT$350),0)),"/")</f>
        <v>134</v>
      </c>
      <c r="W217" s="2" cm="1">
        <f t="array" ref="W217">IFERROR(INDEX('Offer Statistics'!$CC$2:$CC$350,MATCH(1,(A217='Offer Statistics'!$BS$2:$BS$350)*($A$11='Offer Statistics'!$BT$2:$BT$350),0)),"/")</f>
        <v>50</v>
      </c>
      <c r="X217" s="2">
        <f t="shared" si="773"/>
        <v>2.68</v>
      </c>
      <c r="Y217" s="2" t="s">
        <v>1177</v>
      </c>
      <c r="Z217" s="2" t="str">
        <f>入學要求!AF226</f>
        <v>/</v>
      </c>
      <c r="AA217" s="2" t="str">
        <f>入學要求!AG226</f>
        <v>/</v>
      </c>
      <c r="AB217" s="366" t="s">
        <v>1232</v>
      </c>
      <c r="AC217" s="364"/>
      <c r="AE217" s="2" t="s">
        <v>1567</v>
      </c>
      <c r="AF217" s="2" t="s">
        <v>1580</v>
      </c>
      <c r="AG217" s="364" t="s">
        <v>3080</v>
      </c>
      <c r="AH217" s="364" t="s">
        <v>356</v>
      </c>
      <c r="AI217" s="364" t="s">
        <v>356</v>
      </c>
      <c r="AJ217" s="364" t="s">
        <v>1569</v>
      </c>
      <c r="AK217" s="364" t="s">
        <v>1636</v>
      </c>
      <c r="AL217" s="364" t="s">
        <v>356</v>
      </c>
      <c r="AM217" s="2" t="s">
        <v>356</v>
      </c>
      <c r="AN217" s="2" t="s">
        <v>356</v>
      </c>
      <c r="AO217" s="2" t="s">
        <v>356</v>
      </c>
      <c r="AP217" s="364" t="s">
        <v>1577</v>
      </c>
      <c r="AQ217" s="364"/>
      <c r="AS217" s="2" t="s">
        <v>820</v>
      </c>
      <c r="AU217" s="2" t="s">
        <v>817</v>
      </c>
      <c r="AY217" s="2" t="s">
        <v>356</v>
      </c>
      <c r="AZ217" s="2" t="s">
        <v>356</v>
      </c>
      <c r="BA217" s="2" t="s">
        <v>356</v>
      </c>
      <c r="BB217" s="2" t="s">
        <v>356</v>
      </c>
      <c r="BC217" s="2" t="s">
        <v>356</v>
      </c>
      <c r="BD217" s="2" t="s">
        <v>356</v>
      </c>
      <c r="BE217" s="2" t="s">
        <v>356</v>
      </c>
      <c r="BF217" s="2" t="s">
        <v>356</v>
      </c>
      <c r="BH217" s="2" t="s">
        <v>356</v>
      </c>
      <c r="BI217" s="2" t="s">
        <v>356</v>
      </c>
      <c r="BJ217" s="2" t="s">
        <v>356</v>
      </c>
      <c r="BK217" s="2" t="s">
        <v>356</v>
      </c>
      <c r="BL217" s="2" t="s">
        <v>356</v>
      </c>
      <c r="BM217" s="2" t="s">
        <v>356</v>
      </c>
      <c r="BN217" s="2" t="s">
        <v>356</v>
      </c>
      <c r="BO217" s="2" t="s">
        <v>356</v>
      </c>
      <c r="BX217" s="2" t="s">
        <v>356</v>
      </c>
      <c r="BY217" s="2" t="s">
        <v>356</v>
      </c>
      <c r="BZ217" s="2" t="s">
        <v>356</v>
      </c>
      <c r="CA217" s="2" t="s">
        <v>356</v>
      </c>
      <c r="CB217" s="2" t="s">
        <v>356</v>
      </c>
      <c r="CC217" s="2" t="s">
        <v>356</v>
      </c>
      <c r="CD217" s="2" t="s">
        <v>356</v>
      </c>
      <c r="CE217" s="2" t="s">
        <v>356</v>
      </c>
      <c r="CF217" s="2" t="s">
        <v>356</v>
      </c>
      <c r="CG217" s="2" t="s">
        <v>356</v>
      </c>
      <c r="CH217" s="2" t="s">
        <v>356</v>
      </c>
      <c r="CI217" s="2" t="s">
        <v>356</v>
      </c>
      <c r="CJ217" s="2" t="s">
        <v>356</v>
      </c>
      <c r="CK217" s="2" t="s">
        <v>356</v>
      </c>
      <c r="CL217" s="2" t="s">
        <v>356</v>
      </c>
      <c r="CM217" s="2" t="s">
        <v>356</v>
      </c>
      <c r="CN217" s="2" t="s">
        <v>356</v>
      </c>
      <c r="CO217" s="2" t="s">
        <v>356</v>
      </c>
      <c r="CP217" s="2" t="s">
        <v>356</v>
      </c>
      <c r="CQ217" s="2" t="s">
        <v>356</v>
      </c>
      <c r="CR217" s="2" t="s">
        <v>356</v>
      </c>
      <c r="CS217" s="2" t="s">
        <v>356</v>
      </c>
      <c r="CT217" s="2" t="s">
        <v>356</v>
      </c>
      <c r="CU217" s="2" t="s">
        <v>356</v>
      </c>
      <c r="CW217" s="2" t="s">
        <v>356</v>
      </c>
      <c r="CX217" s="2" t="s">
        <v>356</v>
      </c>
      <c r="CY217" s="2" t="s">
        <v>356</v>
      </c>
      <c r="CZ217" s="2" t="s">
        <v>356</v>
      </c>
      <c r="DA217" s="2" t="s">
        <v>356</v>
      </c>
      <c r="DB217" s="2" t="s">
        <v>356</v>
      </c>
      <c r="DC217" s="2" t="s">
        <v>356</v>
      </c>
      <c r="DD217" s="2" t="s">
        <v>356</v>
      </c>
      <c r="DM217" s="2" t="s">
        <v>356</v>
      </c>
      <c r="DN217" s="2" t="s">
        <v>356</v>
      </c>
      <c r="DO217" s="2" t="s">
        <v>356</v>
      </c>
      <c r="DP217" s="2" t="s">
        <v>356</v>
      </c>
      <c r="DQ217" s="2" t="s">
        <v>356</v>
      </c>
      <c r="DR217" s="2" t="s">
        <v>356</v>
      </c>
      <c r="DS217" s="2" t="s">
        <v>356</v>
      </c>
      <c r="DT217" s="2" t="s">
        <v>356</v>
      </c>
      <c r="DU217" s="2" t="s">
        <v>356</v>
      </c>
      <c r="DV217" s="2" t="s">
        <v>356</v>
      </c>
      <c r="DW217" s="2" t="s">
        <v>356</v>
      </c>
      <c r="DX217" s="2" t="s">
        <v>356</v>
      </c>
      <c r="DY217" s="2" t="s">
        <v>356</v>
      </c>
      <c r="DZ217" s="2" t="s">
        <v>356</v>
      </c>
      <c r="EA217" s="2" t="s">
        <v>356</v>
      </c>
      <c r="EB217" s="2" t="s">
        <v>356</v>
      </c>
      <c r="EC217" s="2" t="s">
        <v>356</v>
      </c>
      <c r="ED217" s="2" t="s">
        <v>356</v>
      </c>
      <c r="EE217" s="2" t="s">
        <v>356</v>
      </c>
      <c r="EF217" s="2" t="s">
        <v>356</v>
      </c>
      <c r="EG217" s="2" t="s">
        <v>356</v>
      </c>
      <c r="EH217" s="2" t="s">
        <v>356</v>
      </c>
      <c r="EI217" s="2" t="s">
        <v>356</v>
      </c>
      <c r="EJ217" s="2" t="s">
        <v>356</v>
      </c>
      <c r="EK217" s="2" t="s">
        <v>356</v>
      </c>
      <c r="EL217" s="2" t="s">
        <v>356</v>
      </c>
      <c r="EM217" s="2" t="s">
        <v>356</v>
      </c>
      <c r="EN217" s="2" t="s">
        <v>356</v>
      </c>
      <c r="EO217" s="2" t="s">
        <v>356</v>
      </c>
      <c r="EP217" s="2" t="s">
        <v>356</v>
      </c>
      <c r="EQ217" s="2" t="s">
        <v>356</v>
      </c>
      <c r="ER217" s="2" t="s">
        <v>356</v>
      </c>
      <c r="FA217" s="2" t="s">
        <v>356</v>
      </c>
      <c r="FB217" s="2" t="s">
        <v>356</v>
      </c>
      <c r="FC217" s="2" t="s">
        <v>356</v>
      </c>
      <c r="FD217" s="2" t="s">
        <v>356</v>
      </c>
      <c r="FE217" s="2" t="s">
        <v>356</v>
      </c>
      <c r="FF217" s="2" t="s">
        <v>356</v>
      </c>
      <c r="FG217" s="2" t="s">
        <v>356</v>
      </c>
      <c r="FH217" s="2" t="s">
        <v>356</v>
      </c>
      <c r="FI217" s="2" t="s">
        <v>356</v>
      </c>
      <c r="FJ217" s="2" t="s">
        <v>356</v>
      </c>
      <c r="FK217" s="2" t="s">
        <v>356</v>
      </c>
      <c r="FL217" s="2" t="s">
        <v>356</v>
      </c>
      <c r="FM217" s="2" t="s">
        <v>356</v>
      </c>
      <c r="FN217" s="2" t="s">
        <v>356</v>
      </c>
      <c r="FO217" s="2" t="s">
        <v>356</v>
      </c>
      <c r="FP217" s="2" t="s">
        <v>356</v>
      </c>
    </row>
    <row r="218" spans="1:172">
      <c r="A218" s="2" t="s">
        <v>1637</v>
      </c>
      <c r="B218" s="2" t="s">
        <v>257</v>
      </c>
      <c r="C218" s="2" t="s">
        <v>1632</v>
      </c>
      <c r="D218" s="2" t="s">
        <v>1638</v>
      </c>
      <c r="E218" s="2" t="s">
        <v>1603</v>
      </c>
      <c r="F218" s="2" t="s">
        <v>356</v>
      </c>
      <c r="G218" s="2" t="s">
        <v>356</v>
      </c>
      <c r="H218" s="364">
        <v>34</v>
      </c>
      <c r="I218" s="364">
        <v>33.25</v>
      </c>
      <c r="K218" s="364"/>
      <c r="M218" s="364" t="s">
        <v>3050</v>
      </c>
      <c r="N218" s="364" t="s">
        <v>3049</v>
      </c>
      <c r="O218" s="364" t="s">
        <v>1639</v>
      </c>
      <c r="P218" s="364" t="s">
        <v>1640</v>
      </c>
      <c r="Q218" s="364" t="s">
        <v>356</v>
      </c>
      <c r="R218" s="2" t="s">
        <v>189</v>
      </c>
      <c r="S218" s="2" t="s">
        <v>817</v>
      </c>
      <c r="T218" s="2">
        <v>28</v>
      </c>
      <c r="U218" s="2" cm="1">
        <f t="array" ref="U218">IFERROR(INDEX('Offer Statistics'!$CH$2:$CH$350,MATCH(1,(A218='Offer Statistics'!$BS$2:$BS$350)*($A$11='Offer Statistics'!$BT$2:$BT$350),0)),"/")</f>
        <v>34</v>
      </c>
      <c r="V218" s="2" cm="1">
        <f t="array" ref="V218">IFERROR(INDEX('Offer Statistics'!$BU$2:$BU$350,MATCH(1,(A218='Offer Statistics'!$BS$2:$BS$350)*($A$11='Offer Statistics'!$BT$2:$BT$350),0)),"/")</f>
        <v>109</v>
      </c>
      <c r="W218" s="2" cm="1">
        <f t="array" ref="W218">IFERROR(INDEX('Offer Statistics'!$CC$2:$CC$350,MATCH(1,(A218='Offer Statistics'!$BS$2:$BS$350)*($A$11='Offer Statistics'!$BT$2:$BT$350),0)),"/")</f>
        <v>33</v>
      </c>
      <c r="X218" s="2">
        <f t="shared" si="773"/>
        <v>3.3030303030303032</v>
      </c>
      <c r="Y218" s="2" t="s">
        <v>1177</v>
      </c>
      <c r="Z218" s="2" t="str">
        <f>入學要求!AF227</f>
        <v>數學科應考獲Lv.4 或以上</v>
      </c>
      <c r="AA218" s="2" t="str">
        <f>入學要求!AG227</f>
        <v>/</v>
      </c>
      <c r="AB218" s="366" t="s">
        <v>1563</v>
      </c>
      <c r="AC218" s="364"/>
      <c r="AE218" s="2" t="s">
        <v>1567</v>
      </c>
      <c r="AF218" s="2" t="s">
        <v>1580</v>
      </c>
      <c r="AG218" s="364" t="s">
        <v>3081</v>
      </c>
      <c r="AH218" s="364" t="s">
        <v>3082</v>
      </c>
      <c r="AI218" s="364" t="s">
        <v>356</v>
      </c>
      <c r="AJ218" s="364" t="s">
        <v>1569</v>
      </c>
      <c r="AK218" s="364" t="s">
        <v>1641</v>
      </c>
      <c r="AL218" s="364" t="s">
        <v>356</v>
      </c>
      <c r="AM218" s="2" t="s">
        <v>1642</v>
      </c>
      <c r="AN218" s="2" t="s">
        <v>356</v>
      </c>
      <c r="AO218" s="2" t="s">
        <v>356</v>
      </c>
      <c r="AP218" s="364" t="s">
        <v>1591</v>
      </c>
      <c r="AQ218" s="364"/>
      <c r="AS218" s="2" t="s">
        <v>820</v>
      </c>
      <c r="AU218" s="2" t="s">
        <v>817</v>
      </c>
      <c r="AY218" s="2" t="s">
        <v>356</v>
      </c>
      <c r="AZ218" s="2" t="s">
        <v>356</v>
      </c>
      <c r="BA218" s="2" t="s">
        <v>356</v>
      </c>
      <c r="BB218" s="2" t="s">
        <v>356</v>
      </c>
      <c r="BC218" s="2" t="s">
        <v>356</v>
      </c>
      <c r="BD218" s="2" t="s">
        <v>356</v>
      </c>
      <c r="BE218" s="2" t="s">
        <v>356</v>
      </c>
      <c r="BF218" s="2" t="s">
        <v>356</v>
      </c>
      <c r="BH218" s="2" t="s">
        <v>356</v>
      </c>
      <c r="BI218" s="2" t="s">
        <v>356</v>
      </c>
      <c r="BJ218" s="2" t="s">
        <v>356</v>
      </c>
      <c r="BK218" s="2" t="s">
        <v>356</v>
      </c>
      <c r="BL218" s="2" t="s">
        <v>356</v>
      </c>
      <c r="BM218" s="2" t="s">
        <v>356</v>
      </c>
      <c r="BN218" s="2" t="s">
        <v>356</v>
      </c>
      <c r="BO218" s="2" t="s">
        <v>356</v>
      </c>
      <c r="BX218" s="2" t="s">
        <v>356</v>
      </c>
      <c r="BY218" s="2" t="s">
        <v>356</v>
      </c>
      <c r="BZ218" s="2" t="s">
        <v>356</v>
      </c>
      <c r="CA218" s="2" t="s">
        <v>356</v>
      </c>
      <c r="CB218" s="2" t="s">
        <v>356</v>
      </c>
      <c r="CC218" s="2" t="s">
        <v>356</v>
      </c>
      <c r="CD218" s="2" t="s">
        <v>356</v>
      </c>
      <c r="CE218" s="2" t="s">
        <v>356</v>
      </c>
      <c r="CF218" s="2" t="s">
        <v>356</v>
      </c>
      <c r="CG218" s="2" t="s">
        <v>356</v>
      </c>
      <c r="CH218" s="2" t="s">
        <v>356</v>
      </c>
      <c r="CI218" s="2" t="s">
        <v>356</v>
      </c>
      <c r="CJ218" s="2" t="s">
        <v>356</v>
      </c>
      <c r="CK218" s="2" t="s">
        <v>356</v>
      </c>
      <c r="CL218" s="2" t="s">
        <v>356</v>
      </c>
      <c r="CM218" s="2" t="s">
        <v>356</v>
      </c>
      <c r="CN218" s="2" t="s">
        <v>356</v>
      </c>
      <c r="CO218" s="2" t="s">
        <v>356</v>
      </c>
      <c r="CP218" s="2" t="s">
        <v>356</v>
      </c>
      <c r="CQ218" s="2" t="s">
        <v>356</v>
      </c>
      <c r="CR218" s="2" t="s">
        <v>356</v>
      </c>
      <c r="CS218" s="2" t="s">
        <v>356</v>
      </c>
      <c r="CT218" s="2" t="s">
        <v>356</v>
      </c>
      <c r="CU218" s="2" t="s">
        <v>356</v>
      </c>
      <c r="CW218" s="2" t="s">
        <v>356</v>
      </c>
      <c r="CX218" s="2" t="s">
        <v>356</v>
      </c>
      <c r="CY218" s="2" t="s">
        <v>356</v>
      </c>
      <c r="CZ218" s="2" t="s">
        <v>356</v>
      </c>
      <c r="DA218" s="2" t="s">
        <v>356</v>
      </c>
      <c r="DB218" s="2" t="s">
        <v>356</v>
      </c>
      <c r="DC218" s="2" t="s">
        <v>356</v>
      </c>
      <c r="DD218" s="2" t="s">
        <v>356</v>
      </c>
      <c r="DM218" s="2" t="s">
        <v>356</v>
      </c>
      <c r="DN218" s="2" t="s">
        <v>356</v>
      </c>
      <c r="DO218" s="2" t="s">
        <v>356</v>
      </c>
      <c r="DP218" s="2" t="s">
        <v>356</v>
      </c>
      <c r="DQ218" s="2" t="s">
        <v>356</v>
      </c>
      <c r="DR218" s="2" t="s">
        <v>356</v>
      </c>
      <c r="DS218" s="2" t="s">
        <v>356</v>
      </c>
      <c r="DT218" s="2" t="s">
        <v>356</v>
      </c>
      <c r="DU218" s="2" t="s">
        <v>356</v>
      </c>
      <c r="DV218" s="2" t="s">
        <v>356</v>
      </c>
      <c r="DW218" s="2" t="s">
        <v>356</v>
      </c>
      <c r="DX218" s="2" t="s">
        <v>356</v>
      </c>
      <c r="DY218" s="2" t="s">
        <v>356</v>
      </c>
      <c r="DZ218" s="2" t="s">
        <v>356</v>
      </c>
      <c r="EA218" s="2" t="s">
        <v>356</v>
      </c>
      <c r="EB218" s="2" t="s">
        <v>356</v>
      </c>
      <c r="EC218" s="2" t="s">
        <v>356</v>
      </c>
      <c r="ED218" s="2" t="s">
        <v>356</v>
      </c>
      <c r="EE218" s="2" t="s">
        <v>356</v>
      </c>
      <c r="EF218" s="2" t="s">
        <v>356</v>
      </c>
      <c r="EG218" s="2" t="s">
        <v>356</v>
      </c>
      <c r="EH218" s="2" t="s">
        <v>356</v>
      </c>
      <c r="EI218" s="2" t="s">
        <v>356</v>
      </c>
      <c r="EJ218" s="2" t="s">
        <v>356</v>
      </c>
      <c r="EK218" s="2" t="s">
        <v>356</v>
      </c>
      <c r="EL218" s="2" t="s">
        <v>356</v>
      </c>
      <c r="EM218" s="2" t="s">
        <v>356</v>
      </c>
      <c r="EN218" s="2" t="s">
        <v>356</v>
      </c>
      <c r="EO218" s="2" t="s">
        <v>356</v>
      </c>
      <c r="EP218" s="2" t="s">
        <v>356</v>
      </c>
      <c r="EQ218" s="2" t="s">
        <v>356</v>
      </c>
      <c r="ER218" s="2" t="s">
        <v>356</v>
      </c>
      <c r="FA218" s="2" t="s">
        <v>356</v>
      </c>
      <c r="FB218" s="2" t="s">
        <v>356</v>
      </c>
      <c r="FC218" s="2" t="s">
        <v>356</v>
      </c>
      <c r="FD218" s="2" t="s">
        <v>356</v>
      </c>
      <c r="FE218" s="2" t="s">
        <v>356</v>
      </c>
      <c r="FF218" s="2" t="s">
        <v>356</v>
      </c>
      <c r="FG218" s="2" t="s">
        <v>356</v>
      </c>
      <c r="FH218" s="2" t="s">
        <v>356</v>
      </c>
      <c r="FI218" s="2" t="s">
        <v>356</v>
      </c>
      <c r="FJ218" s="2" t="s">
        <v>356</v>
      </c>
      <c r="FK218" s="2" t="s">
        <v>356</v>
      </c>
      <c r="FL218" s="2" t="s">
        <v>356</v>
      </c>
      <c r="FM218" s="2" t="s">
        <v>356</v>
      </c>
      <c r="FN218" s="2" t="s">
        <v>356</v>
      </c>
      <c r="FO218" s="2" t="s">
        <v>356</v>
      </c>
      <c r="FP218" s="2" t="s">
        <v>356</v>
      </c>
    </row>
    <row r="219" spans="1:172">
      <c r="A219" s="2" t="s">
        <v>2568</v>
      </c>
      <c r="B219" s="2" t="s">
        <v>257</v>
      </c>
      <c r="C219" s="2" t="s">
        <v>980</v>
      </c>
      <c r="D219" s="2" t="s">
        <v>1593</v>
      </c>
      <c r="E219" s="2" t="s">
        <v>1563</v>
      </c>
      <c r="F219" s="2" t="s">
        <v>356</v>
      </c>
      <c r="G219" s="2" t="s">
        <v>356</v>
      </c>
      <c r="H219" s="364">
        <v>40.75</v>
      </c>
      <c r="I219" s="364">
        <v>37</v>
      </c>
      <c r="K219" s="364"/>
      <c r="M219" s="364" t="s">
        <v>3050</v>
      </c>
      <c r="N219" s="364" t="s">
        <v>3049</v>
      </c>
      <c r="O219" s="364" t="s">
        <v>1587</v>
      </c>
      <c r="P219" s="364" t="s">
        <v>1594</v>
      </c>
      <c r="Q219" s="364" t="s">
        <v>1589</v>
      </c>
      <c r="R219" s="2" t="s">
        <v>175</v>
      </c>
      <c r="S219" s="2" t="s">
        <v>817</v>
      </c>
      <c r="T219" s="2">
        <v>25</v>
      </c>
      <c r="U219" s="2" cm="1">
        <f t="array" ref="U219">IFERROR(INDEX('Offer Statistics'!$CH$2:$CH$350,MATCH(1,(A219='Offer Statistics'!$BS$2:$BS$350)*($A$11='Offer Statistics'!$BT$2:$BT$350),0)),"/")</f>
        <v>9</v>
      </c>
      <c r="V219" s="2" cm="1">
        <f t="array" ref="V219">IFERROR(INDEX('Offer Statistics'!$BU$2:$BU$350,MATCH(1,(A219='Offer Statistics'!$BS$2:$BS$350)*($A$11='Offer Statistics'!$BT$2:$BT$350),0)),"/")</f>
        <v>32</v>
      </c>
      <c r="W219" s="2" cm="1">
        <f t="array" ref="W219">IFERROR(INDEX('Offer Statistics'!$CC$2:$CC$350,MATCH(1,(A219='Offer Statistics'!$BS$2:$BS$350)*($A$11='Offer Statistics'!$BT$2:$BT$350),0)),"/")</f>
        <v>9</v>
      </c>
      <c r="X219" s="2">
        <f t="shared" si="773"/>
        <v>3.5555555555555554</v>
      </c>
      <c r="Y219" s="2" t="s">
        <v>1177</v>
      </c>
      <c r="Z219" s="2" t="str">
        <f>入學要求!AF228</f>
        <v>以下一科選修取得Lv.3︰生物、化學、組合科學、物理、ICT、DAT</v>
      </c>
      <c r="AA219" s="2" t="str">
        <f>入學要求!AG228</f>
        <v>申請人必須以指定連結遞交 設計相關履歷。</v>
      </c>
      <c r="AB219" s="366" t="s">
        <v>1563</v>
      </c>
      <c r="AC219" s="364"/>
      <c r="AE219" s="2" t="s">
        <v>1567</v>
      </c>
      <c r="AF219" s="2" t="s">
        <v>1580</v>
      </c>
      <c r="AG219" s="364" t="s">
        <v>1587</v>
      </c>
      <c r="AH219" s="364" t="s">
        <v>1594</v>
      </c>
      <c r="AI219" s="364" t="s">
        <v>1589</v>
      </c>
      <c r="AJ219" s="364" t="s">
        <v>1569</v>
      </c>
      <c r="AK219" s="364" t="s">
        <v>1595</v>
      </c>
      <c r="AL219" s="364" t="s">
        <v>1584</v>
      </c>
      <c r="AM219" s="2" t="s">
        <v>1596</v>
      </c>
      <c r="AN219" s="2" t="s">
        <v>1597</v>
      </c>
      <c r="AO219" s="47" t="s">
        <v>1598</v>
      </c>
      <c r="AP219" s="364" t="s">
        <v>1591</v>
      </c>
      <c r="AQ219" s="364"/>
      <c r="AS219" s="2" t="s">
        <v>820</v>
      </c>
      <c r="AU219" s="2" t="s">
        <v>817</v>
      </c>
      <c r="AY219" s="2" t="s">
        <v>356</v>
      </c>
      <c r="AZ219" s="2" t="s">
        <v>356</v>
      </c>
      <c r="BA219" s="2" t="s">
        <v>356</v>
      </c>
      <c r="BB219" s="2" t="s">
        <v>356</v>
      </c>
      <c r="BC219" s="2" t="s">
        <v>356</v>
      </c>
      <c r="BD219" s="2" t="s">
        <v>356</v>
      </c>
      <c r="BE219" s="2" t="s">
        <v>356</v>
      </c>
      <c r="BF219" s="2" t="s">
        <v>356</v>
      </c>
      <c r="BH219" s="2" t="s">
        <v>356</v>
      </c>
      <c r="BI219" s="2" t="s">
        <v>356</v>
      </c>
      <c r="BJ219" s="2" t="s">
        <v>356</v>
      </c>
      <c r="BK219" s="2" t="s">
        <v>356</v>
      </c>
      <c r="BL219" s="2" t="s">
        <v>356</v>
      </c>
      <c r="BM219" s="2" t="s">
        <v>356</v>
      </c>
      <c r="BN219" s="2" t="s">
        <v>356</v>
      </c>
      <c r="BO219" s="2" t="s">
        <v>356</v>
      </c>
      <c r="BX219" s="2" t="s">
        <v>356</v>
      </c>
      <c r="BY219" s="2" t="s">
        <v>356</v>
      </c>
      <c r="BZ219" s="2" t="s">
        <v>356</v>
      </c>
      <c r="CA219" s="2" t="s">
        <v>356</v>
      </c>
      <c r="CB219" s="2" t="s">
        <v>356</v>
      </c>
      <c r="CC219" s="2" t="s">
        <v>356</v>
      </c>
      <c r="CD219" s="2" t="s">
        <v>356</v>
      </c>
      <c r="CE219" s="2" t="s">
        <v>356</v>
      </c>
      <c r="CF219" s="2" t="s">
        <v>356</v>
      </c>
      <c r="CG219" s="2" t="s">
        <v>356</v>
      </c>
      <c r="CH219" s="2" t="s">
        <v>356</v>
      </c>
      <c r="CI219" s="2" t="s">
        <v>356</v>
      </c>
      <c r="CJ219" s="2" t="s">
        <v>356</v>
      </c>
      <c r="CK219" s="2" t="s">
        <v>356</v>
      </c>
      <c r="CL219" s="2" t="s">
        <v>356</v>
      </c>
      <c r="CM219" s="2" t="s">
        <v>356</v>
      </c>
      <c r="CN219" s="2" t="s">
        <v>356</v>
      </c>
      <c r="CO219" s="2" t="s">
        <v>356</v>
      </c>
      <c r="CP219" s="2" t="s">
        <v>356</v>
      </c>
      <c r="CQ219" s="2" t="s">
        <v>356</v>
      </c>
      <c r="CR219" s="2" t="s">
        <v>356</v>
      </c>
      <c r="CS219" s="2" t="s">
        <v>356</v>
      </c>
      <c r="CT219" s="2" t="s">
        <v>356</v>
      </c>
      <c r="CU219" s="2" t="s">
        <v>356</v>
      </c>
      <c r="CW219" s="2" t="s">
        <v>356</v>
      </c>
      <c r="CX219" s="2" t="s">
        <v>356</v>
      </c>
      <c r="CY219" s="2" t="s">
        <v>356</v>
      </c>
      <c r="CZ219" s="2" t="s">
        <v>356</v>
      </c>
      <c r="DA219" s="2" t="s">
        <v>356</v>
      </c>
      <c r="DB219" s="2" t="s">
        <v>356</v>
      </c>
      <c r="DC219" s="2" t="s">
        <v>356</v>
      </c>
      <c r="DD219" s="2" t="s">
        <v>356</v>
      </c>
      <c r="DM219" s="2" t="s">
        <v>356</v>
      </c>
      <c r="DN219" s="2" t="s">
        <v>356</v>
      </c>
      <c r="DO219" s="2" t="s">
        <v>356</v>
      </c>
      <c r="DP219" s="2" t="s">
        <v>356</v>
      </c>
      <c r="DQ219" s="2" t="s">
        <v>356</v>
      </c>
      <c r="DR219" s="2" t="s">
        <v>356</v>
      </c>
      <c r="DS219" s="2" t="s">
        <v>356</v>
      </c>
      <c r="DT219" s="2" t="s">
        <v>356</v>
      </c>
      <c r="DU219" s="2" t="s">
        <v>356</v>
      </c>
      <c r="DV219" s="2" t="s">
        <v>356</v>
      </c>
      <c r="DW219" s="2" t="s">
        <v>356</v>
      </c>
      <c r="DX219" s="2" t="s">
        <v>356</v>
      </c>
      <c r="DY219" s="2" t="s">
        <v>356</v>
      </c>
      <c r="DZ219" s="2" t="s">
        <v>356</v>
      </c>
      <c r="EA219" s="2" t="s">
        <v>356</v>
      </c>
      <c r="EB219" s="2" t="s">
        <v>356</v>
      </c>
      <c r="EC219" s="2" t="s">
        <v>356</v>
      </c>
      <c r="ED219" s="2" t="s">
        <v>356</v>
      </c>
      <c r="EE219" s="2" t="s">
        <v>356</v>
      </c>
      <c r="EF219" s="2" t="s">
        <v>356</v>
      </c>
      <c r="EG219" s="2" t="s">
        <v>356</v>
      </c>
      <c r="EH219" s="2" t="s">
        <v>356</v>
      </c>
      <c r="EI219" s="2" t="s">
        <v>356</v>
      </c>
      <c r="EJ219" s="2" t="s">
        <v>356</v>
      </c>
      <c r="EK219" s="2" t="s">
        <v>356</v>
      </c>
      <c r="EL219" s="2" t="s">
        <v>356</v>
      </c>
      <c r="EM219" s="2" t="s">
        <v>356</v>
      </c>
      <c r="EN219" s="2" t="s">
        <v>356</v>
      </c>
      <c r="EO219" s="2" t="s">
        <v>356</v>
      </c>
      <c r="EP219" s="2" t="s">
        <v>356</v>
      </c>
      <c r="EQ219" s="2" t="s">
        <v>356</v>
      </c>
      <c r="ER219" s="2" t="s">
        <v>356</v>
      </c>
      <c r="FA219" s="2" t="s">
        <v>356</v>
      </c>
      <c r="FB219" s="2" t="s">
        <v>356</v>
      </c>
      <c r="FC219" s="2" t="s">
        <v>356</v>
      </c>
      <c r="FD219" s="2" t="s">
        <v>356</v>
      </c>
      <c r="FE219" s="2" t="s">
        <v>356</v>
      </c>
      <c r="FF219" s="2" t="s">
        <v>356</v>
      </c>
      <c r="FG219" s="2" t="s">
        <v>356</v>
      </c>
      <c r="FH219" s="2" t="s">
        <v>356</v>
      </c>
      <c r="FI219" s="2" t="s">
        <v>356</v>
      </c>
      <c r="FJ219" s="2" t="s">
        <v>356</v>
      </c>
      <c r="FK219" s="2" t="s">
        <v>356</v>
      </c>
      <c r="FL219" s="2" t="s">
        <v>356</v>
      </c>
      <c r="FM219" s="2" t="s">
        <v>356</v>
      </c>
      <c r="FN219" s="2" t="s">
        <v>356</v>
      </c>
      <c r="FO219" s="2" t="s">
        <v>356</v>
      </c>
      <c r="FP219" s="2" t="s">
        <v>356</v>
      </c>
    </row>
    <row r="220" spans="1:172">
      <c r="A220" s="2" t="s">
        <v>1643</v>
      </c>
      <c r="B220" s="2" t="s">
        <v>257</v>
      </c>
      <c r="C220" s="2" t="s">
        <v>1644</v>
      </c>
      <c r="D220" s="2" t="s">
        <v>1645</v>
      </c>
      <c r="E220" s="2" t="s">
        <v>1603</v>
      </c>
      <c r="F220" s="2" t="s">
        <v>356</v>
      </c>
      <c r="G220" s="2" t="s">
        <v>356</v>
      </c>
      <c r="H220" s="364">
        <v>42.25</v>
      </c>
      <c r="I220" s="364">
        <v>40.630000000000003</v>
      </c>
      <c r="K220" s="364"/>
      <c r="M220" s="364" t="s">
        <v>3050</v>
      </c>
      <c r="N220" s="364" t="s">
        <v>3049</v>
      </c>
      <c r="O220" s="364" t="s">
        <v>1646</v>
      </c>
      <c r="P220" s="364" t="s">
        <v>1647</v>
      </c>
      <c r="Q220" s="364" t="s">
        <v>356</v>
      </c>
      <c r="R220" s="2" t="s">
        <v>190</v>
      </c>
      <c r="S220" s="2" t="s">
        <v>817</v>
      </c>
      <c r="T220" s="2">
        <v>26</v>
      </c>
      <c r="U220" s="2" cm="1">
        <f t="array" ref="U220">IFERROR(INDEX('Offer Statistics'!$CH$2:$CH$350,MATCH(1,(A220='Offer Statistics'!$BS$2:$BS$350)*($A$11='Offer Statistics'!$BT$2:$BT$350),0)),"/")</f>
        <v>15</v>
      </c>
      <c r="V220" s="2" cm="1">
        <f t="array" ref="V220">IFERROR(INDEX('Offer Statistics'!$BU$2:$BU$350,MATCH(1,(A220='Offer Statistics'!$BS$2:$BS$350)*($A$11='Offer Statistics'!$BT$2:$BT$350),0)),"/")</f>
        <v>35</v>
      </c>
      <c r="W220" s="2" cm="1">
        <f t="array" ref="W220">IFERROR(INDEX('Offer Statistics'!$CC$2:$CC$350,MATCH(1,(A220='Offer Statistics'!$BS$2:$BS$350)*($A$11='Offer Statistics'!$BT$2:$BT$350),0)),"/")</f>
        <v>15</v>
      </c>
      <c r="X220" s="2">
        <f t="shared" si="773"/>
        <v>2.3333333333333335</v>
      </c>
      <c r="Y220" s="2" t="s">
        <v>1177</v>
      </c>
      <c r="Z220" s="2" t="str">
        <f>入學要求!AF229</f>
        <v>以下一科選修取得Lv.3︰生物、化學</v>
      </c>
      <c r="AA220" s="2" t="str">
        <f>入學要求!AG229</f>
        <v>/</v>
      </c>
      <c r="AB220" s="366" t="s">
        <v>1563</v>
      </c>
      <c r="AC220" s="364"/>
      <c r="AE220" s="2" t="s">
        <v>1567</v>
      </c>
      <c r="AF220" s="2" t="s">
        <v>1580</v>
      </c>
      <c r="AG220" s="364" t="s">
        <v>3083</v>
      </c>
      <c r="AH220" s="364" t="s">
        <v>1647</v>
      </c>
      <c r="AI220" s="364" t="s">
        <v>356</v>
      </c>
      <c r="AJ220" s="364" t="s">
        <v>1569</v>
      </c>
      <c r="AK220" s="364" t="s">
        <v>3057</v>
      </c>
      <c r="AL220" s="364" t="s">
        <v>356</v>
      </c>
      <c r="AM220" s="2" t="s">
        <v>356</v>
      </c>
      <c r="AN220" s="2" t="s">
        <v>356</v>
      </c>
      <c r="AO220" s="2" t="s">
        <v>356</v>
      </c>
      <c r="AP220" s="364" t="s">
        <v>1591</v>
      </c>
      <c r="AQ220" s="364"/>
      <c r="AS220" s="2" t="s">
        <v>820</v>
      </c>
      <c r="AU220" s="2" t="s">
        <v>817</v>
      </c>
      <c r="AY220" s="2" t="s">
        <v>356</v>
      </c>
      <c r="AZ220" s="2" t="s">
        <v>356</v>
      </c>
      <c r="BA220" s="2" t="s">
        <v>356</v>
      </c>
      <c r="BB220" s="2" t="s">
        <v>356</v>
      </c>
      <c r="BC220" s="2" t="s">
        <v>356</v>
      </c>
      <c r="BD220" s="2" t="s">
        <v>356</v>
      </c>
      <c r="BE220" s="2" t="s">
        <v>356</v>
      </c>
      <c r="BF220" s="2" t="s">
        <v>356</v>
      </c>
      <c r="BH220" s="2" t="s">
        <v>356</v>
      </c>
      <c r="BI220" s="2" t="s">
        <v>356</v>
      </c>
      <c r="BJ220" s="2" t="s">
        <v>356</v>
      </c>
      <c r="BK220" s="2" t="s">
        <v>356</v>
      </c>
      <c r="BL220" s="2" t="s">
        <v>356</v>
      </c>
      <c r="BM220" s="2" t="s">
        <v>356</v>
      </c>
      <c r="BN220" s="2" t="s">
        <v>356</v>
      </c>
      <c r="BO220" s="2" t="s">
        <v>356</v>
      </c>
      <c r="BX220" s="2" t="s">
        <v>356</v>
      </c>
      <c r="BY220" s="2" t="s">
        <v>356</v>
      </c>
      <c r="BZ220" s="2" t="s">
        <v>356</v>
      </c>
      <c r="CA220" s="2" t="s">
        <v>356</v>
      </c>
      <c r="CB220" s="2" t="s">
        <v>356</v>
      </c>
      <c r="CC220" s="2" t="s">
        <v>356</v>
      </c>
      <c r="CD220" s="2" t="s">
        <v>356</v>
      </c>
      <c r="CE220" s="2" t="s">
        <v>356</v>
      </c>
      <c r="CF220" s="2" t="s">
        <v>356</v>
      </c>
      <c r="CG220" s="2" t="s">
        <v>356</v>
      </c>
      <c r="CH220" s="2" t="s">
        <v>356</v>
      </c>
      <c r="CI220" s="2" t="s">
        <v>356</v>
      </c>
      <c r="CJ220" s="2" t="s">
        <v>356</v>
      </c>
      <c r="CK220" s="2" t="s">
        <v>356</v>
      </c>
      <c r="CL220" s="2" t="s">
        <v>356</v>
      </c>
      <c r="CM220" s="2" t="s">
        <v>356</v>
      </c>
      <c r="CN220" s="2" t="s">
        <v>356</v>
      </c>
      <c r="CO220" s="2" t="s">
        <v>356</v>
      </c>
      <c r="CP220" s="2" t="s">
        <v>356</v>
      </c>
      <c r="CQ220" s="2" t="s">
        <v>356</v>
      </c>
      <c r="CR220" s="2" t="s">
        <v>356</v>
      </c>
      <c r="CS220" s="2" t="s">
        <v>356</v>
      </c>
      <c r="CT220" s="2" t="s">
        <v>356</v>
      </c>
      <c r="CU220" s="2" t="s">
        <v>356</v>
      </c>
      <c r="CW220" s="2" t="s">
        <v>356</v>
      </c>
      <c r="CX220" s="2" t="s">
        <v>356</v>
      </c>
      <c r="CY220" s="2" t="s">
        <v>356</v>
      </c>
      <c r="CZ220" s="2" t="s">
        <v>356</v>
      </c>
      <c r="DA220" s="2" t="s">
        <v>356</v>
      </c>
      <c r="DB220" s="2" t="s">
        <v>356</v>
      </c>
      <c r="DC220" s="2" t="s">
        <v>356</v>
      </c>
      <c r="DD220" s="2" t="s">
        <v>356</v>
      </c>
      <c r="DM220" s="2" t="s">
        <v>356</v>
      </c>
      <c r="DN220" s="2" t="s">
        <v>356</v>
      </c>
      <c r="DO220" s="2" t="s">
        <v>356</v>
      </c>
      <c r="DP220" s="2" t="s">
        <v>356</v>
      </c>
      <c r="DQ220" s="2" t="s">
        <v>356</v>
      </c>
      <c r="DR220" s="2" t="s">
        <v>356</v>
      </c>
      <c r="DS220" s="2" t="s">
        <v>356</v>
      </c>
      <c r="DT220" s="2" t="s">
        <v>356</v>
      </c>
      <c r="DU220" s="2" t="s">
        <v>356</v>
      </c>
      <c r="DV220" s="2" t="s">
        <v>356</v>
      </c>
      <c r="DW220" s="2" t="s">
        <v>356</v>
      </c>
      <c r="DX220" s="2" t="s">
        <v>356</v>
      </c>
      <c r="DY220" s="2" t="s">
        <v>356</v>
      </c>
      <c r="DZ220" s="2" t="s">
        <v>356</v>
      </c>
      <c r="EA220" s="2" t="s">
        <v>356</v>
      </c>
      <c r="EB220" s="2" t="s">
        <v>356</v>
      </c>
      <c r="EC220" s="2" t="s">
        <v>356</v>
      </c>
      <c r="ED220" s="2" t="s">
        <v>356</v>
      </c>
      <c r="EE220" s="2" t="s">
        <v>356</v>
      </c>
      <c r="EF220" s="2" t="s">
        <v>356</v>
      </c>
      <c r="EG220" s="2" t="s">
        <v>356</v>
      </c>
      <c r="EH220" s="2" t="s">
        <v>356</v>
      </c>
      <c r="EI220" s="2" t="s">
        <v>356</v>
      </c>
      <c r="EJ220" s="2" t="s">
        <v>356</v>
      </c>
      <c r="EK220" s="2" t="s">
        <v>356</v>
      </c>
      <c r="EL220" s="2" t="s">
        <v>356</v>
      </c>
      <c r="EM220" s="2" t="s">
        <v>356</v>
      </c>
      <c r="EN220" s="2" t="s">
        <v>356</v>
      </c>
      <c r="EO220" s="2" t="s">
        <v>356</v>
      </c>
      <c r="EP220" s="2" t="s">
        <v>356</v>
      </c>
      <c r="EQ220" s="2" t="s">
        <v>356</v>
      </c>
      <c r="ER220" s="2" t="s">
        <v>356</v>
      </c>
      <c r="FA220" s="2" t="s">
        <v>356</v>
      </c>
      <c r="FB220" s="2" t="s">
        <v>356</v>
      </c>
      <c r="FC220" s="2" t="s">
        <v>356</v>
      </c>
      <c r="FD220" s="2" t="s">
        <v>356</v>
      </c>
      <c r="FE220" s="2" t="s">
        <v>356</v>
      </c>
      <c r="FF220" s="2" t="s">
        <v>356</v>
      </c>
      <c r="FG220" s="2" t="s">
        <v>356</v>
      </c>
      <c r="FH220" s="2" t="s">
        <v>356</v>
      </c>
      <c r="FI220" s="2" t="s">
        <v>356</v>
      </c>
      <c r="FJ220" s="2" t="s">
        <v>356</v>
      </c>
      <c r="FK220" s="2" t="s">
        <v>356</v>
      </c>
      <c r="FL220" s="2" t="s">
        <v>356</v>
      </c>
      <c r="FM220" s="2" t="s">
        <v>356</v>
      </c>
      <c r="FN220" s="2" t="s">
        <v>356</v>
      </c>
      <c r="FO220" s="2" t="s">
        <v>356</v>
      </c>
      <c r="FP220" s="2" t="s">
        <v>356</v>
      </c>
    </row>
    <row r="221" spans="1:172">
      <c r="A221" s="2" t="s">
        <v>1648</v>
      </c>
      <c r="B221" s="2" t="s">
        <v>257</v>
      </c>
      <c r="C221" s="2" t="s">
        <v>1644</v>
      </c>
      <c r="D221" s="2" t="s">
        <v>1649</v>
      </c>
      <c r="E221" s="2" t="s">
        <v>1603</v>
      </c>
      <c r="F221" s="2" t="s">
        <v>356</v>
      </c>
      <c r="G221" s="2" t="s">
        <v>356</v>
      </c>
      <c r="H221" s="364">
        <v>32.25</v>
      </c>
      <c r="I221" s="364">
        <v>30</v>
      </c>
      <c r="K221" s="364"/>
      <c r="M221" s="364" t="s">
        <v>3050</v>
      </c>
      <c r="N221" s="364" t="s">
        <v>3049</v>
      </c>
      <c r="O221" s="364" t="s">
        <v>1604</v>
      </c>
      <c r="P221" s="364" t="s">
        <v>356</v>
      </c>
      <c r="Q221" s="364" t="s">
        <v>356</v>
      </c>
      <c r="R221" s="2" t="s">
        <v>191</v>
      </c>
      <c r="S221" s="2" t="s">
        <v>817</v>
      </c>
      <c r="T221" s="2">
        <v>16</v>
      </c>
      <c r="U221" s="2" cm="1">
        <f t="array" ref="U221">IFERROR(INDEX('Offer Statistics'!$CH$2:$CH$350,MATCH(1,(A221='Offer Statistics'!$BS$2:$BS$350)*($A$11='Offer Statistics'!$BT$2:$BT$350),0)),"/")</f>
        <v>10</v>
      </c>
      <c r="V221" s="2" cm="1">
        <f t="array" ref="V221">IFERROR(INDEX('Offer Statistics'!$BU$2:$BU$350,MATCH(1,(A221='Offer Statistics'!$BS$2:$BS$350)*($A$11='Offer Statistics'!$BT$2:$BT$350),0)),"/")</f>
        <v>37</v>
      </c>
      <c r="W221" s="2" cm="1">
        <f t="array" ref="W221">IFERROR(INDEX('Offer Statistics'!$CC$2:$CC$350,MATCH(1,(A221='Offer Statistics'!$BS$2:$BS$350)*($A$11='Offer Statistics'!$BT$2:$BT$350),0)),"/")</f>
        <v>10</v>
      </c>
      <c r="X221" s="2">
        <f t="shared" si="773"/>
        <v>3.7</v>
      </c>
      <c r="Y221" s="2" t="s">
        <v>1177</v>
      </c>
      <c r="Z221" s="2" t="str">
        <f>入學要求!AF230</f>
        <v>/</v>
      </c>
      <c r="AA221" s="2" t="str">
        <f>入學要求!AG230</f>
        <v>/</v>
      </c>
      <c r="AB221" s="366" t="s">
        <v>1563</v>
      </c>
      <c r="AC221" s="364"/>
      <c r="AE221" s="2" t="s">
        <v>1567</v>
      </c>
      <c r="AF221" s="2" t="s">
        <v>1580</v>
      </c>
      <c r="AG221" s="364" t="s">
        <v>3077</v>
      </c>
      <c r="AH221" s="364" t="s">
        <v>356</v>
      </c>
      <c r="AI221" s="364" t="s">
        <v>356</v>
      </c>
      <c r="AJ221" s="364" t="s">
        <v>1569</v>
      </c>
      <c r="AK221" s="364" t="s">
        <v>3055</v>
      </c>
      <c r="AL221" s="364" t="s">
        <v>356</v>
      </c>
      <c r="AM221" s="2" t="s">
        <v>356</v>
      </c>
      <c r="AN221" s="2" t="s">
        <v>356</v>
      </c>
      <c r="AO221" s="2" t="s">
        <v>356</v>
      </c>
      <c r="AP221" s="364" t="s">
        <v>1605</v>
      </c>
      <c r="AQ221" s="364"/>
      <c r="AS221" s="2" t="s">
        <v>820</v>
      </c>
      <c r="AU221" s="2" t="s">
        <v>817</v>
      </c>
      <c r="AY221" s="2" t="s">
        <v>356</v>
      </c>
      <c r="AZ221" s="2" t="s">
        <v>356</v>
      </c>
      <c r="BA221" s="2" t="s">
        <v>356</v>
      </c>
      <c r="BB221" s="2" t="s">
        <v>356</v>
      </c>
      <c r="BC221" s="2" t="s">
        <v>356</v>
      </c>
      <c r="BD221" s="2" t="s">
        <v>356</v>
      </c>
      <c r="BE221" s="2" t="s">
        <v>356</v>
      </c>
      <c r="BF221" s="2" t="s">
        <v>356</v>
      </c>
      <c r="BH221" s="2" t="s">
        <v>356</v>
      </c>
      <c r="BI221" s="2" t="s">
        <v>356</v>
      </c>
      <c r="BJ221" s="2" t="s">
        <v>356</v>
      </c>
      <c r="BK221" s="2" t="s">
        <v>356</v>
      </c>
      <c r="BL221" s="2" t="s">
        <v>356</v>
      </c>
      <c r="BM221" s="2" t="s">
        <v>356</v>
      </c>
      <c r="BN221" s="2" t="s">
        <v>356</v>
      </c>
      <c r="BO221" s="2" t="s">
        <v>356</v>
      </c>
      <c r="BX221" s="2" t="s">
        <v>356</v>
      </c>
      <c r="BY221" s="2" t="s">
        <v>356</v>
      </c>
      <c r="BZ221" s="2" t="s">
        <v>356</v>
      </c>
      <c r="CA221" s="2" t="s">
        <v>356</v>
      </c>
      <c r="CB221" s="2" t="s">
        <v>356</v>
      </c>
      <c r="CC221" s="2" t="s">
        <v>356</v>
      </c>
      <c r="CD221" s="2" t="s">
        <v>356</v>
      </c>
      <c r="CE221" s="2" t="s">
        <v>356</v>
      </c>
      <c r="CF221" s="2" t="s">
        <v>356</v>
      </c>
      <c r="CG221" s="2" t="s">
        <v>356</v>
      </c>
      <c r="CH221" s="2" t="s">
        <v>356</v>
      </c>
      <c r="CI221" s="2" t="s">
        <v>356</v>
      </c>
      <c r="CJ221" s="2" t="s">
        <v>356</v>
      </c>
      <c r="CK221" s="2" t="s">
        <v>356</v>
      </c>
      <c r="CL221" s="2" t="s">
        <v>356</v>
      </c>
      <c r="CM221" s="2" t="s">
        <v>356</v>
      </c>
      <c r="CN221" s="2" t="s">
        <v>356</v>
      </c>
      <c r="CO221" s="2" t="s">
        <v>356</v>
      </c>
      <c r="CP221" s="2" t="s">
        <v>356</v>
      </c>
      <c r="CQ221" s="2" t="s">
        <v>356</v>
      </c>
      <c r="CR221" s="2" t="s">
        <v>356</v>
      </c>
      <c r="CS221" s="2" t="s">
        <v>356</v>
      </c>
      <c r="CT221" s="2" t="s">
        <v>356</v>
      </c>
      <c r="CU221" s="2" t="s">
        <v>356</v>
      </c>
      <c r="CW221" s="2" t="s">
        <v>356</v>
      </c>
      <c r="CX221" s="2" t="s">
        <v>356</v>
      </c>
      <c r="CY221" s="2" t="s">
        <v>356</v>
      </c>
      <c r="CZ221" s="2" t="s">
        <v>356</v>
      </c>
      <c r="DA221" s="2" t="s">
        <v>356</v>
      </c>
      <c r="DB221" s="2" t="s">
        <v>356</v>
      </c>
      <c r="DC221" s="2" t="s">
        <v>356</v>
      </c>
      <c r="DD221" s="2" t="s">
        <v>356</v>
      </c>
      <c r="DM221" s="2" t="s">
        <v>356</v>
      </c>
      <c r="DN221" s="2" t="s">
        <v>356</v>
      </c>
      <c r="DO221" s="2" t="s">
        <v>356</v>
      </c>
      <c r="DP221" s="2" t="s">
        <v>356</v>
      </c>
      <c r="DQ221" s="2" t="s">
        <v>356</v>
      </c>
      <c r="DR221" s="2" t="s">
        <v>356</v>
      </c>
      <c r="DS221" s="2" t="s">
        <v>356</v>
      </c>
      <c r="DT221" s="2" t="s">
        <v>356</v>
      </c>
      <c r="DU221" s="2" t="s">
        <v>356</v>
      </c>
      <c r="DV221" s="2" t="s">
        <v>356</v>
      </c>
      <c r="DW221" s="2" t="s">
        <v>356</v>
      </c>
      <c r="DX221" s="2" t="s">
        <v>356</v>
      </c>
      <c r="DY221" s="2" t="s">
        <v>356</v>
      </c>
      <c r="DZ221" s="2" t="s">
        <v>356</v>
      </c>
      <c r="EA221" s="2" t="s">
        <v>356</v>
      </c>
      <c r="EB221" s="2" t="s">
        <v>356</v>
      </c>
      <c r="EC221" s="2" t="s">
        <v>356</v>
      </c>
      <c r="ED221" s="2" t="s">
        <v>356</v>
      </c>
      <c r="EE221" s="2" t="s">
        <v>356</v>
      </c>
      <c r="EF221" s="2" t="s">
        <v>356</v>
      </c>
      <c r="EG221" s="2" t="s">
        <v>356</v>
      </c>
      <c r="EH221" s="2" t="s">
        <v>356</v>
      </c>
      <c r="EI221" s="2" t="s">
        <v>356</v>
      </c>
      <c r="EJ221" s="2" t="s">
        <v>356</v>
      </c>
      <c r="EK221" s="2" t="s">
        <v>356</v>
      </c>
      <c r="EL221" s="2" t="s">
        <v>356</v>
      </c>
      <c r="EM221" s="2" t="s">
        <v>356</v>
      </c>
      <c r="EN221" s="2" t="s">
        <v>356</v>
      </c>
      <c r="EO221" s="2" t="s">
        <v>356</v>
      </c>
      <c r="EP221" s="2" t="s">
        <v>356</v>
      </c>
      <c r="EQ221" s="2" t="s">
        <v>356</v>
      </c>
      <c r="ER221" s="2" t="s">
        <v>356</v>
      </c>
      <c r="FA221" s="2" t="s">
        <v>356</v>
      </c>
      <c r="FB221" s="2" t="s">
        <v>356</v>
      </c>
      <c r="FC221" s="2" t="s">
        <v>356</v>
      </c>
      <c r="FD221" s="2" t="s">
        <v>356</v>
      </c>
      <c r="FE221" s="2" t="s">
        <v>356</v>
      </c>
      <c r="FF221" s="2" t="s">
        <v>356</v>
      </c>
      <c r="FG221" s="2" t="s">
        <v>356</v>
      </c>
      <c r="FH221" s="2" t="s">
        <v>356</v>
      </c>
      <c r="FI221" s="2" t="s">
        <v>356</v>
      </c>
      <c r="FJ221" s="2" t="s">
        <v>356</v>
      </c>
      <c r="FK221" s="2" t="s">
        <v>356</v>
      </c>
      <c r="FL221" s="2" t="s">
        <v>356</v>
      </c>
      <c r="FM221" s="2" t="s">
        <v>356</v>
      </c>
      <c r="FN221" s="2" t="s">
        <v>356</v>
      </c>
      <c r="FO221" s="2" t="s">
        <v>356</v>
      </c>
      <c r="FP221" s="2" t="s">
        <v>356</v>
      </c>
    </row>
    <row r="222" spans="1:172">
      <c r="A222" s="2" t="s">
        <v>1650</v>
      </c>
      <c r="B222" s="2" t="s">
        <v>257</v>
      </c>
      <c r="C222" s="2" t="s">
        <v>1644</v>
      </c>
      <c r="D222" s="2" t="s">
        <v>1651</v>
      </c>
      <c r="E222" s="2" t="s">
        <v>1603</v>
      </c>
      <c r="F222" s="2" t="s">
        <v>356</v>
      </c>
      <c r="G222" s="2" t="s">
        <v>356</v>
      </c>
      <c r="H222" s="364">
        <v>45</v>
      </c>
      <c r="I222" s="364">
        <v>43.5</v>
      </c>
      <c r="K222" s="364"/>
      <c r="M222" s="364" t="s">
        <v>3050</v>
      </c>
      <c r="N222" s="364" t="s">
        <v>3049</v>
      </c>
      <c r="O222" s="364" t="s">
        <v>1652</v>
      </c>
      <c r="P222" s="364" t="s">
        <v>1653</v>
      </c>
      <c r="Q222" s="364" t="s">
        <v>356</v>
      </c>
      <c r="R222" s="2" t="s">
        <v>192</v>
      </c>
      <c r="S222" s="2" t="s">
        <v>817</v>
      </c>
      <c r="T222" s="2">
        <v>16</v>
      </c>
      <c r="U222" s="2" cm="1">
        <f t="array" ref="U222">IFERROR(INDEX('Offer Statistics'!$CH$2:$CH$350,MATCH(1,(A222='Offer Statistics'!$BS$2:$BS$350)*($A$11='Offer Statistics'!$BT$2:$BT$350),0)),"/")</f>
        <v>19</v>
      </c>
      <c r="V222" s="2" cm="1">
        <f t="array" ref="V222">IFERROR(INDEX('Offer Statistics'!$BU$2:$BU$350,MATCH(1,(A222='Offer Statistics'!$BS$2:$BS$350)*($A$11='Offer Statistics'!$BT$2:$BT$350),0)),"/")</f>
        <v>56</v>
      </c>
      <c r="W222" s="2" cm="1">
        <f t="array" ref="W222">IFERROR(INDEX('Offer Statistics'!$CC$2:$CC$350,MATCH(1,(A222='Offer Statistics'!$BS$2:$BS$350)*($A$11='Offer Statistics'!$BT$2:$BT$350),0)),"/")</f>
        <v>19</v>
      </c>
      <c r="X222" s="2">
        <f t="shared" si="773"/>
        <v>2.9473684210526314</v>
      </c>
      <c r="Y222" s="2" t="s">
        <v>1177</v>
      </c>
      <c r="Z222" s="2" t="str">
        <f>入學要求!AF231</f>
        <v>以下一科選修取得Lv.3︰M1/2、生物、化學、組合科學、物理、經濟</v>
      </c>
      <c r="AA222" s="2" t="str">
        <f>入學要求!AG231</f>
        <v>/</v>
      </c>
      <c r="AB222" s="403" t="s">
        <v>1603</v>
      </c>
      <c r="AC222" s="364" t="s">
        <v>3073</v>
      </c>
      <c r="AE222" s="2" t="s">
        <v>1567</v>
      </c>
      <c r="AF222" s="2" t="s">
        <v>1580</v>
      </c>
      <c r="AG222" s="364" t="s">
        <v>3084</v>
      </c>
      <c r="AH222" s="364" t="s">
        <v>3085</v>
      </c>
      <c r="AI222" s="364" t="s">
        <v>356</v>
      </c>
      <c r="AJ222" s="364" t="s">
        <v>1569</v>
      </c>
      <c r="AK222" s="364" t="s">
        <v>3058</v>
      </c>
      <c r="AL222" s="364" t="s">
        <v>356</v>
      </c>
      <c r="AM222" s="2" t="s">
        <v>356</v>
      </c>
      <c r="AN222" s="2" t="s">
        <v>356</v>
      </c>
      <c r="AO222" s="2" t="s">
        <v>356</v>
      </c>
      <c r="AP222" s="364" t="s">
        <v>1654</v>
      </c>
      <c r="AQ222" s="364"/>
      <c r="AS222" s="2" t="s">
        <v>820</v>
      </c>
      <c r="AU222" s="2" t="s">
        <v>817</v>
      </c>
      <c r="AY222" s="2" t="s">
        <v>356</v>
      </c>
      <c r="AZ222" s="2" t="s">
        <v>356</v>
      </c>
      <c r="BA222" s="2" t="s">
        <v>356</v>
      </c>
      <c r="BB222" s="2" t="s">
        <v>356</v>
      </c>
      <c r="BC222" s="2" t="s">
        <v>356</v>
      </c>
      <c r="BD222" s="2" t="s">
        <v>356</v>
      </c>
      <c r="BE222" s="2" t="s">
        <v>356</v>
      </c>
      <c r="BF222" s="2" t="s">
        <v>356</v>
      </c>
      <c r="BH222" s="2" t="s">
        <v>356</v>
      </c>
      <c r="BI222" s="2" t="s">
        <v>356</v>
      </c>
      <c r="BJ222" s="2" t="s">
        <v>356</v>
      </c>
      <c r="BK222" s="2" t="s">
        <v>356</v>
      </c>
      <c r="BL222" s="2" t="s">
        <v>356</v>
      </c>
      <c r="BM222" s="2" t="s">
        <v>356</v>
      </c>
      <c r="BN222" s="2" t="s">
        <v>356</v>
      </c>
      <c r="BO222" s="2" t="s">
        <v>356</v>
      </c>
      <c r="BX222" s="2" t="s">
        <v>356</v>
      </c>
      <c r="BY222" s="2" t="s">
        <v>356</v>
      </c>
      <c r="BZ222" s="2" t="s">
        <v>356</v>
      </c>
      <c r="CA222" s="2" t="s">
        <v>356</v>
      </c>
      <c r="CB222" s="2" t="s">
        <v>356</v>
      </c>
      <c r="CC222" s="2" t="s">
        <v>356</v>
      </c>
      <c r="CD222" s="2" t="s">
        <v>356</v>
      </c>
      <c r="CE222" s="2" t="s">
        <v>356</v>
      </c>
      <c r="CF222" s="2" t="s">
        <v>356</v>
      </c>
      <c r="CG222" s="2" t="s">
        <v>356</v>
      </c>
      <c r="CH222" s="2" t="s">
        <v>356</v>
      </c>
      <c r="CI222" s="2" t="s">
        <v>356</v>
      </c>
      <c r="CJ222" s="2" t="s">
        <v>356</v>
      </c>
      <c r="CK222" s="2" t="s">
        <v>356</v>
      </c>
      <c r="CL222" s="2" t="s">
        <v>356</v>
      </c>
      <c r="CM222" s="2" t="s">
        <v>356</v>
      </c>
      <c r="CN222" s="2" t="s">
        <v>356</v>
      </c>
      <c r="CO222" s="2" t="s">
        <v>356</v>
      </c>
      <c r="CP222" s="2" t="s">
        <v>356</v>
      </c>
      <c r="CQ222" s="2" t="s">
        <v>356</v>
      </c>
      <c r="CR222" s="2" t="s">
        <v>356</v>
      </c>
      <c r="CS222" s="2" t="s">
        <v>356</v>
      </c>
      <c r="CT222" s="2" t="s">
        <v>356</v>
      </c>
      <c r="CU222" s="2" t="s">
        <v>356</v>
      </c>
      <c r="CW222" s="2" t="s">
        <v>356</v>
      </c>
      <c r="CX222" s="2" t="s">
        <v>356</v>
      </c>
      <c r="CY222" s="2" t="s">
        <v>356</v>
      </c>
      <c r="CZ222" s="2" t="s">
        <v>356</v>
      </c>
      <c r="DA222" s="2" t="s">
        <v>356</v>
      </c>
      <c r="DB222" s="2" t="s">
        <v>356</v>
      </c>
      <c r="DC222" s="2" t="s">
        <v>356</v>
      </c>
      <c r="DD222" s="2" t="s">
        <v>356</v>
      </c>
      <c r="DM222" s="2" t="s">
        <v>356</v>
      </c>
      <c r="DN222" s="2" t="s">
        <v>356</v>
      </c>
      <c r="DO222" s="2" t="s">
        <v>356</v>
      </c>
      <c r="DP222" s="2" t="s">
        <v>356</v>
      </c>
      <c r="DQ222" s="2" t="s">
        <v>356</v>
      </c>
      <c r="DR222" s="2" t="s">
        <v>356</v>
      </c>
      <c r="DS222" s="2" t="s">
        <v>356</v>
      </c>
      <c r="DT222" s="2" t="s">
        <v>356</v>
      </c>
      <c r="DU222" s="2" t="s">
        <v>356</v>
      </c>
      <c r="DV222" s="2" t="s">
        <v>356</v>
      </c>
      <c r="DW222" s="2" t="s">
        <v>356</v>
      </c>
      <c r="DX222" s="2" t="s">
        <v>356</v>
      </c>
      <c r="DY222" s="2" t="s">
        <v>356</v>
      </c>
      <c r="DZ222" s="2" t="s">
        <v>356</v>
      </c>
      <c r="EA222" s="2" t="s">
        <v>356</v>
      </c>
      <c r="EB222" s="2" t="s">
        <v>356</v>
      </c>
      <c r="EC222" s="2" t="s">
        <v>356</v>
      </c>
      <c r="ED222" s="2" t="s">
        <v>356</v>
      </c>
      <c r="EE222" s="2" t="s">
        <v>356</v>
      </c>
      <c r="EF222" s="2" t="s">
        <v>356</v>
      </c>
      <c r="EG222" s="2" t="s">
        <v>356</v>
      </c>
      <c r="EH222" s="2" t="s">
        <v>356</v>
      </c>
      <c r="EI222" s="2" t="s">
        <v>356</v>
      </c>
      <c r="EJ222" s="2" t="s">
        <v>356</v>
      </c>
      <c r="EK222" s="2" t="s">
        <v>356</v>
      </c>
      <c r="EL222" s="2" t="s">
        <v>356</v>
      </c>
      <c r="EM222" s="2" t="s">
        <v>356</v>
      </c>
      <c r="EN222" s="2" t="s">
        <v>356</v>
      </c>
      <c r="EO222" s="2" t="s">
        <v>356</v>
      </c>
      <c r="EP222" s="2" t="s">
        <v>356</v>
      </c>
      <c r="EQ222" s="2" t="s">
        <v>356</v>
      </c>
      <c r="ER222" s="2" t="s">
        <v>356</v>
      </c>
      <c r="FA222" s="2" t="s">
        <v>356</v>
      </c>
      <c r="FB222" s="2" t="s">
        <v>356</v>
      </c>
      <c r="FC222" s="2" t="s">
        <v>356</v>
      </c>
      <c r="FD222" s="2" t="s">
        <v>356</v>
      </c>
      <c r="FE222" s="2" t="s">
        <v>356</v>
      </c>
      <c r="FF222" s="2" t="s">
        <v>356</v>
      </c>
      <c r="FG222" s="2" t="s">
        <v>356</v>
      </c>
      <c r="FH222" s="2" t="s">
        <v>356</v>
      </c>
      <c r="FI222" s="2" t="s">
        <v>356</v>
      </c>
      <c r="FJ222" s="2" t="s">
        <v>356</v>
      </c>
      <c r="FK222" s="2" t="s">
        <v>356</v>
      </c>
      <c r="FL222" s="2" t="s">
        <v>356</v>
      </c>
      <c r="FM222" s="2" t="s">
        <v>356</v>
      </c>
      <c r="FN222" s="2" t="s">
        <v>356</v>
      </c>
      <c r="FO222" s="2" t="s">
        <v>356</v>
      </c>
      <c r="FP222" s="2" t="s">
        <v>356</v>
      </c>
    </row>
    <row r="223" spans="1:172">
      <c r="A223" s="2" t="s">
        <v>1655</v>
      </c>
      <c r="B223" s="2" t="s">
        <v>257</v>
      </c>
      <c r="C223" s="2" t="s">
        <v>1644</v>
      </c>
      <c r="D223" s="2" t="s">
        <v>1656</v>
      </c>
      <c r="E223" s="2" t="s">
        <v>1603</v>
      </c>
      <c r="F223" s="2" t="s">
        <v>356</v>
      </c>
      <c r="G223" s="2" t="s">
        <v>356</v>
      </c>
      <c r="H223" s="364">
        <v>48.5</v>
      </c>
      <c r="I223" s="364">
        <v>46.75</v>
      </c>
      <c r="K223" s="364"/>
      <c r="M223" s="364" t="s">
        <v>3050</v>
      </c>
      <c r="N223" s="364" t="s">
        <v>3049</v>
      </c>
      <c r="O223" s="364" t="s">
        <v>1639</v>
      </c>
      <c r="P223" s="364" t="s">
        <v>1640</v>
      </c>
      <c r="Q223" s="364" t="s">
        <v>356</v>
      </c>
      <c r="R223" s="2" t="s">
        <v>193</v>
      </c>
      <c r="S223" s="2" t="s">
        <v>817</v>
      </c>
      <c r="T223" s="2">
        <v>23</v>
      </c>
      <c r="U223" s="2" cm="1">
        <f t="array" ref="U223">IFERROR(INDEX('Offer Statistics'!$CH$2:$CH$350,MATCH(1,(A223='Offer Statistics'!$BS$2:$BS$350)*($A$11='Offer Statistics'!$BT$2:$BT$350),0)),"/")</f>
        <v>19</v>
      </c>
      <c r="V223" s="2" cm="1">
        <f t="array" ref="V223">IFERROR(INDEX('Offer Statistics'!$BU$2:$BU$350,MATCH(1,(A223='Offer Statistics'!$BS$2:$BS$350)*($A$11='Offer Statistics'!$BT$2:$BT$350),0)),"/")</f>
        <v>35</v>
      </c>
      <c r="W223" s="2" cm="1">
        <f t="array" ref="W223">IFERROR(INDEX('Offer Statistics'!$CC$2:$CC$350,MATCH(1,(A223='Offer Statistics'!$BS$2:$BS$350)*($A$11='Offer Statistics'!$BT$2:$BT$350),0)),"/")</f>
        <v>19</v>
      </c>
      <c r="X223" s="2">
        <f t="shared" si="773"/>
        <v>1.8421052631578947</v>
      </c>
      <c r="Y223" s="2" t="s">
        <v>1177</v>
      </c>
      <c r="Z223" s="2" t="str">
        <f>入學要求!AF232</f>
        <v>申請人必須出席面試</v>
      </c>
      <c r="AA223" s="2" t="str">
        <f>入學要求!AG232</f>
        <v>/</v>
      </c>
      <c r="AB223" s="366" t="s">
        <v>1603</v>
      </c>
      <c r="AC223" s="364"/>
      <c r="AE223" s="2" t="s">
        <v>1567</v>
      </c>
      <c r="AF223" s="2" t="s">
        <v>1580</v>
      </c>
      <c r="AG223" s="364" t="s">
        <v>3081</v>
      </c>
      <c r="AH223" s="364" t="s">
        <v>3082</v>
      </c>
      <c r="AI223" s="364" t="s">
        <v>356</v>
      </c>
      <c r="AJ223" s="364" t="s">
        <v>3051</v>
      </c>
      <c r="AK223" s="364" t="s">
        <v>3067</v>
      </c>
      <c r="AL223" s="364" t="s">
        <v>356</v>
      </c>
      <c r="AM223" s="2" t="s">
        <v>1570</v>
      </c>
      <c r="AN223" s="2" t="s">
        <v>356</v>
      </c>
      <c r="AO223" s="2" t="s">
        <v>356</v>
      </c>
      <c r="AP223" s="364" t="s">
        <v>1591</v>
      </c>
      <c r="AQ223" s="364"/>
      <c r="AS223" s="2" t="s">
        <v>820</v>
      </c>
      <c r="AU223" s="2" t="s">
        <v>817</v>
      </c>
      <c r="AY223" s="2" t="s">
        <v>356</v>
      </c>
      <c r="AZ223" s="2" t="s">
        <v>356</v>
      </c>
      <c r="BA223" s="2" t="s">
        <v>356</v>
      </c>
      <c r="BB223" s="2" t="s">
        <v>356</v>
      </c>
      <c r="BC223" s="2" t="s">
        <v>356</v>
      </c>
      <c r="BD223" s="2" t="s">
        <v>356</v>
      </c>
      <c r="BE223" s="2" t="s">
        <v>356</v>
      </c>
      <c r="BF223" s="2" t="s">
        <v>356</v>
      </c>
      <c r="BH223" s="2" t="s">
        <v>356</v>
      </c>
      <c r="BI223" s="2" t="s">
        <v>356</v>
      </c>
      <c r="BJ223" s="2" t="s">
        <v>356</v>
      </c>
      <c r="BK223" s="2" t="s">
        <v>356</v>
      </c>
      <c r="BL223" s="2" t="s">
        <v>356</v>
      </c>
      <c r="BM223" s="2" t="s">
        <v>356</v>
      </c>
      <c r="BN223" s="2" t="s">
        <v>356</v>
      </c>
      <c r="BO223" s="2" t="s">
        <v>356</v>
      </c>
      <c r="BX223" s="2" t="s">
        <v>356</v>
      </c>
      <c r="BY223" s="2" t="s">
        <v>356</v>
      </c>
      <c r="BZ223" s="2" t="s">
        <v>356</v>
      </c>
      <c r="CA223" s="2" t="s">
        <v>356</v>
      </c>
      <c r="CB223" s="2" t="s">
        <v>356</v>
      </c>
      <c r="CC223" s="2" t="s">
        <v>356</v>
      </c>
      <c r="CD223" s="2" t="s">
        <v>356</v>
      </c>
      <c r="CE223" s="2" t="s">
        <v>356</v>
      </c>
      <c r="CF223" s="2" t="s">
        <v>356</v>
      </c>
      <c r="CG223" s="2" t="s">
        <v>356</v>
      </c>
      <c r="CH223" s="2" t="s">
        <v>356</v>
      </c>
      <c r="CI223" s="2" t="s">
        <v>356</v>
      </c>
      <c r="CJ223" s="2" t="s">
        <v>356</v>
      </c>
      <c r="CK223" s="2" t="s">
        <v>356</v>
      </c>
      <c r="CL223" s="2" t="s">
        <v>356</v>
      </c>
      <c r="CM223" s="2" t="s">
        <v>356</v>
      </c>
      <c r="CN223" s="2" t="s">
        <v>356</v>
      </c>
      <c r="CO223" s="2" t="s">
        <v>356</v>
      </c>
      <c r="CP223" s="2" t="s">
        <v>356</v>
      </c>
      <c r="CQ223" s="2" t="s">
        <v>356</v>
      </c>
      <c r="CR223" s="2" t="s">
        <v>356</v>
      </c>
      <c r="CS223" s="2" t="s">
        <v>356</v>
      </c>
      <c r="CT223" s="2" t="s">
        <v>356</v>
      </c>
      <c r="CU223" s="2" t="s">
        <v>356</v>
      </c>
      <c r="CW223" s="2" t="s">
        <v>356</v>
      </c>
      <c r="CX223" s="2" t="s">
        <v>356</v>
      </c>
      <c r="CY223" s="2" t="s">
        <v>356</v>
      </c>
      <c r="CZ223" s="2" t="s">
        <v>356</v>
      </c>
      <c r="DA223" s="2" t="s">
        <v>356</v>
      </c>
      <c r="DB223" s="2" t="s">
        <v>356</v>
      </c>
      <c r="DC223" s="2" t="s">
        <v>356</v>
      </c>
      <c r="DD223" s="2" t="s">
        <v>356</v>
      </c>
      <c r="DM223" s="2" t="s">
        <v>356</v>
      </c>
      <c r="DN223" s="2" t="s">
        <v>356</v>
      </c>
      <c r="DO223" s="2" t="s">
        <v>356</v>
      </c>
      <c r="DP223" s="2" t="s">
        <v>356</v>
      </c>
      <c r="DQ223" s="2" t="s">
        <v>356</v>
      </c>
      <c r="DR223" s="2" t="s">
        <v>356</v>
      </c>
      <c r="DS223" s="2" t="s">
        <v>356</v>
      </c>
      <c r="DT223" s="2" t="s">
        <v>356</v>
      </c>
      <c r="DU223" s="2" t="s">
        <v>356</v>
      </c>
      <c r="DV223" s="2" t="s">
        <v>356</v>
      </c>
      <c r="DW223" s="2" t="s">
        <v>356</v>
      </c>
      <c r="DX223" s="2" t="s">
        <v>356</v>
      </c>
      <c r="DY223" s="2" t="s">
        <v>356</v>
      </c>
      <c r="DZ223" s="2" t="s">
        <v>356</v>
      </c>
      <c r="EA223" s="2" t="s">
        <v>356</v>
      </c>
      <c r="EB223" s="2" t="s">
        <v>356</v>
      </c>
      <c r="EC223" s="2" t="s">
        <v>356</v>
      </c>
      <c r="ED223" s="2" t="s">
        <v>356</v>
      </c>
      <c r="EE223" s="2" t="s">
        <v>356</v>
      </c>
      <c r="EF223" s="2" t="s">
        <v>356</v>
      </c>
      <c r="EG223" s="2" t="s">
        <v>356</v>
      </c>
      <c r="EH223" s="2" t="s">
        <v>356</v>
      </c>
      <c r="EI223" s="2" t="s">
        <v>356</v>
      </c>
      <c r="EJ223" s="2" t="s">
        <v>356</v>
      </c>
      <c r="EK223" s="2" t="s">
        <v>356</v>
      </c>
      <c r="EL223" s="2" t="s">
        <v>356</v>
      </c>
      <c r="EM223" s="2" t="s">
        <v>356</v>
      </c>
      <c r="EN223" s="2" t="s">
        <v>356</v>
      </c>
      <c r="EO223" s="2" t="s">
        <v>356</v>
      </c>
      <c r="EP223" s="2" t="s">
        <v>356</v>
      </c>
      <c r="EQ223" s="2" t="s">
        <v>356</v>
      </c>
      <c r="ER223" s="2" t="s">
        <v>356</v>
      </c>
      <c r="FA223" s="2" t="s">
        <v>356</v>
      </c>
      <c r="FB223" s="2" t="s">
        <v>356</v>
      </c>
      <c r="FC223" s="2" t="s">
        <v>356</v>
      </c>
      <c r="FD223" s="2" t="s">
        <v>356</v>
      </c>
      <c r="FE223" s="2" t="s">
        <v>356</v>
      </c>
      <c r="FF223" s="2" t="s">
        <v>356</v>
      </c>
      <c r="FG223" s="2" t="s">
        <v>356</v>
      </c>
      <c r="FH223" s="2" t="s">
        <v>356</v>
      </c>
      <c r="FI223" s="2" t="s">
        <v>356</v>
      </c>
      <c r="FJ223" s="2" t="s">
        <v>356</v>
      </c>
      <c r="FK223" s="2" t="s">
        <v>356</v>
      </c>
      <c r="FL223" s="2" t="s">
        <v>356</v>
      </c>
      <c r="FM223" s="2" t="s">
        <v>356</v>
      </c>
      <c r="FN223" s="2" t="s">
        <v>356</v>
      </c>
      <c r="FO223" s="2" t="s">
        <v>356</v>
      </c>
      <c r="FP223" s="2" t="s">
        <v>356</v>
      </c>
    </row>
    <row r="224" spans="1:172">
      <c r="A224" s="2" t="s">
        <v>1657</v>
      </c>
      <c r="B224" s="2" t="s">
        <v>257</v>
      </c>
      <c r="C224" s="2" t="s">
        <v>1644</v>
      </c>
      <c r="D224" s="2" t="s">
        <v>1658</v>
      </c>
      <c r="E224" s="2" t="s">
        <v>1603</v>
      </c>
      <c r="F224" s="2" t="s">
        <v>356</v>
      </c>
      <c r="G224" s="2" t="s">
        <v>356</v>
      </c>
      <c r="H224" s="364">
        <v>43.75</v>
      </c>
      <c r="I224" s="364">
        <v>41.75</v>
      </c>
      <c r="K224" s="364"/>
      <c r="M224" s="364" t="s">
        <v>3050</v>
      </c>
      <c r="N224" s="364" t="s">
        <v>3049</v>
      </c>
      <c r="O224" s="364" t="s">
        <v>1610</v>
      </c>
      <c r="P224" s="436" t="s">
        <v>1611</v>
      </c>
      <c r="Q224" s="436" t="s">
        <v>1612</v>
      </c>
      <c r="R224" s="2" t="s">
        <v>1659</v>
      </c>
      <c r="S224" s="2" t="s">
        <v>817</v>
      </c>
      <c r="T224" s="2">
        <v>18</v>
      </c>
      <c r="U224" s="2" cm="1">
        <f t="array" ref="U224">IFERROR(INDEX('Offer Statistics'!$CH$2:$CH$350,MATCH(1,(A224='Offer Statistics'!$BS$2:$BS$350)*($A$11='Offer Statistics'!$BT$2:$BT$350),0)),"/")</f>
        <v>9</v>
      </c>
      <c r="V224" s="2" cm="1">
        <f t="array" ref="V224">IFERROR(INDEX('Offer Statistics'!$BU$2:$BU$350,MATCH(1,(A224='Offer Statistics'!$BS$2:$BS$350)*($A$11='Offer Statistics'!$BT$2:$BT$350),0)),"/")</f>
        <v>26</v>
      </c>
      <c r="W224" s="2" cm="1">
        <f t="array" ref="W224">IFERROR(INDEX('Offer Statistics'!$CC$2:$CC$350,MATCH(1,(A224='Offer Statistics'!$BS$2:$BS$350)*($A$11='Offer Statistics'!$BT$2:$BT$350),0)),"/")</f>
        <v>9</v>
      </c>
      <c r="X224" s="2">
        <f t="shared" si="773"/>
        <v>2.8888888888888888</v>
      </c>
      <c r="Y224" s="2" t="s">
        <v>1177</v>
      </c>
      <c r="Z224" s="2" t="str">
        <f>入學要求!AF233</f>
        <v>申請人必須出席面試</v>
      </c>
      <c r="AA224" s="2" t="str">
        <f>入學要求!AG233</f>
        <v>/</v>
      </c>
      <c r="AB224" s="366" t="s">
        <v>1603</v>
      </c>
      <c r="AC224" s="364"/>
      <c r="AE224" s="2" t="s">
        <v>1567</v>
      </c>
      <c r="AF224" s="2" t="s">
        <v>1580</v>
      </c>
      <c r="AG224" s="364" t="s">
        <v>1610</v>
      </c>
      <c r="AH224" s="436" t="s">
        <v>3078</v>
      </c>
      <c r="AI224" s="436" t="s">
        <v>3079</v>
      </c>
      <c r="AJ224" s="364" t="s">
        <v>3051</v>
      </c>
      <c r="AK224" s="364" t="s">
        <v>3068</v>
      </c>
      <c r="AL224" s="364" t="s">
        <v>356</v>
      </c>
      <c r="AM224" s="2" t="s">
        <v>1570</v>
      </c>
      <c r="AN224" s="2" t="s">
        <v>356</v>
      </c>
      <c r="AO224" s="2" t="s">
        <v>356</v>
      </c>
      <c r="AP224" s="364" t="s">
        <v>1660</v>
      </c>
      <c r="AQ224" s="364"/>
      <c r="AS224" s="2" t="s">
        <v>820</v>
      </c>
      <c r="AU224" s="2" t="s">
        <v>817</v>
      </c>
      <c r="AY224" s="2" t="s">
        <v>356</v>
      </c>
      <c r="AZ224" s="2" t="s">
        <v>356</v>
      </c>
      <c r="BA224" s="2" t="s">
        <v>356</v>
      </c>
      <c r="BB224" s="2" t="s">
        <v>356</v>
      </c>
      <c r="BC224" s="2" t="s">
        <v>356</v>
      </c>
      <c r="BD224" s="2" t="s">
        <v>356</v>
      </c>
      <c r="BE224" s="2" t="s">
        <v>356</v>
      </c>
      <c r="BF224" s="2" t="s">
        <v>356</v>
      </c>
      <c r="BH224" s="2" t="s">
        <v>356</v>
      </c>
      <c r="BI224" s="2" t="s">
        <v>356</v>
      </c>
      <c r="BJ224" s="2" t="s">
        <v>356</v>
      </c>
      <c r="BK224" s="2" t="s">
        <v>356</v>
      </c>
      <c r="BL224" s="2" t="s">
        <v>356</v>
      </c>
      <c r="BM224" s="2" t="s">
        <v>356</v>
      </c>
      <c r="BN224" s="2" t="s">
        <v>356</v>
      </c>
      <c r="BO224" s="2" t="s">
        <v>356</v>
      </c>
      <c r="BX224" s="2" t="s">
        <v>356</v>
      </c>
      <c r="BY224" s="2" t="s">
        <v>356</v>
      </c>
      <c r="BZ224" s="2" t="s">
        <v>356</v>
      </c>
      <c r="CA224" s="2" t="s">
        <v>356</v>
      </c>
      <c r="CB224" s="2" t="s">
        <v>356</v>
      </c>
      <c r="CC224" s="2" t="s">
        <v>356</v>
      </c>
      <c r="CD224" s="2" t="s">
        <v>356</v>
      </c>
      <c r="CE224" s="2" t="s">
        <v>356</v>
      </c>
      <c r="CF224" s="2" t="s">
        <v>356</v>
      </c>
      <c r="CG224" s="2" t="s">
        <v>356</v>
      </c>
      <c r="CH224" s="2" t="s">
        <v>356</v>
      </c>
      <c r="CI224" s="2" t="s">
        <v>356</v>
      </c>
      <c r="CJ224" s="2" t="s">
        <v>356</v>
      </c>
      <c r="CK224" s="2" t="s">
        <v>356</v>
      </c>
      <c r="CL224" s="2" t="s">
        <v>356</v>
      </c>
      <c r="CM224" s="2" t="s">
        <v>356</v>
      </c>
      <c r="CN224" s="2" t="s">
        <v>356</v>
      </c>
      <c r="CO224" s="2" t="s">
        <v>356</v>
      </c>
      <c r="CP224" s="2" t="s">
        <v>356</v>
      </c>
      <c r="CQ224" s="2" t="s">
        <v>356</v>
      </c>
      <c r="CR224" s="2" t="s">
        <v>356</v>
      </c>
      <c r="CS224" s="2" t="s">
        <v>356</v>
      </c>
      <c r="CT224" s="2" t="s">
        <v>356</v>
      </c>
      <c r="CU224" s="2" t="s">
        <v>356</v>
      </c>
      <c r="CW224" s="2" t="s">
        <v>356</v>
      </c>
      <c r="CX224" s="2" t="s">
        <v>356</v>
      </c>
      <c r="CY224" s="2" t="s">
        <v>356</v>
      </c>
      <c r="CZ224" s="2" t="s">
        <v>356</v>
      </c>
      <c r="DA224" s="2" t="s">
        <v>356</v>
      </c>
      <c r="DB224" s="2" t="s">
        <v>356</v>
      </c>
      <c r="DC224" s="2" t="s">
        <v>356</v>
      </c>
      <c r="DD224" s="2" t="s">
        <v>356</v>
      </c>
      <c r="DM224" s="2" t="s">
        <v>356</v>
      </c>
      <c r="DN224" s="2" t="s">
        <v>356</v>
      </c>
      <c r="DO224" s="2" t="s">
        <v>356</v>
      </c>
      <c r="DP224" s="2" t="s">
        <v>356</v>
      </c>
      <c r="DQ224" s="2" t="s">
        <v>356</v>
      </c>
      <c r="DR224" s="2" t="s">
        <v>356</v>
      </c>
      <c r="DS224" s="2" t="s">
        <v>356</v>
      </c>
      <c r="DT224" s="2" t="s">
        <v>356</v>
      </c>
      <c r="DU224" s="2" t="s">
        <v>356</v>
      </c>
      <c r="DV224" s="2" t="s">
        <v>356</v>
      </c>
      <c r="DW224" s="2" t="s">
        <v>356</v>
      </c>
      <c r="DX224" s="2" t="s">
        <v>356</v>
      </c>
      <c r="DY224" s="2" t="s">
        <v>356</v>
      </c>
      <c r="DZ224" s="2" t="s">
        <v>356</v>
      </c>
      <c r="EA224" s="2" t="s">
        <v>356</v>
      </c>
      <c r="EB224" s="2" t="s">
        <v>356</v>
      </c>
      <c r="EC224" s="2" t="s">
        <v>356</v>
      </c>
      <c r="ED224" s="2" t="s">
        <v>356</v>
      </c>
      <c r="EE224" s="2" t="s">
        <v>356</v>
      </c>
      <c r="EF224" s="2" t="s">
        <v>356</v>
      </c>
      <c r="EG224" s="2" t="s">
        <v>356</v>
      </c>
      <c r="EH224" s="2" t="s">
        <v>356</v>
      </c>
      <c r="EI224" s="2" t="s">
        <v>356</v>
      </c>
      <c r="EJ224" s="2" t="s">
        <v>356</v>
      </c>
      <c r="EK224" s="2" t="s">
        <v>356</v>
      </c>
      <c r="EL224" s="2" t="s">
        <v>356</v>
      </c>
      <c r="EM224" s="2" t="s">
        <v>356</v>
      </c>
      <c r="EN224" s="2" t="s">
        <v>356</v>
      </c>
      <c r="EO224" s="2" t="s">
        <v>356</v>
      </c>
      <c r="EP224" s="2" t="s">
        <v>356</v>
      </c>
      <c r="EQ224" s="2" t="s">
        <v>356</v>
      </c>
      <c r="ER224" s="2" t="s">
        <v>356</v>
      </c>
      <c r="FA224" s="2" t="s">
        <v>356</v>
      </c>
      <c r="FB224" s="2" t="s">
        <v>356</v>
      </c>
      <c r="FC224" s="2" t="s">
        <v>356</v>
      </c>
      <c r="FD224" s="2" t="s">
        <v>356</v>
      </c>
      <c r="FE224" s="2" t="s">
        <v>356</v>
      </c>
      <c r="FF224" s="2" t="s">
        <v>356</v>
      </c>
      <c r="FG224" s="2" t="s">
        <v>356</v>
      </c>
      <c r="FH224" s="2" t="s">
        <v>356</v>
      </c>
      <c r="FI224" s="2" t="s">
        <v>356</v>
      </c>
      <c r="FJ224" s="2" t="s">
        <v>356</v>
      </c>
      <c r="FK224" s="2" t="s">
        <v>356</v>
      </c>
      <c r="FL224" s="2" t="s">
        <v>356</v>
      </c>
      <c r="FM224" s="2" t="s">
        <v>356</v>
      </c>
      <c r="FN224" s="2" t="s">
        <v>356</v>
      </c>
      <c r="FO224" s="2" t="s">
        <v>356</v>
      </c>
      <c r="FP224" s="2" t="s">
        <v>356</v>
      </c>
    </row>
    <row r="225" spans="1:172">
      <c r="A225" s="2" t="s">
        <v>1661</v>
      </c>
      <c r="B225" s="2" t="s">
        <v>257</v>
      </c>
      <c r="C225" s="2" t="s">
        <v>1644</v>
      </c>
      <c r="D225" s="2" t="s">
        <v>1662</v>
      </c>
      <c r="E225" s="2" t="s">
        <v>1603</v>
      </c>
      <c r="F225" s="2" t="s">
        <v>356</v>
      </c>
      <c r="G225" s="2" t="s">
        <v>356</v>
      </c>
      <c r="H225" s="364">
        <v>65.75</v>
      </c>
      <c r="I225" s="364">
        <v>64.25</v>
      </c>
      <c r="K225" s="364"/>
      <c r="M225" s="364" t="s">
        <v>3050</v>
      </c>
      <c r="N225" s="364" t="s">
        <v>3049</v>
      </c>
      <c r="O225" s="364" t="s">
        <v>1663</v>
      </c>
      <c r="P225" s="364" t="s">
        <v>1588</v>
      </c>
      <c r="Q225" s="364" t="s">
        <v>1664</v>
      </c>
      <c r="R225" s="2" t="s">
        <v>194</v>
      </c>
      <c r="S225" s="2" t="s">
        <v>817</v>
      </c>
      <c r="T225" s="2">
        <v>22</v>
      </c>
      <c r="U225" s="2" cm="1">
        <f t="array" ref="U225">IFERROR(INDEX('Offer Statistics'!$CH$2:$CH$350,MATCH(1,(A225='Offer Statistics'!$BS$2:$BS$350)*($A$11='Offer Statistics'!$BT$2:$BT$350),0)),"/")</f>
        <v>13</v>
      </c>
      <c r="V225" s="2" cm="1">
        <f t="array" ref="V225">IFERROR(INDEX('Offer Statistics'!$BU$2:$BU$350,MATCH(1,(A225='Offer Statistics'!$BS$2:$BS$350)*($A$11='Offer Statistics'!$BT$2:$BT$350),0)),"/")</f>
        <v>50</v>
      </c>
      <c r="W225" s="2" cm="1">
        <f t="array" ref="W225">IFERROR(INDEX('Offer Statistics'!$CC$2:$CC$350,MATCH(1,(A225='Offer Statistics'!$BS$2:$BS$350)*($A$11='Offer Statistics'!$BT$2:$BT$350),0)),"/")</f>
        <v>13</v>
      </c>
      <c r="X225" s="2">
        <f t="shared" si="773"/>
        <v>3.8461538461538463</v>
      </c>
      <c r="Y225" s="2" t="s">
        <v>1177</v>
      </c>
      <c r="Z225" s="2" t="str">
        <f>入學要求!AF234</f>
        <v>以下一科選修取得Lv.3︰生物、化學、組合科學、物理、ICT</v>
      </c>
      <c r="AA225" s="2" t="str">
        <f>入學要求!AG234</f>
        <v>/</v>
      </c>
      <c r="AB225" s="366" t="s">
        <v>1603</v>
      </c>
      <c r="AC225" s="364"/>
      <c r="AE225" s="2" t="s">
        <v>1567</v>
      </c>
      <c r="AF225" s="2" t="s">
        <v>1580</v>
      </c>
      <c r="AG225" s="364" t="s">
        <v>3086</v>
      </c>
      <c r="AH225" s="364" t="s">
        <v>1588</v>
      </c>
      <c r="AI225" s="364" t="s">
        <v>3087</v>
      </c>
      <c r="AJ225" s="364" t="s">
        <v>1569</v>
      </c>
      <c r="AK225" s="364" t="s">
        <v>3056</v>
      </c>
      <c r="AL225" s="364" t="s">
        <v>356</v>
      </c>
      <c r="AM225" s="2" t="s">
        <v>356</v>
      </c>
      <c r="AN225" s="2" t="s">
        <v>356</v>
      </c>
      <c r="AO225" s="2" t="s">
        <v>356</v>
      </c>
      <c r="AP225" s="364" t="s">
        <v>1665</v>
      </c>
      <c r="AQ225" s="364"/>
      <c r="AS225" s="2" t="s">
        <v>820</v>
      </c>
      <c r="AU225" s="2" t="s">
        <v>817</v>
      </c>
      <c r="AY225" s="2" t="s">
        <v>356</v>
      </c>
      <c r="AZ225" s="2" t="s">
        <v>356</v>
      </c>
      <c r="BA225" s="2" t="s">
        <v>356</v>
      </c>
      <c r="BB225" s="2" t="s">
        <v>356</v>
      </c>
      <c r="BC225" s="2" t="s">
        <v>356</v>
      </c>
      <c r="BD225" s="2" t="s">
        <v>356</v>
      </c>
      <c r="BE225" s="2" t="s">
        <v>356</v>
      </c>
      <c r="BF225" s="2" t="s">
        <v>356</v>
      </c>
      <c r="BH225" s="2" t="s">
        <v>356</v>
      </c>
      <c r="BI225" s="2" t="s">
        <v>356</v>
      </c>
      <c r="BJ225" s="2" t="s">
        <v>356</v>
      </c>
      <c r="BK225" s="2" t="s">
        <v>356</v>
      </c>
      <c r="BL225" s="2" t="s">
        <v>356</v>
      </c>
      <c r="BM225" s="2" t="s">
        <v>356</v>
      </c>
      <c r="BN225" s="2" t="s">
        <v>356</v>
      </c>
      <c r="BO225" s="2" t="s">
        <v>356</v>
      </c>
      <c r="BX225" s="2" t="s">
        <v>356</v>
      </c>
      <c r="BY225" s="2" t="s">
        <v>356</v>
      </c>
      <c r="BZ225" s="2" t="s">
        <v>356</v>
      </c>
      <c r="CA225" s="2" t="s">
        <v>356</v>
      </c>
      <c r="CB225" s="2" t="s">
        <v>356</v>
      </c>
      <c r="CC225" s="2" t="s">
        <v>356</v>
      </c>
      <c r="CD225" s="2" t="s">
        <v>356</v>
      </c>
      <c r="CE225" s="2" t="s">
        <v>356</v>
      </c>
      <c r="CF225" s="2" t="s">
        <v>356</v>
      </c>
      <c r="CG225" s="2" t="s">
        <v>356</v>
      </c>
      <c r="CH225" s="2" t="s">
        <v>356</v>
      </c>
      <c r="CI225" s="2" t="s">
        <v>356</v>
      </c>
      <c r="CJ225" s="2" t="s">
        <v>356</v>
      </c>
      <c r="CK225" s="2" t="s">
        <v>356</v>
      </c>
      <c r="CL225" s="2" t="s">
        <v>356</v>
      </c>
      <c r="CM225" s="2" t="s">
        <v>356</v>
      </c>
      <c r="CN225" s="2" t="s">
        <v>356</v>
      </c>
      <c r="CO225" s="2" t="s">
        <v>356</v>
      </c>
      <c r="CP225" s="2" t="s">
        <v>356</v>
      </c>
      <c r="CQ225" s="2" t="s">
        <v>356</v>
      </c>
      <c r="CR225" s="2" t="s">
        <v>356</v>
      </c>
      <c r="CS225" s="2" t="s">
        <v>356</v>
      </c>
      <c r="CT225" s="2" t="s">
        <v>356</v>
      </c>
      <c r="CU225" s="2" t="s">
        <v>356</v>
      </c>
      <c r="CW225" s="2" t="s">
        <v>356</v>
      </c>
      <c r="CX225" s="2" t="s">
        <v>356</v>
      </c>
      <c r="CY225" s="2" t="s">
        <v>356</v>
      </c>
      <c r="CZ225" s="2" t="s">
        <v>356</v>
      </c>
      <c r="DA225" s="2" t="s">
        <v>356</v>
      </c>
      <c r="DB225" s="2" t="s">
        <v>356</v>
      </c>
      <c r="DC225" s="2" t="s">
        <v>356</v>
      </c>
      <c r="DD225" s="2" t="s">
        <v>356</v>
      </c>
      <c r="DM225" s="2" t="s">
        <v>356</v>
      </c>
      <c r="DN225" s="2" t="s">
        <v>356</v>
      </c>
      <c r="DO225" s="2" t="s">
        <v>356</v>
      </c>
      <c r="DP225" s="2" t="s">
        <v>356</v>
      </c>
      <c r="DQ225" s="2" t="s">
        <v>356</v>
      </c>
      <c r="DR225" s="2" t="s">
        <v>356</v>
      </c>
      <c r="DS225" s="2" t="s">
        <v>356</v>
      </c>
      <c r="DT225" s="2" t="s">
        <v>356</v>
      </c>
      <c r="DU225" s="2" t="s">
        <v>356</v>
      </c>
      <c r="DV225" s="2" t="s">
        <v>356</v>
      </c>
      <c r="DW225" s="2" t="s">
        <v>356</v>
      </c>
      <c r="DX225" s="2" t="s">
        <v>356</v>
      </c>
      <c r="DY225" s="2" t="s">
        <v>356</v>
      </c>
      <c r="DZ225" s="2" t="s">
        <v>356</v>
      </c>
      <c r="EA225" s="2" t="s">
        <v>356</v>
      </c>
      <c r="EB225" s="2" t="s">
        <v>356</v>
      </c>
      <c r="EC225" s="2" t="s">
        <v>356</v>
      </c>
      <c r="ED225" s="2" t="s">
        <v>356</v>
      </c>
      <c r="EE225" s="2" t="s">
        <v>356</v>
      </c>
      <c r="EF225" s="2" t="s">
        <v>356</v>
      </c>
      <c r="EG225" s="2" t="s">
        <v>356</v>
      </c>
      <c r="EH225" s="2" t="s">
        <v>356</v>
      </c>
      <c r="EI225" s="2" t="s">
        <v>356</v>
      </c>
      <c r="EJ225" s="2" t="s">
        <v>356</v>
      </c>
      <c r="EK225" s="2" t="s">
        <v>356</v>
      </c>
      <c r="EL225" s="2" t="s">
        <v>356</v>
      </c>
      <c r="EM225" s="2" t="s">
        <v>356</v>
      </c>
      <c r="EN225" s="2" t="s">
        <v>356</v>
      </c>
      <c r="EO225" s="2" t="s">
        <v>356</v>
      </c>
      <c r="EP225" s="2" t="s">
        <v>356</v>
      </c>
      <c r="EQ225" s="2" t="s">
        <v>356</v>
      </c>
      <c r="ER225" s="2" t="s">
        <v>356</v>
      </c>
      <c r="FA225" s="2" t="s">
        <v>356</v>
      </c>
      <c r="FB225" s="2" t="s">
        <v>356</v>
      </c>
      <c r="FC225" s="2" t="s">
        <v>356</v>
      </c>
      <c r="FD225" s="2" t="s">
        <v>356</v>
      </c>
      <c r="FE225" s="2" t="s">
        <v>356</v>
      </c>
      <c r="FF225" s="2" t="s">
        <v>356</v>
      </c>
      <c r="FG225" s="2" t="s">
        <v>356</v>
      </c>
      <c r="FH225" s="2" t="s">
        <v>356</v>
      </c>
      <c r="FI225" s="2" t="s">
        <v>356</v>
      </c>
      <c r="FJ225" s="2" t="s">
        <v>356</v>
      </c>
      <c r="FK225" s="2" t="s">
        <v>356</v>
      </c>
      <c r="FL225" s="2" t="s">
        <v>356</v>
      </c>
      <c r="FM225" s="2" t="s">
        <v>356</v>
      </c>
      <c r="FN225" s="2" t="s">
        <v>356</v>
      </c>
      <c r="FO225" s="2" t="s">
        <v>356</v>
      </c>
      <c r="FP225" s="2" t="s">
        <v>356</v>
      </c>
    </row>
    <row r="226" spans="1:172">
      <c r="B226" s="359" t="s">
        <v>3072</v>
      </c>
      <c r="E226" s="11"/>
      <c r="K226" s="364"/>
    </row>
    <row r="227" spans="1:172">
      <c r="B227" s="360"/>
      <c r="T227" s="2" t="s">
        <v>75</v>
      </c>
      <c r="U227" s="2" t="s">
        <v>124</v>
      </c>
      <c r="X227" s="2" t="s">
        <v>1062</v>
      </c>
      <c r="AY227" s="2" t="s">
        <v>356</v>
      </c>
      <c r="AZ227" s="2" t="s">
        <v>356</v>
      </c>
      <c r="BA227" s="2" t="s">
        <v>356</v>
      </c>
      <c r="BB227" s="2" t="s">
        <v>356</v>
      </c>
      <c r="BC227" s="2" t="s">
        <v>356</v>
      </c>
      <c r="BD227" s="2" t="s">
        <v>356</v>
      </c>
      <c r="BE227" s="2" t="s">
        <v>356</v>
      </c>
      <c r="BF227" s="2" t="s">
        <v>356</v>
      </c>
      <c r="BH227" s="2" t="s">
        <v>356</v>
      </c>
      <c r="BI227" s="2" t="s">
        <v>356</v>
      </c>
      <c r="BJ227" s="2" t="s">
        <v>356</v>
      </c>
      <c r="BK227" s="2" t="s">
        <v>356</v>
      </c>
      <c r="BL227" s="2" t="s">
        <v>356</v>
      </c>
      <c r="BM227" s="2" t="s">
        <v>356</v>
      </c>
      <c r="BN227" s="2" t="s">
        <v>356</v>
      </c>
      <c r="BO227" s="2" t="s">
        <v>356</v>
      </c>
      <c r="BX227" s="2" t="s">
        <v>356</v>
      </c>
      <c r="BY227" s="2" t="s">
        <v>356</v>
      </c>
      <c r="BZ227" s="2" t="s">
        <v>356</v>
      </c>
      <c r="CA227" s="2" t="s">
        <v>356</v>
      </c>
      <c r="CB227" s="2" t="s">
        <v>356</v>
      </c>
      <c r="CC227" s="2" t="s">
        <v>356</v>
      </c>
      <c r="CD227" s="2" t="s">
        <v>356</v>
      </c>
      <c r="CE227" s="2" t="s">
        <v>356</v>
      </c>
      <c r="CF227" s="2" t="s">
        <v>356</v>
      </c>
      <c r="CG227" s="2" t="s">
        <v>356</v>
      </c>
      <c r="CH227" s="2" t="s">
        <v>356</v>
      </c>
      <c r="CI227" s="2" t="s">
        <v>356</v>
      </c>
      <c r="CJ227" s="2" t="s">
        <v>356</v>
      </c>
      <c r="CK227" s="2" t="s">
        <v>356</v>
      </c>
      <c r="CL227" s="2" t="s">
        <v>356</v>
      </c>
      <c r="CM227" s="2" t="s">
        <v>356</v>
      </c>
      <c r="CN227" s="2" t="s">
        <v>356</v>
      </c>
      <c r="CO227" s="2" t="s">
        <v>356</v>
      </c>
      <c r="CP227" s="2" t="s">
        <v>356</v>
      </c>
      <c r="CQ227" s="2" t="s">
        <v>356</v>
      </c>
      <c r="CR227" s="2" t="s">
        <v>356</v>
      </c>
      <c r="CS227" s="2" t="s">
        <v>356</v>
      </c>
      <c r="CT227" s="2" t="s">
        <v>356</v>
      </c>
      <c r="CU227" s="2" t="s">
        <v>356</v>
      </c>
      <c r="CW227" s="2" t="s">
        <v>356</v>
      </c>
      <c r="CX227" s="2" t="s">
        <v>356</v>
      </c>
      <c r="CY227" s="2" t="s">
        <v>356</v>
      </c>
      <c r="CZ227" s="2" t="s">
        <v>356</v>
      </c>
      <c r="DA227" s="2" t="s">
        <v>356</v>
      </c>
      <c r="DB227" s="2" t="s">
        <v>356</v>
      </c>
      <c r="DC227" s="2" t="s">
        <v>356</v>
      </c>
      <c r="DD227" s="2" t="s">
        <v>356</v>
      </c>
      <c r="DM227" s="2" t="s">
        <v>356</v>
      </c>
      <c r="DN227" s="2" t="s">
        <v>356</v>
      </c>
      <c r="DO227" s="2" t="s">
        <v>356</v>
      </c>
      <c r="DP227" s="2" t="s">
        <v>356</v>
      </c>
      <c r="DQ227" s="2" t="s">
        <v>356</v>
      </c>
      <c r="DR227" s="2" t="s">
        <v>356</v>
      </c>
      <c r="DS227" s="2" t="s">
        <v>356</v>
      </c>
      <c r="DT227" s="2" t="s">
        <v>356</v>
      </c>
      <c r="DU227" s="2" t="s">
        <v>356</v>
      </c>
      <c r="DV227" s="2" t="s">
        <v>356</v>
      </c>
      <c r="DW227" s="2" t="s">
        <v>356</v>
      </c>
      <c r="DX227" s="2" t="s">
        <v>356</v>
      </c>
      <c r="DY227" s="2" t="s">
        <v>356</v>
      </c>
      <c r="DZ227" s="2" t="s">
        <v>356</v>
      </c>
      <c r="EA227" s="2" t="s">
        <v>356</v>
      </c>
      <c r="EB227" s="2" t="s">
        <v>356</v>
      </c>
      <c r="EC227" s="2" t="s">
        <v>356</v>
      </c>
      <c r="ED227" s="2" t="s">
        <v>356</v>
      </c>
      <c r="EE227" s="2" t="s">
        <v>356</v>
      </c>
      <c r="EF227" s="2" t="s">
        <v>356</v>
      </c>
      <c r="EG227" s="2" t="s">
        <v>356</v>
      </c>
      <c r="EH227" s="2" t="s">
        <v>356</v>
      </c>
      <c r="EI227" s="2" t="s">
        <v>356</v>
      </c>
      <c r="EJ227" s="2" t="s">
        <v>356</v>
      </c>
      <c r="EK227" s="2" t="s">
        <v>356</v>
      </c>
      <c r="EL227" s="2" t="s">
        <v>356</v>
      </c>
      <c r="EM227" s="2" t="s">
        <v>356</v>
      </c>
      <c r="EN227" s="2" t="s">
        <v>356</v>
      </c>
      <c r="EO227" s="2" t="s">
        <v>356</v>
      </c>
      <c r="EP227" s="2" t="s">
        <v>356</v>
      </c>
      <c r="EQ227" s="2" t="s">
        <v>356</v>
      </c>
      <c r="ER227" s="2" t="s">
        <v>356</v>
      </c>
      <c r="FA227" s="2" t="s">
        <v>356</v>
      </c>
      <c r="FB227" s="2" t="s">
        <v>356</v>
      </c>
      <c r="FC227" s="2" t="s">
        <v>356</v>
      </c>
      <c r="FD227" s="2" t="s">
        <v>356</v>
      </c>
      <c r="FE227" s="2" t="s">
        <v>356</v>
      </c>
      <c r="FF227" s="2" t="s">
        <v>356</v>
      </c>
      <c r="FG227" s="2" t="s">
        <v>356</v>
      </c>
      <c r="FH227" s="2" t="s">
        <v>356</v>
      </c>
      <c r="FI227" s="2" t="s">
        <v>356</v>
      </c>
      <c r="FJ227" s="2" t="s">
        <v>356</v>
      </c>
      <c r="FK227" s="2" t="s">
        <v>356</v>
      </c>
      <c r="FL227" s="2" t="s">
        <v>356</v>
      </c>
      <c r="FM227" s="2" t="s">
        <v>356</v>
      </c>
      <c r="FN227" s="2" t="s">
        <v>356</v>
      </c>
      <c r="FO227" s="2" t="s">
        <v>356</v>
      </c>
      <c r="FP227" s="2" t="s">
        <v>356</v>
      </c>
    </row>
    <row r="228" spans="1:172" s="366" customFormat="1" ht="13.95" customHeight="1">
      <c r="A228" s="366" t="s">
        <v>530</v>
      </c>
      <c r="B228" s="366" t="s">
        <v>1666</v>
      </c>
      <c r="C228" s="366" t="s">
        <v>1667</v>
      </c>
      <c r="D228" s="366" t="s">
        <v>531</v>
      </c>
      <c r="E228" s="366" t="s">
        <v>828</v>
      </c>
      <c r="F228" s="366" t="s">
        <v>356</v>
      </c>
      <c r="G228" s="368">
        <v>36</v>
      </c>
      <c r="H228" s="368">
        <v>32</v>
      </c>
      <c r="I228" s="368">
        <v>32</v>
      </c>
      <c r="M228" s="368" t="s">
        <v>356</v>
      </c>
      <c r="N228" s="368" t="s">
        <v>1668</v>
      </c>
      <c r="O228" s="368" t="s">
        <v>356</v>
      </c>
      <c r="P228" s="368" t="s">
        <v>356</v>
      </c>
      <c r="Q228" s="368" t="s">
        <v>356</v>
      </c>
      <c r="R228" s="365" t="s">
        <v>1669</v>
      </c>
      <c r="S228" s="365" t="s">
        <v>817</v>
      </c>
      <c r="T228" s="366">
        <v>54</v>
      </c>
      <c r="U228" s="366" cm="1">
        <f t="array" ref="U228">IFERROR(INDEX('Offer Statistics'!$DA$2:$DA$450,MATCH(1,(A228='Offer Statistics'!$CL$2:$CL$450)*($A$11='Offer Statistics'!$CM$2:$CM$450),0)),"/")</f>
        <v>38</v>
      </c>
      <c r="V228" s="366" cm="1">
        <f t="array" ref="V228">IFERROR(INDEX('Offer Statistics'!$CN$2:$CN$450,MATCH(1,(A228='Offer Statistics'!$CL$2:$CL$450)*($A$11='Offer Statistics'!$CM$2:$CM$450),0)),"/")</f>
        <v>122</v>
      </c>
      <c r="W228" s="366" cm="1">
        <f t="array" ref="W228">IFERROR(INDEX('Offer Statistics'!$CV$2:$CV$450,MATCH(1,(A228='Offer Statistics'!$CL$2:$CL$450)*($A$11='Offer Statistics'!$CM$2:$CM$450),0)),"/")</f>
        <v>38</v>
      </c>
      <c r="X228" s="366">
        <f t="shared" ref="X228:X276" si="774">IFERROR(V228/W228,"新科目")</f>
        <v>3.2105263157894739</v>
      </c>
      <c r="Y228" s="366" t="s">
        <v>1177</v>
      </c>
      <c r="Z228" s="366" t="str">
        <f>入學要求!AF237</f>
        <v>申請人須參與 能力傾向測試(Aptitude Test)</v>
      </c>
      <c r="AA228" s="366" t="str">
        <f>入學要求!AG237</f>
        <v>詳情可細閱課程網站，受邀申請人亦會於電郵收到相應指示。</v>
      </c>
      <c r="AB228" s="368" t="s">
        <v>889</v>
      </c>
      <c r="AC228" s="368"/>
      <c r="AD228" s="368"/>
      <c r="AE228" s="368" t="s">
        <v>356</v>
      </c>
      <c r="AF228" s="368" t="s">
        <v>1668</v>
      </c>
      <c r="AG228" s="368" t="s">
        <v>356</v>
      </c>
      <c r="AH228" s="368" t="s">
        <v>356</v>
      </c>
      <c r="AI228" s="368" t="s">
        <v>356</v>
      </c>
      <c r="AJ228" s="366" t="s">
        <v>839</v>
      </c>
      <c r="AK228" s="366" t="s">
        <v>1670</v>
      </c>
      <c r="AL228" s="366" t="s">
        <v>435</v>
      </c>
      <c r="AM228" s="367" t="s">
        <v>3120</v>
      </c>
      <c r="AN228" s="366" t="s">
        <v>435</v>
      </c>
      <c r="AO228" s="366" t="s">
        <v>1671</v>
      </c>
      <c r="AP228" s="366" t="s">
        <v>1672</v>
      </c>
      <c r="AQ228" s="366" t="s">
        <v>356</v>
      </c>
      <c r="AS228" s="366" t="s">
        <v>820</v>
      </c>
      <c r="AU228" s="366" t="s">
        <v>817</v>
      </c>
      <c r="AY228" s="366" t="s">
        <v>356</v>
      </c>
      <c r="AZ228" s="366" t="s">
        <v>356</v>
      </c>
      <c r="BA228" s="366" t="s">
        <v>356</v>
      </c>
      <c r="BB228" s="366" t="s">
        <v>356</v>
      </c>
      <c r="BC228" s="366" t="s">
        <v>356</v>
      </c>
      <c r="BD228" s="366" t="s">
        <v>356</v>
      </c>
      <c r="BE228" s="366" t="s">
        <v>356</v>
      </c>
      <c r="BF228" s="366" t="s">
        <v>356</v>
      </c>
      <c r="BH228" s="366" t="s">
        <v>356</v>
      </c>
      <c r="BI228" s="366" t="s">
        <v>356</v>
      </c>
      <c r="BJ228" s="366" t="s">
        <v>356</v>
      </c>
      <c r="BK228" s="366" t="s">
        <v>356</v>
      </c>
      <c r="BL228" s="366" t="s">
        <v>356</v>
      </c>
      <c r="BM228" s="366" t="s">
        <v>356</v>
      </c>
      <c r="BN228" s="366" t="s">
        <v>356</v>
      </c>
      <c r="BO228" s="366" t="s">
        <v>356</v>
      </c>
      <c r="BP228" s="438"/>
      <c r="BQ228" s="438"/>
      <c r="BR228" s="438"/>
      <c r="BS228" s="438"/>
      <c r="BT228" s="438"/>
      <c r="BU228" s="438"/>
      <c r="BV228" s="438"/>
      <c r="BW228" s="438"/>
      <c r="BX228" s="366" t="s">
        <v>356</v>
      </c>
      <c r="BY228" s="366" t="s">
        <v>356</v>
      </c>
      <c r="BZ228" s="366" t="s">
        <v>356</v>
      </c>
      <c r="CA228" s="366" t="s">
        <v>356</v>
      </c>
      <c r="CB228" s="366" t="s">
        <v>356</v>
      </c>
      <c r="CC228" s="366" t="s">
        <v>356</v>
      </c>
      <c r="CD228" s="366" t="s">
        <v>356</v>
      </c>
      <c r="CE228" s="366" t="s">
        <v>356</v>
      </c>
      <c r="CF228" s="366" t="s">
        <v>356</v>
      </c>
      <c r="CG228" s="366" t="s">
        <v>356</v>
      </c>
      <c r="CH228" s="366" t="s">
        <v>356</v>
      </c>
      <c r="CI228" s="366" t="s">
        <v>356</v>
      </c>
      <c r="CJ228" s="366" t="s">
        <v>356</v>
      </c>
      <c r="CK228" s="366" t="s">
        <v>356</v>
      </c>
      <c r="CL228" s="366" t="s">
        <v>356</v>
      </c>
      <c r="CM228" s="366" t="s">
        <v>356</v>
      </c>
      <c r="CN228" s="366" t="s">
        <v>356</v>
      </c>
      <c r="CO228" s="366" t="s">
        <v>356</v>
      </c>
      <c r="CP228" s="366" t="s">
        <v>356</v>
      </c>
      <c r="CQ228" s="366" t="s">
        <v>356</v>
      </c>
      <c r="CR228" s="366" t="s">
        <v>356</v>
      </c>
      <c r="CS228" s="366" t="s">
        <v>356</v>
      </c>
      <c r="CT228" s="366" t="s">
        <v>356</v>
      </c>
      <c r="CU228" s="366" t="s">
        <v>356</v>
      </c>
      <c r="CW228" s="366" t="s">
        <v>356</v>
      </c>
      <c r="CX228" s="366" t="s">
        <v>356</v>
      </c>
      <c r="CY228" s="366" t="s">
        <v>356</v>
      </c>
      <c r="CZ228" s="366" t="s">
        <v>356</v>
      </c>
      <c r="DA228" s="366" t="s">
        <v>356</v>
      </c>
      <c r="DB228" s="366" t="s">
        <v>356</v>
      </c>
      <c r="DC228" s="366" t="s">
        <v>356</v>
      </c>
      <c r="DD228" s="366" t="s">
        <v>356</v>
      </c>
      <c r="DE228" s="438"/>
      <c r="DF228" s="438"/>
      <c r="DG228" s="438"/>
      <c r="DH228" s="438"/>
      <c r="DI228" s="438"/>
      <c r="DJ228" s="438"/>
      <c r="DK228" s="438"/>
      <c r="DL228" s="438"/>
      <c r="DM228" s="366" t="s">
        <v>356</v>
      </c>
      <c r="DN228" s="366" t="s">
        <v>356</v>
      </c>
      <c r="DO228" s="366" t="s">
        <v>356</v>
      </c>
      <c r="DP228" s="366" t="s">
        <v>356</v>
      </c>
      <c r="DQ228" s="366" t="s">
        <v>356</v>
      </c>
      <c r="DR228" s="366" t="s">
        <v>356</v>
      </c>
      <c r="DS228" s="366" t="s">
        <v>356</v>
      </c>
      <c r="DT228" s="366" t="s">
        <v>356</v>
      </c>
      <c r="DU228" s="366" t="s">
        <v>356</v>
      </c>
      <c r="DV228" s="366" t="s">
        <v>356</v>
      </c>
      <c r="DW228" s="366" t="s">
        <v>356</v>
      </c>
      <c r="DX228" s="366" t="s">
        <v>356</v>
      </c>
      <c r="DY228" s="366" t="s">
        <v>356</v>
      </c>
      <c r="DZ228" s="366" t="s">
        <v>356</v>
      </c>
      <c r="EA228" s="366" t="s">
        <v>356</v>
      </c>
      <c r="EB228" s="366" t="s">
        <v>356</v>
      </c>
      <c r="EC228" s="366" t="s">
        <v>356</v>
      </c>
      <c r="ED228" s="366" t="s">
        <v>356</v>
      </c>
      <c r="EE228" s="366" t="s">
        <v>356</v>
      </c>
      <c r="EF228" s="366" t="s">
        <v>356</v>
      </c>
      <c r="EG228" s="366" t="s">
        <v>356</v>
      </c>
      <c r="EH228" s="366" t="s">
        <v>356</v>
      </c>
      <c r="EI228" s="366" t="s">
        <v>356</v>
      </c>
      <c r="EJ228" s="366" t="s">
        <v>356</v>
      </c>
      <c r="EK228" s="366" t="s">
        <v>356</v>
      </c>
      <c r="EL228" s="366" t="s">
        <v>356</v>
      </c>
      <c r="EM228" s="366" t="s">
        <v>356</v>
      </c>
      <c r="EN228" s="366" t="s">
        <v>356</v>
      </c>
      <c r="EO228" s="366" t="s">
        <v>356</v>
      </c>
      <c r="EP228" s="366" t="s">
        <v>356</v>
      </c>
      <c r="EQ228" s="366" t="s">
        <v>356</v>
      </c>
      <c r="ER228" s="366" t="s">
        <v>356</v>
      </c>
      <c r="FA228" s="366" t="s">
        <v>356</v>
      </c>
      <c r="FB228" s="366" t="s">
        <v>356</v>
      </c>
      <c r="FC228" s="366" t="s">
        <v>356</v>
      </c>
      <c r="FD228" s="366" t="s">
        <v>356</v>
      </c>
      <c r="FE228" s="366" t="s">
        <v>356</v>
      </c>
      <c r="FF228" s="366" t="s">
        <v>356</v>
      </c>
      <c r="FG228" s="366" t="s">
        <v>356</v>
      </c>
      <c r="FH228" s="366" t="s">
        <v>356</v>
      </c>
      <c r="FI228" s="366" t="s">
        <v>356</v>
      </c>
      <c r="FJ228" s="366" t="s">
        <v>356</v>
      </c>
      <c r="FK228" s="366" t="s">
        <v>356</v>
      </c>
      <c r="FL228" s="366" t="s">
        <v>356</v>
      </c>
      <c r="FM228" s="366" t="s">
        <v>356</v>
      </c>
      <c r="FN228" s="366" t="s">
        <v>356</v>
      </c>
      <c r="FO228" s="366" t="s">
        <v>356</v>
      </c>
      <c r="FP228" s="366" t="s">
        <v>356</v>
      </c>
    </row>
    <row r="229" spans="1:172" s="366" customFormat="1" ht="13.95" customHeight="1">
      <c r="A229" s="366" t="s">
        <v>532</v>
      </c>
      <c r="B229" s="366" t="s">
        <v>1666</v>
      </c>
      <c r="C229" s="366" t="s">
        <v>1667</v>
      </c>
      <c r="D229" s="366" t="s">
        <v>533</v>
      </c>
      <c r="E229" s="366" t="s">
        <v>889</v>
      </c>
      <c r="F229" s="366" t="s">
        <v>356</v>
      </c>
      <c r="G229" s="368">
        <v>31</v>
      </c>
      <c r="H229" s="368">
        <v>29</v>
      </c>
      <c r="I229" s="368">
        <v>28</v>
      </c>
      <c r="M229" s="368" t="s">
        <v>356</v>
      </c>
      <c r="N229" s="368" t="s">
        <v>1668</v>
      </c>
      <c r="O229" s="368" t="s">
        <v>356</v>
      </c>
      <c r="P229" s="368" t="s">
        <v>356</v>
      </c>
      <c r="Q229" s="368" t="s">
        <v>356</v>
      </c>
      <c r="R229" s="365" t="s">
        <v>1673</v>
      </c>
      <c r="S229" s="365" t="s">
        <v>817</v>
      </c>
      <c r="T229" s="366">
        <v>42</v>
      </c>
      <c r="U229" s="366" cm="1">
        <f t="array" ref="U229">IFERROR(INDEX('Offer Statistics'!$DA$2:$DA$450,MATCH(1,(A229='Offer Statistics'!$CL$2:$CL$450)*($A$11='Offer Statistics'!$CM$2:$CM$450),0)),"/")</f>
        <v>61</v>
      </c>
      <c r="V229" s="366" cm="1">
        <f t="array" ref="V229">IFERROR(INDEX('Offer Statistics'!$CN$2:$CN$450,MATCH(1,(A229='Offer Statistics'!$CL$2:$CL$450)*($A$11='Offer Statistics'!$CM$2:$CM$450),0)),"/")</f>
        <v>180</v>
      </c>
      <c r="W229" s="366" cm="1">
        <f t="array" ref="W229">IFERROR(INDEX('Offer Statistics'!$CV$2:$CV$450,MATCH(1,(A229='Offer Statistics'!$CL$2:$CL$450)*($A$11='Offer Statistics'!$CM$2:$CM$450),0)),"/")</f>
        <v>61</v>
      </c>
      <c r="X229" s="366">
        <f t="shared" si="774"/>
        <v>2.9508196721311477</v>
      </c>
      <c r="Y229" s="366" t="s">
        <v>1177</v>
      </c>
      <c r="Z229" s="366" t="str">
        <f>入學要求!AF238</f>
        <v>/</v>
      </c>
      <c r="AA229" s="366" t="str">
        <f>入學要求!AG238</f>
        <v>/</v>
      </c>
      <c r="AB229" s="368" t="s">
        <v>889</v>
      </c>
      <c r="AC229" s="368"/>
      <c r="AD229" s="368"/>
      <c r="AE229" s="368" t="s">
        <v>356</v>
      </c>
      <c r="AF229" s="368" t="s">
        <v>1668</v>
      </c>
      <c r="AG229" s="368" t="s">
        <v>356</v>
      </c>
      <c r="AH229" s="368" t="s">
        <v>356</v>
      </c>
      <c r="AI229" s="368" t="s">
        <v>356</v>
      </c>
      <c r="AJ229" s="366" t="s">
        <v>1674</v>
      </c>
      <c r="AK229" s="366" t="s">
        <v>1675</v>
      </c>
      <c r="AL229" s="366" t="s">
        <v>435</v>
      </c>
      <c r="AM229" s="366" t="s">
        <v>435</v>
      </c>
      <c r="AN229" s="366" t="s">
        <v>435</v>
      </c>
      <c r="AO229" s="366" t="s">
        <v>1671</v>
      </c>
      <c r="AP229" s="366" t="s">
        <v>3267</v>
      </c>
      <c r="AQ229" s="366" t="s">
        <v>356</v>
      </c>
      <c r="AS229" s="366" t="s">
        <v>820</v>
      </c>
      <c r="AU229" s="366" t="s">
        <v>817</v>
      </c>
      <c r="AY229" s="366" t="s">
        <v>356</v>
      </c>
      <c r="AZ229" s="366" t="s">
        <v>356</v>
      </c>
      <c r="BA229" s="366" t="s">
        <v>356</v>
      </c>
      <c r="BB229" s="366" t="s">
        <v>356</v>
      </c>
      <c r="BC229" s="366" t="s">
        <v>356</v>
      </c>
      <c r="BD229" s="366" t="s">
        <v>356</v>
      </c>
      <c r="BE229" s="366" t="s">
        <v>356</v>
      </c>
      <c r="BF229" s="366" t="s">
        <v>356</v>
      </c>
      <c r="BH229" s="366" t="s">
        <v>356</v>
      </c>
      <c r="BI229" s="366" t="s">
        <v>356</v>
      </c>
      <c r="BJ229" s="366" t="s">
        <v>356</v>
      </c>
      <c r="BK229" s="366" t="s">
        <v>356</v>
      </c>
      <c r="BL229" s="366" t="s">
        <v>356</v>
      </c>
      <c r="BM229" s="366" t="s">
        <v>356</v>
      </c>
      <c r="BN229" s="366" t="s">
        <v>356</v>
      </c>
      <c r="BO229" s="366" t="s">
        <v>356</v>
      </c>
      <c r="BP229" s="438"/>
      <c r="BQ229" s="438"/>
      <c r="BR229" s="438"/>
      <c r="BS229" s="438"/>
      <c r="BT229" s="438"/>
      <c r="BU229" s="438"/>
      <c r="BV229" s="438"/>
      <c r="BW229" s="438"/>
      <c r="BX229" s="366" t="s">
        <v>356</v>
      </c>
      <c r="BY229" s="366" t="s">
        <v>356</v>
      </c>
      <c r="BZ229" s="366" t="s">
        <v>356</v>
      </c>
      <c r="CA229" s="366" t="s">
        <v>356</v>
      </c>
      <c r="CB229" s="366" t="s">
        <v>356</v>
      </c>
      <c r="CC229" s="366" t="s">
        <v>356</v>
      </c>
      <c r="CD229" s="366" t="s">
        <v>356</v>
      </c>
      <c r="CE229" s="366" t="s">
        <v>356</v>
      </c>
      <c r="CF229" s="366" t="s">
        <v>356</v>
      </c>
      <c r="CG229" s="366" t="s">
        <v>356</v>
      </c>
      <c r="CH229" s="366" t="s">
        <v>356</v>
      </c>
      <c r="CI229" s="366" t="s">
        <v>356</v>
      </c>
      <c r="CJ229" s="366" t="s">
        <v>356</v>
      </c>
      <c r="CK229" s="366" t="s">
        <v>356</v>
      </c>
      <c r="CL229" s="366" t="s">
        <v>356</v>
      </c>
      <c r="CM229" s="366" t="s">
        <v>356</v>
      </c>
      <c r="CN229" s="366" t="s">
        <v>356</v>
      </c>
      <c r="CO229" s="366" t="s">
        <v>356</v>
      </c>
      <c r="CP229" s="366" t="s">
        <v>356</v>
      </c>
      <c r="CQ229" s="366" t="s">
        <v>356</v>
      </c>
      <c r="CR229" s="366" t="s">
        <v>356</v>
      </c>
      <c r="CS229" s="366" t="s">
        <v>356</v>
      </c>
      <c r="CT229" s="366" t="s">
        <v>356</v>
      </c>
      <c r="CU229" s="366" t="s">
        <v>356</v>
      </c>
      <c r="CW229" s="366" t="s">
        <v>356</v>
      </c>
      <c r="CX229" s="366" t="s">
        <v>356</v>
      </c>
      <c r="CY229" s="366" t="s">
        <v>356</v>
      </c>
      <c r="CZ229" s="366" t="s">
        <v>356</v>
      </c>
      <c r="DA229" s="366" t="s">
        <v>356</v>
      </c>
      <c r="DB229" s="366" t="s">
        <v>356</v>
      </c>
      <c r="DC229" s="366" t="s">
        <v>356</v>
      </c>
      <c r="DD229" s="366" t="s">
        <v>356</v>
      </c>
      <c r="DE229" s="438"/>
      <c r="DF229" s="438"/>
      <c r="DG229" s="438"/>
      <c r="DH229" s="438"/>
      <c r="DI229" s="438"/>
      <c r="DJ229" s="438"/>
      <c r="DK229" s="438"/>
      <c r="DL229" s="438"/>
      <c r="DM229" s="366" t="s">
        <v>356</v>
      </c>
      <c r="DN229" s="366" t="s">
        <v>356</v>
      </c>
      <c r="DO229" s="366" t="s">
        <v>356</v>
      </c>
      <c r="DP229" s="366" t="s">
        <v>356</v>
      </c>
      <c r="DQ229" s="366" t="s">
        <v>356</v>
      </c>
      <c r="DR229" s="366" t="s">
        <v>356</v>
      </c>
      <c r="DS229" s="366" t="s">
        <v>356</v>
      </c>
      <c r="DT229" s="366" t="s">
        <v>356</v>
      </c>
      <c r="DU229" s="366" t="s">
        <v>356</v>
      </c>
      <c r="DV229" s="366" t="s">
        <v>356</v>
      </c>
      <c r="DW229" s="366" t="s">
        <v>356</v>
      </c>
      <c r="DX229" s="366" t="s">
        <v>356</v>
      </c>
      <c r="DY229" s="366" t="s">
        <v>356</v>
      </c>
      <c r="DZ229" s="366" t="s">
        <v>356</v>
      </c>
      <c r="EA229" s="366" t="s">
        <v>356</v>
      </c>
      <c r="EB229" s="366" t="s">
        <v>356</v>
      </c>
      <c r="EC229" s="366" t="s">
        <v>356</v>
      </c>
      <c r="ED229" s="366" t="s">
        <v>356</v>
      </c>
      <c r="EE229" s="366" t="s">
        <v>356</v>
      </c>
      <c r="EF229" s="366" t="s">
        <v>356</v>
      </c>
      <c r="EG229" s="366" t="s">
        <v>356</v>
      </c>
      <c r="EH229" s="366" t="s">
        <v>356</v>
      </c>
      <c r="EI229" s="366" t="s">
        <v>356</v>
      </c>
      <c r="EJ229" s="366" t="s">
        <v>356</v>
      </c>
      <c r="EK229" s="366" t="s">
        <v>356</v>
      </c>
      <c r="EL229" s="366" t="s">
        <v>356</v>
      </c>
      <c r="EM229" s="366" t="s">
        <v>356</v>
      </c>
      <c r="EN229" s="366" t="s">
        <v>356</v>
      </c>
      <c r="EO229" s="366" t="s">
        <v>356</v>
      </c>
      <c r="EP229" s="366" t="s">
        <v>356</v>
      </c>
      <c r="EQ229" s="366" t="s">
        <v>356</v>
      </c>
      <c r="ER229" s="366" t="s">
        <v>356</v>
      </c>
      <c r="FA229" s="366" t="s">
        <v>356</v>
      </c>
      <c r="FB229" s="366" t="s">
        <v>356</v>
      </c>
      <c r="FC229" s="366" t="s">
        <v>356</v>
      </c>
      <c r="FD229" s="366" t="s">
        <v>356</v>
      </c>
      <c r="FE229" s="366" t="s">
        <v>356</v>
      </c>
      <c r="FF229" s="366" t="s">
        <v>356</v>
      </c>
      <c r="FG229" s="366" t="s">
        <v>356</v>
      </c>
      <c r="FH229" s="366" t="s">
        <v>356</v>
      </c>
      <c r="FI229" s="366" t="s">
        <v>356</v>
      </c>
      <c r="FJ229" s="366" t="s">
        <v>356</v>
      </c>
      <c r="FK229" s="366" t="s">
        <v>356</v>
      </c>
      <c r="FL229" s="366" t="s">
        <v>356</v>
      </c>
      <c r="FM229" s="366" t="s">
        <v>356</v>
      </c>
      <c r="FN229" s="366" t="s">
        <v>356</v>
      </c>
      <c r="FO229" s="366" t="s">
        <v>356</v>
      </c>
      <c r="FP229" s="366" t="s">
        <v>356</v>
      </c>
    </row>
    <row r="230" spans="1:172" s="366" customFormat="1" ht="13.95" customHeight="1">
      <c r="A230" s="366" t="s">
        <v>535</v>
      </c>
      <c r="B230" s="366" t="s">
        <v>1666</v>
      </c>
      <c r="C230" s="366" t="s">
        <v>1667</v>
      </c>
      <c r="D230" s="366" t="s">
        <v>536</v>
      </c>
      <c r="E230" s="366" t="s">
        <v>889</v>
      </c>
      <c r="F230" s="366" t="s">
        <v>356</v>
      </c>
      <c r="G230" s="368">
        <v>26</v>
      </c>
      <c r="H230" s="368">
        <v>26</v>
      </c>
      <c r="I230" s="368">
        <v>25</v>
      </c>
      <c r="M230" s="368" t="s">
        <v>356</v>
      </c>
      <c r="N230" s="368" t="s">
        <v>1668</v>
      </c>
      <c r="O230" s="368" t="s">
        <v>356</v>
      </c>
      <c r="P230" s="368" t="s">
        <v>356</v>
      </c>
      <c r="Q230" s="368" t="s">
        <v>356</v>
      </c>
      <c r="R230" s="365" t="s">
        <v>1676</v>
      </c>
      <c r="S230" s="365" t="s">
        <v>817</v>
      </c>
      <c r="T230" s="366">
        <v>12</v>
      </c>
      <c r="U230" s="366" cm="1">
        <f t="array" ref="U230">IFERROR(INDEX('Offer Statistics'!$DA$2:$DA$450,MATCH(1,(A230='Offer Statistics'!$CL$2:$CL$450)*($A$11='Offer Statistics'!$CM$2:$CM$450),0)),"/")</f>
        <v>7</v>
      </c>
      <c r="V230" s="366" cm="1">
        <f t="array" ref="V230">IFERROR(INDEX('Offer Statistics'!$CN$2:$CN$450,MATCH(1,(A230='Offer Statistics'!$CL$2:$CL$450)*($A$11='Offer Statistics'!$CM$2:$CM$450),0)),"/")</f>
        <v>38</v>
      </c>
      <c r="W230" s="366" cm="1">
        <f t="array" ref="W230">IFERROR(INDEX('Offer Statistics'!$CV$2:$CV$450,MATCH(1,(A230='Offer Statistics'!$CL$2:$CL$450)*($A$11='Offer Statistics'!$CM$2:$CM$450),0)),"/")</f>
        <v>7</v>
      </c>
      <c r="X230" s="366">
        <f t="shared" si="774"/>
        <v>5.4285714285714288</v>
      </c>
      <c r="Y230" s="366" t="s">
        <v>1177</v>
      </c>
      <c r="Z230" s="366" t="str">
        <f>入學要求!AF239</f>
        <v>申請人須參與 能力傾向測試(Aptitude Test) 及 遞交 一份 創意作品 作品集。</v>
      </c>
      <c r="AA230" s="366" t="str">
        <f>入學要求!AG239</f>
        <v>詳情可細閱課程網站，受邀申請人亦會於電郵收到相應指示。</v>
      </c>
      <c r="AB230" s="368" t="s">
        <v>889</v>
      </c>
      <c r="AC230" s="368"/>
      <c r="AD230" s="368"/>
      <c r="AE230" s="368" t="s">
        <v>356</v>
      </c>
      <c r="AF230" s="368" t="s">
        <v>1668</v>
      </c>
      <c r="AG230" s="368" t="s">
        <v>356</v>
      </c>
      <c r="AH230" s="368" t="s">
        <v>356</v>
      </c>
      <c r="AI230" s="368" t="s">
        <v>356</v>
      </c>
      <c r="AJ230" s="366" t="s">
        <v>1674</v>
      </c>
      <c r="AK230" s="366" t="s">
        <v>1677</v>
      </c>
      <c r="AL230" s="366" t="s">
        <v>435</v>
      </c>
      <c r="AM230" s="367" t="s">
        <v>1678</v>
      </c>
      <c r="AN230" s="366" t="s">
        <v>435</v>
      </c>
      <c r="AO230" s="366" t="s">
        <v>1671</v>
      </c>
      <c r="AP230" s="366" t="s">
        <v>1672</v>
      </c>
      <c r="AQ230" s="366" t="s">
        <v>356</v>
      </c>
      <c r="AS230" s="366" t="s">
        <v>820</v>
      </c>
      <c r="AU230" s="366" t="s">
        <v>817</v>
      </c>
      <c r="AY230" s="366" t="s">
        <v>356</v>
      </c>
      <c r="AZ230" s="366" t="s">
        <v>356</v>
      </c>
      <c r="BA230" s="366" t="s">
        <v>356</v>
      </c>
      <c r="BB230" s="366" t="s">
        <v>356</v>
      </c>
      <c r="BC230" s="366" t="s">
        <v>356</v>
      </c>
      <c r="BD230" s="366" t="s">
        <v>356</v>
      </c>
      <c r="BE230" s="366" t="s">
        <v>356</v>
      </c>
      <c r="BF230" s="366" t="s">
        <v>356</v>
      </c>
      <c r="BH230" s="366" t="s">
        <v>356</v>
      </c>
      <c r="BI230" s="366" t="s">
        <v>356</v>
      </c>
      <c r="BJ230" s="366" t="s">
        <v>356</v>
      </c>
      <c r="BK230" s="366" t="s">
        <v>356</v>
      </c>
      <c r="BL230" s="366" t="s">
        <v>356</v>
      </c>
      <c r="BM230" s="366" t="s">
        <v>356</v>
      </c>
      <c r="BN230" s="366" t="s">
        <v>356</v>
      </c>
      <c r="BO230" s="366" t="s">
        <v>356</v>
      </c>
      <c r="BP230" s="438"/>
      <c r="BQ230" s="438"/>
      <c r="BR230" s="438"/>
      <c r="BS230" s="438"/>
      <c r="BT230" s="438"/>
      <c r="BU230" s="438"/>
      <c r="BV230" s="438"/>
      <c r="BW230" s="438"/>
      <c r="BX230" s="366" t="s">
        <v>356</v>
      </c>
      <c r="BY230" s="366" t="s">
        <v>356</v>
      </c>
      <c r="BZ230" s="366" t="s">
        <v>356</v>
      </c>
      <c r="CA230" s="366" t="s">
        <v>356</v>
      </c>
      <c r="CB230" s="366" t="s">
        <v>356</v>
      </c>
      <c r="CC230" s="366" t="s">
        <v>356</v>
      </c>
      <c r="CD230" s="366" t="s">
        <v>356</v>
      </c>
      <c r="CE230" s="366" t="s">
        <v>356</v>
      </c>
      <c r="CF230" s="366" t="s">
        <v>356</v>
      </c>
      <c r="CG230" s="366" t="s">
        <v>356</v>
      </c>
      <c r="CH230" s="366" t="s">
        <v>356</v>
      </c>
      <c r="CI230" s="366" t="s">
        <v>356</v>
      </c>
      <c r="CJ230" s="366" t="s">
        <v>356</v>
      </c>
      <c r="CK230" s="366" t="s">
        <v>356</v>
      </c>
      <c r="CL230" s="366" t="s">
        <v>356</v>
      </c>
      <c r="CM230" s="366" t="s">
        <v>356</v>
      </c>
      <c r="CN230" s="366" t="s">
        <v>356</v>
      </c>
      <c r="CO230" s="366" t="s">
        <v>356</v>
      </c>
      <c r="CP230" s="366" t="s">
        <v>356</v>
      </c>
      <c r="CQ230" s="366" t="s">
        <v>356</v>
      </c>
      <c r="CR230" s="366" t="s">
        <v>356</v>
      </c>
      <c r="CS230" s="366" t="s">
        <v>356</v>
      </c>
      <c r="CT230" s="366" t="s">
        <v>356</v>
      </c>
      <c r="CU230" s="366" t="s">
        <v>356</v>
      </c>
      <c r="CW230" s="366" t="s">
        <v>356</v>
      </c>
      <c r="CX230" s="366" t="s">
        <v>356</v>
      </c>
      <c r="CY230" s="366" t="s">
        <v>356</v>
      </c>
      <c r="CZ230" s="366" t="s">
        <v>356</v>
      </c>
      <c r="DA230" s="366" t="s">
        <v>356</v>
      </c>
      <c r="DB230" s="366" t="s">
        <v>356</v>
      </c>
      <c r="DC230" s="366" t="s">
        <v>356</v>
      </c>
      <c r="DD230" s="366" t="s">
        <v>356</v>
      </c>
      <c r="DE230" s="438"/>
      <c r="DF230" s="438"/>
      <c r="DG230" s="438"/>
      <c r="DH230" s="438"/>
      <c r="DI230" s="438"/>
      <c r="DJ230" s="438"/>
      <c r="DK230" s="438"/>
      <c r="DL230" s="438"/>
      <c r="DM230" s="366" t="s">
        <v>356</v>
      </c>
      <c r="DN230" s="366" t="s">
        <v>356</v>
      </c>
      <c r="DO230" s="366" t="s">
        <v>356</v>
      </c>
      <c r="DP230" s="366" t="s">
        <v>356</v>
      </c>
      <c r="DQ230" s="366" t="s">
        <v>356</v>
      </c>
      <c r="DR230" s="366" t="s">
        <v>356</v>
      </c>
      <c r="DS230" s="366" t="s">
        <v>356</v>
      </c>
      <c r="DT230" s="366" t="s">
        <v>356</v>
      </c>
      <c r="DU230" s="366" t="s">
        <v>356</v>
      </c>
      <c r="DV230" s="366" t="s">
        <v>356</v>
      </c>
      <c r="DW230" s="366" t="s">
        <v>356</v>
      </c>
      <c r="DX230" s="366" t="s">
        <v>356</v>
      </c>
      <c r="DY230" s="366" t="s">
        <v>356</v>
      </c>
      <c r="DZ230" s="366" t="s">
        <v>356</v>
      </c>
      <c r="EA230" s="366" t="s">
        <v>356</v>
      </c>
      <c r="EB230" s="366" t="s">
        <v>356</v>
      </c>
      <c r="EC230" s="366" t="s">
        <v>356</v>
      </c>
      <c r="ED230" s="366" t="s">
        <v>356</v>
      </c>
      <c r="EE230" s="366" t="s">
        <v>356</v>
      </c>
      <c r="EF230" s="366" t="s">
        <v>356</v>
      </c>
      <c r="EG230" s="366" t="s">
        <v>356</v>
      </c>
      <c r="EH230" s="366" t="s">
        <v>356</v>
      </c>
      <c r="EI230" s="366" t="s">
        <v>356</v>
      </c>
      <c r="EJ230" s="366" t="s">
        <v>356</v>
      </c>
      <c r="EK230" s="366" t="s">
        <v>356</v>
      </c>
      <c r="EL230" s="366" t="s">
        <v>356</v>
      </c>
      <c r="EM230" s="366" t="s">
        <v>356</v>
      </c>
      <c r="EN230" s="366" t="s">
        <v>356</v>
      </c>
      <c r="EO230" s="366" t="s">
        <v>356</v>
      </c>
      <c r="EP230" s="366" t="s">
        <v>356</v>
      </c>
      <c r="EQ230" s="366" t="s">
        <v>356</v>
      </c>
      <c r="ER230" s="366" t="s">
        <v>356</v>
      </c>
      <c r="FA230" s="366" t="s">
        <v>356</v>
      </c>
      <c r="FB230" s="366" t="s">
        <v>356</v>
      </c>
      <c r="FC230" s="366" t="s">
        <v>356</v>
      </c>
      <c r="FD230" s="366" t="s">
        <v>356</v>
      </c>
      <c r="FE230" s="366" t="s">
        <v>356</v>
      </c>
      <c r="FF230" s="366" t="s">
        <v>356</v>
      </c>
      <c r="FG230" s="366" t="s">
        <v>356</v>
      </c>
      <c r="FH230" s="366" t="s">
        <v>356</v>
      </c>
      <c r="FI230" s="366" t="s">
        <v>356</v>
      </c>
      <c r="FJ230" s="366" t="s">
        <v>356</v>
      </c>
      <c r="FK230" s="366" t="s">
        <v>356</v>
      </c>
      <c r="FL230" s="366" t="s">
        <v>356</v>
      </c>
      <c r="FM230" s="366" t="s">
        <v>356</v>
      </c>
      <c r="FN230" s="366" t="s">
        <v>356</v>
      </c>
      <c r="FO230" s="366" t="s">
        <v>356</v>
      </c>
      <c r="FP230" s="366" t="s">
        <v>356</v>
      </c>
    </row>
    <row r="231" spans="1:172" s="366" customFormat="1" ht="13.95" customHeight="1">
      <c r="A231" s="366" t="s">
        <v>538</v>
      </c>
      <c r="B231" s="366" t="s">
        <v>1666</v>
      </c>
      <c r="C231" s="366" t="s">
        <v>1667</v>
      </c>
      <c r="D231" s="366" t="s">
        <v>539</v>
      </c>
      <c r="E231" s="366" t="s">
        <v>889</v>
      </c>
      <c r="F231" s="366" t="s">
        <v>356</v>
      </c>
      <c r="G231" s="368">
        <v>32</v>
      </c>
      <c r="H231" s="368">
        <v>29</v>
      </c>
      <c r="I231" s="368">
        <v>26</v>
      </c>
      <c r="M231" s="368" t="s">
        <v>356</v>
      </c>
      <c r="N231" s="368" t="s">
        <v>1668</v>
      </c>
      <c r="O231" s="368" t="s">
        <v>356</v>
      </c>
      <c r="P231" s="368" t="s">
        <v>356</v>
      </c>
      <c r="Q231" s="368" t="s">
        <v>356</v>
      </c>
      <c r="R231" s="365" t="s">
        <v>1679</v>
      </c>
      <c r="S231" s="365" t="s">
        <v>817</v>
      </c>
      <c r="T231" s="366">
        <v>17</v>
      </c>
      <c r="U231" s="366" cm="1">
        <f t="array" ref="U231">IFERROR(INDEX('Offer Statistics'!$DA$2:$DA$450,MATCH(1,(A231='Offer Statistics'!$CL$2:$CL$450)*($A$11='Offer Statistics'!$CM$2:$CM$450),0)),"/")</f>
        <v>26</v>
      </c>
      <c r="V231" s="366" cm="1">
        <f t="array" ref="V231">IFERROR(INDEX('Offer Statistics'!$CN$2:$CN$450,MATCH(1,(A231='Offer Statistics'!$CL$2:$CL$450)*($A$11='Offer Statistics'!$CM$2:$CM$450),0)),"/")</f>
        <v>101</v>
      </c>
      <c r="W231" s="366" cm="1">
        <f t="array" ref="W231">IFERROR(INDEX('Offer Statistics'!$CV$2:$CV$450,MATCH(1,(A231='Offer Statistics'!$CL$2:$CL$450)*($A$11='Offer Statistics'!$CM$2:$CM$450),0)),"/")</f>
        <v>26</v>
      </c>
      <c r="X231" s="366">
        <f t="shared" si="774"/>
        <v>3.8846153846153846</v>
      </c>
      <c r="Y231" s="366" t="s">
        <v>1177</v>
      </c>
      <c r="Z231" s="366" t="str">
        <f>入學要求!AF240</f>
        <v>/</v>
      </c>
      <c r="AA231" s="366" t="str">
        <f>入學要求!AG240</f>
        <v>/</v>
      </c>
      <c r="AB231" s="368" t="s">
        <v>889</v>
      </c>
      <c r="AC231" s="368"/>
      <c r="AD231" s="368"/>
      <c r="AE231" s="368" t="s">
        <v>356</v>
      </c>
      <c r="AF231" s="368" t="s">
        <v>1668</v>
      </c>
      <c r="AG231" s="368" t="s">
        <v>356</v>
      </c>
      <c r="AH231" s="368" t="s">
        <v>356</v>
      </c>
      <c r="AI231" s="368" t="s">
        <v>356</v>
      </c>
      <c r="AJ231" s="366" t="s">
        <v>839</v>
      </c>
      <c r="AK231" s="366" t="s">
        <v>435</v>
      </c>
      <c r="AL231" s="366" t="s">
        <v>435</v>
      </c>
      <c r="AM231" s="366" t="s">
        <v>435</v>
      </c>
      <c r="AN231" s="366" t="s">
        <v>435</v>
      </c>
      <c r="AO231" s="366" t="s">
        <v>1671</v>
      </c>
      <c r="AP231" s="366" t="s">
        <v>3268</v>
      </c>
      <c r="AQ231" s="366" t="s">
        <v>356</v>
      </c>
      <c r="AS231" s="366" t="s">
        <v>820</v>
      </c>
      <c r="AU231" s="366" t="s">
        <v>817</v>
      </c>
      <c r="AY231" s="366" t="s">
        <v>356</v>
      </c>
      <c r="AZ231" s="366" t="s">
        <v>356</v>
      </c>
      <c r="BA231" s="366" t="s">
        <v>356</v>
      </c>
      <c r="BB231" s="366" t="s">
        <v>356</v>
      </c>
      <c r="BC231" s="366" t="s">
        <v>356</v>
      </c>
      <c r="BD231" s="366" t="s">
        <v>356</v>
      </c>
      <c r="BE231" s="366" t="s">
        <v>356</v>
      </c>
      <c r="BF231" s="366" t="s">
        <v>356</v>
      </c>
      <c r="BH231" s="366" t="s">
        <v>356</v>
      </c>
      <c r="BI231" s="366" t="s">
        <v>356</v>
      </c>
      <c r="BJ231" s="366" t="s">
        <v>356</v>
      </c>
      <c r="BK231" s="366" t="s">
        <v>356</v>
      </c>
      <c r="BL231" s="366" t="s">
        <v>356</v>
      </c>
      <c r="BM231" s="366" t="s">
        <v>356</v>
      </c>
      <c r="BN231" s="366" t="s">
        <v>356</v>
      </c>
      <c r="BO231" s="366" t="s">
        <v>356</v>
      </c>
      <c r="BP231" s="438"/>
      <c r="BQ231" s="438"/>
      <c r="BR231" s="438"/>
      <c r="BS231" s="438"/>
      <c r="BT231" s="438"/>
      <c r="BU231" s="438"/>
      <c r="BV231" s="438"/>
      <c r="BW231" s="438"/>
      <c r="BX231" s="366" t="s">
        <v>356</v>
      </c>
      <c r="BY231" s="366" t="s">
        <v>356</v>
      </c>
      <c r="BZ231" s="366" t="s">
        <v>356</v>
      </c>
      <c r="CA231" s="366" t="s">
        <v>356</v>
      </c>
      <c r="CB231" s="366" t="s">
        <v>356</v>
      </c>
      <c r="CC231" s="366" t="s">
        <v>356</v>
      </c>
      <c r="CD231" s="366" t="s">
        <v>356</v>
      </c>
      <c r="CE231" s="366" t="s">
        <v>356</v>
      </c>
      <c r="CF231" s="366" t="s">
        <v>356</v>
      </c>
      <c r="CG231" s="366" t="s">
        <v>356</v>
      </c>
      <c r="CH231" s="366" t="s">
        <v>356</v>
      </c>
      <c r="CI231" s="366" t="s">
        <v>356</v>
      </c>
      <c r="CJ231" s="366" t="s">
        <v>356</v>
      </c>
      <c r="CK231" s="366" t="s">
        <v>356</v>
      </c>
      <c r="CL231" s="366" t="s">
        <v>356</v>
      </c>
      <c r="CM231" s="366" t="s">
        <v>356</v>
      </c>
      <c r="CN231" s="366" t="s">
        <v>356</v>
      </c>
      <c r="CO231" s="366" t="s">
        <v>356</v>
      </c>
      <c r="CP231" s="366" t="s">
        <v>356</v>
      </c>
      <c r="CQ231" s="366" t="s">
        <v>356</v>
      </c>
      <c r="CR231" s="366" t="s">
        <v>356</v>
      </c>
      <c r="CS231" s="366" t="s">
        <v>356</v>
      </c>
      <c r="CT231" s="366" t="s">
        <v>356</v>
      </c>
      <c r="CU231" s="366" t="s">
        <v>356</v>
      </c>
      <c r="CW231" s="366" t="s">
        <v>356</v>
      </c>
      <c r="CX231" s="366" t="s">
        <v>356</v>
      </c>
      <c r="CY231" s="366" t="s">
        <v>356</v>
      </c>
      <c r="CZ231" s="366" t="s">
        <v>356</v>
      </c>
      <c r="DA231" s="366" t="s">
        <v>356</v>
      </c>
      <c r="DB231" s="366" t="s">
        <v>356</v>
      </c>
      <c r="DC231" s="366" t="s">
        <v>356</v>
      </c>
      <c r="DD231" s="366" t="s">
        <v>356</v>
      </c>
      <c r="DE231" s="438"/>
      <c r="DF231" s="438"/>
      <c r="DG231" s="438"/>
      <c r="DH231" s="438"/>
      <c r="DI231" s="438"/>
      <c r="DJ231" s="438"/>
      <c r="DK231" s="438"/>
      <c r="DL231" s="438"/>
      <c r="DM231" s="366" t="s">
        <v>356</v>
      </c>
      <c r="DN231" s="366" t="s">
        <v>356</v>
      </c>
      <c r="DO231" s="366" t="s">
        <v>356</v>
      </c>
      <c r="DP231" s="366" t="s">
        <v>356</v>
      </c>
      <c r="DQ231" s="366" t="s">
        <v>356</v>
      </c>
      <c r="DR231" s="366" t="s">
        <v>356</v>
      </c>
      <c r="DS231" s="366" t="s">
        <v>356</v>
      </c>
      <c r="DT231" s="366" t="s">
        <v>356</v>
      </c>
      <c r="DU231" s="366" t="s">
        <v>356</v>
      </c>
      <c r="DV231" s="366" t="s">
        <v>356</v>
      </c>
      <c r="DW231" s="366" t="s">
        <v>356</v>
      </c>
      <c r="DX231" s="366" t="s">
        <v>356</v>
      </c>
      <c r="DY231" s="366" t="s">
        <v>356</v>
      </c>
      <c r="DZ231" s="366" t="s">
        <v>356</v>
      </c>
      <c r="EA231" s="366" t="s">
        <v>356</v>
      </c>
      <c r="EB231" s="366" t="s">
        <v>356</v>
      </c>
      <c r="EC231" s="366" t="s">
        <v>356</v>
      </c>
      <c r="ED231" s="366" t="s">
        <v>356</v>
      </c>
      <c r="EE231" s="366" t="s">
        <v>356</v>
      </c>
      <c r="EF231" s="366" t="s">
        <v>356</v>
      </c>
      <c r="EG231" s="366" t="s">
        <v>356</v>
      </c>
      <c r="EH231" s="366" t="s">
        <v>356</v>
      </c>
      <c r="EI231" s="366" t="s">
        <v>356</v>
      </c>
      <c r="EJ231" s="366" t="s">
        <v>356</v>
      </c>
      <c r="EK231" s="366" t="s">
        <v>356</v>
      </c>
      <c r="EL231" s="366" t="s">
        <v>356</v>
      </c>
      <c r="EM231" s="366" t="s">
        <v>356</v>
      </c>
      <c r="EN231" s="366" t="s">
        <v>356</v>
      </c>
      <c r="EO231" s="366" t="s">
        <v>356</v>
      </c>
      <c r="EP231" s="366" t="s">
        <v>356</v>
      </c>
      <c r="EQ231" s="366" t="s">
        <v>356</v>
      </c>
      <c r="ER231" s="366" t="s">
        <v>356</v>
      </c>
      <c r="FA231" s="366" t="s">
        <v>356</v>
      </c>
      <c r="FB231" s="366" t="s">
        <v>356</v>
      </c>
      <c r="FC231" s="366" t="s">
        <v>356</v>
      </c>
      <c r="FD231" s="366" t="s">
        <v>356</v>
      </c>
      <c r="FE231" s="366" t="s">
        <v>356</v>
      </c>
      <c r="FF231" s="366" t="s">
        <v>356</v>
      </c>
      <c r="FG231" s="366" t="s">
        <v>356</v>
      </c>
      <c r="FH231" s="366" t="s">
        <v>356</v>
      </c>
      <c r="FI231" s="366" t="s">
        <v>356</v>
      </c>
      <c r="FJ231" s="366" t="s">
        <v>356</v>
      </c>
      <c r="FK231" s="366" t="s">
        <v>356</v>
      </c>
      <c r="FL231" s="366" t="s">
        <v>356</v>
      </c>
      <c r="FM231" s="366" t="s">
        <v>356</v>
      </c>
      <c r="FN231" s="366" t="s">
        <v>356</v>
      </c>
      <c r="FO231" s="366" t="s">
        <v>356</v>
      </c>
      <c r="FP231" s="366" t="s">
        <v>356</v>
      </c>
    </row>
    <row r="232" spans="1:172" s="366" customFormat="1" ht="13.95" customHeight="1">
      <c r="A232" s="366" t="s">
        <v>540</v>
      </c>
      <c r="B232" s="366" t="s">
        <v>1666</v>
      </c>
      <c r="C232" s="366" t="s">
        <v>1064</v>
      </c>
      <c r="D232" s="366" t="s">
        <v>541</v>
      </c>
      <c r="E232" s="366" t="s">
        <v>889</v>
      </c>
      <c r="F232" s="366" t="s">
        <v>356</v>
      </c>
      <c r="G232" s="368">
        <v>33</v>
      </c>
      <c r="H232" s="368">
        <v>31</v>
      </c>
      <c r="I232" s="368">
        <v>30</v>
      </c>
      <c r="M232" s="368" t="s">
        <v>890</v>
      </c>
      <c r="N232" s="439" t="s">
        <v>1668</v>
      </c>
      <c r="O232" s="368" t="s">
        <v>1680</v>
      </c>
      <c r="P232" s="368" t="s">
        <v>356</v>
      </c>
      <c r="Q232" s="368" t="s">
        <v>356</v>
      </c>
      <c r="R232" s="365" t="s">
        <v>1681</v>
      </c>
      <c r="S232" s="365" t="s">
        <v>817</v>
      </c>
      <c r="T232" s="366">
        <v>289</v>
      </c>
      <c r="U232" s="366" cm="1">
        <f t="array" ref="U232">IFERROR(INDEX('Offer Statistics'!$DA$2:$DA$450,MATCH(1,(A232='Offer Statistics'!$CL$2:$CL$450)*($A$11='Offer Statistics'!$CM$2:$CM$450),0)),"/")</f>
        <v>221</v>
      </c>
      <c r="V232" s="366" cm="1">
        <f t="array" ref="V232">IFERROR(INDEX('Offer Statistics'!$CN$2:$CN$450,MATCH(1,(A232='Offer Statistics'!$CL$2:$CL$450)*($A$11='Offer Statistics'!$CM$2:$CM$450),0)),"/")</f>
        <v>982</v>
      </c>
      <c r="W232" s="366" cm="1">
        <f t="array" ref="W232">IFERROR(INDEX('Offer Statistics'!$CV$2:$CV$450,MATCH(1,(A232='Offer Statistics'!$CL$2:$CL$450)*($A$11='Offer Statistics'!$CM$2:$CM$450),0)),"/")</f>
        <v>221</v>
      </c>
      <c r="X232" s="366">
        <f t="shared" si="774"/>
        <v>4.4434389140271495</v>
      </c>
      <c r="Y232" s="366" t="s">
        <v>1177</v>
      </c>
      <c r="Z232" s="366" t="str">
        <f>入學要求!AF241</f>
        <v>/</v>
      </c>
      <c r="AA232" s="366" t="str">
        <f>入學要求!AG241</f>
        <v>/</v>
      </c>
      <c r="AB232" s="401" t="s">
        <v>12</v>
      </c>
      <c r="AC232" s="368"/>
      <c r="AD232" s="368"/>
      <c r="AE232" s="439" t="s">
        <v>890</v>
      </c>
      <c r="AF232" s="368" t="s">
        <v>1682</v>
      </c>
      <c r="AG232" s="368" t="s">
        <v>1680</v>
      </c>
      <c r="AH232" s="368" t="s">
        <v>356</v>
      </c>
      <c r="AI232" s="368" t="s">
        <v>356</v>
      </c>
      <c r="AJ232" s="366" t="s">
        <v>1683</v>
      </c>
      <c r="AK232" s="366" t="s">
        <v>1675</v>
      </c>
      <c r="AL232" s="366" t="s">
        <v>435</v>
      </c>
      <c r="AO232" s="366" t="s">
        <v>1671</v>
      </c>
      <c r="AP232" s="366" t="s">
        <v>1672</v>
      </c>
      <c r="AQ232" s="366" t="s">
        <v>356</v>
      </c>
      <c r="AS232" s="366" t="s">
        <v>820</v>
      </c>
      <c r="AU232" s="366" t="s">
        <v>817</v>
      </c>
      <c r="AY232" s="366" t="s">
        <v>356</v>
      </c>
      <c r="AZ232" s="366" t="s">
        <v>356</v>
      </c>
      <c r="BA232" s="366" t="s">
        <v>356</v>
      </c>
      <c r="BB232" s="366" t="s">
        <v>356</v>
      </c>
      <c r="BC232" s="366" t="s">
        <v>356</v>
      </c>
      <c r="BD232" s="366" t="s">
        <v>356</v>
      </c>
      <c r="BE232" s="366" t="s">
        <v>356</v>
      </c>
      <c r="BF232" s="366" t="s">
        <v>356</v>
      </c>
      <c r="BH232" s="366" t="s">
        <v>356</v>
      </c>
      <c r="BI232" s="366" t="s">
        <v>356</v>
      </c>
      <c r="BJ232" s="366" t="s">
        <v>356</v>
      </c>
      <c r="BK232" s="366" t="s">
        <v>356</v>
      </c>
      <c r="BL232" s="366" t="s">
        <v>356</v>
      </c>
      <c r="BM232" s="366" t="s">
        <v>356</v>
      </c>
      <c r="BN232" s="366" t="s">
        <v>356</v>
      </c>
      <c r="BO232" s="366" t="s">
        <v>356</v>
      </c>
      <c r="BP232" s="438"/>
      <c r="BQ232" s="438"/>
      <c r="BR232" s="438"/>
      <c r="BS232" s="438"/>
      <c r="BT232" s="438"/>
      <c r="BU232" s="438"/>
      <c r="BV232" s="438"/>
      <c r="BW232" s="438"/>
      <c r="BX232" s="366" t="s">
        <v>356</v>
      </c>
      <c r="BY232" s="366" t="s">
        <v>356</v>
      </c>
      <c r="BZ232" s="366" t="s">
        <v>356</v>
      </c>
      <c r="CA232" s="366" t="s">
        <v>356</v>
      </c>
      <c r="CB232" s="366" t="s">
        <v>356</v>
      </c>
      <c r="CC232" s="366" t="s">
        <v>356</v>
      </c>
      <c r="CD232" s="366" t="s">
        <v>356</v>
      </c>
      <c r="CE232" s="366" t="s">
        <v>356</v>
      </c>
      <c r="CF232" s="366" t="s">
        <v>356</v>
      </c>
      <c r="CG232" s="366" t="s">
        <v>356</v>
      </c>
      <c r="CH232" s="366" t="s">
        <v>356</v>
      </c>
      <c r="CI232" s="366" t="s">
        <v>356</v>
      </c>
      <c r="CJ232" s="366" t="s">
        <v>356</v>
      </c>
      <c r="CK232" s="366" t="s">
        <v>356</v>
      </c>
      <c r="CL232" s="366" t="s">
        <v>356</v>
      </c>
      <c r="CM232" s="366" t="s">
        <v>356</v>
      </c>
      <c r="CN232" s="366" t="s">
        <v>356</v>
      </c>
      <c r="CO232" s="366" t="s">
        <v>356</v>
      </c>
      <c r="CP232" s="366" t="s">
        <v>356</v>
      </c>
      <c r="CQ232" s="366" t="s">
        <v>356</v>
      </c>
      <c r="CR232" s="366" t="s">
        <v>356</v>
      </c>
      <c r="CS232" s="366" t="s">
        <v>356</v>
      </c>
      <c r="CT232" s="366" t="s">
        <v>356</v>
      </c>
      <c r="CU232" s="366" t="s">
        <v>356</v>
      </c>
      <c r="CW232" s="366" t="s">
        <v>356</v>
      </c>
      <c r="CX232" s="366" t="s">
        <v>356</v>
      </c>
      <c r="CY232" s="366" t="s">
        <v>356</v>
      </c>
      <c r="CZ232" s="366" t="s">
        <v>356</v>
      </c>
      <c r="DA232" s="366" t="s">
        <v>356</v>
      </c>
      <c r="DB232" s="366" t="s">
        <v>356</v>
      </c>
      <c r="DC232" s="366" t="s">
        <v>356</v>
      </c>
      <c r="DD232" s="366" t="s">
        <v>356</v>
      </c>
      <c r="DE232" s="438"/>
      <c r="DF232" s="438"/>
      <c r="DG232" s="438"/>
      <c r="DH232" s="438"/>
      <c r="DI232" s="438"/>
      <c r="DJ232" s="438"/>
      <c r="DK232" s="438"/>
      <c r="DL232" s="438"/>
      <c r="DM232" s="366" t="s">
        <v>356</v>
      </c>
      <c r="DN232" s="366" t="s">
        <v>356</v>
      </c>
      <c r="DO232" s="366" t="s">
        <v>356</v>
      </c>
      <c r="DP232" s="366" t="s">
        <v>356</v>
      </c>
      <c r="DQ232" s="366" t="s">
        <v>356</v>
      </c>
      <c r="DR232" s="366" t="s">
        <v>356</v>
      </c>
      <c r="DS232" s="366" t="s">
        <v>356</v>
      </c>
      <c r="DT232" s="366" t="s">
        <v>356</v>
      </c>
      <c r="DU232" s="366" t="s">
        <v>356</v>
      </c>
      <c r="DV232" s="366" t="s">
        <v>356</v>
      </c>
      <c r="DW232" s="366" t="s">
        <v>356</v>
      </c>
      <c r="DX232" s="366" t="s">
        <v>356</v>
      </c>
      <c r="DY232" s="366" t="s">
        <v>356</v>
      </c>
      <c r="DZ232" s="366" t="s">
        <v>356</v>
      </c>
      <c r="EA232" s="366" t="s">
        <v>356</v>
      </c>
      <c r="EB232" s="366" t="s">
        <v>356</v>
      </c>
      <c r="EC232" s="366" t="s">
        <v>356</v>
      </c>
      <c r="ED232" s="366" t="s">
        <v>356</v>
      </c>
      <c r="EE232" s="366" t="s">
        <v>356</v>
      </c>
      <c r="EF232" s="366" t="s">
        <v>356</v>
      </c>
      <c r="EG232" s="366" t="s">
        <v>356</v>
      </c>
      <c r="EH232" s="366" t="s">
        <v>356</v>
      </c>
      <c r="EI232" s="366" t="s">
        <v>356</v>
      </c>
      <c r="EJ232" s="366" t="s">
        <v>356</v>
      </c>
      <c r="EK232" s="366" t="s">
        <v>356</v>
      </c>
      <c r="EL232" s="366" t="s">
        <v>356</v>
      </c>
      <c r="EM232" s="366" t="s">
        <v>356</v>
      </c>
      <c r="EN232" s="366" t="s">
        <v>356</v>
      </c>
      <c r="EO232" s="366" t="s">
        <v>356</v>
      </c>
      <c r="EP232" s="366" t="s">
        <v>356</v>
      </c>
      <c r="EQ232" s="366" t="s">
        <v>356</v>
      </c>
      <c r="ER232" s="366" t="s">
        <v>356</v>
      </c>
      <c r="FA232" s="366" t="s">
        <v>356</v>
      </c>
      <c r="FB232" s="366" t="s">
        <v>356</v>
      </c>
      <c r="FC232" s="366" t="s">
        <v>356</v>
      </c>
      <c r="FD232" s="366" t="s">
        <v>356</v>
      </c>
      <c r="FE232" s="366" t="s">
        <v>356</v>
      </c>
      <c r="FF232" s="366" t="s">
        <v>356</v>
      </c>
      <c r="FG232" s="366" t="s">
        <v>356</v>
      </c>
      <c r="FH232" s="366" t="s">
        <v>356</v>
      </c>
      <c r="FI232" s="366" t="s">
        <v>356</v>
      </c>
      <c r="FJ232" s="366" t="s">
        <v>356</v>
      </c>
      <c r="FK232" s="366" t="s">
        <v>356</v>
      </c>
      <c r="FL232" s="366" t="s">
        <v>356</v>
      </c>
      <c r="FM232" s="366" t="s">
        <v>356</v>
      </c>
      <c r="FN232" s="366" t="s">
        <v>356</v>
      </c>
      <c r="FO232" s="366" t="s">
        <v>356</v>
      </c>
      <c r="FP232" s="366" t="s">
        <v>356</v>
      </c>
    </row>
    <row r="233" spans="1:172" s="366" customFormat="1" ht="13.95" customHeight="1">
      <c r="A233" s="366" t="s">
        <v>542</v>
      </c>
      <c r="B233" s="366" t="s">
        <v>1666</v>
      </c>
      <c r="C233" s="366" t="s">
        <v>1064</v>
      </c>
      <c r="D233" s="366" t="s">
        <v>543</v>
      </c>
      <c r="E233" s="366" t="s">
        <v>889</v>
      </c>
      <c r="F233" s="366" t="s">
        <v>356</v>
      </c>
      <c r="G233" s="368">
        <v>35</v>
      </c>
      <c r="H233" s="368">
        <v>33</v>
      </c>
      <c r="I233" s="368">
        <v>30</v>
      </c>
      <c r="M233" s="368" t="s">
        <v>890</v>
      </c>
      <c r="N233" s="368" t="s">
        <v>1668</v>
      </c>
      <c r="O233" s="368" t="s">
        <v>1680</v>
      </c>
      <c r="P233" s="368" t="s">
        <v>356</v>
      </c>
      <c r="Q233" s="368" t="s">
        <v>356</v>
      </c>
      <c r="R233" s="365" t="s">
        <v>1684</v>
      </c>
      <c r="S233" s="365" t="s">
        <v>817</v>
      </c>
      <c r="T233" s="366">
        <v>50</v>
      </c>
      <c r="U233" s="366" cm="1">
        <f t="array" ref="U233">IFERROR(INDEX('Offer Statistics'!$DA$2:$DA$450,MATCH(1,(A233='Offer Statistics'!$CL$2:$CL$450)*($A$11='Offer Statistics'!$CM$2:$CM$450),0)),"/")</f>
        <v>15</v>
      </c>
      <c r="V233" s="366" cm="1">
        <f t="array" ref="V233">IFERROR(INDEX('Offer Statistics'!$CN$2:$CN$450,MATCH(1,(A233='Offer Statistics'!$CL$2:$CL$450)*($A$11='Offer Statistics'!$CM$2:$CM$450),0)),"/")</f>
        <v>47</v>
      </c>
      <c r="W233" s="366" cm="1">
        <f t="array" ref="W233">IFERROR(INDEX('Offer Statistics'!$CV$2:$CV$450,MATCH(1,(A233='Offer Statistics'!$CL$2:$CL$450)*($A$11='Offer Statistics'!$CM$2:$CM$450),0)),"/")</f>
        <v>15</v>
      </c>
      <c r="X233" s="366">
        <f t="shared" si="774"/>
        <v>3.1333333333333333</v>
      </c>
      <c r="Y233" s="366" t="s">
        <v>1177</v>
      </c>
      <c r="Z233" s="366" t="str">
        <f>入學要求!AF242</f>
        <v>/</v>
      </c>
      <c r="AA233" s="366" t="str">
        <f>入學要求!AG242</f>
        <v>/</v>
      </c>
      <c r="AB233" s="401" t="s">
        <v>12</v>
      </c>
      <c r="AC233" s="368"/>
      <c r="AD233" s="368"/>
      <c r="AE233" s="368" t="s">
        <v>890</v>
      </c>
      <c r="AF233" s="368" t="s">
        <v>1668</v>
      </c>
      <c r="AG233" s="368" t="s">
        <v>1680</v>
      </c>
      <c r="AH233" s="368" t="s">
        <v>356</v>
      </c>
      <c r="AI233" s="368" t="s">
        <v>356</v>
      </c>
      <c r="AJ233" s="366" t="s">
        <v>839</v>
      </c>
      <c r="AK233" s="366" t="s">
        <v>1683</v>
      </c>
      <c r="AL233" s="366" t="s">
        <v>1675</v>
      </c>
      <c r="AO233" s="366" t="s">
        <v>1671</v>
      </c>
      <c r="AP233" s="366" t="s">
        <v>1672</v>
      </c>
      <c r="AQ233" s="366" t="s">
        <v>356</v>
      </c>
      <c r="AS233" s="366" t="s">
        <v>820</v>
      </c>
      <c r="AU233" s="366" t="s">
        <v>817</v>
      </c>
      <c r="AY233" s="366" t="s">
        <v>356</v>
      </c>
      <c r="AZ233" s="366" t="s">
        <v>356</v>
      </c>
      <c r="BA233" s="366" t="s">
        <v>356</v>
      </c>
      <c r="BB233" s="366" t="s">
        <v>356</v>
      </c>
      <c r="BC233" s="366" t="s">
        <v>356</v>
      </c>
      <c r="BD233" s="366" t="s">
        <v>356</v>
      </c>
      <c r="BE233" s="366" t="s">
        <v>356</v>
      </c>
      <c r="BF233" s="366" t="s">
        <v>356</v>
      </c>
      <c r="BH233" s="366" t="s">
        <v>356</v>
      </c>
      <c r="BI233" s="366" t="s">
        <v>356</v>
      </c>
      <c r="BJ233" s="366" t="s">
        <v>356</v>
      </c>
      <c r="BK233" s="366" t="s">
        <v>356</v>
      </c>
      <c r="BL233" s="366" t="s">
        <v>356</v>
      </c>
      <c r="BM233" s="366" t="s">
        <v>356</v>
      </c>
      <c r="BN233" s="366" t="s">
        <v>356</v>
      </c>
      <c r="BO233" s="366" t="s">
        <v>356</v>
      </c>
      <c r="BP233" s="438"/>
      <c r="BQ233" s="438"/>
      <c r="BR233" s="438"/>
      <c r="BS233" s="438"/>
      <c r="BT233" s="438"/>
      <c r="BU233" s="438"/>
      <c r="BV233" s="438"/>
      <c r="BW233" s="438"/>
      <c r="BX233" s="366" t="s">
        <v>356</v>
      </c>
      <c r="BY233" s="366" t="s">
        <v>356</v>
      </c>
      <c r="BZ233" s="366" t="s">
        <v>356</v>
      </c>
      <c r="CA233" s="366" t="s">
        <v>356</v>
      </c>
      <c r="CB233" s="366" t="s">
        <v>356</v>
      </c>
      <c r="CC233" s="366" t="s">
        <v>356</v>
      </c>
      <c r="CD233" s="366" t="s">
        <v>356</v>
      </c>
      <c r="CE233" s="366" t="s">
        <v>356</v>
      </c>
      <c r="CF233" s="366" t="s">
        <v>356</v>
      </c>
      <c r="CG233" s="366" t="s">
        <v>356</v>
      </c>
      <c r="CH233" s="366" t="s">
        <v>356</v>
      </c>
      <c r="CI233" s="366" t="s">
        <v>356</v>
      </c>
      <c r="CJ233" s="366" t="s">
        <v>356</v>
      </c>
      <c r="CK233" s="366" t="s">
        <v>356</v>
      </c>
      <c r="CL233" s="366" t="s">
        <v>356</v>
      </c>
      <c r="CM233" s="366" t="s">
        <v>356</v>
      </c>
      <c r="CN233" s="366" t="s">
        <v>356</v>
      </c>
      <c r="CO233" s="366" t="s">
        <v>356</v>
      </c>
      <c r="CP233" s="366" t="s">
        <v>356</v>
      </c>
      <c r="CQ233" s="366" t="s">
        <v>356</v>
      </c>
      <c r="CR233" s="366" t="s">
        <v>356</v>
      </c>
      <c r="CS233" s="366" t="s">
        <v>356</v>
      </c>
      <c r="CT233" s="366" t="s">
        <v>356</v>
      </c>
      <c r="CU233" s="366" t="s">
        <v>356</v>
      </c>
      <c r="CW233" s="366" t="s">
        <v>356</v>
      </c>
      <c r="CX233" s="366" t="s">
        <v>356</v>
      </c>
      <c r="CY233" s="366" t="s">
        <v>356</v>
      </c>
      <c r="CZ233" s="366" t="s">
        <v>356</v>
      </c>
      <c r="DA233" s="366" t="s">
        <v>356</v>
      </c>
      <c r="DB233" s="366" t="s">
        <v>356</v>
      </c>
      <c r="DC233" s="366" t="s">
        <v>356</v>
      </c>
      <c r="DD233" s="366" t="s">
        <v>356</v>
      </c>
      <c r="DE233" s="438"/>
      <c r="DF233" s="438"/>
      <c r="DG233" s="438"/>
      <c r="DH233" s="438"/>
      <c r="DI233" s="438"/>
      <c r="DJ233" s="438"/>
      <c r="DK233" s="438"/>
      <c r="DL233" s="438"/>
      <c r="DM233" s="366" t="s">
        <v>356</v>
      </c>
      <c r="DN233" s="366" t="s">
        <v>356</v>
      </c>
      <c r="DO233" s="366" t="s">
        <v>356</v>
      </c>
      <c r="DP233" s="366" t="s">
        <v>356</v>
      </c>
      <c r="DQ233" s="366" t="s">
        <v>356</v>
      </c>
      <c r="DR233" s="366" t="s">
        <v>356</v>
      </c>
      <c r="DS233" s="366" t="s">
        <v>356</v>
      </c>
      <c r="DT233" s="366" t="s">
        <v>356</v>
      </c>
      <c r="DU233" s="366" t="s">
        <v>356</v>
      </c>
      <c r="DV233" s="366" t="s">
        <v>356</v>
      </c>
      <c r="DW233" s="366" t="s">
        <v>356</v>
      </c>
      <c r="DX233" s="366" t="s">
        <v>356</v>
      </c>
      <c r="DY233" s="366" t="s">
        <v>356</v>
      </c>
      <c r="DZ233" s="366" t="s">
        <v>356</v>
      </c>
      <c r="EA233" s="366" t="s">
        <v>356</v>
      </c>
      <c r="EB233" s="366" t="s">
        <v>356</v>
      </c>
      <c r="EC233" s="366" t="s">
        <v>356</v>
      </c>
      <c r="ED233" s="366" t="s">
        <v>356</v>
      </c>
      <c r="EE233" s="366" t="s">
        <v>356</v>
      </c>
      <c r="EF233" s="366" t="s">
        <v>356</v>
      </c>
      <c r="EG233" s="366" t="s">
        <v>356</v>
      </c>
      <c r="EH233" s="366" t="s">
        <v>356</v>
      </c>
      <c r="EI233" s="366" t="s">
        <v>356</v>
      </c>
      <c r="EJ233" s="366" t="s">
        <v>356</v>
      </c>
      <c r="EK233" s="366" t="s">
        <v>356</v>
      </c>
      <c r="EL233" s="366" t="s">
        <v>356</v>
      </c>
      <c r="EM233" s="366" t="s">
        <v>356</v>
      </c>
      <c r="EN233" s="366" t="s">
        <v>356</v>
      </c>
      <c r="EO233" s="366" t="s">
        <v>356</v>
      </c>
      <c r="EP233" s="366" t="s">
        <v>356</v>
      </c>
      <c r="EQ233" s="366" t="s">
        <v>356</v>
      </c>
      <c r="ER233" s="366" t="s">
        <v>356</v>
      </c>
      <c r="FA233" s="366" t="s">
        <v>356</v>
      </c>
      <c r="FB233" s="366" t="s">
        <v>356</v>
      </c>
      <c r="FC233" s="366" t="s">
        <v>356</v>
      </c>
      <c r="FD233" s="366" t="s">
        <v>356</v>
      </c>
      <c r="FE233" s="366" t="s">
        <v>356</v>
      </c>
      <c r="FF233" s="366" t="s">
        <v>356</v>
      </c>
      <c r="FG233" s="366" t="s">
        <v>356</v>
      </c>
      <c r="FH233" s="366" t="s">
        <v>356</v>
      </c>
      <c r="FI233" s="366" t="s">
        <v>356</v>
      </c>
      <c r="FJ233" s="366" t="s">
        <v>356</v>
      </c>
      <c r="FK233" s="366" t="s">
        <v>356</v>
      </c>
      <c r="FL233" s="366" t="s">
        <v>356</v>
      </c>
      <c r="FM233" s="366" t="s">
        <v>356</v>
      </c>
      <c r="FN233" s="366" t="s">
        <v>356</v>
      </c>
      <c r="FO233" s="366" t="s">
        <v>356</v>
      </c>
      <c r="FP233" s="366" t="s">
        <v>356</v>
      </c>
    </row>
    <row r="234" spans="1:172" s="366" customFormat="1" ht="13.95" customHeight="1">
      <c r="A234" s="366" t="s">
        <v>386</v>
      </c>
      <c r="B234" s="366" t="s">
        <v>1666</v>
      </c>
      <c r="C234" s="366" t="s">
        <v>1685</v>
      </c>
      <c r="D234" s="366" t="s">
        <v>1686</v>
      </c>
      <c r="E234" s="366" t="s">
        <v>828</v>
      </c>
      <c r="F234" s="366" t="s">
        <v>356</v>
      </c>
      <c r="G234" s="368">
        <v>39</v>
      </c>
      <c r="H234" s="368">
        <v>37</v>
      </c>
      <c r="I234" s="368">
        <v>36</v>
      </c>
      <c r="M234" s="368" t="s">
        <v>829</v>
      </c>
      <c r="N234" s="368" t="s">
        <v>1687</v>
      </c>
      <c r="O234" s="368" t="s">
        <v>1542</v>
      </c>
      <c r="P234" s="368" t="s">
        <v>3109</v>
      </c>
      <c r="Q234" s="366" t="s">
        <v>356</v>
      </c>
      <c r="R234" s="365" t="s">
        <v>1089</v>
      </c>
      <c r="S234" s="365" t="s">
        <v>817</v>
      </c>
      <c r="T234" s="366" t="s">
        <v>3281</v>
      </c>
      <c r="U234" s="366" cm="1">
        <f t="array" ref="U234">IFERROR(INDEX('Offer Statistics'!$DA$2:$DA$450,MATCH(1,(A234='Offer Statistics'!$CL$2:$CL$450)*($A$11='Offer Statistics'!$CM$2:$CM$450),0)),"/")</f>
        <v>50</v>
      </c>
      <c r="V234" s="366" cm="1">
        <f t="array" ref="V234">IFERROR(INDEX('Offer Statistics'!$CN$2:$CN$450,MATCH(1,(A234='Offer Statistics'!$CL$2:$CL$450)*($A$11='Offer Statistics'!$CM$2:$CM$450),0)),"/")</f>
        <v>351</v>
      </c>
      <c r="W234" s="366" cm="1">
        <f t="array" ref="W234">IFERROR(INDEX('Offer Statistics'!$CV$2:$CV$450,MATCH(1,(A234='Offer Statistics'!$CL$2:$CL$450)*($A$11='Offer Statistics'!$CM$2:$CM$450),0)),"/")</f>
        <v>50</v>
      </c>
      <c r="X234" s="366">
        <f t="shared" si="774"/>
        <v>7.02</v>
      </c>
      <c r="Y234" s="366" t="s">
        <v>1177</v>
      </c>
      <c r="Z234" s="366" t="str">
        <f>入學要求!AF243</f>
        <v>/</v>
      </c>
      <c r="AA234" s="366" t="str">
        <f>入學要求!AG243</f>
        <v>/</v>
      </c>
      <c r="AB234" s="401" t="s">
        <v>889</v>
      </c>
      <c r="AC234" s="400"/>
      <c r="AD234" s="400"/>
      <c r="AE234" s="368" t="s">
        <v>998</v>
      </c>
      <c r="AF234" s="368" t="s">
        <v>3121</v>
      </c>
      <c r="AG234" s="368" t="s">
        <v>1542</v>
      </c>
      <c r="AH234" s="368" t="s">
        <v>3122</v>
      </c>
      <c r="AI234" s="368" t="s">
        <v>356</v>
      </c>
      <c r="AJ234" s="366" t="s">
        <v>839</v>
      </c>
      <c r="AK234" s="366" t="s">
        <v>1683</v>
      </c>
      <c r="AL234" s="366" t="s">
        <v>1675</v>
      </c>
      <c r="AM234" s="366" t="s">
        <v>1689</v>
      </c>
      <c r="AO234" s="366" t="s">
        <v>1671</v>
      </c>
      <c r="AP234" s="366" t="s">
        <v>3269</v>
      </c>
      <c r="AQ234" s="366" t="s">
        <v>356</v>
      </c>
      <c r="AS234" s="366" t="s">
        <v>820</v>
      </c>
      <c r="AU234" s="366" t="s">
        <v>817</v>
      </c>
      <c r="AY234" s="366" t="s">
        <v>356</v>
      </c>
      <c r="AZ234" s="366" t="s">
        <v>356</v>
      </c>
      <c r="BA234" s="366" t="s">
        <v>356</v>
      </c>
      <c r="BB234" s="366" t="s">
        <v>356</v>
      </c>
      <c r="BC234" s="366" t="s">
        <v>356</v>
      </c>
      <c r="BD234" s="366" t="s">
        <v>356</v>
      </c>
      <c r="BE234" s="366" t="s">
        <v>356</v>
      </c>
      <c r="BF234" s="366" t="s">
        <v>356</v>
      </c>
      <c r="BH234" s="366" t="s">
        <v>356</v>
      </c>
      <c r="BI234" s="366" t="s">
        <v>356</v>
      </c>
      <c r="BJ234" s="366" t="s">
        <v>356</v>
      </c>
      <c r="BK234" s="366" t="s">
        <v>356</v>
      </c>
      <c r="BL234" s="366" t="s">
        <v>356</v>
      </c>
      <c r="BM234" s="366" t="s">
        <v>356</v>
      </c>
      <c r="BN234" s="366" t="s">
        <v>356</v>
      </c>
      <c r="BO234" s="366" t="s">
        <v>356</v>
      </c>
      <c r="BP234" s="438"/>
      <c r="BQ234" s="438"/>
      <c r="BR234" s="438"/>
      <c r="BS234" s="438"/>
      <c r="BT234" s="438"/>
      <c r="BU234" s="438"/>
      <c r="BV234" s="438"/>
      <c r="BW234" s="438"/>
      <c r="BX234" s="366" t="s">
        <v>356</v>
      </c>
      <c r="BY234" s="366" t="s">
        <v>356</v>
      </c>
      <c r="BZ234" s="366" t="s">
        <v>356</v>
      </c>
      <c r="CA234" s="366" t="s">
        <v>356</v>
      </c>
      <c r="CB234" s="366" t="s">
        <v>356</v>
      </c>
      <c r="CC234" s="366" t="s">
        <v>356</v>
      </c>
      <c r="CD234" s="366" t="s">
        <v>356</v>
      </c>
      <c r="CE234" s="366" t="s">
        <v>356</v>
      </c>
      <c r="CF234" s="366" t="s">
        <v>356</v>
      </c>
      <c r="CG234" s="366" t="s">
        <v>356</v>
      </c>
      <c r="CH234" s="366" t="s">
        <v>356</v>
      </c>
      <c r="CI234" s="366" t="s">
        <v>356</v>
      </c>
      <c r="CJ234" s="366" t="s">
        <v>356</v>
      </c>
      <c r="CK234" s="366" t="s">
        <v>356</v>
      </c>
      <c r="CL234" s="366" t="s">
        <v>356</v>
      </c>
      <c r="CM234" s="366" t="s">
        <v>356</v>
      </c>
      <c r="CN234" s="366" t="s">
        <v>356</v>
      </c>
      <c r="CO234" s="366" t="s">
        <v>356</v>
      </c>
      <c r="CP234" s="366" t="s">
        <v>356</v>
      </c>
      <c r="CQ234" s="366" t="s">
        <v>356</v>
      </c>
      <c r="CR234" s="366" t="s">
        <v>356</v>
      </c>
      <c r="CS234" s="366" t="s">
        <v>356</v>
      </c>
      <c r="CT234" s="366" t="s">
        <v>356</v>
      </c>
      <c r="CU234" s="366" t="s">
        <v>356</v>
      </c>
      <c r="CW234" s="366" t="s">
        <v>356</v>
      </c>
      <c r="CX234" s="366" t="s">
        <v>356</v>
      </c>
      <c r="CY234" s="366" t="s">
        <v>356</v>
      </c>
      <c r="CZ234" s="366" t="s">
        <v>356</v>
      </c>
      <c r="DA234" s="366" t="s">
        <v>356</v>
      </c>
      <c r="DB234" s="366" t="s">
        <v>356</v>
      </c>
      <c r="DC234" s="366" t="s">
        <v>356</v>
      </c>
      <c r="DD234" s="366" t="s">
        <v>356</v>
      </c>
      <c r="DE234" s="438"/>
      <c r="DF234" s="438"/>
      <c r="DG234" s="438"/>
      <c r="DH234" s="438"/>
      <c r="DI234" s="438"/>
      <c r="DJ234" s="438"/>
      <c r="DK234" s="438"/>
      <c r="DL234" s="438"/>
      <c r="DM234" s="366" t="s">
        <v>356</v>
      </c>
      <c r="DN234" s="366" t="s">
        <v>356</v>
      </c>
      <c r="DO234" s="366" t="s">
        <v>356</v>
      </c>
      <c r="DP234" s="366" t="s">
        <v>356</v>
      </c>
      <c r="DQ234" s="366" t="s">
        <v>356</v>
      </c>
      <c r="DR234" s="366" t="s">
        <v>356</v>
      </c>
      <c r="DS234" s="366" t="s">
        <v>356</v>
      </c>
      <c r="DT234" s="366" t="s">
        <v>356</v>
      </c>
      <c r="DU234" s="366" t="s">
        <v>356</v>
      </c>
      <c r="DV234" s="366" t="s">
        <v>356</v>
      </c>
      <c r="DW234" s="366" t="s">
        <v>356</v>
      </c>
      <c r="DX234" s="366" t="s">
        <v>356</v>
      </c>
      <c r="DY234" s="366" t="s">
        <v>356</v>
      </c>
      <c r="DZ234" s="366" t="s">
        <v>356</v>
      </c>
      <c r="EA234" s="366" t="s">
        <v>356</v>
      </c>
      <c r="EB234" s="366" t="s">
        <v>356</v>
      </c>
      <c r="EC234" s="366" t="s">
        <v>356</v>
      </c>
      <c r="ED234" s="366" t="s">
        <v>356</v>
      </c>
      <c r="EE234" s="366" t="s">
        <v>356</v>
      </c>
      <c r="EF234" s="366" t="s">
        <v>356</v>
      </c>
      <c r="EG234" s="366" t="s">
        <v>356</v>
      </c>
      <c r="EH234" s="366" t="s">
        <v>356</v>
      </c>
      <c r="EI234" s="366" t="s">
        <v>356</v>
      </c>
      <c r="EJ234" s="366" t="s">
        <v>356</v>
      </c>
      <c r="EK234" s="366" t="s">
        <v>356</v>
      </c>
      <c r="EL234" s="366" t="s">
        <v>356</v>
      </c>
      <c r="EM234" s="366" t="s">
        <v>356</v>
      </c>
      <c r="EN234" s="366" t="s">
        <v>356</v>
      </c>
      <c r="EO234" s="366" t="s">
        <v>356</v>
      </c>
      <c r="EP234" s="366" t="s">
        <v>356</v>
      </c>
      <c r="EQ234" s="366" t="s">
        <v>356</v>
      </c>
      <c r="ER234" s="366" t="s">
        <v>356</v>
      </c>
      <c r="FA234" s="366" t="s">
        <v>356</v>
      </c>
      <c r="FB234" s="366" t="s">
        <v>356</v>
      </c>
      <c r="FC234" s="366" t="s">
        <v>356</v>
      </c>
      <c r="FD234" s="366" t="s">
        <v>356</v>
      </c>
      <c r="FE234" s="366" t="s">
        <v>356</v>
      </c>
      <c r="FF234" s="366" t="s">
        <v>356</v>
      </c>
      <c r="FG234" s="366" t="s">
        <v>356</v>
      </c>
      <c r="FH234" s="366" t="s">
        <v>356</v>
      </c>
      <c r="FI234" s="366" t="s">
        <v>356</v>
      </c>
      <c r="FJ234" s="366" t="s">
        <v>356</v>
      </c>
      <c r="FK234" s="366" t="s">
        <v>356</v>
      </c>
      <c r="FL234" s="366" t="s">
        <v>356</v>
      </c>
      <c r="FM234" s="366" t="s">
        <v>356</v>
      </c>
      <c r="FN234" s="366" t="s">
        <v>356</v>
      </c>
      <c r="FO234" s="366" t="s">
        <v>356</v>
      </c>
      <c r="FP234" s="366" t="s">
        <v>356</v>
      </c>
    </row>
    <row r="235" spans="1:172" s="366" customFormat="1" ht="13.95" customHeight="1">
      <c r="A235" s="366" t="s">
        <v>389</v>
      </c>
      <c r="B235" s="366" t="s">
        <v>1666</v>
      </c>
      <c r="C235" s="366" t="s">
        <v>1685</v>
      </c>
      <c r="D235" s="366" t="s">
        <v>544</v>
      </c>
      <c r="E235" s="366" t="s">
        <v>828</v>
      </c>
      <c r="F235" s="366" t="s">
        <v>356</v>
      </c>
      <c r="G235" s="368">
        <v>42</v>
      </c>
      <c r="H235" s="368">
        <v>41</v>
      </c>
      <c r="I235" s="368">
        <v>40</v>
      </c>
      <c r="M235" s="368" t="s">
        <v>829</v>
      </c>
      <c r="N235" s="368" t="s">
        <v>1687</v>
      </c>
      <c r="O235" s="368" t="s">
        <v>1542</v>
      </c>
      <c r="P235" s="368" t="s">
        <v>3109</v>
      </c>
      <c r="Q235" s="366" t="s">
        <v>356</v>
      </c>
      <c r="R235" s="365" t="s">
        <v>1691</v>
      </c>
      <c r="S235" s="365" t="s">
        <v>817</v>
      </c>
      <c r="T235" s="366" t="s">
        <v>3281</v>
      </c>
      <c r="U235" s="366" cm="1">
        <f t="array" ref="U235">IFERROR(INDEX('Offer Statistics'!$DA$2:$DA$450,MATCH(1,(A235='Offer Statistics'!$CL$2:$CL$450)*($A$11='Offer Statistics'!$CM$2:$CM$450),0)),"/")</f>
        <v>60</v>
      </c>
      <c r="V235" s="366" cm="1">
        <f t="array" ref="V235">IFERROR(INDEX('Offer Statistics'!$CN$2:$CN$450,MATCH(1,(A235='Offer Statistics'!$CL$2:$CL$450)*($A$11='Offer Statistics'!$CM$2:$CM$450),0)),"/")</f>
        <v>327</v>
      </c>
      <c r="W235" s="366" cm="1">
        <f t="array" ref="W235">IFERROR(INDEX('Offer Statistics'!$CV$2:$CV$450,MATCH(1,(A235='Offer Statistics'!$CL$2:$CL$450)*($A$11='Offer Statistics'!$CM$2:$CM$450),0)),"/")</f>
        <v>60</v>
      </c>
      <c r="X235" s="366">
        <f t="shared" si="774"/>
        <v>5.45</v>
      </c>
      <c r="Y235" s="366" t="s">
        <v>1177</v>
      </c>
      <c r="Z235" s="366" t="str">
        <f>入學要求!AF244</f>
        <v>/</v>
      </c>
      <c r="AA235" s="366" t="str">
        <f>入學要求!AG244</f>
        <v>/</v>
      </c>
      <c r="AB235" s="401" t="s">
        <v>889</v>
      </c>
      <c r="AC235" s="400"/>
      <c r="AD235" s="400"/>
      <c r="AE235" s="368" t="s">
        <v>998</v>
      </c>
      <c r="AF235" s="368" t="s">
        <v>3121</v>
      </c>
      <c r="AG235" s="368" t="s">
        <v>1542</v>
      </c>
      <c r="AH235" s="368" t="s">
        <v>3122</v>
      </c>
      <c r="AI235" s="368" t="s">
        <v>356</v>
      </c>
      <c r="AJ235" s="366" t="s">
        <v>839</v>
      </c>
      <c r="AK235" s="366" t="s">
        <v>1683</v>
      </c>
      <c r="AL235" s="366" t="s">
        <v>1675</v>
      </c>
      <c r="AO235" s="366" t="s">
        <v>1671</v>
      </c>
      <c r="AP235" s="366" t="s">
        <v>3269</v>
      </c>
      <c r="AQ235" s="366" t="s">
        <v>356</v>
      </c>
      <c r="AS235" s="366" t="s">
        <v>820</v>
      </c>
      <c r="AU235" s="366" t="s">
        <v>817</v>
      </c>
      <c r="AY235" s="366" t="s">
        <v>356</v>
      </c>
      <c r="AZ235" s="366" t="s">
        <v>356</v>
      </c>
      <c r="BA235" s="366" t="s">
        <v>356</v>
      </c>
      <c r="BB235" s="366" t="s">
        <v>356</v>
      </c>
      <c r="BC235" s="366" t="s">
        <v>356</v>
      </c>
      <c r="BD235" s="366" t="s">
        <v>356</v>
      </c>
      <c r="BE235" s="366" t="s">
        <v>356</v>
      </c>
      <c r="BF235" s="366" t="s">
        <v>356</v>
      </c>
      <c r="BH235" s="366" t="s">
        <v>356</v>
      </c>
      <c r="BI235" s="366" t="s">
        <v>356</v>
      </c>
      <c r="BJ235" s="366" t="s">
        <v>356</v>
      </c>
      <c r="BK235" s="366" t="s">
        <v>356</v>
      </c>
      <c r="BL235" s="366" t="s">
        <v>356</v>
      </c>
      <c r="BM235" s="366" t="s">
        <v>356</v>
      </c>
      <c r="BN235" s="366" t="s">
        <v>356</v>
      </c>
      <c r="BO235" s="366" t="s">
        <v>356</v>
      </c>
      <c r="BP235" s="438"/>
      <c r="BQ235" s="438"/>
      <c r="BR235" s="438"/>
      <c r="BS235" s="438"/>
      <c r="BT235" s="438"/>
      <c r="BU235" s="438"/>
      <c r="BV235" s="438"/>
      <c r="BW235" s="438"/>
      <c r="BX235" s="366" t="s">
        <v>356</v>
      </c>
      <c r="BY235" s="366" t="s">
        <v>356</v>
      </c>
      <c r="BZ235" s="366" t="s">
        <v>356</v>
      </c>
      <c r="CA235" s="366" t="s">
        <v>356</v>
      </c>
      <c r="CB235" s="366" t="s">
        <v>356</v>
      </c>
      <c r="CC235" s="366" t="s">
        <v>356</v>
      </c>
      <c r="CD235" s="366" t="s">
        <v>356</v>
      </c>
      <c r="CE235" s="366" t="s">
        <v>356</v>
      </c>
      <c r="CF235" s="366" t="s">
        <v>356</v>
      </c>
      <c r="CG235" s="366" t="s">
        <v>356</v>
      </c>
      <c r="CH235" s="366" t="s">
        <v>356</v>
      </c>
      <c r="CI235" s="366" t="s">
        <v>356</v>
      </c>
      <c r="CJ235" s="366" t="s">
        <v>356</v>
      </c>
      <c r="CK235" s="366" t="s">
        <v>356</v>
      </c>
      <c r="CL235" s="366" t="s">
        <v>356</v>
      </c>
      <c r="CM235" s="366" t="s">
        <v>356</v>
      </c>
      <c r="CN235" s="366" t="s">
        <v>356</v>
      </c>
      <c r="CO235" s="366" t="s">
        <v>356</v>
      </c>
      <c r="CP235" s="366" t="s">
        <v>356</v>
      </c>
      <c r="CQ235" s="366" t="s">
        <v>356</v>
      </c>
      <c r="CR235" s="366" t="s">
        <v>356</v>
      </c>
      <c r="CS235" s="366" t="s">
        <v>356</v>
      </c>
      <c r="CT235" s="366" t="s">
        <v>356</v>
      </c>
      <c r="CU235" s="366" t="s">
        <v>356</v>
      </c>
      <c r="CW235" s="366" t="s">
        <v>356</v>
      </c>
      <c r="CX235" s="366" t="s">
        <v>356</v>
      </c>
      <c r="CY235" s="366" t="s">
        <v>356</v>
      </c>
      <c r="CZ235" s="366" t="s">
        <v>356</v>
      </c>
      <c r="DA235" s="366" t="s">
        <v>356</v>
      </c>
      <c r="DB235" s="366" t="s">
        <v>356</v>
      </c>
      <c r="DC235" s="366" t="s">
        <v>356</v>
      </c>
      <c r="DD235" s="366" t="s">
        <v>356</v>
      </c>
      <c r="DE235" s="438"/>
      <c r="DF235" s="438"/>
      <c r="DG235" s="438"/>
      <c r="DH235" s="438"/>
      <c r="DI235" s="438"/>
      <c r="DJ235" s="438"/>
      <c r="DK235" s="438"/>
      <c r="DL235" s="438"/>
      <c r="DM235" s="366" t="s">
        <v>356</v>
      </c>
      <c r="DN235" s="366" t="s">
        <v>356</v>
      </c>
      <c r="DO235" s="366" t="s">
        <v>356</v>
      </c>
      <c r="DP235" s="366" t="s">
        <v>356</v>
      </c>
      <c r="DQ235" s="366" t="s">
        <v>356</v>
      </c>
      <c r="DR235" s="366" t="s">
        <v>356</v>
      </c>
      <c r="DS235" s="366" t="s">
        <v>356</v>
      </c>
      <c r="DT235" s="366" t="s">
        <v>356</v>
      </c>
      <c r="DU235" s="366" t="s">
        <v>356</v>
      </c>
      <c r="DV235" s="366" t="s">
        <v>356</v>
      </c>
      <c r="DW235" s="366" t="s">
        <v>356</v>
      </c>
      <c r="DX235" s="366" t="s">
        <v>356</v>
      </c>
      <c r="DY235" s="366" t="s">
        <v>356</v>
      </c>
      <c r="DZ235" s="366" t="s">
        <v>356</v>
      </c>
      <c r="EA235" s="366" t="s">
        <v>356</v>
      </c>
      <c r="EB235" s="366" t="s">
        <v>356</v>
      </c>
      <c r="EC235" s="366" t="s">
        <v>356</v>
      </c>
      <c r="ED235" s="366" t="s">
        <v>356</v>
      </c>
      <c r="EE235" s="366" t="s">
        <v>356</v>
      </c>
      <c r="EF235" s="366" t="s">
        <v>356</v>
      </c>
      <c r="EG235" s="366" t="s">
        <v>356</v>
      </c>
      <c r="EH235" s="366" t="s">
        <v>356</v>
      </c>
      <c r="EI235" s="366" t="s">
        <v>356</v>
      </c>
      <c r="EJ235" s="366" t="s">
        <v>356</v>
      </c>
      <c r="EK235" s="366" t="s">
        <v>356</v>
      </c>
      <c r="EL235" s="366" t="s">
        <v>356</v>
      </c>
      <c r="EM235" s="366" t="s">
        <v>356</v>
      </c>
      <c r="EN235" s="366" t="s">
        <v>356</v>
      </c>
      <c r="EO235" s="366" t="s">
        <v>356</v>
      </c>
      <c r="EP235" s="366" t="s">
        <v>356</v>
      </c>
      <c r="EQ235" s="366" t="s">
        <v>356</v>
      </c>
      <c r="ER235" s="366" t="s">
        <v>356</v>
      </c>
      <c r="FA235" s="366" t="s">
        <v>356</v>
      </c>
      <c r="FB235" s="366" t="s">
        <v>356</v>
      </c>
      <c r="FC235" s="366" t="s">
        <v>356</v>
      </c>
      <c r="FD235" s="366" t="s">
        <v>356</v>
      </c>
      <c r="FE235" s="366" t="s">
        <v>356</v>
      </c>
      <c r="FF235" s="366" t="s">
        <v>356</v>
      </c>
      <c r="FG235" s="366" t="s">
        <v>356</v>
      </c>
      <c r="FH235" s="366" t="s">
        <v>356</v>
      </c>
      <c r="FI235" s="366" t="s">
        <v>356</v>
      </c>
      <c r="FJ235" s="366" t="s">
        <v>356</v>
      </c>
      <c r="FK235" s="366" t="s">
        <v>356</v>
      </c>
      <c r="FL235" s="366" t="s">
        <v>356</v>
      </c>
      <c r="FM235" s="366" t="s">
        <v>356</v>
      </c>
      <c r="FN235" s="366" t="s">
        <v>356</v>
      </c>
      <c r="FO235" s="366" t="s">
        <v>356</v>
      </c>
      <c r="FP235" s="366" t="s">
        <v>356</v>
      </c>
    </row>
    <row r="236" spans="1:172" s="366" customFormat="1" ht="13.95" customHeight="1">
      <c r="A236" s="366" t="s">
        <v>390</v>
      </c>
      <c r="B236" s="366" t="s">
        <v>1666</v>
      </c>
      <c r="C236" s="366" t="s">
        <v>1685</v>
      </c>
      <c r="D236" s="366" t="s">
        <v>547</v>
      </c>
      <c r="E236" s="366" t="s">
        <v>828</v>
      </c>
      <c r="F236" s="366" t="s">
        <v>356</v>
      </c>
      <c r="G236" s="368">
        <v>40</v>
      </c>
      <c r="H236" s="368">
        <v>38</v>
      </c>
      <c r="I236" s="368">
        <v>37</v>
      </c>
      <c r="M236" s="368" t="s">
        <v>829</v>
      </c>
      <c r="N236" s="368" t="s">
        <v>1687</v>
      </c>
      <c r="O236" s="368" t="s">
        <v>1542</v>
      </c>
      <c r="P236" s="368" t="s">
        <v>3109</v>
      </c>
      <c r="Q236" s="368" t="s">
        <v>356</v>
      </c>
      <c r="R236" s="365" t="s">
        <v>1692</v>
      </c>
      <c r="S236" s="365" t="s">
        <v>817</v>
      </c>
      <c r="T236" s="366" t="s">
        <v>3281</v>
      </c>
      <c r="U236" s="366" cm="1">
        <f t="array" ref="U236">IFERROR(INDEX('Offer Statistics'!$DA$2:$DA$450,MATCH(1,(A236='Offer Statistics'!$CL$2:$CL$450)*($A$11='Offer Statistics'!$CM$2:$CM$450),0)),"/")</f>
        <v>90</v>
      </c>
      <c r="V236" s="366" cm="1">
        <f t="array" ref="V236">IFERROR(INDEX('Offer Statistics'!$CN$2:$CN$450,MATCH(1,(A236='Offer Statistics'!$CL$2:$CL$450)*($A$11='Offer Statistics'!$CM$2:$CM$450),0)),"/")</f>
        <v>357</v>
      </c>
      <c r="W236" s="366" cm="1">
        <f t="array" ref="W236">IFERROR(INDEX('Offer Statistics'!$CV$2:$CV$450,MATCH(1,(A236='Offer Statistics'!$CL$2:$CL$450)*($A$11='Offer Statistics'!$CM$2:$CM$450),0)),"/")</f>
        <v>90</v>
      </c>
      <c r="X236" s="366">
        <f t="shared" si="774"/>
        <v>3.9666666666666668</v>
      </c>
      <c r="Y236" s="366" t="s">
        <v>1177</v>
      </c>
      <c r="Z236" s="366" t="str">
        <f>入學要求!AF245</f>
        <v>/</v>
      </c>
      <c r="AA236" s="366" t="str">
        <f>入學要求!AG245</f>
        <v>/</v>
      </c>
      <c r="AB236" s="401" t="s">
        <v>889</v>
      </c>
      <c r="AC236" s="400"/>
      <c r="AD236" s="400"/>
      <c r="AE236" s="368" t="s">
        <v>998</v>
      </c>
      <c r="AF236" s="368" t="s">
        <v>3121</v>
      </c>
      <c r="AG236" s="368" t="s">
        <v>1542</v>
      </c>
      <c r="AH236" s="368" t="s">
        <v>3122</v>
      </c>
      <c r="AI236" s="368" t="s">
        <v>356</v>
      </c>
      <c r="AJ236" s="366" t="s">
        <v>839</v>
      </c>
      <c r="AK236" s="366" t="s">
        <v>1683</v>
      </c>
      <c r="AL236" s="366" t="s">
        <v>1675</v>
      </c>
      <c r="AO236" s="366" t="s">
        <v>1671</v>
      </c>
      <c r="AP236" s="366" t="s">
        <v>3269</v>
      </c>
      <c r="AQ236" s="366" t="s">
        <v>356</v>
      </c>
      <c r="AS236" s="366" t="s">
        <v>820</v>
      </c>
      <c r="AU236" s="366" t="s">
        <v>817</v>
      </c>
      <c r="AY236" s="366" t="s">
        <v>356</v>
      </c>
      <c r="AZ236" s="366" t="s">
        <v>356</v>
      </c>
      <c r="BA236" s="366" t="s">
        <v>356</v>
      </c>
      <c r="BB236" s="366" t="s">
        <v>356</v>
      </c>
      <c r="BC236" s="366" t="s">
        <v>356</v>
      </c>
      <c r="BD236" s="366" t="s">
        <v>356</v>
      </c>
      <c r="BE236" s="366" t="s">
        <v>356</v>
      </c>
      <c r="BF236" s="366" t="s">
        <v>356</v>
      </c>
      <c r="BH236" s="366" t="s">
        <v>356</v>
      </c>
      <c r="BI236" s="366" t="s">
        <v>356</v>
      </c>
      <c r="BJ236" s="366" t="s">
        <v>356</v>
      </c>
      <c r="BK236" s="366" t="s">
        <v>356</v>
      </c>
      <c r="BL236" s="366" t="s">
        <v>356</v>
      </c>
      <c r="BM236" s="366" t="s">
        <v>356</v>
      </c>
      <c r="BN236" s="366" t="s">
        <v>356</v>
      </c>
      <c r="BO236" s="366" t="s">
        <v>356</v>
      </c>
      <c r="BP236" s="438"/>
      <c r="BQ236" s="438"/>
      <c r="BR236" s="438"/>
      <c r="BS236" s="438"/>
      <c r="BT236" s="438"/>
      <c r="BU236" s="438"/>
      <c r="BV236" s="438"/>
      <c r="BW236" s="438"/>
      <c r="BX236" s="366" t="s">
        <v>356</v>
      </c>
      <c r="BY236" s="366" t="s">
        <v>356</v>
      </c>
      <c r="BZ236" s="366" t="s">
        <v>356</v>
      </c>
      <c r="CA236" s="366" t="s">
        <v>356</v>
      </c>
      <c r="CB236" s="366" t="s">
        <v>356</v>
      </c>
      <c r="CC236" s="366" t="s">
        <v>356</v>
      </c>
      <c r="CD236" s="366" t="s">
        <v>356</v>
      </c>
      <c r="CE236" s="366" t="s">
        <v>356</v>
      </c>
      <c r="CF236" s="366" t="s">
        <v>356</v>
      </c>
      <c r="CG236" s="366" t="s">
        <v>356</v>
      </c>
      <c r="CH236" s="366" t="s">
        <v>356</v>
      </c>
      <c r="CI236" s="366" t="s">
        <v>356</v>
      </c>
      <c r="CJ236" s="366" t="s">
        <v>356</v>
      </c>
      <c r="CK236" s="366" t="s">
        <v>356</v>
      </c>
      <c r="CL236" s="366" t="s">
        <v>356</v>
      </c>
      <c r="CM236" s="366" t="s">
        <v>356</v>
      </c>
      <c r="CN236" s="366" t="s">
        <v>356</v>
      </c>
      <c r="CO236" s="366" t="s">
        <v>356</v>
      </c>
      <c r="CP236" s="366" t="s">
        <v>356</v>
      </c>
      <c r="CQ236" s="366" t="s">
        <v>356</v>
      </c>
      <c r="CR236" s="366" t="s">
        <v>356</v>
      </c>
      <c r="CS236" s="366" t="s">
        <v>356</v>
      </c>
      <c r="CT236" s="366" t="s">
        <v>356</v>
      </c>
      <c r="CU236" s="366" t="s">
        <v>356</v>
      </c>
      <c r="CW236" s="366" t="s">
        <v>356</v>
      </c>
      <c r="CX236" s="366" t="s">
        <v>356</v>
      </c>
      <c r="CY236" s="366" t="s">
        <v>356</v>
      </c>
      <c r="CZ236" s="366" t="s">
        <v>356</v>
      </c>
      <c r="DA236" s="366" t="s">
        <v>356</v>
      </c>
      <c r="DB236" s="366" t="s">
        <v>356</v>
      </c>
      <c r="DC236" s="366" t="s">
        <v>356</v>
      </c>
      <c r="DD236" s="366" t="s">
        <v>356</v>
      </c>
      <c r="DE236" s="438"/>
      <c r="DF236" s="438"/>
      <c r="DG236" s="438"/>
      <c r="DH236" s="438"/>
      <c r="DI236" s="438"/>
      <c r="DJ236" s="438"/>
      <c r="DK236" s="438"/>
      <c r="DL236" s="438"/>
      <c r="DM236" s="366" t="s">
        <v>356</v>
      </c>
      <c r="DN236" s="366" t="s">
        <v>356</v>
      </c>
      <c r="DO236" s="366" t="s">
        <v>356</v>
      </c>
      <c r="DP236" s="366" t="s">
        <v>356</v>
      </c>
      <c r="DQ236" s="366" t="s">
        <v>356</v>
      </c>
      <c r="DR236" s="366" t="s">
        <v>356</v>
      </c>
      <c r="DS236" s="366" t="s">
        <v>356</v>
      </c>
      <c r="DT236" s="366" t="s">
        <v>356</v>
      </c>
      <c r="DU236" s="366" t="s">
        <v>356</v>
      </c>
      <c r="DV236" s="366" t="s">
        <v>356</v>
      </c>
      <c r="DW236" s="366" t="s">
        <v>356</v>
      </c>
      <c r="DX236" s="366" t="s">
        <v>356</v>
      </c>
      <c r="DY236" s="366" t="s">
        <v>356</v>
      </c>
      <c r="DZ236" s="366" t="s">
        <v>356</v>
      </c>
      <c r="EA236" s="366" t="s">
        <v>356</v>
      </c>
      <c r="EB236" s="366" t="s">
        <v>356</v>
      </c>
      <c r="EC236" s="366" t="s">
        <v>356</v>
      </c>
      <c r="ED236" s="366" t="s">
        <v>356</v>
      </c>
      <c r="EE236" s="366" t="s">
        <v>356</v>
      </c>
      <c r="EF236" s="366" t="s">
        <v>356</v>
      </c>
      <c r="EG236" s="366" t="s">
        <v>356</v>
      </c>
      <c r="EH236" s="366" t="s">
        <v>356</v>
      </c>
      <c r="EI236" s="366" t="s">
        <v>356</v>
      </c>
      <c r="EJ236" s="366" t="s">
        <v>356</v>
      </c>
      <c r="EK236" s="366" t="s">
        <v>356</v>
      </c>
      <c r="EL236" s="366" t="s">
        <v>356</v>
      </c>
      <c r="EM236" s="366" t="s">
        <v>356</v>
      </c>
      <c r="EN236" s="366" t="s">
        <v>356</v>
      </c>
      <c r="EO236" s="366" t="s">
        <v>356</v>
      </c>
      <c r="EP236" s="366" t="s">
        <v>356</v>
      </c>
      <c r="EQ236" s="366" t="s">
        <v>356</v>
      </c>
      <c r="ER236" s="366" t="s">
        <v>356</v>
      </c>
      <c r="FA236" s="366" t="s">
        <v>356</v>
      </c>
      <c r="FB236" s="366" t="s">
        <v>356</v>
      </c>
      <c r="FC236" s="366" t="s">
        <v>356</v>
      </c>
      <c r="FD236" s="366" t="s">
        <v>356</v>
      </c>
      <c r="FE236" s="366" t="s">
        <v>356</v>
      </c>
      <c r="FF236" s="366" t="s">
        <v>356</v>
      </c>
      <c r="FG236" s="366" t="s">
        <v>356</v>
      </c>
      <c r="FH236" s="366" t="s">
        <v>356</v>
      </c>
      <c r="FI236" s="366" t="s">
        <v>356</v>
      </c>
      <c r="FJ236" s="366" t="s">
        <v>356</v>
      </c>
      <c r="FK236" s="366" t="s">
        <v>356</v>
      </c>
      <c r="FL236" s="366" t="s">
        <v>356</v>
      </c>
      <c r="FM236" s="366" t="s">
        <v>356</v>
      </c>
      <c r="FN236" s="366" t="s">
        <v>356</v>
      </c>
      <c r="FO236" s="366" t="s">
        <v>356</v>
      </c>
      <c r="FP236" s="366" t="s">
        <v>356</v>
      </c>
    </row>
    <row r="237" spans="1:172" s="406" customFormat="1" ht="13.95" customHeight="1">
      <c r="A237" s="406" t="s">
        <v>391</v>
      </c>
      <c r="B237" s="406" t="s">
        <v>1666</v>
      </c>
      <c r="C237" s="406" t="s">
        <v>1685</v>
      </c>
      <c r="D237" s="406" t="s">
        <v>550</v>
      </c>
      <c r="E237" s="406" t="s">
        <v>828</v>
      </c>
      <c r="F237" s="406" t="s">
        <v>356</v>
      </c>
      <c r="G237" s="406">
        <v>48</v>
      </c>
      <c r="H237" s="406">
        <v>46</v>
      </c>
      <c r="I237" s="406">
        <v>46</v>
      </c>
      <c r="M237" s="406" t="s">
        <v>829</v>
      </c>
      <c r="N237" s="406" t="s">
        <v>1687</v>
      </c>
      <c r="O237" s="406" t="s">
        <v>1542</v>
      </c>
      <c r="P237" s="406" t="s">
        <v>3109</v>
      </c>
      <c r="Q237" s="406" t="s">
        <v>356</v>
      </c>
      <c r="R237" s="406" t="s">
        <v>1693</v>
      </c>
      <c r="S237" s="406" t="s">
        <v>817</v>
      </c>
      <c r="T237" s="406">
        <v>30</v>
      </c>
      <c r="U237" s="406" cm="1">
        <f t="array" ref="U237">IFERROR(INDEX('Offer Statistics'!$DA$2:$DA$450,MATCH(1,(A237='Offer Statistics'!$CL$2:$CL$450)*($A$11='Offer Statistics'!$CM$2:$CM$450),0)),"/")</f>
        <v>26</v>
      </c>
      <c r="V237" s="406" cm="1">
        <f t="array" ref="V237">IFERROR(INDEX('Offer Statistics'!$CN$2:$CN$450,MATCH(1,(A237='Offer Statistics'!$CL$2:$CL$450)*($A$11='Offer Statistics'!$CM$2:$CM$450),0)),"/")</f>
        <v>113</v>
      </c>
      <c r="W237" s="406" cm="1">
        <f t="array" ref="W237">IFERROR(INDEX('Offer Statistics'!$CV$2:$CV$450,MATCH(1,(A237='Offer Statistics'!$CL$2:$CL$450)*($A$11='Offer Statistics'!$CM$2:$CM$450),0)),"/")</f>
        <v>26</v>
      </c>
      <c r="X237" s="406">
        <f t="shared" si="774"/>
        <v>4.3461538461538458</v>
      </c>
      <c r="Y237" s="406" t="s">
        <v>1177</v>
      </c>
      <c r="Z237" s="406" t="str">
        <f>入學要求!AF246</f>
        <v>/</v>
      </c>
      <c r="AA237" s="406" t="str">
        <f>入學要求!AG246</f>
        <v>/</v>
      </c>
      <c r="AB237" s="405" t="s">
        <v>828</v>
      </c>
      <c r="AC237" s="407" t="s">
        <v>3123</v>
      </c>
      <c r="AD237" s="406" t="s">
        <v>3129</v>
      </c>
      <c r="AE237" s="405" t="s">
        <v>829</v>
      </c>
      <c r="AF237" s="405" t="s">
        <v>1687</v>
      </c>
      <c r="AG237" s="405" t="s">
        <v>1542</v>
      </c>
      <c r="AH237" s="405" t="s">
        <v>3109</v>
      </c>
      <c r="AI237" s="406" t="s">
        <v>356</v>
      </c>
      <c r="AJ237" s="406" t="s">
        <v>839</v>
      </c>
      <c r="AK237" s="406" t="s">
        <v>1683</v>
      </c>
      <c r="AL237" s="406" t="s">
        <v>1675</v>
      </c>
      <c r="AO237" s="406" t="s">
        <v>1671</v>
      </c>
      <c r="AP237" s="366" t="s">
        <v>3269</v>
      </c>
      <c r="AQ237" s="406" t="s">
        <v>356</v>
      </c>
      <c r="AS237" s="406" t="s">
        <v>820</v>
      </c>
      <c r="AU237" s="406" t="s">
        <v>817</v>
      </c>
      <c r="AY237" s="406" t="s">
        <v>356</v>
      </c>
      <c r="AZ237" s="406" t="s">
        <v>356</v>
      </c>
      <c r="BA237" s="406" t="s">
        <v>356</v>
      </c>
      <c r="BB237" s="406" t="s">
        <v>356</v>
      </c>
      <c r="BC237" s="406" t="s">
        <v>356</v>
      </c>
      <c r="BD237" s="406" t="s">
        <v>356</v>
      </c>
      <c r="BE237" s="406" t="s">
        <v>356</v>
      </c>
      <c r="BF237" s="406" t="s">
        <v>356</v>
      </c>
      <c r="BH237" s="406" t="s">
        <v>356</v>
      </c>
      <c r="BI237" s="406" t="s">
        <v>356</v>
      </c>
      <c r="BJ237" s="406" t="s">
        <v>356</v>
      </c>
      <c r="BK237" s="406" t="s">
        <v>356</v>
      </c>
      <c r="BL237" s="406" t="s">
        <v>356</v>
      </c>
      <c r="BM237" s="406" t="s">
        <v>356</v>
      </c>
      <c r="BN237" s="406" t="s">
        <v>356</v>
      </c>
      <c r="BO237" s="406" t="s">
        <v>356</v>
      </c>
      <c r="BX237" s="406" t="s">
        <v>356</v>
      </c>
      <c r="BY237" s="406" t="s">
        <v>356</v>
      </c>
      <c r="BZ237" s="406" t="s">
        <v>356</v>
      </c>
      <c r="CA237" s="406" t="s">
        <v>356</v>
      </c>
      <c r="CB237" s="406" t="s">
        <v>356</v>
      </c>
      <c r="CC237" s="406" t="s">
        <v>356</v>
      </c>
      <c r="CD237" s="406" t="s">
        <v>356</v>
      </c>
      <c r="CE237" s="406" t="s">
        <v>356</v>
      </c>
      <c r="CF237" s="406" t="s">
        <v>356</v>
      </c>
      <c r="CG237" s="406" t="s">
        <v>356</v>
      </c>
      <c r="CH237" s="406" t="s">
        <v>356</v>
      </c>
      <c r="CI237" s="406" t="s">
        <v>356</v>
      </c>
      <c r="CJ237" s="406" t="s">
        <v>356</v>
      </c>
      <c r="CK237" s="406" t="s">
        <v>356</v>
      </c>
      <c r="CL237" s="406" t="s">
        <v>356</v>
      </c>
      <c r="CM237" s="406" t="s">
        <v>356</v>
      </c>
      <c r="CN237" s="406" t="s">
        <v>356</v>
      </c>
      <c r="CO237" s="406" t="s">
        <v>356</v>
      </c>
      <c r="CP237" s="406" t="s">
        <v>356</v>
      </c>
      <c r="CQ237" s="406" t="s">
        <v>356</v>
      </c>
      <c r="CR237" s="406" t="s">
        <v>356</v>
      </c>
      <c r="CS237" s="406" t="s">
        <v>356</v>
      </c>
      <c r="CT237" s="406" t="s">
        <v>356</v>
      </c>
      <c r="CU237" s="406" t="s">
        <v>356</v>
      </c>
      <c r="CW237" s="406" t="s">
        <v>356</v>
      </c>
      <c r="CX237" s="406" t="s">
        <v>356</v>
      </c>
      <c r="CY237" s="406" t="s">
        <v>356</v>
      </c>
      <c r="CZ237" s="406" t="s">
        <v>356</v>
      </c>
      <c r="DA237" s="406" t="s">
        <v>356</v>
      </c>
      <c r="DB237" s="406" t="s">
        <v>356</v>
      </c>
      <c r="DC237" s="406" t="s">
        <v>356</v>
      </c>
      <c r="DD237" s="406" t="s">
        <v>356</v>
      </c>
      <c r="DM237" s="406" t="s">
        <v>356</v>
      </c>
      <c r="DN237" s="406" t="s">
        <v>356</v>
      </c>
      <c r="DO237" s="406" t="s">
        <v>356</v>
      </c>
      <c r="DP237" s="406" t="s">
        <v>356</v>
      </c>
      <c r="DQ237" s="406" t="s">
        <v>356</v>
      </c>
      <c r="DR237" s="406" t="s">
        <v>356</v>
      </c>
      <c r="DS237" s="406" t="s">
        <v>356</v>
      </c>
      <c r="DT237" s="406" t="s">
        <v>356</v>
      </c>
      <c r="DU237" s="406" t="s">
        <v>356</v>
      </c>
      <c r="DV237" s="406" t="s">
        <v>356</v>
      </c>
      <c r="DW237" s="406" t="s">
        <v>356</v>
      </c>
      <c r="DX237" s="406" t="s">
        <v>356</v>
      </c>
      <c r="DY237" s="406" t="s">
        <v>356</v>
      </c>
      <c r="DZ237" s="406" t="s">
        <v>356</v>
      </c>
      <c r="EA237" s="406" t="s">
        <v>356</v>
      </c>
      <c r="EB237" s="406" t="s">
        <v>356</v>
      </c>
      <c r="EC237" s="406" t="s">
        <v>356</v>
      </c>
      <c r="ED237" s="406" t="s">
        <v>356</v>
      </c>
      <c r="EE237" s="406" t="s">
        <v>356</v>
      </c>
      <c r="EF237" s="406" t="s">
        <v>356</v>
      </c>
      <c r="EG237" s="406" t="s">
        <v>356</v>
      </c>
      <c r="EH237" s="406" t="s">
        <v>356</v>
      </c>
      <c r="EI237" s="406" t="s">
        <v>356</v>
      </c>
      <c r="EJ237" s="406" t="s">
        <v>356</v>
      </c>
      <c r="EK237" s="406" t="s">
        <v>356</v>
      </c>
      <c r="EL237" s="406" t="s">
        <v>356</v>
      </c>
      <c r="EM237" s="406" t="s">
        <v>356</v>
      </c>
      <c r="EN237" s="406" t="s">
        <v>356</v>
      </c>
      <c r="EO237" s="406" t="s">
        <v>356</v>
      </c>
      <c r="EP237" s="406" t="s">
        <v>356</v>
      </c>
      <c r="EQ237" s="406" t="s">
        <v>356</v>
      </c>
      <c r="ER237" s="406" t="s">
        <v>356</v>
      </c>
      <c r="FA237" s="406" t="s">
        <v>356</v>
      </c>
      <c r="FB237" s="406" t="s">
        <v>356</v>
      </c>
      <c r="FC237" s="406" t="s">
        <v>356</v>
      </c>
      <c r="FD237" s="406" t="s">
        <v>356</v>
      </c>
      <c r="FE237" s="406" t="s">
        <v>356</v>
      </c>
      <c r="FF237" s="406" t="s">
        <v>356</v>
      </c>
      <c r="FG237" s="406" t="s">
        <v>356</v>
      </c>
      <c r="FH237" s="406" t="s">
        <v>356</v>
      </c>
      <c r="FI237" s="406" t="s">
        <v>356</v>
      </c>
      <c r="FJ237" s="406" t="s">
        <v>356</v>
      </c>
      <c r="FK237" s="406" t="s">
        <v>356</v>
      </c>
      <c r="FL237" s="406" t="s">
        <v>356</v>
      </c>
      <c r="FM237" s="406" t="s">
        <v>356</v>
      </c>
      <c r="FN237" s="406" t="s">
        <v>356</v>
      </c>
      <c r="FO237" s="406" t="s">
        <v>356</v>
      </c>
      <c r="FP237" s="406" t="s">
        <v>356</v>
      </c>
    </row>
    <row r="238" spans="1:172" s="366" customFormat="1" ht="13.95" customHeight="1">
      <c r="A238" s="366" t="s">
        <v>393</v>
      </c>
      <c r="B238" s="366" t="s">
        <v>1666</v>
      </c>
      <c r="C238" s="366" t="s">
        <v>1685</v>
      </c>
      <c r="D238" s="366" t="s">
        <v>553</v>
      </c>
      <c r="E238" s="366" t="s">
        <v>828</v>
      </c>
      <c r="F238" s="366" t="s">
        <v>356</v>
      </c>
      <c r="G238" s="368">
        <v>39</v>
      </c>
      <c r="H238" s="368">
        <v>36</v>
      </c>
      <c r="I238" s="368">
        <v>35</v>
      </c>
      <c r="M238" s="368" t="s">
        <v>829</v>
      </c>
      <c r="N238" s="368" t="s">
        <v>1687</v>
      </c>
      <c r="O238" s="368" t="s">
        <v>1542</v>
      </c>
      <c r="P238" s="368" t="s">
        <v>3109</v>
      </c>
      <c r="Q238" s="368" t="s">
        <v>356</v>
      </c>
      <c r="R238" s="365" t="s">
        <v>1694</v>
      </c>
      <c r="S238" s="365" t="s">
        <v>817</v>
      </c>
      <c r="T238" s="366">
        <v>15</v>
      </c>
      <c r="U238" s="366" cm="1">
        <f t="array" ref="U238">IFERROR(INDEX('Offer Statistics'!$DA$2:$DA$450,MATCH(1,(A238='Offer Statistics'!$CL$2:$CL$450)*($A$11='Offer Statistics'!$CM$2:$CM$450),0)),"/")</f>
        <v>25</v>
      </c>
      <c r="V238" s="366" cm="1">
        <f t="array" ref="V238">IFERROR(INDEX('Offer Statistics'!$CN$2:$CN$450,MATCH(1,(A238='Offer Statistics'!$CL$2:$CL$450)*($A$11='Offer Statistics'!$CM$2:$CM$450),0)),"/")</f>
        <v>63</v>
      </c>
      <c r="W238" s="366" cm="1">
        <f t="array" ref="W238">IFERROR(INDEX('Offer Statistics'!$CV$2:$CV$450,MATCH(1,(A238='Offer Statistics'!$CL$2:$CL$450)*($A$11='Offer Statistics'!$CM$2:$CM$450),0)),"/")</f>
        <v>25</v>
      </c>
      <c r="X238" s="366">
        <f t="shared" si="774"/>
        <v>2.52</v>
      </c>
      <c r="Y238" s="366" t="s">
        <v>1177</v>
      </c>
      <c r="Z238" s="366" t="str">
        <f>入學要求!AF247</f>
        <v>以下一科選修取得Lv.3︰生物、化學、組合科學、物理、ICT、綜合科學</v>
      </c>
      <c r="AA238" s="366" t="str">
        <f>入學要求!AG247</f>
        <v>優先考慮 M1/2 考獲Lv. 3 或以上 者</v>
      </c>
      <c r="AB238" s="401" t="s">
        <v>889</v>
      </c>
      <c r="AC238" s="400"/>
      <c r="AD238" s="400"/>
      <c r="AE238" s="368" t="s">
        <v>998</v>
      </c>
      <c r="AF238" s="368" t="s">
        <v>3121</v>
      </c>
      <c r="AG238" s="368" t="s">
        <v>1542</v>
      </c>
      <c r="AH238" s="368" t="s">
        <v>3122</v>
      </c>
      <c r="AI238" s="368" t="s">
        <v>356</v>
      </c>
      <c r="AJ238" s="366" t="s">
        <v>839</v>
      </c>
      <c r="AK238" s="366" t="s">
        <v>1683</v>
      </c>
      <c r="AL238" s="366" t="s">
        <v>1675</v>
      </c>
      <c r="AO238" s="366" t="s">
        <v>1671</v>
      </c>
      <c r="AP238" s="366" t="s">
        <v>3269</v>
      </c>
      <c r="AQ238" s="366" t="s">
        <v>356</v>
      </c>
      <c r="AS238" s="366" t="s">
        <v>820</v>
      </c>
      <c r="AU238" s="366" t="s">
        <v>817</v>
      </c>
      <c r="AY238" s="366" t="s">
        <v>356</v>
      </c>
      <c r="AZ238" s="366" t="s">
        <v>356</v>
      </c>
      <c r="BA238" s="366" t="s">
        <v>356</v>
      </c>
      <c r="BB238" s="366" t="s">
        <v>356</v>
      </c>
      <c r="BC238" s="366" t="s">
        <v>356</v>
      </c>
      <c r="BD238" s="366" t="s">
        <v>356</v>
      </c>
      <c r="BE238" s="366" t="s">
        <v>356</v>
      </c>
      <c r="BF238" s="366" t="s">
        <v>356</v>
      </c>
      <c r="BH238" s="366" t="s">
        <v>356</v>
      </c>
      <c r="BI238" s="366" t="s">
        <v>356</v>
      </c>
      <c r="BJ238" s="366" t="s">
        <v>356</v>
      </c>
      <c r="BK238" s="366" t="s">
        <v>356</v>
      </c>
      <c r="BL238" s="366" t="s">
        <v>356</v>
      </c>
      <c r="BM238" s="366" t="s">
        <v>356</v>
      </c>
      <c r="BN238" s="366" t="s">
        <v>356</v>
      </c>
      <c r="BO238" s="366" t="s">
        <v>356</v>
      </c>
      <c r="BP238" s="438"/>
      <c r="BQ238" s="438"/>
      <c r="BR238" s="438"/>
      <c r="BS238" s="438"/>
      <c r="BT238" s="438"/>
      <c r="BU238" s="438"/>
      <c r="BV238" s="438"/>
      <c r="BW238" s="438"/>
      <c r="BX238" s="366" t="s">
        <v>356</v>
      </c>
      <c r="BY238" s="366" t="s">
        <v>356</v>
      </c>
      <c r="BZ238" s="366" t="s">
        <v>356</v>
      </c>
      <c r="CA238" s="366" t="s">
        <v>356</v>
      </c>
      <c r="CB238" s="366" t="s">
        <v>356</v>
      </c>
      <c r="CC238" s="366" t="s">
        <v>356</v>
      </c>
      <c r="CD238" s="366" t="s">
        <v>356</v>
      </c>
      <c r="CE238" s="366" t="s">
        <v>356</v>
      </c>
      <c r="CF238" s="366" t="s">
        <v>356</v>
      </c>
      <c r="CG238" s="366" t="s">
        <v>356</v>
      </c>
      <c r="CH238" s="366" t="s">
        <v>356</v>
      </c>
      <c r="CI238" s="366" t="s">
        <v>356</v>
      </c>
      <c r="CJ238" s="366" t="s">
        <v>356</v>
      </c>
      <c r="CK238" s="366" t="s">
        <v>356</v>
      </c>
      <c r="CL238" s="366" t="s">
        <v>356</v>
      </c>
      <c r="CM238" s="366" t="s">
        <v>356</v>
      </c>
      <c r="CN238" s="366" t="s">
        <v>356</v>
      </c>
      <c r="CO238" s="366" t="s">
        <v>356</v>
      </c>
      <c r="CP238" s="366" t="s">
        <v>356</v>
      </c>
      <c r="CQ238" s="366" t="s">
        <v>356</v>
      </c>
      <c r="CR238" s="366" t="s">
        <v>356</v>
      </c>
      <c r="CS238" s="366" t="s">
        <v>356</v>
      </c>
      <c r="CT238" s="366" t="s">
        <v>356</v>
      </c>
      <c r="CU238" s="366" t="s">
        <v>356</v>
      </c>
      <c r="CW238" s="366" t="s">
        <v>356</v>
      </c>
      <c r="CX238" s="366" t="s">
        <v>356</v>
      </c>
      <c r="CY238" s="366" t="s">
        <v>356</v>
      </c>
      <c r="CZ238" s="366" t="s">
        <v>356</v>
      </c>
      <c r="DA238" s="366" t="s">
        <v>356</v>
      </c>
      <c r="DB238" s="366" t="s">
        <v>356</v>
      </c>
      <c r="DC238" s="366" t="s">
        <v>356</v>
      </c>
      <c r="DD238" s="366" t="s">
        <v>356</v>
      </c>
      <c r="DE238" s="438"/>
      <c r="DF238" s="438"/>
      <c r="DG238" s="438"/>
      <c r="DH238" s="438"/>
      <c r="DI238" s="438"/>
      <c r="DJ238" s="438"/>
      <c r="DK238" s="438"/>
      <c r="DL238" s="438"/>
      <c r="DM238" s="366" t="s">
        <v>356</v>
      </c>
      <c r="DN238" s="366" t="s">
        <v>356</v>
      </c>
      <c r="DO238" s="366" t="s">
        <v>356</v>
      </c>
      <c r="DP238" s="366" t="s">
        <v>356</v>
      </c>
      <c r="DQ238" s="366" t="s">
        <v>356</v>
      </c>
      <c r="DR238" s="366" t="s">
        <v>356</v>
      </c>
      <c r="DS238" s="366" t="s">
        <v>356</v>
      </c>
      <c r="DT238" s="366" t="s">
        <v>356</v>
      </c>
      <c r="DU238" s="366" t="s">
        <v>356</v>
      </c>
      <c r="DV238" s="366" t="s">
        <v>356</v>
      </c>
      <c r="DW238" s="366" t="s">
        <v>356</v>
      </c>
      <c r="DX238" s="366" t="s">
        <v>356</v>
      </c>
      <c r="DY238" s="366" t="s">
        <v>356</v>
      </c>
      <c r="DZ238" s="366" t="s">
        <v>356</v>
      </c>
      <c r="EA238" s="366" t="s">
        <v>356</v>
      </c>
      <c r="EB238" s="366" t="s">
        <v>356</v>
      </c>
      <c r="EC238" s="366" t="s">
        <v>356</v>
      </c>
      <c r="ED238" s="366" t="s">
        <v>356</v>
      </c>
      <c r="EE238" s="366" t="s">
        <v>356</v>
      </c>
      <c r="EF238" s="366" t="s">
        <v>356</v>
      </c>
      <c r="EG238" s="366" t="s">
        <v>356</v>
      </c>
      <c r="EH238" s="366" t="s">
        <v>356</v>
      </c>
      <c r="EI238" s="366" t="s">
        <v>356</v>
      </c>
      <c r="EJ238" s="366" t="s">
        <v>356</v>
      </c>
      <c r="EK238" s="366" t="s">
        <v>356</v>
      </c>
      <c r="EL238" s="366" t="s">
        <v>356</v>
      </c>
      <c r="EM238" s="366" t="s">
        <v>356</v>
      </c>
      <c r="EN238" s="366" t="s">
        <v>356</v>
      </c>
      <c r="EO238" s="366" t="s">
        <v>356</v>
      </c>
      <c r="EP238" s="366" t="s">
        <v>356</v>
      </c>
      <c r="EQ238" s="366" t="s">
        <v>356</v>
      </c>
      <c r="ER238" s="366" t="s">
        <v>356</v>
      </c>
      <c r="FA238" s="366" t="s">
        <v>356</v>
      </c>
      <c r="FB238" s="366" t="s">
        <v>356</v>
      </c>
      <c r="FC238" s="366" t="s">
        <v>356</v>
      </c>
      <c r="FD238" s="366" t="s">
        <v>356</v>
      </c>
      <c r="FE238" s="366" t="s">
        <v>356</v>
      </c>
      <c r="FF238" s="366" t="s">
        <v>356</v>
      </c>
      <c r="FG238" s="366" t="s">
        <v>356</v>
      </c>
      <c r="FH238" s="366" t="s">
        <v>356</v>
      </c>
      <c r="FI238" s="366" t="s">
        <v>356</v>
      </c>
      <c r="FJ238" s="366" t="s">
        <v>356</v>
      </c>
      <c r="FK238" s="366" t="s">
        <v>356</v>
      </c>
      <c r="FL238" s="366" t="s">
        <v>356</v>
      </c>
      <c r="FM238" s="366" t="s">
        <v>356</v>
      </c>
      <c r="FN238" s="366" t="s">
        <v>356</v>
      </c>
      <c r="FO238" s="366" t="s">
        <v>356</v>
      </c>
      <c r="FP238" s="366" t="s">
        <v>356</v>
      </c>
    </row>
    <row r="239" spans="1:172" s="406" customFormat="1" ht="13.95" customHeight="1">
      <c r="A239" s="406" t="s">
        <v>392</v>
      </c>
      <c r="B239" s="406" t="s">
        <v>1666</v>
      </c>
      <c r="C239" s="406" t="s">
        <v>1685</v>
      </c>
      <c r="D239" s="406" t="s">
        <v>555</v>
      </c>
      <c r="E239" s="406" t="s">
        <v>828</v>
      </c>
      <c r="F239" s="406" t="s">
        <v>356</v>
      </c>
      <c r="G239" s="406">
        <v>49</v>
      </c>
      <c r="H239" s="406">
        <v>46</v>
      </c>
      <c r="I239" s="406">
        <v>45</v>
      </c>
      <c r="M239" s="406" t="s">
        <v>829</v>
      </c>
      <c r="N239" s="406" t="s">
        <v>1687</v>
      </c>
      <c r="O239" s="406" t="s">
        <v>1542</v>
      </c>
      <c r="P239" s="406" t="s">
        <v>3109</v>
      </c>
      <c r="Q239" s="406" t="s">
        <v>356</v>
      </c>
      <c r="R239" s="406" t="s">
        <v>1695</v>
      </c>
      <c r="S239" s="406" t="s">
        <v>817</v>
      </c>
      <c r="T239" s="406">
        <v>80</v>
      </c>
      <c r="U239" s="406" cm="1">
        <f t="array" ref="U239">IFERROR(INDEX('Offer Statistics'!$DA$2:$DA$450,MATCH(1,(A239='Offer Statistics'!$CL$2:$CL$450)*($A$11='Offer Statistics'!$CM$2:$CM$450),0)),"/")</f>
        <v>80</v>
      </c>
      <c r="V239" s="406" cm="1">
        <f t="array" ref="V239">IFERROR(INDEX('Offer Statistics'!$CN$2:$CN$450,MATCH(1,(A239='Offer Statistics'!$CL$2:$CL$450)*($A$11='Offer Statistics'!$CM$2:$CM$450),0)),"/")</f>
        <v>187</v>
      </c>
      <c r="W239" s="406" cm="1">
        <f t="array" ref="W239">IFERROR(INDEX('Offer Statistics'!$CV$2:$CV$450,MATCH(1,(A239='Offer Statistics'!$CL$2:$CL$450)*($A$11='Offer Statistics'!$CM$2:$CM$450),0)),"/")</f>
        <v>80</v>
      </c>
      <c r="X239" s="406">
        <f t="shared" si="774"/>
        <v>2.3374999999999999</v>
      </c>
      <c r="Y239" s="406" t="s">
        <v>1177</v>
      </c>
      <c r="Z239" s="406" t="str">
        <f>入學要求!AF248</f>
        <v>/</v>
      </c>
      <c r="AA239" s="406" t="str">
        <f>入學要求!AG248</f>
        <v>/</v>
      </c>
      <c r="AB239" s="405" t="s">
        <v>828</v>
      </c>
      <c r="AC239" s="407" t="s">
        <v>3123</v>
      </c>
      <c r="AD239" s="406" t="s">
        <v>3129</v>
      </c>
      <c r="AE239" s="405" t="s">
        <v>829</v>
      </c>
      <c r="AF239" s="405" t="s">
        <v>1687</v>
      </c>
      <c r="AG239" s="405" t="s">
        <v>1542</v>
      </c>
      <c r="AH239" s="405" t="s">
        <v>3109</v>
      </c>
      <c r="AI239" s="406" t="s">
        <v>356</v>
      </c>
      <c r="AJ239" s="406" t="s">
        <v>839</v>
      </c>
      <c r="AK239" s="406" t="s">
        <v>1683</v>
      </c>
      <c r="AL239" s="406" t="s">
        <v>1675</v>
      </c>
      <c r="AO239" s="406" t="s">
        <v>1671</v>
      </c>
      <c r="AP239" s="366" t="s">
        <v>3269</v>
      </c>
      <c r="AQ239" s="406" t="s">
        <v>356</v>
      </c>
      <c r="AS239" s="406" t="s">
        <v>820</v>
      </c>
      <c r="AU239" s="406" t="s">
        <v>817</v>
      </c>
      <c r="AY239" s="406" t="s">
        <v>356</v>
      </c>
      <c r="AZ239" s="406" t="s">
        <v>356</v>
      </c>
      <c r="BA239" s="406" t="s">
        <v>356</v>
      </c>
      <c r="BB239" s="406" t="s">
        <v>356</v>
      </c>
      <c r="BC239" s="406" t="s">
        <v>356</v>
      </c>
      <c r="BD239" s="406" t="s">
        <v>356</v>
      </c>
      <c r="BE239" s="406" t="s">
        <v>356</v>
      </c>
      <c r="BF239" s="406" t="s">
        <v>356</v>
      </c>
      <c r="BH239" s="406" t="s">
        <v>356</v>
      </c>
      <c r="BI239" s="406" t="s">
        <v>356</v>
      </c>
      <c r="BJ239" s="406" t="s">
        <v>356</v>
      </c>
      <c r="BK239" s="406" t="s">
        <v>356</v>
      </c>
      <c r="BL239" s="406" t="s">
        <v>356</v>
      </c>
      <c r="BM239" s="406" t="s">
        <v>356</v>
      </c>
      <c r="BN239" s="406" t="s">
        <v>356</v>
      </c>
      <c r="BO239" s="406" t="s">
        <v>356</v>
      </c>
      <c r="BX239" s="406" t="s">
        <v>356</v>
      </c>
      <c r="BY239" s="406" t="s">
        <v>356</v>
      </c>
      <c r="BZ239" s="406" t="s">
        <v>356</v>
      </c>
      <c r="CA239" s="406" t="s">
        <v>356</v>
      </c>
      <c r="CB239" s="406" t="s">
        <v>356</v>
      </c>
      <c r="CC239" s="406" t="s">
        <v>356</v>
      </c>
      <c r="CD239" s="406" t="s">
        <v>356</v>
      </c>
      <c r="CE239" s="406" t="s">
        <v>356</v>
      </c>
      <c r="CF239" s="406" t="s">
        <v>356</v>
      </c>
      <c r="CG239" s="406" t="s">
        <v>356</v>
      </c>
      <c r="CH239" s="406" t="s">
        <v>356</v>
      </c>
      <c r="CI239" s="406" t="s">
        <v>356</v>
      </c>
      <c r="CJ239" s="406" t="s">
        <v>356</v>
      </c>
      <c r="CK239" s="406" t="s">
        <v>356</v>
      </c>
      <c r="CL239" s="406" t="s">
        <v>356</v>
      </c>
      <c r="CM239" s="406" t="s">
        <v>356</v>
      </c>
      <c r="CN239" s="406" t="s">
        <v>356</v>
      </c>
      <c r="CO239" s="406" t="s">
        <v>356</v>
      </c>
      <c r="CP239" s="406" t="s">
        <v>356</v>
      </c>
      <c r="CQ239" s="406" t="s">
        <v>356</v>
      </c>
      <c r="CR239" s="406" t="s">
        <v>356</v>
      </c>
      <c r="CS239" s="406" t="s">
        <v>356</v>
      </c>
      <c r="CT239" s="406" t="s">
        <v>356</v>
      </c>
      <c r="CU239" s="406" t="s">
        <v>356</v>
      </c>
      <c r="CW239" s="406" t="s">
        <v>356</v>
      </c>
      <c r="CX239" s="406" t="s">
        <v>356</v>
      </c>
      <c r="CY239" s="406" t="s">
        <v>356</v>
      </c>
      <c r="CZ239" s="406" t="s">
        <v>356</v>
      </c>
      <c r="DA239" s="406" t="s">
        <v>356</v>
      </c>
      <c r="DB239" s="406" t="s">
        <v>356</v>
      </c>
      <c r="DC239" s="406" t="s">
        <v>356</v>
      </c>
      <c r="DD239" s="406" t="s">
        <v>356</v>
      </c>
      <c r="DM239" s="406" t="s">
        <v>356</v>
      </c>
      <c r="DN239" s="406" t="s">
        <v>356</v>
      </c>
      <c r="DO239" s="406" t="s">
        <v>356</v>
      </c>
      <c r="DP239" s="406" t="s">
        <v>356</v>
      </c>
      <c r="DQ239" s="406" t="s">
        <v>356</v>
      </c>
      <c r="DR239" s="406" t="s">
        <v>356</v>
      </c>
      <c r="DS239" s="406" t="s">
        <v>356</v>
      </c>
      <c r="DT239" s="406" t="s">
        <v>356</v>
      </c>
      <c r="DU239" s="406" t="s">
        <v>356</v>
      </c>
      <c r="DV239" s="406" t="s">
        <v>356</v>
      </c>
      <c r="DW239" s="406" t="s">
        <v>356</v>
      </c>
      <c r="DX239" s="406" t="s">
        <v>356</v>
      </c>
      <c r="DY239" s="406" t="s">
        <v>356</v>
      </c>
      <c r="DZ239" s="406" t="s">
        <v>356</v>
      </c>
      <c r="EA239" s="406" t="s">
        <v>356</v>
      </c>
      <c r="EB239" s="406" t="s">
        <v>356</v>
      </c>
      <c r="EC239" s="406" t="s">
        <v>356</v>
      </c>
      <c r="ED239" s="406" t="s">
        <v>356</v>
      </c>
      <c r="EE239" s="406" t="s">
        <v>356</v>
      </c>
      <c r="EF239" s="406" t="s">
        <v>356</v>
      </c>
      <c r="EG239" s="406" t="s">
        <v>356</v>
      </c>
      <c r="EH239" s="406" t="s">
        <v>356</v>
      </c>
      <c r="EI239" s="406" t="s">
        <v>356</v>
      </c>
      <c r="EJ239" s="406" t="s">
        <v>356</v>
      </c>
      <c r="EK239" s="406" t="s">
        <v>356</v>
      </c>
      <c r="EL239" s="406" t="s">
        <v>356</v>
      </c>
      <c r="EM239" s="406" t="s">
        <v>356</v>
      </c>
      <c r="EN239" s="406" t="s">
        <v>356</v>
      </c>
      <c r="EO239" s="406" t="s">
        <v>356</v>
      </c>
      <c r="EP239" s="406" t="s">
        <v>356</v>
      </c>
      <c r="EQ239" s="406" t="s">
        <v>356</v>
      </c>
      <c r="ER239" s="406" t="s">
        <v>356</v>
      </c>
      <c r="FA239" s="406" t="s">
        <v>356</v>
      </c>
      <c r="FB239" s="406" t="s">
        <v>356</v>
      </c>
      <c r="FC239" s="406" t="s">
        <v>356</v>
      </c>
      <c r="FD239" s="406" t="s">
        <v>356</v>
      </c>
      <c r="FE239" s="406" t="s">
        <v>356</v>
      </c>
      <c r="FF239" s="406" t="s">
        <v>356</v>
      </c>
      <c r="FG239" s="406" t="s">
        <v>356</v>
      </c>
      <c r="FH239" s="406" t="s">
        <v>356</v>
      </c>
      <c r="FI239" s="406" t="s">
        <v>356</v>
      </c>
      <c r="FJ239" s="406" t="s">
        <v>356</v>
      </c>
      <c r="FK239" s="406" t="s">
        <v>356</v>
      </c>
      <c r="FL239" s="406" t="s">
        <v>356</v>
      </c>
      <c r="FM239" s="406" t="s">
        <v>356</v>
      </c>
      <c r="FN239" s="406" t="s">
        <v>356</v>
      </c>
      <c r="FO239" s="406" t="s">
        <v>356</v>
      </c>
      <c r="FP239" s="406" t="s">
        <v>356</v>
      </c>
    </row>
    <row r="240" spans="1:172" s="366" customFormat="1" ht="13.95" customHeight="1">
      <c r="A240" s="366" t="s">
        <v>395</v>
      </c>
      <c r="B240" s="366" t="s">
        <v>1666</v>
      </c>
      <c r="C240" s="366" t="s">
        <v>1685</v>
      </c>
      <c r="D240" s="366" t="s">
        <v>557</v>
      </c>
      <c r="E240" s="366" t="s">
        <v>828</v>
      </c>
      <c r="F240" s="366" t="s">
        <v>356</v>
      </c>
      <c r="G240" s="368">
        <v>36</v>
      </c>
      <c r="H240" s="368">
        <v>35</v>
      </c>
      <c r="I240" s="368">
        <v>33</v>
      </c>
      <c r="M240" s="368" t="s">
        <v>829</v>
      </c>
      <c r="N240" s="368" t="s">
        <v>1687</v>
      </c>
      <c r="O240" s="368" t="s">
        <v>1542</v>
      </c>
      <c r="P240" s="368" t="s">
        <v>3109</v>
      </c>
      <c r="Q240" s="368" t="s">
        <v>356</v>
      </c>
      <c r="R240" s="365" t="s">
        <v>1698</v>
      </c>
      <c r="S240" s="365" t="s">
        <v>817</v>
      </c>
      <c r="T240" s="366">
        <v>25</v>
      </c>
      <c r="U240" s="366" cm="1">
        <f t="array" ref="U240">IFERROR(INDEX('Offer Statistics'!$DA$2:$DA$450,MATCH(1,(A240='Offer Statistics'!$CL$2:$CL$450)*($A$11='Offer Statistics'!$CM$2:$CM$450),0)),"/")</f>
        <v>30</v>
      </c>
      <c r="V240" s="366" cm="1">
        <f t="array" ref="V240">IFERROR(INDEX('Offer Statistics'!$CN$2:$CN$450,MATCH(1,(A240='Offer Statistics'!$CL$2:$CL$450)*($A$11='Offer Statistics'!$CM$2:$CM$450),0)),"/")</f>
        <v>52</v>
      </c>
      <c r="W240" s="366" cm="1">
        <f t="array" ref="W240">IFERROR(INDEX('Offer Statistics'!$CV$2:$CV$450,MATCH(1,(A240='Offer Statistics'!$CL$2:$CL$450)*($A$11='Offer Statistics'!$CM$2:$CM$450),0)),"/")</f>
        <v>29</v>
      </c>
      <c r="X240" s="366">
        <f t="shared" si="774"/>
        <v>1.7931034482758621</v>
      </c>
      <c r="Y240" s="366" t="s">
        <v>1177</v>
      </c>
      <c r="Z240" s="366" t="str">
        <f>入學要求!AF249</f>
        <v>以下一科選修取得Lv.3︰生物、化學、組合科學、物理、ICT、綜合科學、經濟、BAFS</v>
      </c>
      <c r="AA240" s="366" t="str">
        <f>入學要求!AG249</f>
        <v>優先考慮 M1/2 考獲Lv. 3 或以上 者</v>
      </c>
      <c r="AB240" s="401" t="s">
        <v>889</v>
      </c>
      <c r="AC240" s="400"/>
      <c r="AD240" s="400"/>
      <c r="AE240" s="368" t="s">
        <v>998</v>
      </c>
      <c r="AF240" s="368" t="s">
        <v>3121</v>
      </c>
      <c r="AG240" s="368" t="s">
        <v>1542</v>
      </c>
      <c r="AH240" s="368" t="s">
        <v>3122</v>
      </c>
      <c r="AI240" s="368" t="s">
        <v>356</v>
      </c>
      <c r="AJ240" s="366" t="s">
        <v>839</v>
      </c>
      <c r="AK240" s="366" t="s">
        <v>1683</v>
      </c>
      <c r="AL240" s="366" t="s">
        <v>1675</v>
      </c>
      <c r="AO240" s="366" t="s">
        <v>1671</v>
      </c>
      <c r="AP240" s="366" t="s">
        <v>3269</v>
      </c>
      <c r="AQ240" s="366" t="s">
        <v>356</v>
      </c>
      <c r="AS240" s="366" t="s">
        <v>820</v>
      </c>
      <c r="AU240" s="366" t="s">
        <v>817</v>
      </c>
      <c r="AY240" s="366" t="s">
        <v>356</v>
      </c>
      <c r="AZ240" s="366" t="s">
        <v>356</v>
      </c>
      <c r="BA240" s="366" t="s">
        <v>356</v>
      </c>
      <c r="BB240" s="366" t="s">
        <v>356</v>
      </c>
      <c r="BC240" s="366" t="s">
        <v>356</v>
      </c>
      <c r="BD240" s="366" t="s">
        <v>356</v>
      </c>
      <c r="BE240" s="366" t="s">
        <v>356</v>
      </c>
      <c r="BF240" s="366" t="s">
        <v>356</v>
      </c>
      <c r="BH240" s="366" t="s">
        <v>356</v>
      </c>
      <c r="BI240" s="366" t="s">
        <v>356</v>
      </c>
      <c r="BJ240" s="366" t="s">
        <v>356</v>
      </c>
      <c r="BK240" s="366" t="s">
        <v>356</v>
      </c>
      <c r="BL240" s="366" t="s">
        <v>356</v>
      </c>
      <c r="BM240" s="366" t="s">
        <v>356</v>
      </c>
      <c r="BN240" s="366" t="s">
        <v>356</v>
      </c>
      <c r="BO240" s="366" t="s">
        <v>356</v>
      </c>
      <c r="BP240" s="438"/>
      <c r="BQ240" s="438"/>
      <c r="BR240" s="438"/>
      <c r="BS240" s="438"/>
      <c r="BT240" s="438"/>
      <c r="BU240" s="438"/>
      <c r="BV240" s="438"/>
      <c r="BW240" s="438"/>
      <c r="BX240" s="366" t="s">
        <v>356</v>
      </c>
      <c r="BY240" s="366" t="s">
        <v>356</v>
      </c>
      <c r="BZ240" s="366" t="s">
        <v>356</v>
      </c>
      <c r="CA240" s="366" t="s">
        <v>356</v>
      </c>
      <c r="CB240" s="366" t="s">
        <v>356</v>
      </c>
      <c r="CC240" s="366" t="s">
        <v>356</v>
      </c>
      <c r="CD240" s="366" t="s">
        <v>356</v>
      </c>
      <c r="CE240" s="366" t="s">
        <v>356</v>
      </c>
      <c r="CF240" s="366" t="s">
        <v>356</v>
      </c>
      <c r="CG240" s="366" t="s">
        <v>356</v>
      </c>
      <c r="CH240" s="366" t="s">
        <v>356</v>
      </c>
      <c r="CI240" s="366" t="s">
        <v>356</v>
      </c>
      <c r="CJ240" s="366" t="s">
        <v>356</v>
      </c>
      <c r="CK240" s="366" t="s">
        <v>356</v>
      </c>
      <c r="CL240" s="366" t="s">
        <v>356</v>
      </c>
      <c r="CM240" s="366" t="s">
        <v>356</v>
      </c>
      <c r="CN240" s="366" t="s">
        <v>356</v>
      </c>
      <c r="CO240" s="366" t="s">
        <v>356</v>
      </c>
      <c r="CP240" s="366" t="s">
        <v>356</v>
      </c>
      <c r="CQ240" s="366" t="s">
        <v>356</v>
      </c>
      <c r="CR240" s="366" t="s">
        <v>356</v>
      </c>
      <c r="CS240" s="366" t="s">
        <v>356</v>
      </c>
      <c r="CT240" s="366" t="s">
        <v>356</v>
      </c>
      <c r="CU240" s="366" t="s">
        <v>356</v>
      </c>
      <c r="CW240" s="366" t="s">
        <v>356</v>
      </c>
      <c r="CX240" s="366" t="s">
        <v>356</v>
      </c>
      <c r="CY240" s="366" t="s">
        <v>356</v>
      </c>
      <c r="CZ240" s="366" t="s">
        <v>356</v>
      </c>
      <c r="DA240" s="366" t="s">
        <v>356</v>
      </c>
      <c r="DB240" s="366" t="s">
        <v>356</v>
      </c>
      <c r="DC240" s="366" t="s">
        <v>356</v>
      </c>
      <c r="DD240" s="366" t="s">
        <v>356</v>
      </c>
      <c r="DE240" s="438"/>
      <c r="DF240" s="438"/>
      <c r="DG240" s="438"/>
      <c r="DH240" s="438"/>
      <c r="DI240" s="438"/>
      <c r="DJ240" s="438"/>
      <c r="DK240" s="438"/>
      <c r="DL240" s="438"/>
      <c r="DM240" s="366" t="s">
        <v>356</v>
      </c>
      <c r="DN240" s="366" t="s">
        <v>356</v>
      </c>
      <c r="DO240" s="366" t="s">
        <v>356</v>
      </c>
      <c r="DP240" s="366" t="s">
        <v>356</v>
      </c>
      <c r="DQ240" s="366" t="s">
        <v>356</v>
      </c>
      <c r="DR240" s="366" t="s">
        <v>356</v>
      </c>
      <c r="DS240" s="366" t="s">
        <v>356</v>
      </c>
      <c r="DT240" s="366" t="s">
        <v>356</v>
      </c>
      <c r="DU240" s="366" t="s">
        <v>356</v>
      </c>
      <c r="DV240" s="366" t="s">
        <v>356</v>
      </c>
      <c r="DW240" s="366" t="s">
        <v>356</v>
      </c>
      <c r="DX240" s="366" t="s">
        <v>356</v>
      </c>
      <c r="DY240" s="366" t="s">
        <v>356</v>
      </c>
      <c r="DZ240" s="366" t="s">
        <v>356</v>
      </c>
      <c r="EA240" s="366" t="s">
        <v>356</v>
      </c>
      <c r="EB240" s="366" t="s">
        <v>356</v>
      </c>
      <c r="EC240" s="366" t="s">
        <v>356</v>
      </c>
      <c r="ED240" s="366" t="s">
        <v>356</v>
      </c>
      <c r="EE240" s="366" t="s">
        <v>356</v>
      </c>
      <c r="EF240" s="366" t="s">
        <v>356</v>
      </c>
      <c r="EG240" s="366" t="s">
        <v>356</v>
      </c>
      <c r="EH240" s="366" t="s">
        <v>356</v>
      </c>
      <c r="EI240" s="366" t="s">
        <v>356</v>
      </c>
      <c r="EJ240" s="366" t="s">
        <v>356</v>
      </c>
      <c r="EK240" s="366" t="s">
        <v>356</v>
      </c>
      <c r="EL240" s="366" t="s">
        <v>356</v>
      </c>
      <c r="EM240" s="366" t="s">
        <v>356</v>
      </c>
      <c r="EN240" s="366" t="s">
        <v>356</v>
      </c>
      <c r="EO240" s="366" t="s">
        <v>356</v>
      </c>
      <c r="EP240" s="366" t="s">
        <v>356</v>
      </c>
      <c r="EQ240" s="366" t="s">
        <v>356</v>
      </c>
      <c r="ER240" s="366" t="s">
        <v>356</v>
      </c>
      <c r="FA240" s="366" t="s">
        <v>356</v>
      </c>
      <c r="FB240" s="366" t="s">
        <v>356</v>
      </c>
      <c r="FC240" s="366" t="s">
        <v>356</v>
      </c>
      <c r="FD240" s="366" t="s">
        <v>356</v>
      </c>
      <c r="FE240" s="366" t="s">
        <v>356</v>
      </c>
      <c r="FF240" s="366" t="s">
        <v>356</v>
      </c>
      <c r="FG240" s="366" t="s">
        <v>356</v>
      </c>
      <c r="FH240" s="366" t="s">
        <v>356</v>
      </c>
      <c r="FI240" s="366" t="s">
        <v>356</v>
      </c>
      <c r="FJ240" s="366" t="s">
        <v>356</v>
      </c>
      <c r="FK240" s="366" t="s">
        <v>356</v>
      </c>
      <c r="FL240" s="366" t="s">
        <v>356</v>
      </c>
      <c r="FM240" s="366" t="s">
        <v>356</v>
      </c>
      <c r="FN240" s="366" t="s">
        <v>356</v>
      </c>
      <c r="FO240" s="366" t="s">
        <v>356</v>
      </c>
      <c r="FP240" s="366" t="s">
        <v>356</v>
      </c>
    </row>
    <row r="241" spans="1:172" s="406" customFormat="1" ht="13.95" customHeight="1">
      <c r="A241" s="406" t="s">
        <v>396</v>
      </c>
      <c r="B241" s="406" t="s">
        <v>1666</v>
      </c>
      <c r="C241" s="406" t="s">
        <v>1685</v>
      </c>
      <c r="D241" s="406" t="s">
        <v>561</v>
      </c>
      <c r="E241" s="406" t="s">
        <v>828</v>
      </c>
      <c r="F241" s="406" t="s">
        <v>356</v>
      </c>
      <c r="G241" s="406">
        <v>50</v>
      </c>
      <c r="H241" s="406">
        <v>48</v>
      </c>
      <c r="I241" s="406">
        <v>47</v>
      </c>
      <c r="M241" s="406" t="s">
        <v>1696</v>
      </c>
      <c r="N241" s="406" t="s">
        <v>1687</v>
      </c>
      <c r="O241" s="406" t="s">
        <v>838</v>
      </c>
      <c r="P241" s="406" t="s">
        <v>1697</v>
      </c>
      <c r="Q241" s="406" t="s">
        <v>3109</v>
      </c>
      <c r="R241" s="406" t="s">
        <v>1699</v>
      </c>
      <c r="S241" s="406" t="s">
        <v>817</v>
      </c>
      <c r="T241" s="406">
        <v>25</v>
      </c>
      <c r="U241" s="406" cm="1">
        <f t="array" ref="U241">IFERROR(INDEX('Offer Statistics'!$DA$2:$DA$450,MATCH(1,(A241='Offer Statistics'!$CL$2:$CL$450)*($A$11='Offer Statistics'!$CM$2:$CM$450),0)),"/")</f>
        <v>24</v>
      </c>
      <c r="V241" s="406" cm="1">
        <f t="array" ref="V241">IFERROR(INDEX('Offer Statistics'!$CN$2:$CN$450,MATCH(1,(A241='Offer Statistics'!$CL$2:$CL$450)*($A$11='Offer Statistics'!$CM$2:$CM$450),0)),"/")</f>
        <v>103</v>
      </c>
      <c r="W241" s="406" cm="1">
        <f t="array" ref="W241">IFERROR(INDEX('Offer Statistics'!$CV$2:$CV$450,MATCH(1,(A241='Offer Statistics'!$CL$2:$CL$450)*($A$11='Offer Statistics'!$CM$2:$CM$450),0)),"/")</f>
        <v>24</v>
      </c>
      <c r="X241" s="406">
        <f t="shared" si="774"/>
        <v>4.291666666666667</v>
      </c>
      <c r="Y241" s="406" t="s">
        <v>1177</v>
      </c>
      <c r="Z241" s="406" t="str">
        <f>入學要求!AF250</f>
        <v>M1/2 需考獲Lv. 3 或以上</v>
      </c>
      <c r="AA241" s="406" t="str">
        <f>入學要求!AG250</f>
        <v>/</v>
      </c>
      <c r="AB241" s="405" t="s">
        <v>828</v>
      </c>
      <c r="AC241" s="407" t="s">
        <v>3123</v>
      </c>
      <c r="AD241" s="406" t="s">
        <v>3129</v>
      </c>
      <c r="AE241" s="405" t="s">
        <v>1696</v>
      </c>
      <c r="AF241" s="405" t="s">
        <v>1690</v>
      </c>
      <c r="AG241" s="405" t="s">
        <v>838</v>
      </c>
      <c r="AH241" s="405" t="s">
        <v>1697</v>
      </c>
      <c r="AI241" s="405" t="s">
        <v>1688</v>
      </c>
      <c r="AJ241" s="406" t="s">
        <v>839</v>
      </c>
      <c r="AK241" s="406" t="s">
        <v>1683</v>
      </c>
      <c r="AL241" s="406" t="s">
        <v>1675</v>
      </c>
      <c r="AO241" s="406" t="s">
        <v>1671</v>
      </c>
      <c r="AP241" s="366" t="s">
        <v>3269</v>
      </c>
      <c r="AQ241" s="406" t="s">
        <v>356</v>
      </c>
      <c r="AS241" s="406" t="s">
        <v>820</v>
      </c>
      <c r="AU241" s="406" t="s">
        <v>817</v>
      </c>
      <c r="AY241" s="406" t="s">
        <v>356</v>
      </c>
      <c r="AZ241" s="406" t="s">
        <v>356</v>
      </c>
      <c r="BA241" s="406" t="s">
        <v>356</v>
      </c>
      <c r="BB241" s="406" t="s">
        <v>356</v>
      </c>
      <c r="BC241" s="406" t="s">
        <v>356</v>
      </c>
      <c r="BD241" s="406" t="s">
        <v>356</v>
      </c>
      <c r="BE241" s="406" t="s">
        <v>356</v>
      </c>
      <c r="BF241" s="406" t="s">
        <v>356</v>
      </c>
      <c r="BH241" s="406" t="s">
        <v>356</v>
      </c>
      <c r="BI241" s="406" t="s">
        <v>356</v>
      </c>
      <c r="BJ241" s="406" t="s">
        <v>356</v>
      </c>
      <c r="BK241" s="406" t="s">
        <v>356</v>
      </c>
      <c r="BL241" s="406" t="s">
        <v>356</v>
      </c>
      <c r="BM241" s="406" t="s">
        <v>356</v>
      </c>
      <c r="BN241" s="406" t="s">
        <v>356</v>
      </c>
      <c r="BO241" s="406" t="s">
        <v>356</v>
      </c>
      <c r="BX241" s="406" t="s">
        <v>356</v>
      </c>
      <c r="BY241" s="406" t="s">
        <v>356</v>
      </c>
      <c r="BZ241" s="406" t="s">
        <v>356</v>
      </c>
      <c r="CA241" s="406" t="s">
        <v>356</v>
      </c>
      <c r="CB241" s="406" t="s">
        <v>356</v>
      </c>
      <c r="CC241" s="406" t="s">
        <v>356</v>
      </c>
      <c r="CD241" s="406" t="s">
        <v>356</v>
      </c>
      <c r="CE241" s="406" t="s">
        <v>356</v>
      </c>
      <c r="CF241" s="406" t="s">
        <v>356</v>
      </c>
      <c r="CG241" s="406" t="s">
        <v>356</v>
      </c>
      <c r="CH241" s="406" t="s">
        <v>356</v>
      </c>
      <c r="CI241" s="406" t="s">
        <v>356</v>
      </c>
      <c r="CJ241" s="406" t="s">
        <v>356</v>
      </c>
      <c r="CK241" s="406" t="s">
        <v>356</v>
      </c>
      <c r="CL241" s="406" t="s">
        <v>356</v>
      </c>
      <c r="CM241" s="406" t="s">
        <v>356</v>
      </c>
      <c r="CN241" s="406" t="s">
        <v>356</v>
      </c>
      <c r="CO241" s="406" t="s">
        <v>356</v>
      </c>
      <c r="CP241" s="406" t="s">
        <v>356</v>
      </c>
      <c r="CQ241" s="406" t="s">
        <v>356</v>
      </c>
      <c r="CR241" s="406" t="s">
        <v>356</v>
      </c>
      <c r="CS241" s="406" t="s">
        <v>356</v>
      </c>
      <c r="CT241" s="406" t="s">
        <v>356</v>
      </c>
      <c r="CU241" s="406" t="s">
        <v>356</v>
      </c>
      <c r="CW241" s="406" t="s">
        <v>356</v>
      </c>
      <c r="CX241" s="406" t="s">
        <v>356</v>
      </c>
      <c r="CY241" s="406" t="s">
        <v>356</v>
      </c>
      <c r="CZ241" s="406" t="s">
        <v>356</v>
      </c>
      <c r="DA241" s="406" t="s">
        <v>356</v>
      </c>
      <c r="DB241" s="406" t="s">
        <v>356</v>
      </c>
      <c r="DC241" s="406" t="s">
        <v>356</v>
      </c>
      <c r="DD241" s="406" t="s">
        <v>356</v>
      </c>
      <c r="DM241" s="406" t="s">
        <v>356</v>
      </c>
      <c r="DN241" s="406" t="s">
        <v>356</v>
      </c>
      <c r="DO241" s="406" t="s">
        <v>356</v>
      </c>
      <c r="DP241" s="406" t="s">
        <v>356</v>
      </c>
      <c r="DQ241" s="406" t="s">
        <v>356</v>
      </c>
      <c r="DR241" s="406" t="s">
        <v>356</v>
      </c>
      <c r="DS241" s="406" t="s">
        <v>356</v>
      </c>
      <c r="DT241" s="406" t="s">
        <v>356</v>
      </c>
      <c r="DU241" s="406" t="s">
        <v>356</v>
      </c>
      <c r="DV241" s="406" t="s">
        <v>356</v>
      </c>
      <c r="DW241" s="406" t="s">
        <v>356</v>
      </c>
      <c r="DX241" s="406" t="s">
        <v>356</v>
      </c>
      <c r="DY241" s="406" t="s">
        <v>356</v>
      </c>
      <c r="DZ241" s="406" t="s">
        <v>356</v>
      </c>
      <c r="EA241" s="406" t="s">
        <v>356</v>
      </c>
      <c r="EB241" s="406" t="s">
        <v>356</v>
      </c>
      <c r="EC241" s="406" t="s">
        <v>356</v>
      </c>
      <c r="ED241" s="406" t="s">
        <v>356</v>
      </c>
      <c r="EE241" s="406" t="s">
        <v>356</v>
      </c>
      <c r="EF241" s="406" t="s">
        <v>356</v>
      </c>
      <c r="EG241" s="406" t="s">
        <v>356</v>
      </c>
      <c r="EH241" s="406" t="s">
        <v>356</v>
      </c>
      <c r="EI241" s="406" t="s">
        <v>356</v>
      </c>
      <c r="EJ241" s="406" t="s">
        <v>356</v>
      </c>
      <c r="EK241" s="406" t="s">
        <v>356</v>
      </c>
      <c r="EL241" s="406" t="s">
        <v>356</v>
      </c>
      <c r="EM241" s="406" t="s">
        <v>356</v>
      </c>
      <c r="EN241" s="406" t="s">
        <v>356</v>
      </c>
      <c r="EO241" s="406" t="s">
        <v>356</v>
      </c>
      <c r="EP241" s="406" t="s">
        <v>356</v>
      </c>
      <c r="EQ241" s="406" t="s">
        <v>356</v>
      </c>
      <c r="ER241" s="406" t="s">
        <v>356</v>
      </c>
      <c r="FA241" s="406" t="s">
        <v>356</v>
      </c>
      <c r="FB241" s="406" t="s">
        <v>356</v>
      </c>
      <c r="FC241" s="406" t="s">
        <v>356</v>
      </c>
      <c r="FD241" s="406" t="s">
        <v>356</v>
      </c>
      <c r="FE241" s="406" t="s">
        <v>356</v>
      </c>
      <c r="FF241" s="406" t="s">
        <v>356</v>
      </c>
      <c r="FG241" s="406" t="s">
        <v>356</v>
      </c>
      <c r="FH241" s="406" t="s">
        <v>356</v>
      </c>
      <c r="FI241" s="406" t="s">
        <v>356</v>
      </c>
      <c r="FJ241" s="406" t="s">
        <v>356</v>
      </c>
      <c r="FK241" s="406" t="s">
        <v>356</v>
      </c>
      <c r="FL241" s="406" t="s">
        <v>356</v>
      </c>
      <c r="FM241" s="406" t="s">
        <v>356</v>
      </c>
      <c r="FN241" s="406" t="s">
        <v>356</v>
      </c>
      <c r="FO241" s="406" t="s">
        <v>356</v>
      </c>
      <c r="FP241" s="406" t="s">
        <v>356</v>
      </c>
    </row>
    <row r="242" spans="1:172" s="406" customFormat="1" ht="13.8" customHeight="1">
      <c r="A242" s="406" t="s">
        <v>394</v>
      </c>
      <c r="B242" s="406" t="s">
        <v>1666</v>
      </c>
      <c r="C242" s="406" t="s">
        <v>1685</v>
      </c>
      <c r="D242" s="406" t="s">
        <v>563</v>
      </c>
      <c r="E242" s="406" t="s">
        <v>828</v>
      </c>
      <c r="F242" s="406" t="s">
        <v>356</v>
      </c>
      <c r="G242" s="406">
        <v>55</v>
      </c>
      <c r="H242" s="406">
        <v>53</v>
      </c>
      <c r="I242" s="406">
        <v>52</v>
      </c>
      <c r="M242" s="406" t="s">
        <v>829</v>
      </c>
      <c r="N242" s="406" t="s">
        <v>1687</v>
      </c>
      <c r="O242" s="406" t="s">
        <v>1542</v>
      </c>
      <c r="P242" s="406" t="s">
        <v>3109</v>
      </c>
      <c r="Q242" s="406" t="s">
        <v>356</v>
      </c>
      <c r="R242" s="406" t="s">
        <v>1700</v>
      </c>
      <c r="S242" s="406" t="s">
        <v>817</v>
      </c>
      <c r="T242" s="406">
        <v>31</v>
      </c>
      <c r="U242" s="406" cm="1">
        <f t="array" ref="U242">IFERROR(INDEX('Offer Statistics'!$DA$2:$DA$450,MATCH(1,(A242='Offer Statistics'!$CL$2:$CL$450)*($A$11='Offer Statistics'!$CM$2:$CM$450),0)),"/")</f>
        <v>18</v>
      </c>
      <c r="V242" s="406" cm="1">
        <f t="array" ref="V242">IFERROR(INDEX('Offer Statistics'!$CN$2:$CN$450,MATCH(1,(A242='Offer Statistics'!$CL$2:$CL$450)*($A$11='Offer Statistics'!$CM$2:$CM$450),0)),"/")</f>
        <v>76</v>
      </c>
      <c r="W242" s="406" cm="1">
        <f t="array" ref="W242">IFERROR(INDEX('Offer Statistics'!$CV$2:$CV$450,MATCH(1,(A242='Offer Statistics'!$CL$2:$CL$450)*($A$11='Offer Statistics'!$CM$2:$CM$450),0)),"/")</f>
        <v>18</v>
      </c>
      <c r="X242" s="406">
        <f t="shared" si="774"/>
        <v>4.2222222222222223</v>
      </c>
      <c r="Y242" s="406" t="s">
        <v>1177</v>
      </c>
      <c r="Z242" s="406" t="str">
        <f>入學要求!AF251</f>
        <v>/</v>
      </c>
      <c r="AA242" s="406" t="str">
        <f>入學要求!AG251</f>
        <v>/</v>
      </c>
      <c r="AB242" s="405" t="s">
        <v>828</v>
      </c>
      <c r="AC242" s="407" t="s">
        <v>3123</v>
      </c>
      <c r="AD242" s="406" t="s">
        <v>3129</v>
      </c>
      <c r="AE242" s="405" t="s">
        <v>829</v>
      </c>
      <c r="AF242" s="405" t="s">
        <v>1690</v>
      </c>
      <c r="AG242" s="405" t="s">
        <v>1542</v>
      </c>
      <c r="AH242" s="405" t="s">
        <v>1688</v>
      </c>
      <c r="AI242" s="405" t="s">
        <v>356</v>
      </c>
      <c r="AJ242" s="406" t="s">
        <v>839</v>
      </c>
      <c r="AK242" s="406" t="s">
        <v>1683</v>
      </c>
      <c r="AL242" s="406" t="s">
        <v>1675</v>
      </c>
      <c r="AO242" s="406" t="s">
        <v>1671</v>
      </c>
      <c r="AP242" s="366" t="s">
        <v>3269</v>
      </c>
      <c r="AQ242" s="406" t="s">
        <v>356</v>
      </c>
      <c r="AS242" s="406" t="s">
        <v>820</v>
      </c>
      <c r="AU242" s="406" t="s">
        <v>817</v>
      </c>
      <c r="AY242" s="406" t="s">
        <v>356</v>
      </c>
      <c r="AZ242" s="406" t="s">
        <v>356</v>
      </c>
      <c r="BA242" s="406" t="s">
        <v>356</v>
      </c>
      <c r="BB242" s="406" t="s">
        <v>356</v>
      </c>
      <c r="BC242" s="406" t="s">
        <v>356</v>
      </c>
      <c r="BD242" s="406" t="s">
        <v>356</v>
      </c>
      <c r="BE242" s="406" t="s">
        <v>356</v>
      </c>
      <c r="BF242" s="406" t="s">
        <v>356</v>
      </c>
      <c r="BH242" s="406" t="s">
        <v>356</v>
      </c>
      <c r="BI242" s="406" t="s">
        <v>356</v>
      </c>
      <c r="BJ242" s="406" t="s">
        <v>356</v>
      </c>
      <c r="BK242" s="406" t="s">
        <v>356</v>
      </c>
      <c r="BL242" s="406" t="s">
        <v>356</v>
      </c>
      <c r="BM242" s="406" t="s">
        <v>356</v>
      </c>
      <c r="BN242" s="406" t="s">
        <v>356</v>
      </c>
      <c r="BO242" s="406" t="s">
        <v>356</v>
      </c>
      <c r="BX242" s="406" t="s">
        <v>356</v>
      </c>
      <c r="BY242" s="406" t="s">
        <v>356</v>
      </c>
      <c r="BZ242" s="406" t="s">
        <v>356</v>
      </c>
      <c r="CA242" s="406" t="s">
        <v>356</v>
      </c>
      <c r="CB242" s="406" t="s">
        <v>356</v>
      </c>
      <c r="CC242" s="406" t="s">
        <v>356</v>
      </c>
      <c r="CD242" s="406" t="s">
        <v>356</v>
      </c>
      <c r="CE242" s="406" t="s">
        <v>356</v>
      </c>
      <c r="CF242" s="406" t="s">
        <v>356</v>
      </c>
      <c r="CG242" s="406" t="s">
        <v>356</v>
      </c>
      <c r="CH242" s="406" t="s">
        <v>356</v>
      </c>
      <c r="CI242" s="406" t="s">
        <v>356</v>
      </c>
      <c r="CJ242" s="406" t="s">
        <v>356</v>
      </c>
      <c r="CK242" s="406" t="s">
        <v>356</v>
      </c>
      <c r="CL242" s="406" t="s">
        <v>356</v>
      </c>
      <c r="CM242" s="406" t="s">
        <v>356</v>
      </c>
      <c r="CN242" s="406" t="s">
        <v>356</v>
      </c>
      <c r="CO242" s="406" t="s">
        <v>356</v>
      </c>
      <c r="CP242" s="406" t="s">
        <v>356</v>
      </c>
      <c r="CQ242" s="406" t="s">
        <v>356</v>
      </c>
      <c r="CR242" s="406" t="s">
        <v>356</v>
      </c>
      <c r="CS242" s="406" t="s">
        <v>356</v>
      </c>
      <c r="CT242" s="406" t="s">
        <v>356</v>
      </c>
      <c r="CU242" s="406" t="s">
        <v>356</v>
      </c>
      <c r="CW242" s="406" t="s">
        <v>356</v>
      </c>
      <c r="CX242" s="406" t="s">
        <v>356</v>
      </c>
      <c r="CY242" s="406" t="s">
        <v>356</v>
      </c>
      <c r="CZ242" s="406" t="s">
        <v>356</v>
      </c>
      <c r="DA242" s="406" t="s">
        <v>356</v>
      </c>
      <c r="DB242" s="406" t="s">
        <v>356</v>
      </c>
      <c r="DC242" s="406" t="s">
        <v>356</v>
      </c>
      <c r="DD242" s="406" t="s">
        <v>356</v>
      </c>
      <c r="DM242" s="406" t="s">
        <v>356</v>
      </c>
      <c r="DN242" s="406" t="s">
        <v>356</v>
      </c>
      <c r="DO242" s="406" t="s">
        <v>356</v>
      </c>
      <c r="DP242" s="406" t="s">
        <v>356</v>
      </c>
      <c r="DQ242" s="406" t="s">
        <v>356</v>
      </c>
      <c r="DR242" s="406" t="s">
        <v>356</v>
      </c>
      <c r="DS242" s="406" t="s">
        <v>356</v>
      </c>
      <c r="DT242" s="406" t="s">
        <v>356</v>
      </c>
      <c r="DU242" s="406" t="s">
        <v>356</v>
      </c>
      <c r="DV242" s="406" t="s">
        <v>356</v>
      </c>
      <c r="DW242" s="406" t="s">
        <v>356</v>
      </c>
      <c r="DX242" s="406" t="s">
        <v>356</v>
      </c>
      <c r="DY242" s="406" t="s">
        <v>356</v>
      </c>
      <c r="DZ242" s="406" t="s">
        <v>356</v>
      </c>
      <c r="EA242" s="406" t="s">
        <v>356</v>
      </c>
      <c r="EB242" s="406" t="s">
        <v>356</v>
      </c>
      <c r="EC242" s="406" t="s">
        <v>356</v>
      </c>
      <c r="ED242" s="406" t="s">
        <v>356</v>
      </c>
      <c r="EE242" s="406" t="s">
        <v>356</v>
      </c>
      <c r="EF242" s="406" t="s">
        <v>356</v>
      </c>
      <c r="EG242" s="406" t="s">
        <v>356</v>
      </c>
      <c r="EH242" s="406" t="s">
        <v>356</v>
      </c>
      <c r="EI242" s="406" t="s">
        <v>356</v>
      </c>
      <c r="EJ242" s="406" t="s">
        <v>356</v>
      </c>
      <c r="EK242" s="406" t="s">
        <v>356</v>
      </c>
      <c r="EL242" s="406" t="s">
        <v>356</v>
      </c>
      <c r="EM242" s="406" t="s">
        <v>356</v>
      </c>
      <c r="EN242" s="406" t="s">
        <v>356</v>
      </c>
      <c r="EO242" s="406" t="s">
        <v>356</v>
      </c>
      <c r="EP242" s="406" t="s">
        <v>356</v>
      </c>
      <c r="EQ242" s="406" t="s">
        <v>356</v>
      </c>
      <c r="ER242" s="406" t="s">
        <v>356</v>
      </c>
      <c r="FA242" s="406" t="s">
        <v>356</v>
      </c>
      <c r="FB242" s="406" t="s">
        <v>356</v>
      </c>
      <c r="FC242" s="406" t="s">
        <v>356</v>
      </c>
      <c r="FD242" s="406" t="s">
        <v>356</v>
      </c>
      <c r="FE242" s="406" t="s">
        <v>356</v>
      </c>
      <c r="FF242" s="406" t="s">
        <v>356</v>
      </c>
      <c r="FG242" s="406" t="s">
        <v>356</v>
      </c>
      <c r="FH242" s="406" t="s">
        <v>356</v>
      </c>
      <c r="FI242" s="406" t="s">
        <v>356</v>
      </c>
      <c r="FJ242" s="406" t="s">
        <v>356</v>
      </c>
      <c r="FK242" s="406" t="s">
        <v>356</v>
      </c>
      <c r="FL242" s="406" t="s">
        <v>356</v>
      </c>
      <c r="FM242" s="406" t="s">
        <v>356</v>
      </c>
      <c r="FN242" s="406" t="s">
        <v>356</v>
      </c>
      <c r="FO242" s="406" t="s">
        <v>356</v>
      </c>
      <c r="FP242" s="406" t="s">
        <v>356</v>
      </c>
    </row>
    <row r="243" spans="1:172" s="406" customFormat="1" ht="13.95" customHeight="1">
      <c r="A243" s="410" t="s">
        <v>565</v>
      </c>
      <c r="B243" s="406" t="s">
        <v>1666</v>
      </c>
      <c r="C243" s="406" t="s">
        <v>1701</v>
      </c>
      <c r="D243" s="406" t="s">
        <v>566</v>
      </c>
      <c r="E243" s="406" t="s">
        <v>828</v>
      </c>
      <c r="F243" s="406" t="s">
        <v>356</v>
      </c>
      <c r="G243" s="406">
        <v>49</v>
      </c>
      <c r="H243" s="406">
        <v>48</v>
      </c>
      <c r="I243" s="406">
        <v>46</v>
      </c>
      <c r="M243" s="406" t="s">
        <v>3110</v>
      </c>
      <c r="N243" s="406" t="s">
        <v>3111</v>
      </c>
      <c r="O243" s="406" t="s">
        <v>3112</v>
      </c>
      <c r="P243" s="406" t="s">
        <v>356</v>
      </c>
      <c r="Q243" s="406" t="s">
        <v>356</v>
      </c>
      <c r="R243" s="406" t="s">
        <v>1704</v>
      </c>
      <c r="S243" s="406" t="s">
        <v>817</v>
      </c>
      <c r="T243" s="406">
        <v>90</v>
      </c>
      <c r="U243" s="406" cm="1">
        <f t="array" ref="U243">IFERROR(INDEX('Offer Statistics'!$DA$2:$DA$450,MATCH(1,(A243='Offer Statistics'!$CL$2:$CL$450)*($A$11='Offer Statistics'!$CM$2:$CM$450),0)),"/")</f>
        <v>65</v>
      </c>
      <c r="V243" s="406" cm="1">
        <f t="array" ref="V243">IFERROR(INDEX('Offer Statistics'!$CN$2:$CN$450,MATCH(1,(A243='Offer Statistics'!$CL$2:$CL$450)*($A$11='Offer Statistics'!$CM$2:$CM$450),0)),"/")</f>
        <v>260</v>
      </c>
      <c r="W243" s="406" cm="1">
        <f t="array" ref="W243">IFERROR(INDEX('Offer Statistics'!$CV$2:$CV$450,MATCH(1,(A243='Offer Statistics'!$CL$2:$CL$450)*($A$11='Offer Statistics'!$CM$2:$CM$450),0)),"/")</f>
        <v>65</v>
      </c>
      <c r="X243" s="406">
        <f t="shared" si="774"/>
        <v>4</v>
      </c>
      <c r="Y243" s="406" t="s">
        <v>1177</v>
      </c>
      <c r="Z243" s="406" t="str">
        <f>入學要求!AF252</f>
        <v>以下一科選修取得Lv.3︰生物、化學、組合科學</v>
      </c>
      <c r="AA243" s="406" t="str">
        <f>入學要求!AG252</f>
        <v>/</v>
      </c>
      <c r="AB243" s="405" t="s">
        <v>828</v>
      </c>
      <c r="AC243" s="407" t="s">
        <v>3123</v>
      </c>
      <c r="AD243" s="406" t="s">
        <v>3129</v>
      </c>
      <c r="AE243" s="405" t="s">
        <v>1702</v>
      </c>
      <c r="AF243" s="405" t="s">
        <v>3124</v>
      </c>
      <c r="AG243" s="405" t="s">
        <v>3125</v>
      </c>
      <c r="AH243" s="405" t="s">
        <v>356</v>
      </c>
      <c r="AI243" s="406" t="s">
        <v>356</v>
      </c>
      <c r="AJ243" s="406" t="s">
        <v>839</v>
      </c>
      <c r="AK243" s="406" t="s">
        <v>1683</v>
      </c>
      <c r="AL243" s="406" t="s">
        <v>1675</v>
      </c>
      <c r="AM243" s="405" t="s">
        <v>3126</v>
      </c>
      <c r="AO243" s="406" t="s">
        <v>1671</v>
      </c>
      <c r="AP243" s="406" t="s">
        <v>3267</v>
      </c>
      <c r="AQ243" s="406" t="s">
        <v>356</v>
      </c>
      <c r="AS243" s="406" t="s">
        <v>820</v>
      </c>
      <c r="AU243" s="440" t="s">
        <v>1705</v>
      </c>
      <c r="AY243" s="406" t="s">
        <v>356</v>
      </c>
      <c r="AZ243" s="406" t="s">
        <v>356</v>
      </c>
      <c r="BA243" s="406" t="s">
        <v>356</v>
      </c>
      <c r="BB243" s="406" t="s">
        <v>356</v>
      </c>
      <c r="BC243" s="406" t="s">
        <v>356</v>
      </c>
      <c r="BD243" s="406" t="s">
        <v>356</v>
      </c>
      <c r="BE243" s="406" t="s">
        <v>356</v>
      </c>
      <c r="BF243" s="406" t="s">
        <v>356</v>
      </c>
      <c r="BH243" s="406" t="s">
        <v>356</v>
      </c>
      <c r="BI243" s="406" t="s">
        <v>356</v>
      </c>
      <c r="BJ243" s="406" t="s">
        <v>356</v>
      </c>
      <c r="BK243" s="406" t="s">
        <v>356</v>
      </c>
      <c r="BL243" s="406" t="s">
        <v>356</v>
      </c>
      <c r="BM243" s="406" t="s">
        <v>356</v>
      </c>
      <c r="BN243" s="406" t="s">
        <v>356</v>
      </c>
      <c r="BO243" s="406" t="s">
        <v>356</v>
      </c>
      <c r="BX243" s="406" t="s">
        <v>356</v>
      </c>
      <c r="BY243" s="406" t="s">
        <v>356</v>
      </c>
      <c r="BZ243" s="406" t="s">
        <v>356</v>
      </c>
      <c r="CA243" s="406" t="s">
        <v>356</v>
      </c>
      <c r="CB243" s="406" t="s">
        <v>356</v>
      </c>
      <c r="CC243" s="406" t="s">
        <v>356</v>
      </c>
      <c r="CD243" s="406" t="s">
        <v>356</v>
      </c>
      <c r="CE243" s="406" t="s">
        <v>356</v>
      </c>
      <c r="CF243" s="406" t="s">
        <v>356</v>
      </c>
      <c r="CG243" s="406" t="s">
        <v>356</v>
      </c>
      <c r="CH243" s="406" t="s">
        <v>356</v>
      </c>
      <c r="CI243" s="406" t="s">
        <v>356</v>
      </c>
      <c r="CJ243" s="406" t="s">
        <v>356</v>
      </c>
      <c r="CK243" s="406" t="s">
        <v>356</v>
      </c>
      <c r="CL243" s="406" t="s">
        <v>356</v>
      </c>
      <c r="CM243" s="406" t="s">
        <v>356</v>
      </c>
      <c r="CN243" s="406" t="s">
        <v>356</v>
      </c>
      <c r="CO243" s="406" t="s">
        <v>356</v>
      </c>
      <c r="CP243" s="406" t="s">
        <v>356</v>
      </c>
      <c r="CQ243" s="406" t="s">
        <v>356</v>
      </c>
      <c r="CR243" s="406" t="s">
        <v>356</v>
      </c>
      <c r="CS243" s="406" t="s">
        <v>356</v>
      </c>
      <c r="CT243" s="406" t="s">
        <v>356</v>
      </c>
      <c r="CU243" s="406" t="s">
        <v>356</v>
      </c>
      <c r="CW243" s="406" t="s">
        <v>356</v>
      </c>
      <c r="CX243" s="406" t="s">
        <v>356</v>
      </c>
      <c r="CY243" s="406" t="s">
        <v>356</v>
      </c>
      <c r="CZ243" s="406" t="s">
        <v>356</v>
      </c>
      <c r="DA243" s="406" t="s">
        <v>356</v>
      </c>
      <c r="DB243" s="406" t="s">
        <v>356</v>
      </c>
      <c r="DC243" s="406" t="s">
        <v>356</v>
      </c>
      <c r="DD243" s="406" t="s">
        <v>356</v>
      </c>
      <c r="DM243" s="406" t="s">
        <v>356</v>
      </c>
      <c r="DN243" s="406" t="s">
        <v>356</v>
      </c>
      <c r="DO243" s="406" t="s">
        <v>356</v>
      </c>
      <c r="DP243" s="406" t="s">
        <v>356</v>
      </c>
      <c r="DQ243" s="406" t="s">
        <v>356</v>
      </c>
      <c r="DR243" s="406" t="s">
        <v>356</v>
      </c>
      <c r="DS243" s="406" t="s">
        <v>356</v>
      </c>
      <c r="DT243" s="406" t="s">
        <v>356</v>
      </c>
      <c r="DU243" s="406" t="s">
        <v>356</v>
      </c>
      <c r="DV243" s="406" t="s">
        <v>356</v>
      </c>
      <c r="DW243" s="406" t="s">
        <v>356</v>
      </c>
      <c r="DX243" s="406" t="s">
        <v>356</v>
      </c>
      <c r="DY243" s="406" t="s">
        <v>356</v>
      </c>
      <c r="DZ243" s="406" t="s">
        <v>356</v>
      </c>
      <c r="EA243" s="406" t="s">
        <v>356</v>
      </c>
      <c r="EB243" s="406" t="s">
        <v>356</v>
      </c>
      <c r="EC243" s="406" t="s">
        <v>356</v>
      </c>
      <c r="ED243" s="406" t="s">
        <v>356</v>
      </c>
      <c r="EE243" s="406" t="s">
        <v>356</v>
      </c>
      <c r="EF243" s="406" t="s">
        <v>356</v>
      </c>
      <c r="EG243" s="406" t="s">
        <v>356</v>
      </c>
      <c r="EH243" s="406" t="s">
        <v>356</v>
      </c>
      <c r="EI243" s="406" t="s">
        <v>356</v>
      </c>
      <c r="EJ243" s="406" t="s">
        <v>356</v>
      </c>
      <c r="EK243" s="406" t="s">
        <v>356</v>
      </c>
      <c r="EL243" s="406" t="s">
        <v>356</v>
      </c>
      <c r="EM243" s="406" t="s">
        <v>356</v>
      </c>
      <c r="EN243" s="406" t="s">
        <v>356</v>
      </c>
      <c r="EO243" s="406" t="s">
        <v>356</v>
      </c>
      <c r="EP243" s="406" t="s">
        <v>356</v>
      </c>
      <c r="EQ243" s="406" t="s">
        <v>356</v>
      </c>
      <c r="ER243" s="406" t="s">
        <v>356</v>
      </c>
      <c r="FA243" s="406" t="s">
        <v>356</v>
      </c>
      <c r="FB243" s="406" t="s">
        <v>356</v>
      </c>
      <c r="FC243" s="406" t="s">
        <v>356</v>
      </c>
      <c r="FD243" s="406" t="s">
        <v>356</v>
      </c>
      <c r="FE243" s="406" t="s">
        <v>356</v>
      </c>
      <c r="FF243" s="406" t="s">
        <v>356</v>
      </c>
      <c r="FG243" s="406" t="s">
        <v>356</v>
      </c>
      <c r="FH243" s="406" t="s">
        <v>356</v>
      </c>
      <c r="FI243" s="406" t="s">
        <v>356</v>
      </c>
      <c r="FJ243" s="406" t="s">
        <v>356</v>
      </c>
      <c r="FK243" s="406" t="s">
        <v>356</v>
      </c>
      <c r="FL243" s="406" t="s">
        <v>356</v>
      </c>
      <c r="FM243" s="406" t="s">
        <v>356</v>
      </c>
      <c r="FN243" s="406" t="s">
        <v>356</v>
      </c>
      <c r="FO243" s="406" t="s">
        <v>356</v>
      </c>
      <c r="FP243" s="406" t="s">
        <v>356</v>
      </c>
    </row>
    <row r="244" spans="1:172" s="406" customFormat="1" ht="13.95" customHeight="1">
      <c r="A244" s="406" t="s">
        <v>569</v>
      </c>
      <c r="B244" s="406" t="s">
        <v>1666</v>
      </c>
      <c r="C244" s="406" t="s">
        <v>1377</v>
      </c>
      <c r="D244" s="406" t="s">
        <v>570</v>
      </c>
      <c r="E244" s="406" t="s">
        <v>889</v>
      </c>
      <c r="F244" s="406" t="s">
        <v>356</v>
      </c>
      <c r="G244" s="406">
        <v>36</v>
      </c>
      <c r="H244" s="406">
        <v>35</v>
      </c>
      <c r="I244" s="406">
        <v>34</v>
      </c>
      <c r="M244" s="441" t="s">
        <v>929</v>
      </c>
      <c r="N244" s="406" t="s">
        <v>356</v>
      </c>
      <c r="O244" s="406" t="s">
        <v>838</v>
      </c>
      <c r="P244" s="406" t="s">
        <v>1706</v>
      </c>
      <c r="Q244" s="406" t="s">
        <v>356</v>
      </c>
      <c r="R244" s="406" t="s">
        <v>1707</v>
      </c>
      <c r="S244" s="406" t="s">
        <v>817</v>
      </c>
      <c r="T244" s="406">
        <v>17</v>
      </c>
      <c r="U244" s="406" cm="1">
        <f t="array" ref="U244">IFERROR(INDEX('Offer Statistics'!$DA$2:$DA$450,MATCH(1,(A244='Offer Statistics'!$CL$2:$CL$450)*($A$11='Offer Statistics'!$CM$2:$CM$450),0)),"/")</f>
        <v>15</v>
      </c>
      <c r="V244" s="406" cm="1">
        <f t="array" ref="V244">IFERROR(INDEX('Offer Statistics'!$CN$2:$CN$450,MATCH(1,(A244='Offer Statistics'!$CL$2:$CL$450)*($A$11='Offer Statistics'!$CM$2:$CM$450),0)),"/")</f>
        <v>148</v>
      </c>
      <c r="W244" s="406" cm="1">
        <f t="array" ref="W244">IFERROR(INDEX('Offer Statistics'!$CV$2:$CV$450,MATCH(1,(A244='Offer Statistics'!$CL$2:$CL$450)*($A$11='Offer Statistics'!$CM$2:$CM$450),0)),"/")</f>
        <v>15</v>
      </c>
      <c r="X244" s="406">
        <f t="shared" si="774"/>
        <v>9.8666666666666671</v>
      </c>
      <c r="Y244" s="406" t="s">
        <v>1177</v>
      </c>
      <c r="Z244" s="406" t="str">
        <f>入學要求!AF253</f>
        <v>Candidates are strongly advised to include their personal statement in English in the
"Additional Information" of their JUPAS application.</v>
      </c>
      <c r="AA244" s="406" t="str">
        <f>入學要求!AG253</f>
        <v>Candidates are encouraged to enter details about their other learning experiences or
extra curricular activities.</v>
      </c>
      <c r="AB244" s="405" t="s">
        <v>12</v>
      </c>
      <c r="AC244" s="405" t="s">
        <v>2855</v>
      </c>
      <c r="AE244" s="442" t="s">
        <v>890</v>
      </c>
      <c r="AF244" s="441" t="s">
        <v>356</v>
      </c>
      <c r="AG244" s="406" t="s">
        <v>838</v>
      </c>
      <c r="AH244" s="405" t="s">
        <v>356</v>
      </c>
      <c r="AI244" s="406" t="s">
        <v>356</v>
      </c>
      <c r="AJ244" s="406" t="s">
        <v>1708</v>
      </c>
      <c r="AK244" s="406" t="s">
        <v>1709</v>
      </c>
      <c r="AL244" s="406" t="s">
        <v>1710</v>
      </c>
      <c r="AO244" s="406" t="s">
        <v>1671</v>
      </c>
      <c r="AP244" s="406" t="s">
        <v>1672</v>
      </c>
      <c r="AQ244" s="406" t="s">
        <v>356</v>
      </c>
      <c r="AS244" s="406" t="s">
        <v>820</v>
      </c>
      <c r="AU244" s="406" t="s">
        <v>817</v>
      </c>
      <c r="AY244" s="406" t="s">
        <v>356</v>
      </c>
      <c r="AZ244" s="406" t="s">
        <v>356</v>
      </c>
      <c r="BA244" s="406" t="s">
        <v>356</v>
      </c>
      <c r="BB244" s="406" t="s">
        <v>356</v>
      </c>
      <c r="BC244" s="406" t="s">
        <v>356</v>
      </c>
      <c r="BD244" s="406" t="s">
        <v>356</v>
      </c>
      <c r="BE244" s="406" t="s">
        <v>356</v>
      </c>
      <c r="BF244" s="406" t="s">
        <v>356</v>
      </c>
      <c r="BH244" s="406" t="s">
        <v>356</v>
      </c>
      <c r="BI244" s="406" t="s">
        <v>356</v>
      </c>
      <c r="BJ244" s="406" t="s">
        <v>356</v>
      </c>
      <c r="BK244" s="406" t="s">
        <v>356</v>
      </c>
      <c r="BL244" s="406" t="s">
        <v>356</v>
      </c>
      <c r="BM244" s="406" t="s">
        <v>356</v>
      </c>
      <c r="BN244" s="406" t="s">
        <v>356</v>
      </c>
      <c r="BO244" s="406" t="s">
        <v>356</v>
      </c>
      <c r="BX244" s="406" t="s">
        <v>356</v>
      </c>
      <c r="BY244" s="406" t="s">
        <v>356</v>
      </c>
      <c r="BZ244" s="406" t="s">
        <v>356</v>
      </c>
      <c r="CA244" s="406" t="s">
        <v>356</v>
      </c>
      <c r="CB244" s="406" t="s">
        <v>356</v>
      </c>
      <c r="CC244" s="406" t="s">
        <v>356</v>
      </c>
      <c r="CD244" s="406" t="s">
        <v>356</v>
      </c>
      <c r="CE244" s="406" t="s">
        <v>356</v>
      </c>
      <c r="CF244" s="406" t="s">
        <v>356</v>
      </c>
      <c r="CG244" s="406" t="s">
        <v>356</v>
      </c>
      <c r="CH244" s="406" t="s">
        <v>356</v>
      </c>
      <c r="CI244" s="406" t="s">
        <v>356</v>
      </c>
      <c r="CJ244" s="406" t="s">
        <v>356</v>
      </c>
      <c r="CK244" s="406" t="s">
        <v>356</v>
      </c>
      <c r="CL244" s="406" t="s">
        <v>356</v>
      </c>
      <c r="CM244" s="406" t="s">
        <v>356</v>
      </c>
      <c r="CN244" s="406" t="s">
        <v>356</v>
      </c>
      <c r="CO244" s="406" t="s">
        <v>356</v>
      </c>
      <c r="CP244" s="406" t="s">
        <v>356</v>
      </c>
      <c r="CQ244" s="406" t="s">
        <v>356</v>
      </c>
      <c r="CR244" s="406" t="s">
        <v>356</v>
      </c>
      <c r="CS244" s="406" t="s">
        <v>356</v>
      </c>
      <c r="CT244" s="406" t="s">
        <v>356</v>
      </c>
      <c r="CU244" s="406" t="s">
        <v>356</v>
      </c>
      <c r="CW244" s="406" t="s">
        <v>356</v>
      </c>
      <c r="CX244" s="406" t="s">
        <v>356</v>
      </c>
      <c r="CY244" s="406" t="s">
        <v>356</v>
      </c>
      <c r="CZ244" s="406" t="s">
        <v>356</v>
      </c>
      <c r="DA244" s="406" t="s">
        <v>356</v>
      </c>
      <c r="DB244" s="406" t="s">
        <v>356</v>
      </c>
      <c r="DC244" s="406" t="s">
        <v>356</v>
      </c>
      <c r="DD244" s="406" t="s">
        <v>356</v>
      </c>
      <c r="DM244" s="406" t="s">
        <v>356</v>
      </c>
      <c r="DN244" s="406" t="s">
        <v>356</v>
      </c>
      <c r="DO244" s="406" t="s">
        <v>356</v>
      </c>
      <c r="DP244" s="406" t="s">
        <v>356</v>
      </c>
      <c r="DQ244" s="406" t="s">
        <v>356</v>
      </c>
      <c r="DR244" s="406" t="s">
        <v>356</v>
      </c>
      <c r="DS244" s="406" t="s">
        <v>356</v>
      </c>
      <c r="DT244" s="406" t="s">
        <v>356</v>
      </c>
      <c r="DU244" s="406" t="s">
        <v>356</v>
      </c>
      <c r="DV244" s="406" t="s">
        <v>356</v>
      </c>
      <c r="DW244" s="406" t="s">
        <v>356</v>
      </c>
      <c r="DX244" s="406" t="s">
        <v>356</v>
      </c>
      <c r="DY244" s="406" t="s">
        <v>356</v>
      </c>
      <c r="DZ244" s="406" t="s">
        <v>356</v>
      </c>
      <c r="EA244" s="406" t="s">
        <v>356</v>
      </c>
      <c r="EB244" s="406" t="s">
        <v>356</v>
      </c>
      <c r="EC244" s="406" t="s">
        <v>356</v>
      </c>
      <c r="ED244" s="406" t="s">
        <v>356</v>
      </c>
      <c r="EE244" s="406" t="s">
        <v>356</v>
      </c>
      <c r="EF244" s="406" t="s">
        <v>356</v>
      </c>
      <c r="EG244" s="406" t="s">
        <v>356</v>
      </c>
      <c r="EH244" s="406" t="s">
        <v>356</v>
      </c>
      <c r="EI244" s="406" t="s">
        <v>356</v>
      </c>
      <c r="EJ244" s="406" t="s">
        <v>356</v>
      </c>
      <c r="EK244" s="406" t="s">
        <v>356</v>
      </c>
      <c r="EL244" s="406" t="s">
        <v>356</v>
      </c>
      <c r="EM244" s="406" t="s">
        <v>356</v>
      </c>
      <c r="EN244" s="406" t="s">
        <v>356</v>
      </c>
      <c r="EO244" s="406" t="s">
        <v>356</v>
      </c>
      <c r="EP244" s="406" t="s">
        <v>356</v>
      </c>
      <c r="EQ244" s="406" t="s">
        <v>356</v>
      </c>
      <c r="ER244" s="406" t="s">
        <v>356</v>
      </c>
      <c r="FA244" s="406" t="s">
        <v>356</v>
      </c>
      <c r="FB244" s="406" t="s">
        <v>356</v>
      </c>
      <c r="FC244" s="406" t="s">
        <v>356</v>
      </c>
      <c r="FD244" s="406" t="s">
        <v>356</v>
      </c>
      <c r="FE244" s="406" t="s">
        <v>356</v>
      </c>
      <c r="FF244" s="406" t="s">
        <v>356</v>
      </c>
      <c r="FG244" s="406" t="s">
        <v>356</v>
      </c>
      <c r="FH244" s="406" t="s">
        <v>356</v>
      </c>
      <c r="FI244" s="406" t="s">
        <v>356</v>
      </c>
      <c r="FJ244" s="406" t="s">
        <v>356</v>
      </c>
      <c r="FK244" s="406" t="s">
        <v>356</v>
      </c>
      <c r="FL244" s="406" t="s">
        <v>356</v>
      </c>
      <c r="FM244" s="406" t="s">
        <v>356</v>
      </c>
      <c r="FN244" s="406" t="s">
        <v>356</v>
      </c>
      <c r="FO244" s="406" t="s">
        <v>356</v>
      </c>
      <c r="FP244" s="406" t="s">
        <v>356</v>
      </c>
    </row>
    <row r="245" spans="1:172" s="406" customFormat="1">
      <c r="A245" s="406" t="s">
        <v>571</v>
      </c>
      <c r="B245" s="406" t="s">
        <v>1666</v>
      </c>
      <c r="C245" s="406" t="s">
        <v>1377</v>
      </c>
      <c r="D245" s="406" t="s">
        <v>572</v>
      </c>
      <c r="E245" s="406" t="s">
        <v>889</v>
      </c>
      <c r="F245" s="406" t="s">
        <v>356</v>
      </c>
      <c r="G245" s="406">
        <v>39</v>
      </c>
      <c r="H245" s="406">
        <v>37</v>
      </c>
      <c r="I245" s="406">
        <v>35</v>
      </c>
      <c r="M245" s="406" t="s">
        <v>3113</v>
      </c>
      <c r="N245" s="406" t="s">
        <v>356</v>
      </c>
      <c r="O245" s="406" t="s">
        <v>984</v>
      </c>
      <c r="P245" s="406" t="s">
        <v>1706</v>
      </c>
      <c r="Q245" s="406" t="s">
        <v>356</v>
      </c>
      <c r="R245" s="406" t="s">
        <v>1711</v>
      </c>
      <c r="S245" s="406" t="s">
        <v>817</v>
      </c>
      <c r="T245" s="406">
        <v>17</v>
      </c>
      <c r="U245" s="406" cm="1">
        <f t="array" ref="U245">IFERROR(INDEX('Offer Statistics'!$DA$2:$DA$450,MATCH(1,(A245='Offer Statistics'!$CL$2:$CL$450)*($A$11='Offer Statistics'!$CM$2:$CM$450),0)),"/")</f>
        <v>15</v>
      </c>
      <c r="V245" s="406" cm="1">
        <f t="array" ref="V245">IFERROR(INDEX('Offer Statistics'!$CN$2:$CN$450,MATCH(1,(A245='Offer Statistics'!$CL$2:$CL$450)*($A$11='Offer Statistics'!$CM$2:$CM$450),0)),"/")</f>
        <v>137</v>
      </c>
      <c r="W245" s="406" cm="1">
        <f t="array" ref="W245">IFERROR(INDEX('Offer Statistics'!$CV$2:$CV$450,MATCH(1,(A245='Offer Statistics'!$CL$2:$CL$450)*($A$11='Offer Statistics'!$CM$2:$CM$450),0)),"/")</f>
        <v>15</v>
      </c>
      <c r="X245" s="406">
        <f t="shared" si="774"/>
        <v>9.1333333333333329</v>
      </c>
      <c r="Y245" s="406" t="s">
        <v>1177</v>
      </c>
      <c r="Z245" s="406" t="str">
        <f>入學要求!AF254</f>
        <v>/</v>
      </c>
      <c r="AA245" s="406" t="str">
        <f>入學要求!AG254</f>
        <v>/</v>
      </c>
      <c r="AB245" s="405" t="s">
        <v>12</v>
      </c>
      <c r="AC245" s="405" t="s">
        <v>2855</v>
      </c>
      <c r="AE245" s="405" t="s">
        <v>3021</v>
      </c>
      <c r="AF245" s="441" t="s">
        <v>356</v>
      </c>
      <c r="AG245" s="406" t="s">
        <v>984</v>
      </c>
      <c r="AH245" s="406" t="s">
        <v>356</v>
      </c>
      <c r="AI245" s="406" t="s">
        <v>356</v>
      </c>
      <c r="AJ245" s="406" t="s">
        <v>839</v>
      </c>
      <c r="AK245" s="406" t="s">
        <v>356</v>
      </c>
      <c r="AL245" s="406" t="s">
        <v>356</v>
      </c>
      <c r="AO245" s="406" t="s">
        <v>1671</v>
      </c>
      <c r="AP245" s="406" t="s">
        <v>1672</v>
      </c>
      <c r="AQ245" s="406" t="s">
        <v>356</v>
      </c>
      <c r="AS245" s="406" t="s">
        <v>820</v>
      </c>
      <c r="AU245" s="406" t="s">
        <v>817</v>
      </c>
      <c r="AY245" s="406" t="s">
        <v>356</v>
      </c>
      <c r="AZ245" s="406" t="s">
        <v>356</v>
      </c>
      <c r="BA245" s="406" t="s">
        <v>356</v>
      </c>
      <c r="BB245" s="406" t="s">
        <v>356</v>
      </c>
      <c r="BC245" s="406" t="s">
        <v>356</v>
      </c>
      <c r="BD245" s="406" t="s">
        <v>356</v>
      </c>
      <c r="BE245" s="406" t="s">
        <v>356</v>
      </c>
      <c r="BF245" s="406" t="s">
        <v>356</v>
      </c>
      <c r="BH245" s="406" t="s">
        <v>356</v>
      </c>
      <c r="BI245" s="406" t="s">
        <v>356</v>
      </c>
      <c r="BJ245" s="406" t="s">
        <v>356</v>
      </c>
      <c r="BK245" s="406" t="s">
        <v>356</v>
      </c>
      <c r="BL245" s="406" t="s">
        <v>356</v>
      </c>
      <c r="BM245" s="406" t="s">
        <v>356</v>
      </c>
      <c r="BN245" s="406" t="s">
        <v>356</v>
      </c>
      <c r="BO245" s="406" t="s">
        <v>356</v>
      </c>
      <c r="BX245" s="406" t="s">
        <v>356</v>
      </c>
      <c r="BY245" s="406" t="s">
        <v>356</v>
      </c>
      <c r="BZ245" s="406" t="s">
        <v>356</v>
      </c>
      <c r="CA245" s="406" t="s">
        <v>356</v>
      </c>
      <c r="CB245" s="406" t="s">
        <v>356</v>
      </c>
      <c r="CC245" s="406" t="s">
        <v>356</v>
      </c>
      <c r="CD245" s="406" t="s">
        <v>356</v>
      </c>
      <c r="CE245" s="406" t="s">
        <v>356</v>
      </c>
      <c r="CF245" s="406" t="s">
        <v>356</v>
      </c>
      <c r="CG245" s="406" t="s">
        <v>356</v>
      </c>
      <c r="CH245" s="406" t="s">
        <v>356</v>
      </c>
      <c r="CI245" s="406" t="s">
        <v>356</v>
      </c>
      <c r="CJ245" s="406" t="s">
        <v>356</v>
      </c>
      <c r="CK245" s="406" t="s">
        <v>356</v>
      </c>
      <c r="CL245" s="406" t="s">
        <v>356</v>
      </c>
      <c r="CM245" s="406" t="s">
        <v>356</v>
      </c>
      <c r="CN245" s="406" t="s">
        <v>356</v>
      </c>
      <c r="CO245" s="406" t="s">
        <v>356</v>
      </c>
      <c r="CP245" s="406" t="s">
        <v>356</v>
      </c>
      <c r="CQ245" s="406" t="s">
        <v>356</v>
      </c>
      <c r="CR245" s="406" t="s">
        <v>356</v>
      </c>
      <c r="CS245" s="406" t="s">
        <v>356</v>
      </c>
      <c r="CT245" s="406" t="s">
        <v>356</v>
      </c>
      <c r="CU245" s="406" t="s">
        <v>356</v>
      </c>
      <c r="CW245" s="406" t="s">
        <v>356</v>
      </c>
      <c r="CX245" s="406" t="s">
        <v>356</v>
      </c>
      <c r="CY245" s="406" t="s">
        <v>356</v>
      </c>
      <c r="CZ245" s="406" t="s">
        <v>356</v>
      </c>
      <c r="DA245" s="406" t="s">
        <v>356</v>
      </c>
      <c r="DB245" s="406" t="s">
        <v>356</v>
      </c>
      <c r="DC245" s="406" t="s">
        <v>356</v>
      </c>
      <c r="DD245" s="406" t="s">
        <v>356</v>
      </c>
      <c r="DM245" s="406" t="s">
        <v>356</v>
      </c>
      <c r="DN245" s="406" t="s">
        <v>356</v>
      </c>
      <c r="DO245" s="406" t="s">
        <v>356</v>
      </c>
      <c r="DP245" s="406" t="s">
        <v>356</v>
      </c>
      <c r="DQ245" s="406" t="s">
        <v>356</v>
      </c>
      <c r="DR245" s="406" t="s">
        <v>356</v>
      </c>
      <c r="DS245" s="406" t="s">
        <v>356</v>
      </c>
      <c r="DT245" s="406" t="s">
        <v>356</v>
      </c>
      <c r="DU245" s="406" t="s">
        <v>356</v>
      </c>
      <c r="DV245" s="406" t="s">
        <v>356</v>
      </c>
      <c r="DW245" s="406" t="s">
        <v>356</v>
      </c>
      <c r="DX245" s="406" t="s">
        <v>356</v>
      </c>
      <c r="DY245" s="406" t="s">
        <v>356</v>
      </c>
      <c r="DZ245" s="406" t="s">
        <v>356</v>
      </c>
      <c r="EA245" s="406" t="s">
        <v>356</v>
      </c>
      <c r="EB245" s="406" t="s">
        <v>356</v>
      </c>
      <c r="EC245" s="406" t="s">
        <v>356</v>
      </c>
      <c r="ED245" s="406" t="s">
        <v>356</v>
      </c>
      <c r="EE245" s="406" t="s">
        <v>356</v>
      </c>
      <c r="EF245" s="406" t="s">
        <v>356</v>
      </c>
      <c r="EG245" s="406" t="s">
        <v>356</v>
      </c>
      <c r="EH245" s="406" t="s">
        <v>356</v>
      </c>
      <c r="EI245" s="406" t="s">
        <v>356</v>
      </c>
      <c r="EJ245" s="406" t="s">
        <v>356</v>
      </c>
      <c r="EK245" s="406" t="s">
        <v>356</v>
      </c>
      <c r="EL245" s="406" t="s">
        <v>356</v>
      </c>
      <c r="EM245" s="406" t="s">
        <v>356</v>
      </c>
      <c r="EN245" s="406" t="s">
        <v>356</v>
      </c>
      <c r="EO245" s="406" t="s">
        <v>356</v>
      </c>
      <c r="EP245" s="406" t="s">
        <v>356</v>
      </c>
      <c r="EQ245" s="406" t="s">
        <v>356</v>
      </c>
      <c r="ER245" s="406" t="s">
        <v>356</v>
      </c>
      <c r="FA245" s="406" t="s">
        <v>356</v>
      </c>
      <c r="FB245" s="406" t="s">
        <v>356</v>
      </c>
      <c r="FC245" s="406" t="s">
        <v>356</v>
      </c>
      <c r="FD245" s="406" t="s">
        <v>356</v>
      </c>
      <c r="FE245" s="406" t="s">
        <v>356</v>
      </c>
      <c r="FF245" s="406" t="s">
        <v>356</v>
      </c>
      <c r="FG245" s="406" t="s">
        <v>356</v>
      </c>
      <c r="FH245" s="406" t="s">
        <v>356</v>
      </c>
      <c r="FI245" s="406" t="s">
        <v>356</v>
      </c>
      <c r="FJ245" s="406" t="s">
        <v>356</v>
      </c>
      <c r="FK245" s="406" t="s">
        <v>356</v>
      </c>
      <c r="FL245" s="406" t="s">
        <v>356</v>
      </c>
      <c r="FM245" s="406" t="s">
        <v>356</v>
      </c>
      <c r="FN245" s="406" t="s">
        <v>356</v>
      </c>
      <c r="FO245" s="406" t="s">
        <v>356</v>
      </c>
      <c r="FP245" s="406" t="s">
        <v>356</v>
      </c>
    </row>
    <row r="246" spans="1:172" s="366" customFormat="1">
      <c r="A246" s="366" t="s">
        <v>574</v>
      </c>
      <c r="B246" s="366" t="s">
        <v>1666</v>
      </c>
      <c r="C246" s="366" t="s">
        <v>1377</v>
      </c>
      <c r="D246" s="366" t="s">
        <v>575</v>
      </c>
      <c r="E246" s="366" t="s">
        <v>889</v>
      </c>
      <c r="F246" s="366" t="s">
        <v>356</v>
      </c>
      <c r="G246" s="368">
        <v>27</v>
      </c>
      <c r="H246" s="368">
        <v>25</v>
      </c>
      <c r="I246" s="368">
        <v>24</v>
      </c>
      <c r="M246" s="368" t="s">
        <v>3114</v>
      </c>
      <c r="N246" s="368" t="s">
        <v>356</v>
      </c>
      <c r="O246" s="368" t="s">
        <v>838</v>
      </c>
      <c r="P246" s="368" t="s">
        <v>1297</v>
      </c>
      <c r="Q246" s="368" t="s">
        <v>356</v>
      </c>
      <c r="R246" s="365" t="s">
        <v>1712</v>
      </c>
      <c r="S246" s="365" t="s">
        <v>817</v>
      </c>
      <c r="T246" s="366">
        <v>18</v>
      </c>
      <c r="U246" s="366" cm="1">
        <f t="array" ref="U246">IFERROR(INDEX('Offer Statistics'!$DA$2:$DA$450,MATCH(1,(A246='Offer Statistics'!$CL$2:$CL$450)*($A$11='Offer Statistics'!$CM$2:$CM$450),0)),"/")</f>
        <v>10</v>
      </c>
      <c r="V246" s="366" cm="1">
        <f t="array" ref="V246">IFERROR(INDEX('Offer Statistics'!$CN$2:$CN$450,MATCH(1,(A246='Offer Statistics'!$CL$2:$CL$450)*($A$11='Offer Statistics'!$CM$2:$CM$450),0)),"/")</f>
        <v>210</v>
      </c>
      <c r="W246" s="366" cm="1">
        <f t="array" ref="W246">IFERROR(INDEX('Offer Statistics'!$CV$2:$CV$450,MATCH(1,(A246='Offer Statistics'!$CL$2:$CL$450)*($A$11='Offer Statistics'!$CM$2:$CM$450),0)),"/")</f>
        <v>10</v>
      </c>
      <c r="X246" s="366">
        <f t="shared" si="774"/>
        <v>21</v>
      </c>
      <c r="Y246" s="366" t="s">
        <v>1177</v>
      </c>
      <c r="Z246" s="366" t="str">
        <f>入學要求!AF255</f>
        <v>/</v>
      </c>
      <c r="AA246" s="366" t="str">
        <f>入學要求!AG255</f>
        <v>/</v>
      </c>
      <c r="AB246" s="368" t="s">
        <v>12</v>
      </c>
      <c r="AC246" s="368"/>
      <c r="AD246" s="368"/>
      <c r="AE246" s="368" t="s">
        <v>1093</v>
      </c>
      <c r="AF246" s="439" t="s">
        <v>356</v>
      </c>
      <c r="AG246" s="368" t="s">
        <v>838</v>
      </c>
      <c r="AH246" s="368" t="s">
        <v>1297</v>
      </c>
      <c r="AI246" s="368" t="s">
        <v>356</v>
      </c>
      <c r="AJ246" s="366" t="s">
        <v>839</v>
      </c>
      <c r="AK246" s="366" t="s">
        <v>1674</v>
      </c>
      <c r="AL246" s="366" t="s">
        <v>356</v>
      </c>
      <c r="AO246" s="366" t="s">
        <v>1671</v>
      </c>
      <c r="AP246" s="366" t="s">
        <v>1672</v>
      </c>
      <c r="AQ246" s="366" t="s">
        <v>356</v>
      </c>
      <c r="AS246" s="366" t="s">
        <v>820</v>
      </c>
      <c r="AU246" s="366" t="s">
        <v>817</v>
      </c>
      <c r="AY246" s="366" t="s">
        <v>356</v>
      </c>
      <c r="AZ246" s="366" t="s">
        <v>356</v>
      </c>
      <c r="BA246" s="366" t="s">
        <v>356</v>
      </c>
      <c r="BB246" s="366" t="s">
        <v>356</v>
      </c>
      <c r="BC246" s="366" t="s">
        <v>356</v>
      </c>
      <c r="BD246" s="366" t="s">
        <v>356</v>
      </c>
      <c r="BE246" s="366" t="s">
        <v>356</v>
      </c>
      <c r="BF246" s="366" t="s">
        <v>356</v>
      </c>
      <c r="BH246" s="366" t="s">
        <v>356</v>
      </c>
      <c r="BI246" s="366" t="s">
        <v>356</v>
      </c>
      <c r="BJ246" s="366" t="s">
        <v>356</v>
      </c>
      <c r="BK246" s="366" t="s">
        <v>356</v>
      </c>
      <c r="BL246" s="366" t="s">
        <v>356</v>
      </c>
      <c r="BM246" s="366" t="s">
        <v>356</v>
      </c>
      <c r="BN246" s="366" t="s">
        <v>356</v>
      </c>
      <c r="BO246" s="366" t="s">
        <v>356</v>
      </c>
      <c r="BP246" s="438"/>
      <c r="BQ246" s="438"/>
      <c r="BR246" s="438"/>
      <c r="BS246" s="438"/>
      <c r="BT246" s="438"/>
      <c r="BU246" s="438"/>
      <c r="BV246" s="438"/>
      <c r="BW246" s="438"/>
      <c r="BX246" s="366" t="s">
        <v>356</v>
      </c>
      <c r="BY246" s="366" t="s">
        <v>356</v>
      </c>
      <c r="BZ246" s="366" t="s">
        <v>356</v>
      </c>
      <c r="CA246" s="366" t="s">
        <v>356</v>
      </c>
      <c r="CB246" s="366" t="s">
        <v>356</v>
      </c>
      <c r="CC246" s="366" t="s">
        <v>356</v>
      </c>
      <c r="CD246" s="366" t="s">
        <v>356</v>
      </c>
      <c r="CE246" s="366" t="s">
        <v>356</v>
      </c>
      <c r="CF246" s="366" t="s">
        <v>356</v>
      </c>
      <c r="CG246" s="366" t="s">
        <v>356</v>
      </c>
      <c r="CH246" s="366" t="s">
        <v>356</v>
      </c>
      <c r="CI246" s="366" t="s">
        <v>356</v>
      </c>
      <c r="CJ246" s="366" t="s">
        <v>356</v>
      </c>
      <c r="CK246" s="366" t="s">
        <v>356</v>
      </c>
      <c r="CL246" s="366" t="s">
        <v>356</v>
      </c>
      <c r="CM246" s="366" t="s">
        <v>356</v>
      </c>
      <c r="CN246" s="366" t="s">
        <v>356</v>
      </c>
      <c r="CO246" s="366" t="s">
        <v>356</v>
      </c>
      <c r="CP246" s="366" t="s">
        <v>356</v>
      </c>
      <c r="CQ246" s="366" t="s">
        <v>356</v>
      </c>
      <c r="CR246" s="366" t="s">
        <v>356</v>
      </c>
      <c r="CS246" s="366" t="s">
        <v>356</v>
      </c>
      <c r="CT246" s="366" t="s">
        <v>356</v>
      </c>
      <c r="CU246" s="366" t="s">
        <v>356</v>
      </c>
      <c r="CW246" s="366" t="s">
        <v>356</v>
      </c>
      <c r="CX246" s="366" t="s">
        <v>356</v>
      </c>
      <c r="CY246" s="366" t="s">
        <v>356</v>
      </c>
      <c r="CZ246" s="366" t="s">
        <v>356</v>
      </c>
      <c r="DA246" s="366" t="s">
        <v>356</v>
      </c>
      <c r="DB246" s="366" t="s">
        <v>356</v>
      </c>
      <c r="DC246" s="366" t="s">
        <v>356</v>
      </c>
      <c r="DD246" s="366" t="s">
        <v>356</v>
      </c>
      <c r="DE246" s="438"/>
      <c r="DF246" s="438"/>
      <c r="DG246" s="438"/>
      <c r="DH246" s="438"/>
      <c r="DI246" s="438"/>
      <c r="DJ246" s="438"/>
      <c r="DK246" s="438"/>
      <c r="DL246" s="438"/>
      <c r="DM246" s="366" t="s">
        <v>356</v>
      </c>
      <c r="DN246" s="366" t="s">
        <v>356</v>
      </c>
      <c r="DO246" s="366" t="s">
        <v>356</v>
      </c>
      <c r="DP246" s="366" t="s">
        <v>356</v>
      </c>
      <c r="DQ246" s="366" t="s">
        <v>356</v>
      </c>
      <c r="DR246" s="366" t="s">
        <v>356</v>
      </c>
      <c r="DS246" s="366" t="s">
        <v>356</v>
      </c>
      <c r="DT246" s="366" t="s">
        <v>356</v>
      </c>
      <c r="DU246" s="366" t="s">
        <v>356</v>
      </c>
      <c r="DV246" s="366" t="s">
        <v>356</v>
      </c>
      <c r="DW246" s="366" t="s">
        <v>356</v>
      </c>
      <c r="DX246" s="366" t="s">
        <v>356</v>
      </c>
      <c r="DY246" s="366" t="s">
        <v>356</v>
      </c>
      <c r="DZ246" s="366" t="s">
        <v>356</v>
      </c>
      <c r="EA246" s="366" t="s">
        <v>356</v>
      </c>
      <c r="EB246" s="366" t="s">
        <v>356</v>
      </c>
      <c r="EC246" s="366" t="s">
        <v>356</v>
      </c>
      <c r="ED246" s="366" t="s">
        <v>356</v>
      </c>
      <c r="EE246" s="366" t="s">
        <v>356</v>
      </c>
      <c r="EF246" s="366" t="s">
        <v>356</v>
      </c>
      <c r="EG246" s="366" t="s">
        <v>356</v>
      </c>
      <c r="EH246" s="366" t="s">
        <v>356</v>
      </c>
      <c r="EI246" s="366" t="s">
        <v>356</v>
      </c>
      <c r="EJ246" s="366" t="s">
        <v>356</v>
      </c>
      <c r="EK246" s="366" t="s">
        <v>356</v>
      </c>
      <c r="EL246" s="366" t="s">
        <v>356</v>
      </c>
      <c r="EM246" s="366" t="s">
        <v>356</v>
      </c>
      <c r="EN246" s="366" t="s">
        <v>356</v>
      </c>
      <c r="EO246" s="366" t="s">
        <v>356</v>
      </c>
      <c r="EP246" s="366" t="s">
        <v>356</v>
      </c>
      <c r="EQ246" s="366" t="s">
        <v>356</v>
      </c>
      <c r="ER246" s="366" t="s">
        <v>356</v>
      </c>
      <c r="FA246" s="366" t="s">
        <v>356</v>
      </c>
      <c r="FB246" s="366" t="s">
        <v>356</v>
      </c>
      <c r="FC246" s="366" t="s">
        <v>356</v>
      </c>
      <c r="FD246" s="366" t="s">
        <v>356</v>
      </c>
      <c r="FE246" s="366" t="s">
        <v>356</v>
      </c>
      <c r="FF246" s="366" t="s">
        <v>356</v>
      </c>
      <c r="FG246" s="366" t="s">
        <v>356</v>
      </c>
      <c r="FH246" s="366" t="s">
        <v>356</v>
      </c>
      <c r="FI246" s="366" t="s">
        <v>356</v>
      </c>
      <c r="FJ246" s="366" t="s">
        <v>356</v>
      </c>
      <c r="FK246" s="366" t="s">
        <v>356</v>
      </c>
      <c r="FL246" s="366" t="s">
        <v>356</v>
      </c>
      <c r="FM246" s="366" t="s">
        <v>356</v>
      </c>
      <c r="FN246" s="366" t="s">
        <v>356</v>
      </c>
      <c r="FO246" s="366" t="s">
        <v>356</v>
      </c>
      <c r="FP246" s="366" t="s">
        <v>356</v>
      </c>
    </row>
    <row r="247" spans="1:172" s="406" customFormat="1">
      <c r="A247" s="406" t="s">
        <v>578</v>
      </c>
      <c r="B247" s="406" t="s">
        <v>1666</v>
      </c>
      <c r="C247" s="406" t="s">
        <v>1377</v>
      </c>
      <c r="D247" s="406" t="s">
        <v>579</v>
      </c>
      <c r="E247" s="406" t="s">
        <v>889</v>
      </c>
      <c r="F247" s="406" t="s">
        <v>356</v>
      </c>
      <c r="G247" s="406">
        <v>43</v>
      </c>
      <c r="H247" s="406">
        <v>42</v>
      </c>
      <c r="I247" s="406">
        <v>40</v>
      </c>
      <c r="M247" s="406" t="s">
        <v>3115</v>
      </c>
      <c r="N247" s="406" t="s">
        <v>3111</v>
      </c>
      <c r="O247" s="406" t="s">
        <v>1715</v>
      </c>
      <c r="P247" s="406" t="s">
        <v>356</v>
      </c>
      <c r="Q247" s="406" t="s">
        <v>356</v>
      </c>
      <c r="R247" s="406" t="s">
        <v>1714</v>
      </c>
      <c r="S247" s="406" t="s">
        <v>817</v>
      </c>
      <c r="T247" s="406">
        <v>16</v>
      </c>
      <c r="U247" s="406" cm="1">
        <f t="array" ref="U247">IFERROR(INDEX('Offer Statistics'!$DA$2:$DA$450,MATCH(1,(A247='Offer Statistics'!$CL$2:$CL$450)*($A$11='Offer Statistics'!$CM$2:$CM$450),0)),"/")</f>
        <v>18</v>
      </c>
      <c r="V247" s="406" cm="1">
        <f t="array" ref="V247">IFERROR(INDEX('Offer Statistics'!$CN$2:$CN$450,MATCH(1,(A247='Offer Statistics'!$CL$2:$CL$450)*($A$11='Offer Statistics'!$CM$2:$CM$450),0)),"/")</f>
        <v>99</v>
      </c>
      <c r="W247" s="406" cm="1">
        <f t="array" ref="W247">IFERROR(INDEX('Offer Statistics'!$CV$2:$CV$450,MATCH(1,(A247='Offer Statistics'!$CL$2:$CL$450)*($A$11='Offer Statistics'!$CM$2:$CM$450),0)),"/")</f>
        <v>18</v>
      </c>
      <c r="X247" s="406">
        <f t="shared" si="774"/>
        <v>5.5</v>
      </c>
      <c r="Y247" s="406" t="s">
        <v>1177</v>
      </c>
      <c r="Z247" s="406" t="str">
        <f>入學要求!AF256</f>
        <v>以下一科選修取得Lv.3︰生物、化學、組合科學、物理、綜合科學</v>
      </c>
      <c r="AA247" s="406" t="str">
        <f>入學要求!AG256</f>
        <v>/</v>
      </c>
      <c r="AB247" s="405" t="s">
        <v>12</v>
      </c>
      <c r="AD247" s="405"/>
      <c r="AE247" s="410" t="s">
        <v>1713</v>
      </c>
      <c r="AF247" s="410" t="s">
        <v>3111</v>
      </c>
      <c r="AG247" s="405" t="s">
        <v>1542</v>
      </c>
      <c r="AH247" s="410" t="s">
        <v>3127</v>
      </c>
      <c r="AI247" s="405" t="s">
        <v>356</v>
      </c>
      <c r="AJ247" s="406" t="s">
        <v>1675</v>
      </c>
      <c r="AK247" s="406" t="s">
        <v>356</v>
      </c>
      <c r="AL247" s="406" t="s">
        <v>356</v>
      </c>
      <c r="AO247" s="406" t="s">
        <v>1671</v>
      </c>
      <c r="AP247" s="366" t="s">
        <v>3267</v>
      </c>
      <c r="AQ247" s="406" t="s">
        <v>356</v>
      </c>
      <c r="AS247" s="406" t="s">
        <v>820</v>
      </c>
      <c r="AU247" s="406" t="s">
        <v>817</v>
      </c>
      <c r="AY247" s="406" t="s">
        <v>356</v>
      </c>
      <c r="AZ247" s="406" t="s">
        <v>356</v>
      </c>
      <c r="BA247" s="406" t="s">
        <v>356</v>
      </c>
      <c r="BB247" s="406" t="s">
        <v>356</v>
      </c>
      <c r="BC247" s="406" t="s">
        <v>356</v>
      </c>
      <c r="BD247" s="406" t="s">
        <v>356</v>
      </c>
      <c r="BE247" s="406" t="s">
        <v>356</v>
      </c>
      <c r="BF247" s="406" t="s">
        <v>356</v>
      </c>
      <c r="BH247" s="406" t="s">
        <v>356</v>
      </c>
      <c r="BI247" s="406" t="s">
        <v>356</v>
      </c>
      <c r="BJ247" s="406" t="s">
        <v>356</v>
      </c>
      <c r="BK247" s="406" t="s">
        <v>356</v>
      </c>
      <c r="BL247" s="406" t="s">
        <v>356</v>
      </c>
      <c r="BM247" s="406" t="s">
        <v>356</v>
      </c>
      <c r="BN247" s="406" t="s">
        <v>356</v>
      </c>
      <c r="BO247" s="406" t="s">
        <v>356</v>
      </c>
      <c r="BX247" s="406" t="s">
        <v>356</v>
      </c>
      <c r="BY247" s="406" t="s">
        <v>356</v>
      </c>
      <c r="BZ247" s="406" t="s">
        <v>356</v>
      </c>
      <c r="CA247" s="406" t="s">
        <v>356</v>
      </c>
      <c r="CB247" s="406" t="s">
        <v>356</v>
      </c>
      <c r="CC247" s="406" t="s">
        <v>356</v>
      </c>
      <c r="CD247" s="406" t="s">
        <v>356</v>
      </c>
      <c r="CE247" s="406" t="s">
        <v>356</v>
      </c>
      <c r="CF247" s="406" t="s">
        <v>356</v>
      </c>
      <c r="CG247" s="406" t="s">
        <v>356</v>
      </c>
      <c r="CH247" s="406" t="s">
        <v>356</v>
      </c>
      <c r="CI247" s="406" t="s">
        <v>356</v>
      </c>
      <c r="CJ247" s="406" t="s">
        <v>356</v>
      </c>
      <c r="CK247" s="406" t="s">
        <v>356</v>
      </c>
      <c r="CL247" s="406" t="s">
        <v>356</v>
      </c>
      <c r="CM247" s="406" t="s">
        <v>356</v>
      </c>
      <c r="CN247" s="406" t="s">
        <v>356</v>
      </c>
      <c r="CO247" s="406" t="s">
        <v>356</v>
      </c>
      <c r="CP247" s="406" t="s">
        <v>356</v>
      </c>
      <c r="CQ247" s="406" t="s">
        <v>356</v>
      </c>
      <c r="CR247" s="406" t="s">
        <v>356</v>
      </c>
      <c r="CS247" s="406" t="s">
        <v>356</v>
      </c>
      <c r="CT247" s="406" t="s">
        <v>356</v>
      </c>
      <c r="CU247" s="406" t="s">
        <v>356</v>
      </c>
      <c r="CW247" s="406" t="s">
        <v>356</v>
      </c>
      <c r="CX247" s="406" t="s">
        <v>356</v>
      </c>
      <c r="CY247" s="406" t="s">
        <v>356</v>
      </c>
      <c r="CZ247" s="406" t="s">
        <v>356</v>
      </c>
      <c r="DA247" s="406" t="s">
        <v>356</v>
      </c>
      <c r="DB247" s="406" t="s">
        <v>356</v>
      </c>
      <c r="DC247" s="406" t="s">
        <v>356</v>
      </c>
      <c r="DD247" s="406" t="s">
        <v>356</v>
      </c>
      <c r="DM247" s="406" t="s">
        <v>356</v>
      </c>
      <c r="DN247" s="406" t="s">
        <v>356</v>
      </c>
      <c r="DO247" s="406" t="s">
        <v>356</v>
      </c>
      <c r="DP247" s="406" t="s">
        <v>356</v>
      </c>
      <c r="DQ247" s="406" t="s">
        <v>356</v>
      </c>
      <c r="DR247" s="406" t="s">
        <v>356</v>
      </c>
      <c r="DS247" s="406" t="s">
        <v>356</v>
      </c>
      <c r="DT247" s="406" t="s">
        <v>356</v>
      </c>
      <c r="DU247" s="406" t="s">
        <v>356</v>
      </c>
      <c r="DV247" s="406" t="s">
        <v>356</v>
      </c>
      <c r="DW247" s="406" t="s">
        <v>356</v>
      </c>
      <c r="DX247" s="406" t="s">
        <v>356</v>
      </c>
      <c r="DY247" s="406" t="s">
        <v>356</v>
      </c>
      <c r="DZ247" s="406" t="s">
        <v>356</v>
      </c>
      <c r="EA247" s="406" t="s">
        <v>356</v>
      </c>
      <c r="EB247" s="406" t="s">
        <v>356</v>
      </c>
      <c r="EC247" s="406" t="s">
        <v>356</v>
      </c>
      <c r="ED247" s="406" t="s">
        <v>356</v>
      </c>
      <c r="EE247" s="406" t="s">
        <v>356</v>
      </c>
      <c r="EF247" s="406" t="s">
        <v>356</v>
      </c>
      <c r="EG247" s="406" t="s">
        <v>356</v>
      </c>
      <c r="EH247" s="406" t="s">
        <v>356</v>
      </c>
      <c r="EI247" s="406" t="s">
        <v>356</v>
      </c>
      <c r="EJ247" s="406" t="s">
        <v>356</v>
      </c>
      <c r="EK247" s="406" t="s">
        <v>356</v>
      </c>
      <c r="EL247" s="406" t="s">
        <v>356</v>
      </c>
      <c r="EM247" s="406" t="s">
        <v>356</v>
      </c>
      <c r="EN247" s="406" t="s">
        <v>356</v>
      </c>
      <c r="EO247" s="406" t="s">
        <v>356</v>
      </c>
      <c r="EP247" s="406" t="s">
        <v>356</v>
      </c>
      <c r="EQ247" s="406" t="s">
        <v>356</v>
      </c>
      <c r="ER247" s="406" t="s">
        <v>356</v>
      </c>
      <c r="FA247" s="406" t="s">
        <v>356</v>
      </c>
      <c r="FB247" s="406" t="s">
        <v>356</v>
      </c>
      <c r="FC247" s="406" t="s">
        <v>356</v>
      </c>
      <c r="FD247" s="406" t="s">
        <v>356</v>
      </c>
      <c r="FE247" s="406" t="s">
        <v>356</v>
      </c>
      <c r="FF247" s="406" t="s">
        <v>356</v>
      </c>
      <c r="FG247" s="406" t="s">
        <v>356</v>
      </c>
      <c r="FH247" s="406" t="s">
        <v>356</v>
      </c>
      <c r="FI247" s="406" t="s">
        <v>356</v>
      </c>
      <c r="FJ247" s="406" t="s">
        <v>356</v>
      </c>
      <c r="FK247" s="406" t="s">
        <v>356</v>
      </c>
      <c r="FL247" s="406" t="s">
        <v>356</v>
      </c>
      <c r="FM247" s="406" t="s">
        <v>356</v>
      </c>
      <c r="FN247" s="406" t="s">
        <v>356</v>
      </c>
      <c r="FO247" s="406" t="s">
        <v>356</v>
      </c>
      <c r="FP247" s="406" t="s">
        <v>356</v>
      </c>
    </row>
    <row r="248" spans="1:172" s="366" customFormat="1">
      <c r="A248" s="366" t="s">
        <v>582</v>
      </c>
      <c r="B248" s="366" t="s">
        <v>1666</v>
      </c>
      <c r="C248" s="366" t="s">
        <v>1377</v>
      </c>
      <c r="D248" s="366" t="s">
        <v>583</v>
      </c>
      <c r="E248" s="366" t="s">
        <v>828</v>
      </c>
      <c r="F248" s="366" t="s">
        <v>356</v>
      </c>
      <c r="G248" s="368">
        <v>39</v>
      </c>
      <c r="H248" s="368">
        <v>38</v>
      </c>
      <c r="I248" s="368">
        <v>36</v>
      </c>
      <c r="M248" s="368" t="s">
        <v>356</v>
      </c>
      <c r="N248" s="368" t="s">
        <v>356</v>
      </c>
      <c r="O248" s="368" t="s">
        <v>356</v>
      </c>
      <c r="P248" s="368" t="s">
        <v>356</v>
      </c>
      <c r="Q248" s="368" t="s">
        <v>356</v>
      </c>
      <c r="R248" s="365" t="s">
        <v>1716</v>
      </c>
      <c r="S248" s="365" t="s">
        <v>817</v>
      </c>
      <c r="T248" s="366">
        <v>48</v>
      </c>
      <c r="U248" s="366" cm="1">
        <f t="array" ref="U248">IFERROR(INDEX('Offer Statistics'!$DA$2:$DA$450,MATCH(1,(A248='Offer Statistics'!$CL$2:$CL$450)*($A$11='Offer Statistics'!$CM$2:$CM$450),0)),"/")</f>
        <v>59</v>
      </c>
      <c r="V248" s="366" cm="1">
        <f t="array" ref="V248">IFERROR(INDEX('Offer Statistics'!$CN$2:$CN$450,MATCH(1,(A248='Offer Statistics'!$CL$2:$CL$450)*($A$11='Offer Statistics'!$CM$2:$CM$450),0)),"/")</f>
        <v>155</v>
      </c>
      <c r="W248" s="366" cm="1">
        <f t="array" ref="W248">IFERROR(INDEX('Offer Statistics'!$CV$2:$CV$450,MATCH(1,(A248='Offer Statistics'!$CL$2:$CL$450)*($A$11='Offer Statistics'!$CM$2:$CM$450),0)),"/")</f>
        <v>59</v>
      </c>
      <c r="X248" s="366">
        <f t="shared" si="774"/>
        <v>2.6271186440677967</v>
      </c>
      <c r="Y248" s="366" t="s">
        <v>1177</v>
      </c>
      <c r="Z248" s="366" t="str">
        <f>入學要求!AF257</f>
        <v>申請人必須掌握流利廣東話及英語。</v>
      </c>
      <c r="AA248" s="366" t="str">
        <f>入學要求!AG257</f>
        <v>/</v>
      </c>
      <c r="AB248" s="368" t="s">
        <v>889</v>
      </c>
      <c r="AC248" s="400"/>
      <c r="AD248" s="368"/>
      <c r="AE248" s="368" t="s">
        <v>356</v>
      </c>
      <c r="AF248" s="368" t="s">
        <v>356</v>
      </c>
      <c r="AG248" s="368" t="s">
        <v>356</v>
      </c>
      <c r="AH248" s="368" t="s">
        <v>356</v>
      </c>
      <c r="AI248" s="368" t="s">
        <v>356</v>
      </c>
      <c r="AJ248" s="366" t="s">
        <v>839</v>
      </c>
      <c r="AK248" s="366" t="s">
        <v>1717</v>
      </c>
      <c r="AL248" s="366" t="s">
        <v>356</v>
      </c>
      <c r="AO248" s="366" t="s">
        <v>1671</v>
      </c>
      <c r="AP248" s="366" t="s">
        <v>1672</v>
      </c>
      <c r="AQ248" s="366" t="s">
        <v>356</v>
      </c>
      <c r="AS248" s="366" t="s">
        <v>820</v>
      </c>
      <c r="AU248" s="366" t="s">
        <v>817</v>
      </c>
      <c r="AY248" s="366" t="s">
        <v>356</v>
      </c>
      <c r="AZ248" s="366" t="s">
        <v>356</v>
      </c>
      <c r="BA248" s="366" t="s">
        <v>356</v>
      </c>
      <c r="BB248" s="366" t="s">
        <v>356</v>
      </c>
      <c r="BC248" s="366" t="s">
        <v>356</v>
      </c>
      <c r="BD248" s="366" t="s">
        <v>356</v>
      </c>
      <c r="BE248" s="366" t="s">
        <v>356</v>
      </c>
      <c r="BF248" s="366" t="s">
        <v>356</v>
      </c>
      <c r="BH248" s="366" t="s">
        <v>356</v>
      </c>
      <c r="BI248" s="366" t="s">
        <v>356</v>
      </c>
      <c r="BJ248" s="366" t="s">
        <v>356</v>
      </c>
      <c r="BK248" s="366" t="s">
        <v>356</v>
      </c>
      <c r="BL248" s="366" t="s">
        <v>356</v>
      </c>
      <c r="BM248" s="366" t="s">
        <v>356</v>
      </c>
      <c r="BN248" s="366" t="s">
        <v>356</v>
      </c>
      <c r="BO248" s="366" t="s">
        <v>356</v>
      </c>
      <c r="BP248" s="438"/>
      <c r="BQ248" s="438"/>
      <c r="BR248" s="438"/>
      <c r="BS248" s="438"/>
      <c r="BT248" s="438"/>
      <c r="BU248" s="438"/>
      <c r="BV248" s="438"/>
      <c r="BW248" s="438"/>
      <c r="BX248" s="366" t="s">
        <v>356</v>
      </c>
      <c r="BY248" s="366" t="s">
        <v>356</v>
      </c>
      <c r="BZ248" s="366" t="s">
        <v>356</v>
      </c>
      <c r="CA248" s="366" t="s">
        <v>356</v>
      </c>
      <c r="CB248" s="366" t="s">
        <v>356</v>
      </c>
      <c r="CC248" s="366" t="s">
        <v>356</v>
      </c>
      <c r="CD248" s="366" t="s">
        <v>356</v>
      </c>
      <c r="CE248" s="366" t="s">
        <v>356</v>
      </c>
      <c r="CF248" s="366" t="s">
        <v>356</v>
      </c>
      <c r="CG248" s="366" t="s">
        <v>356</v>
      </c>
      <c r="CH248" s="366" t="s">
        <v>356</v>
      </c>
      <c r="CI248" s="366" t="s">
        <v>356</v>
      </c>
      <c r="CJ248" s="366" t="s">
        <v>356</v>
      </c>
      <c r="CK248" s="366" t="s">
        <v>356</v>
      </c>
      <c r="CL248" s="366" t="s">
        <v>356</v>
      </c>
      <c r="CM248" s="366" t="s">
        <v>356</v>
      </c>
      <c r="CN248" s="366" t="s">
        <v>356</v>
      </c>
      <c r="CO248" s="366" t="s">
        <v>356</v>
      </c>
      <c r="CP248" s="366" t="s">
        <v>356</v>
      </c>
      <c r="CQ248" s="366" t="s">
        <v>356</v>
      </c>
      <c r="CR248" s="366" t="s">
        <v>356</v>
      </c>
      <c r="CS248" s="366" t="s">
        <v>356</v>
      </c>
      <c r="CT248" s="366" t="s">
        <v>356</v>
      </c>
      <c r="CU248" s="366" t="s">
        <v>356</v>
      </c>
      <c r="CW248" s="366" t="s">
        <v>356</v>
      </c>
      <c r="CX248" s="366" t="s">
        <v>356</v>
      </c>
      <c r="CY248" s="366" t="s">
        <v>356</v>
      </c>
      <c r="CZ248" s="366" t="s">
        <v>356</v>
      </c>
      <c r="DA248" s="366" t="s">
        <v>356</v>
      </c>
      <c r="DB248" s="366" t="s">
        <v>356</v>
      </c>
      <c r="DC248" s="366" t="s">
        <v>356</v>
      </c>
      <c r="DD248" s="366" t="s">
        <v>356</v>
      </c>
      <c r="DE248" s="438"/>
      <c r="DF248" s="438"/>
      <c r="DG248" s="438"/>
      <c r="DH248" s="438"/>
      <c r="DI248" s="438"/>
      <c r="DJ248" s="438"/>
      <c r="DK248" s="438"/>
      <c r="DL248" s="438"/>
      <c r="DM248" s="366" t="s">
        <v>356</v>
      </c>
      <c r="DN248" s="366" t="s">
        <v>356</v>
      </c>
      <c r="DO248" s="366" t="s">
        <v>356</v>
      </c>
      <c r="DP248" s="366" t="s">
        <v>356</v>
      </c>
      <c r="DQ248" s="366" t="s">
        <v>356</v>
      </c>
      <c r="DR248" s="366" t="s">
        <v>356</v>
      </c>
      <c r="DS248" s="366" t="s">
        <v>356</v>
      </c>
      <c r="DT248" s="366" t="s">
        <v>356</v>
      </c>
      <c r="DU248" s="366" t="s">
        <v>356</v>
      </c>
      <c r="DV248" s="366" t="s">
        <v>356</v>
      </c>
      <c r="DW248" s="366" t="s">
        <v>356</v>
      </c>
      <c r="DX248" s="366" t="s">
        <v>356</v>
      </c>
      <c r="DY248" s="366" t="s">
        <v>356</v>
      </c>
      <c r="DZ248" s="366" t="s">
        <v>356</v>
      </c>
      <c r="EA248" s="366" t="s">
        <v>356</v>
      </c>
      <c r="EB248" s="366" t="s">
        <v>356</v>
      </c>
      <c r="EC248" s="366" t="s">
        <v>356</v>
      </c>
      <c r="ED248" s="366" t="s">
        <v>356</v>
      </c>
      <c r="EE248" s="366" t="s">
        <v>356</v>
      </c>
      <c r="EF248" s="366" t="s">
        <v>356</v>
      </c>
      <c r="EG248" s="366" t="s">
        <v>356</v>
      </c>
      <c r="EH248" s="366" t="s">
        <v>356</v>
      </c>
      <c r="EI248" s="366" t="s">
        <v>356</v>
      </c>
      <c r="EJ248" s="366" t="s">
        <v>356</v>
      </c>
      <c r="EK248" s="366" t="s">
        <v>356</v>
      </c>
      <c r="EL248" s="366" t="s">
        <v>356</v>
      </c>
      <c r="EM248" s="366" t="s">
        <v>356</v>
      </c>
      <c r="EN248" s="366" t="s">
        <v>356</v>
      </c>
      <c r="EO248" s="366" t="s">
        <v>356</v>
      </c>
      <c r="EP248" s="366" t="s">
        <v>356</v>
      </c>
      <c r="EQ248" s="366" t="s">
        <v>356</v>
      </c>
      <c r="ER248" s="366" t="s">
        <v>356</v>
      </c>
      <c r="FA248" s="366" t="s">
        <v>356</v>
      </c>
      <c r="FB248" s="366" t="s">
        <v>356</v>
      </c>
      <c r="FC248" s="366" t="s">
        <v>356</v>
      </c>
      <c r="FD248" s="366" t="s">
        <v>356</v>
      </c>
      <c r="FE248" s="366" t="s">
        <v>356</v>
      </c>
      <c r="FF248" s="366" t="s">
        <v>356</v>
      </c>
      <c r="FG248" s="366" t="s">
        <v>356</v>
      </c>
      <c r="FH248" s="366" t="s">
        <v>356</v>
      </c>
      <c r="FI248" s="366" t="s">
        <v>356</v>
      </c>
      <c r="FJ248" s="366" t="s">
        <v>356</v>
      </c>
      <c r="FK248" s="366" t="s">
        <v>356</v>
      </c>
      <c r="FL248" s="366" t="s">
        <v>356</v>
      </c>
      <c r="FM248" s="366" t="s">
        <v>356</v>
      </c>
      <c r="FN248" s="366" t="s">
        <v>356</v>
      </c>
      <c r="FO248" s="366" t="s">
        <v>356</v>
      </c>
      <c r="FP248" s="366" t="s">
        <v>356</v>
      </c>
    </row>
    <row r="249" spans="1:172" s="366" customFormat="1">
      <c r="A249" s="366" t="s">
        <v>1718</v>
      </c>
      <c r="B249" s="366" t="s">
        <v>1666</v>
      </c>
      <c r="C249" s="366" t="s">
        <v>1214</v>
      </c>
      <c r="D249" s="366" t="s">
        <v>1719</v>
      </c>
      <c r="E249" s="366" t="s">
        <v>889</v>
      </c>
      <c r="F249" s="366" t="s">
        <v>356</v>
      </c>
      <c r="G249" s="368">
        <v>31</v>
      </c>
      <c r="H249" s="368">
        <v>30</v>
      </c>
      <c r="I249" s="368">
        <v>28</v>
      </c>
      <c r="M249" s="368" t="s">
        <v>998</v>
      </c>
      <c r="N249" s="368" t="s">
        <v>1720</v>
      </c>
      <c r="O249" s="368" t="s">
        <v>356</v>
      </c>
      <c r="P249" s="368" t="s">
        <v>356</v>
      </c>
      <c r="Q249" s="368" t="s">
        <v>356</v>
      </c>
      <c r="R249" s="365" t="s">
        <v>2295</v>
      </c>
      <c r="S249" s="365" t="s">
        <v>817</v>
      </c>
      <c r="T249" s="366">
        <v>30</v>
      </c>
      <c r="U249" s="366" cm="1">
        <f t="array" ref="U249">IFERROR(INDEX('Offer Statistics'!$DA$2:$DA$450,MATCH(1,(A249='Offer Statistics'!$CL$2:$CL$450)*($A$11='Offer Statistics'!$CM$2:$CM$450),0)),"/")</f>
        <v>30</v>
      </c>
      <c r="V249" s="366" cm="1">
        <f t="array" ref="V249">IFERROR(INDEX('Offer Statistics'!$CN$2:$CN$450,MATCH(1,(A249='Offer Statistics'!$CL$2:$CL$450)*($A$11='Offer Statistics'!$CM$2:$CM$450),0)),"/")</f>
        <v>95</v>
      </c>
      <c r="W249" s="366" cm="1">
        <f t="array" ref="W249">IFERROR(INDEX('Offer Statistics'!$CV$2:$CV$450,MATCH(1,(A249='Offer Statistics'!$CL$2:$CL$450)*($A$11='Offer Statistics'!$CM$2:$CM$450),0)),"/")</f>
        <v>30</v>
      </c>
      <c r="X249" s="366">
        <f t="shared" si="774"/>
        <v>3.1666666666666665</v>
      </c>
      <c r="Y249" s="366" t="s">
        <v>1177</v>
      </c>
      <c r="Z249" s="366" t="str">
        <f>入學要求!AF258</f>
        <v>M1/2 需考獲Lv. 3 或以上</v>
      </c>
      <c r="AA249" s="366" t="str">
        <f>入學要求!AG258</f>
        <v>/</v>
      </c>
      <c r="AB249" s="368" t="s">
        <v>12</v>
      </c>
      <c r="AC249" s="368"/>
      <c r="AD249" s="368"/>
      <c r="AE249" s="368" t="s">
        <v>996</v>
      </c>
      <c r="AF249" s="368" t="s">
        <v>1723</v>
      </c>
      <c r="AG249" s="368" t="s">
        <v>356</v>
      </c>
      <c r="AH249" s="368" t="s">
        <v>356</v>
      </c>
      <c r="AI249" s="368" t="s">
        <v>356</v>
      </c>
      <c r="AJ249" s="366" t="s">
        <v>839</v>
      </c>
      <c r="AK249" s="366" t="s">
        <v>356</v>
      </c>
      <c r="AL249" s="366" t="s">
        <v>356</v>
      </c>
      <c r="AO249" s="366" t="s">
        <v>1671</v>
      </c>
      <c r="AP249" s="366" t="s">
        <v>1721</v>
      </c>
      <c r="AQ249" s="366" t="s">
        <v>356</v>
      </c>
      <c r="AS249" s="366" t="s">
        <v>820</v>
      </c>
      <c r="AU249" s="366" t="s">
        <v>817</v>
      </c>
      <c r="AY249" s="366" t="s">
        <v>356</v>
      </c>
      <c r="AZ249" s="366" t="s">
        <v>356</v>
      </c>
      <c r="BA249" s="366" t="s">
        <v>356</v>
      </c>
      <c r="BB249" s="366" t="s">
        <v>356</v>
      </c>
      <c r="BC249" s="366" t="s">
        <v>356</v>
      </c>
      <c r="BD249" s="366" t="s">
        <v>356</v>
      </c>
      <c r="BE249" s="366" t="s">
        <v>356</v>
      </c>
      <c r="BF249" s="366" t="s">
        <v>356</v>
      </c>
      <c r="BH249" s="366" t="s">
        <v>356</v>
      </c>
      <c r="BI249" s="366" t="s">
        <v>356</v>
      </c>
      <c r="BJ249" s="366" t="s">
        <v>356</v>
      </c>
      <c r="BK249" s="366" t="s">
        <v>356</v>
      </c>
      <c r="BL249" s="366" t="s">
        <v>356</v>
      </c>
      <c r="BM249" s="366" t="s">
        <v>356</v>
      </c>
      <c r="BN249" s="366" t="s">
        <v>356</v>
      </c>
      <c r="BO249" s="366" t="s">
        <v>356</v>
      </c>
      <c r="BP249" s="438"/>
      <c r="BQ249" s="438"/>
      <c r="BR249" s="438"/>
      <c r="BS249" s="438"/>
      <c r="BT249" s="438"/>
      <c r="BU249" s="438"/>
      <c r="BV249" s="438"/>
      <c r="BW249" s="438"/>
      <c r="BX249" s="366" t="s">
        <v>356</v>
      </c>
      <c r="BY249" s="366" t="s">
        <v>356</v>
      </c>
      <c r="BZ249" s="366" t="s">
        <v>356</v>
      </c>
      <c r="CA249" s="366" t="s">
        <v>356</v>
      </c>
      <c r="CB249" s="366" t="s">
        <v>356</v>
      </c>
      <c r="CC249" s="366" t="s">
        <v>356</v>
      </c>
      <c r="CD249" s="366" t="s">
        <v>356</v>
      </c>
      <c r="CE249" s="366" t="s">
        <v>356</v>
      </c>
      <c r="CF249" s="366" t="s">
        <v>356</v>
      </c>
      <c r="CG249" s="366" t="s">
        <v>356</v>
      </c>
      <c r="CH249" s="366" t="s">
        <v>356</v>
      </c>
      <c r="CI249" s="366" t="s">
        <v>356</v>
      </c>
      <c r="CJ249" s="366" t="s">
        <v>356</v>
      </c>
      <c r="CK249" s="366" t="s">
        <v>356</v>
      </c>
      <c r="CL249" s="366" t="s">
        <v>356</v>
      </c>
      <c r="CM249" s="366" t="s">
        <v>356</v>
      </c>
      <c r="CN249" s="366" t="s">
        <v>356</v>
      </c>
      <c r="CO249" s="366" t="s">
        <v>356</v>
      </c>
      <c r="CP249" s="366" t="s">
        <v>356</v>
      </c>
      <c r="CQ249" s="366" t="s">
        <v>356</v>
      </c>
      <c r="CR249" s="366" t="s">
        <v>356</v>
      </c>
      <c r="CS249" s="366" t="s">
        <v>356</v>
      </c>
      <c r="CT249" s="366" t="s">
        <v>356</v>
      </c>
      <c r="CU249" s="366" t="s">
        <v>356</v>
      </c>
      <c r="CW249" s="366" t="s">
        <v>356</v>
      </c>
      <c r="CX249" s="366" t="s">
        <v>356</v>
      </c>
      <c r="CY249" s="366" t="s">
        <v>356</v>
      </c>
      <c r="CZ249" s="366" t="s">
        <v>356</v>
      </c>
      <c r="DA249" s="366" t="s">
        <v>356</v>
      </c>
      <c r="DB249" s="366" t="s">
        <v>356</v>
      </c>
      <c r="DC249" s="366" t="s">
        <v>356</v>
      </c>
      <c r="DD249" s="366" t="s">
        <v>356</v>
      </c>
      <c r="DE249" s="438"/>
      <c r="DF249" s="438"/>
      <c r="DG249" s="438"/>
      <c r="DH249" s="438"/>
      <c r="DI249" s="438"/>
      <c r="DJ249" s="438"/>
      <c r="DK249" s="438"/>
      <c r="DL249" s="438"/>
      <c r="DM249" s="366" t="s">
        <v>356</v>
      </c>
      <c r="DN249" s="366" t="s">
        <v>356</v>
      </c>
      <c r="DO249" s="366" t="s">
        <v>356</v>
      </c>
      <c r="DP249" s="366" t="s">
        <v>356</v>
      </c>
      <c r="DQ249" s="366" t="s">
        <v>356</v>
      </c>
      <c r="DR249" s="366" t="s">
        <v>356</v>
      </c>
      <c r="DS249" s="366" t="s">
        <v>356</v>
      </c>
      <c r="DT249" s="366" t="s">
        <v>356</v>
      </c>
      <c r="DU249" s="366" t="s">
        <v>356</v>
      </c>
      <c r="DV249" s="366" t="s">
        <v>356</v>
      </c>
      <c r="DW249" s="366" t="s">
        <v>356</v>
      </c>
      <c r="DX249" s="366" t="s">
        <v>356</v>
      </c>
      <c r="DY249" s="366" t="s">
        <v>356</v>
      </c>
      <c r="DZ249" s="366" t="s">
        <v>356</v>
      </c>
      <c r="EA249" s="366" t="s">
        <v>356</v>
      </c>
      <c r="EB249" s="366" t="s">
        <v>356</v>
      </c>
      <c r="EC249" s="366" t="s">
        <v>356</v>
      </c>
      <c r="ED249" s="366" t="s">
        <v>356</v>
      </c>
      <c r="EE249" s="366" t="s">
        <v>356</v>
      </c>
      <c r="EF249" s="366" t="s">
        <v>356</v>
      </c>
      <c r="EG249" s="366" t="s">
        <v>356</v>
      </c>
      <c r="EH249" s="366" t="s">
        <v>356</v>
      </c>
      <c r="EI249" s="366" t="s">
        <v>356</v>
      </c>
      <c r="EJ249" s="366" t="s">
        <v>356</v>
      </c>
      <c r="EK249" s="366" t="s">
        <v>356</v>
      </c>
      <c r="EL249" s="366" t="s">
        <v>356</v>
      </c>
      <c r="EM249" s="366" t="s">
        <v>356</v>
      </c>
      <c r="EN249" s="366" t="s">
        <v>356</v>
      </c>
      <c r="EO249" s="366" t="s">
        <v>356</v>
      </c>
      <c r="EP249" s="366" t="s">
        <v>356</v>
      </c>
      <c r="EQ249" s="366" t="s">
        <v>356</v>
      </c>
      <c r="ER249" s="366" t="s">
        <v>356</v>
      </c>
      <c r="FA249" s="366" t="s">
        <v>356</v>
      </c>
      <c r="FB249" s="366" t="s">
        <v>356</v>
      </c>
      <c r="FC249" s="366" t="s">
        <v>356</v>
      </c>
      <c r="FD249" s="366" t="s">
        <v>356</v>
      </c>
      <c r="FE249" s="366" t="s">
        <v>356</v>
      </c>
      <c r="FF249" s="366" t="s">
        <v>356</v>
      </c>
      <c r="FG249" s="366" t="s">
        <v>356</v>
      </c>
      <c r="FH249" s="366" t="s">
        <v>356</v>
      </c>
      <c r="FI249" s="366" t="s">
        <v>356</v>
      </c>
      <c r="FJ249" s="366" t="s">
        <v>356</v>
      </c>
      <c r="FK249" s="366" t="s">
        <v>356</v>
      </c>
      <c r="FL249" s="366" t="s">
        <v>356</v>
      </c>
      <c r="FM249" s="366" t="s">
        <v>356</v>
      </c>
      <c r="FN249" s="366" t="s">
        <v>356</v>
      </c>
      <c r="FO249" s="366" t="s">
        <v>356</v>
      </c>
      <c r="FP249" s="366" t="s">
        <v>356</v>
      </c>
    </row>
    <row r="250" spans="1:172" s="366" customFormat="1">
      <c r="A250" s="366" t="s">
        <v>554</v>
      </c>
      <c r="B250" s="366" t="s">
        <v>1666</v>
      </c>
      <c r="C250" s="366" t="s">
        <v>1214</v>
      </c>
      <c r="D250" s="366" t="s">
        <v>584</v>
      </c>
      <c r="E250" s="366" t="s">
        <v>889</v>
      </c>
      <c r="F250" s="366" t="s">
        <v>356</v>
      </c>
      <c r="G250" s="368">
        <v>31</v>
      </c>
      <c r="H250" s="368">
        <v>28</v>
      </c>
      <c r="I250" s="368">
        <v>27</v>
      </c>
      <c r="M250" s="368" t="s">
        <v>998</v>
      </c>
      <c r="N250" s="368" t="s">
        <v>1720</v>
      </c>
      <c r="O250" s="368" t="s">
        <v>356</v>
      </c>
      <c r="P250" s="368" t="s">
        <v>356</v>
      </c>
      <c r="Q250" s="368" t="s">
        <v>356</v>
      </c>
      <c r="R250" s="365" t="s">
        <v>1722</v>
      </c>
      <c r="S250" s="365" t="s">
        <v>817</v>
      </c>
      <c r="T250" s="366">
        <v>35</v>
      </c>
      <c r="U250" s="366" cm="1">
        <f t="array" ref="U250">IFERROR(INDEX('Offer Statistics'!$DA$2:$DA$450,MATCH(1,(A250='Offer Statistics'!$CL$2:$CL$450)*($A$11='Offer Statistics'!$CM$2:$CM$450),0)),"/")</f>
        <v>17</v>
      </c>
      <c r="V250" s="366" cm="1">
        <f t="array" ref="V250">IFERROR(INDEX('Offer Statistics'!$CN$2:$CN$450,MATCH(1,(A250='Offer Statistics'!$CL$2:$CL$450)*($A$11='Offer Statistics'!$CM$2:$CM$450),0)),"/")</f>
        <v>57</v>
      </c>
      <c r="W250" s="366" cm="1">
        <f t="array" ref="W250">IFERROR(INDEX('Offer Statistics'!$CV$2:$CV$450,MATCH(1,(A250='Offer Statistics'!$CL$2:$CL$450)*($A$11='Offer Statistics'!$CM$2:$CM$450),0)),"/")</f>
        <v>17</v>
      </c>
      <c r="X250" s="366">
        <f t="shared" si="774"/>
        <v>3.3529411764705883</v>
      </c>
      <c r="Y250" s="366" t="s">
        <v>1177</v>
      </c>
      <c r="Z250" s="366" t="str">
        <f>入學要求!AF259</f>
        <v>以下一科選修取得Lv.3︰物理、組合科學(物理)</v>
      </c>
      <c r="AA250" s="366" t="str">
        <f>入學要求!AG259</f>
        <v>優先考慮 M1/2 考獲Lv. 3 或以上 者</v>
      </c>
      <c r="AB250" s="368" t="s">
        <v>12</v>
      </c>
      <c r="AC250" s="400"/>
      <c r="AD250" s="400"/>
      <c r="AE250" s="368" t="s">
        <v>996</v>
      </c>
      <c r="AF250" s="368" t="s">
        <v>1723</v>
      </c>
      <c r="AG250" s="368" t="s">
        <v>356</v>
      </c>
      <c r="AH250" s="368" t="s">
        <v>356</v>
      </c>
      <c r="AI250" s="368" t="s">
        <v>356</v>
      </c>
      <c r="AJ250" s="366" t="s">
        <v>839</v>
      </c>
      <c r="AK250" s="366" t="s">
        <v>356</v>
      </c>
      <c r="AL250" s="366" t="s">
        <v>356</v>
      </c>
      <c r="AO250" s="366" t="s">
        <v>1671</v>
      </c>
      <c r="AP250" s="366" t="s">
        <v>1721</v>
      </c>
      <c r="AQ250" s="366" t="s">
        <v>356</v>
      </c>
      <c r="AS250" s="366" t="s">
        <v>820</v>
      </c>
      <c r="AU250" s="366" t="s">
        <v>817</v>
      </c>
      <c r="AY250" s="366" t="s">
        <v>356</v>
      </c>
      <c r="AZ250" s="366" t="s">
        <v>356</v>
      </c>
      <c r="BA250" s="366" t="s">
        <v>356</v>
      </c>
      <c r="BB250" s="366" t="s">
        <v>356</v>
      </c>
      <c r="BC250" s="366" t="s">
        <v>356</v>
      </c>
      <c r="BD250" s="366" t="s">
        <v>356</v>
      </c>
      <c r="BE250" s="366" t="s">
        <v>356</v>
      </c>
      <c r="BF250" s="366" t="s">
        <v>356</v>
      </c>
      <c r="BH250" s="366" t="s">
        <v>356</v>
      </c>
      <c r="BI250" s="366" t="s">
        <v>356</v>
      </c>
      <c r="BJ250" s="366" t="s">
        <v>356</v>
      </c>
      <c r="BK250" s="366" t="s">
        <v>356</v>
      </c>
      <c r="BL250" s="366" t="s">
        <v>356</v>
      </c>
      <c r="BM250" s="366" t="s">
        <v>356</v>
      </c>
      <c r="BN250" s="366" t="s">
        <v>356</v>
      </c>
      <c r="BO250" s="366" t="s">
        <v>356</v>
      </c>
      <c r="BP250" s="438"/>
      <c r="BQ250" s="438"/>
      <c r="BR250" s="438"/>
      <c r="BS250" s="438"/>
      <c r="BT250" s="438"/>
      <c r="BU250" s="438"/>
      <c r="BV250" s="438"/>
      <c r="BW250" s="438"/>
      <c r="BX250" s="366" t="s">
        <v>356</v>
      </c>
      <c r="BY250" s="366" t="s">
        <v>356</v>
      </c>
      <c r="BZ250" s="366" t="s">
        <v>356</v>
      </c>
      <c r="CA250" s="366" t="s">
        <v>356</v>
      </c>
      <c r="CB250" s="366" t="s">
        <v>356</v>
      </c>
      <c r="CC250" s="366" t="s">
        <v>356</v>
      </c>
      <c r="CD250" s="366" t="s">
        <v>356</v>
      </c>
      <c r="CE250" s="366" t="s">
        <v>356</v>
      </c>
      <c r="CF250" s="366" t="s">
        <v>356</v>
      </c>
      <c r="CG250" s="366" t="s">
        <v>356</v>
      </c>
      <c r="CH250" s="366" t="s">
        <v>356</v>
      </c>
      <c r="CI250" s="366" t="s">
        <v>356</v>
      </c>
      <c r="CJ250" s="366" t="s">
        <v>356</v>
      </c>
      <c r="CK250" s="366" t="s">
        <v>356</v>
      </c>
      <c r="CL250" s="366" t="s">
        <v>356</v>
      </c>
      <c r="CM250" s="366" t="s">
        <v>356</v>
      </c>
      <c r="CN250" s="366" t="s">
        <v>356</v>
      </c>
      <c r="CO250" s="366" t="s">
        <v>356</v>
      </c>
      <c r="CP250" s="366" t="s">
        <v>356</v>
      </c>
      <c r="CQ250" s="366" t="s">
        <v>356</v>
      </c>
      <c r="CR250" s="366" t="s">
        <v>356</v>
      </c>
      <c r="CS250" s="366" t="s">
        <v>356</v>
      </c>
      <c r="CT250" s="366" t="s">
        <v>356</v>
      </c>
      <c r="CU250" s="366" t="s">
        <v>356</v>
      </c>
      <c r="CW250" s="366" t="s">
        <v>356</v>
      </c>
      <c r="CX250" s="366" t="s">
        <v>356</v>
      </c>
      <c r="CY250" s="366" t="s">
        <v>356</v>
      </c>
      <c r="CZ250" s="366" t="s">
        <v>356</v>
      </c>
      <c r="DA250" s="366" t="s">
        <v>356</v>
      </c>
      <c r="DB250" s="366" t="s">
        <v>356</v>
      </c>
      <c r="DC250" s="366" t="s">
        <v>356</v>
      </c>
      <c r="DD250" s="366" t="s">
        <v>356</v>
      </c>
      <c r="DE250" s="438"/>
      <c r="DF250" s="438"/>
      <c r="DG250" s="438"/>
      <c r="DH250" s="438"/>
      <c r="DI250" s="438"/>
      <c r="DJ250" s="438"/>
      <c r="DK250" s="438"/>
      <c r="DL250" s="438"/>
      <c r="DM250" s="366" t="s">
        <v>356</v>
      </c>
      <c r="DN250" s="366" t="s">
        <v>356</v>
      </c>
      <c r="DO250" s="366" t="s">
        <v>356</v>
      </c>
      <c r="DP250" s="366" t="s">
        <v>356</v>
      </c>
      <c r="DQ250" s="366" t="s">
        <v>356</v>
      </c>
      <c r="DR250" s="366" t="s">
        <v>356</v>
      </c>
      <c r="DS250" s="366" t="s">
        <v>356</v>
      </c>
      <c r="DT250" s="366" t="s">
        <v>356</v>
      </c>
      <c r="DU250" s="366" t="s">
        <v>356</v>
      </c>
      <c r="DV250" s="366" t="s">
        <v>356</v>
      </c>
      <c r="DW250" s="366" t="s">
        <v>356</v>
      </c>
      <c r="DX250" s="366" t="s">
        <v>356</v>
      </c>
      <c r="DY250" s="366" t="s">
        <v>356</v>
      </c>
      <c r="DZ250" s="366" t="s">
        <v>356</v>
      </c>
      <c r="EA250" s="366" t="s">
        <v>356</v>
      </c>
      <c r="EB250" s="366" t="s">
        <v>356</v>
      </c>
      <c r="EC250" s="366" t="s">
        <v>356</v>
      </c>
      <c r="ED250" s="366" t="s">
        <v>356</v>
      </c>
      <c r="EE250" s="366" t="s">
        <v>356</v>
      </c>
      <c r="EF250" s="366" t="s">
        <v>356</v>
      </c>
      <c r="EG250" s="366" t="s">
        <v>356</v>
      </c>
      <c r="EH250" s="366" t="s">
        <v>356</v>
      </c>
      <c r="EI250" s="366" t="s">
        <v>356</v>
      </c>
      <c r="EJ250" s="366" t="s">
        <v>356</v>
      </c>
      <c r="EK250" s="366" t="s">
        <v>356</v>
      </c>
      <c r="EL250" s="366" t="s">
        <v>356</v>
      </c>
      <c r="EM250" s="366" t="s">
        <v>356</v>
      </c>
      <c r="EN250" s="366" t="s">
        <v>356</v>
      </c>
      <c r="EO250" s="366" t="s">
        <v>356</v>
      </c>
      <c r="EP250" s="366" t="s">
        <v>356</v>
      </c>
      <c r="EQ250" s="366" t="s">
        <v>356</v>
      </c>
      <c r="ER250" s="366" t="s">
        <v>356</v>
      </c>
      <c r="FA250" s="366" t="s">
        <v>356</v>
      </c>
      <c r="FB250" s="366" t="s">
        <v>356</v>
      </c>
      <c r="FC250" s="366" t="s">
        <v>356</v>
      </c>
      <c r="FD250" s="366" t="s">
        <v>356</v>
      </c>
      <c r="FE250" s="366" t="s">
        <v>356</v>
      </c>
      <c r="FF250" s="366" t="s">
        <v>356</v>
      </c>
      <c r="FG250" s="366" t="s">
        <v>356</v>
      </c>
      <c r="FH250" s="366" t="s">
        <v>356</v>
      </c>
      <c r="FI250" s="366" t="s">
        <v>356</v>
      </c>
      <c r="FJ250" s="366" t="s">
        <v>356</v>
      </c>
      <c r="FK250" s="366" t="s">
        <v>356</v>
      </c>
      <c r="FL250" s="366" t="s">
        <v>356</v>
      </c>
      <c r="FM250" s="366" t="s">
        <v>356</v>
      </c>
      <c r="FN250" s="366" t="s">
        <v>356</v>
      </c>
      <c r="FO250" s="366" t="s">
        <v>356</v>
      </c>
      <c r="FP250" s="366" t="s">
        <v>356</v>
      </c>
    </row>
    <row r="251" spans="1:172" s="366" customFormat="1">
      <c r="A251" s="366" t="s">
        <v>585</v>
      </c>
      <c r="B251" s="366" t="s">
        <v>1666</v>
      </c>
      <c r="C251" s="366" t="s">
        <v>1214</v>
      </c>
      <c r="D251" s="366" t="s">
        <v>586</v>
      </c>
      <c r="E251" s="366" t="s">
        <v>889</v>
      </c>
      <c r="F251" s="366" t="s">
        <v>356</v>
      </c>
      <c r="G251" s="368">
        <v>34</v>
      </c>
      <c r="H251" s="368">
        <v>31</v>
      </c>
      <c r="I251" s="368">
        <v>29</v>
      </c>
      <c r="M251" s="368" t="s">
        <v>998</v>
      </c>
      <c r="N251" s="368" t="s">
        <v>1720</v>
      </c>
      <c r="O251" s="368" t="s">
        <v>356</v>
      </c>
      <c r="P251" s="368" t="s">
        <v>356</v>
      </c>
      <c r="Q251" s="368" t="s">
        <v>356</v>
      </c>
      <c r="R251" s="365" t="s">
        <v>1724</v>
      </c>
      <c r="S251" s="365" t="s">
        <v>817</v>
      </c>
      <c r="T251" s="366" t="s">
        <v>3282</v>
      </c>
      <c r="U251" s="366" cm="1">
        <f t="array" ref="U251">IFERROR(INDEX('Offer Statistics'!$DA$2:$DA$450,MATCH(1,(A251='Offer Statistics'!$CL$2:$CL$450)*($A$11='Offer Statistics'!$CM$2:$CM$450),0)),"/")</f>
        <v>20</v>
      </c>
      <c r="V251" s="366" cm="1">
        <f t="array" ref="V251">IFERROR(INDEX('Offer Statistics'!$CN$2:$CN$450,MATCH(1,(A251='Offer Statistics'!$CL$2:$CL$450)*($A$11='Offer Statistics'!$CM$2:$CM$450),0)),"/")</f>
        <v>62</v>
      </c>
      <c r="W251" s="366" cm="1">
        <f t="array" ref="W251">IFERROR(INDEX('Offer Statistics'!$CV$2:$CV$450,MATCH(1,(A251='Offer Statistics'!$CL$2:$CL$450)*($A$11='Offer Statistics'!$CM$2:$CM$450),0)),"/")</f>
        <v>20</v>
      </c>
      <c r="X251" s="366">
        <f t="shared" si="774"/>
        <v>3.1</v>
      </c>
      <c r="Y251" s="366" t="s">
        <v>1177</v>
      </c>
      <c r="Z251" s="366" t="str">
        <f>入學要求!AF260</f>
        <v>以下一科選修取得Lv.3︰物理、組合科學(物理)</v>
      </c>
      <c r="AA251" s="366" t="str">
        <f>入學要求!AG260</f>
        <v>優先考慮 M1/2 考獲Lv. 3 或以上 者</v>
      </c>
      <c r="AB251" s="368" t="s">
        <v>12</v>
      </c>
      <c r="AC251" s="400"/>
      <c r="AD251" s="400"/>
      <c r="AE251" s="368" t="s">
        <v>996</v>
      </c>
      <c r="AF251" s="368" t="s">
        <v>1723</v>
      </c>
      <c r="AG251" s="368" t="s">
        <v>356</v>
      </c>
      <c r="AH251" s="368" t="s">
        <v>356</v>
      </c>
      <c r="AI251" s="368" t="s">
        <v>356</v>
      </c>
      <c r="AJ251" s="366" t="s">
        <v>839</v>
      </c>
      <c r="AK251" s="366" t="s">
        <v>356</v>
      </c>
      <c r="AL251" s="366" t="s">
        <v>356</v>
      </c>
      <c r="AO251" s="366" t="s">
        <v>1671</v>
      </c>
      <c r="AP251" s="366" t="s">
        <v>3267</v>
      </c>
      <c r="AQ251" s="366" t="s">
        <v>356</v>
      </c>
      <c r="AS251" s="366" t="s">
        <v>820</v>
      </c>
      <c r="AU251" s="366" t="s">
        <v>817</v>
      </c>
      <c r="AY251" s="366" t="s">
        <v>356</v>
      </c>
      <c r="AZ251" s="366" t="s">
        <v>356</v>
      </c>
      <c r="BA251" s="366" t="s">
        <v>356</v>
      </c>
      <c r="BB251" s="366" t="s">
        <v>356</v>
      </c>
      <c r="BC251" s="366" t="s">
        <v>356</v>
      </c>
      <c r="BD251" s="366" t="s">
        <v>356</v>
      </c>
      <c r="BE251" s="366" t="s">
        <v>356</v>
      </c>
      <c r="BF251" s="366" t="s">
        <v>356</v>
      </c>
      <c r="BH251" s="366" t="s">
        <v>356</v>
      </c>
      <c r="BI251" s="366" t="s">
        <v>356</v>
      </c>
      <c r="BJ251" s="366" t="s">
        <v>356</v>
      </c>
      <c r="BK251" s="366" t="s">
        <v>356</v>
      </c>
      <c r="BL251" s="366" t="s">
        <v>356</v>
      </c>
      <c r="BM251" s="366" t="s">
        <v>356</v>
      </c>
      <c r="BN251" s="366" t="s">
        <v>356</v>
      </c>
      <c r="BO251" s="366" t="s">
        <v>356</v>
      </c>
      <c r="BP251" s="438"/>
      <c r="BQ251" s="438"/>
      <c r="BR251" s="438"/>
      <c r="BS251" s="438"/>
      <c r="BT251" s="438"/>
      <c r="BU251" s="438"/>
      <c r="BV251" s="438"/>
      <c r="BW251" s="438"/>
      <c r="BX251" s="366" t="s">
        <v>356</v>
      </c>
      <c r="BY251" s="366" t="s">
        <v>356</v>
      </c>
      <c r="BZ251" s="366" t="s">
        <v>356</v>
      </c>
      <c r="CA251" s="366" t="s">
        <v>356</v>
      </c>
      <c r="CB251" s="366" t="s">
        <v>356</v>
      </c>
      <c r="CC251" s="366" t="s">
        <v>356</v>
      </c>
      <c r="CD251" s="366" t="s">
        <v>356</v>
      </c>
      <c r="CE251" s="366" t="s">
        <v>356</v>
      </c>
      <c r="CF251" s="366" t="s">
        <v>356</v>
      </c>
      <c r="CG251" s="366" t="s">
        <v>356</v>
      </c>
      <c r="CH251" s="366" t="s">
        <v>356</v>
      </c>
      <c r="CI251" s="366" t="s">
        <v>356</v>
      </c>
      <c r="CJ251" s="366" t="s">
        <v>356</v>
      </c>
      <c r="CK251" s="366" t="s">
        <v>356</v>
      </c>
      <c r="CL251" s="366" t="s">
        <v>356</v>
      </c>
      <c r="CM251" s="366" t="s">
        <v>356</v>
      </c>
      <c r="CN251" s="366" t="s">
        <v>356</v>
      </c>
      <c r="CO251" s="366" t="s">
        <v>356</v>
      </c>
      <c r="CP251" s="366" t="s">
        <v>356</v>
      </c>
      <c r="CQ251" s="366" t="s">
        <v>356</v>
      </c>
      <c r="CR251" s="366" t="s">
        <v>356</v>
      </c>
      <c r="CS251" s="366" t="s">
        <v>356</v>
      </c>
      <c r="CT251" s="366" t="s">
        <v>356</v>
      </c>
      <c r="CU251" s="366" t="s">
        <v>356</v>
      </c>
      <c r="CW251" s="366" t="s">
        <v>356</v>
      </c>
      <c r="CX251" s="366" t="s">
        <v>356</v>
      </c>
      <c r="CY251" s="366" t="s">
        <v>356</v>
      </c>
      <c r="CZ251" s="366" t="s">
        <v>356</v>
      </c>
      <c r="DA251" s="366" t="s">
        <v>356</v>
      </c>
      <c r="DB251" s="366" t="s">
        <v>356</v>
      </c>
      <c r="DC251" s="366" t="s">
        <v>356</v>
      </c>
      <c r="DD251" s="366" t="s">
        <v>356</v>
      </c>
      <c r="DE251" s="438"/>
      <c r="DF251" s="438"/>
      <c r="DG251" s="438"/>
      <c r="DH251" s="438"/>
      <c r="DI251" s="438"/>
      <c r="DJ251" s="438"/>
      <c r="DK251" s="438"/>
      <c r="DL251" s="438"/>
      <c r="DM251" s="366" t="s">
        <v>356</v>
      </c>
      <c r="DN251" s="366" t="s">
        <v>356</v>
      </c>
      <c r="DO251" s="366" t="s">
        <v>356</v>
      </c>
      <c r="DP251" s="366" t="s">
        <v>356</v>
      </c>
      <c r="DQ251" s="366" t="s">
        <v>356</v>
      </c>
      <c r="DR251" s="366" t="s">
        <v>356</v>
      </c>
      <c r="DS251" s="366" t="s">
        <v>356</v>
      </c>
      <c r="DT251" s="366" t="s">
        <v>356</v>
      </c>
      <c r="DU251" s="366" t="s">
        <v>356</v>
      </c>
      <c r="DV251" s="366" t="s">
        <v>356</v>
      </c>
      <c r="DW251" s="366" t="s">
        <v>356</v>
      </c>
      <c r="DX251" s="366" t="s">
        <v>356</v>
      </c>
      <c r="DY251" s="366" t="s">
        <v>356</v>
      </c>
      <c r="DZ251" s="366" t="s">
        <v>356</v>
      </c>
      <c r="EA251" s="366" t="s">
        <v>356</v>
      </c>
      <c r="EB251" s="366" t="s">
        <v>356</v>
      </c>
      <c r="EC251" s="366" t="s">
        <v>356</v>
      </c>
      <c r="ED251" s="366" t="s">
        <v>356</v>
      </c>
      <c r="EE251" s="366" t="s">
        <v>356</v>
      </c>
      <c r="EF251" s="366" t="s">
        <v>356</v>
      </c>
      <c r="EG251" s="366" t="s">
        <v>356</v>
      </c>
      <c r="EH251" s="366" t="s">
        <v>356</v>
      </c>
      <c r="EI251" s="366" t="s">
        <v>356</v>
      </c>
      <c r="EJ251" s="366" t="s">
        <v>356</v>
      </c>
      <c r="EK251" s="366" t="s">
        <v>356</v>
      </c>
      <c r="EL251" s="366" t="s">
        <v>356</v>
      </c>
      <c r="EM251" s="366" t="s">
        <v>356</v>
      </c>
      <c r="EN251" s="366" t="s">
        <v>356</v>
      </c>
      <c r="EO251" s="366" t="s">
        <v>356</v>
      </c>
      <c r="EP251" s="366" t="s">
        <v>356</v>
      </c>
      <c r="EQ251" s="366" t="s">
        <v>356</v>
      </c>
      <c r="ER251" s="366" t="s">
        <v>356</v>
      </c>
      <c r="FA251" s="366" t="s">
        <v>356</v>
      </c>
      <c r="FB251" s="366" t="s">
        <v>356</v>
      </c>
      <c r="FC251" s="366" t="s">
        <v>356</v>
      </c>
      <c r="FD251" s="366" t="s">
        <v>356</v>
      </c>
      <c r="FE251" s="366" t="s">
        <v>356</v>
      </c>
      <c r="FF251" s="366" t="s">
        <v>356</v>
      </c>
      <c r="FG251" s="366" t="s">
        <v>356</v>
      </c>
      <c r="FH251" s="366" t="s">
        <v>356</v>
      </c>
      <c r="FI251" s="366" t="s">
        <v>356</v>
      </c>
      <c r="FJ251" s="366" t="s">
        <v>356</v>
      </c>
      <c r="FK251" s="366" t="s">
        <v>356</v>
      </c>
      <c r="FL251" s="366" t="s">
        <v>356</v>
      </c>
      <c r="FM251" s="366" t="s">
        <v>356</v>
      </c>
      <c r="FN251" s="366" t="s">
        <v>356</v>
      </c>
      <c r="FO251" s="366" t="s">
        <v>356</v>
      </c>
      <c r="FP251" s="366" t="s">
        <v>356</v>
      </c>
    </row>
    <row r="252" spans="1:172" s="366" customFormat="1">
      <c r="A252" s="366" t="s">
        <v>588</v>
      </c>
      <c r="B252" s="366" t="s">
        <v>1666</v>
      </c>
      <c r="C252" s="366" t="s">
        <v>1214</v>
      </c>
      <c r="D252" s="366" t="s">
        <v>589</v>
      </c>
      <c r="E252" s="366" t="s">
        <v>889</v>
      </c>
      <c r="F252" s="366" t="s">
        <v>356</v>
      </c>
      <c r="G252" s="368">
        <v>28</v>
      </c>
      <c r="H252" s="368">
        <v>26</v>
      </c>
      <c r="I252" s="368">
        <v>25</v>
      </c>
      <c r="M252" s="368" t="s">
        <v>998</v>
      </c>
      <c r="N252" s="368" t="s">
        <v>1720</v>
      </c>
      <c r="O252" s="368" t="s">
        <v>356</v>
      </c>
      <c r="P252" s="368" t="s">
        <v>356</v>
      </c>
      <c r="Q252" s="368" t="s">
        <v>356</v>
      </c>
      <c r="R252" s="365" t="s">
        <v>1725</v>
      </c>
      <c r="S252" s="365" t="s">
        <v>817</v>
      </c>
      <c r="T252" s="366">
        <v>18</v>
      </c>
      <c r="U252" s="366" cm="1">
        <f t="array" ref="U252">IFERROR(INDEX('Offer Statistics'!$DA$2:$DA$450,MATCH(1,(A252='Offer Statistics'!$CL$2:$CL$450)*($A$11='Offer Statistics'!$CM$2:$CM$450),0)),"/")</f>
        <v>17</v>
      </c>
      <c r="V252" s="366" cm="1">
        <f t="array" ref="V252">IFERROR(INDEX('Offer Statistics'!$CN$2:$CN$450,MATCH(1,(A252='Offer Statistics'!$CL$2:$CL$450)*($A$11='Offer Statistics'!$CM$2:$CM$450),0)),"/")</f>
        <v>91</v>
      </c>
      <c r="W252" s="366" cm="1">
        <f t="array" ref="W252">IFERROR(INDEX('Offer Statistics'!$CV$2:$CV$450,MATCH(1,(A252='Offer Statistics'!$CL$2:$CL$450)*($A$11='Offer Statistics'!$CM$2:$CM$450),0)),"/")</f>
        <v>17</v>
      </c>
      <c r="X252" s="366">
        <f t="shared" si="774"/>
        <v>5.3529411764705879</v>
      </c>
      <c r="Y252" s="366" t="s">
        <v>1177</v>
      </c>
      <c r="Z252" s="366" t="str">
        <f>入學要求!AF261</f>
        <v>以下一科選修取得Lv.3︰生物、化學、組合科學、物理、綜合科學</v>
      </c>
      <c r="AA252" s="366" t="str">
        <f>入學要求!AG261</f>
        <v>優先考慮 M1/2 考獲Lv. 3 或以上 者</v>
      </c>
      <c r="AB252" s="368" t="s">
        <v>12</v>
      </c>
      <c r="AC252" s="400"/>
      <c r="AD252" s="400"/>
      <c r="AE252" s="368" t="s">
        <v>996</v>
      </c>
      <c r="AF252" s="368" t="s">
        <v>1723</v>
      </c>
      <c r="AG252" s="368" t="s">
        <v>356</v>
      </c>
      <c r="AH252" s="368" t="s">
        <v>356</v>
      </c>
      <c r="AI252" s="368" t="s">
        <v>356</v>
      </c>
      <c r="AJ252" s="366" t="s">
        <v>839</v>
      </c>
      <c r="AK252" s="366" t="s">
        <v>356</v>
      </c>
      <c r="AL252" s="366" t="s">
        <v>356</v>
      </c>
      <c r="AO252" s="366" t="s">
        <v>1671</v>
      </c>
      <c r="AP252" s="366" t="s">
        <v>1721</v>
      </c>
      <c r="AQ252" s="366" t="s">
        <v>356</v>
      </c>
      <c r="AS252" s="366" t="s">
        <v>820</v>
      </c>
      <c r="AU252" s="366" t="s">
        <v>817</v>
      </c>
      <c r="AY252" s="366" t="s">
        <v>356</v>
      </c>
      <c r="AZ252" s="366" t="s">
        <v>356</v>
      </c>
      <c r="BA252" s="366" t="s">
        <v>356</v>
      </c>
      <c r="BB252" s="366" t="s">
        <v>356</v>
      </c>
      <c r="BC252" s="366" t="s">
        <v>356</v>
      </c>
      <c r="BD252" s="366" t="s">
        <v>356</v>
      </c>
      <c r="BE252" s="366" t="s">
        <v>356</v>
      </c>
      <c r="BF252" s="366" t="s">
        <v>356</v>
      </c>
      <c r="BH252" s="366" t="s">
        <v>356</v>
      </c>
      <c r="BI252" s="366" t="s">
        <v>356</v>
      </c>
      <c r="BJ252" s="366" t="s">
        <v>356</v>
      </c>
      <c r="BK252" s="366" t="s">
        <v>356</v>
      </c>
      <c r="BL252" s="366" t="s">
        <v>356</v>
      </c>
      <c r="BM252" s="366" t="s">
        <v>356</v>
      </c>
      <c r="BN252" s="366" t="s">
        <v>356</v>
      </c>
      <c r="BO252" s="366" t="s">
        <v>356</v>
      </c>
      <c r="BP252" s="438"/>
      <c r="BQ252" s="438"/>
      <c r="BR252" s="438"/>
      <c r="BS252" s="438"/>
      <c r="BT252" s="438"/>
      <c r="BU252" s="438"/>
      <c r="BV252" s="438"/>
      <c r="BW252" s="438"/>
      <c r="BX252" s="366" t="s">
        <v>356</v>
      </c>
      <c r="BY252" s="366" t="s">
        <v>356</v>
      </c>
      <c r="BZ252" s="366" t="s">
        <v>356</v>
      </c>
      <c r="CA252" s="366" t="s">
        <v>356</v>
      </c>
      <c r="CB252" s="366" t="s">
        <v>356</v>
      </c>
      <c r="CC252" s="366" t="s">
        <v>356</v>
      </c>
      <c r="CD252" s="366" t="s">
        <v>356</v>
      </c>
      <c r="CE252" s="366" t="s">
        <v>356</v>
      </c>
      <c r="CF252" s="366" t="s">
        <v>356</v>
      </c>
      <c r="CG252" s="366" t="s">
        <v>356</v>
      </c>
      <c r="CH252" s="366" t="s">
        <v>356</v>
      </c>
      <c r="CI252" s="366" t="s">
        <v>356</v>
      </c>
      <c r="CJ252" s="366" t="s">
        <v>356</v>
      </c>
      <c r="CK252" s="366" t="s">
        <v>356</v>
      </c>
      <c r="CL252" s="366" t="s">
        <v>356</v>
      </c>
      <c r="CM252" s="366" t="s">
        <v>356</v>
      </c>
      <c r="CN252" s="366" t="s">
        <v>356</v>
      </c>
      <c r="CO252" s="366" t="s">
        <v>356</v>
      </c>
      <c r="CP252" s="366" t="s">
        <v>356</v>
      </c>
      <c r="CQ252" s="366" t="s">
        <v>356</v>
      </c>
      <c r="CR252" s="366" t="s">
        <v>356</v>
      </c>
      <c r="CS252" s="366" t="s">
        <v>356</v>
      </c>
      <c r="CT252" s="366" t="s">
        <v>356</v>
      </c>
      <c r="CU252" s="366" t="s">
        <v>356</v>
      </c>
      <c r="CW252" s="366" t="s">
        <v>356</v>
      </c>
      <c r="CX252" s="366" t="s">
        <v>356</v>
      </c>
      <c r="CY252" s="366" t="s">
        <v>356</v>
      </c>
      <c r="CZ252" s="366" t="s">
        <v>356</v>
      </c>
      <c r="DA252" s="366" t="s">
        <v>356</v>
      </c>
      <c r="DB252" s="366" t="s">
        <v>356</v>
      </c>
      <c r="DC252" s="366" t="s">
        <v>356</v>
      </c>
      <c r="DD252" s="366" t="s">
        <v>356</v>
      </c>
      <c r="DE252" s="438"/>
      <c r="DF252" s="438"/>
      <c r="DG252" s="438"/>
      <c r="DH252" s="438"/>
      <c r="DI252" s="438"/>
      <c r="DJ252" s="438"/>
      <c r="DK252" s="438"/>
      <c r="DL252" s="438"/>
      <c r="DM252" s="366" t="s">
        <v>356</v>
      </c>
      <c r="DN252" s="366" t="s">
        <v>356</v>
      </c>
      <c r="DO252" s="366" t="s">
        <v>356</v>
      </c>
      <c r="DP252" s="366" t="s">
        <v>356</v>
      </c>
      <c r="DQ252" s="366" t="s">
        <v>356</v>
      </c>
      <c r="DR252" s="366" t="s">
        <v>356</v>
      </c>
      <c r="DS252" s="366" t="s">
        <v>356</v>
      </c>
      <c r="DT252" s="366" t="s">
        <v>356</v>
      </c>
      <c r="DU252" s="366" t="s">
        <v>356</v>
      </c>
      <c r="DV252" s="366" t="s">
        <v>356</v>
      </c>
      <c r="DW252" s="366" t="s">
        <v>356</v>
      </c>
      <c r="DX252" s="366" t="s">
        <v>356</v>
      </c>
      <c r="DY252" s="366" t="s">
        <v>356</v>
      </c>
      <c r="DZ252" s="366" t="s">
        <v>356</v>
      </c>
      <c r="EA252" s="366" t="s">
        <v>356</v>
      </c>
      <c r="EB252" s="366" t="s">
        <v>356</v>
      </c>
      <c r="EC252" s="366" t="s">
        <v>356</v>
      </c>
      <c r="ED252" s="366" t="s">
        <v>356</v>
      </c>
      <c r="EE252" s="366" t="s">
        <v>356</v>
      </c>
      <c r="EF252" s="366" t="s">
        <v>356</v>
      </c>
      <c r="EG252" s="366" t="s">
        <v>356</v>
      </c>
      <c r="EH252" s="366" t="s">
        <v>356</v>
      </c>
      <c r="EI252" s="366" t="s">
        <v>356</v>
      </c>
      <c r="EJ252" s="366" t="s">
        <v>356</v>
      </c>
      <c r="EK252" s="366" t="s">
        <v>356</v>
      </c>
      <c r="EL252" s="366" t="s">
        <v>356</v>
      </c>
      <c r="EM252" s="366" t="s">
        <v>356</v>
      </c>
      <c r="EN252" s="366" t="s">
        <v>356</v>
      </c>
      <c r="EO252" s="366" t="s">
        <v>356</v>
      </c>
      <c r="EP252" s="366" t="s">
        <v>356</v>
      </c>
      <c r="EQ252" s="366" t="s">
        <v>356</v>
      </c>
      <c r="ER252" s="366" t="s">
        <v>356</v>
      </c>
      <c r="FA252" s="366" t="s">
        <v>356</v>
      </c>
      <c r="FB252" s="366" t="s">
        <v>356</v>
      </c>
      <c r="FC252" s="366" t="s">
        <v>356</v>
      </c>
      <c r="FD252" s="366" t="s">
        <v>356</v>
      </c>
      <c r="FE252" s="366" t="s">
        <v>356</v>
      </c>
      <c r="FF252" s="366" t="s">
        <v>356</v>
      </c>
      <c r="FG252" s="366" t="s">
        <v>356</v>
      </c>
      <c r="FH252" s="366" t="s">
        <v>356</v>
      </c>
      <c r="FI252" s="366" t="s">
        <v>356</v>
      </c>
      <c r="FJ252" s="366" t="s">
        <v>356</v>
      </c>
      <c r="FK252" s="366" t="s">
        <v>356</v>
      </c>
      <c r="FL252" s="366" t="s">
        <v>356</v>
      </c>
      <c r="FM252" s="366" t="s">
        <v>356</v>
      </c>
      <c r="FN252" s="366" t="s">
        <v>356</v>
      </c>
      <c r="FO252" s="366" t="s">
        <v>356</v>
      </c>
      <c r="FP252" s="366" t="s">
        <v>356</v>
      </c>
    </row>
    <row r="253" spans="1:172" s="366" customFormat="1">
      <c r="A253" s="366" t="s">
        <v>590</v>
      </c>
      <c r="B253" s="366" t="s">
        <v>1666</v>
      </c>
      <c r="C253" s="366" t="s">
        <v>1214</v>
      </c>
      <c r="D253" s="366" t="s">
        <v>591</v>
      </c>
      <c r="E253" s="366" t="s">
        <v>889</v>
      </c>
      <c r="F253" s="366" t="s">
        <v>356</v>
      </c>
      <c r="G253" s="368">
        <v>26</v>
      </c>
      <c r="H253" s="368">
        <v>25</v>
      </c>
      <c r="I253" s="368">
        <v>23</v>
      </c>
      <c r="M253" s="368" t="s">
        <v>998</v>
      </c>
      <c r="N253" s="368" t="s">
        <v>1720</v>
      </c>
      <c r="O253" s="368" t="s">
        <v>356</v>
      </c>
      <c r="P253" s="368" t="s">
        <v>356</v>
      </c>
      <c r="Q253" s="368" t="s">
        <v>356</v>
      </c>
      <c r="R253" s="365" t="s">
        <v>1726</v>
      </c>
      <c r="S253" s="365" t="s">
        <v>817</v>
      </c>
      <c r="T253" s="366" t="s">
        <v>3282</v>
      </c>
      <c r="U253" s="366" cm="1">
        <f t="array" ref="U253">IFERROR(INDEX('Offer Statistics'!$DA$2:$DA$450,MATCH(1,(A253='Offer Statistics'!$CL$2:$CL$450)*($A$11='Offer Statistics'!$CM$2:$CM$450),0)),"/")</f>
        <v>276</v>
      </c>
      <c r="V253" s="366" cm="1">
        <f t="array" ref="V253">IFERROR(INDEX('Offer Statistics'!$CN$2:$CN$450,MATCH(1,(A253='Offer Statistics'!$CL$2:$CL$450)*($A$11='Offer Statistics'!$CM$2:$CM$450),0)),"/")</f>
        <v>816</v>
      </c>
      <c r="W253" s="366" cm="1">
        <f t="array" ref="W253">IFERROR(INDEX('Offer Statistics'!$CV$2:$CV$450,MATCH(1,(A253='Offer Statistics'!$CL$2:$CL$450)*($A$11='Offer Statistics'!$CM$2:$CM$450),0)),"/")</f>
        <v>273</v>
      </c>
      <c r="X253" s="366">
        <f t="shared" si="774"/>
        <v>2.9890109890109891</v>
      </c>
      <c r="Y253" s="366" t="s">
        <v>1177</v>
      </c>
      <c r="Z253" s="366" t="str">
        <f>入學要求!AF262</f>
        <v>以下一科選修取得Lv.3︰物理、組合科學(物理)</v>
      </c>
      <c r="AA253" s="366" t="str">
        <f>入學要求!AG262</f>
        <v>優先考慮 M1/2 考獲Lv. 3 或以上 者</v>
      </c>
      <c r="AB253" s="368" t="s">
        <v>12</v>
      </c>
      <c r="AC253" s="400"/>
      <c r="AD253" s="400"/>
      <c r="AE253" s="368" t="s">
        <v>996</v>
      </c>
      <c r="AF253" s="368" t="s">
        <v>1723</v>
      </c>
      <c r="AG253" s="368" t="s">
        <v>356</v>
      </c>
      <c r="AH253" s="368" t="s">
        <v>356</v>
      </c>
      <c r="AI253" s="368" t="s">
        <v>356</v>
      </c>
      <c r="AJ253" s="366" t="s">
        <v>839</v>
      </c>
      <c r="AK253" s="366" t="s">
        <v>356</v>
      </c>
      <c r="AL253" s="366" t="s">
        <v>356</v>
      </c>
      <c r="AO253" s="366" t="s">
        <v>1671</v>
      </c>
      <c r="AP253" s="366" t="s">
        <v>1721</v>
      </c>
      <c r="AQ253" s="366" t="s">
        <v>356</v>
      </c>
      <c r="AS253" s="366" t="s">
        <v>820</v>
      </c>
      <c r="AU253" s="366" t="s">
        <v>817</v>
      </c>
      <c r="AY253" s="366" t="s">
        <v>356</v>
      </c>
      <c r="AZ253" s="366" t="s">
        <v>356</v>
      </c>
      <c r="BA253" s="366" t="s">
        <v>356</v>
      </c>
      <c r="BB253" s="366" t="s">
        <v>356</v>
      </c>
      <c r="BC253" s="366" t="s">
        <v>356</v>
      </c>
      <c r="BD253" s="366" t="s">
        <v>356</v>
      </c>
      <c r="BE253" s="366" t="s">
        <v>356</v>
      </c>
      <c r="BF253" s="366" t="s">
        <v>356</v>
      </c>
      <c r="BH253" s="366" t="s">
        <v>356</v>
      </c>
      <c r="BI253" s="366" t="s">
        <v>356</v>
      </c>
      <c r="BJ253" s="366" t="s">
        <v>356</v>
      </c>
      <c r="BK253" s="366" t="s">
        <v>356</v>
      </c>
      <c r="BL253" s="366" t="s">
        <v>356</v>
      </c>
      <c r="BM253" s="366" t="s">
        <v>356</v>
      </c>
      <c r="BN253" s="366" t="s">
        <v>356</v>
      </c>
      <c r="BO253" s="366" t="s">
        <v>356</v>
      </c>
      <c r="BP253" s="438"/>
      <c r="BQ253" s="438"/>
      <c r="BR253" s="438"/>
      <c r="BS253" s="438"/>
      <c r="BT253" s="438"/>
      <c r="BU253" s="438"/>
      <c r="BV253" s="438"/>
      <c r="BW253" s="438"/>
      <c r="BX253" s="366" t="s">
        <v>356</v>
      </c>
      <c r="BY253" s="366" t="s">
        <v>356</v>
      </c>
      <c r="BZ253" s="366" t="s">
        <v>356</v>
      </c>
      <c r="CA253" s="366" t="s">
        <v>356</v>
      </c>
      <c r="CB253" s="366" t="s">
        <v>356</v>
      </c>
      <c r="CC253" s="366" t="s">
        <v>356</v>
      </c>
      <c r="CD253" s="366" t="s">
        <v>356</v>
      </c>
      <c r="CE253" s="366" t="s">
        <v>356</v>
      </c>
      <c r="CF253" s="366" t="s">
        <v>356</v>
      </c>
      <c r="CG253" s="366" t="s">
        <v>356</v>
      </c>
      <c r="CH253" s="366" t="s">
        <v>356</v>
      </c>
      <c r="CI253" s="366" t="s">
        <v>356</v>
      </c>
      <c r="CJ253" s="366" t="s">
        <v>356</v>
      </c>
      <c r="CK253" s="366" t="s">
        <v>356</v>
      </c>
      <c r="CL253" s="366" t="s">
        <v>356</v>
      </c>
      <c r="CM253" s="366" t="s">
        <v>356</v>
      </c>
      <c r="CN253" s="366" t="s">
        <v>356</v>
      </c>
      <c r="CO253" s="366" t="s">
        <v>356</v>
      </c>
      <c r="CP253" s="366" t="s">
        <v>356</v>
      </c>
      <c r="CQ253" s="366" t="s">
        <v>356</v>
      </c>
      <c r="CR253" s="366" t="s">
        <v>356</v>
      </c>
      <c r="CS253" s="366" t="s">
        <v>356</v>
      </c>
      <c r="CT253" s="366" t="s">
        <v>356</v>
      </c>
      <c r="CU253" s="366" t="s">
        <v>356</v>
      </c>
      <c r="CW253" s="366" t="s">
        <v>356</v>
      </c>
      <c r="CX253" s="366" t="s">
        <v>356</v>
      </c>
      <c r="CY253" s="366" t="s">
        <v>356</v>
      </c>
      <c r="CZ253" s="366" t="s">
        <v>356</v>
      </c>
      <c r="DA253" s="366" t="s">
        <v>356</v>
      </c>
      <c r="DB253" s="366" t="s">
        <v>356</v>
      </c>
      <c r="DC253" s="366" t="s">
        <v>356</v>
      </c>
      <c r="DD253" s="366" t="s">
        <v>356</v>
      </c>
      <c r="DE253" s="438"/>
      <c r="DF253" s="438"/>
      <c r="DG253" s="438"/>
      <c r="DH253" s="438"/>
      <c r="DI253" s="438"/>
      <c r="DJ253" s="438"/>
      <c r="DK253" s="438"/>
      <c r="DL253" s="438"/>
      <c r="DM253" s="366" t="s">
        <v>356</v>
      </c>
      <c r="DN253" s="366" t="s">
        <v>356</v>
      </c>
      <c r="DO253" s="366" t="s">
        <v>356</v>
      </c>
      <c r="DP253" s="366" t="s">
        <v>356</v>
      </c>
      <c r="DQ253" s="366" t="s">
        <v>356</v>
      </c>
      <c r="DR253" s="366" t="s">
        <v>356</v>
      </c>
      <c r="DS253" s="366" t="s">
        <v>356</v>
      </c>
      <c r="DT253" s="366" t="s">
        <v>356</v>
      </c>
      <c r="DU253" s="366" t="s">
        <v>356</v>
      </c>
      <c r="DV253" s="366" t="s">
        <v>356</v>
      </c>
      <c r="DW253" s="366" t="s">
        <v>356</v>
      </c>
      <c r="DX253" s="366" t="s">
        <v>356</v>
      </c>
      <c r="DY253" s="366" t="s">
        <v>356</v>
      </c>
      <c r="DZ253" s="366" t="s">
        <v>356</v>
      </c>
      <c r="EA253" s="366" t="s">
        <v>356</v>
      </c>
      <c r="EB253" s="366" t="s">
        <v>356</v>
      </c>
      <c r="EC253" s="366" t="s">
        <v>356</v>
      </c>
      <c r="ED253" s="366" t="s">
        <v>356</v>
      </c>
      <c r="EE253" s="366" t="s">
        <v>356</v>
      </c>
      <c r="EF253" s="366" t="s">
        <v>356</v>
      </c>
      <c r="EG253" s="366" t="s">
        <v>356</v>
      </c>
      <c r="EH253" s="366" t="s">
        <v>356</v>
      </c>
      <c r="EI253" s="366" t="s">
        <v>356</v>
      </c>
      <c r="EJ253" s="366" t="s">
        <v>356</v>
      </c>
      <c r="EK253" s="366" t="s">
        <v>356</v>
      </c>
      <c r="EL253" s="366" t="s">
        <v>356</v>
      </c>
      <c r="EM253" s="366" t="s">
        <v>356</v>
      </c>
      <c r="EN253" s="366" t="s">
        <v>356</v>
      </c>
      <c r="EO253" s="366" t="s">
        <v>356</v>
      </c>
      <c r="EP253" s="366" t="s">
        <v>356</v>
      </c>
      <c r="EQ253" s="366" t="s">
        <v>356</v>
      </c>
      <c r="ER253" s="366" t="s">
        <v>356</v>
      </c>
      <c r="FA253" s="366" t="s">
        <v>356</v>
      </c>
      <c r="FB253" s="366" t="s">
        <v>356</v>
      </c>
      <c r="FC253" s="366" t="s">
        <v>356</v>
      </c>
      <c r="FD253" s="366" t="s">
        <v>356</v>
      </c>
      <c r="FE253" s="366" t="s">
        <v>356</v>
      </c>
      <c r="FF253" s="366" t="s">
        <v>356</v>
      </c>
      <c r="FG253" s="366" t="s">
        <v>356</v>
      </c>
      <c r="FH253" s="366" t="s">
        <v>356</v>
      </c>
      <c r="FI253" s="366" t="s">
        <v>356</v>
      </c>
      <c r="FJ253" s="366" t="s">
        <v>356</v>
      </c>
      <c r="FK253" s="366" t="s">
        <v>356</v>
      </c>
      <c r="FL253" s="366" t="s">
        <v>356</v>
      </c>
      <c r="FM253" s="366" t="s">
        <v>356</v>
      </c>
      <c r="FN253" s="366" t="s">
        <v>356</v>
      </c>
      <c r="FO253" s="366" t="s">
        <v>356</v>
      </c>
      <c r="FP253" s="366" t="s">
        <v>356</v>
      </c>
    </row>
    <row r="254" spans="1:172" s="406" customFormat="1">
      <c r="A254" s="406" t="s">
        <v>592</v>
      </c>
      <c r="B254" s="406" t="s">
        <v>1666</v>
      </c>
      <c r="C254" s="406" t="s">
        <v>902</v>
      </c>
      <c r="D254" s="406" t="s">
        <v>593</v>
      </c>
      <c r="E254" s="406" t="s">
        <v>828</v>
      </c>
      <c r="F254" s="406" t="s">
        <v>356</v>
      </c>
      <c r="G254" s="406">
        <v>40</v>
      </c>
      <c r="H254" s="406">
        <v>39</v>
      </c>
      <c r="I254" s="406">
        <v>37</v>
      </c>
      <c r="M254" s="406" t="s">
        <v>906</v>
      </c>
      <c r="N254" s="406" t="s">
        <v>356</v>
      </c>
      <c r="O254" s="406" t="s">
        <v>356</v>
      </c>
      <c r="P254" s="406" t="s">
        <v>356</v>
      </c>
      <c r="Q254" s="406" t="s">
        <v>356</v>
      </c>
      <c r="R254" s="406" t="s">
        <v>1727</v>
      </c>
      <c r="S254" s="406" t="s">
        <v>817</v>
      </c>
      <c r="T254" s="406">
        <v>20</v>
      </c>
      <c r="U254" s="406" cm="1">
        <f t="array" ref="U254">IFERROR(INDEX('Offer Statistics'!$DA$2:$DA$450,MATCH(1,(A254='Offer Statistics'!$CL$2:$CL$450)*($A$11='Offer Statistics'!$CM$2:$CM$450),0)),"/")</f>
        <v>27</v>
      </c>
      <c r="V254" s="406" cm="1">
        <f t="array" ref="V254">IFERROR(INDEX('Offer Statistics'!$CN$2:$CN$450,MATCH(1,(A254='Offer Statistics'!$CL$2:$CL$450)*($A$11='Offer Statistics'!$CM$2:$CM$450),0)),"/")</f>
        <v>64</v>
      </c>
      <c r="W254" s="406" cm="1">
        <f t="array" ref="W254">IFERROR(INDEX('Offer Statistics'!$CV$2:$CV$450,MATCH(1,(A254='Offer Statistics'!$CL$2:$CL$450)*($A$11='Offer Statistics'!$CM$2:$CM$450),0)),"/")</f>
        <v>27</v>
      </c>
      <c r="X254" s="406">
        <f t="shared" si="774"/>
        <v>2.3703703703703702</v>
      </c>
      <c r="Y254" s="406" t="s">
        <v>1177</v>
      </c>
      <c r="Z254" s="406" t="str">
        <f>入學要求!AF263</f>
        <v>/</v>
      </c>
      <c r="AA254" s="406" t="str">
        <f>入學要求!AG263</f>
        <v>/</v>
      </c>
      <c r="AB254" s="407" t="s">
        <v>828</v>
      </c>
      <c r="AC254" s="407" t="s">
        <v>3123</v>
      </c>
      <c r="AD254" s="406" t="s">
        <v>3129</v>
      </c>
      <c r="AE254" s="406" t="s">
        <v>904</v>
      </c>
      <c r="AF254" s="406" t="s">
        <v>356</v>
      </c>
      <c r="AG254" s="406" t="s">
        <v>356</v>
      </c>
      <c r="AH254" s="406" t="s">
        <v>356</v>
      </c>
      <c r="AI254" s="406" t="s">
        <v>356</v>
      </c>
      <c r="AJ254" s="406" t="s">
        <v>839</v>
      </c>
      <c r="AK254" s="406" t="s">
        <v>1717</v>
      </c>
      <c r="AL254" s="406" t="s">
        <v>1675</v>
      </c>
      <c r="AO254" s="406" t="s">
        <v>1671</v>
      </c>
      <c r="AP254" s="366" t="s">
        <v>3267</v>
      </c>
      <c r="AQ254" s="406" t="s">
        <v>356</v>
      </c>
      <c r="AS254" s="406" t="s">
        <v>820</v>
      </c>
      <c r="AU254" s="406" t="s">
        <v>817</v>
      </c>
      <c r="AY254" s="406" t="s">
        <v>356</v>
      </c>
      <c r="AZ254" s="406" t="s">
        <v>356</v>
      </c>
      <c r="BA254" s="406" t="s">
        <v>356</v>
      </c>
      <c r="BB254" s="406" t="s">
        <v>356</v>
      </c>
      <c r="BC254" s="406" t="s">
        <v>356</v>
      </c>
      <c r="BD254" s="406" t="s">
        <v>356</v>
      </c>
      <c r="BE254" s="406" t="s">
        <v>356</v>
      </c>
      <c r="BF254" s="406" t="s">
        <v>356</v>
      </c>
      <c r="BH254" s="406" t="s">
        <v>356</v>
      </c>
      <c r="BI254" s="406" t="s">
        <v>356</v>
      </c>
      <c r="BJ254" s="406" t="s">
        <v>356</v>
      </c>
      <c r="BK254" s="406" t="s">
        <v>356</v>
      </c>
      <c r="BL254" s="406" t="s">
        <v>356</v>
      </c>
      <c r="BM254" s="406" t="s">
        <v>356</v>
      </c>
      <c r="BN254" s="406" t="s">
        <v>356</v>
      </c>
      <c r="BO254" s="406" t="s">
        <v>356</v>
      </c>
      <c r="BX254" s="406" t="s">
        <v>356</v>
      </c>
      <c r="BY254" s="406" t="s">
        <v>356</v>
      </c>
      <c r="BZ254" s="406" t="s">
        <v>356</v>
      </c>
      <c r="CA254" s="406" t="s">
        <v>356</v>
      </c>
      <c r="CB254" s="406" t="s">
        <v>356</v>
      </c>
      <c r="CC254" s="406" t="s">
        <v>356</v>
      </c>
      <c r="CD254" s="406" t="s">
        <v>356</v>
      </c>
      <c r="CE254" s="406" t="s">
        <v>356</v>
      </c>
      <c r="CF254" s="406" t="s">
        <v>356</v>
      </c>
      <c r="CG254" s="406" t="s">
        <v>356</v>
      </c>
      <c r="CH254" s="406" t="s">
        <v>356</v>
      </c>
      <c r="CI254" s="406" t="s">
        <v>356</v>
      </c>
      <c r="CJ254" s="406" t="s">
        <v>356</v>
      </c>
      <c r="CK254" s="406" t="s">
        <v>356</v>
      </c>
      <c r="CL254" s="406" t="s">
        <v>356</v>
      </c>
      <c r="CM254" s="406" t="s">
        <v>356</v>
      </c>
      <c r="CN254" s="406" t="s">
        <v>356</v>
      </c>
      <c r="CO254" s="406" t="s">
        <v>356</v>
      </c>
      <c r="CP254" s="406" t="s">
        <v>356</v>
      </c>
      <c r="CQ254" s="406" t="s">
        <v>356</v>
      </c>
      <c r="CR254" s="406" t="s">
        <v>356</v>
      </c>
      <c r="CS254" s="406" t="s">
        <v>356</v>
      </c>
      <c r="CT254" s="406" t="s">
        <v>356</v>
      </c>
      <c r="CU254" s="406" t="s">
        <v>356</v>
      </c>
      <c r="CW254" s="406" t="s">
        <v>356</v>
      </c>
      <c r="CX254" s="406" t="s">
        <v>356</v>
      </c>
      <c r="CY254" s="406" t="s">
        <v>356</v>
      </c>
      <c r="CZ254" s="406" t="s">
        <v>356</v>
      </c>
      <c r="DA254" s="406" t="s">
        <v>356</v>
      </c>
      <c r="DB254" s="406" t="s">
        <v>356</v>
      </c>
      <c r="DC254" s="406" t="s">
        <v>356</v>
      </c>
      <c r="DD254" s="406" t="s">
        <v>356</v>
      </c>
      <c r="DM254" s="406" t="s">
        <v>356</v>
      </c>
      <c r="DN254" s="406" t="s">
        <v>356</v>
      </c>
      <c r="DO254" s="406" t="s">
        <v>356</v>
      </c>
      <c r="DP254" s="406" t="s">
        <v>356</v>
      </c>
      <c r="DQ254" s="406" t="s">
        <v>356</v>
      </c>
      <c r="DR254" s="406" t="s">
        <v>356</v>
      </c>
      <c r="DS254" s="406" t="s">
        <v>356</v>
      </c>
      <c r="DT254" s="406" t="s">
        <v>356</v>
      </c>
      <c r="DU254" s="406" t="s">
        <v>356</v>
      </c>
      <c r="DV254" s="406" t="s">
        <v>356</v>
      </c>
      <c r="DW254" s="406" t="s">
        <v>356</v>
      </c>
      <c r="DX254" s="406" t="s">
        <v>356</v>
      </c>
      <c r="DY254" s="406" t="s">
        <v>356</v>
      </c>
      <c r="DZ254" s="406" t="s">
        <v>356</v>
      </c>
      <c r="EA254" s="406" t="s">
        <v>356</v>
      </c>
      <c r="EB254" s="406" t="s">
        <v>356</v>
      </c>
      <c r="EC254" s="406" t="s">
        <v>356</v>
      </c>
      <c r="ED254" s="406" t="s">
        <v>356</v>
      </c>
      <c r="EE254" s="406" t="s">
        <v>356</v>
      </c>
      <c r="EF254" s="406" t="s">
        <v>356</v>
      </c>
      <c r="EG254" s="406" t="s">
        <v>356</v>
      </c>
      <c r="EH254" s="406" t="s">
        <v>356</v>
      </c>
      <c r="EI254" s="406" t="s">
        <v>356</v>
      </c>
      <c r="EJ254" s="406" t="s">
        <v>356</v>
      </c>
      <c r="EK254" s="406" t="s">
        <v>356</v>
      </c>
      <c r="EL254" s="406" t="s">
        <v>356</v>
      </c>
      <c r="EM254" s="406" t="s">
        <v>356</v>
      </c>
      <c r="EN254" s="406" t="s">
        <v>356</v>
      </c>
      <c r="EO254" s="406" t="s">
        <v>356</v>
      </c>
      <c r="EP254" s="406" t="s">
        <v>356</v>
      </c>
      <c r="EQ254" s="406" t="s">
        <v>356</v>
      </c>
      <c r="ER254" s="406" t="s">
        <v>356</v>
      </c>
      <c r="FA254" s="406" t="s">
        <v>356</v>
      </c>
      <c r="FB254" s="406" t="s">
        <v>356</v>
      </c>
      <c r="FC254" s="406" t="s">
        <v>356</v>
      </c>
      <c r="FD254" s="406" t="s">
        <v>356</v>
      </c>
      <c r="FE254" s="406" t="s">
        <v>356</v>
      </c>
      <c r="FF254" s="406" t="s">
        <v>356</v>
      </c>
      <c r="FG254" s="406" t="s">
        <v>356</v>
      </c>
      <c r="FH254" s="406" t="s">
        <v>356</v>
      </c>
      <c r="FI254" s="406" t="s">
        <v>356</v>
      </c>
      <c r="FJ254" s="406" t="s">
        <v>356</v>
      </c>
      <c r="FK254" s="406" t="s">
        <v>356</v>
      </c>
      <c r="FL254" s="406" t="s">
        <v>356</v>
      </c>
      <c r="FM254" s="406" t="s">
        <v>356</v>
      </c>
      <c r="FN254" s="406" t="s">
        <v>356</v>
      </c>
      <c r="FO254" s="406" t="s">
        <v>356</v>
      </c>
      <c r="FP254" s="406" t="s">
        <v>356</v>
      </c>
    </row>
    <row r="255" spans="1:172" s="406" customFormat="1">
      <c r="A255" s="406" t="s">
        <v>595</v>
      </c>
      <c r="B255" s="406" t="s">
        <v>1666</v>
      </c>
      <c r="C255" s="406" t="s">
        <v>902</v>
      </c>
      <c r="D255" s="406" t="s">
        <v>596</v>
      </c>
      <c r="E255" s="406" t="s">
        <v>828</v>
      </c>
      <c r="F255" s="406" t="s">
        <v>356</v>
      </c>
      <c r="G255" s="406">
        <v>36</v>
      </c>
      <c r="H255" s="406">
        <v>35</v>
      </c>
      <c r="I255" s="406">
        <v>33</v>
      </c>
      <c r="M255" s="406" t="s">
        <v>906</v>
      </c>
      <c r="N255" s="406" t="s">
        <v>356</v>
      </c>
      <c r="O255" s="406" t="s">
        <v>356</v>
      </c>
      <c r="P255" s="406" t="s">
        <v>356</v>
      </c>
      <c r="Q255" s="406" t="s">
        <v>356</v>
      </c>
      <c r="R255" s="406" t="s">
        <v>1728</v>
      </c>
      <c r="S255" s="406" t="s">
        <v>817</v>
      </c>
      <c r="T255" s="406">
        <v>93</v>
      </c>
      <c r="U255" s="406" cm="1">
        <f t="array" ref="U255">IFERROR(INDEX('Offer Statistics'!$DA$2:$DA$450,MATCH(1,(A255='Offer Statistics'!$CL$2:$CL$450)*($A$11='Offer Statistics'!$CM$2:$CM$450),0)),"/")</f>
        <v>93</v>
      </c>
      <c r="V255" s="406" cm="1">
        <f t="array" ref="V255">IFERROR(INDEX('Offer Statistics'!$CN$2:$CN$450,MATCH(1,(A255='Offer Statistics'!$CL$2:$CL$450)*($A$11='Offer Statistics'!$CM$2:$CM$450),0)),"/")</f>
        <v>281</v>
      </c>
      <c r="W255" s="406" cm="1">
        <f t="array" ref="W255">IFERROR(INDEX('Offer Statistics'!$CV$2:$CV$450,MATCH(1,(A255='Offer Statistics'!$CL$2:$CL$450)*($A$11='Offer Statistics'!$CM$2:$CM$450),0)),"/")</f>
        <v>93</v>
      </c>
      <c r="X255" s="406">
        <f t="shared" si="774"/>
        <v>3.021505376344086</v>
      </c>
      <c r="Y255" s="406" t="s">
        <v>1177</v>
      </c>
      <c r="Z255" s="406" t="str">
        <f>入學要求!AF264</f>
        <v>/</v>
      </c>
      <c r="AA255" s="406" t="str">
        <f>入學要求!AG264</f>
        <v>/</v>
      </c>
      <c r="AB255" s="407" t="s">
        <v>828</v>
      </c>
      <c r="AC255" s="407" t="s">
        <v>3123</v>
      </c>
      <c r="AD255" s="406" t="s">
        <v>3129</v>
      </c>
      <c r="AE255" s="406" t="s">
        <v>904</v>
      </c>
      <c r="AF255" s="406" t="s">
        <v>356</v>
      </c>
      <c r="AG255" s="406" t="s">
        <v>356</v>
      </c>
      <c r="AH255" s="406" t="s">
        <v>356</v>
      </c>
      <c r="AI255" s="406" t="s">
        <v>356</v>
      </c>
      <c r="AJ255" s="406" t="s">
        <v>839</v>
      </c>
      <c r="AK255" s="406" t="s">
        <v>1717</v>
      </c>
      <c r="AL255" s="406" t="s">
        <v>1675</v>
      </c>
      <c r="AO255" s="406" t="s">
        <v>1671</v>
      </c>
      <c r="AP255" s="366" t="s">
        <v>3267</v>
      </c>
      <c r="AQ255" s="406" t="s">
        <v>356</v>
      </c>
      <c r="AS255" s="406" t="s">
        <v>820</v>
      </c>
      <c r="AU255" s="406" t="s">
        <v>817</v>
      </c>
      <c r="AY255" s="406" t="s">
        <v>356</v>
      </c>
      <c r="AZ255" s="406" t="s">
        <v>356</v>
      </c>
      <c r="BA255" s="406" t="s">
        <v>356</v>
      </c>
      <c r="BB255" s="406" t="s">
        <v>356</v>
      </c>
      <c r="BC255" s="406" t="s">
        <v>356</v>
      </c>
      <c r="BD255" s="406" t="s">
        <v>356</v>
      </c>
      <c r="BE255" s="406" t="s">
        <v>356</v>
      </c>
      <c r="BF255" s="406" t="s">
        <v>356</v>
      </c>
      <c r="BH255" s="406" t="s">
        <v>356</v>
      </c>
      <c r="BI255" s="406" t="s">
        <v>356</v>
      </c>
      <c r="BJ255" s="406" t="s">
        <v>356</v>
      </c>
      <c r="BK255" s="406" t="s">
        <v>356</v>
      </c>
      <c r="BL255" s="406" t="s">
        <v>356</v>
      </c>
      <c r="BM255" s="406" t="s">
        <v>356</v>
      </c>
      <c r="BN255" s="406" t="s">
        <v>356</v>
      </c>
      <c r="BO255" s="406" t="s">
        <v>356</v>
      </c>
      <c r="BX255" s="406" t="s">
        <v>356</v>
      </c>
      <c r="BY255" s="406" t="s">
        <v>356</v>
      </c>
      <c r="BZ255" s="406" t="s">
        <v>356</v>
      </c>
      <c r="CA255" s="406" t="s">
        <v>356</v>
      </c>
      <c r="CB255" s="406" t="s">
        <v>356</v>
      </c>
      <c r="CC255" s="406" t="s">
        <v>356</v>
      </c>
      <c r="CD255" s="406" t="s">
        <v>356</v>
      </c>
      <c r="CE255" s="406" t="s">
        <v>356</v>
      </c>
      <c r="CF255" s="406" t="s">
        <v>356</v>
      </c>
      <c r="CG255" s="406" t="s">
        <v>356</v>
      </c>
      <c r="CH255" s="406" t="s">
        <v>356</v>
      </c>
      <c r="CI255" s="406" t="s">
        <v>356</v>
      </c>
      <c r="CJ255" s="406" t="s">
        <v>356</v>
      </c>
      <c r="CK255" s="406" t="s">
        <v>356</v>
      </c>
      <c r="CL255" s="406" t="s">
        <v>356</v>
      </c>
      <c r="CM255" s="406" t="s">
        <v>356</v>
      </c>
      <c r="CN255" s="406" t="s">
        <v>356</v>
      </c>
      <c r="CO255" s="406" t="s">
        <v>356</v>
      </c>
      <c r="CP255" s="406" t="s">
        <v>356</v>
      </c>
      <c r="CQ255" s="406" t="s">
        <v>356</v>
      </c>
      <c r="CR255" s="406" t="s">
        <v>356</v>
      </c>
      <c r="CS255" s="406" t="s">
        <v>356</v>
      </c>
      <c r="CT255" s="406" t="s">
        <v>356</v>
      </c>
      <c r="CU255" s="406" t="s">
        <v>356</v>
      </c>
      <c r="CW255" s="406" t="s">
        <v>356</v>
      </c>
      <c r="CX255" s="406" t="s">
        <v>356</v>
      </c>
      <c r="CY255" s="406" t="s">
        <v>356</v>
      </c>
      <c r="CZ255" s="406" t="s">
        <v>356</v>
      </c>
      <c r="DA255" s="406" t="s">
        <v>356</v>
      </c>
      <c r="DB255" s="406" t="s">
        <v>356</v>
      </c>
      <c r="DC255" s="406" t="s">
        <v>356</v>
      </c>
      <c r="DD255" s="406" t="s">
        <v>356</v>
      </c>
      <c r="DM255" s="406" t="s">
        <v>356</v>
      </c>
      <c r="DN255" s="406" t="s">
        <v>356</v>
      </c>
      <c r="DO255" s="406" t="s">
        <v>356</v>
      </c>
      <c r="DP255" s="406" t="s">
        <v>356</v>
      </c>
      <c r="DQ255" s="406" t="s">
        <v>356</v>
      </c>
      <c r="DR255" s="406" t="s">
        <v>356</v>
      </c>
      <c r="DS255" s="406" t="s">
        <v>356</v>
      </c>
      <c r="DT255" s="406" t="s">
        <v>356</v>
      </c>
      <c r="DU255" s="406" t="s">
        <v>356</v>
      </c>
      <c r="DV255" s="406" t="s">
        <v>356</v>
      </c>
      <c r="DW255" s="406" t="s">
        <v>356</v>
      </c>
      <c r="DX255" s="406" t="s">
        <v>356</v>
      </c>
      <c r="DY255" s="406" t="s">
        <v>356</v>
      </c>
      <c r="DZ255" s="406" t="s">
        <v>356</v>
      </c>
      <c r="EA255" s="406" t="s">
        <v>356</v>
      </c>
      <c r="EB255" s="406" t="s">
        <v>356</v>
      </c>
      <c r="EC255" s="406" t="s">
        <v>356</v>
      </c>
      <c r="ED255" s="406" t="s">
        <v>356</v>
      </c>
      <c r="EE255" s="406" t="s">
        <v>356</v>
      </c>
      <c r="EF255" s="406" t="s">
        <v>356</v>
      </c>
      <c r="EG255" s="406" t="s">
        <v>356</v>
      </c>
      <c r="EH255" s="406" t="s">
        <v>356</v>
      </c>
      <c r="EI255" s="406" t="s">
        <v>356</v>
      </c>
      <c r="EJ255" s="406" t="s">
        <v>356</v>
      </c>
      <c r="EK255" s="406" t="s">
        <v>356</v>
      </c>
      <c r="EL255" s="406" t="s">
        <v>356</v>
      </c>
      <c r="EM255" s="406" t="s">
        <v>356</v>
      </c>
      <c r="EN255" s="406" t="s">
        <v>356</v>
      </c>
      <c r="EO255" s="406" t="s">
        <v>356</v>
      </c>
      <c r="EP255" s="406" t="s">
        <v>356</v>
      </c>
      <c r="EQ255" s="406" t="s">
        <v>356</v>
      </c>
      <c r="ER255" s="406" t="s">
        <v>356</v>
      </c>
      <c r="FA255" s="406" t="s">
        <v>356</v>
      </c>
      <c r="FB255" s="406" t="s">
        <v>356</v>
      </c>
      <c r="FC255" s="406" t="s">
        <v>356</v>
      </c>
      <c r="FD255" s="406" t="s">
        <v>356</v>
      </c>
      <c r="FE255" s="406" t="s">
        <v>356</v>
      </c>
      <c r="FF255" s="406" t="s">
        <v>356</v>
      </c>
      <c r="FG255" s="406" t="s">
        <v>356</v>
      </c>
      <c r="FH255" s="406" t="s">
        <v>356</v>
      </c>
      <c r="FI255" s="406" t="s">
        <v>356</v>
      </c>
      <c r="FJ255" s="406" t="s">
        <v>356</v>
      </c>
      <c r="FK255" s="406" t="s">
        <v>356</v>
      </c>
      <c r="FL255" s="406" t="s">
        <v>356</v>
      </c>
      <c r="FM255" s="406" t="s">
        <v>356</v>
      </c>
      <c r="FN255" s="406" t="s">
        <v>356</v>
      </c>
      <c r="FO255" s="406" t="s">
        <v>356</v>
      </c>
      <c r="FP255" s="406" t="s">
        <v>356</v>
      </c>
    </row>
    <row r="256" spans="1:172" s="366" customFormat="1">
      <c r="A256" s="366" t="s">
        <v>406</v>
      </c>
      <c r="B256" s="366" t="s">
        <v>1666</v>
      </c>
      <c r="C256" s="366" t="s">
        <v>1450</v>
      </c>
      <c r="D256" s="366" t="s">
        <v>598</v>
      </c>
      <c r="E256" s="366" t="s">
        <v>889</v>
      </c>
      <c r="F256" s="366" t="s">
        <v>356</v>
      </c>
      <c r="G256" s="368">
        <v>38</v>
      </c>
      <c r="H256" s="368">
        <v>36</v>
      </c>
      <c r="I256" s="368">
        <v>35</v>
      </c>
      <c r="M256" s="368" t="s">
        <v>1729</v>
      </c>
      <c r="N256" s="368" t="s">
        <v>1668</v>
      </c>
      <c r="O256" s="368" t="s">
        <v>3116</v>
      </c>
      <c r="P256" s="368" t="s">
        <v>356</v>
      </c>
      <c r="Q256" s="368" t="s">
        <v>356</v>
      </c>
      <c r="R256" s="365" t="s">
        <v>1731</v>
      </c>
      <c r="S256" s="365" t="s">
        <v>817</v>
      </c>
      <c r="T256" s="366" t="s">
        <v>3283</v>
      </c>
      <c r="U256" s="366" cm="1">
        <f t="array" ref="U256">IFERROR(INDEX('Offer Statistics'!$DA$2:$DA$450,MATCH(1,(A256='Offer Statistics'!$CL$2:$CL$450)*($A$11='Offer Statistics'!$CM$2:$CM$450),0)),"/")</f>
        <v>8</v>
      </c>
      <c r="V256" s="366" cm="1">
        <f t="array" ref="V256">IFERROR(INDEX('Offer Statistics'!$CN$2:$CN$450,MATCH(1,(A256='Offer Statistics'!$CL$2:$CL$450)*($A$11='Offer Statistics'!$CM$2:$CM$450),0)),"/")</f>
        <v>70</v>
      </c>
      <c r="W256" s="366" cm="1">
        <f t="array" ref="W256">IFERROR(INDEX('Offer Statistics'!$CV$2:$CV$450,MATCH(1,(A256='Offer Statistics'!$CL$2:$CL$450)*($A$11='Offer Statistics'!$CM$2:$CM$450),0)),"/")</f>
        <v>8</v>
      </c>
      <c r="X256" s="366">
        <f t="shared" si="774"/>
        <v>8.75</v>
      </c>
      <c r="Y256" s="366" t="s">
        <v>1177</v>
      </c>
      <c r="Z256" s="366" t="str">
        <f>入學要求!AF265</f>
        <v>如欲升讀至MBBS，申請人必須有修讀化學 或 組合科學(化學)。</v>
      </c>
      <c r="AA256" s="366" t="str">
        <f>入學要求!AG265</f>
        <v>/</v>
      </c>
      <c r="AB256" s="368" t="s">
        <v>12</v>
      </c>
      <c r="AC256" s="368"/>
      <c r="AD256" s="368"/>
      <c r="AE256" s="368" t="s">
        <v>1732</v>
      </c>
      <c r="AF256" s="368" t="s">
        <v>1668</v>
      </c>
      <c r="AG256" s="368" t="s">
        <v>1730</v>
      </c>
      <c r="AH256" s="368" t="s">
        <v>356</v>
      </c>
      <c r="AI256" s="368" t="s">
        <v>356</v>
      </c>
      <c r="AJ256" s="366" t="s">
        <v>839</v>
      </c>
      <c r="AK256" s="366" t="s">
        <v>1717</v>
      </c>
      <c r="AL256" s="366" t="s">
        <v>1674</v>
      </c>
      <c r="AO256" s="366" t="s">
        <v>1671</v>
      </c>
      <c r="AP256" s="366" t="s">
        <v>3270</v>
      </c>
      <c r="AQ256" s="366" t="s">
        <v>356</v>
      </c>
      <c r="AS256" s="366" t="s">
        <v>820</v>
      </c>
      <c r="AU256" s="366" t="s">
        <v>817</v>
      </c>
      <c r="AY256" s="366" t="s">
        <v>356</v>
      </c>
      <c r="AZ256" s="366" t="s">
        <v>356</v>
      </c>
      <c r="BA256" s="366" t="s">
        <v>356</v>
      </c>
      <c r="BB256" s="366" t="s">
        <v>356</v>
      </c>
      <c r="BC256" s="366" t="s">
        <v>356</v>
      </c>
      <c r="BD256" s="366" t="s">
        <v>356</v>
      </c>
      <c r="BE256" s="366" t="s">
        <v>356</v>
      </c>
      <c r="BF256" s="366" t="s">
        <v>356</v>
      </c>
      <c r="BH256" s="366" t="s">
        <v>356</v>
      </c>
      <c r="BI256" s="366" t="s">
        <v>356</v>
      </c>
      <c r="BJ256" s="366" t="s">
        <v>356</v>
      </c>
      <c r="BK256" s="366" t="s">
        <v>356</v>
      </c>
      <c r="BL256" s="366" t="s">
        <v>356</v>
      </c>
      <c r="BM256" s="366" t="s">
        <v>356</v>
      </c>
      <c r="BN256" s="366" t="s">
        <v>356</v>
      </c>
      <c r="BO256" s="366" t="s">
        <v>356</v>
      </c>
      <c r="BP256" s="438"/>
      <c r="BQ256" s="438"/>
      <c r="BR256" s="438"/>
      <c r="BS256" s="438"/>
      <c r="BT256" s="438"/>
      <c r="BU256" s="438"/>
      <c r="BV256" s="438"/>
      <c r="BW256" s="438"/>
      <c r="BX256" s="366" t="s">
        <v>356</v>
      </c>
      <c r="BY256" s="366" t="s">
        <v>356</v>
      </c>
      <c r="BZ256" s="366" t="s">
        <v>356</v>
      </c>
      <c r="CA256" s="366" t="s">
        <v>356</v>
      </c>
      <c r="CB256" s="366" t="s">
        <v>356</v>
      </c>
      <c r="CC256" s="366" t="s">
        <v>356</v>
      </c>
      <c r="CD256" s="366" t="s">
        <v>356</v>
      </c>
      <c r="CE256" s="366" t="s">
        <v>356</v>
      </c>
      <c r="CF256" s="366" t="s">
        <v>356</v>
      </c>
      <c r="CG256" s="366" t="s">
        <v>356</v>
      </c>
      <c r="CH256" s="366" t="s">
        <v>356</v>
      </c>
      <c r="CI256" s="366" t="s">
        <v>356</v>
      </c>
      <c r="CJ256" s="366" t="s">
        <v>356</v>
      </c>
      <c r="CK256" s="366" t="s">
        <v>356</v>
      </c>
      <c r="CL256" s="366" t="s">
        <v>356</v>
      </c>
      <c r="CM256" s="366" t="s">
        <v>356</v>
      </c>
      <c r="CN256" s="366" t="s">
        <v>356</v>
      </c>
      <c r="CO256" s="366" t="s">
        <v>356</v>
      </c>
      <c r="CP256" s="366" t="s">
        <v>356</v>
      </c>
      <c r="CQ256" s="366" t="s">
        <v>356</v>
      </c>
      <c r="CR256" s="366" t="s">
        <v>356</v>
      </c>
      <c r="CS256" s="366" t="s">
        <v>356</v>
      </c>
      <c r="CT256" s="366" t="s">
        <v>356</v>
      </c>
      <c r="CU256" s="366" t="s">
        <v>356</v>
      </c>
      <c r="CW256" s="366" t="s">
        <v>356</v>
      </c>
      <c r="CX256" s="366" t="s">
        <v>356</v>
      </c>
      <c r="CY256" s="366" t="s">
        <v>356</v>
      </c>
      <c r="CZ256" s="366" t="s">
        <v>356</v>
      </c>
      <c r="DA256" s="366" t="s">
        <v>356</v>
      </c>
      <c r="DB256" s="366" t="s">
        <v>356</v>
      </c>
      <c r="DC256" s="366" t="s">
        <v>356</v>
      </c>
      <c r="DD256" s="366" t="s">
        <v>356</v>
      </c>
      <c r="DE256" s="438"/>
      <c r="DF256" s="438"/>
      <c r="DG256" s="438"/>
      <c r="DH256" s="438"/>
      <c r="DI256" s="438"/>
      <c r="DJ256" s="438"/>
      <c r="DK256" s="438"/>
      <c r="DL256" s="438"/>
      <c r="DM256" s="366" t="s">
        <v>356</v>
      </c>
      <c r="DN256" s="366" t="s">
        <v>356</v>
      </c>
      <c r="DO256" s="366" t="s">
        <v>356</v>
      </c>
      <c r="DP256" s="366" t="s">
        <v>356</v>
      </c>
      <c r="DQ256" s="366" t="s">
        <v>356</v>
      </c>
      <c r="DR256" s="366" t="s">
        <v>356</v>
      </c>
      <c r="DS256" s="366" t="s">
        <v>356</v>
      </c>
      <c r="DT256" s="366" t="s">
        <v>356</v>
      </c>
      <c r="DU256" s="366" t="s">
        <v>356</v>
      </c>
      <c r="DV256" s="366" t="s">
        <v>356</v>
      </c>
      <c r="DW256" s="366" t="s">
        <v>356</v>
      </c>
      <c r="DX256" s="366" t="s">
        <v>356</v>
      </c>
      <c r="DY256" s="366" t="s">
        <v>356</v>
      </c>
      <c r="DZ256" s="366" t="s">
        <v>356</v>
      </c>
      <c r="EA256" s="366" t="s">
        <v>356</v>
      </c>
      <c r="EB256" s="366" t="s">
        <v>356</v>
      </c>
      <c r="EC256" s="366" t="s">
        <v>356</v>
      </c>
      <c r="ED256" s="366" t="s">
        <v>356</v>
      </c>
      <c r="EE256" s="366" t="s">
        <v>356</v>
      </c>
      <c r="EF256" s="366" t="s">
        <v>356</v>
      </c>
      <c r="EG256" s="366" t="s">
        <v>356</v>
      </c>
      <c r="EH256" s="366" t="s">
        <v>356</v>
      </c>
      <c r="EI256" s="366" t="s">
        <v>356</v>
      </c>
      <c r="EJ256" s="366" t="s">
        <v>356</v>
      </c>
      <c r="EK256" s="366" t="s">
        <v>356</v>
      </c>
      <c r="EL256" s="366" t="s">
        <v>356</v>
      </c>
      <c r="EM256" s="366" t="s">
        <v>356</v>
      </c>
      <c r="EN256" s="366" t="s">
        <v>356</v>
      </c>
      <c r="EO256" s="366" t="s">
        <v>356</v>
      </c>
      <c r="EP256" s="366" t="s">
        <v>356</v>
      </c>
      <c r="EQ256" s="366" t="s">
        <v>356</v>
      </c>
      <c r="ER256" s="366" t="s">
        <v>356</v>
      </c>
      <c r="FA256" s="366" t="s">
        <v>356</v>
      </c>
      <c r="FB256" s="366" t="s">
        <v>356</v>
      </c>
      <c r="FC256" s="366" t="s">
        <v>356</v>
      </c>
      <c r="FD256" s="366" t="s">
        <v>356</v>
      </c>
      <c r="FE256" s="366" t="s">
        <v>356</v>
      </c>
      <c r="FF256" s="366" t="s">
        <v>356</v>
      </c>
      <c r="FG256" s="366" t="s">
        <v>356</v>
      </c>
      <c r="FH256" s="366" t="s">
        <v>356</v>
      </c>
      <c r="FI256" s="366" t="s">
        <v>356</v>
      </c>
      <c r="FJ256" s="366" t="s">
        <v>356</v>
      </c>
      <c r="FK256" s="366" t="s">
        <v>356</v>
      </c>
      <c r="FL256" s="366" t="s">
        <v>356</v>
      </c>
      <c r="FM256" s="366" t="s">
        <v>356</v>
      </c>
      <c r="FN256" s="366" t="s">
        <v>356</v>
      </c>
      <c r="FO256" s="366" t="s">
        <v>356</v>
      </c>
      <c r="FP256" s="366" t="s">
        <v>356</v>
      </c>
    </row>
    <row r="257" spans="1:172" s="406" customFormat="1">
      <c r="A257" s="406" t="s">
        <v>564</v>
      </c>
      <c r="B257" s="406" t="s">
        <v>1666</v>
      </c>
      <c r="C257" s="406" t="s">
        <v>1450</v>
      </c>
      <c r="D257" s="406" t="s">
        <v>600</v>
      </c>
      <c r="E257" s="406" t="s">
        <v>828</v>
      </c>
      <c r="F257" s="406" t="s">
        <v>356</v>
      </c>
      <c r="G257" s="406">
        <v>47</v>
      </c>
      <c r="H257" s="406">
        <v>45</v>
      </c>
      <c r="I257" s="406">
        <v>44</v>
      </c>
      <c r="M257" s="406" t="s">
        <v>356</v>
      </c>
      <c r="N257" s="406" t="s">
        <v>356</v>
      </c>
      <c r="O257" s="406" t="s">
        <v>356</v>
      </c>
      <c r="P257" s="406" t="s">
        <v>356</v>
      </c>
      <c r="Q257" s="406" t="s">
        <v>356</v>
      </c>
      <c r="R257" s="406" t="s">
        <v>1733</v>
      </c>
      <c r="S257" s="406" t="s">
        <v>817</v>
      </c>
      <c r="T257" s="406">
        <v>295</v>
      </c>
      <c r="U257" s="406" cm="1">
        <f t="array" ref="U257">IFERROR(INDEX('Offer Statistics'!$DA$2:$DA$450,MATCH(1,(A257='Offer Statistics'!$CL$2:$CL$450)*($A$11='Offer Statistics'!$CM$2:$CM$450),0)),"/")</f>
        <v>132</v>
      </c>
      <c r="V257" s="406" cm="1">
        <f t="array" ref="V257">IFERROR(INDEX('Offer Statistics'!$CN$2:$CN$450,MATCH(1,(A257='Offer Statistics'!$CL$2:$CL$450)*($A$11='Offer Statistics'!$CM$2:$CM$450),0)),"/")</f>
        <v>618</v>
      </c>
      <c r="W257" s="406" cm="1">
        <f t="array" ref="W257">IFERROR(INDEX('Offer Statistics'!$CV$2:$CV$450,MATCH(1,(A257='Offer Statistics'!$CL$2:$CL$450)*($A$11='Offer Statistics'!$CM$2:$CM$450),0)),"/")</f>
        <v>132</v>
      </c>
      <c r="X257" s="406">
        <f t="shared" si="774"/>
        <v>4.6818181818181817</v>
      </c>
      <c r="Y257" s="406" t="s">
        <v>1177</v>
      </c>
      <c r="Z257" s="406" t="str">
        <f>入學要求!AF266</f>
        <v>以下一科選修取得Lv.3︰化學、組合科學(化學)</v>
      </c>
      <c r="AA257" s="406" t="str">
        <f>入學要求!AG266</f>
        <v>/</v>
      </c>
      <c r="AB257" s="407" t="s">
        <v>828</v>
      </c>
      <c r="AC257" s="407" t="s">
        <v>3123</v>
      </c>
      <c r="AD257" s="406" t="s">
        <v>3129</v>
      </c>
      <c r="AE257" s="406" t="s">
        <v>356</v>
      </c>
      <c r="AF257" s="406" t="s">
        <v>356</v>
      </c>
      <c r="AG257" s="406" t="s">
        <v>356</v>
      </c>
      <c r="AH257" s="406" t="s">
        <v>356</v>
      </c>
      <c r="AI257" s="406" t="s">
        <v>356</v>
      </c>
      <c r="AJ257" s="406" t="s">
        <v>839</v>
      </c>
      <c r="AK257" s="406" t="s">
        <v>1675</v>
      </c>
      <c r="AL257" s="406" t="s">
        <v>1674</v>
      </c>
      <c r="AO257" s="406" t="s">
        <v>1671</v>
      </c>
      <c r="AP257" s="406" t="s">
        <v>3271</v>
      </c>
      <c r="AQ257" s="406" t="s">
        <v>356</v>
      </c>
      <c r="AS257" s="406" t="s">
        <v>820</v>
      </c>
      <c r="AU257" s="440" t="s">
        <v>1705</v>
      </c>
      <c r="AY257" s="406" t="s">
        <v>356</v>
      </c>
      <c r="AZ257" s="406" t="s">
        <v>356</v>
      </c>
      <c r="BA257" s="406" t="s">
        <v>356</v>
      </c>
      <c r="BB257" s="406" t="s">
        <v>356</v>
      </c>
      <c r="BC257" s="406" t="s">
        <v>356</v>
      </c>
      <c r="BD257" s="406" t="s">
        <v>356</v>
      </c>
      <c r="BE257" s="406" t="s">
        <v>356</v>
      </c>
      <c r="BF257" s="406" t="s">
        <v>356</v>
      </c>
      <c r="BH257" s="406" t="s">
        <v>356</v>
      </c>
      <c r="BI257" s="406" t="s">
        <v>356</v>
      </c>
      <c r="BJ257" s="406" t="s">
        <v>356</v>
      </c>
      <c r="BK257" s="406" t="s">
        <v>356</v>
      </c>
      <c r="BL257" s="406" t="s">
        <v>356</v>
      </c>
      <c r="BM257" s="406" t="s">
        <v>356</v>
      </c>
      <c r="BN257" s="406" t="s">
        <v>356</v>
      </c>
      <c r="BO257" s="406" t="s">
        <v>356</v>
      </c>
      <c r="BX257" s="406" t="s">
        <v>356</v>
      </c>
      <c r="BY257" s="406" t="s">
        <v>356</v>
      </c>
      <c r="BZ257" s="406" t="s">
        <v>356</v>
      </c>
      <c r="CA257" s="406" t="s">
        <v>356</v>
      </c>
      <c r="CB257" s="406" t="s">
        <v>356</v>
      </c>
      <c r="CC257" s="406" t="s">
        <v>356</v>
      </c>
      <c r="CD257" s="406" t="s">
        <v>356</v>
      </c>
      <c r="CE257" s="406" t="s">
        <v>356</v>
      </c>
      <c r="CF257" s="406" t="s">
        <v>356</v>
      </c>
      <c r="CG257" s="406" t="s">
        <v>356</v>
      </c>
      <c r="CH257" s="406" t="s">
        <v>356</v>
      </c>
      <c r="CI257" s="406" t="s">
        <v>356</v>
      </c>
      <c r="CJ257" s="406" t="s">
        <v>356</v>
      </c>
      <c r="CK257" s="406" t="s">
        <v>356</v>
      </c>
      <c r="CL257" s="406" t="s">
        <v>356</v>
      </c>
      <c r="CM257" s="406" t="s">
        <v>356</v>
      </c>
      <c r="CN257" s="406" t="s">
        <v>356</v>
      </c>
      <c r="CO257" s="406" t="s">
        <v>356</v>
      </c>
      <c r="CP257" s="406" t="s">
        <v>356</v>
      </c>
      <c r="CQ257" s="406" t="s">
        <v>356</v>
      </c>
      <c r="CR257" s="406" t="s">
        <v>356</v>
      </c>
      <c r="CS257" s="406" t="s">
        <v>356</v>
      </c>
      <c r="CT257" s="406" t="s">
        <v>356</v>
      </c>
      <c r="CU257" s="406" t="s">
        <v>356</v>
      </c>
      <c r="CW257" s="406" t="s">
        <v>356</v>
      </c>
      <c r="CX257" s="406" t="s">
        <v>356</v>
      </c>
      <c r="CY257" s="406" t="s">
        <v>356</v>
      </c>
      <c r="CZ257" s="406" t="s">
        <v>356</v>
      </c>
      <c r="DA257" s="406" t="s">
        <v>356</v>
      </c>
      <c r="DB257" s="406" t="s">
        <v>356</v>
      </c>
      <c r="DC257" s="406" t="s">
        <v>356</v>
      </c>
      <c r="DD257" s="406" t="s">
        <v>356</v>
      </c>
      <c r="DM257" s="406" t="s">
        <v>356</v>
      </c>
      <c r="DN257" s="406" t="s">
        <v>356</v>
      </c>
      <c r="DO257" s="406" t="s">
        <v>356</v>
      </c>
      <c r="DP257" s="406" t="s">
        <v>356</v>
      </c>
      <c r="DQ257" s="406" t="s">
        <v>356</v>
      </c>
      <c r="DR257" s="406" t="s">
        <v>356</v>
      </c>
      <c r="DS257" s="406" t="s">
        <v>356</v>
      </c>
      <c r="DT257" s="406" t="s">
        <v>356</v>
      </c>
      <c r="DU257" s="406" t="s">
        <v>356</v>
      </c>
      <c r="DV257" s="406" t="s">
        <v>356</v>
      </c>
      <c r="DW257" s="406" t="s">
        <v>356</v>
      </c>
      <c r="DX257" s="406" t="s">
        <v>356</v>
      </c>
      <c r="DY257" s="406" t="s">
        <v>356</v>
      </c>
      <c r="DZ257" s="406" t="s">
        <v>356</v>
      </c>
      <c r="EA257" s="406" t="s">
        <v>356</v>
      </c>
      <c r="EB257" s="406" t="s">
        <v>356</v>
      </c>
      <c r="EC257" s="406" t="s">
        <v>356</v>
      </c>
      <c r="ED257" s="406" t="s">
        <v>356</v>
      </c>
      <c r="EE257" s="406" t="s">
        <v>356</v>
      </c>
      <c r="EF257" s="406" t="s">
        <v>356</v>
      </c>
      <c r="EG257" s="406" t="s">
        <v>356</v>
      </c>
      <c r="EH257" s="406" t="s">
        <v>356</v>
      </c>
      <c r="EI257" s="406" t="s">
        <v>356</v>
      </c>
      <c r="EJ257" s="406" t="s">
        <v>356</v>
      </c>
      <c r="EK257" s="406" t="s">
        <v>356</v>
      </c>
      <c r="EL257" s="406" t="s">
        <v>356</v>
      </c>
      <c r="EM257" s="406" t="s">
        <v>356</v>
      </c>
      <c r="EN257" s="406" t="s">
        <v>356</v>
      </c>
      <c r="EO257" s="406" t="s">
        <v>356</v>
      </c>
      <c r="EP257" s="406" t="s">
        <v>356</v>
      </c>
      <c r="EQ257" s="406" t="s">
        <v>356</v>
      </c>
      <c r="ER257" s="406" t="s">
        <v>356</v>
      </c>
      <c r="FA257" s="406" t="s">
        <v>356</v>
      </c>
      <c r="FB257" s="406" t="s">
        <v>356</v>
      </c>
      <c r="FC257" s="406" t="s">
        <v>356</v>
      </c>
      <c r="FD257" s="406" t="s">
        <v>356</v>
      </c>
      <c r="FE257" s="406" t="s">
        <v>356</v>
      </c>
      <c r="FF257" s="406" t="s">
        <v>356</v>
      </c>
      <c r="FG257" s="406" t="s">
        <v>356</v>
      </c>
      <c r="FH257" s="406" t="s">
        <v>356</v>
      </c>
      <c r="FI257" s="406" t="s">
        <v>356</v>
      </c>
      <c r="FJ257" s="406" t="s">
        <v>356</v>
      </c>
      <c r="FK257" s="406" t="s">
        <v>356</v>
      </c>
      <c r="FL257" s="406" t="s">
        <v>356</v>
      </c>
      <c r="FM257" s="406" t="s">
        <v>356</v>
      </c>
      <c r="FN257" s="406" t="s">
        <v>356</v>
      </c>
      <c r="FO257" s="406" t="s">
        <v>356</v>
      </c>
      <c r="FP257" s="406" t="s">
        <v>356</v>
      </c>
    </row>
    <row r="258" spans="1:172" s="366" customFormat="1">
      <c r="A258" s="366" t="s">
        <v>409</v>
      </c>
      <c r="B258" s="366" t="s">
        <v>1666</v>
      </c>
      <c r="C258" s="366" t="s">
        <v>1450</v>
      </c>
      <c r="D258" s="366" t="s">
        <v>603</v>
      </c>
      <c r="E258" s="366" t="s">
        <v>889</v>
      </c>
      <c r="F258" s="366" t="s">
        <v>356</v>
      </c>
      <c r="G258" s="368">
        <v>28</v>
      </c>
      <c r="H258" s="368">
        <v>27</v>
      </c>
      <c r="I258" s="368">
        <v>26</v>
      </c>
      <c r="M258" s="368" t="s">
        <v>1729</v>
      </c>
      <c r="N258" s="368" t="s">
        <v>1668</v>
      </c>
      <c r="O258" s="368" t="s">
        <v>3116</v>
      </c>
      <c r="P258" s="368" t="s">
        <v>356</v>
      </c>
      <c r="Q258" s="368" t="s">
        <v>356</v>
      </c>
      <c r="R258" s="365" t="s">
        <v>1734</v>
      </c>
      <c r="S258" s="365" t="s">
        <v>817</v>
      </c>
      <c r="T258" s="366" t="s">
        <v>3283</v>
      </c>
      <c r="U258" s="366" cm="1">
        <f t="array" ref="U258">IFERROR(INDEX('Offer Statistics'!$DA$2:$DA$450,MATCH(1,(A258='Offer Statistics'!$CL$2:$CL$450)*($A$11='Offer Statistics'!$CM$2:$CM$450),0)),"/")</f>
        <v>158</v>
      </c>
      <c r="V258" s="366" cm="1">
        <f t="array" ref="V258">IFERROR(INDEX('Offer Statistics'!$CN$2:$CN$450,MATCH(1,(A258='Offer Statistics'!$CL$2:$CL$450)*($A$11='Offer Statistics'!$CM$2:$CM$450),0)),"/")</f>
        <v>877</v>
      </c>
      <c r="W258" s="366" cm="1">
        <f t="array" ref="W258">IFERROR(INDEX('Offer Statistics'!$CV$2:$CV$450,MATCH(1,(A258='Offer Statistics'!$CL$2:$CL$450)*($A$11='Offer Statistics'!$CM$2:$CM$450),0)),"/")</f>
        <v>158</v>
      </c>
      <c r="X258" s="366">
        <f t="shared" si="774"/>
        <v>5.5506329113924053</v>
      </c>
      <c r="Y258" s="366" t="s">
        <v>1177</v>
      </c>
      <c r="Z258" s="366" t="str">
        <f>入學要求!AF267</f>
        <v>/</v>
      </c>
      <c r="AA258" s="366" t="str">
        <f>入學要求!AG267</f>
        <v>/</v>
      </c>
      <c r="AB258" s="368" t="s">
        <v>12</v>
      </c>
      <c r="AC258" s="368"/>
      <c r="AD258" s="368"/>
      <c r="AE258" s="368" t="s">
        <v>1732</v>
      </c>
      <c r="AF258" s="368" t="s">
        <v>1668</v>
      </c>
      <c r="AG258" s="368" t="s">
        <v>1730</v>
      </c>
      <c r="AH258" s="368" t="s">
        <v>356</v>
      </c>
      <c r="AI258" s="368" t="s">
        <v>356</v>
      </c>
      <c r="AJ258" s="366" t="s">
        <v>839</v>
      </c>
      <c r="AK258" s="366" t="s">
        <v>1717</v>
      </c>
      <c r="AL258" s="366" t="s">
        <v>1674</v>
      </c>
      <c r="AO258" s="366" t="s">
        <v>1671</v>
      </c>
      <c r="AP258" s="366" t="s">
        <v>3270</v>
      </c>
      <c r="AQ258" s="366" t="s">
        <v>356</v>
      </c>
      <c r="AS258" s="366" t="s">
        <v>820</v>
      </c>
      <c r="AU258" s="366" t="s">
        <v>817</v>
      </c>
      <c r="AY258" s="366" t="s">
        <v>356</v>
      </c>
      <c r="AZ258" s="366" t="s">
        <v>356</v>
      </c>
      <c r="BA258" s="366" t="s">
        <v>356</v>
      </c>
      <c r="BB258" s="366" t="s">
        <v>356</v>
      </c>
      <c r="BC258" s="366" t="s">
        <v>356</v>
      </c>
      <c r="BD258" s="366" t="s">
        <v>356</v>
      </c>
      <c r="BE258" s="366" t="s">
        <v>356</v>
      </c>
      <c r="BF258" s="366" t="s">
        <v>356</v>
      </c>
      <c r="BH258" s="366" t="s">
        <v>356</v>
      </c>
      <c r="BI258" s="366" t="s">
        <v>356</v>
      </c>
      <c r="BJ258" s="366" t="s">
        <v>356</v>
      </c>
      <c r="BK258" s="366" t="s">
        <v>356</v>
      </c>
      <c r="BL258" s="366" t="s">
        <v>356</v>
      </c>
      <c r="BM258" s="366" t="s">
        <v>356</v>
      </c>
      <c r="BN258" s="366" t="s">
        <v>356</v>
      </c>
      <c r="BO258" s="366" t="s">
        <v>356</v>
      </c>
      <c r="BP258" s="438"/>
      <c r="BQ258" s="438"/>
      <c r="BR258" s="438"/>
      <c r="BS258" s="438"/>
      <c r="BT258" s="438"/>
      <c r="BU258" s="438"/>
      <c r="BV258" s="438"/>
      <c r="BW258" s="438"/>
      <c r="BX258" s="366" t="s">
        <v>356</v>
      </c>
      <c r="BY258" s="366" t="s">
        <v>356</v>
      </c>
      <c r="BZ258" s="366" t="s">
        <v>356</v>
      </c>
      <c r="CA258" s="366" t="s">
        <v>356</v>
      </c>
      <c r="CB258" s="366" t="s">
        <v>356</v>
      </c>
      <c r="CC258" s="366" t="s">
        <v>356</v>
      </c>
      <c r="CD258" s="366" t="s">
        <v>356</v>
      </c>
      <c r="CE258" s="366" t="s">
        <v>356</v>
      </c>
      <c r="CF258" s="366" t="s">
        <v>356</v>
      </c>
      <c r="CG258" s="366" t="s">
        <v>356</v>
      </c>
      <c r="CH258" s="366" t="s">
        <v>356</v>
      </c>
      <c r="CI258" s="366" t="s">
        <v>356</v>
      </c>
      <c r="CJ258" s="366" t="s">
        <v>356</v>
      </c>
      <c r="CK258" s="366" t="s">
        <v>356</v>
      </c>
      <c r="CL258" s="366" t="s">
        <v>356</v>
      </c>
      <c r="CM258" s="366" t="s">
        <v>356</v>
      </c>
      <c r="CN258" s="366" t="s">
        <v>356</v>
      </c>
      <c r="CO258" s="366" t="s">
        <v>356</v>
      </c>
      <c r="CP258" s="366" t="s">
        <v>356</v>
      </c>
      <c r="CQ258" s="366" t="s">
        <v>356</v>
      </c>
      <c r="CR258" s="366" t="s">
        <v>356</v>
      </c>
      <c r="CS258" s="366" t="s">
        <v>356</v>
      </c>
      <c r="CT258" s="366" t="s">
        <v>356</v>
      </c>
      <c r="CU258" s="366" t="s">
        <v>356</v>
      </c>
      <c r="CW258" s="366" t="s">
        <v>356</v>
      </c>
      <c r="CX258" s="366" t="s">
        <v>356</v>
      </c>
      <c r="CY258" s="366" t="s">
        <v>356</v>
      </c>
      <c r="CZ258" s="366" t="s">
        <v>356</v>
      </c>
      <c r="DA258" s="366" t="s">
        <v>356</v>
      </c>
      <c r="DB258" s="366" t="s">
        <v>356</v>
      </c>
      <c r="DC258" s="366" t="s">
        <v>356</v>
      </c>
      <c r="DD258" s="366" t="s">
        <v>356</v>
      </c>
      <c r="DE258" s="438"/>
      <c r="DF258" s="438"/>
      <c r="DG258" s="438"/>
      <c r="DH258" s="438"/>
      <c r="DI258" s="438"/>
      <c r="DJ258" s="438"/>
      <c r="DK258" s="438"/>
      <c r="DL258" s="438"/>
      <c r="DM258" s="366" t="s">
        <v>356</v>
      </c>
      <c r="DN258" s="366" t="s">
        <v>356</v>
      </c>
      <c r="DO258" s="366" t="s">
        <v>356</v>
      </c>
      <c r="DP258" s="366" t="s">
        <v>356</v>
      </c>
      <c r="DQ258" s="366" t="s">
        <v>356</v>
      </c>
      <c r="DR258" s="366" t="s">
        <v>356</v>
      </c>
      <c r="DS258" s="366" t="s">
        <v>356</v>
      </c>
      <c r="DT258" s="366" t="s">
        <v>356</v>
      </c>
      <c r="DU258" s="366" t="s">
        <v>356</v>
      </c>
      <c r="DV258" s="366" t="s">
        <v>356</v>
      </c>
      <c r="DW258" s="366" t="s">
        <v>356</v>
      </c>
      <c r="DX258" s="366" t="s">
        <v>356</v>
      </c>
      <c r="DY258" s="366" t="s">
        <v>356</v>
      </c>
      <c r="DZ258" s="366" t="s">
        <v>356</v>
      </c>
      <c r="EA258" s="366" t="s">
        <v>356</v>
      </c>
      <c r="EB258" s="366" t="s">
        <v>356</v>
      </c>
      <c r="EC258" s="366" t="s">
        <v>356</v>
      </c>
      <c r="ED258" s="366" t="s">
        <v>356</v>
      </c>
      <c r="EE258" s="366" t="s">
        <v>356</v>
      </c>
      <c r="EF258" s="366" t="s">
        <v>356</v>
      </c>
      <c r="EG258" s="366" t="s">
        <v>356</v>
      </c>
      <c r="EH258" s="366" t="s">
        <v>356</v>
      </c>
      <c r="EI258" s="366" t="s">
        <v>356</v>
      </c>
      <c r="EJ258" s="366" t="s">
        <v>356</v>
      </c>
      <c r="EK258" s="366" t="s">
        <v>356</v>
      </c>
      <c r="EL258" s="366" t="s">
        <v>356</v>
      </c>
      <c r="EM258" s="366" t="s">
        <v>356</v>
      </c>
      <c r="EN258" s="366" t="s">
        <v>356</v>
      </c>
      <c r="EO258" s="366" t="s">
        <v>356</v>
      </c>
      <c r="EP258" s="366" t="s">
        <v>356</v>
      </c>
      <c r="EQ258" s="366" t="s">
        <v>356</v>
      </c>
      <c r="ER258" s="366" t="s">
        <v>356</v>
      </c>
      <c r="FA258" s="366" t="s">
        <v>356</v>
      </c>
      <c r="FB258" s="366" t="s">
        <v>356</v>
      </c>
      <c r="FC258" s="366" t="s">
        <v>356</v>
      </c>
      <c r="FD258" s="366" t="s">
        <v>356</v>
      </c>
      <c r="FE258" s="366" t="s">
        <v>356</v>
      </c>
      <c r="FF258" s="366" t="s">
        <v>356</v>
      </c>
      <c r="FG258" s="366" t="s">
        <v>356</v>
      </c>
      <c r="FH258" s="366" t="s">
        <v>356</v>
      </c>
      <c r="FI258" s="366" t="s">
        <v>356</v>
      </c>
      <c r="FJ258" s="366" t="s">
        <v>356</v>
      </c>
      <c r="FK258" s="366" t="s">
        <v>356</v>
      </c>
      <c r="FL258" s="366" t="s">
        <v>356</v>
      </c>
      <c r="FM258" s="366" t="s">
        <v>356</v>
      </c>
      <c r="FN258" s="366" t="s">
        <v>356</v>
      </c>
      <c r="FO258" s="366" t="s">
        <v>356</v>
      </c>
      <c r="FP258" s="366" t="s">
        <v>356</v>
      </c>
    </row>
    <row r="259" spans="1:172" s="406" customFormat="1">
      <c r="A259" s="406" t="s">
        <v>605</v>
      </c>
      <c r="B259" s="406" t="s">
        <v>1666</v>
      </c>
      <c r="C259" s="406" t="s">
        <v>1450</v>
      </c>
      <c r="D259" s="406" t="s">
        <v>606</v>
      </c>
      <c r="E259" s="406" t="s">
        <v>828</v>
      </c>
      <c r="F259" s="406" t="s">
        <v>356</v>
      </c>
      <c r="G259" s="406">
        <v>38</v>
      </c>
      <c r="H259" s="406">
        <v>36</v>
      </c>
      <c r="I259" s="406">
        <v>35</v>
      </c>
      <c r="M259" s="406" t="s">
        <v>356</v>
      </c>
      <c r="N259" s="406" t="s">
        <v>356</v>
      </c>
      <c r="O259" s="406" t="s">
        <v>356</v>
      </c>
      <c r="P259" s="406" t="s">
        <v>356</v>
      </c>
      <c r="Q259" s="406" t="s">
        <v>356</v>
      </c>
      <c r="R259" s="406" t="s">
        <v>1735</v>
      </c>
      <c r="S259" s="406" t="s">
        <v>817</v>
      </c>
      <c r="T259" s="406">
        <v>15</v>
      </c>
      <c r="U259" s="406" cm="1">
        <f t="array" ref="U259">IFERROR(INDEX('Offer Statistics'!$DA$2:$DA$450,MATCH(1,(A259='Offer Statistics'!$CL$2:$CL$450)*($A$11='Offer Statistics'!$CM$2:$CM$450),0)),"/")</f>
        <v>7</v>
      </c>
      <c r="V259" s="406" cm="1">
        <f t="array" ref="V259">IFERROR(INDEX('Offer Statistics'!$CN$2:$CN$450,MATCH(1,(A259='Offer Statistics'!$CL$2:$CL$450)*($A$11='Offer Statistics'!$CM$2:$CM$450),0)),"/")</f>
        <v>25</v>
      </c>
      <c r="W259" s="406" cm="1">
        <f t="array" ref="W259">IFERROR(INDEX('Offer Statistics'!$CV$2:$CV$450,MATCH(1,(A259='Offer Statistics'!$CL$2:$CL$450)*($A$11='Offer Statistics'!$CM$2:$CM$450),0)),"/")</f>
        <v>7</v>
      </c>
      <c r="X259" s="406">
        <f t="shared" si="774"/>
        <v>3.5714285714285716</v>
      </c>
      <c r="Y259" s="406" t="s">
        <v>1177</v>
      </c>
      <c r="Z259" s="406" t="str">
        <f>入學要求!AF268</f>
        <v>以下一科選修取得Lv.3︰生物、化學、組合科學</v>
      </c>
      <c r="AA259" s="406" t="str">
        <f>入學要求!AG268</f>
        <v>/</v>
      </c>
      <c r="AB259" s="407" t="s">
        <v>828</v>
      </c>
      <c r="AC259" s="407" t="s">
        <v>3123</v>
      </c>
      <c r="AD259" s="406" t="s">
        <v>3129</v>
      </c>
      <c r="AE259" s="406" t="s">
        <v>356</v>
      </c>
      <c r="AF259" s="406" t="s">
        <v>356</v>
      </c>
      <c r="AG259" s="406" t="s">
        <v>356</v>
      </c>
      <c r="AH259" s="406" t="s">
        <v>356</v>
      </c>
      <c r="AI259" s="406" t="s">
        <v>356</v>
      </c>
      <c r="AJ259" s="406" t="s">
        <v>1736</v>
      </c>
      <c r="AK259" s="406" t="s">
        <v>1737</v>
      </c>
      <c r="AL259" s="406" t="s">
        <v>356</v>
      </c>
      <c r="AO259" s="406" t="s">
        <v>1671</v>
      </c>
      <c r="AP259" s="406" t="s">
        <v>3271</v>
      </c>
      <c r="AQ259" s="406" t="s">
        <v>356</v>
      </c>
      <c r="AS259" s="406" t="s">
        <v>820</v>
      </c>
      <c r="AU259" s="440" t="s">
        <v>1705</v>
      </c>
      <c r="AY259" s="406" t="s">
        <v>356</v>
      </c>
      <c r="AZ259" s="406" t="s">
        <v>356</v>
      </c>
      <c r="BA259" s="406" t="s">
        <v>356</v>
      </c>
      <c r="BB259" s="406" t="s">
        <v>356</v>
      </c>
      <c r="BC259" s="406" t="s">
        <v>356</v>
      </c>
      <c r="BD259" s="406" t="s">
        <v>356</v>
      </c>
      <c r="BE259" s="406" t="s">
        <v>356</v>
      </c>
      <c r="BF259" s="406" t="s">
        <v>356</v>
      </c>
      <c r="BH259" s="406" t="s">
        <v>356</v>
      </c>
      <c r="BI259" s="406" t="s">
        <v>356</v>
      </c>
      <c r="BJ259" s="406" t="s">
        <v>356</v>
      </c>
      <c r="BK259" s="406" t="s">
        <v>356</v>
      </c>
      <c r="BL259" s="406" t="s">
        <v>356</v>
      </c>
      <c r="BM259" s="406" t="s">
        <v>356</v>
      </c>
      <c r="BN259" s="406" t="s">
        <v>356</v>
      </c>
      <c r="BO259" s="406" t="s">
        <v>356</v>
      </c>
      <c r="BX259" s="406" t="s">
        <v>356</v>
      </c>
      <c r="BY259" s="406" t="s">
        <v>356</v>
      </c>
      <c r="BZ259" s="406" t="s">
        <v>356</v>
      </c>
      <c r="CA259" s="406" t="s">
        <v>356</v>
      </c>
      <c r="CB259" s="406" t="s">
        <v>356</v>
      </c>
      <c r="CC259" s="406" t="s">
        <v>356</v>
      </c>
      <c r="CD259" s="406" t="s">
        <v>356</v>
      </c>
      <c r="CE259" s="406" t="s">
        <v>356</v>
      </c>
      <c r="CF259" s="406" t="s">
        <v>356</v>
      </c>
      <c r="CG259" s="406" t="s">
        <v>356</v>
      </c>
      <c r="CH259" s="406" t="s">
        <v>356</v>
      </c>
      <c r="CI259" s="406" t="s">
        <v>356</v>
      </c>
      <c r="CJ259" s="406" t="s">
        <v>356</v>
      </c>
      <c r="CK259" s="406" t="s">
        <v>356</v>
      </c>
      <c r="CL259" s="406" t="s">
        <v>356</v>
      </c>
      <c r="CM259" s="406" t="s">
        <v>356</v>
      </c>
      <c r="CN259" s="406" t="s">
        <v>356</v>
      </c>
      <c r="CO259" s="406" t="s">
        <v>356</v>
      </c>
      <c r="CP259" s="406" t="s">
        <v>356</v>
      </c>
      <c r="CQ259" s="406" t="s">
        <v>356</v>
      </c>
      <c r="CR259" s="406" t="s">
        <v>356</v>
      </c>
      <c r="CS259" s="406" t="s">
        <v>356</v>
      </c>
      <c r="CT259" s="406" t="s">
        <v>356</v>
      </c>
      <c r="CU259" s="406" t="s">
        <v>356</v>
      </c>
      <c r="CW259" s="406" t="s">
        <v>356</v>
      </c>
      <c r="CX259" s="406" t="s">
        <v>356</v>
      </c>
      <c r="CY259" s="406" t="s">
        <v>356</v>
      </c>
      <c r="CZ259" s="406" t="s">
        <v>356</v>
      </c>
      <c r="DA259" s="406" t="s">
        <v>356</v>
      </c>
      <c r="DB259" s="406" t="s">
        <v>356</v>
      </c>
      <c r="DC259" s="406" t="s">
        <v>356</v>
      </c>
      <c r="DD259" s="406" t="s">
        <v>356</v>
      </c>
      <c r="DM259" s="406" t="s">
        <v>356</v>
      </c>
      <c r="DN259" s="406" t="s">
        <v>356</v>
      </c>
      <c r="DO259" s="406" t="s">
        <v>356</v>
      </c>
      <c r="DP259" s="406" t="s">
        <v>356</v>
      </c>
      <c r="DQ259" s="406" t="s">
        <v>356</v>
      </c>
      <c r="DR259" s="406" t="s">
        <v>356</v>
      </c>
      <c r="DS259" s="406" t="s">
        <v>356</v>
      </c>
      <c r="DT259" s="406" t="s">
        <v>356</v>
      </c>
      <c r="DU259" s="406" t="s">
        <v>356</v>
      </c>
      <c r="DV259" s="406" t="s">
        <v>356</v>
      </c>
      <c r="DW259" s="406" t="s">
        <v>356</v>
      </c>
      <c r="DX259" s="406" t="s">
        <v>356</v>
      </c>
      <c r="DY259" s="406" t="s">
        <v>356</v>
      </c>
      <c r="DZ259" s="406" t="s">
        <v>356</v>
      </c>
      <c r="EA259" s="406" t="s">
        <v>356</v>
      </c>
      <c r="EB259" s="406" t="s">
        <v>356</v>
      </c>
      <c r="EC259" s="406" t="s">
        <v>356</v>
      </c>
      <c r="ED259" s="406" t="s">
        <v>356</v>
      </c>
      <c r="EE259" s="406" t="s">
        <v>356</v>
      </c>
      <c r="EF259" s="406" t="s">
        <v>356</v>
      </c>
      <c r="EG259" s="406" t="s">
        <v>356</v>
      </c>
      <c r="EH259" s="406" t="s">
        <v>356</v>
      </c>
      <c r="EI259" s="406" t="s">
        <v>356</v>
      </c>
      <c r="EJ259" s="406" t="s">
        <v>356</v>
      </c>
      <c r="EK259" s="406" t="s">
        <v>356</v>
      </c>
      <c r="EL259" s="406" t="s">
        <v>356</v>
      </c>
      <c r="EM259" s="406" t="s">
        <v>356</v>
      </c>
      <c r="EN259" s="406" t="s">
        <v>356</v>
      </c>
      <c r="EO259" s="406" t="s">
        <v>356</v>
      </c>
      <c r="EP259" s="406" t="s">
        <v>356</v>
      </c>
      <c r="EQ259" s="406" t="s">
        <v>356</v>
      </c>
      <c r="ER259" s="406" t="s">
        <v>356</v>
      </c>
      <c r="FA259" s="406" t="s">
        <v>356</v>
      </c>
      <c r="FB259" s="406" t="s">
        <v>356</v>
      </c>
      <c r="FC259" s="406" t="s">
        <v>356</v>
      </c>
      <c r="FD259" s="406" t="s">
        <v>356</v>
      </c>
      <c r="FE259" s="406" t="s">
        <v>356</v>
      </c>
      <c r="FF259" s="406" t="s">
        <v>356</v>
      </c>
      <c r="FG259" s="406" t="s">
        <v>356</v>
      </c>
      <c r="FH259" s="406" t="s">
        <v>356</v>
      </c>
      <c r="FI259" s="406" t="s">
        <v>356</v>
      </c>
      <c r="FJ259" s="406" t="s">
        <v>356</v>
      </c>
      <c r="FK259" s="406" t="s">
        <v>356</v>
      </c>
      <c r="FL259" s="406" t="s">
        <v>356</v>
      </c>
      <c r="FM259" s="406" t="s">
        <v>356</v>
      </c>
      <c r="FN259" s="406" t="s">
        <v>356</v>
      </c>
      <c r="FO259" s="406" t="s">
        <v>356</v>
      </c>
      <c r="FP259" s="406" t="s">
        <v>356</v>
      </c>
    </row>
    <row r="260" spans="1:172" s="366" customFormat="1">
      <c r="A260" s="366" t="s">
        <v>410</v>
      </c>
      <c r="B260" s="366" t="s">
        <v>1666</v>
      </c>
      <c r="C260" s="366" t="s">
        <v>1450</v>
      </c>
      <c r="D260" s="366" t="s">
        <v>604</v>
      </c>
      <c r="E260" s="366" t="s">
        <v>889</v>
      </c>
      <c r="F260" s="366" t="s">
        <v>356</v>
      </c>
      <c r="G260" s="368">
        <v>34</v>
      </c>
      <c r="H260" s="368">
        <v>31</v>
      </c>
      <c r="I260" s="368">
        <v>30</v>
      </c>
      <c r="M260" s="368" t="s">
        <v>1729</v>
      </c>
      <c r="N260" s="368" t="s">
        <v>1668</v>
      </c>
      <c r="O260" s="368" t="s">
        <v>3116</v>
      </c>
      <c r="P260" s="368" t="s">
        <v>356</v>
      </c>
      <c r="Q260" s="368" t="s">
        <v>356</v>
      </c>
      <c r="R260" s="365" t="s">
        <v>1738</v>
      </c>
      <c r="S260" s="365" t="s">
        <v>817</v>
      </c>
      <c r="T260" s="366">
        <v>24</v>
      </c>
      <c r="U260" s="366" cm="1">
        <f t="array" ref="U260">IFERROR(INDEX('Offer Statistics'!$DA$2:$DA$450,MATCH(1,(A260='Offer Statistics'!$CL$2:$CL$450)*($A$11='Offer Statistics'!$CM$2:$CM$450),0)),"/")</f>
        <v>20</v>
      </c>
      <c r="V260" s="366" cm="1">
        <f t="array" ref="V260">IFERROR(INDEX('Offer Statistics'!$CN$2:$CN$450,MATCH(1,(A260='Offer Statistics'!$CL$2:$CL$450)*($A$11='Offer Statistics'!$CM$2:$CM$450),0)),"/")</f>
        <v>140</v>
      </c>
      <c r="W260" s="366" cm="1">
        <f t="array" ref="W260">IFERROR(INDEX('Offer Statistics'!$CV$2:$CV$450,MATCH(1,(A260='Offer Statistics'!$CL$2:$CL$450)*($A$11='Offer Statistics'!$CM$2:$CM$450),0)),"/")</f>
        <v>20</v>
      </c>
      <c r="X260" s="366">
        <f t="shared" si="774"/>
        <v>7</v>
      </c>
      <c r="Y260" s="366" t="s">
        <v>1177</v>
      </c>
      <c r="Z260" s="366" t="str">
        <f>入學要求!AF269</f>
        <v>以下一科選修取得Lv.3︰生物、化學、組合科學、物理、綜合科學</v>
      </c>
      <c r="AA260" s="366" t="str">
        <f>入學要求!AG269</f>
        <v>/</v>
      </c>
      <c r="AB260" s="368" t="s">
        <v>12</v>
      </c>
      <c r="AC260" s="368"/>
      <c r="AD260" s="368"/>
      <c r="AE260" s="368" t="s">
        <v>1732</v>
      </c>
      <c r="AF260" s="368" t="s">
        <v>1668</v>
      </c>
      <c r="AG260" s="368" t="s">
        <v>1730</v>
      </c>
      <c r="AH260" s="368" t="s">
        <v>356</v>
      </c>
      <c r="AI260" s="368" t="s">
        <v>356</v>
      </c>
      <c r="AJ260" s="366" t="s">
        <v>839</v>
      </c>
      <c r="AK260" s="366" t="s">
        <v>1717</v>
      </c>
      <c r="AL260" s="366" t="s">
        <v>1674</v>
      </c>
      <c r="AO260" s="366" t="s">
        <v>1671</v>
      </c>
      <c r="AP260" s="366" t="s">
        <v>3270</v>
      </c>
      <c r="AQ260" s="366" t="s">
        <v>356</v>
      </c>
      <c r="AS260" s="366" t="s">
        <v>820</v>
      </c>
      <c r="AU260" s="366" t="s">
        <v>817</v>
      </c>
      <c r="AY260" s="366" t="s">
        <v>356</v>
      </c>
      <c r="AZ260" s="366" t="s">
        <v>356</v>
      </c>
      <c r="BA260" s="366" t="s">
        <v>356</v>
      </c>
      <c r="BB260" s="366" t="s">
        <v>356</v>
      </c>
      <c r="BC260" s="366" t="s">
        <v>356</v>
      </c>
      <c r="BD260" s="366" t="s">
        <v>356</v>
      </c>
      <c r="BE260" s="366" t="s">
        <v>356</v>
      </c>
      <c r="BF260" s="366" t="s">
        <v>356</v>
      </c>
      <c r="BH260" s="366" t="s">
        <v>356</v>
      </c>
      <c r="BI260" s="366" t="s">
        <v>356</v>
      </c>
      <c r="BJ260" s="366" t="s">
        <v>356</v>
      </c>
      <c r="BK260" s="366" t="s">
        <v>356</v>
      </c>
      <c r="BL260" s="366" t="s">
        <v>356</v>
      </c>
      <c r="BM260" s="366" t="s">
        <v>356</v>
      </c>
      <c r="BN260" s="366" t="s">
        <v>356</v>
      </c>
      <c r="BO260" s="366" t="s">
        <v>356</v>
      </c>
      <c r="BP260" s="438"/>
      <c r="BQ260" s="438"/>
      <c r="BR260" s="438"/>
      <c r="BS260" s="438"/>
      <c r="BT260" s="438"/>
      <c r="BU260" s="438"/>
      <c r="BV260" s="438"/>
      <c r="BW260" s="438"/>
      <c r="BX260" s="366" t="s">
        <v>356</v>
      </c>
      <c r="BY260" s="366" t="s">
        <v>356</v>
      </c>
      <c r="BZ260" s="366" t="s">
        <v>356</v>
      </c>
      <c r="CA260" s="366" t="s">
        <v>356</v>
      </c>
      <c r="CB260" s="366" t="s">
        <v>356</v>
      </c>
      <c r="CC260" s="366" t="s">
        <v>356</v>
      </c>
      <c r="CD260" s="366" t="s">
        <v>356</v>
      </c>
      <c r="CE260" s="366" t="s">
        <v>356</v>
      </c>
      <c r="CF260" s="366" t="s">
        <v>356</v>
      </c>
      <c r="CG260" s="366" t="s">
        <v>356</v>
      </c>
      <c r="CH260" s="366" t="s">
        <v>356</v>
      </c>
      <c r="CI260" s="366" t="s">
        <v>356</v>
      </c>
      <c r="CJ260" s="366" t="s">
        <v>356</v>
      </c>
      <c r="CK260" s="366" t="s">
        <v>356</v>
      </c>
      <c r="CL260" s="366" t="s">
        <v>356</v>
      </c>
      <c r="CM260" s="366" t="s">
        <v>356</v>
      </c>
      <c r="CN260" s="366" t="s">
        <v>356</v>
      </c>
      <c r="CO260" s="366" t="s">
        <v>356</v>
      </c>
      <c r="CP260" s="366" t="s">
        <v>356</v>
      </c>
      <c r="CQ260" s="366" t="s">
        <v>356</v>
      </c>
      <c r="CR260" s="366" t="s">
        <v>356</v>
      </c>
      <c r="CS260" s="366" t="s">
        <v>356</v>
      </c>
      <c r="CT260" s="366" t="s">
        <v>356</v>
      </c>
      <c r="CU260" s="366" t="s">
        <v>356</v>
      </c>
      <c r="CW260" s="366" t="s">
        <v>356</v>
      </c>
      <c r="CX260" s="366" t="s">
        <v>356</v>
      </c>
      <c r="CY260" s="366" t="s">
        <v>356</v>
      </c>
      <c r="CZ260" s="366" t="s">
        <v>356</v>
      </c>
      <c r="DA260" s="366" t="s">
        <v>356</v>
      </c>
      <c r="DB260" s="366" t="s">
        <v>356</v>
      </c>
      <c r="DC260" s="366" t="s">
        <v>356</v>
      </c>
      <c r="DD260" s="366" t="s">
        <v>356</v>
      </c>
      <c r="DE260" s="438"/>
      <c r="DF260" s="438"/>
      <c r="DG260" s="438"/>
      <c r="DH260" s="438"/>
      <c r="DI260" s="438"/>
      <c r="DJ260" s="438"/>
      <c r="DK260" s="438"/>
      <c r="DL260" s="438"/>
      <c r="DM260" s="366" t="s">
        <v>356</v>
      </c>
      <c r="DN260" s="366" t="s">
        <v>356</v>
      </c>
      <c r="DO260" s="366" t="s">
        <v>356</v>
      </c>
      <c r="DP260" s="366" t="s">
        <v>356</v>
      </c>
      <c r="DQ260" s="366" t="s">
        <v>356</v>
      </c>
      <c r="DR260" s="366" t="s">
        <v>356</v>
      </c>
      <c r="DS260" s="366" t="s">
        <v>356</v>
      </c>
      <c r="DT260" s="366" t="s">
        <v>356</v>
      </c>
      <c r="DU260" s="366" t="s">
        <v>356</v>
      </c>
      <c r="DV260" s="366" t="s">
        <v>356</v>
      </c>
      <c r="DW260" s="366" t="s">
        <v>356</v>
      </c>
      <c r="DX260" s="366" t="s">
        <v>356</v>
      </c>
      <c r="DY260" s="366" t="s">
        <v>356</v>
      </c>
      <c r="DZ260" s="366" t="s">
        <v>356</v>
      </c>
      <c r="EA260" s="366" t="s">
        <v>356</v>
      </c>
      <c r="EB260" s="366" t="s">
        <v>356</v>
      </c>
      <c r="EC260" s="366" t="s">
        <v>356</v>
      </c>
      <c r="ED260" s="366" t="s">
        <v>356</v>
      </c>
      <c r="EE260" s="366" t="s">
        <v>356</v>
      </c>
      <c r="EF260" s="366" t="s">
        <v>356</v>
      </c>
      <c r="EG260" s="366" t="s">
        <v>356</v>
      </c>
      <c r="EH260" s="366" t="s">
        <v>356</v>
      </c>
      <c r="EI260" s="366" t="s">
        <v>356</v>
      </c>
      <c r="EJ260" s="366" t="s">
        <v>356</v>
      </c>
      <c r="EK260" s="366" t="s">
        <v>356</v>
      </c>
      <c r="EL260" s="366" t="s">
        <v>356</v>
      </c>
      <c r="EM260" s="366" t="s">
        <v>356</v>
      </c>
      <c r="EN260" s="366" t="s">
        <v>356</v>
      </c>
      <c r="EO260" s="366" t="s">
        <v>356</v>
      </c>
      <c r="EP260" s="366" t="s">
        <v>356</v>
      </c>
      <c r="EQ260" s="366" t="s">
        <v>356</v>
      </c>
      <c r="ER260" s="366" t="s">
        <v>356</v>
      </c>
      <c r="FA260" s="366" t="s">
        <v>356</v>
      </c>
      <c r="FB260" s="366" t="s">
        <v>356</v>
      </c>
      <c r="FC260" s="366" t="s">
        <v>356</v>
      </c>
      <c r="FD260" s="366" t="s">
        <v>356</v>
      </c>
      <c r="FE260" s="366" t="s">
        <v>356</v>
      </c>
      <c r="FF260" s="366" t="s">
        <v>356</v>
      </c>
      <c r="FG260" s="366" t="s">
        <v>356</v>
      </c>
      <c r="FH260" s="366" t="s">
        <v>356</v>
      </c>
      <c r="FI260" s="366" t="s">
        <v>356</v>
      </c>
      <c r="FJ260" s="366" t="s">
        <v>356</v>
      </c>
      <c r="FK260" s="366" t="s">
        <v>356</v>
      </c>
      <c r="FL260" s="366" t="s">
        <v>356</v>
      </c>
      <c r="FM260" s="366" t="s">
        <v>356</v>
      </c>
      <c r="FN260" s="366" t="s">
        <v>356</v>
      </c>
      <c r="FO260" s="366" t="s">
        <v>356</v>
      </c>
      <c r="FP260" s="366" t="s">
        <v>356</v>
      </c>
    </row>
    <row r="261" spans="1:172" s="406" customFormat="1">
      <c r="A261" s="406" t="s">
        <v>601</v>
      </c>
      <c r="B261" s="406" t="s">
        <v>1666</v>
      </c>
      <c r="C261" s="406" t="s">
        <v>1450</v>
      </c>
      <c r="D261" s="406" t="s">
        <v>602</v>
      </c>
      <c r="E261" s="406" t="s">
        <v>828</v>
      </c>
      <c r="F261" s="406" t="s">
        <v>356</v>
      </c>
      <c r="G261" s="406">
        <v>41</v>
      </c>
      <c r="H261" s="406">
        <v>39</v>
      </c>
      <c r="I261" s="406">
        <v>38</v>
      </c>
      <c r="M261" s="406" t="s">
        <v>356</v>
      </c>
      <c r="N261" s="406" t="s">
        <v>356</v>
      </c>
      <c r="O261" s="406" t="s">
        <v>356</v>
      </c>
      <c r="P261" s="406" t="s">
        <v>356</v>
      </c>
      <c r="Q261" s="406" t="s">
        <v>356</v>
      </c>
      <c r="R261" s="406" t="s">
        <v>1129</v>
      </c>
      <c r="S261" s="406" t="s">
        <v>817</v>
      </c>
      <c r="T261" s="406">
        <v>35</v>
      </c>
      <c r="U261" s="406" cm="1">
        <f t="array" ref="U261">IFERROR(INDEX('Offer Statistics'!$DA$2:$DA$450,MATCH(1,(A261='Offer Statistics'!$CL$2:$CL$450)*($A$11='Offer Statistics'!$CM$2:$CM$450),0)),"/")</f>
        <v>30</v>
      </c>
      <c r="V261" s="406" cm="1">
        <f t="array" ref="V261">IFERROR(INDEX('Offer Statistics'!$CN$2:$CN$450,MATCH(1,(A261='Offer Statistics'!$CL$2:$CL$450)*($A$11='Offer Statistics'!$CM$2:$CM$450),0)),"/")</f>
        <v>114</v>
      </c>
      <c r="W261" s="406" cm="1">
        <f t="array" ref="W261">IFERROR(INDEX('Offer Statistics'!$CV$2:$CV$450,MATCH(1,(A261='Offer Statistics'!$CL$2:$CL$450)*($A$11='Offer Statistics'!$CM$2:$CM$450),0)),"/")</f>
        <v>30</v>
      </c>
      <c r="X261" s="406">
        <f t="shared" si="774"/>
        <v>3.8</v>
      </c>
      <c r="Y261" s="406" t="s">
        <v>1177</v>
      </c>
      <c r="Z261" s="406" t="str">
        <f>入學要求!AF270</f>
        <v>以下一科選修取得Lv.3︰化學、組合科學(化學)</v>
      </c>
      <c r="AA261" s="406" t="str">
        <f>入學要求!AG270</f>
        <v>/</v>
      </c>
      <c r="AB261" s="407" t="s">
        <v>828</v>
      </c>
      <c r="AC261" s="407" t="s">
        <v>3123</v>
      </c>
      <c r="AD261" s="406" t="s">
        <v>3129</v>
      </c>
      <c r="AE261" s="406" t="s">
        <v>356</v>
      </c>
      <c r="AF261" s="406" t="s">
        <v>356</v>
      </c>
      <c r="AG261" s="406" t="s">
        <v>356</v>
      </c>
      <c r="AH261" s="406" t="s">
        <v>356</v>
      </c>
      <c r="AI261" s="406" t="s">
        <v>356</v>
      </c>
      <c r="AJ261" s="406" t="s">
        <v>839</v>
      </c>
      <c r="AK261" s="406" t="s">
        <v>1675</v>
      </c>
      <c r="AL261" s="406" t="s">
        <v>1674</v>
      </c>
      <c r="AO261" s="406" t="s">
        <v>1671</v>
      </c>
      <c r="AP261" s="406" t="s">
        <v>3271</v>
      </c>
      <c r="AQ261" s="406" t="s">
        <v>356</v>
      </c>
      <c r="AS261" s="406" t="s">
        <v>820</v>
      </c>
      <c r="AU261" s="440" t="s">
        <v>1705</v>
      </c>
      <c r="AY261" s="406" t="s">
        <v>356</v>
      </c>
      <c r="AZ261" s="406" t="s">
        <v>356</v>
      </c>
      <c r="BA261" s="406" t="s">
        <v>356</v>
      </c>
      <c r="BB261" s="406" t="s">
        <v>356</v>
      </c>
      <c r="BC261" s="406" t="s">
        <v>356</v>
      </c>
      <c r="BD261" s="406" t="s">
        <v>356</v>
      </c>
      <c r="BE261" s="406" t="s">
        <v>356</v>
      </c>
      <c r="BF261" s="406" t="s">
        <v>356</v>
      </c>
      <c r="BH261" s="406" t="s">
        <v>356</v>
      </c>
      <c r="BI261" s="406" t="s">
        <v>356</v>
      </c>
      <c r="BJ261" s="406" t="s">
        <v>356</v>
      </c>
      <c r="BK261" s="406" t="s">
        <v>356</v>
      </c>
      <c r="BL261" s="406" t="s">
        <v>356</v>
      </c>
      <c r="BM261" s="406" t="s">
        <v>356</v>
      </c>
      <c r="BN261" s="406" t="s">
        <v>356</v>
      </c>
      <c r="BO261" s="406" t="s">
        <v>356</v>
      </c>
      <c r="BX261" s="406" t="s">
        <v>356</v>
      </c>
      <c r="BY261" s="406" t="s">
        <v>356</v>
      </c>
      <c r="BZ261" s="406" t="s">
        <v>356</v>
      </c>
      <c r="CA261" s="406" t="s">
        <v>356</v>
      </c>
      <c r="CB261" s="406" t="s">
        <v>356</v>
      </c>
      <c r="CC261" s="406" t="s">
        <v>356</v>
      </c>
      <c r="CD261" s="406" t="s">
        <v>356</v>
      </c>
      <c r="CE261" s="406" t="s">
        <v>356</v>
      </c>
      <c r="CF261" s="406" t="s">
        <v>356</v>
      </c>
      <c r="CG261" s="406" t="s">
        <v>356</v>
      </c>
      <c r="CH261" s="406" t="s">
        <v>356</v>
      </c>
      <c r="CI261" s="406" t="s">
        <v>356</v>
      </c>
      <c r="CJ261" s="406" t="s">
        <v>356</v>
      </c>
      <c r="CK261" s="406" t="s">
        <v>356</v>
      </c>
      <c r="CL261" s="406" t="s">
        <v>356</v>
      </c>
      <c r="CM261" s="406" t="s">
        <v>356</v>
      </c>
      <c r="CN261" s="406" t="s">
        <v>356</v>
      </c>
      <c r="CO261" s="406" t="s">
        <v>356</v>
      </c>
      <c r="CP261" s="406" t="s">
        <v>356</v>
      </c>
      <c r="CQ261" s="406" t="s">
        <v>356</v>
      </c>
      <c r="CR261" s="406" t="s">
        <v>356</v>
      </c>
      <c r="CS261" s="406" t="s">
        <v>356</v>
      </c>
      <c r="CT261" s="406" t="s">
        <v>356</v>
      </c>
      <c r="CU261" s="406" t="s">
        <v>356</v>
      </c>
      <c r="CW261" s="406" t="s">
        <v>356</v>
      </c>
      <c r="CX261" s="406" t="s">
        <v>356</v>
      </c>
      <c r="CY261" s="406" t="s">
        <v>356</v>
      </c>
      <c r="CZ261" s="406" t="s">
        <v>356</v>
      </c>
      <c r="DA261" s="406" t="s">
        <v>356</v>
      </c>
      <c r="DB261" s="406" t="s">
        <v>356</v>
      </c>
      <c r="DC261" s="406" t="s">
        <v>356</v>
      </c>
      <c r="DD261" s="406" t="s">
        <v>356</v>
      </c>
      <c r="DM261" s="406" t="s">
        <v>356</v>
      </c>
      <c r="DN261" s="406" t="s">
        <v>356</v>
      </c>
      <c r="DO261" s="406" t="s">
        <v>356</v>
      </c>
      <c r="DP261" s="406" t="s">
        <v>356</v>
      </c>
      <c r="DQ261" s="406" t="s">
        <v>356</v>
      </c>
      <c r="DR261" s="406" t="s">
        <v>356</v>
      </c>
      <c r="DS261" s="406" t="s">
        <v>356</v>
      </c>
      <c r="DT261" s="406" t="s">
        <v>356</v>
      </c>
      <c r="DU261" s="406" t="s">
        <v>356</v>
      </c>
      <c r="DV261" s="406" t="s">
        <v>356</v>
      </c>
      <c r="DW261" s="406" t="s">
        <v>356</v>
      </c>
      <c r="DX261" s="406" t="s">
        <v>356</v>
      </c>
      <c r="DY261" s="406" t="s">
        <v>356</v>
      </c>
      <c r="DZ261" s="406" t="s">
        <v>356</v>
      </c>
      <c r="EA261" s="406" t="s">
        <v>356</v>
      </c>
      <c r="EB261" s="406" t="s">
        <v>356</v>
      </c>
      <c r="EC261" s="406" t="s">
        <v>356</v>
      </c>
      <c r="ED261" s="406" t="s">
        <v>356</v>
      </c>
      <c r="EE261" s="406" t="s">
        <v>356</v>
      </c>
      <c r="EF261" s="406" t="s">
        <v>356</v>
      </c>
      <c r="EG261" s="406" t="s">
        <v>356</v>
      </c>
      <c r="EH261" s="406" t="s">
        <v>356</v>
      </c>
      <c r="EI261" s="406" t="s">
        <v>356</v>
      </c>
      <c r="EJ261" s="406" t="s">
        <v>356</v>
      </c>
      <c r="EK261" s="406" t="s">
        <v>356</v>
      </c>
      <c r="EL261" s="406" t="s">
        <v>356</v>
      </c>
      <c r="EM261" s="406" t="s">
        <v>356</v>
      </c>
      <c r="EN261" s="406" t="s">
        <v>356</v>
      </c>
      <c r="EO261" s="406" t="s">
        <v>356</v>
      </c>
      <c r="EP261" s="406" t="s">
        <v>356</v>
      </c>
      <c r="EQ261" s="406" t="s">
        <v>356</v>
      </c>
      <c r="ER261" s="406" t="s">
        <v>356</v>
      </c>
      <c r="FA261" s="406" t="s">
        <v>356</v>
      </c>
      <c r="FB261" s="406" t="s">
        <v>356</v>
      </c>
      <c r="FC261" s="406" t="s">
        <v>356</v>
      </c>
      <c r="FD261" s="406" t="s">
        <v>356</v>
      </c>
      <c r="FE261" s="406" t="s">
        <v>356</v>
      </c>
      <c r="FF261" s="406" t="s">
        <v>356</v>
      </c>
      <c r="FG261" s="406" t="s">
        <v>356</v>
      </c>
      <c r="FH261" s="406" t="s">
        <v>356</v>
      </c>
      <c r="FI261" s="406" t="s">
        <v>356</v>
      </c>
      <c r="FJ261" s="406" t="s">
        <v>356</v>
      </c>
      <c r="FK261" s="406" t="s">
        <v>356</v>
      </c>
      <c r="FL261" s="406" t="s">
        <v>356</v>
      </c>
      <c r="FM261" s="406" t="s">
        <v>356</v>
      </c>
      <c r="FN261" s="406" t="s">
        <v>356</v>
      </c>
      <c r="FO261" s="406" t="s">
        <v>356</v>
      </c>
      <c r="FP261" s="406" t="s">
        <v>356</v>
      </c>
    </row>
    <row r="262" spans="1:172" s="406" customFormat="1">
      <c r="A262" s="406" t="s">
        <v>608</v>
      </c>
      <c r="B262" s="406" t="s">
        <v>1666</v>
      </c>
      <c r="C262" s="406" t="s">
        <v>1450</v>
      </c>
      <c r="D262" s="406" t="s">
        <v>609</v>
      </c>
      <c r="E262" s="406" t="s">
        <v>828</v>
      </c>
      <c r="F262" s="406" t="s">
        <v>356</v>
      </c>
      <c r="G262" s="406">
        <v>41</v>
      </c>
      <c r="H262" s="406">
        <v>39</v>
      </c>
      <c r="I262" s="406">
        <v>39</v>
      </c>
      <c r="M262" s="406" t="s">
        <v>356</v>
      </c>
      <c r="N262" s="406" t="s">
        <v>356</v>
      </c>
      <c r="O262" s="406" t="s">
        <v>356</v>
      </c>
      <c r="P262" s="406" t="s">
        <v>356</v>
      </c>
      <c r="Q262" s="406" t="s">
        <v>356</v>
      </c>
      <c r="R262" s="406" t="s">
        <v>1739</v>
      </c>
      <c r="S262" s="406" t="s">
        <v>817</v>
      </c>
      <c r="T262" s="406">
        <v>38</v>
      </c>
      <c r="U262" s="406" cm="1">
        <f t="array" ref="U262">IFERROR(INDEX('Offer Statistics'!$DA$2:$DA$450,MATCH(1,(A262='Offer Statistics'!$CL$2:$CL$450)*($A$11='Offer Statistics'!$CM$2:$CM$450),0)),"/")</f>
        <v>33</v>
      </c>
      <c r="V262" s="406" cm="1">
        <f t="array" ref="V262">IFERROR(INDEX('Offer Statistics'!$CN$2:$CN$450,MATCH(1,(A262='Offer Statistics'!$CL$2:$CL$450)*($A$11='Offer Statistics'!$CM$2:$CM$450),0)),"/")</f>
        <v>120</v>
      </c>
      <c r="W262" s="406" cm="1">
        <f t="array" ref="W262">IFERROR(INDEX('Offer Statistics'!$CV$2:$CV$450,MATCH(1,(A262='Offer Statistics'!$CL$2:$CL$450)*($A$11='Offer Statistics'!$CM$2:$CM$450),0)),"/")</f>
        <v>32</v>
      </c>
      <c r="X262" s="406">
        <f t="shared" si="774"/>
        <v>3.75</v>
      </c>
      <c r="Y262" s="406" t="s">
        <v>1177</v>
      </c>
      <c r="Z262" s="406" t="str">
        <f>入學要求!AF271</f>
        <v>以下一科選修取得Lv.3︰生物、化學、組合科學</v>
      </c>
      <c r="AA262" s="406" t="str">
        <f>入學要求!AG271</f>
        <v>/</v>
      </c>
      <c r="AB262" s="407" t="s">
        <v>828</v>
      </c>
      <c r="AC262" s="407" t="s">
        <v>3123</v>
      </c>
      <c r="AD262" s="406" t="s">
        <v>3129</v>
      </c>
      <c r="AE262" s="406" t="s">
        <v>356</v>
      </c>
      <c r="AF262" s="406" t="s">
        <v>356</v>
      </c>
      <c r="AG262" s="406" t="s">
        <v>356</v>
      </c>
      <c r="AH262" s="406" t="s">
        <v>356</v>
      </c>
      <c r="AI262" s="406" t="s">
        <v>356</v>
      </c>
      <c r="AJ262" s="406" t="s">
        <v>1736</v>
      </c>
      <c r="AK262" s="406" t="s">
        <v>1737</v>
      </c>
      <c r="AL262" s="406" t="s">
        <v>356</v>
      </c>
      <c r="AO262" s="406" t="s">
        <v>1671</v>
      </c>
      <c r="AP262" s="406" t="s">
        <v>3271</v>
      </c>
      <c r="AQ262" s="406" t="s">
        <v>356</v>
      </c>
      <c r="AS262" s="406" t="s">
        <v>820</v>
      </c>
      <c r="AU262" s="440" t="s">
        <v>1705</v>
      </c>
      <c r="AY262" s="406" t="s">
        <v>356</v>
      </c>
      <c r="AZ262" s="406" t="s">
        <v>356</v>
      </c>
      <c r="BA262" s="406" t="s">
        <v>356</v>
      </c>
      <c r="BB262" s="406" t="s">
        <v>356</v>
      </c>
      <c r="BC262" s="406" t="s">
        <v>356</v>
      </c>
      <c r="BD262" s="406" t="s">
        <v>356</v>
      </c>
      <c r="BE262" s="406" t="s">
        <v>356</v>
      </c>
      <c r="BF262" s="406" t="s">
        <v>356</v>
      </c>
      <c r="BH262" s="406" t="s">
        <v>356</v>
      </c>
      <c r="BI262" s="406" t="s">
        <v>356</v>
      </c>
      <c r="BJ262" s="406" t="s">
        <v>356</v>
      </c>
      <c r="BK262" s="406" t="s">
        <v>356</v>
      </c>
      <c r="BL262" s="406" t="s">
        <v>356</v>
      </c>
      <c r="BM262" s="406" t="s">
        <v>356</v>
      </c>
      <c r="BN262" s="406" t="s">
        <v>356</v>
      </c>
      <c r="BO262" s="406" t="s">
        <v>356</v>
      </c>
      <c r="BX262" s="406" t="s">
        <v>356</v>
      </c>
      <c r="BY262" s="406" t="s">
        <v>356</v>
      </c>
      <c r="BZ262" s="406" t="s">
        <v>356</v>
      </c>
      <c r="CA262" s="406" t="s">
        <v>356</v>
      </c>
      <c r="CB262" s="406" t="s">
        <v>356</v>
      </c>
      <c r="CC262" s="406" t="s">
        <v>356</v>
      </c>
      <c r="CD262" s="406" t="s">
        <v>356</v>
      </c>
      <c r="CE262" s="406" t="s">
        <v>356</v>
      </c>
      <c r="CF262" s="406" t="s">
        <v>356</v>
      </c>
      <c r="CG262" s="406" t="s">
        <v>356</v>
      </c>
      <c r="CH262" s="406" t="s">
        <v>356</v>
      </c>
      <c r="CI262" s="406" t="s">
        <v>356</v>
      </c>
      <c r="CJ262" s="406" t="s">
        <v>356</v>
      </c>
      <c r="CK262" s="406" t="s">
        <v>356</v>
      </c>
      <c r="CL262" s="406" t="s">
        <v>356</v>
      </c>
      <c r="CM262" s="406" t="s">
        <v>356</v>
      </c>
      <c r="CN262" s="406" t="s">
        <v>356</v>
      </c>
      <c r="CO262" s="406" t="s">
        <v>356</v>
      </c>
      <c r="CP262" s="406" t="s">
        <v>356</v>
      </c>
      <c r="CQ262" s="406" t="s">
        <v>356</v>
      </c>
      <c r="CR262" s="406" t="s">
        <v>356</v>
      </c>
      <c r="CS262" s="406" t="s">
        <v>356</v>
      </c>
      <c r="CT262" s="406" t="s">
        <v>356</v>
      </c>
      <c r="CU262" s="406" t="s">
        <v>356</v>
      </c>
      <c r="CW262" s="406" t="s">
        <v>356</v>
      </c>
      <c r="CX262" s="406" t="s">
        <v>356</v>
      </c>
      <c r="CY262" s="406" t="s">
        <v>356</v>
      </c>
      <c r="CZ262" s="406" t="s">
        <v>356</v>
      </c>
      <c r="DA262" s="406" t="s">
        <v>356</v>
      </c>
      <c r="DB262" s="406" t="s">
        <v>356</v>
      </c>
      <c r="DC262" s="406" t="s">
        <v>356</v>
      </c>
      <c r="DD262" s="406" t="s">
        <v>356</v>
      </c>
      <c r="DM262" s="406" t="s">
        <v>356</v>
      </c>
      <c r="DN262" s="406" t="s">
        <v>356</v>
      </c>
      <c r="DO262" s="406" t="s">
        <v>356</v>
      </c>
      <c r="DP262" s="406" t="s">
        <v>356</v>
      </c>
      <c r="DQ262" s="406" t="s">
        <v>356</v>
      </c>
      <c r="DR262" s="406" t="s">
        <v>356</v>
      </c>
      <c r="DS262" s="406" t="s">
        <v>356</v>
      </c>
      <c r="DT262" s="406" t="s">
        <v>356</v>
      </c>
      <c r="DU262" s="406" t="s">
        <v>356</v>
      </c>
      <c r="DV262" s="406" t="s">
        <v>356</v>
      </c>
      <c r="DW262" s="406" t="s">
        <v>356</v>
      </c>
      <c r="DX262" s="406" t="s">
        <v>356</v>
      </c>
      <c r="DY262" s="406" t="s">
        <v>356</v>
      </c>
      <c r="DZ262" s="406" t="s">
        <v>356</v>
      </c>
      <c r="EA262" s="406" t="s">
        <v>356</v>
      </c>
      <c r="EB262" s="406" t="s">
        <v>356</v>
      </c>
      <c r="EC262" s="406" t="s">
        <v>356</v>
      </c>
      <c r="ED262" s="406" t="s">
        <v>356</v>
      </c>
      <c r="EE262" s="406" t="s">
        <v>356</v>
      </c>
      <c r="EF262" s="406" t="s">
        <v>356</v>
      </c>
      <c r="EG262" s="406" t="s">
        <v>356</v>
      </c>
      <c r="EH262" s="406" t="s">
        <v>356</v>
      </c>
      <c r="EI262" s="406" t="s">
        <v>356</v>
      </c>
      <c r="EJ262" s="406" t="s">
        <v>356</v>
      </c>
      <c r="EK262" s="406" t="s">
        <v>356</v>
      </c>
      <c r="EL262" s="406" t="s">
        <v>356</v>
      </c>
      <c r="EM262" s="406" t="s">
        <v>356</v>
      </c>
      <c r="EN262" s="406" t="s">
        <v>356</v>
      </c>
      <c r="EO262" s="406" t="s">
        <v>356</v>
      </c>
      <c r="EP262" s="406" t="s">
        <v>356</v>
      </c>
      <c r="EQ262" s="406" t="s">
        <v>356</v>
      </c>
      <c r="ER262" s="406" t="s">
        <v>356</v>
      </c>
      <c r="FA262" s="406" t="s">
        <v>356</v>
      </c>
      <c r="FB262" s="406" t="s">
        <v>356</v>
      </c>
      <c r="FC262" s="406" t="s">
        <v>356</v>
      </c>
      <c r="FD262" s="406" t="s">
        <v>356</v>
      </c>
      <c r="FE262" s="406" t="s">
        <v>356</v>
      </c>
      <c r="FF262" s="406" t="s">
        <v>356</v>
      </c>
      <c r="FG262" s="406" t="s">
        <v>356</v>
      </c>
      <c r="FH262" s="406" t="s">
        <v>356</v>
      </c>
      <c r="FI262" s="406" t="s">
        <v>356</v>
      </c>
      <c r="FJ262" s="406" t="s">
        <v>356</v>
      </c>
      <c r="FK262" s="406" t="s">
        <v>356</v>
      </c>
      <c r="FL262" s="406" t="s">
        <v>356</v>
      </c>
      <c r="FM262" s="406" t="s">
        <v>356</v>
      </c>
      <c r="FN262" s="406" t="s">
        <v>356</v>
      </c>
      <c r="FO262" s="406" t="s">
        <v>356</v>
      </c>
      <c r="FP262" s="406" t="s">
        <v>356</v>
      </c>
    </row>
    <row r="263" spans="1:172" s="366" customFormat="1">
      <c r="A263" s="366" t="s">
        <v>611</v>
      </c>
      <c r="B263" s="366" t="s">
        <v>1666</v>
      </c>
      <c r="C263" s="366" t="s">
        <v>975</v>
      </c>
      <c r="D263" s="366" t="s">
        <v>612</v>
      </c>
      <c r="E263" s="366" t="s">
        <v>889</v>
      </c>
      <c r="F263" s="366" t="s">
        <v>356</v>
      </c>
      <c r="G263" s="368">
        <v>40</v>
      </c>
      <c r="H263" s="368">
        <v>37</v>
      </c>
      <c r="I263" s="368">
        <v>35</v>
      </c>
      <c r="M263" s="368" t="s">
        <v>1741</v>
      </c>
      <c r="N263" s="368" t="s">
        <v>1742</v>
      </c>
      <c r="O263" s="368" t="s">
        <v>1743</v>
      </c>
      <c r="P263" s="368" t="s">
        <v>356</v>
      </c>
      <c r="Q263" s="368" t="s">
        <v>356</v>
      </c>
      <c r="R263" s="365" t="s">
        <v>1740</v>
      </c>
      <c r="S263" s="365" t="s">
        <v>817</v>
      </c>
      <c r="T263" s="366">
        <v>24</v>
      </c>
      <c r="U263" s="366" cm="1">
        <f t="array" ref="U263">IFERROR(INDEX('Offer Statistics'!$DA$2:$DA$450,MATCH(1,(A263='Offer Statistics'!$CL$2:$CL$450)*($A$11='Offer Statistics'!$CM$2:$CM$450),0)),"/")</f>
        <v>21</v>
      </c>
      <c r="V263" s="366" cm="1">
        <f t="array" ref="V263">IFERROR(INDEX('Offer Statistics'!$CN$2:$CN$450,MATCH(1,(A263='Offer Statistics'!$CL$2:$CL$450)*($A$11='Offer Statistics'!$CM$2:$CM$450),0)),"/")</f>
        <v>89</v>
      </c>
      <c r="W263" s="366" cm="1">
        <f t="array" ref="W263">IFERROR(INDEX('Offer Statistics'!$CV$2:$CV$450,MATCH(1,(A263='Offer Statistics'!$CL$2:$CL$450)*($A$11='Offer Statistics'!$CM$2:$CM$450),0)),"/")</f>
        <v>21</v>
      </c>
      <c r="X263" s="366">
        <f t="shared" si="774"/>
        <v>4.2380952380952381</v>
      </c>
      <c r="Y263" s="366" t="s">
        <v>1177</v>
      </c>
      <c r="Z263" s="366" t="str">
        <f>入學要求!AF272</f>
        <v>以下兩科選修取得Lv.3︰生物、化學、組合科學、物理、M1/2</v>
      </c>
      <c r="AA263" s="366" t="str">
        <f>入學要求!AG272</f>
        <v>/</v>
      </c>
      <c r="AB263" s="401" t="s">
        <v>12</v>
      </c>
      <c r="AC263" s="400"/>
      <c r="AD263" s="400"/>
      <c r="AE263" s="368" t="s">
        <v>1741</v>
      </c>
      <c r="AF263" s="368" t="s">
        <v>1742</v>
      </c>
      <c r="AG263" s="368" t="s">
        <v>1743</v>
      </c>
      <c r="AH263" s="368" t="s">
        <v>356</v>
      </c>
      <c r="AI263" s="400" t="s">
        <v>356</v>
      </c>
      <c r="AJ263" s="366" t="s">
        <v>839</v>
      </c>
      <c r="AK263" s="366" t="s">
        <v>1675</v>
      </c>
      <c r="AL263" s="366" t="s">
        <v>356</v>
      </c>
      <c r="AO263" s="366" t="s">
        <v>1671</v>
      </c>
      <c r="AP263" s="366" t="s">
        <v>3267</v>
      </c>
      <c r="AQ263" s="366" t="s">
        <v>356</v>
      </c>
      <c r="AS263" s="366" t="s">
        <v>820</v>
      </c>
      <c r="AU263" s="366" t="s">
        <v>817</v>
      </c>
      <c r="AY263" s="366" t="s">
        <v>356</v>
      </c>
      <c r="AZ263" s="366" t="s">
        <v>356</v>
      </c>
      <c r="BA263" s="366" t="s">
        <v>356</v>
      </c>
      <c r="BB263" s="366" t="s">
        <v>356</v>
      </c>
      <c r="BC263" s="366" t="s">
        <v>356</v>
      </c>
      <c r="BD263" s="366" t="s">
        <v>356</v>
      </c>
      <c r="BE263" s="366" t="s">
        <v>356</v>
      </c>
      <c r="BF263" s="366" t="s">
        <v>356</v>
      </c>
      <c r="BH263" s="366" t="s">
        <v>356</v>
      </c>
      <c r="BI263" s="366" t="s">
        <v>356</v>
      </c>
      <c r="BJ263" s="366" t="s">
        <v>356</v>
      </c>
      <c r="BK263" s="366" t="s">
        <v>356</v>
      </c>
      <c r="BL263" s="366" t="s">
        <v>356</v>
      </c>
      <c r="BM263" s="366" t="s">
        <v>356</v>
      </c>
      <c r="BN263" s="366" t="s">
        <v>356</v>
      </c>
      <c r="BO263" s="366" t="s">
        <v>356</v>
      </c>
      <c r="BP263" s="438"/>
      <c r="BQ263" s="438"/>
      <c r="BR263" s="438"/>
      <c r="BS263" s="438"/>
      <c r="BT263" s="438"/>
      <c r="BU263" s="438"/>
      <c r="BV263" s="438"/>
      <c r="BW263" s="438"/>
      <c r="BX263" s="366" t="s">
        <v>356</v>
      </c>
      <c r="BY263" s="366" t="s">
        <v>356</v>
      </c>
      <c r="BZ263" s="366" t="s">
        <v>356</v>
      </c>
      <c r="CA263" s="366" t="s">
        <v>356</v>
      </c>
      <c r="CB263" s="366" t="s">
        <v>356</v>
      </c>
      <c r="CC263" s="366" t="s">
        <v>356</v>
      </c>
      <c r="CD263" s="366" t="s">
        <v>356</v>
      </c>
      <c r="CE263" s="366" t="s">
        <v>356</v>
      </c>
      <c r="CF263" s="366" t="s">
        <v>356</v>
      </c>
      <c r="CG263" s="366" t="s">
        <v>356</v>
      </c>
      <c r="CH263" s="366" t="s">
        <v>356</v>
      </c>
      <c r="CI263" s="366" t="s">
        <v>356</v>
      </c>
      <c r="CJ263" s="366" t="s">
        <v>356</v>
      </c>
      <c r="CK263" s="366" t="s">
        <v>356</v>
      </c>
      <c r="CL263" s="366" t="s">
        <v>356</v>
      </c>
      <c r="CM263" s="366" t="s">
        <v>356</v>
      </c>
      <c r="CN263" s="366" t="s">
        <v>356</v>
      </c>
      <c r="CO263" s="366" t="s">
        <v>356</v>
      </c>
      <c r="CP263" s="366" t="s">
        <v>356</v>
      </c>
      <c r="CQ263" s="366" t="s">
        <v>356</v>
      </c>
      <c r="CR263" s="366" t="s">
        <v>356</v>
      </c>
      <c r="CS263" s="366" t="s">
        <v>356</v>
      </c>
      <c r="CT263" s="366" t="s">
        <v>356</v>
      </c>
      <c r="CU263" s="366" t="s">
        <v>356</v>
      </c>
      <c r="CW263" s="366" t="s">
        <v>356</v>
      </c>
      <c r="CX263" s="366" t="s">
        <v>356</v>
      </c>
      <c r="CY263" s="366" t="s">
        <v>356</v>
      </c>
      <c r="CZ263" s="366" t="s">
        <v>356</v>
      </c>
      <c r="DA263" s="366" t="s">
        <v>356</v>
      </c>
      <c r="DB263" s="366" t="s">
        <v>356</v>
      </c>
      <c r="DC263" s="366" t="s">
        <v>356</v>
      </c>
      <c r="DD263" s="366" t="s">
        <v>356</v>
      </c>
      <c r="DE263" s="438"/>
      <c r="DF263" s="438"/>
      <c r="DG263" s="438"/>
      <c r="DH263" s="438"/>
      <c r="DI263" s="438"/>
      <c r="DJ263" s="438"/>
      <c r="DK263" s="438"/>
      <c r="DL263" s="438"/>
      <c r="DM263" s="366" t="s">
        <v>356</v>
      </c>
      <c r="DN263" s="366" t="s">
        <v>356</v>
      </c>
      <c r="DO263" s="366" t="s">
        <v>356</v>
      </c>
      <c r="DP263" s="366" t="s">
        <v>356</v>
      </c>
      <c r="DQ263" s="366" t="s">
        <v>356</v>
      </c>
      <c r="DR263" s="366" t="s">
        <v>356</v>
      </c>
      <c r="DS263" s="366" t="s">
        <v>356</v>
      </c>
      <c r="DT263" s="366" t="s">
        <v>356</v>
      </c>
      <c r="DU263" s="366" t="s">
        <v>356</v>
      </c>
      <c r="DV263" s="366" t="s">
        <v>356</v>
      </c>
      <c r="DW263" s="366" t="s">
        <v>356</v>
      </c>
      <c r="DX263" s="366" t="s">
        <v>356</v>
      </c>
      <c r="DY263" s="366" t="s">
        <v>356</v>
      </c>
      <c r="DZ263" s="366" t="s">
        <v>356</v>
      </c>
      <c r="EA263" s="366" t="s">
        <v>356</v>
      </c>
      <c r="EB263" s="366" t="s">
        <v>356</v>
      </c>
      <c r="EC263" s="366" t="s">
        <v>356</v>
      </c>
      <c r="ED263" s="366" t="s">
        <v>356</v>
      </c>
      <c r="EE263" s="366" t="s">
        <v>356</v>
      </c>
      <c r="EF263" s="366" t="s">
        <v>356</v>
      </c>
      <c r="EG263" s="366" t="s">
        <v>356</v>
      </c>
      <c r="EH263" s="366" t="s">
        <v>356</v>
      </c>
      <c r="EI263" s="366" t="s">
        <v>356</v>
      </c>
      <c r="EJ263" s="366" t="s">
        <v>356</v>
      </c>
      <c r="EK263" s="366" t="s">
        <v>356</v>
      </c>
      <c r="EL263" s="366" t="s">
        <v>356</v>
      </c>
      <c r="EM263" s="366" t="s">
        <v>356</v>
      </c>
      <c r="EN263" s="366" t="s">
        <v>356</v>
      </c>
      <c r="EO263" s="366" t="s">
        <v>356</v>
      </c>
      <c r="EP263" s="366" t="s">
        <v>356</v>
      </c>
      <c r="EQ263" s="366" t="s">
        <v>356</v>
      </c>
      <c r="ER263" s="366" t="s">
        <v>356</v>
      </c>
      <c r="FA263" s="366" t="s">
        <v>356</v>
      </c>
      <c r="FB263" s="366" t="s">
        <v>356</v>
      </c>
      <c r="FC263" s="366" t="s">
        <v>356</v>
      </c>
      <c r="FD263" s="366" t="s">
        <v>356</v>
      </c>
      <c r="FE263" s="366" t="s">
        <v>356</v>
      </c>
      <c r="FF263" s="366" t="s">
        <v>356</v>
      </c>
      <c r="FG263" s="366" t="s">
        <v>356</v>
      </c>
      <c r="FH263" s="366" t="s">
        <v>356</v>
      </c>
      <c r="FI263" s="366" t="s">
        <v>356</v>
      </c>
      <c r="FJ263" s="366" t="s">
        <v>356</v>
      </c>
      <c r="FK263" s="366" t="s">
        <v>356</v>
      </c>
      <c r="FL263" s="366" t="s">
        <v>356</v>
      </c>
      <c r="FM263" s="366" t="s">
        <v>356</v>
      </c>
      <c r="FN263" s="366" t="s">
        <v>356</v>
      </c>
      <c r="FO263" s="366" t="s">
        <v>356</v>
      </c>
      <c r="FP263" s="366" t="s">
        <v>356</v>
      </c>
    </row>
    <row r="264" spans="1:172" s="366" customFormat="1">
      <c r="A264" s="366" t="s">
        <v>613</v>
      </c>
      <c r="B264" s="366" t="s">
        <v>1666</v>
      </c>
      <c r="C264" s="366" t="s">
        <v>975</v>
      </c>
      <c r="D264" s="366" t="s">
        <v>614</v>
      </c>
      <c r="E264" s="366" t="s">
        <v>889</v>
      </c>
      <c r="F264" s="366" t="s">
        <v>356</v>
      </c>
      <c r="G264" s="368">
        <v>34</v>
      </c>
      <c r="H264" s="368">
        <v>32</v>
      </c>
      <c r="I264" s="368">
        <v>31</v>
      </c>
      <c r="M264" s="368" t="s">
        <v>1744</v>
      </c>
      <c r="N264" s="368" t="s">
        <v>356</v>
      </c>
      <c r="O264" s="368" t="s">
        <v>1745</v>
      </c>
      <c r="P264" s="368" t="s">
        <v>356</v>
      </c>
      <c r="Q264" s="368" t="s">
        <v>356</v>
      </c>
      <c r="R264" s="365" t="s">
        <v>1746</v>
      </c>
      <c r="S264" s="365" t="s">
        <v>817</v>
      </c>
      <c r="T264" s="366">
        <v>50</v>
      </c>
      <c r="U264" s="366" cm="1">
        <f t="array" ref="U264">IFERROR(INDEX('Offer Statistics'!$DA$2:$DA$450,MATCH(1,(A264='Offer Statistics'!$CL$2:$CL$450)*($A$11='Offer Statistics'!$CM$2:$CM$450),0)),"/")</f>
        <v>74</v>
      </c>
      <c r="V264" s="366" cm="1">
        <f t="array" ref="V264">IFERROR(INDEX('Offer Statistics'!$CN$2:$CN$450,MATCH(1,(A264='Offer Statistics'!$CL$2:$CL$450)*($A$11='Offer Statistics'!$CM$2:$CM$450),0)),"/")</f>
        <v>171</v>
      </c>
      <c r="W264" s="366" cm="1">
        <f t="array" ref="W264">IFERROR(INDEX('Offer Statistics'!$CV$2:$CV$450,MATCH(1,(A264='Offer Statistics'!$CL$2:$CL$450)*($A$11='Offer Statistics'!$CM$2:$CM$450),0)),"/")</f>
        <v>74</v>
      </c>
      <c r="X264" s="366">
        <f t="shared" si="774"/>
        <v>2.310810810810811</v>
      </c>
      <c r="Y264" s="366" t="s">
        <v>1177</v>
      </c>
      <c r="Z264" s="366" t="str">
        <f>入學要求!AF273</f>
        <v>M1/2 需考獲Lv. 4 或以上</v>
      </c>
      <c r="AA264" s="366" t="str">
        <f>入學要求!AG273</f>
        <v>/</v>
      </c>
      <c r="AB264" s="401" t="s">
        <v>12</v>
      </c>
      <c r="AC264" s="368"/>
      <c r="AD264" s="368"/>
      <c r="AE264" s="368" t="s">
        <v>1744</v>
      </c>
      <c r="AF264" s="400" t="s">
        <v>356</v>
      </c>
      <c r="AG264" s="368" t="s">
        <v>1745</v>
      </c>
      <c r="AH264" s="368" t="s">
        <v>356</v>
      </c>
      <c r="AI264" s="400" t="s">
        <v>356</v>
      </c>
      <c r="AJ264" s="366" t="s">
        <v>839</v>
      </c>
      <c r="AK264" s="366" t="s">
        <v>1675</v>
      </c>
      <c r="AL264" s="366" t="s">
        <v>356</v>
      </c>
      <c r="AO264" s="366" t="s">
        <v>1671</v>
      </c>
      <c r="AP264" s="366" t="s">
        <v>3267</v>
      </c>
      <c r="AQ264" s="366" t="s">
        <v>356</v>
      </c>
      <c r="AS264" s="366" t="s">
        <v>820</v>
      </c>
      <c r="AU264" s="366" t="s">
        <v>817</v>
      </c>
      <c r="AY264" s="366" t="s">
        <v>356</v>
      </c>
      <c r="AZ264" s="366" t="s">
        <v>356</v>
      </c>
      <c r="BA264" s="366" t="s">
        <v>356</v>
      </c>
      <c r="BB264" s="366" t="s">
        <v>356</v>
      </c>
      <c r="BC264" s="366" t="s">
        <v>356</v>
      </c>
      <c r="BD264" s="366" t="s">
        <v>356</v>
      </c>
      <c r="BE264" s="366" t="s">
        <v>356</v>
      </c>
      <c r="BF264" s="366" t="s">
        <v>356</v>
      </c>
      <c r="BH264" s="366" t="s">
        <v>356</v>
      </c>
      <c r="BI264" s="366" t="s">
        <v>356</v>
      </c>
      <c r="BJ264" s="366" t="s">
        <v>356</v>
      </c>
      <c r="BK264" s="366" t="s">
        <v>356</v>
      </c>
      <c r="BL264" s="366" t="s">
        <v>356</v>
      </c>
      <c r="BM264" s="366" t="s">
        <v>356</v>
      </c>
      <c r="BN264" s="366" t="s">
        <v>356</v>
      </c>
      <c r="BO264" s="366" t="s">
        <v>356</v>
      </c>
      <c r="BP264" s="438"/>
      <c r="BQ264" s="438"/>
      <c r="BR264" s="438"/>
      <c r="BS264" s="438"/>
      <c r="BT264" s="438"/>
      <c r="BU264" s="438"/>
      <c r="BV264" s="438"/>
      <c r="BW264" s="438"/>
      <c r="BX264" s="366" t="s">
        <v>356</v>
      </c>
      <c r="BY264" s="366" t="s">
        <v>356</v>
      </c>
      <c r="BZ264" s="366" t="s">
        <v>356</v>
      </c>
      <c r="CA264" s="366" t="s">
        <v>356</v>
      </c>
      <c r="CB264" s="366" t="s">
        <v>356</v>
      </c>
      <c r="CC264" s="366" t="s">
        <v>356</v>
      </c>
      <c r="CD264" s="366" t="s">
        <v>356</v>
      </c>
      <c r="CE264" s="366" t="s">
        <v>356</v>
      </c>
      <c r="CF264" s="366" t="s">
        <v>356</v>
      </c>
      <c r="CG264" s="366" t="s">
        <v>356</v>
      </c>
      <c r="CH264" s="366" t="s">
        <v>356</v>
      </c>
      <c r="CI264" s="366" t="s">
        <v>356</v>
      </c>
      <c r="CJ264" s="366" t="s">
        <v>356</v>
      </c>
      <c r="CK264" s="366" t="s">
        <v>356</v>
      </c>
      <c r="CL264" s="366" t="s">
        <v>356</v>
      </c>
      <c r="CM264" s="366" t="s">
        <v>356</v>
      </c>
      <c r="CN264" s="366" t="s">
        <v>356</v>
      </c>
      <c r="CO264" s="366" t="s">
        <v>356</v>
      </c>
      <c r="CP264" s="366" t="s">
        <v>356</v>
      </c>
      <c r="CQ264" s="366" t="s">
        <v>356</v>
      </c>
      <c r="CR264" s="366" t="s">
        <v>356</v>
      </c>
      <c r="CS264" s="366" t="s">
        <v>356</v>
      </c>
      <c r="CT264" s="366" t="s">
        <v>356</v>
      </c>
      <c r="CU264" s="366" t="s">
        <v>356</v>
      </c>
      <c r="CW264" s="366" t="s">
        <v>356</v>
      </c>
      <c r="CX264" s="366" t="s">
        <v>356</v>
      </c>
      <c r="CY264" s="366" t="s">
        <v>356</v>
      </c>
      <c r="CZ264" s="366" t="s">
        <v>356</v>
      </c>
      <c r="DA264" s="366" t="s">
        <v>356</v>
      </c>
      <c r="DB264" s="366" t="s">
        <v>356</v>
      </c>
      <c r="DC264" s="366" t="s">
        <v>356</v>
      </c>
      <c r="DD264" s="366" t="s">
        <v>356</v>
      </c>
      <c r="DE264" s="438"/>
      <c r="DF264" s="438"/>
      <c r="DG264" s="438"/>
      <c r="DH264" s="438"/>
      <c r="DI264" s="438"/>
      <c r="DJ264" s="438"/>
      <c r="DK264" s="438"/>
      <c r="DL264" s="438"/>
      <c r="DM264" s="366" t="s">
        <v>356</v>
      </c>
      <c r="DN264" s="366" t="s">
        <v>356</v>
      </c>
      <c r="DO264" s="366" t="s">
        <v>356</v>
      </c>
      <c r="DP264" s="366" t="s">
        <v>356</v>
      </c>
      <c r="DQ264" s="366" t="s">
        <v>356</v>
      </c>
      <c r="DR264" s="366" t="s">
        <v>356</v>
      </c>
      <c r="DS264" s="366" t="s">
        <v>356</v>
      </c>
      <c r="DT264" s="366" t="s">
        <v>356</v>
      </c>
      <c r="DU264" s="366" t="s">
        <v>356</v>
      </c>
      <c r="DV264" s="366" t="s">
        <v>356</v>
      </c>
      <c r="DW264" s="366" t="s">
        <v>356</v>
      </c>
      <c r="DX264" s="366" t="s">
        <v>356</v>
      </c>
      <c r="DY264" s="366" t="s">
        <v>356</v>
      </c>
      <c r="DZ264" s="366" t="s">
        <v>356</v>
      </c>
      <c r="EA264" s="366" t="s">
        <v>356</v>
      </c>
      <c r="EB264" s="366" t="s">
        <v>356</v>
      </c>
      <c r="EC264" s="366" t="s">
        <v>356</v>
      </c>
      <c r="ED264" s="366" t="s">
        <v>356</v>
      </c>
      <c r="EE264" s="366" t="s">
        <v>356</v>
      </c>
      <c r="EF264" s="366" t="s">
        <v>356</v>
      </c>
      <c r="EG264" s="366" t="s">
        <v>356</v>
      </c>
      <c r="EH264" s="366" t="s">
        <v>356</v>
      </c>
      <c r="EI264" s="366" t="s">
        <v>356</v>
      </c>
      <c r="EJ264" s="366" t="s">
        <v>356</v>
      </c>
      <c r="EK264" s="366" t="s">
        <v>356</v>
      </c>
      <c r="EL264" s="366" t="s">
        <v>356</v>
      </c>
      <c r="EM264" s="366" t="s">
        <v>356</v>
      </c>
      <c r="EN264" s="366" t="s">
        <v>356</v>
      </c>
      <c r="EO264" s="366" t="s">
        <v>356</v>
      </c>
      <c r="EP264" s="366" t="s">
        <v>356</v>
      </c>
      <c r="EQ264" s="366" t="s">
        <v>356</v>
      </c>
      <c r="ER264" s="366" t="s">
        <v>356</v>
      </c>
      <c r="FA264" s="366" t="s">
        <v>356</v>
      </c>
      <c r="FB264" s="366" t="s">
        <v>356</v>
      </c>
      <c r="FC264" s="366" t="s">
        <v>356</v>
      </c>
      <c r="FD264" s="366" t="s">
        <v>356</v>
      </c>
      <c r="FE264" s="366" t="s">
        <v>356</v>
      </c>
      <c r="FF264" s="366" t="s">
        <v>356</v>
      </c>
      <c r="FG264" s="366" t="s">
        <v>356</v>
      </c>
      <c r="FH264" s="366" t="s">
        <v>356</v>
      </c>
      <c r="FI264" s="366" t="s">
        <v>356</v>
      </c>
      <c r="FJ264" s="366" t="s">
        <v>356</v>
      </c>
      <c r="FK264" s="366" t="s">
        <v>356</v>
      </c>
      <c r="FL264" s="366" t="s">
        <v>356</v>
      </c>
      <c r="FM264" s="366" t="s">
        <v>356</v>
      </c>
      <c r="FN264" s="366" t="s">
        <v>356</v>
      </c>
      <c r="FO264" s="366" t="s">
        <v>356</v>
      </c>
      <c r="FP264" s="366" t="s">
        <v>356</v>
      </c>
    </row>
    <row r="265" spans="1:172" s="366" customFormat="1">
      <c r="A265" s="366" t="s">
        <v>549</v>
      </c>
      <c r="B265" s="366" t="s">
        <v>1666</v>
      </c>
      <c r="C265" s="366" t="s">
        <v>975</v>
      </c>
      <c r="D265" s="366" t="s">
        <v>560</v>
      </c>
      <c r="E265" s="366" t="s">
        <v>828</v>
      </c>
      <c r="F265" s="366" t="s">
        <v>356</v>
      </c>
      <c r="G265" s="368">
        <v>60</v>
      </c>
      <c r="H265" s="368">
        <v>54</v>
      </c>
      <c r="I265" s="368">
        <v>53</v>
      </c>
      <c r="M265" s="368" t="s">
        <v>3117</v>
      </c>
      <c r="N265" s="368" t="s">
        <v>3111</v>
      </c>
      <c r="O265" s="368" t="s">
        <v>3118</v>
      </c>
      <c r="P265" s="368" t="s">
        <v>356</v>
      </c>
      <c r="Q265" s="368" t="s">
        <v>356</v>
      </c>
      <c r="R265" s="365" t="s">
        <v>1749</v>
      </c>
      <c r="S265" s="365" t="s">
        <v>817</v>
      </c>
      <c r="T265" s="366">
        <v>20</v>
      </c>
      <c r="U265" s="366" cm="1">
        <f t="array" ref="U265">IFERROR(INDEX('Offer Statistics'!$DA$2:$DA$450,MATCH(1,(A265='Offer Statistics'!$CL$2:$CL$450)*($A$11='Offer Statistics'!$CM$2:$CM$450),0)),"/")</f>
        <v>17</v>
      </c>
      <c r="V265" s="366" cm="1">
        <f t="array" ref="V265">IFERROR(INDEX('Offer Statistics'!$CN$2:$CN$450,MATCH(1,(A265='Offer Statistics'!$CL$2:$CL$450)*($A$11='Offer Statistics'!$CM$2:$CM$450),0)),"/")</f>
        <v>41</v>
      </c>
      <c r="W265" s="366" cm="1">
        <f t="array" ref="W265">IFERROR(INDEX('Offer Statistics'!$CV$2:$CV$450,MATCH(1,(A265='Offer Statistics'!$CL$2:$CL$450)*($A$11='Offer Statistics'!$CM$2:$CM$450),0)),"/")</f>
        <v>17</v>
      </c>
      <c r="X265" s="366">
        <f t="shared" si="774"/>
        <v>2.4117647058823528</v>
      </c>
      <c r="Y265" s="366" t="s">
        <v>1177</v>
      </c>
      <c r="Z265" s="366" t="str">
        <f>入學要求!AF274</f>
        <v>以下一科選修取得Lv.3︰生物、化學、組合科學、物理、綜合科學</v>
      </c>
      <c r="AA265" s="366" t="str">
        <f>入學要求!AG274</f>
        <v>/</v>
      </c>
      <c r="AB265" s="401" t="s">
        <v>15</v>
      </c>
      <c r="AC265" s="368"/>
      <c r="AD265" s="368"/>
      <c r="AE265" s="368" t="s">
        <v>1747</v>
      </c>
      <c r="AF265" s="368" t="s">
        <v>1703</v>
      </c>
      <c r="AG265" s="368" t="s">
        <v>1748</v>
      </c>
      <c r="AH265" s="368" t="s">
        <v>356</v>
      </c>
      <c r="AI265" s="400" t="s">
        <v>356</v>
      </c>
      <c r="AJ265" s="366" t="s">
        <v>1736</v>
      </c>
      <c r="AK265" s="366" t="s">
        <v>1717</v>
      </c>
      <c r="AL265" s="366" t="s">
        <v>1750</v>
      </c>
      <c r="AO265" s="366" t="s">
        <v>1671</v>
      </c>
      <c r="AP265" s="366" t="s">
        <v>3267</v>
      </c>
      <c r="AQ265" s="366" t="s">
        <v>356</v>
      </c>
      <c r="AS265" s="366" t="s">
        <v>820</v>
      </c>
      <c r="AU265" s="366" t="s">
        <v>817</v>
      </c>
      <c r="AY265" s="366" t="s">
        <v>356</v>
      </c>
      <c r="AZ265" s="366" t="s">
        <v>356</v>
      </c>
      <c r="BA265" s="366" t="s">
        <v>356</v>
      </c>
      <c r="BB265" s="366" t="s">
        <v>356</v>
      </c>
      <c r="BC265" s="366" t="s">
        <v>356</v>
      </c>
      <c r="BD265" s="366" t="s">
        <v>356</v>
      </c>
      <c r="BE265" s="366" t="s">
        <v>356</v>
      </c>
      <c r="BF265" s="366" t="s">
        <v>356</v>
      </c>
      <c r="BH265" s="366" t="s">
        <v>356</v>
      </c>
      <c r="BI265" s="366" t="s">
        <v>356</v>
      </c>
      <c r="BJ265" s="366" t="s">
        <v>356</v>
      </c>
      <c r="BK265" s="366" t="s">
        <v>356</v>
      </c>
      <c r="BL265" s="366" t="s">
        <v>356</v>
      </c>
      <c r="BM265" s="366" t="s">
        <v>356</v>
      </c>
      <c r="BN265" s="366" t="s">
        <v>356</v>
      </c>
      <c r="BO265" s="366" t="s">
        <v>356</v>
      </c>
      <c r="BP265" s="438"/>
      <c r="BQ265" s="438"/>
      <c r="BR265" s="438"/>
      <c r="BS265" s="438"/>
      <c r="BT265" s="438"/>
      <c r="BU265" s="438"/>
      <c r="BV265" s="438"/>
      <c r="BW265" s="438"/>
      <c r="BX265" s="366" t="s">
        <v>356</v>
      </c>
      <c r="BY265" s="366" t="s">
        <v>356</v>
      </c>
      <c r="BZ265" s="366" t="s">
        <v>356</v>
      </c>
      <c r="CA265" s="366" t="s">
        <v>356</v>
      </c>
      <c r="CB265" s="366" t="s">
        <v>356</v>
      </c>
      <c r="CC265" s="366" t="s">
        <v>356</v>
      </c>
      <c r="CD265" s="366" t="s">
        <v>356</v>
      </c>
      <c r="CE265" s="366" t="s">
        <v>356</v>
      </c>
      <c r="CF265" s="366" t="s">
        <v>356</v>
      </c>
      <c r="CG265" s="366" t="s">
        <v>356</v>
      </c>
      <c r="CH265" s="366" t="s">
        <v>356</v>
      </c>
      <c r="CI265" s="366" t="s">
        <v>356</v>
      </c>
      <c r="CJ265" s="366" t="s">
        <v>356</v>
      </c>
      <c r="CK265" s="366" t="s">
        <v>356</v>
      </c>
      <c r="CL265" s="366" t="s">
        <v>356</v>
      </c>
      <c r="CM265" s="366" t="s">
        <v>356</v>
      </c>
      <c r="CN265" s="366" t="s">
        <v>356</v>
      </c>
      <c r="CO265" s="366" t="s">
        <v>356</v>
      </c>
      <c r="CP265" s="366" t="s">
        <v>356</v>
      </c>
      <c r="CQ265" s="366" t="s">
        <v>356</v>
      </c>
      <c r="CR265" s="366" t="s">
        <v>356</v>
      </c>
      <c r="CS265" s="366" t="s">
        <v>356</v>
      </c>
      <c r="CT265" s="366" t="s">
        <v>356</v>
      </c>
      <c r="CU265" s="366" t="s">
        <v>356</v>
      </c>
      <c r="CW265" s="366" t="s">
        <v>356</v>
      </c>
      <c r="CX265" s="366" t="s">
        <v>356</v>
      </c>
      <c r="CY265" s="366" t="s">
        <v>356</v>
      </c>
      <c r="CZ265" s="366" t="s">
        <v>356</v>
      </c>
      <c r="DA265" s="366" t="s">
        <v>356</v>
      </c>
      <c r="DB265" s="366" t="s">
        <v>356</v>
      </c>
      <c r="DC265" s="366" t="s">
        <v>356</v>
      </c>
      <c r="DD265" s="366" t="s">
        <v>356</v>
      </c>
      <c r="DE265" s="438"/>
      <c r="DF265" s="438"/>
      <c r="DG265" s="438"/>
      <c r="DH265" s="438"/>
      <c r="DI265" s="438"/>
      <c r="DJ265" s="438"/>
      <c r="DK265" s="438"/>
      <c r="DL265" s="438"/>
      <c r="DM265" s="366" t="s">
        <v>356</v>
      </c>
      <c r="DN265" s="366" t="s">
        <v>356</v>
      </c>
      <c r="DO265" s="366" t="s">
        <v>356</v>
      </c>
      <c r="DP265" s="366" t="s">
        <v>356</v>
      </c>
      <c r="DQ265" s="366" t="s">
        <v>356</v>
      </c>
      <c r="DR265" s="366" t="s">
        <v>356</v>
      </c>
      <c r="DS265" s="366" t="s">
        <v>356</v>
      </c>
      <c r="DT265" s="366" t="s">
        <v>356</v>
      </c>
      <c r="DU265" s="366" t="s">
        <v>356</v>
      </c>
      <c r="DV265" s="366" t="s">
        <v>356</v>
      </c>
      <c r="DW265" s="366" t="s">
        <v>356</v>
      </c>
      <c r="DX265" s="366" t="s">
        <v>356</v>
      </c>
      <c r="DY265" s="366" t="s">
        <v>356</v>
      </c>
      <c r="DZ265" s="366" t="s">
        <v>356</v>
      </c>
      <c r="EA265" s="366" t="s">
        <v>356</v>
      </c>
      <c r="EB265" s="366" t="s">
        <v>356</v>
      </c>
      <c r="EC265" s="366" t="s">
        <v>356</v>
      </c>
      <c r="ED265" s="366" t="s">
        <v>356</v>
      </c>
      <c r="EE265" s="366" t="s">
        <v>356</v>
      </c>
      <c r="EF265" s="366" t="s">
        <v>356</v>
      </c>
      <c r="EG265" s="366" t="s">
        <v>356</v>
      </c>
      <c r="EH265" s="366" t="s">
        <v>356</v>
      </c>
      <c r="EI265" s="366" t="s">
        <v>356</v>
      </c>
      <c r="EJ265" s="366" t="s">
        <v>356</v>
      </c>
      <c r="EK265" s="366" t="s">
        <v>356</v>
      </c>
      <c r="EL265" s="366" t="s">
        <v>356</v>
      </c>
      <c r="EM265" s="366" t="s">
        <v>356</v>
      </c>
      <c r="EN265" s="366" t="s">
        <v>356</v>
      </c>
      <c r="EO265" s="366" t="s">
        <v>356</v>
      </c>
      <c r="EP265" s="366" t="s">
        <v>356</v>
      </c>
      <c r="EQ265" s="366" t="s">
        <v>356</v>
      </c>
      <c r="ER265" s="366" t="s">
        <v>356</v>
      </c>
      <c r="FA265" s="366" t="s">
        <v>356</v>
      </c>
      <c r="FB265" s="366" t="s">
        <v>356</v>
      </c>
      <c r="FC265" s="366" t="s">
        <v>356</v>
      </c>
      <c r="FD265" s="366" t="s">
        <v>356</v>
      </c>
      <c r="FE265" s="366" t="s">
        <v>356</v>
      </c>
      <c r="FF265" s="366" t="s">
        <v>356</v>
      </c>
      <c r="FG265" s="366" t="s">
        <v>356</v>
      </c>
      <c r="FH265" s="366" t="s">
        <v>356</v>
      </c>
      <c r="FI265" s="366" t="s">
        <v>356</v>
      </c>
      <c r="FJ265" s="366" t="s">
        <v>356</v>
      </c>
      <c r="FK265" s="366" t="s">
        <v>356</v>
      </c>
      <c r="FL265" s="366" t="s">
        <v>356</v>
      </c>
      <c r="FM265" s="366" t="s">
        <v>356</v>
      </c>
      <c r="FN265" s="366" t="s">
        <v>356</v>
      </c>
      <c r="FO265" s="366" t="s">
        <v>356</v>
      </c>
      <c r="FP265" s="366" t="s">
        <v>356</v>
      </c>
    </row>
    <row r="266" spans="1:172" s="365" customFormat="1">
      <c r="A266" s="365" t="s">
        <v>615</v>
      </c>
      <c r="B266" s="365" t="s">
        <v>1666</v>
      </c>
      <c r="C266" s="365" t="s">
        <v>975</v>
      </c>
      <c r="D266" s="365" t="s">
        <v>616</v>
      </c>
      <c r="E266" s="365" t="s">
        <v>889</v>
      </c>
      <c r="F266" s="365" t="s">
        <v>356</v>
      </c>
      <c r="G266" s="365">
        <v>34</v>
      </c>
      <c r="H266" s="368">
        <v>32</v>
      </c>
      <c r="I266" s="368">
        <v>29</v>
      </c>
      <c r="J266" s="368"/>
      <c r="K266" s="368"/>
      <c r="L266" s="368"/>
      <c r="M266" s="368" t="s">
        <v>3115</v>
      </c>
      <c r="N266" s="368" t="s">
        <v>3111</v>
      </c>
      <c r="O266" s="368" t="s">
        <v>1542</v>
      </c>
      <c r="P266" s="368" t="s">
        <v>3128</v>
      </c>
      <c r="Q266" s="365" t="s">
        <v>356</v>
      </c>
      <c r="R266" s="365" t="s">
        <v>1751</v>
      </c>
      <c r="S266" s="365" t="s">
        <v>817</v>
      </c>
      <c r="T266" s="365">
        <v>305</v>
      </c>
      <c r="U266" s="365" cm="1">
        <f t="array" ref="U266">IFERROR(INDEX('Offer Statistics'!$DA$2:$DA$450,MATCH(1,(A266='Offer Statistics'!$CL$2:$CL$450)*($A$11='Offer Statistics'!$CM$2:$CM$450),0)),"/")</f>
        <v>256</v>
      </c>
      <c r="V266" s="365" cm="1">
        <f t="array" ref="V266">IFERROR(INDEX('Offer Statistics'!$CN$2:$CN$450,MATCH(1,(A266='Offer Statistics'!$CL$2:$CL$450)*($A$11='Offer Statistics'!$CM$2:$CM$450),0)),"/")</f>
        <v>1172</v>
      </c>
      <c r="W266" s="365" cm="1">
        <f t="array" ref="W266">IFERROR(INDEX('Offer Statistics'!$CV$2:$CV$450,MATCH(1,(A266='Offer Statistics'!$CL$2:$CL$450)*($A$11='Offer Statistics'!$CM$2:$CM$450),0)),"/")</f>
        <v>256</v>
      </c>
      <c r="X266" s="365">
        <f t="shared" si="774"/>
        <v>4.578125</v>
      </c>
      <c r="Y266" s="365" t="s">
        <v>1177</v>
      </c>
      <c r="Z266" s="365" t="str">
        <f>入學要求!AF275</f>
        <v>以下一科選修取得Lv.3︰生物、化學、組合科學、物理、綜合科學</v>
      </c>
      <c r="AA266" s="365" t="str">
        <f>入學要求!AG275</f>
        <v>/</v>
      </c>
      <c r="AB266" s="401" t="s">
        <v>12</v>
      </c>
      <c r="AC266" s="368"/>
      <c r="AD266" s="368"/>
      <c r="AE266" s="368" t="s">
        <v>1713</v>
      </c>
      <c r="AF266" s="368" t="s">
        <v>3111</v>
      </c>
      <c r="AG266" s="368" t="s">
        <v>1542</v>
      </c>
      <c r="AH266" s="368" t="s">
        <v>3127</v>
      </c>
      <c r="AI266" s="365" t="s">
        <v>356</v>
      </c>
      <c r="AJ266" s="365" t="s">
        <v>1675</v>
      </c>
      <c r="AK266" s="365" t="s">
        <v>1752</v>
      </c>
      <c r="AO266" s="365" t="s">
        <v>1671</v>
      </c>
      <c r="AP266" s="366" t="s">
        <v>3267</v>
      </c>
      <c r="AQ266" s="365" t="s">
        <v>356</v>
      </c>
      <c r="AS266" s="365" t="s">
        <v>820</v>
      </c>
      <c r="AU266" s="365" t="s">
        <v>817</v>
      </c>
      <c r="AY266" s="365" t="s">
        <v>356</v>
      </c>
      <c r="AZ266" s="365" t="s">
        <v>356</v>
      </c>
      <c r="BA266" s="365" t="s">
        <v>356</v>
      </c>
      <c r="BB266" s="365" t="s">
        <v>356</v>
      </c>
      <c r="BC266" s="365" t="s">
        <v>356</v>
      </c>
      <c r="BD266" s="365" t="s">
        <v>356</v>
      </c>
      <c r="BE266" s="365" t="s">
        <v>356</v>
      </c>
      <c r="BF266" s="365" t="s">
        <v>356</v>
      </c>
      <c r="BH266" s="365" t="s">
        <v>356</v>
      </c>
      <c r="BI266" s="365" t="s">
        <v>356</v>
      </c>
      <c r="BJ266" s="365" t="s">
        <v>356</v>
      </c>
      <c r="BK266" s="365" t="s">
        <v>356</v>
      </c>
      <c r="BL266" s="365" t="s">
        <v>356</v>
      </c>
      <c r="BM266" s="365" t="s">
        <v>356</v>
      </c>
      <c r="BN266" s="365" t="s">
        <v>356</v>
      </c>
      <c r="BO266" s="365" t="s">
        <v>356</v>
      </c>
      <c r="BX266" s="365" t="s">
        <v>356</v>
      </c>
      <c r="BY266" s="365" t="s">
        <v>356</v>
      </c>
      <c r="BZ266" s="365" t="s">
        <v>356</v>
      </c>
      <c r="CA266" s="365" t="s">
        <v>356</v>
      </c>
      <c r="CB266" s="365" t="s">
        <v>356</v>
      </c>
      <c r="CC266" s="365" t="s">
        <v>356</v>
      </c>
      <c r="CD266" s="365" t="s">
        <v>356</v>
      </c>
      <c r="CE266" s="365" t="s">
        <v>356</v>
      </c>
      <c r="CF266" s="365" t="s">
        <v>356</v>
      </c>
      <c r="CG266" s="365" t="s">
        <v>356</v>
      </c>
      <c r="CH266" s="365" t="s">
        <v>356</v>
      </c>
      <c r="CI266" s="365" t="s">
        <v>356</v>
      </c>
      <c r="CJ266" s="365" t="s">
        <v>356</v>
      </c>
      <c r="CK266" s="365" t="s">
        <v>356</v>
      </c>
      <c r="CL266" s="365" t="s">
        <v>356</v>
      </c>
      <c r="CM266" s="365" t="s">
        <v>356</v>
      </c>
      <c r="CN266" s="365" t="s">
        <v>356</v>
      </c>
      <c r="CO266" s="365" t="s">
        <v>356</v>
      </c>
      <c r="CP266" s="365" t="s">
        <v>356</v>
      </c>
      <c r="CQ266" s="365" t="s">
        <v>356</v>
      </c>
      <c r="CR266" s="365" t="s">
        <v>356</v>
      </c>
      <c r="CS266" s="365" t="s">
        <v>356</v>
      </c>
      <c r="CT266" s="365" t="s">
        <v>356</v>
      </c>
      <c r="CU266" s="365" t="s">
        <v>356</v>
      </c>
      <c r="CW266" s="365" t="s">
        <v>356</v>
      </c>
      <c r="CX266" s="365" t="s">
        <v>356</v>
      </c>
      <c r="CY266" s="365" t="s">
        <v>356</v>
      </c>
      <c r="CZ266" s="365" t="s">
        <v>356</v>
      </c>
      <c r="DA266" s="365" t="s">
        <v>356</v>
      </c>
      <c r="DB266" s="365" t="s">
        <v>356</v>
      </c>
      <c r="DC266" s="365" t="s">
        <v>356</v>
      </c>
      <c r="DD266" s="365" t="s">
        <v>356</v>
      </c>
      <c r="DM266" s="365" t="s">
        <v>356</v>
      </c>
      <c r="DN266" s="365" t="s">
        <v>356</v>
      </c>
      <c r="DO266" s="365" t="s">
        <v>356</v>
      </c>
      <c r="DP266" s="365" t="s">
        <v>356</v>
      </c>
      <c r="DQ266" s="365" t="s">
        <v>356</v>
      </c>
      <c r="DR266" s="365" t="s">
        <v>356</v>
      </c>
      <c r="DS266" s="365" t="s">
        <v>356</v>
      </c>
      <c r="DT266" s="365" t="s">
        <v>356</v>
      </c>
      <c r="DU266" s="365" t="s">
        <v>356</v>
      </c>
      <c r="DV266" s="365" t="s">
        <v>356</v>
      </c>
      <c r="DW266" s="365" t="s">
        <v>356</v>
      </c>
      <c r="DX266" s="365" t="s">
        <v>356</v>
      </c>
      <c r="DY266" s="365" t="s">
        <v>356</v>
      </c>
      <c r="DZ266" s="365" t="s">
        <v>356</v>
      </c>
      <c r="EA266" s="365" t="s">
        <v>356</v>
      </c>
      <c r="EB266" s="365" t="s">
        <v>356</v>
      </c>
      <c r="EC266" s="365" t="s">
        <v>356</v>
      </c>
      <c r="ED266" s="365" t="s">
        <v>356</v>
      </c>
      <c r="EE266" s="365" t="s">
        <v>356</v>
      </c>
      <c r="EF266" s="365" t="s">
        <v>356</v>
      </c>
      <c r="EG266" s="365" t="s">
        <v>356</v>
      </c>
      <c r="EH266" s="365" t="s">
        <v>356</v>
      </c>
      <c r="EI266" s="365" t="s">
        <v>356</v>
      </c>
      <c r="EJ266" s="365" t="s">
        <v>356</v>
      </c>
      <c r="EK266" s="365" t="s">
        <v>356</v>
      </c>
      <c r="EL266" s="365" t="s">
        <v>356</v>
      </c>
      <c r="EM266" s="365" t="s">
        <v>356</v>
      </c>
      <c r="EN266" s="365" t="s">
        <v>356</v>
      </c>
      <c r="EO266" s="365" t="s">
        <v>356</v>
      </c>
      <c r="EP266" s="365" t="s">
        <v>356</v>
      </c>
      <c r="EQ266" s="365" t="s">
        <v>356</v>
      </c>
      <c r="ER266" s="365" t="s">
        <v>356</v>
      </c>
      <c r="FA266" s="365" t="s">
        <v>356</v>
      </c>
      <c r="FB266" s="365" t="s">
        <v>356</v>
      </c>
      <c r="FC266" s="365" t="s">
        <v>356</v>
      </c>
      <c r="FD266" s="365" t="s">
        <v>356</v>
      </c>
      <c r="FE266" s="365" t="s">
        <v>356</v>
      </c>
      <c r="FF266" s="365" t="s">
        <v>356</v>
      </c>
      <c r="FG266" s="365" t="s">
        <v>356</v>
      </c>
      <c r="FH266" s="365" t="s">
        <v>356</v>
      </c>
      <c r="FI266" s="365" t="s">
        <v>356</v>
      </c>
      <c r="FJ266" s="365" t="s">
        <v>356</v>
      </c>
      <c r="FK266" s="365" t="s">
        <v>356</v>
      </c>
      <c r="FL266" s="365" t="s">
        <v>356</v>
      </c>
      <c r="FM266" s="365" t="s">
        <v>356</v>
      </c>
      <c r="FN266" s="365" t="s">
        <v>356</v>
      </c>
      <c r="FO266" s="365" t="s">
        <v>356</v>
      </c>
      <c r="FP266" s="365" t="s">
        <v>356</v>
      </c>
    </row>
    <row r="267" spans="1:172" s="366" customFormat="1">
      <c r="A267" s="366" t="s">
        <v>1753</v>
      </c>
      <c r="B267" s="366" t="s">
        <v>1666</v>
      </c>
      <c r="C267" s="366" t="s">
        <v>1137</v>
      </c>
      <c r="D267" s="366" t="s">
        <v>1754</v>
      </c>
      <c r="E267" s="366" t="s">
        <v>889</v>
      </c>
      <c r="F267" s="366" t="s">
        <v>356</v>
      </c>
      <c r="G267" s="368">
        <v>31</v>
      </c>
      <c r="H267" s="368">
        <v>29</v>
      </c>
      <c r="I267" s="368">
        <v>28</v>
      </c>
      <c r="M267" s="368" t="s">
        <v>1668</v>
      </c>
      <c r="N267" s="368" t="s">
        <v>356</v>
      </c>
      <c r="O267" s="368" t="s">
        <v>356</v>
      </c>
      <c r="P267" s="368" t="s">
        <v>356</v>
      </c>
      <c r="Q267" s="368" t="s">
        <v>356</v>
      </c>
      <c r="R267" s="365" t="s">
        <v>1755</v>
      </c>
      <c r="S267" s="365" t="s">
        <v>817</v>
      </c>
      <c r="T267" s="366">
        <v>70</v>
      </c>
      <c r="U267" s="366" cm="1">
        <f t="array" ref="U267">IFERROR(INDEX('Offer Statistics'!$DA$2:$DA$450,MATCH(1,(A267='Offer Statistics'!$CL$2:$CL$450)*($A$11='Offer Statistics'!$CM$2:$CM$450),0)),"/")</f>
        <v>48</v>
      </c>
      <c r="V267" s="366" cm="1">
        <f t="array" ref="V267">IFERROR(INDEX('Offer Statistics'!$CN$2:$CN$450,MATCH(1,(A267='Offer Statistics'!$CL$2:$CL$450)*($A$11='Offer Statistics'!$CM$2:$CM$450),0)),"/")</f>
        <v>315</v>
      </c>
      <c r="W267" s="366" cm="1">
        <f t="array" ref="W267">IFERROR(INDEX('Offer Statistics'!$CV$2:$CV$450,MATCH(1,(A267='Offer Statistics'!$CL$2:$CL$450)*($A$11='Offer Statistics'!$CM$2:$CM$450),0)),"/")</f>
        <v>48</v>
      </c>
      <c r="X267" s="366">
        <f t="shared" si="774"/>
        <v>6.5625</v>
      </c>
      <c r="Y267" s="366" t="s">
        <v>1177</v>
      </c>
      <c r="Z267" s="366" t="str">
        <f>入學要求!AF276</f>
        <v>/</v>
      </c>
      <c r="AA267" s="366" t="str">
        <f>入學要求!AG276</f>
        <v>/</v>
      </c>
      <c r="AB267" s="368" t="s">
        <v>889</v>
      </c>
      <c r="AC267" s="368"/>
      <c r="AD267" s="368"/>
      <c r="AE267" s="368" t="s">
        <v>1668</v>
      </c>
      <c r="AF267" s="368" t="s">
        <v>356</v>
      </c>
      <c r="AG267" s="368" t="s">
        <v>356</v>
      </c>
      <c r="AH267" s="368" t="s">
        <v>356</v>
      </c>
      <c r="AI267" s="400" t="s">
        <v>356</v>
      </c>
      <c r="AJ267" s="366" t="s">
        <v>1717</v>
      </c>
      <c r="AK267" s="366" t="s">
        <v>356</v>
      </c>
      <c r="AL267" s="366" t="s">
        <v>356</v>
      </c>
      <c r="AO267" s="366" t="s">
        <v>1671</v>
      </c>
      <c r="AP267" s="366" t="s">
        <v>3267</v>
      </c>
      <c r="AQ267" s="366" t="s">
        <v>356</v>
      </c>
      <c r="AS267" s="366" t="s">
        <v>820</v>
      </c>
      <c r="AU267" s="366" t="s">
        <v>817</v>
      </c>
      <c r="AY267" s="366" t="s">
        <v>356</v>
      </c>
      <c r="AZ267" s="366" t="s">
        <v>356</v>
      </c>
      <c r="BA267" s="366" t="s">
        <v>356</v>
      </c>
      <c r="BB267" s="366" t="s">
        <v>356</v>
      </c>
      <c r="BC267" s="366" t="s">
        <v>356</v>
      </c>
      <c r="BD267" s="366" t="s">
        <v>356</v>
      </c>
      <c r="BE267" s="366" t="s">
        <v>356</v>
      </c>
      <c r="BF267" s="366" t="s">
        <v>356</v>
      </c>
      <c r="BH267" s="366" t="s">
        <v>356</v>
      </c>
      <c r="BI267" s="366" t="s">
        <v>356</v>
      </c>
      <c r="BJ267" s="366" t="s">
        <v>356</v>
      </c>
      <c r="BK267" s="366" t="s">
        <v>356</v>
      </c>
      <c r="BL267" s="366" t="s">
        <v>356</v>
      </c>
      <c r="BM267" s="366" t="s">
        <v>356</v>
      </c>
      <c r="BN267" s="366" t="s">
        <v>356</v>
      </c>
      <c r="BO267" s="366" t="s">
        <v>356</v>
      </c>
      <c r="BP267" s="438"/>
      <c r="BQ267" s="438"/>
      <c r="BR267" s="438"/>
      <c r="BS267" s="438"/>
      <c r="BT267" s="438"/>
      <c r="BU267" s="438"/>
      <c r="BV267" s="438"/>
      <c r="BW267" s="438"/>
      <c r="BX267" s="366" t="s">
        <v>356</v>
      </c>
      <c r="BY267" s="366" t="s">
        <v>356</v>
      </c>
      <c r="BZ267" s="366" t="s">
        <v>356</v>
      </c>
      <c r="CA267" s="366" t="s">
        <v>356</v>
      </c>
      <c r="CB267" s="366" t="s">
        <v>356</v>
      </c>
      <c r="CC267" s="366" t="s">
        <v>356</v>
      </c>
      <c r="CD267" s="366" t="s">
        <v>356</v>
      </c>
      <c r="CE267" s="366" t="s">
        <v>356</v>
      </c>
      <c r="CF267" s="366" t="s">
        <v>356</v>
      </c>
      <c r="CG267" s="366" t="s">
        <v>356</v>
      </c>
      <c r="CH267" s="366" t="s">
        <v>356</v>
      </c>
      <c r="CI267" s="366" t="s">
        <v>356</v>
      </c>
      <c r="CJ267" s="366" t="s">
        <v>356</v>
      </c>
      <c r="CK267" s="366" t="s">
        <v>356</v>
      </c>
      <c r="CL267" s="366" t="s">
        <v>356</v>
      </c>
      <c r="CM267" s="366" t="s">
        <v>356</v>
      </c>
      <c r="CN267" s="366" t="s">
        <v>356</v>
      </c>
      <c r="CO267" s="366" t="s">
        <v>356</v>
      </c>
      <c r="CP267" s="366" t="s">
        <v>356</v>
      </c>
      <c r="CQ267" s="366" t="s">
        <v>356</v>
      </c>
      <c r="CR267" s="366" t="s">
        <v>356</v>
      </c>
      <c r="CS267" s="366" t="s">
        <v>356</v>
      </c>
      <c r="CT267" s="366" t="s">
        <v>356</v>
      </c>
      <c r="CU267" s="366" t="s">
        <v>356</v>
      </c>
      <c r="CW267" s="366" t="s">
        <v>356</v>
      </c>
      <c r="CX267" s="366" t="s">
        <v>356</v>
      </c>
      <c r="CY267" s="366" t="s">
        <v>356</v>
      </c>
      <c r="CZ267" s="366" t="s">
        <v>356</v>
      </c>
      <c r="DA267" s="366" t="s">
        <v>356</v>
      </c>
      <c r="DB267" s="366" t="s">
        <v>356</v>
      </c>
      <c r="DC267" s="366" t="s">
        <v>356</v>
      </c>
      <c r="DD267" s="366" t="s">
        <v>356</v>
      </c>
      <c r="DE267" s="438"/>
      <c r="DF267" s="438"/>
      <c r="DG267" s="438"/>
      <c r="DH267" s="438"/>
      <c r="DI267" s="438"/>
      <c r="DJ267" s="438"/>
      <c r="DK267" s="438"/>
      <c r="DL267" s="438"/>
      <c r="DM267" s="366" t="s">
        <v>356</v>
      </c>
      <c r="DN267" s="366" t="s">
        <v>356</v>
      </c>
      <c r="DO267" s="366" t="s">
        <v>356</v>
      </c>
      <c r="DP267" s="366" t="s">
        <v>356</v>
      </c>
      <c r="DQ267" s="366" t="s">
        <v>356</v>
      </c>
      <c r="DR267" s="366" t="s">
        <v>356</v>
      </c>
      <c r="DS267" s="366" t="s">
        <v>356</v>
      </c>
      <c r="DT267" s="366" t="s">
        <v>356</v>
      </c>
      <c r="DU267" s="366" t="s">
        <v>356</v>
      </c>
      <c r="DV267" s="366" t="s">
        <v>356</v>
      </c>
      <c r="DW267" s="366" t="s">
        <v>356</v>
      </c>
      <c r="DX267" s="366" t="s">
        <v>356</v>
      </c>
      <c r="DY267" s="366" t="s">
        <v>356</v>
      </c>
      <c r="DZ267" s="366" t="s">
        <v>356</v>
      </c>
      <c r="EA267" s="366" t="s">
        <v>356</v>
      </c>
      <c r="EB267" s="366" t="s">
        <v>356</v>
      </c>
      <c r="EC267" s="366" t="s">
        <v>356</v>
      </c>
      <c r="ED267" s="366" t="s">
        <v>356</v>
      </c>
      <c r="EE267" s="366" t="s">
        <v>356</v>
      </c>
      <c r="EF267" s="366" t="s">
        <v>356</v>
      </c>
      <c r="EG267" s="366" t="s">
        <v>356</v>
      </c>
      <c r="EH267" s="366" t="s">
        <v>356</v>
      </c>
      <c r="EI267" s="366" t="s">
        <v>356</v>
      </c>
      <c r="EJ267" s="366" t="s">
        <v>356</v>
      </c>
      <c r="EK267" s="366" t="s">
        <v>356</v>
      </c>
      <c r="EL267" s="366" t="s">
        <v>356</v>
      </c>
      <c r="EM267" s="366" t="s">
        <v>356</v>
      </c>
      <c r="EN267" s="366" t="s">
        <v>356</v>
      </c>
      <c r="EO267" s="366" t="s">
        <v>356</v>
      </c>
      <c r="EP267" s="366" t="s">
        <v>356</v>
      </c>
      <c r="EQ267" s="366" t="s">
        <v>356</v>
      </c>
      <c r="ER267" s="366" t="s">
        <v>356</v>
      </c>
      <c r="FA267" s="366" t="s">
        <v>356</v>
      </c>
      <c r="FB267" s="366" t="s">
        <v>356</v>
      </c>
      <c r="FC267" s="366" t="s">
        <v>356</v>
      </c>
      <c r="FD267" s="366" t="s">
        <v>356</v>
      </c>
      <c r="FE267" s="366" t="s">
        <v>356</v>
      </c>
      <c r="FF267" s="366" t="s">
        <v>356</v>
      </c>
      <c r="FG267" s="366" t="s">
        <v>356</v>
      </c>
      <c r="FH267" s="366" t="s">
        <v>356</v>
      </c>
      <c r="FI267" s="366" t="s">
        <v>356</v>
      </c>
      <c r="FJ267" s="366" t="s">
        <v>356</v>
      </c>
      <c r="FK267" s="366" t="s">
        <v>356</v>
      </c>
      <c r="FL267" s="366" t="s">
        <v>356</v>
      </c>
      <c r="FM267" s="366" t="s">
        <v>356</v>
      </c>
      <c r="FN267" s="366" t="s">
        <v>356</v>
      </c>
      <c r="FO267" s="366" t="s">
        <v>356</v>
      </c>
      <c r="FP267" s="366" t="s">
        <v>356</v>
      </c>
    </row>
    <row r="268" spans="1:172" s="366" customFormat="1">
      <c r="A268" s="366" t="s">
        <v>617</v>
      </c>
      <c r="B268" s="366" t="s">
        <v>1666</v>
      </c>
      <c r="C268" s="366" t="s">
        <v>1137</v>
      </c>
      <c r="D268" s="366" t="s">
        <v>618</v>
      </c>
      <c r="E268" s="366" t="s">
        <v>889</v>
      </c>
      <c r="F268" s="366" t="s">
        <v>356</v>
      </c>
      <c r="G268" s="368">
        <v>28</v>
      </c>
      <c r="H268" s="368">
        <v>26</v>
      </c>
      <c r="I268" s="368">
        <v>25</v>
      </c>
      <c r="M268" s="368" t="s">
        <v>1668</v>
      </c>
      <c r="N268" s="368" t="s">
        <v>356</v>
      </c>
      <c r="O268" s="368" t="s">
        <v>356</v>
      </c>
      <c r="P268" s="368" t="s">
        <v>356</v>
      </c>
      <c r="Q268" s="368" t="s">
        <v>356</v>
      </c>
      <c r="R268" s="365" t="s">
        <v>1756</v>
      </c>
      <c r="S268" s="365" t="s">
        <v>817</v>
      </c>
      <c r="T268" s="366">
        <v>114</v>
      </c>
      <c r="U268" s="366" cm="1">
        <f t="array" ref="U268">IFERROR(INDEX('Offer Statistics'!$DA$2:$DA$450,MATCH(1,(A268='Offer Statistics'!$CL$2:$CL$450)*($A$11='Offer Statistics'!$CM$2:$CM$450),0)),"/")</f>
        <v>76</v>
      </c>
      <c r="V268" s="366" cm="1">
        <f t="array" ref="V268">IFERROR(INDEX('Offer Statistics'!$CN$2:$CN$450,MATCH(1,(A268='Offer Statistics'!$CL$2:$CL$450)*($A$11='Offer Statistics'!$CM$2:$CM$450),0)),"/")</f>
        <v>378</v>
      </c>
      <c r="W268" s="366" cm="1">
        <f t="array" ref="W268">IFERROR(INDEX('Offer Statistics'!$CV$2:$CV$450,MATCH(1,(A268='Offer Statistics'!$CL$2:$CL$450)*($A$11='Offer Statistics'!$CM$2:$CM$450),0)),"/")</f>
        <v>76</v>
      </c>
      <c r="X268" s="366">
        <f t="shared" si="774"/>
        <v>4.9736842105263159</v>
      </c>
      <c r="Y268" s="366" t="s">
        <v>1177</v>
      </c>
      <c r="Z268" s="366" t="str">
        <f>入學要求!AF277</f>
        <v>/</v>
      </c>
      <c r="AA268" s="366" t="str">
        <f>入學要求!AG277</f>
        <v>/</v>
      </c>
      <c r="AB268" s="368" t="s">
        <v>889</v>
      </c>
      <c r="AC268" s="368"/>
      <c r="AD268" s="368"/>
      <c r="AE268" s="368" t="s">
        <v>1668</v>
      </c>
      <c r="AF268" s="368" t="s">
        <v>356</v>
      </c>
      <c r="AG268" s="368" t="s">
        <v>356</v>
      </c>
      <c r="AH268" s="368" t="s">
        <v>356</v>
      </c>
      <c r="AI268" s="400" t="s">
        <v>356</v>
      </c>
      <c r="AJ268" s="366" t="s">
        <v>1717</v>
      </c>
      <c r="AK268" s="366" t="s">
        <v>356</v>
      </c>
      <c r="AL268" s="366" t="s">
        <v>356</v>
      </c>
      <c r="AO268" s="366" t="s">
        <v>1671</v>
      </c>
      <c r="AP268" s="366" t="s">
        <v>3267</v>
      </c>
      <c r="AQ268" s="366" t="s">
        <v>356</v>
      </c>
      <c r="AS268" s="366" t="s">
        <v>820</v>
      </c>
      <c r="AU268" s="366" t="s">
        <v>817</v>
      </c>
      <c r="AY268" s="366" t="s">
        <v>356</v>
      </c>
      <c r="AZ268" s="366" t="s">
        <v>356</v>
      </c>
      <c r="BA268" s="366" t="s">
        <v>356</v>
      </c>
      <c r="BB268" s="366" t="s">
        <v>356</v>
      </c>
      <c r="BC268" s="366" t="s">
        <v>356</v>
      </c>
      <c r="BD268" s="366" t="s">
        <v>356</v>
      </c>
      <c r="BE268" s="366" t="s">
        <v>356</v>
      </c>
      <c r="BF268" s="366" t="s">
        <v>356</v>
      </c>
      <c r="BH268" s="366" t="s">
        <v>356</v>
      </c>
      <c r="BI268" s="366" t="s">
        <v>356</v>
      </c>
      <c r="BJ268" s="366" t="s">
        <v>356</v>
      </c>
      <c r="BK268" s="366" t="s">
        <v>356</v>
      </c>
      <c r="BL268" s="366" t="s">
        <v>356</v>
      </c>
      <c r="BM268" s="366" t="s">
        <v>356</v>
      </c>
      <c r="BN268" s="366" t="s">
        <v>356</v>
      </c>
      <c r="BO268" s="366" t="s">
        <v>356</v>
      </c>
      <c r="BP268" s="438"/>
      <c r="BQ268" s="438"/>
      <c r="BR268" s="438"/>
      <c r="BS268" s="438"/>
      <c r="BT268" s="438"/>
      <c r="BU268" s="438"/>
      <c r="BV268" s="438"/>
      <c r="BW268" s="438"/>
      <c r="BX268" s="366" t="s">
        <v>356</v>
      </c>
      <c r="BY268" s="366" t="s">
        <v>356</v>
      </c>
      <c r="BZ268" s="366" t="s">
        <v>356</v>
      </c>
      <c r="CA268" s="366" t="s">
        <v>356</v>
      </c>
      <c r="CB268" s="366" t="s">
        <v>356</v>
      </c>
      <c r="CC268" s="366" t="s">
        <v>356</v>
      </c>
      <c r="CD268" s="366" t="s">
        <v>356</v>
      </c>
      <c r="CE268" s="366" t="s">
        <v>356</v>
      </c>
      <c r="CF268" s="366" t="s">
        <v>356</v>
      </c>
      <c r="CG268" s="366" t="s">
        <v>356</v>
      </c>
      <c r="CH268" s="366" t="s">
        <v>356</v>
      </c>
      <c r="CI268" s="366" t="s">
        <v>356</v>
      </c>
      <c r="CJ268" s="366" t="s">
        <v>356</v>
      </c>
      <c r="CK268" s="366" t="s">
        <v>356</v>
      </c>
      <c r="CL268" s="366" t="s">
        <v>356</v>
      </c>
      <c r="CM268" s="366" t="s">
        <v>356</v>
      </c>
      <c r="CN268" s="366" t="s">
        <v>356</v>
      </c>
      <c r="CO268" s="366" t="s">
        <v>356</v>
      </c>
      <c r="CP268" s="366" t="s">
        <v>356</v>
      </c>
      <c r="CQ268" s="366" t="s">
        <v>356</v>
      </c>
      <c r="CR268" s="366" t="s">
        <v>356</v>
      </c>
      <c r="CS268" s="366" t="s">
        <v>356</v>
      </c>
      <c r="CT268" s="366" t="s">
        <v>356</v>
      </c>
      <c r="CU268" s="366" t="s">
        <v>356</v>
      </c>
      <c r="CW268" s="366" t="s">
        <v>356</v>
      </c>
      <c r="CX268" s="366" t="s">
        <v>356</v>
      </c>
      <c r="CY268" s="366" t="s">
        <v>356</v>
      </c>
      <c r="CZ268" s="366" t="s">
        <v>356</v>
      </c>
      <c r="DA268" s="366" t="s">
        <v>356</v>
      </c>
      <c r="DB268" s="366" t="s">
        <v>356</v>
      </c>
      <c r="DC268" s="366" t="s">
        <v>356</v>
      </c>
      <c r="DD268" s="366" t="s">
        <v>356</v>
      </c>
      <c r="DE268" s="438"/>
      <c r="DF268" s="438"/>
      <c r="DG268" s="438"/>
      <c r="DH268" s="438"/>
      <c r="DI268" s="438"/>
      <c r="DJ268" s="438"/>
      <c r="DK268" s="438"/>
      <c r="DL268" s="438"/>
      <c r="DM268" s="366" t="s">
        <v>356</v>
      </c>
      <c r="DN268" s="366" t="s">
        <v>356</v>
      </c>
      <c r="DO268" s="366" t="s">
        <v>356</v>
      </c>
      <c r="DP268" s="366" t="s">
        <v>356</v>
      </c>
      <c r="DQ268" s="366" t="s">
        <v>356</v>
      </c>
      <c r="DR268" s="366" t="s">
        <v>356</v>
      </c>
      <c r="DS268" s="366" t="s">
        <v>356</v>
      </c>
      <c r="DT268" s="366" t="s">
        <v>356</v>
      </c>
      <c r="DU268" s="366" t="s">
        <v>356</v>
      </c>
      <c r="DV268" s="366" t="s">
        <v>356</v>
      </c>
      <c r="DW268" s="366" t="s">
        <v>356</v>
      </c>
      <c r="DX268" s="366" t="s">
        <v>356</v>
      </c>
      <c r="DY268" s="366" t="s">
        <v>356</v>
      </c>
      <c r="DZ268" s="366" t="s">
        <v>356</v>
      </c>
      <c r="EA268" s="366" t="s">
        <v>356</v>
      </c>
      <c r="EB268" s="366" t="s">
        <v>356</v>
      </c>
      <c r="EC268" s="366" t="s">
        <v>356</v>
      </c>
      <c r="ED268" s="366" t="s">
        <v>356</v>
      </c>
      <c r="EE268" s="366" t="s">
        <v>356</v>
      </c>
      <c r="EF268" s="366" t="s">
        <v>356</v>
      </c>
      <c r="EG268" s="366" t="s">
        <v>356</v>
      </c>
      <c r="EH268" s="366" t="s">
        <v>356</v>
      </c>
      <c r="EI268" s="366" t="s">
        <v>356</v>
      </c>
      <c r="EJ268" s="366" t="s">
        <v>356</v>
      </c>
      <c r="EK268" s="366" t="s">
        <v>356</v>
      </c>
      <c r="EL268" s="366" t="s">
        <v>356</v>
      </c>
      <c r="EM268" s="366" t="s">
        <v>356</v>
      </c>
      <c r="EN268" s="366" t="s">
        <v>356</v>
      </c>
      <c r="EO268" s="366" t="s">
        <v>356</v>
      </c>
      <c r="EP268" s="366" t="s">
        <v>356</v>
      </c>
      <c r="EQ268" s="366" t="s">
        <v>356</v>
      </c>
      <c r="ER268" s="366" t="s">
        <v>356</v>
      </c>
      <c r="FA268" s="366" t="s">
        <v>356</v>
      </c>
      <c r="FB268" s="366" t="s">
        <v>356</v>
      </c>
      <c r="FC268" s="366" t="s">
        <v>356</v>
      </c>
      <c r="FD268" s="366" t="s">
        <v>356</v>
      </c>
      <c r="FE268" s="366" t="s">
        <v>356</v>
      </c>
      <c r="FF268" s="366" t="s">
        <v>356</v>
      </c>
      <c r="FG268" s="366" t="s">
        <v>356</v>
      </c>
      <c r="FH268" s="366" t="s">
        <v>356</v>
      </c>
      <c r="FI268" s="366" t="s">
        <v>356</v>
      </c>
      <c r="FJ268" s="366" t="s">
        <v>356</v>
      </c>
      <c r="FK268" s="366" t="s">
        <v>356</v>
      </c>
      <c r="FL268" s="366" t="s">
        <v>356</v>
      </c>
      <c r="FM268" s="366" t="s">
        <v>356</v>
      </c>
      <c r="FN268" s="366" t="s">
        <v>356</v>
      </c>
      <c r="FO268" s="366" t="s">
        <v>356</v>
      </c>
      <c r="FP268" s="366" t="s">
        <v>356</v>
      </c>
    </row>
    <row r="269" spans="1:172" s="366" customFormat="1">
      <c r="A269" s="366" t="s">
        <v>619</v>
      </c>
      <c r="B269" s="366" t="s">
        <v>1666</v>
      </c>
      <c r="C269" s="366" t="s">
        <v>1137</v>
      </c>
      <c r="D269" s="366" t="s">
        <v>620</v>
      </c>
      <c r="E269" s="366" t="s">
        <v>889</v>
      </c>
      <c r="F269" s="366" t="s">
        <v>356</v>
      </c>
      <c r="G269" s="368">
        <v>28</v>
      </c>
      <c r="H269" s="368">
        <v>28</v>
      </c>
      <c r="I269" s="368">
        <v>26</v>
      </c>
      <c r="M269" s="368" t="s">
        <v>1668</v>
      </c>
      <c r="N269" s="368" t="s">
        <v>356</v>
      </c>
      <c r="O269" s="368" t="s">
        <v>356</v>
      </c>
      <c r="P269" s="368" t="s">
        <v>356</v>
      </c>
      <c r="Q269" s="368" t="s">
        <v>356</v>
      </c>
      <c r="R269" s="365" t="s">
        <v>1147</v>
      </c>
      <c r="S269" s="365" t="s">
        <v>817</v>
      </c>
      <c r="T269" s="366">
        <v>30</v>
      </c>
      <c r="U269" s="366" cm="1">
        <f t="array" ref="U269">IFERROR(INDEX('Offer Statistics'!$DA$2:$DA$450,MATCH(1,(A269='Offer Statistics'!$CL$2:$CL$450)*($A$11='Offer Statistics'!$CM$2:$CM$450),0)),"/")</f>
        <v>25</v>
      </c>
      <c r="V269" s="366" cm="1">
        <f t="array" ref="V269">IFERROR(INDEX('Offer Statistics'!$CN$2:$CN$450,MATCH(1,(A269='Offer Statistics'!$CL$2:$CL$450)*($A$11='Offer Statistics'!$CM$2:$CM$450),0)),"/")</f>
        <v>211</v>
      </c>
      <c r="W269" s="366" cm="1">
        <f t="array" ref="W269">IFERROR(INDEX('Offer Statistics'!$CV$2:$CV$450,MATCH(1,(A269='Offer Statistics'!$CL$2:$CL$450)*($A$11='Offer Statistics'!$CM$2:$CM$450),0)),"/")</f>
        <v>25</v>
      </c>
      <c r="X269" s="366">
        <f t="shared" si="774"/>
        <v>8.44</v>
      </c>
      <c r="Y269" s="366" t="s">
        <v>1177</v>
      </c>
      <c r="Z269" s="366" t="str">
        <f>入學要求!AF278</f>
        <v>/</v>
      </c>
      <c r="AA269" s="366" t="str">
        <f>入學要求!AG278</f>
        <v>/</v>
      </c>
      <c r="AB269" s="368" t="s">
        <v>889</v>
      </c>
      <c r="AC269" s="368"/>
      <c r="AD269" s="368"/>
      <c r="AE269" s="368" t="s">
        <v>1668</v>
      </c>
      <c r="AF269" s="368" t="s">
        <v>356</v>
      </c>
      <c r="AG269" s="368" t="s">
        <v>356</v>
      </c>
      <c r="AH269" s="368" t="s">
        <v>356</v>
      </c>
      <c r="AI269" s="400" t="s">
        <v>356</v>
      </c>
      <c r="AJ269" s="366" t="s">
        <v>1736</v>
      </c>
      <c r="AK269" s="366" t="s">
        <v>1717</v>
      </c>
      <c r="AL269" s="366" t="s">
        <v>356</v>
      </c>
      <c r="AO269" s="366" t="s">
        <v>1671</v>
      </c>
      <c r="AP269" s="366" t="s">
        <v>3267</v>
      </c>
      <c r="AQ269" s="366" t="s">
        <v>356</v>
      </c>
      <c r="AS269" s="366" t="s">
        <v>820</v>
      </c>
      <c r="AU269" s="366" t="s">
        <v>817</v>
      </c>
      <c r="AY269" s="366" t="s">
        <v>356</v>
      </c>
      <c r="AZ269" s="366" t="s">
        <v>356</v>
      </c>
      <c r="BA269" s="366" t="s">
        <v>356</v>
      </c>
      <c r="BB269" s="366" t="s">
        <v>356</v>
      </c>
      <c r="BC269" s="366" t="s">
        <v>356</v>
      </c>
      <c r="BD269" s="366" t="s">
        <v>356</v>
      </c>
      <c r="BE269" s="366" t="s">
        <v>356</v>
      </c>
      <c r="BF269" s="366" t="s">
        <v>356</v>
      </c>
      <c r="BH269" s="366" t="s">
        <v>356</v>
      </c>
      <c r="BI269" s="366" t="s">
        <v>356</v>
      </c>
      <c r="BJ269" s="366" t="s">
        <v>356</v>
      </c>
      <c r="BK269" s="366" t="s">
        <v>356</v>
      </c>
      <c r="BL269" s="366" t="s">
        <v>356</v>
      </c>
      <c r="BM269" s="366" t="s">
        <v>356</v>
      </c>
      <c r="BN269" s="366" t="s">
        <v>356</v>
      </c>
      <c r="BO269" s="366" t="s">
        <v>356</v>
      </c>
      <c r="BP269" s="438"/>
      <c r="BQ269" s="438"/>
      <c r="BR269" s="438"/>
      <c r="BS269" s="438"/>
      <c r="BT269" s="438"/>
      <c r="BU269" s="438"/>
      <c r="BV269" s="438"/>
      <c r="BW269" s="438"/>
      <c r="BX269" s="366" t="s">
        <v>356</v>
      </c>
      <c r="BY269" s="366" t="s">
        <v>356</v>
      </c>
      <c r="BZ269" s="366" t="s">
        <v>356</v>
      </c>
      <c r="CA269" s="366" t="s">
        <v>356</v>
      </c>
      <c r="CB269" s="366" t="s">
        <v>356</v>
      </c>
      <c r="CC269" s="366" t="s">
        <v>356</v>
      </c>
      <c r="CD269" s="366" t="s">
        <v>356</v>
      </c>
      <c r="CE269" s="366" t="s">
        <v>356</v>
      </c>
      <c r="CF269" s="366" t="s">
        <v>356</v>
      </c>
      <c r="CG269" s="366" t="s">
        <v>356</v>
      </c>
      <c r="CH269" s="366" t="s">
        <v>356</v>
      </c>
      <c r="CI269" s="366" t="s">
        <v>356</v>
      </c>
      <c r="CJ269" s="366" t="s">
        <v>356</v>
      </c>
      <c r="CK269" s="366" t="s">
        <v>356</v>
      </c>
      <c r="CL269" s="366" t="s">
        <v>356</v>
      </c>
      <c r="CM269" s="366" t="s">
        <v>356</v>
      </c>
      <c r="CN269" s="366" t="s">
        <v>356</v>
      </c>
      <c r="CO269" s="366" t="s">
        <v>356</v>
      </c>
      <c r="CP269" s="366" t="s">
        <v>356</v>
      </c>
      <c r="CQ269" s="366" t="s">
        <v>356</v>
      </c>
      <c r="CR269" s="366" t="s">
        <v>356</v>
      </c>
      <c r="CS269" s="366" t="s">
        <v>356</v>
      </c>
      <c r="CT269" s="366" t="s">
        <v>356</v>
      </c>
      <c r="CU269" s="366" t="s">
        <v>356</v>
      </c>
      <c r="CW269" s="366" t="s">
        <v>356</v>
      </c>
      <c r="CX269" s="366" t="s">
        <v>356</v>
      </c>
      <c r="CY269" s="366" t="s">
        <v>356</v>
      </c>
      <c r="CZ269" s="366" t="s">
        <v>356</v>
      </c>
      <c r="DA269" s="366" t="s">
        <v>356</v>
      </c>
      <c r="DB269" s="366" t="s">
        <v>356</v>
      </c>
      <c r="DC269" s="366" t="s">
        <v>356</v>
      </c>
      <c r="DD269" s="366" t="s">
        <v>356</v>
      </c>
      <c r="DE269" s="438"/>
      <c r="DF269" s="438"/>
      <c r="DG269" s="438"/>
      <c r="DH269" s="438"/>
      <c r="DI269" s="438"/>
      <c r="DJ269" s="438"/>
      <c r="DK269" s="438"/>
      <c r="DL269" s="438"/>
      <c r="DM269" s="366" t="s">
        <v>356</v>
      </c>
      <c r="DN269" s="366" t="s">
        <v>356</v>
      </c>
      <c r="DO269" s="366" t="s">
        <v>356</v>
      </c>
      <c r="DP269" s="366" t="s">
        <v>356</v>
      </c>
      <c r="DQ269" s="366" t="s">
        <v>356</v>
      </c>
      <c r="DR269" s="366" t="s">
        <v>356</v>
      </c>
      <c r="DS269" s="366" t="s">
        <v>356</v>
      </c>
      <c r="DT269" s="366" t="s">
        <v>356</v>
      </c>
      <c r="DU269" s="366" t="s">
        <v>356</v>
      </c>
      <c r="DV269" s="366" t="s">
        <v>356</v>
      </c>
      <c r="DW269" s="366" t="s">
        <v>356</v>
      </c>
      <c r="DX269" s="366" t="s">
        <v>356</v>
      </c>
      <c r="DY269" s="366" t="s">
        <v>356</v>
      </c>
      <c r="DZ269" s="366" t="s">
        <v>356</v>
      </c>
      <c r="EA269" s="366" t="s">
        <v>356</v>
      </c>
      <c r="EB269" s="366" t="s">
        <v>356</v>
      </c>
      <c r="EC269" s="366" t="s">
        <v>356</v>
      </c>
      <c r="ED269" s="366" t="s">
        <v>356</v>
      </c>
      <c r="EE269" s="366" t="s">
        <v>356</v>
      </c>
      <c r="EF269" s="366" t="s">
        <v>356</v>
      </c>
      <c r="EG269" s="366" t="s">
        <v>356</v>
      </c>
      <c r="EH269" s="366" t="s">
        <v>356</v>
      </c>
      <c r="EI269" s="366" t="s">
        <v>356</v>
      </c>
      <c r="EJ269" s="366" t="s">
        <v>356</v>
      </c>
      <c r="EK269" s="366" t="s">
        <v>356</v>
      </c>
      <c r="EL269" s="366" t="s">
        <v>356</v>
      </c>
      <c r="EM269" s="366" t="s">
        <v>356</v>
      </c>
      <c r="EN269" s="366" t="s">
        <v>356</v>
      </c>
      <c r="EO269" s="366" t="s">
        <v>356</v>
      </c>
      <c r="EP269" s="366" t="s">
        <v>356</v>
      </c>
      <c r="EQ269" s="366" t="s">
        <v>356</v>
      </c>
      <c r="ER269" s="366" t="s">
        <v>356</v>
      </c>
      <c r="FA269" s="366" t="s">
        <v>356</v>
      </c>
      <c r="FB269" s="366" t="s">
        <v>356</v>
      </c>
      <c r="FC269" s="366" t="s">
        <v>356</v>
      </c>
      <c r="FD269" s="366" t="s">
        <v>356</v>
      </c>
      <c r="FE269" s="366" t="s">
        <v>356</v>
      </c>
      <c r="FF269" s="366" t="s">
        <v>356</v>
      </c>
      <c r="FG269" s="366" t="s">
        <v>356</v>
      </c>
      <c r="FH269" s="366" t="s">
        <v>356</v>
      </c>
      <c r="FI269" s="366" t="s">
        <v>356</v>
      </c>
      <c r="FJ269" s="366" t="s">
        <v>356</v>
      </c>
      <c r="FK269" s="366" t="s">
        <v>356</v>
      </c>
      <c r="FL269" s="366" t="s">
        <v>356</v>
      </c>
      <c r="FM269" s="366" t="s">
        <v>356</v>
      </c>
      <c r="FN269" s="366" t="s">
        <v>356</v>
      </c>
      <c r="FO269" s="366" t="s">
        <v>356</v>
      </c>
      <c r="FP269" s="366" t="s">
        <v>356</v>
      </c>
    </row>
    <row r="270" spans="1:172" s="406" customFormat="1">
      <c r="A270" s="406" t="s">
        <v>621</v>
      </c>
      <c r="B270" s="406" t="s">
        <v>1666</v>
      </c>
      <c r="C270" s="406" t="s">
        <v>1137</v>
      </c>
      <c r="D270" s="406" t="s">
        <v>622</v>
      </c>
      <c r="E270" s="406" t="s">
        <v>828</v>
      </c>
      <c r="F270" s="406" t="s">
        <v>356</v>
      </c>
      <c r="G270" s="406">
        <v>41</v>
      </c>
      <c r="H270" s="406">
        <v>38</v>
      </c>
      <c r="I270" s="406">
        <v>38</v>
      </c>
      <c r="M270" s="406" t="s">
        <v>356</v>
      </c>
      <c r="N270" s="406" t="s">
        <v>356</v>
      </c>
      <c r="O270" s="406" t="s">
        <v>356</v>
      </c>
      <c r="P270" s="406" t="s">
        <v>356</v>
      </c>
      <c r="Q270" s="406" t="s">
        <v>356</v>
      </c>
      <c r="R270" s="406" t="s">
        <v>1757</v>
      </c>
      <c r="S270" s="406" t="s">
        <v>817</v>
      </c>
      <c r="T270" s="406">
        <v>50</v>
      </c>
      <c r="U270" s="406" cm="1">
        <f t="array" ref="U270">IFERROR(INDEX('Offer Statistics'!$DA$2:$DA$450,MATCH(1,(A270='Offer Statistics'!$CL$2:$CL$450)*($A$11='Offer Statistics'!$CM$2:$CM$450),0)),"/")</f>
        <v>39</v>
      </c>
      <c r="V270" s="406" cm="1">
        <f t="array" ref="V270">IFERROR(INDEX('Offer Statistics'!$CN$2:$CN$450,MATCH(1,(A270='Offer Statistics'!$CL$2:$CL$450)*($A$11='Offer Statistics'!$CM$2:$CM$450),0)),"/")</f>
        <v>77</v>
      </c>
      <c r="W270" s="406" cm="1">
        <f t="array" ref="W270">IFERROR(INDEX('Offer Statistics'!$CV$2:$CV$450,MATCH(1,(A270='Offer Statistics'!$CL$2:$CL$450)*($A$11='Offer Statistics'!$CM$2:$CM$450),0)),"/")</f>
        <v>39</v>
      </c>
      <c r="X270" s="406">
        <f t="shared" si="774"/>
        <v>1.9743589743589745</v>
      </c>
      <c r="Y270" s="406" t="s">
        <v>1177</v>
      </c>
      <c r="Z270" s="406" t="str">
        <f>入學要求!AF279</f>
        <v>/</v>
      </c>
      <c r="AA270" s="406" t="str">
        <f>入學要求!AG279</f>
        <v>/</v>
      </c>
      <c r="AB270" s="407" t="s">
        <v>828</v>
      </c>
      <c r="AC270" s="407" t="s">
        <v>3123</v>
      </c>
      <c r="AD270" s="406" t="s">
        <v>3129</v>
      </c>
      <c r="AE270" s="406" t="s">
        <v>356</v>
      </c>
      <c r="AF270" s="406" t="s">
        <v>356</v>
      </c>
      <c r="AG270" s="406" t="s">
        <v>356</v>
      </c>
      <c r="AH270" s="406" t="s">
        <v>356</v>
      </c>
      <c r="AI270" s="406" t="s">
        <v>356</v>
      </c>
      <c r="AJ270" s="406" t="s">
        <v>1717</v>
      </c>
      <c r="AK270" s="406" t="s">
        <v>356</v>
      </c>
      <c r="AL270" s="406" t="s">
        <v>356</v>
      </c>
      <c r="AO270" s="406" t="s">
        <v>1671</v>
      </c>
      <c r="AP270" s="366" t="s">
        <v>3267</v>
      </c>
      <c r="AQ270" s="406" t="s">
        <v>356</v>
      </c>
      <c r="AS270" s="406" t="s">
        <v>820</v>
      </c>
      <c r="AU270" s="406" t="s">
        <v>817</v>
      </c>
      <c r="AY270" s="406" t="s">
        <v>356</v>
      </c>
      <c r="AZ270" s="406" t="s">
        <v>356</v>
      </c>
      <c r="BA270" s="406" t="s">
        <v>356</v>
      </c>
      <c r="BB270" s="406" t="s">
        <v>356</v>
      </c>
      <c r="BC270" s="406" t="s">
        <v>356</v>
      </c>
      <c r="BD270" s="406" t="s">
        <v>356</v>
      </c>
      <c r="BE270" s="406" t="s">
        <v>356</v>
      </c>
      <c r="BF270" s="406" t="s">
        <v>356</v>
      </c>
      <c r="BH270" s="406" t="s">
        <v>356</v>
      </c>
      <c r="BI270" s="406" t="s">
        <v>356</v>
      </c>
      <c r="BJ270" s="406" t="s">
        <v>356</v>
      </c>
      <c r="BK270" s="406" t="s">
        <v>356</v>
      </c>
      <c r="BL270" s="406" t="s">
        <v>356</v>
      </c>
      <c r="BM270" s="406" t="s">
        <v>356</v>
      </c>
      <c r="BN270" s="406" t="s">
        <v>356</v>
      </c>
      <c r="BO270" s="406" t="s">
        <v>356</v>
      </c>
      <c r="BX270" s="406" t="s">
        <v>356</v>
      </c>
      <c r="BY270" s="406" t="s">
        <v>356</v>
      </c>
      <c r="BZ270" s="406" t="s">
        <v>356</v>
      </c>
      <c r="CA270" s="406" t="s">
        <v>356</v>
      </c>
      <c r="CB270" s="406" t="s">
        <v>356</v>
      </c>
      <c r="CC270" s="406" t="s">
        <v>356</v>
      </c>
      <c r="CD270" s="406" t="s">
        <v>356</v>
      </c>
      <c r="CE270" s="406" t="s">
        <v>356</v>
      </c>
      <c r="CF270" s="406" t="s">
        <v>356</v>
      </c>
      <c r="CG270" s="406" t="s">
        <v>356</v>
      </c>
      <c r="CH270" s="406" t="s">
        <v>356</v>
      </c>
      <c r="CI270" s="406" t="s">
        <v>356</v>
      </c>
      <c r="CJ270" s="406" t="s">
        <v>356</v>
      </c>
      <c r="CK270" s="406" t="s">
        <v>356</v>
      </c>
      <c r="CL270" s="406" t="s">
        <v>356</v>
      </c>
      <c r="CM270" s="406" t="s">
        <v>356</v>
      </c>
      <c r="CN270" s="406" t="s">
        <v>356</v>
      </c>
      <c r="CO270" s="406" t="s">
        <v>356</v>
      </c>
      <c r="CP270" s="406" t="s">
        <v>356</v>
      </c>
      <c r="CQ270" s="406" t="s">
        <v>356</v>
      </c>
      <c r="CR270" s="406" t="s">
        <v>356</v>
      </c>
      <c r="CS270" s="406" t="s">
        <v>356</v>
      </c>
      <c r="CT270" s="406" t="s">
        <v>356</v>
      </c>
      <c r="CU270" s="406" t="s">
        <v>356</v>
      </c>
      <c r="CW270" s="406" t="s">
        <v>356</v>
      </c>
      <c r="CX270" s="406" t="s">
        <v>356</v>
      </c>
      <c r="CY270" s="406" t="s">
        <v>356</v>
      </c>
      <c r="CZ270" s="406" t="s">
        <v>356</v>
      </c>
      <c r="DA270" s="406" t="s">
        <v>356</v>
      </c>
      <c r="DB270" s="406" t="s">
        <v>356</v>
      </c>
      <c r="DC270" s="406" t="s">
        <v>356</v>
      </c>
      <c r="DD270" s="406" t="s">
        <v>356</v>
      </c>
      <c r="DM270" s="406" t="s">
        <v>356</v>
      </c>
      <c r="DN270" s="406" t="s">
        <v>356</v>
      </c>
      <c r="DO270" s="406" t="s">
        <v>356</v>
      </c>
      <c r="DP270" s="406" t="s">
        <v>356</v>
      </c>
      <c r="DQ270" s="406" t="s">
        <v>356</v>
      </c>
      <c r="DR270" s="406" t="s">
        <v>356</v>
      </c>
      <c r="DS270" s="406" t="s">
        <v>356</v>
      </c>
      <c r="DT270" s="406" t="s">
        <v>356</v>
      </c>
      <c r="DU270" s="406" t="s">
        <v>356</v>
      </c>
      <c r="DV270" s="406" t="s">
        <v>356</v>
      </c>
      <c r="DW270" s="406" t="s">
        <v>356</v>
      </c>
      <c r="DX270" s="406" t="s">
        <v>356</v>
      </c>
      <c r="DY270" s="406" t="s">
        <v>356</v>
      </c>
      <c r="DZ270" s="406" t="s">
        <v>356</v>
      </c>
      <c r="EA270" s="406" t="s">
        <v>356</v>
      </c>
      <c r="EB270" s="406" t="s">
        <v>356</v>
      </c>
      <c r="EC270" s="406" t="s">
        <v>356</v>
      </c>
      <c r="ED270" s="406" t="s">
        <v>356</v>
      </c>
      <c r="EE270" s="406" t="s">
        <v>356</v>
      </c>
      <c r="EF270" s="406" t="s">
        <v>356</v>
      </c>
      <c r="EG270" s="406" t="s">
        <v>356</v>
      </c>
      <c r="EH270" s="406" t="s">
        <v>356</v>
      </c>
      <c r="EI270" s="406" t="s">
        <v>356</v>
      </c>
      <c r="EJ270" s="406" t="s">
        <v>356</v>
      </c>
      <c r="EK270" s="406" t="s">
        <v>356</v>
      </c>
      <c r="EL270" s="406" t="s">
        <v>356</v>
      </c>
      <c r="EM270" s="406" t="s">
        <v>356</v>
      </c>
      <c r="EN270" s="406" t="s">
        <v>356</v>
      </c>
      <c r="EO270" s="406" t="s">
        <v>356</v>
      </c>
      <c r="EP270" s="406" t="s">
        <v>356</v>
      </c>
      <c r="EQ270" s="406" t="s">
        <v>356</v>
      </c>
      <c r="ER270" s="406" t="s">
        <v>356</v>
      </c>
      <c r="FA270" s="406" t="s">
        <v>356</v>
      </c>
      <c r="FB270" s="406" t="s">
        <v>356</v>
      </c>
      <c r="FC270" s="406" t="s">
        <v>356</v>
      </c>
      <c r="FD270" s="406" t="s">
        <v>356</v>
      </c>
      <c r="FE270" s="406" t="s">
        <v>356</v>
      </c>
      <c r="FF270" s="406" t="s">
        <v>356</v>
      </c>
      <c r="FG270" s="406" t="s">
        <v>356</v>
      </c>
      <c r="FH270" s="406" t="s">
        <v>356</v>
      </c>
      <c r="FI270" s="406" t="s">
        <v>356</v>
      </c>
      <c r="FJ270" s="406" t="s">
        <v>356</v>
      </c>
      <c r="FK270" s="406" t="s">
        <v>356</v>
      </c>
      <c r="FL270" s="406" t="s">
        <v>356</v>
      </c>
      <c r="FM270" s="406" t="s">
        <v>356</v>
      </c>
      <c r="FN270" s="406" t="s">
        <v>356</v>
      </c>
      <c r="FO270" s="406" t="s">
        <v>356</v>
      </c>
      <c r="FP270" s="406" t="s">
        <v>356</v>
      </c>
    </row>
    <row r="271" spans="1:172" s="366" customFormat="1">
      <c r="A271" s="366" t="s">
        <v>623</v>
      </c>
      <c r="B271" s="366" t="s">
        <v>1666</v>
      </c>
      <c r="C271" s="366" t="s">
        <v>1137</v>
      </c>
      <c r="D271" s="366" t="s">
        <v>624</v>
      </c>
      <c r="E271" s="366" t="s">
        <v>889</v>
      </c>
      <c r="F271" s="366" t="s">
        <v>356</v>
      </c>
      <c r="G271" s="368">
        <v>26</v>
      </c>
      <c r="H271" s="368">
        <v>25</v>
      </c>
      <c r="I271" s="368">
        <v>24</v>
      </c>
      <c r="M271" s="368" t="s">
        <v>1668</v>
      </c>
      <c r="N271" s="368" t="s">
        <v>356</v>
      </c>
      <c r="O271" s="368" t="s">
        <v>356</v>
      </c>
      <c r="P271" s="368" t="s">
        <v>356</v>
      </c>
      <c r="Q271" s="368" t="s">
        <v>356</v>
      </c>
      <c r="R271" s="365" t="s">
        <v>1758</v>
      </c>
      <c r="S271" s="365" t="s">
        <v>817</v>
      </c>
      <c r="T271" s="366">
        <v>19</v>
      </c>
      <c r="U271" s="366" cm="1">
        <f t="array" ref="U271">IFERROR(INDEX('Offer Statistics'!$DA$2:$DA$450,MATCH(1,(A271='Offer Statistics'!$CL$2:$CL$450)*($A$11='Offer Statistics'!$CM$2:$CM$450),0)),"/")</f>
        <v>12</v>
      </c>
      <c r="V271" s="366" cm="1">
        <f t="array" ref="V271">IFERROR(INDEX('Offer Statistics'!$CN$2:$CN$450,MATCH(1,(A271='Offer Statistics'!$CL$2:$CL$450)*($A$11='Offer Statistics'!$CM$2:$CM$450),0)),"/")</f>
        <v>85</v>
      </c>
      <c r="W271" s="366" cm="1">
        <f t="array" ref="W271">IFERROR(INDEX('Offer Statistics'!$CV$2:$CV$450,MATCH(1,(A271='Offer Statistics'!$CL$2:$CL$450)*($A$11='Offer Statistics'!$CM$2:$CM$450),0)),"/")</f>
        <v>12</v>
      </c>
      <c r="X271" s="366">
        <f t="shared" si="774"/>
        <v>7.083333333333333</v>
      </c>
      <c r="Y271" s="366" t="s">
        <v>1177</v>
      </c>
      <c r="Z271" s="366" t="str">
        <f>入學要求!AF280</f>
        <v>/</v>
      </c>
      <c r="AA271" s="366" t="str">
        <f>入學要求!AG280</f>
        <v>/</v>
      </c>
      <c r="AB271" s="368" t="s">
        <v>889</v>
      </c>
      <c r="AC271" s="368"/>
      <c r="AD271" s="368"/>
      <c r="AE271" s="368" t="s">
        <v>1668</v>
      </c>
      <c r="AF271" s="368" t="s">
        <v>356</v>
      </c>
      <c r="AG271" s="368" t="s">
        <v>356</v>
      </c>
      <c r="AH271" s="368" t="s">
        <v>356</v>
      </c>
      <c r="AI271" s="400" t="s">
        <v>356</v>
      </c>
      <c r="AJ271" s="366" t="s">
        <v>1736</v>
      </c>
      <c r="AK271" s="366" t="s">
        <v>1750</v>
      </c>
      <c r="AL271" s="366" t="s">
        <v>356</v>
      </c>
      <c r="AO271" s="366" t="s">
        <v>1671</v>
      </c>
      <c r="AP271" s="366" t="s">
        <v>3267</v>
      </c>
      <c r="AQ271" s="366" t="s">
        <v>356</v>
      </c>
      <c r="AS271" s="366" t="s">
        <v>820</v>
      </c>
      <c r="AU271" s="366" t="s">
        <v>817</v>
      </c>
      <c r="AY271" s="366" t="s">
        <v>356</v>
      </c>
      <c r="AZ271" s="366" t="s">
        <v>356</v>
      </c>
      <c r="BA271" s="366" t="s">
        <v>356</v>
      </c>
      <c r="BB271" s="366" t="s">
        <v>356</v>
      </c>
      <c r="BC271" s="366" t="s">
        <v>356</v>
      </c>
      <c r="BD271" s="366" t="s">
        <v>356</v>
      </c>
      <c r="BE271" s="366" t="s">
        <v>356</v>
      </c>
      <c r="BF271" s="366" t="s">
        <v>356</v>
      </c>
      <c r="BH271" s="366" t="s">
        <v>356</v>
      </c>
      <c r="BI271" s="366" t="s">
        <v>356</v>
      </c>
      <c r="BJ271" s="366" t="s">
        <v>356</v>
      </c>
      <c r="BK271" s="366" t="s">
        <v>356</v>
      </c>
      <c r="BL271" s="366" t="s">
        <v>356</v>
      </c>
      <c r="BM271" s="366" t="s">
        <v>356</v>
      </c>
      <c r="BN271" s="366" t="s">
        <v>356</v>
      </c>
      <c r="BO271" s="366" t="s">
        <v>356</v>
      </c>
      <c r="BP271" s="438"/>
      <c r="BQ271" s="438"/>
      <c r="BR271" s="438"/>
      <c r="BS271" s="438"/>
      <c r="BT271" s="438"/>
      <c r="BU271" s="438"/>
      <c r="BV271" s="438"/>
      <c r="BW271" s="438"/>
      <c r="BX271" s="366" t="s">
        <v>356</v>
      </c>
      <c r="BY271" s="366" t="s">
        <v>356</v>
      </c>
      <c r="BZ271" s="366" t="s">
        <v>356</v>
      </c>
      <c r="CA271" s="366" t="s">
        <v>356</v>
      </c>
      <c r="CB271" s="366" t="s">
        <v>356</v>
      </c>
      <c r="CC271" s="366" t="s">
        <v>356</v>
      </c>
      <c r="CD271" s="366" t="s">
        <v>356</v>
      </c>
      <c r="CE271" s="366" t="s">
        <v>356</v>
      </c>
      <c r="CF271" s="366" t="s">
        <v>356</v>
      </c>
      <c r="CG271" s="366" t="s">
        <v>356</v>
      </c>
      <c r="CH271" s="366" t="s">
        <v>356</v>
      </c>
      <c r="CI271" s="366" t="s">
        <v>356</v>
      </c>
      <c r="CJ271" s="366" t="s">
        <v>356</v>
      </c>
      <c r="CK271" s="366" t="s">
        <v>356</v>
      </c>
      <c r="CL271" s="366" t="s">
        <v>356</v>
      </c>
      <c r="CM271" s="366" t="s">
        <v>356</v>
      </c>
      <c r="CN271" s="366" t="s">
        <v>356</v>
      </c>
      <c r="CO271" s="366" t="s">
        <v>356</v>
      </c>
      <c r="CP271" s="366" t="s">
        <v>356</v>
      </c>
      <c r="CQ271" s="366" t="s">
        <v>356</v>
      </c>
      <c r="CR271" s="366" t="s">
        <v>356</v>
      </c>
      <c r="CS271" s="366" t="s">
        <v>356</v>
      </c>
      <c r="CT271" s="366" t="s">
        <v>356</v>
      </c>
      <c r="CU271" s="366" t="s">
        <v>356</v>
      </c>
      <c r="CW271" s="366" t="s">
        <v>356</v>
      </c>
      <c r="CX271" s="366" t="s">
        <v>356</v>
      </c>
      <c r="CY271" s="366" t="s">
        <v>356</v>
      </c>
      <c r="CZ271" s="366" t="s">
        <v>356</v>
      </c>
      <c r="DA271" s="366" t="s">
        <v>356</v>
      </c>
      <c r="DB271" s="366" t="s">
        <v>356</v>
      </c>
      <c r="DC271" s="366" t="s">
        <v>356</v>
      </c>
      <c r="DD271" s="366" t="s">
        <v>356</v>
      </c>
      <c r="DE271" s="438"/>
      <c r="DF271" s="438"/>
      <c r="DG271" s="438"/>
      <c r="DH271" s="438"/>
      <c r="DI271" s="438"/>
      <c r="DJ271" s="438"/>
      <c r="DK271" s="438"/>
      <c r="DL271" s="438"/>
      <c r="DM271" s="366" t="s">
        <v>356</v>
      </c>
      <c r="DN271" s="366" t="s">
        <v>356</v>
      </c>
      <c r="DO271" s="366" t="s">
        <v>356</v>
      </c>
      <c r="DP271" s="366" t="s">
        <v>356</v>
      </c>
      <c r="DQ271" s="366" t="s">
        <v>356</v>
      </c>
      <c r="DR271" s="366" t="s">
        <v>356</v>
      </c>
      <c r="DS271" s="366" t="s">
        <v>356</v>
      </c>
      <c r="DT271" s="366" t="s">
        <v>356</v>
      </c>
      <c r="DU271" s="366" t="s">
        <v>356</v>
      </c>
      <c r="DV271" s="366" t="s">
        <v>356</v>
      </c>
      <c r="DW271" s="366" t="s">
        <v>356</v>
      </c>
      <c r="DX271" s="366" t="s">
        <v>356</v>
      </c>
      <c r="DY271" s="366" t="s">
        <v>356</v>
      </c>
      <c r="DZ271" s="366" t="s">
        <v>356</v>
      </c>
      <c r="EA271" s="366" t="s">
        <v>356</v>
      </c>
      <c r="EB271" s="366" t="s">
        <v>356</v>
      </c>
      <c r="EC271" s="366" t="s">
        <v>356</v>
      </c>
      <c r="ED271" s="366" t="s">
        <v>356</v>
      </c>
      <c r="EE271" s="366" t="s">
        <v>356</v>
      </c>
      <c r="EF271" s="366" t="s">
        <v>356</v>
      </c>
      <c r="EG271" s="366" t="s">
        <v>356</v>
      </c>
      <c r="EH271" s="366" t="s">
        <v>356</v>
      </c>
      <c r="EI271" s="366" t="s">
        <v>356</v>
      </c>
      <c r="EJ271" s="366" t="s">
        <v>356</v>
      </c>
      <c r="EK271" s="366" t="s">
        <v>356</v>
      </c>
      <c r="EL271" s="366" t="s">
        <v>356</v>
      </c>
      <c r="EM271" s="366" t="s">
        <v>356</v>
      </c>
      <c r="EN271" s="366" t="s">
        <v>356</v>
      </c>
      <c r="EO271" s="366" t="s">
        <v>356</v>
      </c>
      <c r="EP271" s="366" t="s">
        <v>356</v>
      </c>
      <c r="EQ271" s="366" t="s">
        <v>356</v>
      </c>
      <c r="ER271" s="366" t="s">
        <v>356</v>
      </c>
      <c r="FA271" s="366" t="s">
        <v>356</v>
      </c>
      <c r="FB271" s="366" t="s">
        <v>356</v>
      </c>
      <c r="FC271" s="366" t="s">
        <v>356</v>
      </c>
      <c r="FD271" s="366" t="s">
        <v>356</v>
      </c>
      <c r="FE271" s="366" t="s">
        <v>356</v>
      </c>
      <c r="FF271" s="366" t="s">
        <v>356</v>
      </c>
      <c r="FG271" s="366" t="s">
        <v>356</v>
      </c>
      <c r="FH271" s="366" t="s">
        <v>356</v>
      </c>
      <c r="FI271" s="366" t="s">
        <v>356</v>
      </c>
      <c r="FJ271" s="366" t="s">
        <v>356</v>
      </c>
      <c r="FK271" s="366" t="s">
        <v>356</v>
      </c>
      <c r="FL271" s="366" t="s">
        <v>356</v>
      </c>
      <c r="FM271" s="366" t="s">
        <v>356</v>
      </c>
      <c r="FN271" s="366" t="s">
        <v>356</v>
      </c>
      <c r="FO271" s="366" t="s">
        <v>356</v>
      </c>
      <c r="FP271" s="366" t="s">
        <v>356</v>
      </c>
    </row>
    <row r="272" spans="1:172" s="366" customFormat="1">
      <c r="A272" s="366" t="s">
        <v>626</v>
      </c>
      <c r="B272" s="366" t="s">
        <v>1666</v>
      </c>
      <c r="C272" s="366" t="s">
        <v>1759</v>
      </c>
      <c r="D272" s="366" t="s">
        <v>627</v>
      </c>
      <c r="E272" s="366" t="s">
        <v>889</v>
      </c>
      <c r="F272" s="366" t="s">
        <v>356</v>
      </c>
      <c r="G272" s="368">
        <v>32</v>
      </c>
      <c r="H272" s="368">
        <v>32</v>
      </c>
      <c r="I272" s="368">
        <v>30</v>
      </c>
      <c r="M272" s="368" t="s">
        <v>1668</v>
      </c>
      <c r="N272" s="368" t="s">
        <v>356</v>
      </c>
      <c r="O272" s="368" t="s">
        <v>838</v>
      </c>
      <c r="P272" s="368" t="s">
        <v>356</v>
      </c>
      <c r="Q272" s="368" t="s">
        <v>356</v>
      </c>
      <c r="R272" s="365" t="s">
        <v>1760</v>
      </c>
      <c r="S272" s="365" t="s">
        <v>817</v>
      </c>
      <c r="T272" s="366">
        <v>24</v>
      </c>
      <c r="U272" s="366" cm="1">
        <f t="array" ref="U272">IFERROR(INDEX('Offer Statistics'!$DA$2:$DA$450,MATCH(1,(A272='Offer Statistics'!$CL$2:$CL$450)*($A$11='Offer Statistics'!$CM$2:$CM$450),0)),"/")</f>
        <v>5</v>
      </c>
      <c r="V272" s="366" cm="1">
        <f t="array" ref="V272">IFERROR(INDEX('Offer Statistics'!$CN$2:$CN$450,MATCH(1,(A272='Offer Statistics'!$CL$2:$CL$450)*($A$11='Offer Statistics'!$CM$2:$CM$450),0)),"/")</f>
        <v>25</v>
      </c>
      <c r="W272" s="366" cm="1">
        <f t="array" ref="W272">IFERROR(INDEX('Offer Statistics'!$CV$2:$CV$450,MATCH(1,(A272='Offer Statistics'!$CL$2:$CL$450)*($A$11='Offer Statistics'!$CM$2:$CM$450),0)),"/")</f>
        <v>5</v>
      </c>
      <c r="X272" s="366">
        <f t="shared" si="774"/>
        <v>5</v>
      </c>
      <c r="Y272" s="366" t="s">
        <v>1177</v>
      </c>
      <c r="Z272" s="366" t="str">
        <f>入學要求!AF281</f>
        <v>英文科考獲 Lv.4 及 其他科目考獲優異成績的考生，將會按個別情況考慮。</v>
      </c>
      <c r="AA272" s="366" t="str">
        <f>入學要求!AG281</f>
        <v>優先考慮 M1/2 考獲Lv. 3 或以上 者</v>
      </c>
      <c r="AB272" s="368" t="s">
        <v>889</v>
      </c>
      <c r="AC272" s="368"/>
      <c r="AD272" s="368"/>
      <c r="AE272" s="368" t="s">
        <v>1668</v>
      </c>
      <c r="AF272" s="368" t="s">
        <v>356</v>
      </c>
      <c r="AG272" s="368" t="s">
        <v>838</v>
      </c>
      <c r="AH272" s="368" t="s">
        <v>356</v>
      </c>
      <c r="AI272" s="368" t="s">
        <v>356</v>
      </c>
      <c r="AJ272" s="366" t="s">
        <v>1736</v>
      </c>
      <c r="AK272" s="366" t="s">
        <v>1717</v>
      </c>
      <c r="AL272" s="366" t="s">
        <v>356</v>
      </c>
      <c r="AO272" s="366" t="s">
        <v>1671</v>
      </c>
      <c r="AP272" s="366" t="s">
        <v>3267</v>
      </c>
      <c r="AQ272" s="366" t="s">
        <v>356</v>
      </c>
      <c r="AS272" s="366" t="s">
        <v>820</v>
      </c>
      <c r="AU272" s="366" t="s">
        <v>817</v>
      </c>
      <c r="AY272" s="366" t="s">
        <v>356</v>
      </c>
      <c r="AZ272" s="366" t="s">
        <v>356</v>
      </c>
      <c r="BA272" s="366" t="s">
        <v>356</v>
      </c>
      <c r="BB272" s="366" t="s">
        <v>356</v>
      </c>
      <c r="BC272" s="366" t="s">
        <v>356</v>
      </c>
      <c r="BD272" s="366" t="s">
        <v>356</v>
      </c>
      <c r="BE272" s="366" t="s">
        <v>356</v>
      </c>
      <c r="BF272" s="366" t="s">
        <v>356</v>
      </c>
      <c r="BH272" s="366" t="s">
        <v>356</v>
      </c>
      <c r="BI272" s="366" t="s">
        <v>356</v>
      </c>
      <c r="BJ272" s="366" t="s">
        <v>356</v>
      </c>
      <c r="BK272" s="366" t="s">
        <v>356</v>
      </c>
      <c r="BL272" s="366" t="s">
        <v>356</v>
      </c>
      <c r="BM272" s="366" t="s">
        <v>356</v>
      </c>
      <c r="BN272" s="366" t="s">
        <v>356</v>
      </c>
      <c r="BO272" s="366" t="s">
        <v>356</v>
      </c>
      <c r="BP272" s="438"/>
      <c r="BQ272" s="438"/>
      <c r="BR272" s="438"/>
      <c r="BS272" s="438"/>
      <c r="BT272" s="438"/>
      <c r="BU272" s="438"/>
      <c r="BV272" s="438"/>
      <c r="BW272" s="438"/>
      <c r="BX272" s="366" t="s">
        <v>356</v>
      </c>
      <c r="BY272" s="366" t="s">
        <v>356</v>
      </c>
      <c r="BZ272" s="366" t="s">
        <v>356</v>
      </c>
      <c r="CA272" s="366" t="s">
        <v>356</v>
      </c>
      <c r="CB272" s="366" t="s">
        <v>356</v>
      </c>
      <c r="CC272" s="366" t="s">
        <v>356</v>
      </c>
      <c r="CD272" s="366" t="s">
        <v>356</v>
      </c>
      <c r="CE272" s="366" t="s">
        <v>356</v>
      </c>
      <c r="CF272" s="366" t="s">
        <v>356</v>
      </c>
      <c r="CG272" s="366" t="s">
        <v>356</v>
      </c>
      <c r="CH272" s="366" t="s">
        <v>356</v>
      </c>
      <c r="CI272" s="366" t="s">
        <v>356</v>
      </c>
      <c r="CJ272" s="366" t="s">
        <v>356</v>
      </c>
      <c r="CK272" s="366" t="s">
        <v>356</v>
      </c>
      <c r="CL272" s="366" t="s">
        <v>356</v>
      </c>
      <c r="CM272" s="366" t="s">
        <v>356</v>
      </c>
      <c r="CN272" s="366" t="s">
        <v>356</v>
      </c>
      <c r="CO272" s="366" t="s">
        <v>356</v>
      </c>
      <c r="CP272" s="366" t="s">
        <v>356</v>
      </c>
      <c r="CQ272" s="366" t="s">
        <v>356</v>
      </c>
      <c r="CR272" s="366" t="s">
        <v>356</v>
      </c>
      <c r="CS272" s="366" t="s">
        <v>356</v>
      </c>
      <c r="CT272" s="366" t="s">
        <v>356</v>
      </c>
      <c r="CU272" s="366" t="s">
        <v>356</v>
      </c>
      <c r="CW272" s="366" t="s">
        <v>356</v>
      </c>
      <c r="CX272" s="366" t="s">
        <v>356</v>
      </c>
      <c r="CY272" s="366" t="s">
        <v>356</v>
      </c>
      <c r="CZ272" s="366" t="s">
        <v>356</v>
      </c>
      <c r="DA272" s="366" t="s">
        <v>356</v>
      </c>
      <c r="DB272" s="366" t="s">
        <v>356</v>
      </c>
      <c r="DC272" s="366" t="s">
        <v>356</v>
      </c>
      <c r="DD272" s="366" t="s">
        <v>356</v>
      </c>
      <c r="DE272" s="438"/>
      <c r="DF272" s="438"/>
      <c r="DG272" s="438"/>
      <c r="DH272" s="438"/>
      <c r="DI272" s="438"/>
      <c r="DJ272" s="438"/>
      <c r="DK272" s="438"/>
      <c r="DL272" s="438"/>
      <c r="DM272" s="366" t="s">
        <v>356</v>
      </c>
      <c r="DN272" s="366" t="s">
        <v>356</v>
      </c>
      <c r="DO272" s="366" t="s">
        <v>356</v>
      </c>
      <c r="DP272" s="366" t="s">
        <v>356</v>
      </c>
      <c r="DQ272" s="366" t="s">
        <v>356</v>
      </c>
      <c r="DR272" s="366" t="s">
        <v>356</v>
      </c>
      <c r="DS272" s="366" t="s">
        <v>356</v>
      </c>
      <c r="DT272" s="366" t="s">
        <v>356</v>
      </c>
      <c r="DU272" s="366" t="s">
        <v>356</v>
      </c>
      <c r="DV272" s="366" t="s">
        <v>356</v>
      </c>
      <c r="DW272" s="366" t="s">
        <v>356</v>
      </c>
      <c r="DX272" s="366" t="s">
        <v>356</v>
      </c>
      <c r="DY272" s="366" t="s">
        <v>356</v>
      </c>
      <c r="DZ272" s="366" t="s">
        <v>356</v>
      </c>
      <c r="EA272" s="366" t="s">
        <v>356</v>
      </c>
      <c r="EB272" s="366" t="s">
        <v>356</v>
      </c>
      <c r="EC272" s="366" t="s">
        <v>356</v>
      </c>
      <c r="ED272" s="366" t="s">
        <v>356</v>
      </c>
      <c r="EE272" s="366" t="s">
        <v>356</v>
      </c>
      <c r="EF272" s="366" t="s">
        <v>356</v>
      </c>
      <c r="EG272" s="366" t="s">
        <v>356</v>
      </c>
      <c r="EH272" s="366" t="s">
        <v>356</v>
      </c>
      <c r="EI272" s="366" t="s">
        <v>356</v>
      </c>
      <c r="EJ272" s="366" t="s">
        <v>356</v>
      </c>
      <c r="EK272" s="366" t="s">
        <v>356</v>
      </c>
      <c r="EL272" s="366" t="s">
        <v>356</v>
      </c>
      <c r="EM272" s="366" t="s">
        <v>356</v>
      </c>
      <c r="EN272" s="366" t="s">
        <v>356</v>
      </c>
      <c r="EO272" s="366" t="s">
        <v>356</v>
      </c>
      <c r="EP272" s="366" t="s">
        <v>356</v>
      </c>
      <c r="EQ272" s="366" t="s">
        <v>356</v>
      </c>
      <c r="ER272" s="366" t="s">
        <v>356</v>
      </c>
      <c r="FA272" s="366" t="s">
        <v>356</v>
      </c>
      <c r="FB272" s="366" t="s">
        <v>356</v>
      </c>
      <c r="FC272" s="366" t="s">
        <v>356</v>
      </c>
      <c r="FD272" s="366" t="s">
        <v>356</v>
      </c>
      <c r="FE272" s="366" t="s">
        <v>356</v>
      </c>
      <c r="FF272" s="366" t="s">
        <v>356</v>
      </c>
      <c r="FG272" s="366" t="s">
        <v>356</v>
      </c>
      <c r="FH272" s="366" t="s">
        <v>356</v>
      </c>
      <c r="FI272" s="366" t="s">
        <v>356</v>
      </c>
      <c r="FJ272" s="366" t="s">
        <v>356</v>
      </c>
      <c r="FK272" s="366" t="s">
        <v>356</v>
      </c>
      <c r="FL272" s="366" t="s">
        <v>356</v>
      </c>
      <c r="FM272" s="366" t="s">
        <v>356</v>
      </c>
      <c r="FN272" s="366" t="s">
        <v>356</v>
      </c>
      <c r="FO272" s="366" t="s">
        <v>356</v>
      </c>
      <c r="FP272" s="366" t="s">
        <v>356</v>
      </c>
    </row>
    <row r="273" spans="1:172" s="366" customFormat="1">
      <c r="A273" s="366" t="s">
        <v>628</v>
      </c>
      <c r="B273" s="366" t="s">
        <v>1666</v>
      </c>
      <c r="C273" s="366" t="s">
        <v>1759</v>
      </c>
      <c r="D273" s="366" t="s">
        <v>629</v>
      </c>
      <c r="E273" s="366" t="s">
        <v>889</v>
      </c>
      <c r="F273" s="366" t="s">
        <v>356</v>
      </c>
      <c r="G273" s="368">
        <v>57</v>
      </c>
      <c r="H273" s="368">
        <v>53</v>
      </c>
      <c r="I273" s="368">
        <v>50</v>
      </c>
      <c r="M273" s="368" t="s">
        <v>1744</v>
      </c>
      <c r="N273" s="368" t="s">
        <v>356</v>
      </c>
      <c r="O273" s="368" t="s">
        <v>1762</v>
      </c>
      <c r="P273" s="368" t="s">
        <v>3119</v>
      </c>
      <c r="Q273" s="368" t="s">
        <v>356</v>
      </c>
      <c r="R273" s="365" t="s">
        <v>1763</v>
      </c>
      <c r="S273" s="365" t="s">
        <v>817</v>
      </c>
      <c r="T273" s="366">
        <v>15</v>
      </c>
      <c r="U273" s="366" cm="1">
        <f t="array" ref="U273">IFERROR(INDEX('Offer Statistics'!$DA$2:$DA$450,MATCH(1,(A273='Offer Statistics'!$CL$2:$CL$450)*($A$11='Offer Statistics'!$CM$2:$CM$450),0)),"/")</f>
        <v>25</v>
      </c>
      <c r="V273" s="366" cm="1">
        <f t="array" ref="V273">IFERROR(INDEX('Offer Statistics'!$CN$2:$CN$450,MATCH(1,(A273='Offer Statistics'!$CL$2:$CL$450)*($A$11='Offer Statistics'!$CM$2:$CM$450),0)),"/")</f>
        <v>59</v>
      </c>
      <c r="W273" s="366" cm="1">
        <f t="array" ref="W273">IFERROR(INDEX('Offer Statistics'!$CV$2:$CV$450,MATCH(1,(A273='Offer Statistics'!$CL$2:$CL$450)*($A$11='Offer Statistics'!$CM$2:$CM$450),0)),"/")</f>
        <v>25</v>
      </c>
      <c r="X273" s="366">
        <f t="shared" si="774"/>
        <v>2.36</v>
      </c>
      <c r="Y273" s="366" t="s">
        <v>1177</v>
      </c>
      <c r="Z273" s="366" t="str">
        <f>入學要求!AF282</f>
        <v>M1/2 需考獲Lv. 4 或以上</v>
      </c>
      <c r="AA273" s="366" t="str">
        <f>入學要求!AG282</f>
        <v>/</v>
      </c>
      <c r="AB273" s="368" t="s">
        <v>12</v>
      </c>
      <c r="AC273" s="368"/>
      <c r="AD273" s="368"/>
      <c r="AE273" s="368" t="s">
        <v>1761</v>
      </c>
      <c r="AF273" s="368" t="s">
        <v>356</v>
      </c>
      <c r="AG273" s="368" t="s">
        <v>1762</v>
      </c>
      <c r="AH273" s="368" t="s">
        <v>3119</v>
      </c>
      <c r="AI273" s="368" t="s">
        <v>356</v>
      </c>
      <c r="AJ273" s="366" t="s">
        <v>1736</v>
      </c>
      <c r="AK273" s="366" t="s">
        <v>356</v>
      </c>
      <c r="AL273" s="366" t="s">
        <v>356</v>
      </c>
      <c r="AO273" s="366" t="s">
        <v>1671</v>
      </c>
      <c r="AP273" s="366" t="s">
        <v>3267</v>
      </c>
      <c r="AQ273" s="366" t="s">
        <v>356</v>
      </c>
      <c r="AS273" s="366" t="s">
        <v>820</v>
      </c>
      <c r="AU273" s="366" t="s">
        <v>817</v>
      </c>
      <c r="AY273" s="366" t="s">
        <v>356</v>
      </c>
      <c r="AZ273" s="366" t="s">
        <v>356</v>
      </c>
      <c r="BA273" s="366" t="s">
        <v>356</v>
      </c>
      <c r="BB273" s="366" t="s">
        <v>356</v>
      </c>
      <c r="BC273" s="366" t="s">
        <v>356</v>
      </c>
      <c r="BD273" s="366" t="s">
        <v>356</v>
      </c>
      <c r="BE273" s="366" t="s">
        <v>356</v>
      </c>
      <c r="BF273" s="366" t="s">
        <v>356</v>
      </c>
      <c r="BH273" s="366" t="s">
        <v>356</v>
      </c>
      <c r="BI273" s="366" t="s">
        <v>356</v>
      </c>
      <c r="BJ273" s="366" t="s">
        <v>356</v>
      </c>
      <c r="BK273" s="366" t="s">
        <v>356</v>
      </c>
      <c r="BL273" s="366" t="s">
        <v>356</v>
      </c>
      <c r="BM273" s="366" t="s">
        <v>356</v>
      </c>
      <c r="BN273" s="366" t="s">
        <v>356</v>
      </c>
      <c r="BO273" s="366" t="s">
        <v>356</v>
      </c>
      <c r="BP273" s="438"/>
      <c r="BQ273" s="438"/>
      <c r="BR273" s="438"/>
      <c r="BS273" s="438"/>
      <c r="BT273" s="438"/>
      <c r="BU273" s="438"/>
      <c r="BV273" s="438"/>
      <c r="BW273" s="438"/>
      <c r="BX273" s="366" t="s">
        <v>356</v>
      </c>
      <c r="BY273" s="366" t="s">
        <v>356</v>
      </c>
      <c r="BZ273" s="366" t="s">
        <v>356</v>
      </c>
      <c r="CA273" s="366" t="s">
        <v>356</v>
      </c>
      <c r="CB273" s="366" t="s">
        <v>356</v>
      </c>
      <c r="CC273" s="366" t="s">
        <v>356</v>
      </c>
      <c r="CD273" s="366" t="s">
        <v>356</v>
      </c>
      <c r="CE273" s="366" t="s">
        <v>356</v>
      </c>
      <c r="CF273" s="366" t="s">
        <v>356</v>
      </c>
      <c r="CG273" s="366" t="s">
        <v>356</v>
      </c>
      <c r="CH273" s="366" t="s">
        <v>356</v>
      </c>
      <c r="CI273" s="366" t="s">
        <v>356</v>
      </c>
      <c r="CJ273" s="366" t="s">
        <v>356</v>
      </c>
      <c r="CK273" s="366" t="s">
        <v>356</v>
      </c>
      <c r="CL273" s="366" t="s">
        <v>356</v>
      </c>
      <c r="CM273" s="366" t="s">
        <v>356</v>
      </c>
      <c r="CN273" s="366" t="s">
        <v>356</v>
      </c>
      <c r="CO273" s="366" t="s">
        <v>356</v>
      </c>
      <c r="CP273" s="366" t="s">
        <v>356</v>
      </c>
      <c r="CQ273" s="366" t="s">
        <v>356</v>
      </c>
      <c r="CR273" s="366" t="s">
        <v>356</v>
      </c>
      <c r="CS273" s="366" t="s">
        <v>356</v>
      </c>
      <c r="CT273" s="366" t="s">
        <v>356</v>
      </c>
      <c r="CU273" s="366" t="s">
        <v>356</v>
      </c>
      <c r="CW273" s="366" t="s">
        <v>356</v>
      </c>
      <c r="CX273" s="366" t="s">
        <v>356</v>
      </c>
      <c r="CY273" s="366" t="s">
        <v>356</v>
      </c>
      <c r="CZ273" s="366" t="s">
        <v>356</v>
      </c>
      <c r="DA273" s="366" t="s">
        <v>356</v>
      </c>
      <c r="DB273" s="366" t="s">
        <v>356</v>
      </c>
      <c r="DC273" s="366" t="s">
        <v>356</v>
      </c>
      <c r="DD273" s="366" t="s">
        <v>356</v>
      </c>
      <c r="DE273" s="438"/>
      <c r="DF273" s="438"/>
      <c r="DG273" s="438"/>
      <c r="DH273" s="438"/>
      <c r="DI273" s="438"/>
      <c r="DJ273" s="438"/>
      <c r="DK273" s="438"/>
      <c r="DL273" s="438"/>
      <c r="DM273" s="366" t="s">
        <v>356</v>
      </c>
      <c r="DN273" s="366" t="s">
        <v>356</v>
      </c>
      <c r="DO273" s="366" t="s">
        <v>356</v>
      </c>
      <c r="DP273" s="366" t="s">
        <v>356</v>
      </c>
      <c r="DQ273" s="366" t="s">
        <v>356</v>
      </c>
      <c r="DR273" s="366" t="s">
        <v>356</v>
      </c>
      <c r="DS273" s="366" t="s">
        <v>356</v>
      </c>
      <c r="DT273" s="366" t="s">
        <v>356</v>
      </c>
      <c r="DU273" s="366" t="s">
        <v>356</v>
      </c>
      <c r="DV273" s="366" t="s">
        <v>356</v>
      </c>
      <c r="DW273" s="366" t="s">
        <v>356</v>
      </c>
      <c r="DX273" s="366" t="s">
        <v>356</v>
      </c>
      <c r="DY273" s="366" t="s">
        <v>356</v>
      </c>
      <c r="DZ273" s="366" t="s">
        <v>356</v>
      </c>
      <c r="EA273" s="366" t="s">
        <v>356</v>
      </c>
      <c r="EB273" s="366" t="s">
        <v>356</v>
      </c>
      <c r="EC273" s="366" t="s">
        <v>356</v>
      </c>
      <c r="ED273" s="366" t="s">
        <v>356</v>
      </c>
      <c r="EE273" s="366" t="s">
        <v>356</v>
      </c>
      <c r="EF273" s="366" t="s">
        <v>356</v>
      </c>
      <c r="EG273" s="366" t="s">
        <v>356</v>
      </c>
      <c r="EH273" s="366" t="s">
        <v>356</v>
      </c>
      <c r="EI273" s="366" t="s">
        <v>356</v>
      </c>
      <c r="EJ273" s="366" t="s">
        <v>356</v>
      </c>
      <c r="EK273" s="366" t="s">
        <v>356</v>
      </c>
      <c r="EL273" s="366" t="s">
        <v>356</v>
      </c>
      <c r="EM273" s="366" t="s">
        <v>356</v>
      </c>
      <c r="EN273" s="366" t="s">
        <v>356</v>
      </c>
      <c r="EO273" s="366" t="s">
        <v>356</v>
      </c>
      <c r="EP273" s="366" t="s">
        <v>356</v>
      </c>
      <c r="EQ273" s="366" t="s">
        <v>356</v>
      </c>
      <c r="ER273" s="366" t="s">
        <v>356</v>
      </c>
      <c r="FA273" s="366" t="s">
        <v>356</v>
      </c>
      <c r="FB273" s="366" t="s">
        <v>356</v>
      </c>
      <c r="FC273" s="366" t="s">
        <v>356</v>
      </c>
      <c r="FD273" s="366" t="s">
        <v>356</v>
      </c>
      <c r="FE273" s="366" t="s">
        <v>356</v>
      </c>
      <c r="FF273" s="366" t="s">
        <v>356</v>
      </c>
      <c r="FG273" s="366" t="s">
        <v>356</v>
      </c>
      <c r="FH273" s="366" t="s">
        <v>356</v>
      </c>
      <c r="FI273" s="366" t="s">
        <v>356</v>
      </c>
      <c r="FJ273" s="366" t="s">
        <v>356</v>
      </c>
      <c r="FK273" s="366" t="s">
        <v>356</v>
      </c>
      <c r="FL273" s="366" t="s">
        <v>356</v>
      </c>
      <c r="FM273" s="366" t="s">
        <v>356</v>
      </c>
      <c r="FN273" s="366" t="s">
        <v>356</v>
      </c>
      <c r="FO273" s="366" t="s">
        <v>356</v>
      </c>
      <c r="FP273" s="366" t="s">
        <v>356</v>
      </c>
    </row>
    <row r="274" spans="1:172" s="365" customFormat="1">
      <c r="A274" s="365" t="s">
        <v>632</v>
      </c>
      <c r="B274" s="365" t="s">
        <v>1666</v>
      </c>
      <c r="C274" s="365" t="s">
        <v>1759</v>
      </c>
      <c r="D274" s="365" t="s">
        <v>633</v>
      </c>
      <c r="E274" s="365" t="s">
        <v>828</v>
      </c>
      <c r="F274" s="365" t="s">
        <v>356</v>
      </c>
      <c r="G274" s="368">
        <v>35</v>
      </c>
      <c r="H274" s="368">
        <v>35</v>
      </c>
      <c r="I274" s="368">
        <v>35</v>
      </c>
      <c r="M274" s="368" t="s">
        <v>1668</v>
      </c>
      <c r="N274" s="368" t="s">
        <v>356</v>
      </c>
      <c r="O274" s="368" t="s">
        <v>356</v>
      </c>
      <c r="P274" s="368" t="s">
        <v>356</v>
      </c>
      <c r="Q274" s="368" t="s">
        <v>356</v>
      </c>
      <c r="R274" s="365" t="s">
        <v>1764</v>
      </c>
      <c r="S274" s="365" t="s">
        <v>817</v>
      </c>
      <c r="T274" s="365">
        <v>13</v>
      </c>
      <c r="U274" s="366" cm="1">
        <f t="array" ref="U274">IFERROR(INDEX('Offer Statistics'!$DA$2:$DA$450,MATCH(1,(A274='Offer Statistics'!$CL$2:$CL$450)*($A$11='Offer Statistics'!$CM$2:$CM$450),0)),"/")</f>
        <v>2</v>
      </c>
      <c r="V274" s="366" cm="1">
        <f t="array" ref="V274">IFERROR(INDEX('Offer Statistics'!$CN$2:$CN$450,MATCH(1,(A274='Offer Statistics'!$CL$2:$CL$450)*($A$11='Offer Statistics'!$CM$2:$CM$450),0)),"/")</f>
        <v>33</v>
      </c>
      <c r="W274" s="366" cm="1">
        <f t="array" ref="W274">IFERROR(INDEX('Offer Statistics'!$CV$2:$CV$450,MATCH(1,(A274='Offer Statistics'!$CL$2:$CL$450)*($A$11='Offer Statistics'!$CM$2:$CM$450),0)),"/")</f>
        <v>2</v>
      </c>
      <c r="X274" s="365">
        <f t="shared" si="774"/>
        <v>16.5</v>
      </c>
      <c r="Y274" s="365" t="s">
        <v>1177</v>
      </c>
      <c r="Z274" s="366" t="str">
        <f>入學要求!AF283</f>
        <v>申請人須遞交 一份 創意作品 作品集。</v>
      </c>
      <c r="AA274" s="366" t="str">
        <f>入學要求!AG283</f>
        <v>詳情可細閱課程網站。</v>
      </c>
      <c r="AB274" s="368" t="s">
        <v>889</v>
      </c>
      <c r="AC274" s="368"/>
      <c r="AD274" s="368"/>
      <c r="AE274" s="368" t="s">
        <v>1668</v>
      </c>
      <c r="AF274" s="368" t="s">
        <v>356</v>
      </c>
      <c r="AG274" s="368" t="s">
        <v>356</v>
      </c>
      <c r="AH274" s="368" t="s">
        <v>356</v>
      </c>
      <c r="AI274" s="400" t="s">
        <v>356</v>
      </c>
      <c r="AJ274" s="365" t="s">
        <v>839</v>
      </c>
      <c r="AK274" s="365" t="s">
        <v>1677</v>
      </c>
      <c r="AL274" s="365" t="s">
        <v>356</v>
      </c>
      <c r="AO274" s="365" t="s">
        <v>1671</v>
      </c>
      <c r="AP274" s="365" t="s">
        <v>1672</v>
      </c>
      <c r="AQ274" s="365" t="s">
        <v>356</v>
      </c>
      <c r="AS274" s="366" t="s">
        <v>820</v>
      </c>
      <c r="AU274" s="365" t="s">
        <v>817</v>
      </c>
      <c r="AY274" s="365" t="s">
        <v>356</v>
      </c>
      <c r="AZ274" s="365" t="s">
        <v>356</v>
      </c>
      <c r="BA274" s="365" t="s">
        <v>356</v>
      </c>
      <c r="BB274" s="365" t="s">
        <v>356</v>
      </c>
      <c r="BC274" s="365" t="s">
        <v>356</v>
      </c>
      <c r="BD274" s="365" t="s">
        <v>356</v>
      </c>
      <c r="BE274" s="365" t="s">
        <v>356</v>
      </c>
      <c r="BF274" s="365" t="s">
        <v>356</v>
      </c>
      <c r="BH274" s="365" t="s">
        <v>356</v>
      </c>
      <c r="BI274" s="365" t="s">
        <v>356</v>
      </c>
      <c r="BJ274" s="365" t="s">
        <v>356</v>
      </c>
      <c r="BK274" s="365" t="s">
        <v>356</v>
      </c>
      <c r="BL274" s="365" t="s">
        <v>356</v>
      </c>
      <c r="BM274" s="365" t="s">
        <v>356</v>
      </c>
      <c r="BN274" s="365" t="s">
        <v>356</v>
      </c>
      <c r="BO274" s="365" t="s">
        <v>356</v>
      </c>
      <c r="BX274" s="365" t="s">
        <v>356</v>
      </c>
      <c r="BY274" s="365" t="s">
        <v>356</v>
      </c>
      <c r="BZ274" s="365" t="s">
        <v>356</v>
      </c>
      <c r="CA274" s="365" t="s">
        <v>356</v>
      </c>
      <c r="CB274" s="365" t="s">
        <v>356</v>
      </c>
      <c r="CC274" s="365" t="s">
        <v>356</v>
      </c>
      <c r="CD274" s="365" t="s">
        <v>356</v>
      </c>
      <c r="CE274" s="365" t="s">
        <v>356</v>
      </c>
      <c r="CF274" s="365" t="s">
        <v>356</v>
      </c>
      <c r="CG274" s="365" t="s">
        <v>356</v>
      </c>
      <c r="CH274" s="365" t="s">
        <v>356</v>
      </c>
      <c r="CI274" s="365" t="s">
        <v>356</v>
      </c>
      <c r="CJ274" s="365" t="s">
        <v>356</v>
      </c>
      <c r="CK274" s="365" t="s">
        <v>356</v>
      </c>
      <c r="CL274" s="365" t="s">
        <v>356</v>
      </c>
      <c r="CM274" s="365" t="s">
        <v>356</v>
      </c>
      <c r="CN274" s="365" t="s">
        <v>356</v>
      </c>
      <c r="CO274" s="365" t="s">
        <v>356</v>
      </c>
      <c r="CP274" s="365" t="s">
        <v>356</v>
      </c>
      <c r="CQ274" s="365" t="s">
        <v>356</v>
      </c>
      <c r="CR274" s="365" t="s">
        <v>356</v>
      </c>
      <c r="CS274" s="365" t="s">
        <v>356</v>
      </c>
      <c r="CT274" s="365" t="s">
        <v>356</v>
      </c>
      <c r="CU274" s="365" t="s">
        <v>356</v>
      </c>
      <c r="CW274" s="365" t="s">
        <v>356</v>
      </c>
      <c r="CX274" s="365" t="s">
        <v>356</v>
      </c>
      <c r="CY274" s="365" t="s">
        <v>356</v>
      </c>
      <c r="CZ274" s="365" t="s">
        <v>356</v>
      </c>
      <c r="DA274" s="365" t="s">
        <v>356</v>
      </c>
      <c r="DB274" s="365" t="s">
        <v>356</v>
      </c>
      <c r="DC274" s="365" t="s">
        <v>356</v>
      </c>
      <c r="DD274" s="365" t="s">
        <v>356</v>
      </c>
      <c r="DM274" s="365" t="s">
        <v>356</v>
      </c>
      <c r="DN274" s="365" t="s">
        <v>356</v>
      </c>
      <c r="DO274" s="365" t="s">
        <v>356</v>
      </c>
      <c r="DP274" s="365" t="s">
        <v>356</v>
      </c>
      <c r="DQ274" s="365" t="s">
        <v>356</v>
      </c>
      <c r="DR274" s="365" t="s">
        <v>356</v>
      </c>
      <c r="DS274" s="365" t="s">
        <v>356</v>
      </c>
      <c r="DT274" s="365" t="s">
        <v>356</v>
      </c>
      <c r="DU274" s="365" t="s">
        <v>356</v>
      </c>
      <c r="DV274" s="365" t="s">
        <v>356</v>
      </c>
      <c r="DW274" s="365" t="s">
        <v>356</v>
      </c>
      <c r="DX274" s="365" t="s">
        <v>356</v>
      </c>
      <c r="DY274" s="365" t="s">
        <v>356</v>
      </c>
      <c r="DZ274" s="365" t="s">
        <v>356</v>
      </c>
      <c r="EA274" s="365" t="s">
        <v>356</v>
      </c>
      <c r="EB274" s="365" t="s">
        <v>356</v>
      </c>
      <c r="EC274" s="365" t="s">
        <v>356</v>
      </c>
      <c r="ED274" s="365" t="s">
        <v>356</v>
      </c>
      <c r="EE274" s="365" t="s">
        <v>356</v>
      </c>
      <c r="EF274" s="365" t="s">
        <v>356</v>
      </c>
      <c r="EG274" s="365" t="s">
        <v>356</v>
      </c>
      <c r="EH274" s="365" t="s">
        <v>356</v>
      </c>
      <c r="EI274" s="365" t="s">
        <v>356</v>
      </c>
      <c r="EJ274" s="365" t="s">
        <v>356</v>
      </c>
      <c r="EK274" s="365" t="s">
        <v>356</v>
      </c>
      <c r="EL274" s="365" t="s">
        <v>356</v>
      </c>
      <c r="EM274" s="365" t="s">
        <v>356</v>
      </c>
      <c r="EN274" s="365" t="s">
        <v>356</v>
      </c>
      <c r="EO274" s="365" t="s">
        <v>356</v>
      </c>
      <c r="EP274" s="365" t="s">
        <v>356</v>
      </c>
      <c r="EQ274" s="365" t="s">
        <v>356</v>
      </c>
      <c r="ER274" s="365" t="s">
        <v>356</v>
      </c>
      <c r="FA274" s="365" t="s">
        <v>356</v>
      </c>
      <c r="FB274" s="365" t="s">
        <v>356</v>
      </c>
      <c r="FC274" s="365" t="s">
        <v>356</v>
      </c>
      <c r="FD274" s="365" t="s">
        <v>356</v>
      </c>
      <c r="FE274" s="365" t="s">
        <v>356</v>
      </c>
      <c r="FF274" s="365" t="s">
        <v>356</v>
      </c>
      <c r="FG274" s="365" t="s">
        <v>356</v>
      </c>
      <c r="FH274" s="365" t="s">
        <v>356</v>
      </c>
      <c r="FI274" s="365" t="s">
        <v>356</v>
      </c>
      <c r="FJ274" s="365" t="s">
        <v>356</v>
      </c>
      <c r="FK274" s="365" t="s">
        <v>356</v>
      </c>
      <c r="FL274" s="365" t="s">
        <v>356</v>
      </c>
      <c r="FM274" s="365" t="s">
        <v>356</v>
      </c>
      <c r="FN274" s="365" t="s">
        <v>356</v>
      </c>
      <c r="FO274" s="365" t="s">
        <v>356</v>
      </c>
      <c r="FP274" s="365" t="s">
        <v>356</v>
      </c>
    </row>
    <row r="275" spans="1:172" s="365" customFormat="1">
      <c r="A275" s="365" t="s">
        <v>634</v>
      </c>
      <c r="B275" s="365" t="s">
        <v>1666</v>
      </c>
      <c r="C275" s="365" t="s">
        <v>1759</v>
      </c>
      <c r="D275" s="365" t="s">
        <v>635</v>
      </c>
      <c r="E275" s="365" t="s">
        <v>828</v>
      </c>
      <c r="F275" s="365" t="s">
        <v>356</v>
      </c>
      <c r="G275" s="365">
        <v>37</v>
      </c>
      <c r="H275" s="365">
        <v>36</v>
      </c>
      <c r="I275" s="365">
        <v>35</v>
      </c>
      <c r="M275" s="365" t="s">
        <v>829</v>
      </c>
      <c r="N275" s="365" t="s">
        <v>1720</v>
      </c>
      <c r="O275" s="365" t="s">
        <v>356</v>
      </c>
      <c r="P275" s="365" t="s">
        <v>356</v>
      </c>
      <c r="Q275" s="365" t="s">
        <v>356</v>
      </c>
      <c r="R275" s="365" t="s">
        <v>1765</v>
      </c>
      <c r="S275" s="365" t="s">
        <v>817</v>
      </c>
      <c r="T275" s="365">
        <v>24</v>
      </c>
      <c r="U275" s="365" cm="1">
        <f t="array" ref="U275">IFERROR(INDEX('Offer Statistics'!$DA$2:$DA$450,MATCH(1,(A275='Offer Statistics'!$CL$2:$CL$450)*($A$11='Offer Statistics'!$CM$2:$CM$450),0)),"/")</f>
        <v>22</v>
      </c>
      <c r="V275" s="365" cm="1">
        <f t="array" ref="V275">IFERROR(INDEX('Offer Statistics'!$CN$2:$CN$450,MATCH(1,(A275='Offer Statistics'!$CL$2:$CL$450)*($A$11='Offer Statistics'!$CM$2:$CM$450),0)),"/")</f>
        <v>57</v>
      </c>
      <c r="W275" s="365" cm="1">
        <f t="array" ref="W275">IFERROR(INDEX('Offer Statistics'!$CV$2:$CV$450,MATCH(1,(A275='Offer Statistics'!$CL$2:$CL$450)*($A$11='Offer Statistics'!$CM$2:$CM$450),0)),"/")</f>
        <v>22</v>
      </c>
      <c r="X275" s="365">
        <f t="shared" si="774"/>
        <v>2.5909090909090908</v>
      </c>
      <c r="Y275" s="365" t="s">
        <v>1177</v>
      </c>
      <c r="Z275" s="365" t="str">
        <f>入學要求!AF284</f>
        <v>/</v>
      </c>
      <c r="AA275" s="365" t="str">
        <f>入學要求!AG284</f>
        <v>/</v>
      </c>
      <c r="AB275" s="368" t="s">
        <v>889</v>
      </c>
      <c r="AC275" s="413"/>
      <c r="AD275" s="368"/>
      <c r="AE275" s="368" t="s">
        <v>998</v>
      </c>
      <c r="AF275" s="368" t="s">
        <v>1720</v>
      </c>
      <c r="AG275" s="368" t="s">
        <v>356</v>
      </c>
      <c r="AH275" s="368" t="s">
        <v>356</v>
      </c>
      <c r="AI275" s="368" t="s">
        <v>356</v>
      </c>
      <c r="AJ275" s="365" t="s">
        <v>839</v>
      </c>
      <c r="AK275" s="365" t="s">
        <v>356</v>
      </c>
      <c r="AL275" s="365" t="s">
        <v>356</v>
      </c>
      <c r="AO275" s="365" t="s">
        <v>1671</v>
      </c>
      <c r="AP275" s="366" t="s">
        <v>3267</v>
      </c>
      <c r="AQ275" s="365" t="s">
        <v>356</v>
      </c>
      <c r="AS275" s="365" t="s">
        <v>820</v>
      </c>
      <c r="AU275" s="365" t="s">
        <v>817</v>
      </c>
      <c r="AY275" s="365" t="s">
        <v>356</v>
      </c>
      <c r="AZ275" s="365" t="s">
        <v>356</v>
      </c>
      <c r="BA275" s="365" t="s">
        <v>356</v>
      </c>
      <c r="BB275" s="365" t="s">
        <v>356</v>
      </c>
      <c r="BC275" s="365" t="s">
        <v>356</v>
      </c>
      <c r="BD275" s="365" t="s">
        <v>356</v>
      </c>
      <c r="BE275" s="365" t="s">
        <v>356</v>
      </c>
      <c r="BF275" s="365" t="s">
        <v>356</v>
      </c>
      <c r="BH275" s="365" t="s">
        <v>356</v>
      </c>
      <c r="BI275" s="365" t="s">
        <v>356</v>
      </c>
      <c r="BJ275" s="365" t="s">
        <v>356</v>
      </c>
      <c r="BK275" s="365" t="s">
        <v>356</v>
      </c>
      <c r="BL275" s="365" t="s">
        <v>356</v>
      </c>
      <c r="BM275" s="365" t="s">
        <v>356</v>
      </c>
      <c r="BN275" s="365" t="s">
        <v>356</v>
      </c>
      <c r="BO275" s="365" t="s">
        <v>356</v>
      </c>
      <c r="BX275" s="365" t="s">
        <v>356</v>
      </c>
      <c r="BY275" s="365" t="s">
        <v>356</v>
      </c>
      <c r="BZ275" s="365" t="s">
        <v>356</v>
      </c>
      <c r="CA275" s="365" t="s">
        <v>356</v>
      </c>
      <c r="CB275" s="365" t="s">
        <v>356</v>
      </c>
      <c r="CC275" s="365" t="s">
        <v>356</v>
      </c>
      <c r="CD275" s="365" t="s">
        <v>356</v>
      </c>
      <c r="CE275" s="365" t="s">
        <v>356</v>
      </c>
      <c r="CF275" s="365" t="s">
        <v>356</v>
      </c>
      <c r="CG275" s="365" t="s">
        <v>356</v>
      </c>
      <c r="CH275" s="365" t="s">
        <v>356</v>
      </c>
      <c r="CI275" s="365" t="s">
        <v>356</v>
      </c>
      <c r="CJ275" s="365" t="s">
        <v>356</v>
      </c>
      <c r="CK275" s="365" t="s">
        <v>356</v>
      </c>
      <c r="CL275" s="365" t="s">
        <v>356</v>
      </c>
      <c r="CM275" s="365" t="s">
        <v>356</v>
      </c>
      <c r="CN275" s="365" t="s">
        <v>356</v>
      </c>
      <c r="CO275" s="365" t="s">
        <v>356</v>
      </c>
      <c r="CP275" s="365" t="s">
        <v>356</v>
      </c>
      <c r="CQ275" s="365" t="s">
        <v>356</v>
      </c>
      <c r="CR275" s="365" t="s">
        <v>356</v>
      </c>
      <c r="CS275" s="365" t="s">
        <v>356</v>
      </c>
      <c r="CT275" s="365" t="s">
        <v>356</v>
      </c>
      <c r="CU275" s="365" t="s">
        <v>356</v>
      </c>
      <c r="CW275" s="365" t="s">
        <v>356</v>
      </c>
      <c r="CX275" s="365" t="s">
        <v>356</v>
      </c>
      <c r="CY275" s="365" t="s">
        <v>356</v>
      </c>
      <c r="CZ275" s="365" t="s">
        <v>356</v>
      </c>
      <c r="DA275" s="365" t="s">
        <v>356</v>
      </c>
      <c r="DB275" s="365" t="s">
        <v>356</v>
      </c>
      <c r="DC275" s="365" t="s">
        <v>356</v>
      </c>
      <c r="DD275" s="365" t="s">
        <v>356</v>
      </c>
      <c r="DM275" s="365" t="s">
        <v>356</v>
      </c>
      <c r="DN275" s="365" t="s">
        <v>356</v>
      </c>
      <c r="DO275" s="365" t="s">
        <v>356</v>
      </c>
      <c r="DP275" s="365" t="s">
        <v>356</v>
      </c>
      <c r="DQ275" s="365" t="s">
        <v>356</v>
      </c>
      <c r="DR275" s="365" t="s">
        <v>356</v>
      </c>
      <c r="DS275" s="365" t="s">
        <v>356</v>
      </c>
      <c r="DT275" s="365" t="s">
        <v>356</v>
      </c>
      <c r="DU275" s="365" t="s">
        <v>356</v>
      </c>
      <c r="DV275" s="365" t="s">
        <v>356</v>
      </c>
      <c r="DW275" s="365" t="s">
        <v>356</v>
      </c>
      <c r="DX275" s="365" t="s">
        <v>356</v>
      </c>
      <c r="DY275" s="365" t="s">
        <v>356</v>
      </c>
      <c r="DZ275" s="365" t="s">
        <v>356</v>
      </c>
      <c r="EA275" s="365" t="s">
        <v>356</v>
      </c>
      <c r="EB275" s="365" t="s">
        <v>356</v>
      </c>
      <c r="EC275" s="365" t="s">
        <v>356</v>
      </c>
      <c r="ED275" s="365" t="s">
        <v>356</v>
      </c>
      <c r="EE275" s="365" t="s">
        <v>356</v>
      </c>
      <c r="EF275" s="365" t="s">
        <v>356</v>
      </c>
      <c r="EG275" s="365" t="s">
        <v>356</v>
      </c>
      <c r="EH275" s="365" t="s">
        <v>356</v>
      </c>
      <c r="EI275" s="365" t="s">
        <v>356</v>
      </c>
      <c r="EJ275" s="365" t="s">
        <v>356</v>
      </c>
      <c r="EK275" s="365" t="s">
        <v>356</v>
      </c>
      <c r="EL275" s="365" t="s">
        <v>356</v>
      </c>
      <c r="EM275" s="365" t="s">
        <v>356</v>
      </c>
      <c r="EN275" s="365" t="s">
        <v>356</v>
      </c>
      <c r="EO275" s="365" t="s">
        <v>356</v>
      </c>
      <c r="EP275" s="365" t="s">
        <v>356</v>
      </c>
      <c r="EQ275" s="365" t="s">
        <v>356</v>
      </c>
      <c r="ER275" s="365" t="s">
        <v>356</v>
      </c>
      <c r="FA275" s="365" t="s">
        <v>356</v>
      </c>
      <c r="FB275" s="365" t="s">
        <v>356</v>
      </c>
      <c r="FC275" s="365" t="s">
        <v>356</v>
      </c>
      <c r="FD275" s="365" t="s">
        <v>356</v>
      </c>
      <c r="FE275" s="365" t="s">
        <v>356</v>
      </c>
      <c r="FF275" s="365" t="s">
        <v>356</v>
      </c>
      <c r="FG275" s="365" t="s">
        <v>356</v>
      </c>
      <c r="FH275" s="365" t="s">
        <v>356</v>
      </c>
      <c r="FI275" s="365" t="s">
        <v>356</v>
      </c>
      <c r="FJ275" s="365" t="s">
        <v>356</v>
      </c>
      <c r="FK275" s="365" t="s">
        <v>356</v>
      </c>
      <c r="FL275" s="365" t="s">
        <v>356</v>
      </c>
      <c r="FM275" s="365" t="s">
        <v>356</v>
      </c>
      <c r="FN275" s="365" t="s">
        <v>356</v>
      </c>
      <c r="FO275" s="365" t="s">
        <v>356</v>
      </c>
      <c r="FP275" s="365" t="s">
        <v>356</v>
      </c>
    </row>
    <row r="276" spans="1:172" s="366" customFormat="1">
      <c r="A276" s="366" t="s">
        <v>636</v>
      </c>
      <c r="B276" s="366" t="s">
        <v>1666</v>
      </c>
      <c r="C276" s="366" t="s">
        <v>1759</v>
      </c>
      <c r="D276" s="366" t="s">
        <v>637</v>
      </c>
      <c r="E276" s="366" t="s">
        <v>889</v>
      </c>
      <c r="F276" s="366" t="s">
        <v>356</v>
      </c>
      <c r="G276" s="368">
        <v>30</v>
      </c>
      <c r="H276" s="368">
        <v>28</v>
      </c>
      <c r="I276" s="368">
        <v>28</v>
      </c>
      <c r="M276" s="368" t="s">
        <v>1668</v>
      </c>
      <c r="N276" s="368" t="s">
        <v>356</v>
      </c>
      <c r="O276" s="368" t="s">
        <v>356</v>
      </c>
      <c r="P276" s="368" t="s">
        <v>356</v>
      </c>
      <c r="Q276" s="368" t="s">
        <v>356</v>
      </c>
      <c r="R276" s="365" t="s">
        <v>1766</v>
      </c>
      <c r="S276" s="365" t="s">
        <v>817</v>
      </c>
      <c r="T276" s="366">
        <v>18</v>
      </c>
      <c r="U276" s="366" cm="1">
        <f t="array" ref="U276">IFERROR(INDEX('Offer Statistics'!$DA$2:$DA$450,MATCH(1,(A276='Offer Statistics'!$CL$2:$CL$450)*($A$11='Offer Statistics'!$CM$2:$CM$450),0)),"/")</f>
        <v>4</v>
      </c>
      <c r="V276" s="366" cm="1">
        <f t="array" ref="V276">IFERROR(INDEX('Offer Statistics'!$CN$2:$CN$450,MATCH(1,(A276='Offer Statistics'!$CL$2:$CL$450)*($A$11='Offer Statistics'!$CM$2:$CM$450),0)),"/")</f>
        <v>14</v>
      </c>
      <c r="W276" s="366" cm="1">
        <f t="array" ref="W276">IFERROR(INDEX('Offer Statistics'!$CV$2:$CV$450,MATCH(1,(A276='Offer Statistics'!$CL$2:$CL$450)*($A$11='Offer Statistics'!$CM$2:$CM$450),0)),"/")</f>
        <v>4</v>
      </c>
      <c r="X276" s="366">
        <f t="shared" si="774"/>
        <v>3.5</v>
      </c>
      <c r="Y276" s="366" t="s">
        <v>1177</v>
      </c>
      <c r="Z276" s="366" t="str">
        <f>入學要求!AF285</f>
        <v>/</v>
      </c>
      <c r="AA276" s="366" t="str">
        <f>入學要求!AG285</f>
        <v>/</v>
      </c>
      <c r="AB276" s="368" t="s">
        <v>889</v>
      </c>
      <c r="AC276" s="368"/>
      <c r="AD276" s="368"/>
      <c r="AE276" s="368" t="s">
        <v>1668</v>
      </c>
      <c r="AF276" s="368" t="s">
        <v>356</v>
      </c>
      <c r="AG276" s="368" t="s">
        <v>356</v>
      </c>
      <c r="AH276" s="368" t="s">
        <v>356</v>
      </c>
      <c r="AI276" s="368" t="s">
        <v>356</v>
      </c>
      <c r="AJ276" s="366" t="s">
        <v>1736</v>
      </c>
      <c r="AK276" s="366" t="s">
        <v>1737</v>
      </c>
      <c r="AL276" s="366" t="s">
        <v>356</v>
      </c>
      <c r="AO276" s="366" t="s">
        <v>1671</v>
      </c>
      <c r="AP276" s="366" t="s">
        <v>3268</v>
      </c>
      <c r="AQ276" s="366" t="s">
        <v>356</v>
      </c>
      <c r="AS276" s="366" t="s">
        <v>820</v>
      </c>
      <c r="AU276" s="366" t="s">
        <v>817</v>
      </c>
      <c r="AY276" s="366" t="s">
        <v>356</v>
      </c>
      <c r="AZ276" s="366" t="s">
        <v>356</v>
      </c>
      <c r="BA276" s="366" t="s">
        <v>356</v>
      </c>
      <c r="BB276" s="366" t="s">
        <v>356</v>
      </c>
      <c r="BC276" s="366" t="s">
        <v>356</v>
      </c>
      <c r="BD276" s="366" t="s">
        <v>356</v>
      </c>
      <c r="BE276" s="366" t="s">
        <v>356</v>
      </c>
      <c r="BF276" s="366" t="s">
        <v>356</v>
      </c>
      <c r="BH276" s="366" t="s">
        <v>356</v>
      </c>
      <c r="BI276" s="366" t="s">
        <v>356</v>
      </c>
      <c r="BJ276" s="366" t="s">
        <v>356</v>
      </c>
      <c r="BK276" s="366" t="s">
        <v>356</v>
      </c>
      <c r="BL276" s="366" t="s">
        <v>356</v>
      </c>
      <c r="BM276" s="366" t="s">
        <v>356</v>
      </c>
      <c r="BN276" s="366" t="s">
        <v>356</v>
      </c>
      <c r="BO276" s="366" t="s">
        <v>356</v>
      </c>
      <c r="BP276" s="438"/>
      <c r="BQ276" s="438"/>
      <c r="BR276" s="438"/>
      <c r="BS276" s="438"/>
      <c r="BT276" s="438"/>
      <c r="BU276" s="438"/>
      <c r="BV276" s="438"/>
      <c r="BW276" s="438"/>
      <c r="BX276" s="366" t="s">
        <v>356</v>
      </c>
      <c r="BY276" s="366" t="s">
        <v>356</v>
      </c>
      <c r="BZ276" s="366" t="s">
        <v>356</v>
      </c>
      <c r="CA276" s="366" t="s">
        <v>356</v>
      </c>
      <c r="CB276" s="366" t="s">
        <v>356</v>
      </c>
      <c r="CC276" s="366" t="s">
        <v>356</v>
      </c>
      <c r="CD276" s="366" t="s">
        <v>356</v>
      </c>
      <c r="CE276" s="366" t="s">
        <v>356</v>
      </c>
      <c r="CF276" s="366" t="s">
        <v>356</v>
      </c>
      <c r="CG276" s="366" t="s">
        <v>356</v>
      </c>
      <c r="CH276" s="366" t="s">
        <v>356</v>
      </c>
      <c r="CI276" s="366" t="s">
        <v>356</v>
      </c>
      <c r="CJ276" s="366" t="s">
        <v>356</v>
      </c>
      <c r="CK276" s="366" t="s">
        <v>356</v>
      </c>
      <c r="CL276" s="366" t="s">
        <v>356</v>
      </c>
      <c r="CM276" s="366" t="s">
        <v>356</v>
      </c>
      <c r="CN276" s="366" t="s">
        <v>356</v>
      </c>
      <c r="CO276" s="366" t="s">
        <v>356</v>
      </c>
      <c r="CP276" s="366" t="s">
        <v>356</v>
      </c>
      <c r="CQ276" s="366" t="s">
        <v>356</v>
      </c>
      <c r="CR276" s="366" t="s">
        <v>356</v>
      </c>
      <c r="CS276" s="366" t="s">
        <v>356</v>
      </c>
      <c r="CT276" s="366" t="s">
        <v>356</v>
      </c>
      <c r="CU276" s="366" t="s">
        <v>356</v>
      </c>
      <c r="CW276" s="366" t="s">
        <v>356</v>
      </c>
      <c r="CX276" s="366" t="s">
        <v>356</v>
      </c>
      <c r="CY276" s="366" t="s">
        <v>356</v>
      </c>
      <c r="CZ276" s="366" t="s">
        <v>356</v>
      </c>
      <c r="DA276" s="366" t="s">
        <v>356</v>
      </c>
      <c r="DB276" s="366" t="s">
        <v>356</v>
      </c>
      <c r="DC276" s="366" t="s">
        <v>356</v>
      </c>
      <c r="DD276" s="366" t="s">
        <v>356</v>
      </c>
      <c r="DE276" s="438"/>
      <c r="DF276" s="438"/>
      <c r="DG276" s="438"/>
      <c r="DH276" s="438"/>
      <c r="DI276" s="438"/>
      <c r="DJ276" s="438"/>
      <c r="DK276" s="438"/>
      <c r="DL276" s="438"/>
      <c r="DM276" s="366" t="s">
        <v>356</v>
      </c>
      <c r="DN276" s="366" t="s">
        <v>356</v>
      </c>
      <c r="DO276" s="366" t="s">
        <v>356</v>
      </c>
      <c r="DP276" s="366" t="s">
        <v>356</v>
      </c>
      <c r="DQ276" s="366" t="s">
        <v>356</v>
      </c>
      <c r="DR276" s="366" t="s">
        <v>356</v>
      </c>
      <c r="DS276" s="366" t="s">
        <v>356</v>
      </c>
      <c r="DT276" s="366" t="s">
        <v>356</v>
      </c>
      <c r="DU276" s="366" t="s">
        <v>356</v>
      </c>
      <c r="DV276" s="366" t="s">
        <v>356</v>
      </c>
      <c r="DW276" s="366" t="s">
        <v>356</v>
      </c>
      <c r="DX276" s="366" t="s">
        <v>356</v>
      </c>
      <c r="DY276" s="366" t="s">
        <v>356</v>
      </c>
      <c r="DZ276" s="366" t="s">
        <v>356</v>
      </c>
      <c r="EA276" s="366" t="s">
        <v>356</v>
      </c>
      <c r="EB276" s="366" t="s">
        <v>356</v>
      </c>
      <c r="EC276" s="366" t="s">
        <v>356</v>
      </c>
      <c r="ED276" s="366" t="s">
        <v>356</v>
      </c>
      <c r="EE276" s="366" t="s">
        <v>356</v>
      </c>
      <c r="EF276" s="366" t="s">
        <v>356</v>
      </c>
      <c r="EG276" s="366" t="s">
        <v>356</v>
      </c>
      <c r="EH276" s="366" t="s">
        <v>356</v>
      </c>
      <c r="EI276" s="366" t="s">
        <v>356</v>
      </c>
      <c r="EJ276" s="366" t="s">
        <v>356</v>
      </c>
      <c r="EK276" s="366" t="s">
        <v>356</v>
      </c>
      <c r="EL276" s="366" t="s">
        <v>356</v>
      </c>
      <c r="EM276" s="366" t="s">
        <v>356</v>
      </c>
      <c r="EN276" s="366" t="s">
        <v>356</v>
      </c>
      <c r="EO276" s="366" t="s">
        <v>356</v>
      </c>
      <c r="EP276" s="366" t="s">
        <v>356</v>
      </c>
      <c r="EQ276" s="366" t="s">
        <v>356</v>
      </c>
      <c r="ER276" s="366" t="s">
        <v>356</v>
      </c>
      <c r="FA276" s="366" t="s">
        <v>356</v>
      </c>
      <c r="FB276" s="366" t="s">
        <v>356</v>
      </c>
      <c r="FC276" s="366" t="s">
        <v>356</v>
      </c>
      <c r="FD276" s="366" t="s">
        <v>356</v>
      </c>
      <c r="FE276" s="366" t="s">
        <v>356</v>
      </c>
      <c r="FF276" s="366" t="s">
        <v>356</v>
      </c>
      <c r="FG276" s="366" t="s">
        <v>356</v>
      </c>
      <c r="FH276" s="366" t="s">
        <v>356</v>
      </c>
      <c r="FI276" s="366" t="s">
        <v>356</v>
      </c>
      <c r="FJ276" s="366" t="s">
        <v>356</v>
      </c>
      <c r="FK276" s="366" t="s">
        <v>356</v>
      </c>
      <c r="FL276" s="366" t="s">
        <v>356</v>
      </c>
      <c r="FM276" s="366" t="s">
        <v>356</v>
      </c>
      <c r="FN276" s="366" t="s">
        <v>356</v>
      </c>
      <c r="FO276" s="366" t="s">
        <v>356</v>
      </c>
      <c r="FP276" s="366" t="s">
        <v>356</v>
      </c>
    </row>
    <row r="277" spans="1:172">
      <c r="B277" s="359" t="s">
        <v>3209</v>
      </c>
      <c r="E277" s="11"/>
      <c r="M277" s="176"/>
    </row>
    <row r="278" spans="1:172">
      <c r="B278" s="360"/>
      <c r="M278" s="176"/>
    </row>
    <row r="279" spans="1:172" s="95" customFormat="1">
      <c r="A279" s="95" t="s">
        <v>412</v>
      </c>
      <c r="B279" s="95" t="s">
        <v>411</v>
      </c>
      <c r="C279" s="95" t="s">
        <v>1064</v>
      </c>
      <c r="D279" s="95" t="s">
        <v>1767</v>
      </c>
      <c r="E279" s="95" t="s">
        <v>12</v>
      </c>
      <c r="F279" s="95" t="s">
        <v>356</v>
      </c>
      <c r="G279" s="95" t="s">
        <v>435</v>
      </c>
      <c r="H279" s="95">
        <v>26</v>
      </c>
      <c r="I279" s="219">
        <v>25.25</v>
      </c>
      <c r="J279" s="219"/>
      <c r="K279" s="219">
        <f>SUMIF(DU279:EB279,TRUE,DM279:DT279)</f>
        <v>25.000000000244999</v>
      </c>
      <c r="L279" s="219">
        <f t="shared" ref="L279" si="775">SUMIF(CF279:CM279,TRUE,BX279:CE279)</f>
        <v>23.500000000244999</v>
      </c>
      <c r="M279" s="95" t="s">
        <v>3136</v>
      </c>
      <c r="N279" s="95" t="s">
        <v>1768</v>
      </c>
      <c r="O279" s="95" t="s">
        <v>1769</v>
      </c>
      <c r="P279" s="95" t="s">
        <v>356</v>
      </c>
      <c r="Q279" s="95" t="s">
        <v>356</v>
      </c>
      <c r="R279" s="95" t="s">
        <v>1770</v>
      </c>
      <c r="S279" s="95" t="s">
        <v>817</v>
      </c>
      <c r="T279" s="95">
        <v>47</v>
      </c>
      <c r="U279" s="95" cm="1">
        <f t="array" ref="U279">IFERROR(INDEX('Offer Statistics'!$DS$2:$DS$350,MATCH(1,($A279='Offer Statistics'!$DD$2:$DD$350)*($A$11='Offer Statistics'!$DE$2:$DE$350),0)),"/")</f>
        <v>44</v>
      </c>
      <c r="V279" s="95" cm="1">
        <f t="array" ref="V279">IFERROR(INDEX('Offer Statistics'!$DF$2:$DF$350,MATCH(1,(A279='Offer Statistics'!$DD$2:$DD$350)*($A$11='Offer Statistics'!$DE$2:$DE$350),0)),"/")</f>
        <v>464</v>
      </c>
      <c r="W279" s="95" cm="1">
        <f t="array" ref="W279">IFERROR(INDEX('Offer Statistics'!$DN$2:$DN$350,MATCH(1,(A279='Offer Statistics'!$DD$2:$DD$350)*($A$11='Offer Statistics'!$DE$2:$DE$350),0)),"/")</f>
        <v>44</v>
      </c>
      <c r="X279" s="95">
        <f t="shared" ref="X279:X328" si="776">IFERROR(V279/W279,"新科目")</f>
        <v>10.545454545454545</v>
      </c>
      <c r="Y279" s="95" t="s">
        <v>817</v>
      </c>
      <c r="Z279" s="95">
        <f>入學要求!AF288</f>
        <v>0</v>
      </c>
      <c r="AA279" s="95" t="str">
        <f>入學要求!AG288</f>
        <v>/</v>
      </c>
      <c r="AB279" s="386" t="s">
        <v>12</v>
      </c>
      <c r="AE279" s="364" t="s">
        <v>356</v>
      </c>
      <c r="AF279" s="364" t="s">
        <v>356</v>
      </c>
      <c r="AG279" s="364" t="s">
        <v>1769</v>
      </c>
      <c r="AH279" s="364" t="s">
        <v>356</v>
      </c>
      <c r="AI279" s="364" t="s">
        <v>356</v>
      </c>
      <c r="AJ279" s="95" t="s">
        <v>356</v>
      </c>
      <c r="AK279" s="95" t="s">
        <v>356</v>
      </c>
      <c r="AL279" s="95" t="s">
        <v>356</v>
      </c>
      <c r="AM279" s="95" t="s">
        <v>3139</v>
      </c>
      <c r="AN279" s="95" t="s">
        <v>3143</v>
      </c>
      <c r="AO279" s="95" t="s">
        <v>356</v>
      </c>
      <c r="AP279" s="95" t="s">
        <v>3137</v>
      </c>
      <c r="AQ279" s="95" t="s">
        <v>3138</v>
      </c>
      <c r="AS279" s="95" t="s">
        <v>820</v>
      </c>
      <c r="AT279" s="95" t="s">
        <v>1771</v>
      </c>
      <c r="AU279" s="95" t="s">
        <v>817</v>
      </c>
      <c r="AY279" s="95">
        <v>1.5</v>
      </c>
      <c r="AZ279" s="95">
        <v>1.5</v>
      </c>
      <c r="BA279" s="95">
        <v>1</v>
      </c>
      <c r="BB279" s="95">
        <v>1</v>
      </c>
      <c r="BD279" s="95">
        <v>1.5</v>
      </c>
      <c r="BE279" s="95">
        <v>1</v>
      </c>
      <c r="BG279" s="218"/>
      <c r="BH279" s="95">
        <v>4</v>
      </c>
      <c r="BI279" s="95">
        <v>3</v>
      </c>
      <c r="BJ279" s="95">
        <v>2</v>
      </c>
      <c r="BK279" s="95">
        <v>4</v>
      </c>
      <c r="BM279" s="95">
        <v>4</v>
      </c>
      <c r="BN279" s="95">
        <v>3</v>
      </c>
      <c r="BO279" s="95" t="s">
        <v>356</v>
      </c>
      <c r="BP279" s="95">
        <f t="shared" ref="BP279:BP296" si="777">IFERROR(BH279+0.00000000001,0)</f>
        <v>4.00000000001</v>
      </c>
      <c r="BQ279" s="95">
        <f>IFERROR(BI279+0.00000000002,0)</f>
        <v>3.00000000002</v>
      </c>
      <c r="BR279" s="95">
        <f>IFERROR(BJ279+0.00000000003,0)</f>
        <v>2.00000000003</v>
      </c>
      <c r="BS279" s="95">
        <f>IFERROR(BK279+0.00000000004,0)</f>
        <v>4.00000000004</v>
      </c>
      <c r="BT279" s="95">
        <f>IFERROR(BL279+0.00000000005,0)</f>
        <v>5.0000000000000002E-11</v>
      </c>
      <c r="BU279" s="95">
        <f>IFERROR(BM279+0.00000000006,0)</f>
        <v>4.00000000006</v>
      </c>
      <c r="BV279" s="95">
        <f>IFERROR(BN279+0.00000000007,0)</f>
        <v>3.00000000007</v>
      </c>
      <c r="BW279" s="95">
        <f>IFERROR(BO279+0.00000000008,0)</f>
        <v>0</v>
      </c>
      <c r="BX279" s="95">
        <f t="shared" ref="BX279:BX296" si="778">AY279*BP279</f>
        <v>6.0000000000149996</v>
      </c>
      <c r="BY279" s="95">
        <f t="shared" ref="BY279:BY296" si="779">AZ279*BQ279</f>
        <v>4.50000000003</v>
      </c>
      <c r="BZ279" s="95">
        <f t="shared" ref="BZ279:BZ296" si="780">BA279*BR279</f>
        <v>2.00000000003</v>
      </c>
      <c r="CA279" s="95">
        <f t="shared" ref="CA279:CA296" si="781">BB279*BS279</f>
        <v>4.00000000004</v>
      </c>
      <c r="CB279" s="95">
        <f t="shared" ref="CB279:CB296" si="782">BC279*BT279</f>
        <v>0</v>
      </c>
      <c r="CC279" s="95">
        <f t="shared" ref="CC279:CC296" si="783">BD279*BU279</f>
        <v>6.00000000009</v>
      </c>
      <c r="CD279" s="95">
        <f t="shared" ref="CD279:CD296" si="784">BE279*BV279</f>
        <v>3.00000000007</v>
      </c>
      <c r="CE279" s="95">
        <f t="shared" ref="CE279:CE296" si="785">BF279*BW279</f>
        <v>0</v>
      </c>
      <c r="CF279" s="217" t="b">
        <f>IF(BX279&gt;LARGE($BX279:$CE279,6),TRUE)</f>
        <v>1</v>
      </c>
      <c r="CG279" s="217" t="b">
        <f t="shared" ref="CG279:CM279" si="786">IF(BY279&gt;LARGE($BX279:$CE279,6),TRUE)</f>
        <v>1</v>
      </c>
      <c r="CH279" s="217" t="b">
        <f t="shared" si="786"/>
        <v>0</v>
      </c>
      <c r="CI279" s="217" t="b">
        <f t="shared" si="786"/>
        <v>1</v>
      </c>
      <c r="CJ279" s="217" t="b">
        <f t="shared" si="786"/>
        <v>0</v>
      </c>
      <c r="CK279" s="217" t="b">
        <f t="shared" si="786"/>
        <v>1</v>
      </c>
      <c r="CL279" s="217" t="b">
        <f t="shared" si="786"/>
        <v>1</v>
      </c>
      <c r="CM279" s="217" t="b">
        <f t="shared" si="786"/>
        <v>0</v>
      </c>
      <c r="CN279" s="95">
        <v>1.5</v>
      </c>
      <c r="CO279" s="95">
        <v>1.5</v>
      </c>
      <c r="CP279" s="95">
        <v>1</v>
      </c>
      <c r="CQ279" s="95">
        <v>1</v>
      </c>
      <c r="CS279" s="95">
        <v>1.5</v>
      </c>
      <c r="CT279" s="95">
        <v>1</v>
      </c>
      <c r="CU279" s="218"/>
      <c r="CV279" s="218"/>
      <c r="CW279" s="218">
        <v>5</v>
      </c>
      <c r="CX279" s="218">
        <v>3</v>
      </c>
      <c r="CY279" s="218">
        <v>3</v>
      </c>
      <c r="CZ279" s="218">
        <v>4</v>
      </c>
      <c r="DA279" s="218"/>
      <c r="DB279" s="218">
        <v>4</v>
      </c>
      <c r="DC279" s="218">
        <v>3</v>
      </c>
      <c r="DD279" s="95" t="s">
        <v>356</v>
      </c>
      <c r="DE279" s="95">
        <f t="shared" ref="DE279:DE296" si="787">IFERROR(CW279+0.00000000001,0)</f>
        <v>5.00000000001</v>
      </c>
      <c r="DF279" s="95">
        <f>IFERROR(CX279+0.00000000002,0)</f>
        <v>3.00000000002</v>
      </c>
      <c r="DG279" s="95">
        <f>IFERROR(CY279+0.00000000003,0)</f>
        <v>3.00000000003</v>
      </c>
      <c r="DH279" s="95">
        <f>IFERROR(CZ279+0.00000000004,0)</f>
        <v>4.00000000004</v>
      </c>
      <c r="DI279" s="95">
        <f>IFERROR(DA279+0.00000000005,0)</f>
        <v>5.0000000000000002E-11</v>
      </c>
      <c r="DJ279" s="95">
        <f>IFERROR(DB279+0.00000000006,0)</f>
        <v>4.00000000006</v>
      </c>
      <c r="DK279" s="95">
        <f>IFERROR(DC279+0.00000000007,0)</f>
        <v>3.00000000007</v>
      </c>
      <c r="DL279" s="95">
        <f>IFERROR(DD279+0.00000000008,0)</f>
        <v>0</v>
      </c>
      <c r="DM279" s="95">
        <f t="shared" ref="DM279:DM296" si="788">CN279*DE279</f>
        <v>7.5000000000149996</v>
      </c>
      <c r="DN279" s="95">
        <f t="shared" ref="DN279:DN296" si="789">CO279*DF279</f>
        <v>4.50000000003</v>
      </c>
      <c r="DO279" s="95">
        <f t="shared" ref="DO279:DO296" si="790">CP279*DG279</f>
        <v>3.00000000003</v>
      </c>
      <c r="DP279" s="95">
        <f t="shared" ref="DP279:DP296" si="791">CQ279*DH279</f>
        <v>4.00000000004</v>
      </c>
      <c r="DQ279" s="95">
        <f t="shared" ref="DQ279:DQ296" si="792">CR279*DI279</f>
        <v>0</v>
      </c>
      <c r="DR279" s="95">
        <f t="shared" ref="DR279:DR296" si="793">CS279*DJ279</f>
        <v>6.00000000009</v>
      </c>
      <c r="DS279" s="95">
        <f t="shared" ref="DS279:DS296" si="794">CT279*DK279</f>
        <v>3.00000000007</v>
      </c>
      <c r="DT279" s="95">
        <f t="shared" ref="DT279:DT296" si="795">CU279*DL279</f>
        <v>0</v>
      </c>
      <c r="DU279" s="217" t="b">
        <f>IF(DM279&gt;LARGE($DM279:$DT279,6),TRUE)</f>
        <v>1</v>
      </c>
      <c r="DV279" s="217" t="b">
        <f t="shared" ref="DV279:EB279" si="796">IF(DN279&gt;LARGE($DM279:$DT279,6),TRUE)</f>
        <v>1</v>
      </c>
      <c r="DW279" s="217" t="b">
        <f t="shared" si="796"/>
        <v>0</v>
      </c>
      <c r="DX279" s="217" t="b">
        <f t="shared" si="796"/>
        <v>1</v>
      </c>
      <c r="DY279" s="217" t="b">
        <f t="shared" si="796"/>
        <v>0</v>
      </c>
      <c r="DZ279" s="217" t="b">
        <f t="shared" si="796"/>
        <v>1</v>
      </c>
      <c r="EA279" s="217" t="b">
        <f t="shared" si="796"/>
        <v>1</v>
      </c>
      <c r="EB279" s="217" t="b">
        <f t="shared" si="796"/>
        <v>0</v>
      </c>
    </row>
    <row r="280" spans="1:172" s="427" customFormat="1">
      <c r="A280" s="427" t="s">
        <v>1772</v>
      </c>
      <c r="B280" s="427" t="s">
        <v>411</v>
      </c>
      <c r="C280" s="427" t="s">
        <v>1773</v>
      </c>
      <c r="D280" s="427" t="s">
        <v>1774</v>
      </c>
      <c r="E280" s="427" t="s">
        <v>12</v>
      </c>
      <c r="F280" s="427" t="s">
        <v>356</v>
      </c>
      <c r="G280" s="427" t="s">
        <v>435</v>
      </c>
      <c r="H280" s="427">
        <v>24</v>
      </c>
      <c r="I280" s="464">
        <v>23.5</v>
      </c>
      <c r="J280" s="464"/>
      <c r="K280" s="464">
        <f t="shared" ref="K280:K296" si="797">SUMIF(DU280:EB280,TRUE,DM280:DT280)</f>
        <v>23.000000000239996</v>
      </c>
      <c r="L280" s="464">
        <f t="shared" ref="L280:L296" si="798">SUMIF(CF280:CM280,TRUE,BX280:CE280)</f>
        <v>20.00000000024</v>
      </c>
      <c r="M280" s="427" t="s">
        <v>3136</v>
      </c>
      <c r="N280" s="427" t="s">
        <v>1768</v>
      </c>
      <c r="O280" s="427" t="s">
        <v>874</v>
      </c>
      <c r="P280" s="427" t="s">
        <v>1776</v>
      </c>
      <c r="Q280" s="427" t="s">
        <v>356</v>
      </c>
      <c r="R280" s="427" t="s">
        <v>1775</v>
      </c>
      <c r="S280" s="427" t="s">
        <v>817</v>
      </c>
      <c r="T280" s="427">
        <v>20</v>
      </c>
      <c r="U280" s="427" cm="1">
        <f t="array" ref="U280">IFERROR(INDEX('Offer Statistics'!$DS$2:$DS$350,MATCH(1,($A280='Offer Statistics'!$DD$2:$DD$350)*($A$11='Offer Statistics'!$DE$2:$DE$350),0)),"/")</f>
        <v>21</v>
      </c>
      <c r="V280" s="427" cm="1">
        <f t="array" ref="V280">IFERROR(INDEX('Offer Statistics'!$DF$2:$DF$350,MATCH(1,(A280='Offer Statistics'!$DD$2:$DD$350)*($A$11='Offer Statistics'!$DE$2:$DE$350),0)),"/")</f>
        <v>194</v>
      </c>
      <c r="W280" s="427" cm="1">
        <f t="array" ref="W280">IFERROR(INDEX('Offer Statistics'!$DN$2:$DN$350,MATCH(1,(A280='Offer Statistics'!$DD$2:$DD$350)*($A$11='Offer Statistics'!$DE$2:$DE$350),0)),"/")</f>
        <v>19</v>
      </c>
      <c r="X280" s="427">
        <f t="shared" si="776"/>
        <v>10.210526315789474</v>
      </c>
      <c r="Y280" s="427" t="s">
        <v>817</v>
      </c>
      <c r="Z280" s="427">
        <f>入學要求!AF289</f>
        <v>0</v>
      </c>
      <c r="AA280" s="427" t="str">
        <f>入學要求!AG289</f>
        <v>/</v>
      </c>
      <c r="AB280" s="405" t="s">
        <v>12</v>
      </c>
      <c r="AC280" s="410" t="s">
        <v>3144</v>
      </c>
      <c r="AD280" s="427" t="s">
        <v>2855</v>
      </c>
      <c r="AE280" s="427" t="s">
        <v>356</v>
      </c>
      <c r="AF280" s="406" t="s">
        <v>356</v>
      </c>
      <c r="AG280" s="406" t="s">
        <v>874</v>
      </c>
      <c r="AH280" s="405" t="s">
        <v>3026</v>
      </c>
      <c r="AI280" s="405" t="s">
        <v>3140</v>
      </c>
      <c r="AJ280" s="95" t="s">
        <v>356</v>
      </c>
      <c r="AK280" s="95" t="s">
        <v>356</v>
      </c>
      <c r="AL280" s="95" t="s">
        <v>356</v>
      </c>
      <c r="AM280" s="427" t="s">
        <v>1790</v>
      </c>
      <c r="AN280" s="427" t="s">
        <v>3142</v>
      </c>
      <c r="AO280" s="427" t="s">
        <v>356</v>
      </c>
      <c r="AP280" s="427" t="s">
        <v>3152</v>
      </c>
      <c r="AQ280" s="427" t="s">
        <v>3141</v>
      </c>
      <c r="AS280" s="427" t="s">
        <v>820</v>
      </c>
      <c r="AT280" s="427" t="s">
        <v>1771</v>
      </c>
      <c r="AU280" s="427" t="s">
        <v>817</v>
      </c>
      <c r="AY280" s="427">
        <v>1</v>
      </c>
      <c r="AZ280" s="427">
        <v>2</v>
      </c>
      <c r="BA280" s="427">
        <v>1</v>
      </c>
      <c r="BB280" s="427">
        <v>1.5</v>
      </c>
      <c r="BD280" s="427">
        <v>1</v>
      </c>
      <c r="BE280" s="427">
        <v>1</v>
      </c>
      <c r="BG280" s="465"/>
      <c r="BH280" s="427">
        <v>3</v>
      </c>
      <c r="BI280" s="427">
        <v>3</v>
      </c>
      <c r="BJ280" s="427">
        <v>2</v>
      </c>
      <c r="BK280" s="427">
        <v>4</v>
      </c>
      <c r="BM280" s="427">
        <v>3</v>
      </c>
      <c r="BN280" s="427">
        <v>2</v>
      </c>
      <c r="BO280" s="427" t="s">
        <v>356</v>
      </c>
      <c r="BP280" s="427">
        <f t="shared" si="777"/>
        <v>3.00000000001</v>
      </c>
      <c r="BQ280" s="427">
        <f t="shared" ref="BQ280:BQ296" si="799">IFERROR(BI280+0.00000000002,0)</f>
        <v>3.00000000002</v>
      </c>
      <c r="BR280" s="427">
        <f t="shared" ref="BR280:BR296" si="800">IFERROR(BJ280+0.00000000003,0)</f>
        <v>2.00000000003</v>
      </c>
      <c r="BS280" s="427">
        <f t="shared" ref="BS280:BS296" si="801">IFERROR(BK280+0.00000000004,0)</f>
        <v>4.00000000004</v>
      </c>
      <c r="BT280" s="427">
        <f t="shared" ref="BT280:BT296" si="802">IFERROR(BL280+0.00000000005,0)</f>
        <v>5.0000000000000002E-11</v>
      </c>
      <c r="BU280" s="427">
        <f t="shared" ref="BU280:BU296" si="803">IFERROR(BM280+0.00000000006,0)</f>
        <v>3.00000000006</v>
      </c>
      <c r="BV280" s="427">
        <f t="shared" ref="BV280:BV296" si="804">IFERROR(BN280+0.00000000007,0)</f>
        <v>2.00000000007</v>
      </c>
      <c r="BW280" s="427">
        <f t="shared" ref="BW280:BW296" si="805">IFERROR(BO280+0.00000000008,0)</f>
        <v>0</v>
      </c>
      <c r="BX280" s="427">
        <f t="shared" si="778"/>
        <v>3.00000000001</v>
      </c>
      <c r="BY280" s="427">
        <f t="shared" si="779"/>
        <v>6.00000000004</v>
      </c>
      <c r="BZ280" s="427">
        <f t="shared" si="780"/>
        <v>2.00000000003</v>
      </c>
      <c r="CA280" s="427">
        <f t="shared" si="781"/>
        <v>6.00000000006</v>
      </c>
      <c r="CB280" s="427">
        <f t="shared" si="782"/>
        <v>0</v>
      </c>
      <c r="CC280" s="427">
        <f t="shared" si="783"/>
        <v>3.00000000006</v>
      </c>
      <c r="CD280" s="427">
        <f t="shared" si="784"/>
        <v>2.00000000007</v>
      </c>
      <c r="CE280" s="427">
        <f t="shared" si="785"/>
        <v>0</v>
      </c>
      <c r="CF280" s="466" t="b">
        <f t="shared" ref="CF280:CF296" si="806">IF(BX280&gt;LARGE($BX280:$CE280,6),TRUE)</f>
        <v>1</v>
      </c>
      <c r="CG280" s="466" t="b">
        <f t="shared" ref="CG280:CG296" si="807">IF(BY280&gt;LARGE($BX280:$CE280,6),TRUE)</f>
        <v>1</v>
      </c>
      <c r="CH280" s="466" t="b">
        <f t="shared" ref="CH280:CH296" si="808">IF(BZ280&gt;LARGE($BX280:$CE280,6),TRUE)</f>
        <v>0</v>
      </c>
      <c r="CI280" s="466" t="b">
        <f t="shared" ref="CI280:CI296" si="809">IF(CA280&gt;LARGE($BX280:$CE280,6),TRUE)</f>
        <v>1</v>
      </c>
      <c r="CJ280" s="466" t="b">
        <f t="shared" ref="CJ280:CJ296" si="810">IF(CB280&gt;LARGE($BX280:$CE280,6),TRUE)</f>
        <v>0</v>
      </c>
      <c r="CK280" s="466" t="b">
        <f t="shared" ref="CK280:CK296" si="811">IF(CC280&gt;LARGE($BX280:$CE280,6),TRUE)</f>
        <v>1</v>
      </c>
      <c r="CL280" s="466" t="b">
        <f t="shared" ref="CL280:CL296" si="812">IF(CD280&gt;LARGE($BX280:$CE280,6),TRUE)</f>
        <v>1</v>
      </c>
      <c r="CM280" s="466" t="b">
        <f t="shared" ref="CM280:CM296" si="813">IF(CE280&gt;LARGE($BX280:$CE280,6),TRUE)</f>
        <v>0</v>
      </c>
      <c r="CN280" s="427">
        <v>1</v>
      </c>
      <c r="CO280" s="427">
        <v>2</v>
      </c>
      <c r="CP280" s="427">
        <v>1</v>
      </c>
      <c r="CQ280" s="427">
        <v>1.5</v>
      </c>
      <c r="CS280" s="427">
        <v>1</v>
      </c>
      <c r="CT280" s="427">
        <v>1</v>
      </c>
      <c r="CU280" s="465"/>
      <c r="CV280" s="465"/>
      <c r="CW280" s="465">
        <v>4</v>
      </c>
      <c r="CX280" s="465">
        <v>3</v>
      </c>
      <c r="CY280" s="465">
        <v>3</v>
      </c>
      <c r="CZ280" s="465">
        <v>4</v>
      </c>
      <c r="DA280" s="465"/>
      <c r="DB280" s="465">
        <v>4</v>
      </c>
      <c r="DC280" s="465">
        <v>3</v>
      </c>
      <c r="DD280" s="427" t="s">
        <v>356</v>
      </c>
      <c r="DE280" s="427">
        <f t="shared" si="787"/>
        <v>4.00000000001</v>
      </c>
      <c r="DF280" s="427">
        <f t="shared" ref="DF280:DF296" si="814">IFERROR(CX280+0.00000000002,0)</f>
        <v>3.00000000002</v>
      </c>
      <c r="DG280" s="427">
        <f t="shared" ref="DG280:DG296" si="815">IFERROR(CY280+0.00000000003,0)</f>
        <v>3.00000000003</v>
      </c>
      <c r="DH280" s="427">
        <f t="shared" ref="DH280:DH296" si="816">IFERROR(CZ280+0.00000000004,0)</f>
        <v>4.00000000004</v>
      </c>
      <c r="DI280" s="427">
        <f t="shared" ref="DI280:DI296" si="817">IFERROR(DA280+0.00000000005,0)</f>
        <v>5.0000000000000002E-11</v>
      </c>
      <c r="DJ280" s="427">
        <f t="shared" ref="DJ280:DJ296" si="818">IFERROR(DB280+0.00000000006,0)</f>
        <v>4.00000000006</v>
      </c>
      <c r="DK280" s="427">
        <f t="shared" ref="DK280:DK296" si="819">IFERROR(DC280+0.00000000007,0)</f>
        <v>3.00000000007</v>
      </c>
      <c r="DL280" s="427">
        <f t="shared" ref="DL280:DL296" si="820">IFERROR(DD280+0.00000000008,0)</f>
        <v>0</v>
      </c>
      <c r="DM280" s="427">
        <f t="shared" si="788"/>
        <v>4.00000000001</v>
      </c>
      <c r="DN280" s="427">
        <f t="shared" si="789"/>
        <v>6.00000000004</v>
      </c>
      <c r="DO280" s="427">
        <f t="shared" si="790"/>
        <v>3.00000000003</v>
      </c>
      <c r="DP280" s="427">
        <f t="shared" si="791"/>
        <v>6.00000000006</v>
      </c>
      <c r="DQ280" s="427">
        <f t="shared" si="792"/>
        <v>0</v>
      </c>
      <c r="DR280" s="427">
        <f t="shared" si="793"/>
        <v>4.00000000006</v>
      </c>
      <c r="DS280" s="427">
        <f t="shared" si="794"/>
        <v>3.00000000007</v>
      </c>
      <c r="DT280" s="427">
        <f t="shared" si="795"/>
        <v>0</v>
      </c>
      <c r="DU280" s="466" t="b">
        <f t="shared" ref="DU280:DU296" si="821">IF(DM280&gt;LARGE($DM280:$DT280,6),TRUE)</f>
        <v>1</v>
      </c>
      <c r="DV280" s="466" t="b">
        <f t="shared" ref="DV280:DV296" si="822">IF(DN280&gt;LARGE($DM280:$DT280,6),TRUE)</f>
        <v>1</v>
      </c>
      <c r="DW280" s="466" t="b">
        <f t="shared" ref="DW280:DW296" si="823">IF(DO280&gt;LARGE($DM280:$DT280,6),TRUE)</f>
        <v>0</v>
      </c>
      <c r="DX280" s="466" t="b">
        <f t="shared" ref="DX280:DX296" si="824">IF(DP280&gt;LARGE($DM280:$DT280,6),TRUE)</f>
        <v>1</v>
      </c>
      <c r="DY280" s="466" t="b">
        <f t="shared" ref="DY280:DY296" si="825">IF(DQ280&gt;LARGE($DM280:$DT280,6),TRUE)</f>
        <v>0</v>
      </c>
      <c r="DZ280" s="466" t="b">
        <f t="shared" ref="DZ280:DZ296" si="826">IF(DR280&gt;LARGE($DM280:$DT280,6),TRUE)</f>
        <v>1</v>
      </c>
      <c r="EA280" s="466" t="b">
        <f t="shared" ref="EA280:EA296" si="827">IF(DS280&gt;LARGE($DM280:$DT280,6),TRUE)</f>
        <v>1</v>
      </c>
      <c r="EB280" s="466" t="b">
        <f t="shared" ref="EB280:EB296" si="828">IF(DT280&gt;LARGE($DM280:$DT280,6),TRUE)</f>
        <v>0</v>
      </c>
    </row>
    <row r="281" spans="1:172" s="95" customFormat="1">
      <c r="A281" s="95" t="s">
        <v>1778</v>
      </c>
      <c r="B281" s="95" t="s">
        <v>411</v>
      </c>
      <c r="C281" s="95" t="s">
        <v>1064</v>
      </c>
      <c r="D281" s="95" t="s">
        <v>1779</v>
      </c>
      <c r="E281" s="95" t="s">
        <v>889</v>
      </c>
      <c r="F281" s="95" t="s">
        <v>356</v>
      </c>
      <c r="G281" s="95" t="s">
        <v>435</v>
      </c>
      <c r="H281" s="95">
        <v>23</v>
      </c>
      <c r="I281" s="219">
        <v>22.5</v>
      </c>
      <c r="J281" s="219"/>
      <c r="K281" s="219">
        <f t="shared" si="797"/>
        <v>23.000000000215</v>
      </c>
      <c r="L281" s="219">
        <f t="shared" si="798"/>
        <v>22.00000000028</v>
      </c>
      <c r="M281" s="95" t="s">
        <v>3136</v>
      </c>
      <c r="N281" s="95" t="s">
        <v>1768</v>
      </c>
      <c r="O281" s="95" t="s">
        <v>1782</v>
      </c>
      <c r="P281" s="95" t="s">
        <v>356</v>
      </c>
      <c r="Q281" s="95" t="s">
        <v>356</v>
      </c>
      <c r="R281" s="95" t="s">
        <v>1781</v>
      </c>
      <c r="S281" s="95" t="s">
        <v>817</v>
      </c>
      <c r="T281" s="95">
        <v>12</v>
      </c>
      <c r="U281" s="95" cm="1">
        <f t="array" ref="U281">IFERROR(INDEX('Offer Statistics'!$DS$2:$DS$350,MATCH(1,($A281='Offer Statistics'!$DD$2:$DD$350)*($A$11='Offer Statistics'!$DE$2:$DE$350),0)),"/")</f>
        <v>12</v>
      </c>
      <c r="V281" s="95" cm="1">
        <f t="array" ref="V281">IFERROR(INDEX('Offer Statistics'!$DF$2:$DF$350,MATCH(1,(A281='Offer Statistics'!$DD$2:$DD$350)*($A$11='Offer Statistics'!$DE$2:$DE$350),0)),"/")</f>
        <v>481</v>
      </c>
      <c r="W281" s="95" cm="1">
        <f t="array" ref="W281">IFERROR(INDEX('Offer Statistics'!$DN$2:$DN$350,MATCH(1,(A281='Offer Statistics'!$DD$2:$DD$350)*($A$11='Offer Statistics'!$DE$2:$DE$350),0)),"/")</f>
        <v>12</v>
      </c>
      <c r="X281" s="95">
        <f t="shared" si="776"/>
        <v>40.083333333333336</v>
      </c>
      <c r="Y281" s="95" t="s">
        <v>817</v>
      </c>
      <c r="Z281" s="95">
        <f>入學要求!AF290</f>
        <v>0</v>
      </c>
      <c r="AA281" s="95" t="str">
        <f>入學要求!AG290</f>
        <v>/</v>
      </c>
      <c r="AB281" s="386" t="s">
        <v>889</v>
      </c>
      <c r="AC281" s="364"/>
      <c r="AD281" s="364"/>
      <c r="AE281" s="364" t="s">
        <v>356</v>
      </c>
      <c r="AF281" s="364" t="s">
        <v>356</v>
      </c>
      <c r="AG281" s="364" t="s">
        <v>1782</v>
      </c>
      <c r="AH281" s="364" t="s">
        <v>356</v>
      </c>
      <c r="AI281" s="95" t="s">
        <v>356</v>
      </c>
      <c r="AJ281" s="95" t="s">
        <v>356</v>
      </c>
      <c r="AK281" s="95" t="s">
        <v>356</v>
      </c>
      <c r="AL281" s="95" t="s">
        <v>356</v>
      </c>
      <c r="AM281" s="95" t="s">
        <v>3151</v>
      </c>
      <c r="AN281" s="95" t="s">
        <v>3154</v>
      </c>
      <c r="AO281" s="95" t="s">
        <v>356</v>
      </c>
      <c r="AP281" s="95" t="s">
        <v>3153</v>
      </c>
      <c r="AQ281" s="95" t="s">
        <v>3155</v>
      </c>
      <c r="AS281" s="95" t="s">
        <v>820</v>
      </c>
      <c r="AT281" s="95" t="s">
        <v>1771</v>
      </c>
      <c r="AU281" s="95" t="s">
        <v>817</v>
      </c>
      <c r="AY281" s="95">
        <v>1.5</v>
      </c>
      <c r="AZ281" s="95">
        <v>1.5</v>
      </c>
      <c r="BA281" s="95">
        <v>1</v>
      </c>
      <c r="BB281" s="95">
        <v>1</v>
      </c>
      <c r="BD281" s="95">
        <v>1.5</v>
      </c>
      <c r="BE281" s="95">
        <v>1.5</v>
      </c>
      <c r="BG281" s="218"/>
      <c r="BH281" s="95">
        <v>4</v>
      </c>
      <c r="BI281" s="95">
        <v>3</v>
      </c>
      <c r="BJ281" s="95">
        <v>3</v>
      </c>
      <c r="BK281" s="95">
        <v>4</v>
      </c>
      <c r="BM281" s="95">
        <v>3</v>
      </c>
      <c r="BN281" s="95">
        <v>2</v>
      </c>
      <c r="BO281" s="95" t="s">
        <v>356</v>
      </c>
      <c r="BP281" s="95">
        <f t="shared" si="777"/>
        <v>4.00000000001</v>
      </c>
      <c r="BQ281" s="95">
        <f t="shared" si="799"/>
        <v>3.00000000002</v>
      </c>
      <c r="BR281" s="95">
        <f t="shared" si="800"/>
        <v>3.00000000003</v>
      </c>
      <c r="BS281" s="95">
        <f t="shared" si="801"/>
        <v>4.00000000004</v>
      </c>
      <c r="BT281" s="95">
        <f t="shared" si="802"/>
        <v>5.0000000000000002E-11</v>
      </c>
      <c r="BU281" s="95">
        <f t="shared" si="803"/>
        <v>3.00000000006</v>
      </c>
      <c r="BV281" s="95">
        <f t="shared" si="804"/>
        <v>2.00000000007</v>
      </c>
      <c r="BW281" s="95">
        <f t="shared" si="805"/>
        <v>0</v>
      </c>
      <c r="BX281" s="95">
        <f t="shared" si="778"/>
        <v>6.0000000000149996</v>
      </c>
      <c r="BY281" s="95">
        <f t="shared" si="779"/>
        <v>4.50000000003</v>
      </c>
      <c r="BZ281" s="95">
        <f t="shared" si="780"/>
        <v>3.00000000003</v>
      </c>
      <c r="CA281" s="95">
        <f t="shared" si="781"/>
        <v>4.00000000004</v>
      </c>
      <c r="CB281" s="95">
        <f t="shared" si="782"/>
        <v>0</v>
      </c>
      <c r="CC281" s="95">
        <f t="shared" si="783"/>
        <v>4.50000000009</v>
      </c>
      <c r="CD281" s="95">
        <f t="shared" si="784"/>
        <v>3.000000000105</v>
      </c>
      <c r="CE281" s="95">
        <f t="shared" si="785"/>
        <v>0</v>
      </c>
      <c r="CF281" s="217" t="b">
        <f t="shared" si="806"/>
        <v>1</v>
      </c>
      <c r="CG281" s="217" t="b">
        <f t="shared" si="807"/>
        <v>1</v>
      </c>
      <c r="CH281" s="217" t="b">
        <f t="shared" si="808"/>
        <v>0</v>
      </c>
      <c r="CI281" s="217" t="b">
        <f t="shared" si="809"/>
        <v>1</v>
      </c>
      <c r="CJ281" s="217" t="b">
        <f t="shared" si="810"/>
        <v>0</v>
      </c>
      <c r="CK281" s="217" t="b">
        <f t="shared" si="811"/>
        <v>1</v>
      </c>
      <c r="CL281" s="217" t="b">
        <f t="shared" si="812"/>
        <v>1</v>
      </c>
      <c r="CM281" s="217" t="b">
        <f t="shared" si="813"/>
        <v>0</v>
      </c>
      <c r="CN281" s="95">
        <v>1.5</v>
      </c>
      <c r="CO281" s="95">
        <v>1.5</v>
      </c>
      <c r="CP281" s="95">
        <v>1</v>
      </c>
      <c r="CQ281" s="95">
        <v>1</v>
      </c>
      <c r="CS281" s="95">
        <v>1</v>
      </c>
      <c r="CT281" s="95">
        <v>1</v>
      </c>
      <c r="CU281" s="218"/>
      <c r="CV281" s="218"/>
      <c r="CW281" s="218">
        <v>4</v>
      </c>
      <c r="CX281" s="218">
        <v>4</v>
      </c>
      <c r="CY281" s="218">
        <v>3</v>
      </c>
      <c r="CZ281" s="218">
        <v>4</v>
      </c>
      <c r="DA281" s="218"/>
      <c r="DB281" s="218">
        <v>4</v>
      </c>
      <c r="DC281" s="218">
        <v>3</v>
      </c>
      <c r="DD281" s="95" t="s">
        <v>356</v>
      </c>
      <c r="DE281" s="95">
        <f t="shared" si="787"/>
        <v>4.00000000001</v>
      </c>
      <c r="DF281" s="95">
        <f t="shared" si="814"/>
        <v>4.00000000002</v>
      </c>
      <c r="DG281" s="95">
        <f t="shared" si="815"/>
        <v>3.00000000003</v>
      </c>
      <c r="DH281" s="95">
        <f t="shared" si="816"/>
        <v>4.00000000004</v>
      </c>
      <c r="DI281" s="95">
        <f t="shared" si="817"/>
        <v>5.0000000000000002E-11</v>
      </c>
      <c r="DJ281" s="95">
        <f t="shared" si="818"/>
        <v>4.00000000006</v>
      </c>
      <c r="DK281" s="95">
        <f t="shared" si="819"/>
        <v>3.00000000007</v>
      </c>
      <c r="DL281" s="95">
        <f t="shared" si="820"/>
        <v>0</v>
      </c>
      <c r="DM281" s="95">
        <f t="shared" si="788"/>
        <v>6.0000000000149996</v>
      </c>
      <c r="DN281" s="95">
        <f t="shared" si="789"/>
        <v>6.00000000003</v>
      </c>
      <c r="DO281" s="95">
        <f t="shared" si="790"/>
        <v>3.00000000003</v>
      </c>
      <c r="DP281" s="95">
        <f t="shared" si="791"/>
        <v>4.00000000004</v>
      </c>
      <c r="DQ281" s="95">
        <f t="shared" si="792"/>
        <v>0</v>
      </c>
      <c r="DR281" s="95">
        <f t="shared" si="793"/>
        <v>4.00000000006</v>
      </c>
      <c r="DS281" s="95">
        <f t="shared" si="794"/>
        <v>3.00000000007</v>
      </c>
      <c r="DT281" s="95">
        <f t="shared" si="795"/>
        <v>0</v>
      </c>
      <c r="DU281" s="217" t="b">
        <f t="shared" si="821"/>
        <v>1</v>
      </c>
      <c r="DV281" s="217" t="b">
        <f t="shared" si="822"/>
        <v>1</v>
      </c>
      <c r="DW281" s="217" t="b">
        <f t="shared" si="823"/>
        <v>0</v>
      </c>
      <c r="DX281" s="217" t="b">
        <f t="shared" si="824"/>
        <v>1</v>
      </c>
      <c r="DY281" s="217" t="b">
        <f t="shared" si="825"/>
        <v>0</v>
      </c>
      <c r="DZ281" s="217" t="b">
        <f t="shared" si="826"/>
        <v>1</v>
      </c>
      <c r="EA281" s="217" t="b">
        <f t="shared" si="827"/>
        <v>1</v>
      </c>
      <c r="EB281" s="217" t="b">
        <f t="shared" si="828"/>
        <v>0</v>
      </c>
    </row>
    <row r="282" spans="1:172" s="95" customFormat="1">
      <c r="A282" s="95" t="s">
        <v>1783</v>
      </c>
      <c r="B282" s="95" t="s">
        <v>411</v>
      </c>
      <c r="C282" s="95" t="s">
        <v>813</v>
      </c>
      <c r="D282" s="95" t="s">
        <v>1784</v>
      </c>
      <c r="E282" s="95" t="s">
        <v>889</v>
      </c>
      <c r="F282" s="95" t="s">
        <v>356</v>
      </c>
      <c r="G282" s="95" t="s">
        <v>435</v>
      </c>
      <c r="H282" s="95">
        <v>23</v>
      </c>
      <c r="I282" s="219">
        <v>23</v>
      </c>
      <c r="J282" s="219"/>
      <c r="K282" s="219">
        <f t="shared" si="797"/>
        <v>23.000000000254996</v>
      </c>
      <c r="L282" s="219">
        <f t="shared" si="798"/>
        <v>20.500000000255</v>
      </c>
      <c r="M282" s="95" t="s">
        <v>3136</v>
      </c>
      <c r="N282" s="95" t="s">
        <v>1768</v>
      </c>
      <c r="O282" s="95" t="s">
        <v>874</v>
      </c>
      <c r="P282" s="95" t="s">
        <v>884</v>
      </c>
      <c r="Q282" s="95" t="s">
        <v>356</v>
      </c>
      <c r="R282" s="95" t="s">
        <v>1785</v>
      </c>
      <c r="S282" s="95" t="s">
        <v>817</v>
      </c>
      <c r="T282" s="95">
        <v>137</v>
      </c>
      <c r="U282" s="95" cm="1">
        <f t="array" ref="U282">IFERROR(INDEX('Offer Statistics'!$DS$2:$DS$350,MATCH(1,($A282='Offer Statistics'!$DD$2:$DD$350)*($A$11='Offer Statistics'!$DE$2:$DE$350),0)),"/")</f>
        <v>181</v>
      </c>
      <c r="V282" s="95" cm="1">
        <f t="array" ref="V282">IFERROR(INDEX('Offer Statistics'!$DF$2:$DF$350,MATCH(1,(A282='Offer Statistics'!$DD$2:$DD$350)*($A$11='Offer Statistics'!$DE$2:$DE$350),0)),"/")</f>
        <v>1066</v>
      </c>
      <c r="W282" s="95" cm="1">
        <f t="array" ref="W282">IFERROR(INDEX('Offer Statistics'!$DN$2:$DN$350,MATCH(1,(A282='Offer Statistics'!$DD$2:$DD$350)*($A$11='Offer Statistics'!$DE$2:$DE$350),0)),"/")</f>
        <v>181</v>
      </c>
      <c r="X282" s="95">
        <f t="shared" si="776"/>
        <v>5.8895027624309391</v>
      </c>
      <c r="Y282" s="95" t="s">
        <v>817</v>
      </c>
      <c r="Z282" s="95">
        <f>入學要求!AF291</f>
        <v>0</v>
      </c>
      <c r="AA282" s="95" t="str">
        <f>入學要求!AG291</f>
        <v>/</v>
      </c>
      <c r="AB282" s="386" t="s">
        <v>889</v>
      </c>
      <c r="AC282" s="51"/>
      <c r="AD282" s="364"/>
      <c r="AE282" s="364" t="s">
        <v>356</v>
      </c>
      <c r="AF282" s="364" t="s">
        <v>356</v>
      </c>
      <c r="AG282" s="364" t="s">
        <v>874</v>
      </c>
      <c r="AH282" s="364" t="s">
        <v>884</v>
      </c>
      <c r="AI282" s="95" t="s">
        <v>356</v>
      </c>
      <c r="AJ282" s="95" t="s">
        <v>356</v>
      </c>
      <c r="AK282" s="95" t="s">
        <v>356</v>
      </c>
      <c r="AL282" s="95" t="s">
        <v>356</v>
      </c>
      <c r="AM282" s="95" t="s">
        <v>1777</v>
      </c>
      <c r="AN282" s="95" t="s">
        <v>3187</v>
      </c>
      <c r="AO282" s="95" t="s">
        <v>356</v>
      </c>
      <c r="AP282" s="95" t="s">
        <v>3156</v>
      </c>
      <c r="AQ282" s="95" t="s">
        <v>3192</v>
      </c>
      <c r="AR282" s="51"/>
      <c r="AS282" s="95" t="s">
        <v>820</v>
      </c>
      <c r="AT282" s="95" t="s">
        <v>1771</v>
      </c>
      <c r="AU282" s="95" t="s">
        <v>817</v>
      </c>
      <c r="AY282" s="95">
        <v>1</v>
      </c>
      <c r="AZ282" s="95">
        <v>2</v>
      </c>
      <c r="BA282" s="95">
        <v>1.5</v>
      </c>
      <c r="BB282" s="95">
        <v>1</v>
      </c>
      <c r="BD282" s="95">
        <v>1</v>
      </c>
      <c r="BE282" s="95">
        <v>1</v>
      </c>
      <c r="BG282" s="218"/>
      <c r="BH282" s="95">
        <v>3</v>
      </c>
      <c r="BI282" s="95">
        <v>3</v>
      </c>
      <c r="BJ282" s="95">
        <v>3</v>
      </c>
      <c r="BK282" s="95">
        <v>3</v>
      </c>
      <c r="BM282" s="95">
        <v>4</v>
      </c>
      <c r="BN282" s="95">
        <v>3</v>
      </c>
      <c r="BO282" s="95" t="s">
        <v>356</v>
      </c>
      <c r="BP282" s="95">
        <f t="shared" si="777"/>
        <v>3.00000000001</v>
      </c>
      <c r="BQ282" s="95">
        <f t="shared" si="799"/>
        <v>3.00000000002</v>
      </c>
      <c r="BR282" s="95">
        <f t="shared" si="800"/>
        <v>3.00000000003</v>
      </c>
      <c r="BS282" s="95">
        <f t="shared" si="801"/>
        <v>3.00000000004</v>
      </c>
      <c r="BT282" s="95">
        <f t="shared" si="802"/>
        <v>5.0000000000000002E-11</v>
      </c>
      <c r="BU282" s="95">
        <f t="shared" si="803"/>
        <v>4.00000000006</v>
      </c>
      <c r="BV282" s="95">
        <f t="shared" si="804"/>
        <v>3.00000000007</v>
      </c>
      <c r="BW282" s="95">
        <f t="shared" si="805"/>
        <v>0</v>
      </c>
      <c r="BX282" s="95">
        <f t="shared" si="778"/>
        <v>3.00000000001</v>
      </c>
      <c r="BY282" s="95">
        <f t="shared" si="779"/>
        <v>6.00000000004</v>
      </c>
      <c r="BZ282" s="95">
        <f t="shared" si="780"/>
        <v>4.5000000000450004</v>
      </c>
      <c r="CA282" s="95">
        <f t="shared" si="781"/>
        <v>3.00000000004</v>
      </c>
      <c r="CB282" s="95">
        <f t="shared" si="782"/>
        <v>0</v>
      </c>
      <c r="CC282" s="95">
        <f t="shared" si="783"/>
        <v>4.00000000006</v>
      </c>
      <c r="CD282" s="95">
        <f t="shared" si="784"/>
        <v>3.00000000007</v>
      </c>
      <c r="CE282" s="95">
        <f t="shared" si="785"/>
        <v>0</v>
      </c>
      <c r="CF282" s="217" t="b">
        <f t="shared" si="806"/>
        <v>0</v>
      </c>
      <c r="CG282" s="217" t="b">
        <f t="shared" si="807"/>
        <v>1</v>
      </c>
      <c r="CH282" s="217" t="b">
        <f t="shared" si="808"/>
        <v>1</v>
      </c>
      <c r="CI282" s="217" t="b">
        <f t="shared" si="809"/>
        <v>1</v>
      </c>
      <c r="CJ282" s="217" t="b">
        <f t="shared" si="810"/>
        <v>0</v>
      </c>
      <c r="CK282" s="217" t="b">
        <f t="shared" si="811"/>
        <v>1</v>
      </c>
      <c r="CL282" s="217" t="b">
        <f t="shared" si="812"/>
        <v>1</v>
      </c>
      <c r="CM282" s="217" t="b">
        <f t="shared" si="813"/>
        <v>0</v>
      </c>
      <c r="CN282" s="95">
        <v>1</v>
      </c>
      <c r="CO282" s="95">
        <v>2</v>
      </c>
      <c r="CP282" s="95">
        <v>1.5</v>
      </c>
      <c r="CQ282" s="95">
        <v>1</v>
      </c>
      <c r="CS282" s="95">
        <v>1</v>
      </c>
      <c r="CT282" s="95">
        <v>1</v>
      </c>
      <c r="CU282" s="218"/>
      <c r="CV282" s="218"/>
      <c r="CW282" s="218">
        <v>3</v>
      </c>
      <c r="CX282" s="218">
        <v>3</v>
      </c>
      <c r="CY282" s="218">
        <v>4</v>
      </c>
      <c r="CZ282" s="218">
        <v>4</v>
      </c>
      <c r="DA282" s="218"/>
      <c r="DB282" s="218">
        <v>4</v>
      </c>
      <c r="DC282" s="218">
        <v>3</v>
      </c>
      <c r="DD282" s="95" t="s">
        <v>356</v>
      </c>
      <c r="DE282" s="95">
        <f t="shared" si="787"/>
        <v>3.00000000001</v>
      </c>
      <c r="DF282" s="95">
        <f t="shared" si="814"/>
        <v>3.00000000002</v>
      </c>
      <c r="DG282" s="95">
        <f t="shared" si="815"/>
        <v>4.00000000003</v>
      </c>
      <c r="DH282" s="95">
        <f t="shared" si="816"/>
        <v>4.00000000004</v>
      </c>
      <c r="DI282" s="95">
        <f>IFERROR(DA282+0.00000000005,0)</f>
        <v>5.0000000000000002E-11</v>
      </c>
      <c r="DJ282" s="95">
        <f>IFERROR(DB282+0.00000000006,0)</f>
        <v>4.00000000006</v>
      </c>
      <c r="DK282" s="95">
        <f>IFERROR(DC282+0.00000000007,0)</f>
        <v>3.00000000007</v>
      </c>
      <c r="DL282" s="95">
        <f t="shared" si="820"/>
        <v>0</v>
      </c>
      <c r="DM282" s="95">
        <f t="shared" si="788"/>
        <v>3.00000000001</v>
      </c>
      <c r="DN282" s="95">
        <f t="shared" si="789"/>
        <v>6.00000000004</v>
      </c>
      <c r="DO282" s="95">
        <f t="shared" si="790"/>
        <v>6.0000000000450004</v>
      </c>
      <c r="DP282" s="95">
        <f t="shared" si="791"/>
        <v>4.00000000004</v>
      </c>
      <c r="DQ282" s="95">
        <f t="shared" si="792"/>
        <v>0</v>
      </c>
      <c r="DR282" s="95">
        <f t="shared" si="793"/>
        <v>4.00000000006</v>
      </c>
      <c r="DS282" s="95">
        <f t="shared" si="794"/>
        <v>3.00000000007</v>
      </c>
      <c r="DT282" s="95">
        <f t="shared" si="795"/>
        <v>0</v>
      </c>
      <c r="DU282" s="217" t="b">
        <f t="shared" si="821"/>
        <v>0</v>
      </c>
      <c r="DV282" s="217" t="b">
        <f t="shared" si="822"/>
        <v>1</v>
      </c>
      <c r="DW282" s="217" t="b">
        <f t="shared" si="823"/>
        <v>1</v>
      </c>
      <c r="DX282" s="217" t="b">
        <f t="shared" si="824"/>
        <v>1</v>
      </c>
      <c r="DY282" s="217" t="b">
        <f t="shared" si="825"/>
        <v>0</v>
      </c>
      <c r="DZ282" s="217" t="b">
        <f t="shared" si="826"/>
        <v>1</v>
      </c>
      <c r="EA282" s="217" t="b">
        <f t="shared" si="827"/>
        <v>1</v>
      </c>
      <c r="EB282" s="217" t="b">
        <f t="shared" si="828"/>
        <v>0</v>
      </c>
    </row>
    <row r="283" spans="1:172" s="95" customFormat="1">
      <c r="A283" s="95" t="s">
        <v>1786</v>
      </c>
      <c r="B283" s="95" t="s">
        <v>411</v>
      </c>
      <c r="C283" s="95" t="s">
        <v>1064</v>
      </c>
      <c r="D283" s="95" t="s">
        <v>1787</v>
      </c>
      <c r="E283" s="95" t="s">
        <v>889</v>
      </c>
      <c r="F283" s="95" t="s">
        <v>356</v>
      </c>
      <c r="G283" s="95" t="s">
        <v>435</v>
      </c>
      <c r="H283" s="95">
        <v>25</v>
      </c>
      <c r="I283" s="219">
        <v>24</v>
      </c>
      <c r="J283" s="219"/>
      <c r="K283" s="219">
        <f t="shared" si="797"/>
        <v>25.000000000224997</v>
      </c>
      <c r="L283" s="219">
        <f t="shared" si="798"/>
        <v>22.500000000290001</v>
      </c>
      <c r="M283" s="95" t="s">
        <v>3136</v>
      </c>
      <c r="N283" s="95" t="s">
        <v>1768</v>
      </c>
      <c r="O283" s="95" t="s">
        <v>874</v>
      </c>
      <c r="P283" s="95" t="s">
        <v>1789</v>
      </c>
      <c r="Q283" s="95" t="s">
        <v>356</v>
      </c>
      <c r="R283" s="95" t="s">
        <v>1788</v>
      </c>
      <c r="S283" s="95" t="s">
        <v>817</v>
      </c>
      <c r="T283" s="95">
        <v>37</v>
      </c>
      <c r="U283" s="95" cm="1">
        <f t="array" ref="U283">IFERROR(INDEX('Offer Statistics'!$DS$2:$DS$350,MATCH(1,($A283='Offer Statistics'!$DD$2:$DD$350)*($A$11='Offer Statistics'!$DE$2:$DE$350),0)),"/")</f>
        <v>51</v>
      </c>
      <c r="V283" s="95" cm="1">
        <f t="array" ref="V283">IFERROR(INDEX('Offer Statistics'!$DF$2:$DF$350,MATCH(1,(A283='Offer Statistics'!$DD$2:$DD$350)*($A$11='Offer Statistics'!$DE$2:$DE$350),0)),"/")</f>
        <v>225</v>
      </c>
      <c r="W283" s="95" cm="1">
        <f t="array" ref="W283">IFERROR(INDEX('Offer Statistics'!$DN$2:$DN$350,MATCH(1,(A283='Offer Statistics'!$DD$2:$DD$350)*($A$11='Offer Statistics'!$DE$2:$DE$350),0)),"/")</f>
        <v>46</v>
      </c>
      <c r="X283" s="95">
        <f t="shared" si="776"/>
        <v>4.8913043478260869</v>
      </c>
      <c r="Y283" s="95" t="s">
        <v>817</v>
      </c>
      <c r="Z283" s="95">
        <f>入學要求!AF292</f>
        <v>0</v>
      </c>
      <c r="AA283" s="95" t="str">
        <f>入學要求!AG292</f>
        <v>/</v>
      </c>
      <c r="AB283" s="386" t="s">
        <v>889</v>
      </c>
      <c r="AC283" s="51"/>
      <c r="AD283" s="364"/>
      <c r="AE283" s="364" t="s">
        <v>356</v>
      </c>
      <c r="AF283" s="364" t="s">
        <v>356</v>
      </c>
      <c r="AG283" s="364" t="s">
        <v>874</v>
      </c>
      <c r="AH283" s="364" t="s">
        <v>1789</v>
      </c>
      <c r="AI283" s="95" t="s">
        <v>356</v>
      </c>
      <c r="AJ283" s="95" t="s">
        <v>356</v>
      </c>
      <c r="AK283" s="95" t="s">
        <v>356</v>
      </c>
      <c r="AL283" s="95" t="s">
        <v>356</v>
      </c>
      <c r="AM283" s="95" t="s">
        <v>3157</v>
      </c>
      <c r="AN283" s="95" t="s">
        <v>3188</v>
      </c>
      <c r="AO283" s="95" t="s">
        <v>356</v>
      </c>
      <c r="AP283" s="95" t="s">
        <v>3158</v>
      </c>
      <c r="AQ283" s="95" t="s">
        <v>3159</v>
      </c>
      <c r="AR283" s="51"/>
      <c r="AS283" s="95" t="s">
        <v>820</v>
      </c>
      <c r="AT283" s="95" t="s">
        <v>1771</v>
      </c>
      <c r="AU283" s="95" t="s">
        <v>817</v>
      </c>
      <c r="AY283" s="95">
        <v>1.5</v>
      </c>
      <c r="AZ283" s="95">
        <v>2</v>
      </c>
      <c r="BA283" s="95">
        <v>1</v>
      </c>
      <c r="BB283" s="95">
        <v>1</v>
      </c>
      <c r="BD283" s="95">
        <v>1.5</v>
      </c>
      <c r="BE283" s="95">
        <v>1.5</v>
      </c>
      <c r="BG283" s="218"/>
      <c r="BH283" s="95">
        <v>4</v>
      </c>
      <c r="BI283" s="95">
        <v>3</v>
      </c>
      <c r="BJ283" s="95">
        <v>2</v>
      </c>
      <c r="BK283" s="95">
        <v>3</v>
      </c>
      <c r="BM283" s="95">
        <v>3</v>
      </c>
      <c r="BN283" s="95">
        <v>2</v>
      </c>
      <c r="BO283" s="95" t="s">
        <v>356</v>
      </c>
      <c r="BP283" s="95">
        <f t="shared" si="777"/>
        <v>4.00000000001</v>
      </c>
      <c r="BQ283" s="95">
        <f t="shared" si="799"/>
        <v>3.00000000002</v>
      </c>
      <c r="BR283" s="95">
        <f t="shared" si="800"/>
        <v>2.00000000003</v>
      </c>
      <c r="BS283" s="95">
        <f t="shared" si="801"/>
        <v>3.00000000004</v>
      </c>
      <c r="BT283" s="95">
        <f t="shared" si="802"/>
        <v>5.0000000000000002E-11</v>
      </c>
      <c r="BU283" s="95">
        <f t="shared" si="803"/>
        <v>3.00000000006</v>
      </c>
      <c r="BV283" s="95">
        <f t="shared" si="804"/>
        <v>2.00000000007</v>
      </c>
      <c r="BW283" s="95">
        <f t="shared" si="805"/>
        <v>0</v>
      </c>
      <c r="BX283" s="95">
        <f t="shared" si="778"/>
        <v>6.0000000000149996</v>
      </c>
      <c r="BY283" s="95">
        <f t="shared" si="779"/>
        <v>6.00000000004</v>
      </c>
      <c r="BZ283" s="95">
        <f t="shared" si="780"/>
        <v>2.00000000003</v>
      </c>
      <c r="CA283" s="95">
        <f t="shared" si="781"/>
        <v>3.00000000004</v>
      </c>
      <c r="CB283" s="95">
        <f t="shared" si="782"/>
        <v>0</v>
      </c>
      <c r="CC283" s="95">
        <f t="shared" si="783"/>
        <v>4.50000000009</v>
      </c>
      <c r="CD283" s="95">
        <f t="shared" si="784"/>
        <v>3.000000000105</v>
      </c>
      <c r="CE283" s="95">
        <f t="shared" si="785"/>
        <v>0</v>
      </c>
      <c r="CF283" s="217" t="b">
        <f t="shared" si="806"/>
        <v>1</v>
      </c>
      <c r="CG283" s="217" t="b">
        <f t="shared" si="807"/>
        <v>1</v>
      </c>
      <c r="CH283" s="217" t="b">
        <f t="shared" si="808"/>
        <v>0</v>
      </c>
      <c r="CI283" s="217" t="b">
        <f t="shared" si="809"/>
        <v>1</v>
      </c>
      <c r="CJ283" s="217" t="b">
        <f t="shared" si="810"/>
        <v>0</v>
      </c>
      <c r="CK283" s="217" t="b">
        <f t="shared" si="811"/>
        <v>1</v>
      </c>
      <c r="CL283" s="217" t="b">
        <f t="shared" si="812"/>
        <v>1</v>
      </c>
      <c r="CM283" s="217" t="b">
        <f t="shared" si="813"/>
        <v>0</v>
      </c>
      <c r="CN283" s="95">
        <v>1.5</v>
      </c>
      <c r="CO283" s="95">
        <v>2</v>
      </c>
      <c r="CP283" s="95">
        <v>1</v>
      </c>
      <c r="CQ283" s="95">
        <v>1</v>
      </c>
      <c r="CS283" s="95">
        <v>1</v>
      </c>
      <c r="CT283" s="95">
        <v>1</v>
      </c>
      <c r="CU283" s="218"/>
      <c r="CV283" s="218"/>
      <c r="CW283" s="218">
        <v>4</v>
      </c>
      <c r="CX283" s="218">
        <v>4</v>
      </c>
      <c r="CY283" s="218">
        <v>3</v>
      </c>
      <c r="CZ283" s="218">
        <v>4</v>
      </c>
      <c r="DA283" s="218"/>
      <c r="DB283" s="218">
        <v>4</v>
      </c>
      <c r="DC283" s="218">
        <v>3</v>
      </c>
      <c r="DD283" s="95" t="s">
        <v>356</v>
      </c>
      <c r="DE283" s="95">
        <f t="shared" si="787"/>
        <v>4.00000000001</v>
      </c>
      <c r="DF283" s="95">
        <f t="shared" si="814"/>
        <v>4.00000000002</v>
      </c>
      <c r="DG283" s="95">
        <f t="shared" si="815"/>
        <v>3.00000000003</v>
      </c>
      <c r="DH283" s="95">
        <f t="shared" si="816"/>
        <v>4.00000000004</v>
      </c>
      <c r="DI283" s="95">
        <f t="shared" si="817"/>
        <v>5.0000000000000002E-11</v>
      </c>
      <c r="DJ283" s="95">
        <f t="shared" si="818"/>
        <v>4.00000000006</v>
      </c>
      <c r="DK283" s="95">
        <f t="shared" si="819"/>
        <v>3.00000000007</v>
      </c>
      <c r="DL283" s="95">
        <f t="shared" si="820"/>
        <v>0</v>
      </c>
      <c r="DM283" s="95">
        <f t="shared" si="788"/>
        <v>6.0000000000149996</v>
      </c>
      <c r="DN283" s="95">
        <f t="shared" si="789"/>
        <v>8.00000000004</v>
      </c>
      <c r="DO283" s="95">
        <f t="shared" si="790"/>
        <v>3.00000000003</v>
      </c>
      <c r="DP283" s="95">
        <f t="shared" si="791"/>
        <v>4.00000000004</v>
      </c>
      <c r="DQ283" s="95">
        <f t="shared" si="792"/>
        <v>0</v>
      </c>
      <c r="DR283" s="95">
        <f t="shared" si="793"/>
        <v>4.00000000006</v>
      </c>
      <c r="DS283" s="95">
        <f t="shared" si="794"/>
        <v>3.00000000007</v>
      </c>
      <c r="DT283" s="95">
        <f t="shared" si="795"/>
        <v>0</v>
      </c>
      <c r="DU283" s="217" t="b">
        <f t="shared" si="821"/>
        <v>1</v>
      </c>
      <c r="DV283" s="217" t="b">
        <f t="shared" si="822"/>
        <v>1</v>
      </c>
      <c r="DW283" s="217" t="b">
        <f t="shared" si="823"/>
        <v>0</v>
      </c>
      <c r="DX283" s="217" t="b">
        <f t="shared" si="824"/>
        <v>1</v>
      </c>
      <c r="DY283" s="217" t="b">
        <f t="shared" si="825"/>
        <v>0</v>
      </c>
      <c r="DZ283" s="217" t="b">
        <f t="shared" si="826"/>
        <v>1</v>
      </c>
      <c r="EA283" s="217" t="b">
        <f t="shared" si="827"/>
        <v>1</v>
      </c>
      <c r="EB283" s="217" t="b">
        <f t="shared" si="828"/>
        <v>0</v>
      </c>
    </row>
    <row r="284" spans="1:172" s="95" customFormat="1">
      <c r="A284" s="95" t="s">
        <v>1791</v>
      </c>
      <c r="B284" s="95" t="s">
        <v>411</v>
      </c>
      <c r="C284" s="95" t="s">
        <v>813</v>
      </c>
      <c r="D284" s="95" t="s">
        <v>1792</v>
      </c>
      <c r="E284" s="95" t="s">
        <v>889</v>
      </c>
      <c r="F284" s="95" t="s">
        <v>356</v>
      </c>
      <c r="G284" s="95" t="s">
        <v>435</v>
      </c>
      <c r="H284" s="95">
        <v>23.5</v>
      </c>
      <c r="I284" s="219">
        <v>23</v>
      </c>
      <c r="J284" s="219"/>
      <c r="K284" s="219">
        <f t="shared" si="797"/>
        <v>24.000000000195001</v>
      </c>
      <c r="L284" s="219">
        <f t="shared" si="798"/>
        <v>19.500000000195001</v>
      </c>
      <c r="M284" s="95" t="s">
        <v>3136</v>
      </c>
      <c r="N284" s="95" t="s">
        <v>1768</v>
      </c>
      <c r="O284" s="95" t="s">
        <v>874</v>
      </c>
      <c r="P284" s="95" t="s">
        <v>884</v>
      </c>
      <c r="Q284" s="95" t="s">
        <v>356</v>
      </c>
      <c r="R284" s="95" t="s">
        <v>1793</v>
      </c>
      <c r="S284" s="95" t="s">
        <v>817</v>
      </c>
      <c r="T284" s="95">
        <v>25</v>
      </c>
      <c r="U284" s="95" cm="1">
        <f t="array" ref="U284">IFERROR(INDEX('Offer Statistics'!$DS$2:$DS$350,MATCH(1,($A284='Offer Statistics'!$DD$2:$DD$350)*($A$11='Offer Statistics'!$DE$2:$DE$350),0)),"/")</f>
        <v>40</v>
      </c>
      <c r="V284" s="95" cm="1">
        <f t="array" ref="V284">IFERROR(INDEX('Offer Statistics'!$DF$2:$DF$350,MATCH(1,(A284='Offer Statistics'!$DD$2:$DD$350)*($A$11='Offer Statistics'!$DE$2:$DE$350),0)),"/")</f>
        <v>221</v>
      </c>
      <c r="W284" s="95" cm="1">
        <f t="array" ref="W284">IFERROR(INDEX('Offer Statistics'!$DN$2:$DN$350,MATCH(1,(A284='Offer Statistics'!$DD$2:$DD$350)*($A$11='Offer Statistics'!$DE$2:$DE$350),0)),"/")</f>
        <v>23</v>
      </c>
      <c r="X284" s="95">
        <f t="shared" si="776"/>
        <v>9.6086956521739122</v>
      </c>
      <c r="Y284" s="95" t="s">
        <v>817</v>
      </c>
      <c r="Z284" s="95">
        <f>入學要求!AF293</f>
        <v>0</v>
      </c>
      <c r="AA284" s="95" t="str">
        <f>入學要求!AG293</f>
        <v>/</v>
      </c>
      <c r="AB284" s="386" t="s">
        <v>889</v>
      </c>
      <c r="AC284" s="51"/>
      <c r="AD284" s="364"/>
      <c r="AE284" s="364" t="s">
        <v>356</v>
      </c>
      <c r="AF284" s="364" t="s">
        <v>356</v>
      </c>
      <c r="AG284" s="364" t="s">
        <v>874</v>
      </c>
      <c r="AH284" s="364" t="s">
        <v>884</v>
      </c>
      <c r="AI284" s="95" t="s">
        <v>356</v>
      </c>
      <c r="AJ284" s="95" t="s">
        <v>356</v>
      </c>
      <c r="AK284" s="95" t="s">
        <v>356</v>
      </c>
      <c r="AL284" s="95" t="s">
        <v>356</v>
      </c>
      <c r="AM284" s="95" t="s">
        <v>3160</v>
      </c>
      <c r="AN284" s="95" t="s">
        <v>3186</v>
      </c>
      <c r="AO284" s="95" t="s">
        <v>356</v>
      </c>
      <c r="AP284" s="95" t="s">
        <v>3161</v>
      </c>
      <c r="AQ284" s="95" t="s">
        <v>3162</v>
      </c>
      <c r="AR284" s="51"/>
      <c r="AS284" s="95" t="s">
        <v>820</v>
      </c>
      <c r="AT284" s="95" t="s">
        <v>1771</v>
      </c>
      <c r="AU284" s="95" t="s">
        <v>817</v>
      </c>
      <c r="AY284" s="95">
        <v>1</v>
      </c>
      <c r="AZ284" s="95">
        <v>2</v>
      </c>
      <c r="BA284" s="95">
        <v>1.5</v>
      </c>
      <c r="BB284" s="95">
        <v>1</v>
      </c>
      <c r="BD284" s="95">
        <v>1</v>
      </c>
      <c r="BE284" s="95">
        <v>1</v>
      </c>
      <c r="BG284" s="218"/>
      <c r="BH284" s="95">
        <v>3</v>
      </c>
      <c r="BI284" s="95">
        <v>3</v>
      </c>
      <c r="BJ284" s="95">
        <v>3</v>
      </c>
      <c r="BK284" s="95">
        <v>3</v>
      </c>
      <c r="BM284" s="95">
        <v>3</v>
      </c>
      <c r="BN284" s="95">
        <v>2</v>
      </c>
      <c r="BO284" s="95" t="s">
        <v>356</v>
      </c>
      <c r="BP284" s="95">
        <f t="shared" si="777"/>
        <v>3.00000000001</v>
      </c>
      <c r="BQ284" s="95">
        <f t="shared" si="799"/>
        <v>3.00000000002</v>
      </c>
      <c r="BR284" s="95">
        <f t="shared" si="800"/>
        <v>3.00000000003</v>
      </c>
      <c r="BS284" s="95">
        <f t="shared" si="801"/>
        <v>3.00000000004</v>
      </c>
      <c r="BT284" s="95">
        <f t="shared" si="802"/>
        <v>5.0000000000000002E-11</v>
      </c>
      <c r="BU284" s="95">
        <f t="shared" si="803"/>
        <v>3.00000000006</v>
      </c>
      <c r="BV284" s="95">
        <f t="shared" si="804"/>
        <v>2.00000000007</v>
      </c>
      <c r="BW284" s="95">
        <f t="shared" si="805"/>
        <v>0</v>
      </c>
      <c r="BX284" s="95">
        <f t="shared" si="778"/>
        <v>3.00000000001</v>
      </c>
      <c r="BY284" s="95">
        <f t="shared" si="779"/>
        <v>6.00000000004</v>
      </c>
      <c r="BZ284" s="95">
        <f t="shared" si="780"/>
        <v>4.5000000000450004</v>
      </c>
      <c r="CA284" s="95">
        <f t="shared" si="781"/>
        <v>3.00000000004</v>
      </c>
      <c r="CB284" s="95">
        <f t="shared" si="782"/>
        <v>0</v>
      </c>
      <c r="CC284" s="95">
        <f t="shared" si="783"/>
        <v>3.00000000006</v>
      </c>
      <c r="CD284" s="95">
        <f t="shared" si="784"/>
        <v>2.00000000007</v>
      </c>
      <c r="CE284" s="95">
        <f t="shared" si="785"/>
        <v>0</v>
      </c>
      <c r="CF284" s="217" t="b">
        <f t="shared" si="806"/>
        <v>1</v>
      </c>
      <c r="CG284" s="217" t="b">
        <f t="shared" si="807"/>
        <v>1</v>
      </c>
      <c r="CH284" s="217" t="b">
        <f t="shared" si="808"/>
        <v>1</v>
      </c>
      <c r="CI284" s="217" t="b">
        <f t="shared" si="809"/>
        <v>1</v>
      </c>
      <c r="CJ284" s="217" t="b">
        <f t="shared" si="810"/>
        <v>0</v>
      </c>
      <c r="CK284" s="217" t="b">
        <f t="shared" si="811"/>
        <v>1</v>
      </c>
      <c r="CL284" s="217" t="b">
        <f t="shared" si="812"/>
        <v>0</v>
      </c>
      <c r="CM284" s="217" t="b">
        <f t="shared" si="813"/>
        <v>0</v>
      </c>
      <c r="CN284" s="95">
        <v>1</v>
      </c>
      <c r="CO284" s="95">
        <v>2</v>
      </c>
      <c r="CP284" s="95">
        <v>1.5</v>
      </c>
      <c r="CQ284" s="95">
        <v>1</v>
      </c>
      <c r="CS284" s="95">
        <v>1</v>
      </c>
      <c r="CT284" s="95">
        <v>1</v>
      </c>
      <c r="CU284" s="218"/>
      <c r="CV284" s="218"/>
      <c r="CW284" s="95">
        <v>4</v>
      </c>
      <c r="CX284" s="95">
        <v>3</v>
      </c>
      <c r="CY284" s="95">
        <v>4</v>
      </c>
      <c r="CZ284" s="95">
        <v>4</v>
      </c>
      <c r="DB284" s="95">
        <v>4</v>
      </c>
      <c r="DC284" s="95">
        <v>3</v>
      </c>
      <c r="DD284" s="95" t="s">
        <v>356</v>
      </c>
      <c r="DE284" s="95">
        <f t="shared" si="787"/>
        <v>4.00000000001</v>
      </c>
      <c r="DF284" s="95">
        <f t="shared" si="814"/>
        <v>3.00000000002</v>
      </c>
      <c r="DG284" s="95">
        <f t="shared" si="815"/>
        <v>4.00000000003</v>
      </c>
      <c r="DH284" s="95">
        <f t="shared" si="816"/>
        <v>4.00000000004</v>
      </c>
      <c r="DI284" s="95">
        <f t="shared" si="817"/>
        <v>5.0000000000000002E-11</v>
      </c>
      <c r="DJ284" s="95">
        <f t="shared" si="818"/>
        <v>4.00000000006</v>
      </c>
      <c r="DK284" s="95">
        <f t="shared" si="819"/>
        <v>3.00000000007</v>
      </c>
      <c r="DL284" s="95">
        <f t="shared" si="820"/>
        <v>0</v>
      </c>
      <c r="DM284" s="95">
        <f t="shared" si="788"/>
        <v>4.00000000001</v>
      </c>
      <c r="DN284" s="95">
        <f t="shared" si="789"/>
        <v>6.00000000004</v>
      </c>
      <c r="DO284" s="95">
        <f t="shared" si="790"/>
        <v>6.0000000000450004</v>
      </c>
      <c r="DP284" s="95">
        <f t="shared" si="791"/>
        <v>4.00000000004</v>
      </c>
      <c r="DQ284" s="95">
        <f t="shared" si="792"/>
        <v>0</v>
      </c>
      <c r="DR284" s="95">
        <f t="shared" si="793"/>
        <v>4.00000000006</v>
      </c>
      <c r="DS284" s="95">
        <f t="shared" si="794"/>
        <v>3.00000000007</v>
      </c>
      <c r="DT284" s="95">
        <f t="shared" si="795"/>
        <v>0</v>
      </c>
      <c r="DU284" s="217" t="b">
        <f t="shared" si="821"/>
        <v>1</v>
      </c>
      <c r="DV284" s="217" t="b">
        <f t="shared" si="822"/>
        <v>1</v>
      </c>
      <c r="DW284" s="217" t="b">
        <f t="shared" si="823"/>
        <v>1</v>
      </c>
      <c r="DX284" s="217" t="b">
        <f t="shared" si="824"/>
        <v>1</v>
      </c>
      <c r="DY284" s="217" t="b">
        <f t="shared" si="825"/>
        <v>0</v>
      </c>
      <c r="DZ284" s="217" t="b">
        <f t="shared" si="826"/>
        <v>1</v>
      </c>
      <c r="EA284" s="217" t="b">
        <f t="shared" si="827"/>
        <v>0</v>
      </c>
      <c r="EB284" s="217" t="b">
        <f t="shared" si="828"/>
        <v>0</v>
      </c>
    </row>
    <row r="285" spans="1:172" s="427" customFormat="1">
      <c r="A285" s="427" t="s">
        <v>1794</v>
      </c>
      <c r="B285" s="427" t="s">
        <v>411</v>
      </c>
      <c r="C285" s="427" t="s">
        <v>813</v>
      </c>
      <c r="D285" s="427" t="s">
        <v>1795</v>
      </c>
      <c r="E285" s="427" t="s">
        <v>889</v>
      </c>
      <c r="F285" s="427" t="s">
        <v>356</v>
      </c>
      <c r="G285" s="427" t="s">
        <v>435</v>
      </c>
      <c r="H285" s="427">
        <v>29</v>
      </c>
      <c r="I285" s="464">
        <v>28</v>
      </c>
      <c r="J285" s="464"/>
      <c r="K285" s="464">
        <f t="shared" si="797"/>
        <v>28.500000000329997</v>
      </c>
      <c r="L285" s="464">
        <f t="shared" si="798"/>
        <v>28.000000000269999</v>
      </c>
      <c r="M285" s="427" t="s">
        <v>3136</v>
      </c>
      <c r="N285" s="427" t="s">
        <v>1768</v>
      </c>
      <c r="O285" s="427" t="s">
        <v>1797</v>
      </c>
      <c r="P285" s="427" t="s">
        <v>1798</v>
      </c>
      <c r="R285" s="427" t="s">
        <v>1796</v>
      </c>
      <c r="S285" s="427" t="s">
        <v>817</v>
      </c>
      <c r="T285" s="427">
        <v>25</v>
      </c>
      <c r="U285" s="427" cm="1">
        <f t="array" ref="U285">IFERROR(INDEX('Offer Statistics'!$DS$2:$DS$350,MATCH(1,($A285='Offer Statistics'!$DD$2:$DD$350)*($A$11='Offer Statistics'!$DE$2:$DE$350),0)),"/")</f>
        <v>30</v>
      </c>
      <c r="V285" s="427" cm="1">
        <f t="array" ref="V285">IFERROR(INDEX('Offer Statistics'!$DF$2:$DF$350,MATCH(1,(A285='Offer Statistics'!$DD$2:$DD$350)*($A$11='Offer Statistics'!$DE$2:$DE$350),0)),"/")</f>
        <v>196</v>
      </c>
      <c r="W285" s="427" cm="1">
        <f t="array" ref="W285">IFERROR(INDEX('Offer Statistics'!$DN$2:$DN$350,MATCH(1,(A285='Offer Statistics'!$DD$2:$DD$350)*($A$11='Offer Statistics'!$DE$2:$DE$350),0)),"/")</f>
        <v>15</v>
      </c>
      <c r="X285" s="427">
        <f t="shared" si="776"/>
        <v>13.066666666666666</v>
      </c>
      <c r="Y285" s="427" t="s">
        <v>817</v>
      </c>
      <c r="Z285" s="427">
        <f>入學要求!AF294</f>
        <v>0</v>
      </c>
      <c r="AA285" s="427" t="str">
        <f>入學要求!AG294</f>
        <v>/</v>
      </c>
      <c r="AB285" s="405" t="s">
        <v>889</v>
      </c>
      <c r="AC285" s="427" t="s">
        <v>3147</v>
      </c>
      <c r="AE285" s="427" t="s">
        <v>356</v>
      </c>
      <c r="AF285" s="427" t="s">
        <v>356</v>
      </c>
      <c r="AG285" s="405" t="s">
        <v>3146</v>
      </c>
      <c r="AH285" s="405" t="s">
        <v>3145</v>
      </c>
      <c r="AI285" s="95"/>
      <c r="AJ285" s="95" t="s">
        <v>356</v>
      </c>
      <c r="AK285" s="95" t="s">
        <v>356</v>
      </c>
      <c r="AL285" s="95" t="s">
        <v>356</v>
      </c>
      <c r="AM285" s="95" t="s">
        <v>3164</v>
      </c>
      <c r="AN285" s="95" t="s">
        <v>3185</v>
      </c>
      <c r="AO285" s="95" t="s">
        <v>356</v>
      </c>
      <c r="AP285" s="95" t="s">
        <v>3163</v>
      </c>
      <c r="AQ285" s="95" t="s">
        <v>3165</v>
      </c>
      <c r="AR285" s="51"/>
      <c r="AS285" s="427" t="s">
        <v>820</v>
      </c>
      <c r="AT285" s="427" t="s">
        <v>1771</v>
      </c>
      <c r="AU285" s="427" t="s">
        <v>817</v>
      </c>
      <c r="AY285" s="95">
        <v>1</v>
      </c>
      <c r="AZ285" s="95">
        <v>2</v>
      </c>
      <c r="BA285" s="95">
        <v>2</v>
      </c>
      <c r="BB285" s="95">
        <v>1</v>
      </c>
      <c r="BC285" s="95"/>
      <c r="BD285" s="95">
        <v>2</v>
      </c>
      <c r="BE285" s="95">
        <v>1</v>
      </c>
      <c r="BG285" s="465"/>
      <c r="BH285" s="427">
        <v>3</v>
      </c>
      <c r="BI285" s="427">
        <v>3</v>
      </c>
      <c r="BJ285" s="427">
        <v>4</v>
      </c>
      <c r="BK285" s="427">
        <v>3</v>
      </c>
      <c r="BM285" s="427">
        <v>4</v>
      </c>
      <c r="BN285" s="427">
        <v>2</v>
      </c>
      <c r="BO285" s="427" t="s">
        <v>356</v>
      </c>
      <c r="BP285" s="427">
        <f t="shared" si="777"/>
        <v>3.00000000001</v>
      </c>
      <c r="BQ285" s="427">
        <f t="shared" si="799"/>
        <v>3.00000000002</v>
      </c>
      <c r="BR285" s="427">
        <f t="shared" si="800"/>
        <v>4.00000000003</v>
      </c>
      <c r="BS285" s="427">
        <f t="shared" si="801"/>
        <v>3.00000000004</v>
      </c>
      <c r="BT285" s="427">
        <f t="shared" si="802"/>
        <v>5.0000000000000002E-11</v>
      </c>
      <c r="BU285" s="427">
        <f t="shared" si="803"/>
        <v>4.00000000006</v>
      </c>
      <c r="BV285" s="427">
        <f t="shared" si="804"/>
        <v>2.00000000007</v>
      </c>
      <c r="BW285" s="427">
        <f t="shared" si="805"/>
        <v>0</v>
      </c>
      <c r="BX285" s="427">
        <f t="shared" si="778"/>
        <v>3.00000000001</v>
      </c>
      <c r="BY285" s="427">
        <f t="shared" si="779"/>
        <v>6.00000000004</v>
      </c>
      <c r="BZ285" s="427">
        <f t="shared" si="780"/>
        <v>8.00000000006</v>
      </c>
      <c r="CA285" s="427">
        <f t="shared" si="781"/>
        <v>3.00000000004</v>
      </c>
      <c r="CB285" s="427">
        <f t="shared" si="782"/>
        <v>0</v>
      </c>
      <c r="CC285" s="427">
        <f t="shared" si="783"/>
        <v>8.00000000012</v>
      </c>
      <c r="CD285" s="427">
        <f t="shared" si="784"/>
        <v>2.00000000007</v>
      </c>
      <c r="CE285" s="427">
        <f t="shared" si="785"/>
        <v>0</v>
      </c>
      <c r="CF285" s="466" t="b">
        <f t="shared" si="806"/>
        <v>1</v>
      </c>
      <c r="CG285" s="466" t="b">
        <f t="shared" si="807"/>
        <v>1</v>
      </c>
      <c r="CH285" s="466" t="b">
        <f t="shared" si="808"/>
        <v>1</v>
      </c>
      <c r="CI285" s="466" t="b">
        <f t="shared" si="809"/>
        <v>1</v>
      </c>
      <c r="CJ285" s="466" t="b">
        <f t="shared" si="810"/>
        <v>0</v>
      </c>
      <c r="CK285" s="466" t="b">
        <f t="shared" si="811"/>
        <v>1</v>
      </c>
      <c r="CL285" s="466" t="b">
        <f t="shared" si="812"/>
        <v>0</v>
      </c>
      <c r="CM285" s="466" t="b">
        <f t="shared" si="813"/>
        <v>0</v>
      </c>
      <c r="CN285" s="427">
        <v>1</v>
      </c>
      <c r="CO285" s="427">
        <v>2</v>
      </c>
      <c r="CP285" s="427">
        <v>2</v>
      </c>
      <c r="CQ285" s="427">
        <v>1</v>
      </c>
      <c r="CS285" s="427">
        <v>2</v>
      </c>
      <c r="CT285" s="427">
        <v>1</v>
      </c>
      <c r="CU285" s="465"/>
      <c r="CV285" s="465"/>
      <c r="CW285" s="465">
        <v>3</v>
      </c>
      <c r="CX285" s="465">
        <v>3</v>
      </c>
      <c r="CY285" s="465">
        <v>4</v>
      </c>
      <c r="CZ285" s="465">
        <v>3.5</v>
      </c>
      <c r="DA285" s="465"/>
      <c r="DB285" s="465">
        <v>4</v>
      </c>
      <c r="DC285" s="465">
        <v>3</v>
      </c>
      <c r="DD285" s="427" t="s">
        <v>356</v>
      </c>
      <c r="DE285" s="427">
        <f t="shared" si="787"/>
        <v>3.00000000001</v>
      </c>
      <c r="DF285" s="427">
        <f t="shared" si="814"/>
        <v>3.00000000002</v>
      </c>
      <c r="DG285" s="427">
        <f t="shared" si="815"/>
        <v>4.00000000003</v>
      </c>
      <c r="DH285" s="427">
        <f t="shared" si="816"/>
        <v>3.50000000004</v>
      </c>
      <c r="DI285" s="427">
        <f t="shared" si="817"/>
        <v>5.0000000000000002E-11</v>
      </c>
      <c r="DJ285" s="427">
        <f t="shared" si="818"/>
        <v>4.00000000006</v>
      </c>
      <c r="DK285" s="427">
        <f t="shared" si="819"/>
        <v>3.00000000007</v>
      </c>
      <c r="DL285" s="427">
        <f t="shared" si="820"/>
        <v>0</v>
      </c>
      <c r="DM285" s="427">
        <f t="shared" si="788"/>
        <v>3.00000000001</v>
      </c>
      <c r="DN285" s="427">
        <f t="shared" si="789"/>
        <v>6.00000000004</v>
      </c>
      <c r="DO285" s="427">
        <f t="shared" si="790"/>
        <v>8.00000000006</v>
      </c>
      <c r="DP285" s="427">
        <f t="shared" si="791"/>
        <v>3.50000000004</v>
      </c>
      <c r="DQ285" s="427">
        <f t="shared" si="792"/>
        <v>0</v>
      </c>
      <c r="DR285" s="427">
        <f t="shared" si="793"/>
        <v>8.00000000012</v>
      </c>
      <c r="DS285" s="427">
        <f t="shared" si="794"/>
        <v>3.00000000007</v>
      </c>
      <c r="DT285" s="427">
        <f t="shared" si="795"/>
        <v>0</v>
      </c>
      <c r="DU285" s="466" t="b">
        <f t="shared" si="821"/>
        <v>0</v>
      </c>
      <c r="DV285" s="466" t="b">
        <f t="shared" si="822"/>
        <v>1</v>
      </c>
      <c r="DW285" s="466" t="b">
        <f t="shared" si="823"/>
        <v>1</v>
      </c>
      <c r="DX285" s="466" t="b">
        <f t="shared" si="824"/>
        <v>1</v>
      </c>
      <c r="DY285" s="466" t="b">
        <f t="shared" si="825"/>
        <v>0</v>
      </c>
      <c r="DZ285" s="466" t="b">
        <f t="shared" si="826"/>
        <v>1</v>
      </c>
      <c r="EA285" s="466" t="b">
        <f t="shared" si="827"/>
        <v>1</v>
      </c>
      <c r="EB285" s="466" t="b">
        <f t="shared" si="828"/>
        <v>0</v>
      </c>
    </row>
    <row r="286" spans="1:172" s="427" customFormat="1">
      <c r="A286" s="427" t="s">
        <v>1799</v>
      </c>
      <c r="B286" s="427" t="s">
        <v>411</v>
      </c>
      <c r="C286" s="427" t="s">
        <v>1137</v>
      </c>
      <c r="D286" s="427" t="s">
        <v>1800</v>
      </c>
      <c r="E286" s="427" t="s">
        <v>889</v>
      </c>
      <c r="F286" s="427" t="s">
        <v>356</v>
      </c>
      <c r="G286" s="427" t="s">
        <v>435</v>
      </c>
      <c r="H286" s="427">
        <v>28</v>
      </c>
      <c r="I286" s="464">
        <v>26.75</v>
      </c>
      <c r="J286" s="464"/>
      <c r="K286" s="464">
        <f t="shared" si="797"/>
        <v>27.000000000305</v>
      </c>
      <c r="L286" s="464">
        <f t="shared" si="798"/>
        <v>26.000000000274998</v>
      </c>
      <c r="M286" s="427" t="s">
        <v>3136</v>
      </c>
      <c r="N286" s="427" t="s">
        <v>1768</v>
      </c>
      <c r="O286" s="427" t="s">
        <v>874</v>
      </c>
      <c r="P286" s="427" t="s">
        <v>1802</v>
      </c>
      <c r="R286" s="427" t="s">
        <v>1801</v>
      </c>
      <c r="S286" s="427" t="s">
        <v>817</v>
      </c>
      <c r="T286" s="427">
        <v>15</v>
      </c>
      <c r="U286" s="427" cm="1">
        <f t="array" ref="U286">IFERROR(INDEX('Offer Statistics'!$DS$2:$DS$350,MATCH(1,($A286='Offer Statistics'!$DD$2:$DD$350)*($A$11='Offer Statistics'!$DE$2:$DE$350),0)),"/")</f>
        <v>25</v>
      </c>
      <c r="V286" s="427" cm="1">
        <f t="array" ref="V286">IFERROR(INDEX('Offer Statistics'!$DF$2:$DF$350,MATCH(1,(A286='Offer Statistics'!$DD$2:$DD$350)*($A$11='Offer Statistics'!$DE$2:$DE$350),0)),"/")</f>
        <v>342</v>
      </c>
      <c r="W286" s="427" cm="1">
        <f t="array" ref="W286">IFERROR(INDEX('Offer Statistics'!$DN$2:$DN$350,MATCH(1,(A286='Offer Statistics'!$DD$2:$DD$350)*($A$11='Offer Statistics'!$DE$2:$DE$350),0)),"/")</f>
        <v>12</v>
      </c>
      <c r="X286" s="427">
        <f t="shared" si="776"/>
        <v>28.5</v>
      </c>
      <c r="Y286" s="427" t="s">
        <v>817</v>
      </c>
      <c r="Z286" s="427">
        <f>入學要求!AF295</f>
        <v>0</v>
      </c>
      <c r="AA286" s="427" t="str">
        <f>入學要求!AG295</f>
        <v>/</v>
      </c>
      <c r="AB286" s="405" t="s">
        <v>889</v>
      </c>
      <c r="AC286" s="410" t="s">
        <v>3144</v>
      </c>
      <c r="AD286" s="427" t="s">
        <v>2855</v>
      </c>
      <c r="AE286" s="427" t="s">
        <v>356</v>
      </c>
      <c r="AF286" s="427" t="s">
        <v>356</v>
      </c>
      <c r="AG286" s="427" t="s">
        <v>874</v>
      </c>
      <c r="AH286" s="427" t="s">
        <v>3150</v>
      </c>
      <c r="AI286" s="95"/>
      <c r="AJ286" s="95" t="s">
        <v>356</v>
      </c>
      <c r="AK286" s="95" t="s">
        <v>356</v>
      </c>
      <c r="AL286" s="95" t="s">
        <v>356</v>
      </c>
      <c r="AM286" s="95" t="s">
        <v>3166</v>
      </c>
      <c r="AN286" s="95" t="s">
        <v>3184</v>
      </c>
      <c r="AO286" s="95" t="s">
        <v>356</v>
      </c>
      <c r="AP286" s="95" t="s">
        <v>3167</v>
      </c>
      <c r="AQ286" s="95" t="s">
        <v>3168</v>
      </c>
      <c r="AR286" s="51"/>
      <c r="AS286" s="427" t="s">
        <v>820</v>
      </c>
      <c r="AT286" s="427" t="s">
        <v>1771</v>
      </c>
      <c r="AU286" s="427" t="s">
        <v>817</v>
      </c>
      <c r="AY286" s="95">
        <v>1</v>
      </c>
      <c r="AZ286" s="95">
        <v>2</v>
      </c>
      <c r="BA286" s="95">
        <v>1.5</v>
      </c>
      <c r="BB286" s="95">
        <v>1.5</v>
      </c>
      <c r="BC286" s="95"/>
      <c r="BD286" s="95">
        <v>1</v>
      </c>
      <c r="BE286" s="95">
        <v>1</v>
      </c>
      <c r="BG286" s="465"/>
      <c r="BH286" s="427">
        <v>3</v>
      </c>
      <c r="BI286" s="427">
        <v>3</v>
      </c>
      <c r="BJ286" s="427">
        <v>4</v>
      </c>
      <c r="BK286" s="427">
        <v>4</v>
      </c>
      <c r="BM286" s="427">
        <v>4</v>
      </c>
      <c r="BN286" s="427">
        <v>4</v>
      </c>
      <c r="BO286" s="427" t="s">
        <v>356</v>
      </c>
      <c r="BP286" s="427">
        <f t="shared" si="777"/>
        <v>3.00000000001</v>
      </c>
      <c r="BQ286" s="427">
        <f t="shared" si="799"/>
        <v>3.00000000002</v>
      </c>
      <c r="BR286" s="427">
        <f t="shared" si="800"/>
        <v>4.00000000003</v>
      </c>
      <c r="BS286" s="427">
        <f t="shared" si="801"/>
        <v>4.00000000004</v>
      </c>
      <c r="BT286" s="427">
        <f t="shared" si="802"/>
        <v>5.0000000000000002E-11</v>
      </c>
      <c r="BU286" s="427">
        <f t="shared" si="803"/>
        <v>4.00000000006</v>
      </c>
      <c r="BV286" s="427">
        <f t="shared" si="804"/>
        <v>4.00000000007</v>
      </c>
      <c r="BW286" s="427">
        <f t="shared" si="805"/>
        <v>0</v>
      </c>
      <c r="BX286" s="427">
        <f t="shared" si="778"/>
        <v>3.00000000001</v>
      </c>
      <c r="BY286" s="427">
        <f t="shared" si="779"/>
        <v>6.00000000004</v>
      </c>
      <c r="BZ286" s="427">
        <f t="shared" si="780"/>
        <v>6.0000000000450004</v>
      </c>
      <c r="CA286" s="427">
        <f t="shared" si="781"/>
        <v>6.00000000006</v>
      </c>
      <c r="CB286" s="427">
        <f t="shared" si="782"/>
        <v>0</v>
      </c>
      <c r="CC286" s="427">
        <f t="shared" si="783"/>
        <v>4.00000000006</v>
      </c>
      <c r="CD286" s="427">
        <f t="shared" si="784"/>
        <v>4.00000000007</v>
      </c>
      <c r="CE286" s="427">
        <f t="shared" si="785"/>
        <v>0</v>
      </c>
      <c r="CF286" s="466" t="b">
        <f t="shared" si="806"/>
        <v>0</v>
      </c>
      <c r="CG286" s="466" t="b">
        <f t="shared" si="807"/>
        <v>1</v>
      </c>
      <c r="CH286" s="466" t="b">
        <f t="shared" si="808"/>
        <v>1</v>
      </c>
      <c r="CI286" s="466" t="b">
        <f t="shared" si="809"/>
        <v>1</v>
      </c>
      <c r="CJ286" s="466" t="b">
        <f t="shared" si="810"/>
        <v>0</v>
      </c>
      <c r="CK286" s="466" t="b">
        <f t="shared" si="811"/>
        <v>1</v>
      </c>
      <c r="CL286" s="466" t="b">
        <f t="shared" si="812"/>
        <v>1</v>
      </c>
      <c r="CM286" s="466" t="b">
        <f t="shared" si="813"/>
        <v>0</v>
      </c>
      <c r="CN286" s="427">
        <v>1</v>
      </c>
      <c r="CO286" s="427">
        <v>2</v>
      </c>
      <c r="CP286" s="427">
        <v>1.5</v>
      </c>
      <c r="CQ286" s="427">
        <v>1.5</v>
      </c>
      <c r="CS286" s="427">
        <v>1.5</v>
      </c>
      <c r="CT286" s="427">
        <v>1</v>
      </c>
      <c r="CU286" s="465"/>
      <c r="CV286" s="465"/>
      <c r="CW286" s="465">
        <v>3</v>
      </c>
      <c r="CX286" s="465">
        <v>3</v>
      </c>
      <c r="CY286" s="465">
        <v>4</v>
      </c>
      <c r="CZ286" s="465">
        <v>4</v>
      </c>
      <c r="DA286" s="465"/>
      <c r="DB286" s="465">
        <v>4</v>
      </c>
      <c r="DC286" s="465">
        <v>3</v>
      </c>
      <c r="DD286" s="427" t="s">
        <v>356</v>
      </c>
      <c r="DE286" s="427">
        <f t="shared" si="787"/>
        <v>3.00000000001</v>
      </c>
      <c r="DF286" s="427">
        <f t="shared" si="814"/>
        <v>3.00000000002</v>
      </c>
      <c r="DG286" s="427">
        <f t="shared" si="815"/>
        <v>4.00000000003</v>
      </c>
      <c r="DH286" s="427">
        <f t="shared" si="816"/>
        <v>4.00000000004</v>
      </c>
      <c r="DI286" s="427">
        <f t="shared" si="817"/>
        <v>5.0000000000000002E-11</v>
      </c>
      <c r="DJ286" s="427">
        <f t="shared" si="818"/>
        <v>4.00000000006</v>
      </c>
      <c r="DK286" s="427">
        <f t="shared" si="819"/>
        <v>3.00000000007</v>
      </c>
      <c r="DL286" s="427">
        <f t="shared" si="820"/>
        <v>0</v>
      </c>
      <c r="DM286" s="427">
        <f t="shared" si="788"/>
        <v>3.00000000001</v>
      </c>
      <c r="DN286" s="427">
        <f t="shared" si="789"/>
        <v>6.00000000004</v>
      </c>
      <c r="DO286" s="427">
        <f t="shared" si="790"/>
        <v>6.0000000000450004</v>
      </c>
      <c r="DP286" s="427">
        <f t="shared" si="791"/>
        <v>6.00000000006</v>
      </c>
      <c r="DQ286" s="427">
        <f t="shared" si="792"/>
        <v>0</v>
      </c>
      <c r="DR286" s="427">
        <f t="shared" si="793"/>
        <v>6.00000000009</v>
      </c>
      <c r="DS286" s="427">
        <f t="shared" si="794"/>
        <v>3.00000000007</v>
      </c>
      <c r="DT286" s="427">
        <f t="shared" si="795"/>
        <v>0</v>
      </c>
      <c r="DU286" s="466" t="b">
        <f t="shared" si="821"/>
        <v>0</v>
      </c>
      <c r="DV286" s="466" t="b">
        <f t="shared" si="822"/>
        <v>1</v>
      </c>
      <c r="DW286" s="466" t="b">
        <f t="shared" si="823"/>
        <v>1</v>
      </c>
      <c r="DX286" s="466" t="b">
        <f t="shared" si="824"/>
        <v>1</v>
      </c>
      <c r="DY286" s="466" t="b">
        <f t="shared" si="825"/>
        <v>0</v>
      </c>
      <c r="DZ286" s="466" t="b">
        <f t="shared" si="826"/>
        <v>1</v>
      </c>
      <c r="EA286" s="466" t="b">
        <f t="shared" si="827"/>
        <v>1</v>
      </c>
      <c r="EB286" s="466" t="b">
        <f t="shared" si="828"/>
        <v>0</v>
      </c>
    </row>
    <row r="287" spans="1:172" s="427" customFormat="1">
      <c r="A287" s="427" t="s">
        <v>1803</v>
      </c>
      <c r="B287" s="427" t="s">
        <v>411</v>
      </c>
      <c r="C287" s="427" t="s">
        <v>1137</v>
      </c>
      <c r="D287" s="427" t="s">
        <v>1804</v>
      </c>
      <c r="E287" s="427" t="s">
        <v>889</v>
      </c>
      <c r="F287" s="427" t="s">
        <v>356</v>
      </c>
      <c r="G287" s="427" t="s">
        <v>435</v>
      </c>
      <c r="H287" s="427">
        <v>28.5</v>
      </c>
      <c r="I287" s="464">
        <v>28</v>
      </c>
      <c r="J287" s="464"/>
      <c r="K287" s="464">
        <f t="shared" si="797"/>
        <v>28.500000000340002</v>
      </c>
      <c r="L287" s="464">
        <f t="shared" si="798"/>
        <v>27.000000000340002</v>
      </c>
      <c r="M287" s="427" t="s">
        <v>3136</v>
      </c>
      <c r="N287" s="427" t="s">
        <v>1768</v>
      </c>
      <c r="O287" s="427" t="s">
        <v>874</v>
      </c>
      <c r="P287" s="427" t="s">
        <v>1805</v>
      </c>
      <c r="R287" s="427" t="s">
        <v>1806</v>
      </c>
      <c r="S287" s="427" t="s">
        <v>817</v>
      </c>
      <c r="T287" s="427">
        <v>15</v>
      </c>
      <c r="U287" s="427" cm="1">
        <f t="array" ref="U287">IFERROR(INDEX('Offer Statistics'!$DS$2:$DS$350,MATCH(1,($A287='Offer Statistics'!$DD$2:$DD$350)*($A$11='Offer Statistics'!$DE$2:$DE$350),0)),"/")</f>
        <v>18</v>
      </c>
      <c r="V287" s="427" cm="1">
        <f t="array" ref="V287">IFERROR(INDEX('Offer Statistics'!$DF$2:$DF$350,MATCH(1,(A287='Offer Statistics'!$DD$2:$DD$350)*($A$11='Offer Statistics'!$DE$2:$DE$350),0)),"/")</f>
        <v>124</v>
      </c>
      <c r="W287" s="427" cm="1">
        <f t="array" ref="W287">IFERROR(INDEX('Offer Statistics'!$DN$2:$DN$350,MATCH(1,(A287='Offer Statistics'!$DD$2:$DD$350)*($A$11='Offer Statistics'!$DE$2:$DE$350),0)),"/")</f>
        <v>18</v>
      </c>
      <c r="X287" s="427">
        <f t="shared" si="776"/>
        <v>6.8888888888888893</v>
      </c>
      <c r="Y287" s="427" t="s">
        <v>817</v>
      </c>
      <c r="Z287" s="427">
        <f>入學要求!AF296</f>
        <v>0</v>
      </c>
      <c r="AA287" s="427" t="str">
        <f>入學要求!AG296</f>
        <v>/</v>
      </c>
      <c r="AB287" s="405" t="s">
        <v>889</v>
      </c>
      <c r="AC287" s="410" t="s">
        <v>3144</v>
      </c>
      <c r="AD287" s="427" t="s">
        <v>2855</v>
      </c>
      <c r="AE287" s="427" t="s">
        <v>356</v>
      </c>
      <c r="AF287" s="427" t="s">
        <v>356</v>
      </c>
      <c r="AG287" s="427" t="s">
        <v>874</v>
      </c>
      <c r="AH287" s="427" t="s">
        <v>3148</v>
      </c>
      <c r="AI287" s="95"/>
      <c r="AJ287" s="95" t="s">
        <v>356</v>
      </c>
      <c r="AK287" s="95" t="s">
        <v>356</v>
      </c>
      <c r="AL287" s="95" t="s">
        <v>356</v>
      </c>
      <c r="AM287" s="95" t="s">
        <v>3169</v>
      </c>
      <c r="AN287" s="95" t="s">
        <v>3183</v>
      </c>
      <c r="AO287" s="95" t="s">
        <v>356</v>
      </c>
      <c r="AP287" s="95" t="s">
        <v>3170</v>
      </c>
      <c r="AQ287" s="95" t="s">
        <v>3171</v>
      </c>
      <c r="AR287" s="95"/>
      <c r="AS287" s="427" t="s">
        <v>820</v>
      </c>
      <c r="AT287" s="427" t="s">
        <v>1771</v>
      </c>
      <c r="AU287" s="427" t="s">
        <v>817</v>
      </c>
      <c r="AY287" s="95">
        <v>1</v>
      </c>
      <c r="AZ287" s="95">
        <v>2</v>
      </c>
      <c r="BA287" s="95">
        <v>1.5</v>
      </c>
      <c r="BB287" s="95">
        <v>1.5</v>
      </c>
      <c r="BC287" s="95"/>
      <c r="BD287" s="95">
        <v>1.5</v>
      </c>
      <c r="BE287" s="95">
        <v>1.5</v>
      </c>
      <c r="BG287" s="465"/>
      <c r="BH287" s="427">
        <v>3</v>
      </c>
      <c r="BI287" s="427">
        <v>3</v>
      </c>
      <c r="BJ287" s="427">
        <v>3</v>
      </c>
      <c r="BK287" s="427">
        <v>4</v>
      </c>
      <c r="BM287" s="427">
        <v>4</v>
      </c>
      <c r="BN287" s="427">
        <v>3</v>
      </c>
      <c r="BO287" s="427" t="s">
        <v>356</v>
      </c>
      <c r="BP287" s="427">
        <f t="shared" si="777"/>
        <v>3.00000000001</v>
      </c>
      <c r="BQ287" s="427">
        <f t="shared" si="799"/>
        <v>3.00000000002</v>
      </c>
      <c r="BR287" s="427">
        <f t="shared" si="800"/>
        <v>3.00000000003</v>
      </c>
      <c r="BS287" s="427">
        <f t="shared" si="801"/>
        <v>4.00000000004</v>
      </c>
      <c r="BT287" s="427">
        <f t="shared" si="802"/>
        <v>5.0000000000000002E-11</v>
      </c>
      <c r="BU287" s="427">
        <f t="shared" si="803"/>
        <v>4.00000000006</v>
      </c>
      <c r="BV287" s="427">
        <f t="shared" si="804"/>
        <v>3.00000000007</v>
      </c>
      <c r="BW287" s="427">
        <f t="shared" si="805"/>
        <v>0</v>
      </c>
      <c r="BX287" s="427">
        <f t="shared" si="778"/>
        <v>3.00000000001</v>
      </c>
      <c r="BY287" s="427">
        <f t="shared" si="779"/>
        <v>6.00000000004</v>
      </c>
      <c r="BZ287" s="427">
        <f t="shared" si="780"/>
        <v>4.5000000000450004</v>
      </c>
      <c r="CA287" s="427">
        <f t="shared" si="781"/>
        <v>6.00000000006</v>
      </c>
      <c r="CB287" s="427">
        <f t="shared" si="782"/>
        <v>0</v>
      </c>
      <c r="CC287" s="427">
        <f t="shared" si="783"/>
        <v>6.00000000009</v>
      </c>
      <c r="CD287" s="427">
        <f t="shared" si="784"/>
        <v>4.5000000001050005</v>
      </c>
      <c r="CE287" s="427">
        <f t="shared" si="785"/>
        <v>0</v>
      </c>
      <c r="CF287" s="466" t="b">
        <f t="shared" si="806"/>
        <v>0</v>
      </c>
      <c r="CG287" s="466" t="b">
        <f t="shared" si="807"/>
        <v>1</v>
      </c>
      <c r="CH287" s="466" t="b">
        <f t="shared" si="808"/>
        <v>1</v>
      </c>
      <c r="CI287" s="466" t="b">
        <f t="shared" si="809"/>
        <v>1</v>
      </c>
      <c r="CJ287" s="466" t="b">
        <f t="shared" si="810"/>
        <v>0</v>
      </c>
      <c r="CK287" s="466" t="b">
        <f t="shared" si="811"/>
        <v>1</v>
      </c>
      <c r="CL287" s="466" t="b">
        <f t="shared" si="812"/>
        <v>1</v>
      </c>
      <c r="CM287" s="466" t="b">
        <f t="shared" si="813"/>
        <v>0</v>
      </c>
      <c r="CN287" s="427">
        <v>1</v>
      </c>
      <c r="CO287" s="427">
        <v>2</v>
      </c>
      <c r="CP287" s="427">
        <v>1.5</v>
      </c>
      <c r="CQ287" s="427">
        <v>1.5</v>
      </c>
      <c r="CS287" s="427">
        <v>1.5</v>
      </c>
      <c r="CT287" s="427">
        <v>1.5</v>
      </c>
      <c r="CU287" s="465"/>
      <c r="CV287" s="465"/>
      <c r="CW287" s="465">
        <v>3.5</v>
      </c>
      <c r="CX287" s="465">
        <v>3</v>
      </c>
      <c r="CY287" s="465">
        <v>3</v>
      </c>
      <c r="CZ287" s="465">
        <v>4</v>
      </c>
      <c r="DA287" s="465"/>
      <c r="DB287" s="465">
        <v>4</v>
      </c>
      <c r="DC287" s="465">
        <v>4</v>
      </c>
      <c r="DD287" s="427" t="s">
        <v>356</v>
      </c>
      <c r="DE287" s="427">
        <f t="shared" si="787"/>
        <v>3.50000000001</v>
      </c>
      <c r="DF287" s="427">
        <f t="shared" si="814"/>
        <v>3.00000000002</v>
      </c>
      <c r="DG287" s="427">
        <f t="shared" si="815"/>
        <v>3.00000000003</v>
      </c>
      <c r="DH287" s="427">
        <f t="shared" si="816"/>
        <v>4.00000000004</v>
      </c>
      <c r="DI287" s="427">
        <f t="shared" si="817"/>
        <v>5.0000000000000002E-11</v>
      </c>
      <c r="DJ287" s="427">
        <f t="shared" si="818"/>
        <v>4.00000000006</v>
      </c>
      <c r="DK287" s="427">
        <f t="shared" si="819"/>
        <v>4.00000000007</v>
      </c>
      <c r="DL287" s="427">
        <f t="shared" si="820"/>
        <v>0</v>
      </c>
      <c r="DM287" s="427">
        <f t="shared" si="788"/>
        <v>3.50000000001</v>
      </c>
      <c r="DN287" s="427">
        <f t="shared" si="789"/>
        <v>6.00000000004</v>
      </c>
      <c r="DO287" s="427">
        <f t="shared" si="790"/>
        <v>4.5000000000450004</v>
      </c>
      <c r="DP287" s="427">
        <f t="shared" si="791"/>
        <v>6.00000000006</v>
      </c>
      <c r="DQ287" s="427">
        <f t="shared" si="792"/>
        <v>0</v>
      </c>
      <c r="DR287" s="427">
        <f t="shared" si="793"/>
        <v>6.00000000009</v>
      </c>
      <c r="DS287" s="427">
        <f t="shared" si="794"/>
        <v>6.0000000001050005</v>
      </c>
      <c r="DT287" s="427">
        <f t="shared" si="795"/>
        <v>0</v>
      </c>
      <c r="DU287" s="466" t="b">
        <f t="shared" si="821"/>
        <v>0</v>
      </c>
      <c r="DV287" s="466" t="b">
        <f t="shared" si="822"/>
        <v>1</v>
      </c>
      <c r="DW287" s="466" t="b">
        <f t="shared" si="823"/>
        <v>1</v>
      </c>
      <c r="DX287" s="466" t="b">
        <f t="shared" si="824"/>
        <v>1</v>
      </c>
      <c r="DY287" s="466" t="b">
        <f t="shared" si="825"/>
        <v>0</v>
      </c>
      <c r="DZ287" s="466" t="b">
        <f t="shared" si="826"/>
        <v>1</v>
      </c>
      <c r="EA287" s="466" t="b">
        <f t="shared" si="827"/>
        <v>1</v>
      </c>
      <c r="EB287" s="466" t="b">
        <f t="shared" si="828"/>
        <v>0</v>
      </c>
    </row>
    <row r="288" spans="1:172" s="95" customFormat="1">
      <c r="A288" s="95" t="s">
        <v>1809</v>
      </c>
      <c r="B288" s="95" t="s">
        <v>411</v>
      </c>
      <c r="C288" s="95" t="s">
        <v>1137</v>
      </c>
      <c r="D288" s="95" t="s">
        <v>1810</v>
      </c>
      <c r="E288" s="95" t="s">
        <v>889</v>
      </c>
      <c r="F288" s="95" t="s">
        <v>356</v>
      </c>
      <c r="G288" s="95" t="s">
        <v>435</v>
      </c>
      <c r="H288" s="95">
        <v>27.5</v>
      </c>
      <c r="I288" s="219">
        <v>26.5</v>
      </c>
      <c r="J288" s="219"/>
      <c r="K288" s="219">
        <f t="shared" si="797"/>
        <v>28.000000000214996</v>
      </c>
      <c r="L288" s="219">
        <f t="shared" si="798"/>
        <v>24.500000000214996</v>
      </c>
      <c r="M288" s="95" t="s">
        <v>3136</v>
      </c>
      <c r="N288" s="95" t="s">
        <v>1768</v>
      </c>
      <c r="O288" s="95" t="s">
        <v>874</v>
      </c>
      <c r="P288" s="95" t="s">
        <v>1812</v>
      </c>
      <c r="R288" s="95" t="s">
        <v>1811</v>
      </c>
      <c r="S288" s="95" t="s">
        <v>817</v>
      </c>
      <c r="T288" s="95">
        <v>21</v>
      </c>
      <c r="U288" s="95" cm="1">
        <f t="array" ref="U288">IFERROR(INDEX('Offer Statistics'!$DS$2:$DS$350,MATCH(1,($A288='Offer Statistics'!$DD$2:$DD$350)*($A$11='Offer Statistics'!$DE$2:$DE$350),0)),"/")</f>
        <v>25</v>
      </c>
      <c r="V288" s="95" cm="1">
        <f t="array" ref="V288">IFERROR(INDEX('Offer Statistics'!$DF$2:$DF$350,MATCH(1,(A288='Offer Statistics'!$DD$2:$DD$350)*($A$11='Offer Statistics'!$DE$2:$DE$350),0)),"/")</f>
        <v>420</v>
      </c>
      <c r="W288" s="95" cm="1">
        <f t="array" ref="W288">IFERROR(INDEX('Offer Statistics'!$DN$2:$DN$350,MATCH(1,(A288='Offer Statistics'!$DD$2:$DD$350)*($A$11='Offer Statistics'!$DE$2:$DE$350),0)),"/")</f>
        <v>21</v>
      </c>
      <c r="X288" s="95">
        <f t="shared" si="776"/>
        <v>20</v>
      </c>
      <c r="Y288" s="95" t="s">
        <v>817</v>
      </c>
      <c r="Z288" s="95">
        <f>入學要求!AF297</f>
        <v>0</v>
      </c>
      <c r="AA288" s="95" t="str">
        <f>入學要求!AG297</f>
        <v>/</v>
      </c>
      <c r="AB288" s="386" t="s">
        <v>889</v>
      </c>
      <c r="AC288" s="427" t="s">
        <v>2855</v>
      </c>
      <c r="AD288" s="427"/>
      <c r="AE288" s="364" t="s">
        <v>356</v>
      </c>
      <c r="AF288" s="364" t="s">
        <v>356</v>
      </c>
      <c r="AG288" s="364" t="s">
        <v>874</v>
      </c>
      <c r="AH288" s="364" t="s">
        <v>884</v>
      </c>
      <c r="AJ288" s="95" t="s">
        <v>356</v>
      </c>
      <c r="AK288" s="95" t="s">
        <v>356</v>
      </c>
      <c r="AL288" s="95" t="s">
        <v>356</v>
      </c>
      <c r="AM288" s="95" t="s">
        <v>3172</v>
      </c>
      <c r="AN288" s="95" t="s">
        <v>3182</v>
      </c>
      <c r="AO288" s="95" t="s">
        <v>356</v>
      </c>
      <c r="AP288" s="95" t="s">
        <v>3173</v>
      </c>
      <c r="AQ288" s="95" t="s">
        <v>3174</v>
      </c>
      <c r="AR288" s="51"/>
      <c r="AS288" s="95" t="s">
        <v>820</v>
      </c>
      <c r="AT288" s="95" t="s">
        <v>1771</v>
      </c>
      <c r="AU288" s="95" t="s">
        <v>817</v>
      </c>
      <c r="AY288" s="95">
        <v>1</v>
      </c>
      <c r="AZ288" s="95">
        <v>2</v>
      </c>
      <c r="BA288" s="95">
        <v>1.5</v>
      </c>
      <c r="BB288" s="95">
        <v>1.5</v>
      </c>
      <c r="BD288" s="95">
        <v>1</v>
      </c>
      <c r="BE288" s="95">
        <v>1</v>
      </c>
      <c r="BG288" s="218"/>
      <c r="BH288" s="95">
        <v>4</v>
      </c>
      <c r="BI288" s="95">
        <v>3</v>
      </c>
      <c r="BJ288" s="95">
        <v>4</v>
      </c>
      <c r="BK288" s="95">
        <v>3</v>
      </c>
      <c r="BM288" s="95">
        <v>4</v>
      </c>
      <c r="BN288" s="95">
        <v>3</v>
      </c>
      <c r="BO288" s="95" t="s">
        <v>356</v>
      </c>
      <c r="BP288" s="95">
        <f t="shared" si="777"/>
        <v>4.00000000001</v>
      </c>
      <c r="BQ288" s="95">
        <f t="shared" si="799"/>
        <v>3.00000000002</v>
      </c>
      <c r="BR288" s="95">
        <f t="shared" si="800"/>
        <v>4.00000000003</v>
      </c>
      <c r="BS288" s="95">
        <f t="shared" si="801"/>
        <v>3.00000000004</v>
      </c>
      <c r="BT288" s="95">
        <f t="shared" si="802"/>
        <v>5.0000000000000002E-11</v>
      </c>
      <c r="BU288" s="95">
        <f t="shared" si="803"/>
        <v>4.00000000006</v>
      </c>
      <c r="BV288" s="95">
        <f t="shared" si="804"/>
        <v>3.00000000007</v>
      </c>
      <c r="BW288" s="95">
        <f t="shared" si="805"/>
        <v>0</v>
      </c>
      <c r="BX288" s="95">
        <f t="shared" si="778"/>
        <v>4.00000000001</v>
      </c>
      <c r="BY288" s="95">
        <f t="shared" si="779"/>
        <v>6.00000000004</v>
      </c>
      <c r="BZ288" s="95">
        <f t="shared" si="780"/>
        <v>6.0000000000450004</v>
      </c>
      <c r="CA288" s="95">
        <f t="shared" si="781"/>
        <v>4.50000000006</v>
      </c>
      <c r="CB288" s="95">
        <f t="shared" si="782"/>
        <v>0</v>
      </c>
      <c r="CC288" s="95">
        <f t="shared" si="783"/>
        <v>4.00000000006</v>
      </c>
      <c r="CD288" s="95">
        <f t="shared" si="784"/>
        <v>3.00000000007</v>
      </c>
      <c r="CE288" s="95">
        <f t="shared" si="785"/>
        <v>0</v>
      </c>
      <c r="CF288" s="217" t="b">
        <f t="shared" si="806"/>
        <v>1</v>
      </c>
      <c r="CG288" s="217" t="b">
        <f t="shared" si="807"/>
        <v>1</v>
      </c>
      <c r="CH288" s="217" t="b">
        <f t="shared" si="808"/>
        <v>1</v>
      </c>
      <c r="CI288" s="217" t="b">
        <f t="shared" si="809"/>
        <v>1</v>
      </c>
      <c r="CJ288" s="217" t="b">
        <f t="shared" si="810"/>
        <v>0</v>
      </c>
      <c r="CK288" s="217" t="b">
        <f t="shared" si="811"/>
        <v>1</v>
      </c>
      <c r="CL288" s="217" t="b">
        <f t="shared" si="812"/>
        <v>0</v>
      </c>
      <c r="CM288" s="217" t="b">
        <f t="shared" si="813"/>
        <v>0</v>
      </c>
      <c r="CN288" s="95">
        <v>1</v>
      </c>
      <c r="CO288" s="95">
        <v>2</v>
      </c>
      <c r="CP288" s="95">
        <v>1.5</v>
      </c>
      <c r="CQ288" s="95">
        <v>1.5</v>
      </c>
      <c r="CS288" s="95">
        <v>1</v>
      </c>
      <c r="CT288" s="95">
        <v>1</v>
      </c>
      <c r="CU288" s="218"/>
      <c r="CV288" s="218"/>
      <c r="CW288" s="218">
        <v>4</v>
      </c>
      <c r="CX288" s="218">
        <v>4</v>
      </c>
      <c r="CY288" s="218">
        <v>4</v>
      </c>
      <c r="CZ288" s="218">
        <v>4</v>
      </c>
      <c r="DA288" s="218"/>
      <c r="DB288" s="218">
        <v>4</v>
      </c>
      <c r="DC288" s="218">
        <v>3</v>
      </c>
      <c r="DD288" s="95" t="s">
        <v>356</v>
      </c>
      <c r="DE288" s="95">
        <f t="shared" si="787"/>
        <v>4.00000000001</v>
      </c>
      <c r="DF288" s="95">
        <f t="shared" si="814"/>
        <v>4.00000000002</v>
      </c>
      <c r="DG288" s="95">
        <f t="shared" si="815"/>
        <v>4.00000000003</v>
      </c>
      <c r="DH288" s="95">
        <f t="shared" si="816"/>
        <v>4.00000000004</v>
      </c>
      <c r="DI288" s="95">
        <f t="shared" si="817"/>
        <v>5.0000000000000002E-11</v>
      </c>
      <c r="DJ288" s="95">
        <f t="shared" si="818"/>
        <v>4.00000000006</v>
      </c>
      <c r="DK288" s="95">
        <f t="shared" si="819"/>
        <v>3.00000000007</v>
      </c>
      <c r="DL288" s="95">
        <f t="shared" si="820"/>
        <v>0</v>
      </c>
      <c r="DM288" s="95">
        <f t="shared" si="788"/>
        <v>4.00000000001</v>
      </c>
      <c r="DN288" s="95">
        <f t="shared" si="789"/>
        <v>8.00000000004</v>
      </c>
      <c r="DO288" s="95">
        <f t="shared" si="790"/>
        <v>6.0000000000450004</v>
      </c>
      <c r="DP288" s="95">
        <f t="shared" si="791"/>
        <v>6.00000000006</v>
      </c>
      <c r="DQ288" s="95">
        <f t="shared" si="792"/>
        <v>0</v>
      </c>
      <c r="DR288" s="95">
        <f t="shared" si="793"/>
        <v>4.00000000006</v>
      </c>
      <c r="DS288" s="95">
        <f t="shared" si="794"/>
        <v>3.00000000007</v>
      </c>
      <c r="DT288" s="95">
        <f t="shared" si="795"/>
        <v>0</v>
      </c>
      <c r="DU288" s="217" t="b">
        <f t="shared" si="821"/>
        <v>1</v>
      </c>
      <c r="DV288" s="217" t="b">
        <f t="shared" si="822"/>
        <v>1</v>
      </c>
      <c r="DW288" s="217" t="b">
        <f t="shared" si="823"/>
        <v>1</v>
      </c>
      <c r="DX288" s="217" t="b">
        <f t="shared" si="824"/>
        <v>1</v>
      </c>
      <c r="DY288" s="217" t="b">
        <f t="shared" si="825"/>
        <v>0</v>
      </c>
      <c r="DZ288" s="217" t="b">
        <f t="shared" si="826"/>
        <v>1</v>
      </c>
      <c r="EA288" s="217" t="b">
        <f t="shared" si="827"/>
        <v>0</v>
      </c>
      <c r="EB288" s="217" t="b">
        <f t="shared" si="828"/>
        <v>0</v>
      </c>
    </row>
    <row r="289" spans="1:132" s="95" customFormat="1">
      <c r="A289" s="95" t="s">
        <v>1813</v>
      </c>
      <c r="B289" s="95" t="s">
        <v>411</v>
      </c>
      <c r="C289" s="95" t="s">
        <v>1137</v>
      </c>
      <c r="D289" s="95" t="s">
        <v>1814</v>
      </c>
      <c r="E289" s="95" t="s">
        <v>889</v>
      </c>
      <c r="F289" s="95" t="s">
        <v>356</v>
      </c>
      <c r="G289" s="95" t="s">
        <v>435</v>
      </c>
      <c r="H289" s="95">
        <v>27</v>
      </c>
      <c r="I289" s="219">
        <v>26</v>
      </c>
      <c r="J289" s="219"/>
      <c r="K289" s="219">
        <f t="shared" si="797"/>
        <v>26.000000000214996</v>
      </c>
      <c r="L289" s="219">
        <f t="shared" si="798"/>
        <v>24.500000000215003</v>
      </c>
      <c r="M289" s="95" t="s">
        <v>3136</v>
      </c>
      <c r="N289" s="95" t="s">
        <v>1768</v>
      </c>
      <c r="O289" s="95" t="s">
        <v>874</v>
      </c>
      <c r="P289" s="95" t="s">
        <v>1812</v>
      </c>
      <c r="R289" s="95" t="s">
        <v>1815</v>
      </c>
      <c r="S289" s="95" t="s">
        <v>817</v>
      </c>
      <c r="T289" s="95">
        <v>17</v>
      </c>
      <c r="U289" s="95" cm="1">
        <f t="array" ref="U289">IFERROR(INDEX('Offer Statistics'!$DS$2:$DS$350,MATCH(1,($A289='Offer Statistics'!$DD$2:$DD$350)*($A$11='Offer Statistics'!$DE$2:$DE$350),0)),"/")</f>
        <v>28</v>
      </c>
      <c r="V289" s="95" cm="1">
        <f t="array" ref="V289">IFERROR(INDEX('Offer Statistics'!$DF$2:$DF$350,MATCH(1,(A289='Offer Statistics'!$DD$2:$DD$350)*($A$11='Offer Statistics'!$DE$2:$DE$350),0)),"/")</f>
        <v>517</v>
      </c>
      <c r="W289" s="95" cm="1">
        <f t="array" ref="W289">IFERROR(INDEX('Offer Statistics'!$DN$2:$DN$350,MATCH(1,(A289='Offer Statistics'!$DD$2:$DD$350)*($A$11='Offer Statistics'!$DE$2:$DE$350),0)),"/")</f>
        <v>26</v>
      </c>
      <c r="X289" s="95">
        <f t="shared" si="776"/>
        <v>19.884615384615383</v>
      </c>
      <c r="Y289" s="95" t="s">
        <v>817</v>
      </c>
      <c r="Z289" s="95">
        <f>入學要求!AF298</f>
        <v>0</v>
      </c>
      <c r="AA289" s="95" t="str">
        <f>入學要求!AG298</f>
        <v>/</v>
      </c>
      <c r="AB289" s="386" t="s">
        <v>889</v>
      </c>
      <c r="AC289" s="427" t="s">
        <v>2855</v>
      </c>
      <c r="AD289" s="427"/>
      <c r="AE289" s="51" t="s">
        <v>356</v>
      </c>
      <c r="AF289" s="51" t="s">
        <v>356</v>
      </c>
      <c r="AG289" s="364" t="s">
        <v>874</v>
      </c>
      <c r="AH289" s="364" t="s">
        <v>884</v>
      </c>
      <c r="AJ289" s="95" t="s">
        <v>356</v>
      </c>
      <c r="AK289" s="95" t="s">
        <v>356</v>
      </c>
      <c r="AL289" s="95" t="s">
        <v>356</v>
      </c>
      <c r="AM289" s="95" t="s">
        <v>3176</v>
      </c>
      <c r="AN289" s="95" t="s">
        <v>3181</v>
      </c>
      <c r="AO289" s="95" t="s">
        <v>356</v>
      </c>
      <c r="AP289" s="95" t="s">
        <v>3175</v>
      </c>
      <c r="AQ289" s="95" t="s">
        <v>3177</v>
      </c>
      <c r="AR289" s="51"/>
      <c r="AS289" s="95" t="s">
        <v>820</v>
      </c>
      <c r="AT289" s="95" t="s">
        <v>1771</v>
      </c>
      <c r="AU289" s="95" t="s">
        <v>817</v>
      </c>
      <c r="AY289" s="95">
        <v>1</v>
      </c>
      <c r="AZ289" s="95">
        <v>2</v>
      </c>
      <c r="BA289" s="95">
        <v>1.5</v>
      </c>
      <c r="BB289" s="95">
        <v>1.5</v>
      </c>
      <c r="BD289" s="95">
        <v>1</v>
      </c>
      <c r="BE289" s="95">
        <v>1</v>
      </c>
      <c r="BG289" s="218"/>
      <c r="BH289" s="95">
        <v>4</v>
      </c>
      <c r="BI289" s="95">
        <v>3</v>
      </c>
      <c r="BJ289" s="95">
        <v>3</v>
      </c>
      <c r="BK289" s="95">
        <v>4</v>
      </c>
      <c r="BM289" s="95">
        <v>4</v>
      </c>
      <c r="BN289" s="95">
        <v>2</v>
      </c>
      <c r="BO289" s="95" t="s">
        <v>356</v>
      </c>
      <c r="BP289" s="95">
        <f t="shared" si="777"/>
        <v>4.00000000001</v>
      </c>
      <c r="BQ289" s="95">
        <f t="shared" si="799"/>
        <v>3.00000000002</v>
      </c>
      <c r="BR289" s="95">
        <f t="shared" si="800"/>
        <v>3.00000000003</v>
      </c>
      <c r="BS289" s="95">
        <f t="shared" si="801"/>
        <v>4.00000000004</v>
      </c>
      <c r="BT289" s="95">
        <f t="shared" si="802"/>
        <v>5.0000000000000002E-11</v>
      </c>
      <c r="BU289" s="95">
        <f t="shared" si="803"/>
        <v>4.00000000006</v>
      </c>
      <c r="BV289" s="95">
        <f t="shared" si="804"/>
        <v>2.00000000007</v>
      </c>
      <c r="BW289" s="95">
        <f t="shared" si="805"/>
        <v>0</v>
      </c>
      <c r="BX289" s="95">
        <f t="shared" si="778"/>
        <v>4.00000000001</v>
      </c>
      <c r="BY289" s="95">
        <f t="shared" si="779"/>
        <v>6.00000000004</v>
      </c>
      <c r="BZ289" s="95">
        <f t="shared" si="780"/>
        <v>4.5000000000450004</v>
      </c>
      <c r="CA289" s="95">
        <f t="shared" si="781"/>
        <v>6.00000000006</v>
      </c>
      <c r="CB289" s="95">
        <f t="shared" si="782"/>
        <v>0</v>
      </c>
      <c r="CC289" s="95">
        <f t="shared" si="783"/>
        <v>4.00000000006</v>
      </c>
      <c r="CD289" s="95">
        <f t="shared" si="784"/>
        <v>2.00000000007</v>
      </c>
      <c r="CE289" s="95">
        <f t="shared" si="785"/>
        <v>0</v>
      </c>
      <c r="CF289" s="217" t="b">
        <f t="shared" si="806"/>
        <v>1</v>
      </c>
      <c r="CG289" s="217" t="b">
        <f t="shared" si="807"/>
        <v>1</v>
      </c>
      <c r="CH289" s="217" t="b">
        <f t="shared" si="808"/>
        <v>1</v>
      </c>
      <c r="CI289" s="217" t="b">
        <f t="shared" si="809"/>
        <v>1</v>
      </c>
      <c r="CJ289" s="217" t="b">
        <f t="shared" si="810"/>
        <v>0</v>
      </c>
      <c r="CK289" s="217" t="b">
        <f t="shared" si="811"/>
        <v>1</v>
      </c>
      <c r="CL289" s="217" t="b">
        <f t="shared" si="812"/>
        <v>0</v>
      </c>
      <c r="CM289" s="217" t="b">
        <f t="shared" si="813"/>
        <v>0</v>
      </c>
      <c r="CN289" s="95">
        <v>1</v>
      </c>
      <c r="CO289" s="95">
        <v>2</v>
      </c>
      <c r="CP289" s="95">
        <v>1.5</v>
      </c>
      <c r="CQ289" s="95">
        <v>1.5</v>
      </c>
      <c r="CS289" s="95">
        <v>1</v>
      </c>
      <c r="CT289" s="95">
        <v>1</v>
      </c>
      <c r="CU289" s="218"/>
      <c r="CV289" s="218"/>
      <c r="CW289" s="218">
        <v>4</v>
      </c>
      <c r="CX289" s="218">
        <v>3</v>
      </c>
      <c r="CY289" s="218">
        <v>4</v>
      </c>
      <c r="CZ289" s="218">
        <v>4</v>
      </c>
      <c r="DA289" s="218"/>
      <c r="DB289" s="218">
        <v>4</v>
      </c>
      <c r="DC289" s="218">
        <v>3</v>
      </c>
      <c r="DD289" s="95" t="s">
        <v>356</v>
      </c>
      <c r="DE289" s="95">
        <f t="shared" si="787"/>
        <v>4.00000000001</v>
      </c>
      <c r="DF289" s="95">
        <f t="shared" si="814"/>
        <v>3.00000000002</v>
      </c>
      <c r="DG289" s="95">
        <f t="shared" si="815"/>
        <v>4.00000000003</v>
      </c>
      <c r="DH289" s="95">
        <f t="shared" si="816"/>
        <v>4.00000000004</v>
      </c>
      <c r="DI289" s="95">
        <f t="shared" si="817"/>
        <v>5.0000000000000002E-11</v>
      </c>
      <c r="DJ289" s="95">
        <f t="shared" si="818"/>
        <v>4.00000000006</v>
      </c>
      <c r="DK289" s="95">
        <f t="shared" si="819"/>
        <v>3.00000000007</v>
      </c>
      <c r="DL289" s="95">
        <f t="shared" si="820"/>
        <v>0</v>
      </c>
      <c r="DM289" s="95">
        <f t="shared" si="788"/>
        <v>4.00000000001</v>
      </c>
      <c r="DN289" s="95">
        <f t="shared" si="789"/>
        <v>6.00000000004</v>
      </c>
      <c r="DO289" s="95">
        <f t="shared" si="790"/>
        <v>6.0000000000450004</v>
      </c>
      <c r="DP289" s="95">
        <f t="shared" si="791"/>
        <v>6.00000000006</v>
      </c>
      <c r="DQ289" s="95">
        <f t="shared" si="792"/>
        <v>0</v>
      </c>
      <c r="DR289" s="95">
        <f t="shared" si="793"/>
        <v>4.00000000006</v>
      </c>
      <c r="DS289" s="95">
        <f t="shared" si="794"/>
        <v>3.00000000007</v>
      </c>
      <c r="DT289" s="95">
        <f t="shared" si="795"/>
        <v>0</v>
      </c>
      <c r="DU289" s="217" t="b">
        <f t="shared" si="821"/>
        <v>1</v>
      </c>
      <c r="DV289" s="217" t="b">
        <f t="shared" si="822"/>
        <v>1</v>
      </c>
      <c r="DW289" s="217" t="b">
        <f t="shared" si="823"/>
        <v>1</v>
      </c>
      <c r="DX289" s="217" t="b">
        <f t="shared" si="824"/>
        <v>1</v>
      </c>
      <c r="DY289" s="217" t="b">
        <f t="shared" si="825"/>
        <v>0</v>
      </c>
      <c r="DZ289" s="217" t="b">
        <f t="shared" si="826"/>
        <v>1</v>
      </c>
      <c r="EA289" s="217" t="b">
        <f t="shared" si="827"/>
        <v>0</v>
      </c>
      <c r="EB289" s="217" t="b">
        <f t="shared" si="828"/>
        <v>0</v>
      </c>
    </row>
    <row r="290" spans="1:132" s="427" customFormat="1">
      <c r="A290" s="427" t="s">
        <v>1816</v>
      </c>
      <c r="B290" s="427" t="s">
        <v>411</v>
      </c>
      <c r="C290" s="427" t="s">
        <v>1137</v>
      </c>
      <c r="D290" s="427" t="s">
        <v>1817</v>
      </c>
      <c r="E290" s="427" t="s">
        <v>889</v>
      </c>
      <c r="F290" s="427" t="s">
        <v>356</v>
      </c>
      <c r="G290" s="427" t="s">
        <v>435</v>
      </c>
      <c r="H290" s="427">
        <v>25.5</v>
      </c>
      <c r="I290" s="464">
        <v>24.5</v>
      </c>
      <c r="J290" s="464"/>
      <c r="K290" s="464">
        <f t="shared" si="797"/>
        <v>21.500000000275001</v>
      </c>
      <c r="L290" s="464">
        <f t="shared" si="798"/>
        <v>19.000000000285002</v>
      </c>
      <c r="M290" s="427" t="s">
        <v>3136</v>
      </c>
      <c r="N290" s="427" t="s">
        <v>1768</v>
      </c>
      <c r="O290" s="427" t="s">
        <v>1818</v>
      </c>
      <c r="P290" s="427" t="s">
        <v>356</v>
      </c>
      <c r="R290" s="427" t="s">
        <v>1819</v>
      </c>
      <c r="S290" s="427" t="s">
        <v>817</v>
      </c>
      <c r="T290" s="427">
        <v>14</v>
      </c>
      <c r="U290" s="427" cm="1">
        <f t="array" ref="U290">IFERROR(INDEX('Offer Statistics'!$DS$2:$DS$350,MATCH(1,($A290='Offer Statistics'!$DD$2:$DD$350)*($A$11='Offer Statistics'!$DE$2:$DE$350),0)),"/")</f>
        <v>18</v>
      </c>
      <c r="V290" s="427" cm="1">
        <f t="array" ref="V290">IFERROR(INDEX('Offer Statistics'!$DF$2:$DF$350,MATCH(1,(A290='Offer Statistics'!$DD$2:$DD$350)*($A$11='Offer Statistics'!$DE$2:$DE$350),0)),"/")</f>
        <v>111</v>
      </c>
      <c r="W290" s="427" cm="1">
        <f t="array" ref="W290">IFERROR(INDEX('Offer Statistics'!$DN$2:$DN$350,MATCH(1,(A290='Offer Statistics'!$DD$2:$DD$350)*($A$11='Offer Statistics'!$DE$2:$DE$350),0)),"/")</f>
        <v>0</v>
      </c>
      <c r="X290" s="427" t="str">
        <f t="shared" si="776"/>
        <v>新科目</v>
      </c>
      <c r="Y290" s="427" t="s">
        <v>817</v>
      </c>
      <c r="Z290" s="427">
        <f>入學要求!AF299</f>
        <v>0</v>
      </c>
      <c r="AA290" s="427" t="str">
        <f>入學要求!AG299</f>
        <v>/</v>
      </c>
      <c r="AB290" s="405" t="s">
        <v>889</v>
      </c>
      <c r="AE290" s="427" t="s">
        <v>356</v>
      </c>
      <c r="AF290" s="427" t="s">
        <v>356</v>
      </c>
      <c r="AG290" s="427" t="s">
        <v>3149</v>
      </c>
      <c r="AH290" s="427" t="s">
        <v>356</v>
      </c>
      <c r="AI290" s="95"/>
      <c r="AJ290" s="95" t="s">
        <v>356</v>
      </c>
      <c r="AK290" s="95" t="s">
        <v>356</v>
      </c>
      <c r="AL290" s="95" t="s">
        <v>356</v>
      </c>
      <c r="AM290" s="95" t="s">
        <v>1823</v>
      </c>
      <c r="AN290" s="95" t="s">
        <v>3180</v>
      </c>
      <c r="AO290" s="95" t="s">
        <v>356</v>
      </c>
      <c r="AP290" s="95" t="s">
        <v>3178</v>
      </c>
      <c r="AQ290" s="95" t="s">
        <v>3179</v>
      </c>
      <c r="AR290" s="51"/>
      <c r="AS290" s="427" t="s">
        <v>820</v>
      </c>
      <c r="AT290" s="427" t="s">
        <v>1771</v>
      </c>
      <c r="AU290" s="427" t="s">
        <v>817</v>
      </c>
      <c r="AY290" s="95">
        <v>1</v>
      </c>
      <c r="AZ290" s="95">
        <v>1</v>
      </c>
      <c r="BA290" s="95">
        <v>1</v>
      </c>
      <c r="BB290" s="95">
        <v>1</v>
      </c>
      <c r="BC290" s="95"/>
      <c r="BD290" s="95">
        <v>1.5</v>
      </c>
      <c r="BE290" s="95">
        <v>1.5</v>
      </c>
      <c r="BG290" s="465"/>
      <c r="BH290" s="427">
        <v>3</v>
      </c>
      <c r="BI290" s="427">
        <v>3</v>
      </c>
      <c r="BJ290" s="427">
        <v>3</v>
      </c>
      <c r="BK290" s="427">
        <v>4</v>
      </c>
      <c r="BM290" s="427">
        <v>4</v>
      </c>
      <c r="BN290" s="427">
        <v>2</v>
      </c>
      <c r="BO290" s="427" t="s">
        <v>356</v>
      </c>
      <c r="BP290" s="427">
        <f t="shared" si="777"/>
        <v>3.00000000001</v>
      </c>
      <c r="BQ290" s="427">
        <f t="shared" si="799"/>
        <v>3.00000000002</v>
      </c>
      <c r="BR290" s="427">
        <f t="shared" si="800"/>
        <v>3.00000000003</v>
      </c>
      <c r="BS290" s="427">
        <f t="shared" si="801"/>
        <v>4.00000000004</v>
      </c>
      <c r="BT290" s="427">
        <f t="shared" si="802"/>
        <v>5.0000000000000002E-11</v>
      </c>
      <c r="BU290" s="427">
        <f t="shared" si="803"/>
        <v>4.00000000006</v>
      </c>
      <c r="BV290" s="427">
        <f t="shared" si="804"/>
        <v>2.00000000007</v>
      </c>
      <c r="BW290" s="427">
        <f t="shared" si="805"/>
        <v>0</v>
      </c>
      <c r="BX290" s="427">
        <f t="shared" si="778"/>
        <v>3.00000000001</v>
      </c>
      <c r="BY290" s="427">
        <f t="shared" si="779"/>
        <v>3.00000000002</v>
      </c>
      <c r="BZ290" s="427">
        <f t="shared" si="780"/>
        <v>3.00000000003</v>
      </c>
      <c r="CA290" s="427">
        <f t="shared" si="781"/>
        <v>4.00000000004</v>
      </c>
      <c r="CB290" s="427">
        <f t="shared" si="782"/>
        <v>0</v>
      </c>
      <c r="CC290" s="427">
        <f t="shared" si="783"/>
        <v>6.00000000009</v>
      </c>
      <c r="CD290" s="427">
        <f t="shared" si="784"/>
        <v>3.000000000105</v>
      </c>
      <c r="CE290" s="427">
        <f t="shared" si="785"/>
        <v>0</v>
      </c>
      <c r="CF290" s="466" t="b">
        <f t="shared" si="806"/>
        <v>0</v>
      </c>
      <c r="CG290" s="466" t="b">
        <f t="shared" si="807"/>
        <v>1</v>
      </c>
      <c r="CH290" s="466" t="b">
        <f t="shared" si="808"/>
        <v>1</v>
      </c>
      <c r="CI290" s="466" t="b">
        <f t="shared" si="809"/>
        <v>1</v>
      </c>
      <c r="CJ290" s="466" t="b">
        <f t="shared" si="810"/>
        <v>0</v>
      </c>
      <c r="CK290" s="466" t="b">
        <f t="shared" si="811"/>
        <v>1</v>
      </c>
      <c r="CL290" s="466" t="b">
        <f t="shared" si="812"/>
        <v>1</v>
      </c>
      <c r="CM290" s="466" t="b">
        <f t="shared" si="813"/>
        <v>0</v>
      </c>
      <c r="CN290" s="427">
        <v>1</v>
      </c>
      <c r="CO290" s="427">
        <v>1</v>
      </c>
      <c r="CP290" s="427">
        <v>1</v>
      </c>
      <c r="CQ290" s="427">
        <v>1</v>
      </c>
      <c r="CS290" s="427">
        <v>1.5</v>
      </c>
      <c r="CT290" s="427">
        <v>1.5</v>
      </c>
      <c r="CU290" s="465"/>
      <c r="CV290" s="465"/>
      <c r="CW290" s="465">
        <v>4</v>
      </c>
      <c r="CX290" s="465">
        <v>3</v>
      </c>
      <c r="CY290" s="465">
        <v>3</v>
      </c>
      <c r="CZ290" s="465">
        <v>4</v>
      </c>
      <c r="DA290" s="465"/>
      <c r="DB290" s="465">
        <v>4</v>
      </c>
      <c r="DC290" s="465">
        <v>3</v>
      </c>
      <c r="DD290" s="427" t="s">
        <v>356</v>
      </c>
      <c r="DE290" s="427">
        <f t="shared" si="787"/>
        <v>4.00000000001</v>
      </c>
      <c r="DF290" s="427">
        <f t="shared" si="814"/>
        <v>3.00000000002</v>
      </c>
      <c r="DG290" s="427">
        <f t="shared" si="815"/>
        <v>3.00000000003</v>
      </c>
      <c r="DH290" s="427">
        <f t="shared" si="816"/>
        <v>4.00000000004</v>
      </c>
      <c r="DI290" s="427">
        <f t="shared" si="817"/>
        <v>5.0000000000000002E-11</v>
      </c>
      <c r="DJ290" s="427">
        <f t="shared" si="818"/>
        <v>4.00000000006</v>
      </c>
      <c r="DK290" s="427">
        <f t="shared" si="819"/>
        <v>3.00000000007</v>
      </c>
      <c r="DL290" s="427">
        <f t="shared" si="820"/>
        <v>0</v>
      </c>
      <c r="DM290" s="427">
        <f t="shared" si="788"/>
        <v>4.00000000001</v>
      </c>
      <c r="DN290" s="427">
        <f t="shared" si="789"/>
        <v>3.00000000002</v>
      </c>
      <c r="DO290" s="427">
        <f t="shared" si="790"/>
        <v>3.00000000003</v>
      </c>
      <c r="DP290" s="427">
        <f t="shared" si="791"/>
        <v>4.00000000004</v>
      </c>
      <c r="DQ290" s="427">
        <f t="shared" si="792"/>
        <v>0</v>
      </c>
      <c r="DR290" s="427">
        <f t="shared" si="793"/>
        <v>6.00000000009</v>
      </c>
      <c r="DS290" s="427">
        <f t="shared" si="794"/>
        <v>4.5000000001050005</v>
      </c>
      <c r="DT290" s="427">
        <f t="shared" si="795"/>
        <v>0</v>
      </c>
      <c r="DU290" s="466" t="b">
        <f t="shared" si="821"/>
        <v>1</v>
      </c>
      <c r="DV290" s="466" t="b">
        <f t="shared" si="822"/>
        <v>0</v>
      </c>
      <c r="DW290" s="466" t="b">
        <f t="shared" si="823"/>
        <v>1</v>
      </c>
      <c r="DX290" s="466" t="b">
        <f t="shared" si="824"/>
        <v>1</v>
      </c>
      <c r="DY290" s="466" t="b">
        <f t="shared" si="825"/>
        <v>0</v>
      </c>
      <c r="DZ290" s="466" t="b">
        <f t="shared" si="826"/>
        <v>1</v>
      </c>
      <c r="EA290" s="466" t="b">
        <f t="shared" si="827"/>
        <v>1</v>
      </c>
      <c r="EB290" s="466" t="b">
        <f t="shared" si="828"/>
        <v>0</v>
      </c>
    </row>
    <row r="291" spans="1:132" s="427" customFormat="1">
      <c r="A291" s="427" t="s">
        <v>1820</v>
      </c>
      <c r="B291" s="427" t="s">
        <v>411</v>
      </c>
      <c r="C291" s="427" t="s">
        <v>1137</v>
      </c>
      <c r="D291" s="427" t="s">
        <v>1821</v>
      </c>
      <c r="E291" s="427" t="s">
        <v>889</v>
      </c>
      <c r="F291" s="427" t="s">
        <v>356</v>
      </c>
      <c r="G291" s="427" t="s">
        <v>435</v>
      </c>
      <c r="H291" s="427">
        <v>26</v>
      </c>
      <c r="I291" s="464">
        <v>25</v>
      </c>
      <c r="J291" s="464"/>
      <c r="K291" s="464">
        <f t="shared" si="797"/>
        <v>25.250000000215003</v>
      </c>
      <c r="L291" s="464">
        <f t="shared" si="798"/>
        <v>23.500000000215003</v>
      </c>
      <c r="M291" s="427" t="s">
        <v>3136</v>
      </c>
      <c r="N291" s="427" t="s">
        <v>1768</v>
      </c>
      <c r="O291" s="427" t="s">
        <v>874</v>
      </c>
      <c r="P291" s="427" t="s">
        <v>1812</v>
      </c>
      <c r="R291" s="427" t="s">
        <v>1822</v>
      </c>
      <c r="S291" s="427" t="s">
        <v>817</v>
      </c>
      <c r="T291" s="427">
        <v>20</v>
      </c>
      <c r="U291" s="427" cm="1">
        <f t="array" ref="U291">IFERROR(INDEX('Offer Statistics'!$DS$2:$DS$350,MATCH(1,($A291='Offer Statistics'!$DD$2:$DD$350)*($A$11='Offer Statistics'!$DE$2:$DE$350),0)),"/")</f>
        <v>28</v>
      </c>
      <c r="V291" s="427" cm="1">
        <f t="array" ref="V291">IFERROR(INDEX('Offer Statistics'!$DF$2:$DF$350,MATCH(1,(A291='Offer Statistics'!$DD$2:$DD$350)*($A$11='Offer Statistics'!$DE$2:$DE$350),0)),"/")</f>
        <v>162</v>
      </c>
      <c r="W291" s="427" cm="1">
        <f t="array" ref="W291">IFERROR(INDEX('Offer Statistics'!$DN$2:$DN$350,MATCH(1,(A291='Offer Statistics'!$DD$2:$DD$350)*($A$11='Offer Statistics'!$DE$2:$DE$350),0)),"/")</f>
        <v>24</v>
      </c>
      <c r="X291" s="427">
        <f t="shared" si="776"/>
        <v>6.75</v>
      </c>
      <c r="Y291" s="427" t="s">
        <v>817</v>
      </c>
      <c r="Z291" s="427">
        <f>入學要求!AF300</f>
        <v>0</v>
      </c>
      <c r="AA291" s="427" t="str">
        <f>入學要求!AG300</f>
        <v>/</v>
      </c>
      <c r="AB291" s="405" t="s">
        <v>889</v>
      </c>
      <c r="AC291" s="410" t="s">
        <v>3144</v>
      </c>
      <c r="AD291" s="427" t="s">
        <v>2855</v>
      </c>
      <c r="AE291" s="427" t="s">
        <v>356</v>
      </c>
      <c r="AF291" s="427" t="s">
        <v>356</v>
      </c>
      <c r="AG291" s="427" t="s">
        <v>874</v>
      </c>
      <c r="AH291" s="427" t="s">
        <v>1491</v>
      </c>
      <c r="AI291" s="95"/>
      <c r="AJ291" s="95" t="s">
        <v>356</v>
      </c>
      <c r="AK291" s="95" t="s">
        <v>356</v>
      </c>
      <c r="AL291" s="95" t="s">
        <v>356</v>
      </c>
      <c r="AM291" s="95" t="s">
        <v>1838</v>
      </c>
      <c r="AN291" s="95" t="s">
        <v>3189</v>
      </c>
      <c r="AO291" s="95" t="s">
        <v>356</v>
      </c>
      <c r="AP291" s="95" t="s">
        <v>3190</v>
      </c>
      <c r="AQ291" s="95" t="s">
        <v>3191</v>
      </c>
      <c r="AR291" s="51"/>
      <c r="AS291" s="427" t="s">
        <v>820</v>
      </c>
      <c r="AT291" s="427" t="s">
        <v>1771</v>
      </c>
      <c r="AU291" s="427" t="s">
        <v>817</v>
      </c>
      <c r="AY291" s="95">
        <v>1</v>
      </c>
      <c r="AZ291" s="95">
        <v>2</v>
      </c>
      <c r="BA291" s="95">
        <v>1.5</v>
      </c>
      <c r="BB291" s="95">
        <v>1.5</v>
      </c>
      <c r="BC291" s="95"/>
      <c r="BD291" s="95">
        <v>1</v>
      </c>
      <c r="BE291" s="95">
        <v>1</v>
      </c>
      <c r="BG291" s="465"/>
      <c r="BH291" s="427">
        <v>3</v>
      </c>
      <c r="BI291" s="427">
        <v>3</v>
      </c>
      <c r="BJ291" s="427">
        <v>3</v>
      </c>
      <c r="BK291" s="427">
        <v>4</v>
      </c>
      <c r="BM291" s="427">
        <v>4</v>
      </c>
      <c r="BN291" s="427">
        <v>2</v>
      </c>
      <c r="BO291" s="427" t="s">
        <v>356</v>
      </c>
      <c r="BP291" s="427">
        <f t="shared" si="777"/>
        <v>3.00000000001</v>
      </c>
      <c r="BQ291" s="427">
        <f t="shared" si="799"/>
        <v>3.00000000002</v>
      </c>
      <c r="BR291" s="427">
        <f t="shared" si="800"/>
        <v>3.00000000003</v>
      </c>
      <c r="BS291" s="427">
        <f t="shared" si="801"/>
        <v>4.00000000004</v>
      </c>
      <c r="BT291" s="427">
        <f t="shared" si="802"/>
        <v>5.0000000000000002E-11</v>
      </c>
      <c r="BU291" s="427">
        <f t="shared" si="803"/>
        <v>4.00000000006</v>
      </c>
      <c r="BV291" s="427">
        <f t="shared" si="804"/>
        <v>2.00000000007</v>
      </c>
      <c r="BW291" s="427">
        <f t="shared" si="805"/>
        <v>0</v>
      </c>
      <c r="BX291" s="427">
        <f t="shared" si="778"/>
        <v>3.00000000001</v>
      </c>
      <c r="BY291" s="427">
        <f t="shared" si="779"/>
        <v>6.00000000004</v>
      </c>
      <c r="BZ291" s="427">
        <f t="shared" si="780"/>
        <v>4.5000000000450004</v>
      </c>
      <c r="CA291" s="427">
        <f t="shared" si="781"/>
        <v>6.00000000006</v>
      </c>
      <c r="CB291" s="427">
        <f t="shared" si="782"/>
        <v>0</v>
      </c>
      <c r="CC291" s="427">
        <f t="shared" si="783"/>
        <v>4.00000000006</v>
      </c>
      <c r="CD291" s="427">
        <f t="shared" si="784"/>
        <v>2.00000000007</v>
      </c>
      <c r="CE291" s="427">
        <f t="shared" si="785"/>
        <v>0</v>
      </c>
      <c r="CF291" s="466" t="b">
        <f t="shared" si="806"/>
        <v>1</v>
      </c>
      <c r="CG291" s="466" t="b">
        <f t="shared" si="807"/>
        <v>1</v>
      </c>
      <c r="CH291" s="466" t="b">
        <f t="shared" si="808"/>
        <v>1</v>
      </c>
      <c r="CI291" s="466" t="b">
        <f t="shared" si="809"/>
        <v>1</v>
      </c>
      <c r="CJ291" s="466" t="b">
        <f t="shared" si="810"/>
        <v>0</v>
      </c>
      <c r="CK291" s="466" t="b">
        <f t="shared" si="811"/>
        <v>1</v>
      </c>
      <c r="CL291" s="466" t="b">
        <f t="shared" si="812"/>
        <v>0</v>
      </c>
      <c r="CM291" s="466" t="b">
        <f t="shared" si="813"/>
        <v>0</v>
      </c>
      <c r="CN291" s="427">
        <v>1</v>
      </c>
      <c r="CO291" s="427">
        <v>2</v>
      </c>
      <c r="CP291" s="427">
        <v>1.5</v>
      </c>
      <c r="CQ291" s="427">
        <v>1.5</v>
      </c>
      <c r="CS291" s="427">
        <v>1</v>
      </c>
      <c r="CT291" s="427">
        <v>1</v>
      </c>
      <c r="CU291" s="465"/>
      <c r="CV291" s="465"/>
      <c r="CW291" s="465">
        <v>4</v>
      </c>
      <c r="CX291" s="465">
        <v>3</v>
      </c>
      <c r="CY291" s="465">
        <v>3.5</v>
      </c>
      <c r="CZ291" s="465">
        <v>4</v>
      </c>
      <c r="DA291" s="465"/>
      <c r="DB291" s="465">
        <v>4</v>
      </c>
      <c r="DC291" s="465">
        <v>3</v>
      </c>
      <c r="DD291" s="427" t="s">
        <v>356</v>
      </c>
      <c r="DE291" s="427">
        <f t="shared" si="787"/>
        <v>4.00000000001</v>
      </c>
      <c r="DF291" s="427">
        <f t="shared" si="814"/>
        <v>3.00000000002</v>
      </c>
      <c r="DG291" s="427">
        <f t="shared" si="815"/>
        <v>3.50000000003</v>
      </c>
      <c r="DH291" s="427">
        <f t="shared" si="816"/>
        <v>4.00000000004</v>
      </c>
      <c r="DI291" s="427">
        <f t="shared" si="817"/>
        <v>5.0000000000000002E-11</v>
      </c>
      <c r="DJ291" s="427">
        <f t="shared" si="818"/>
        <v>4.00000000006</v>
      </c>
      <c r="DK291" s="427">
        <f t="shared" si="819"/>
        <v>3.00000000007</v>
      </c>
      <c r="DL291" s="427">
        <f t="shared" si="820"/>
        <v>0</v>
      </c>
      <c r="DM291" s="427">
        <f t="shared" si="788"/>
        <v>4.00000000001</v>
      </c>
      <c r="DN291" s="427">
        <f t="shared" si="789"/>
        <v>6.00000000004</v>
      </c>
      <c r="DO291" s="427">
        <f t="shared" si="790"/>
        <v>5.2500000000450004</v>
      </c>
      <c r="DP291" s="427">
        <f t="shared" si="791"/>
        <v>6.00000000006</v>
      </c>
      <c r="DQ291" s="427">
        <f t="shared" si="792"/>
        <v>0</v>
      </c>
      <c r="DR291" s="427">
        <f t="shared" si="793"/>
        <v>4.00000000006</v>
      </c>
      <c r="DS291" s="427">
        <f t="shared" si="794"/>
        <v>3.00000000007</v>
      </c>
      <c r="DT291" s="427">
        <f t="shared" si="795"/>
        <v>0</v>
      </c>
      <c r="DU291" s="466" t="b">
        <f t="shared" si="821"/>
        <v>1</v>
      </c>
      <c r="DV291" s="466" t="b">
        <f t="shared" si="822"/>
        <v>1</v>
      </c>
      <c r="DW291" s="466" t="b">
        <f t="shared" si="823"/>
        <v>1</v>
      </c>
      <c r="DX291" s="466" t="b">
        <f t="shared" si="824"/>
        <v>1</v>
      </c>
      <c r="DY291" s="466" t="b">
        <f t="shared" si="825"/>
        <v>0</v>
      </c>
      <c r="DZ291" s="466" t="b">
        <f t="shared" si="826"/>
        <v>1</v>
      </c>
      <c r="EA291" s="466" t="b">
        <f t="shared" si="827"/>
        <v>0</v>
      </c>
      <c r="EB291" s="466" t="b">
        <f t="shared" si="828"/>
        <v>0</v>
      </c>
    </row>
    <row r="292" spans="1:132" s="95" customFormat="1">
      <c r="A292" s="95" t="s">
        <v>1824</v>
      </c>
      <c r="B292" s="95" t="s">
        <v>411</v>
      </c>
      <c r="C292" s="95" t="s">
        <v>1064</v>
      </c>
      <c r="D292" s="95" t="s">
        <v>1825</v>
      </c>
      <c r="E292" s="95" t="s">
        <v>889</v>
      </c>
      <c r="F292" s="95" t="s">
        <v>356</v>
      </c>
      <c r="G292" s="95" t="s">
        <v>435</v>
      </c>
      <c r="H292" s="95">
        <v>27.5</v>
      </c>
      <c r="I292" s="219">
        <v>27</v>
      </c>
      <c r="J292" s="219"/>
      <c r="K292" s="219">
        <f t="shared" si="797"/>
        <v>27.000000000195001</v>
      </c>
      <c r="L292" s="219">
        <f t="shared" si="798"/>
        <v>26.500000000225</v>
      </c>
      <c r="M292" s="95" t="s">
        <v>3136</v>
      </c>
      <c r="N292" s="95" t="s">
        <v>1768</v>
      </c>
      <c r="O292" s="95" t="s">
        <v>939</v>
      </c>
      <c r="P292" s="95" t="s">
        <v>1827</v>
      </c>
      <c r="R292" s="95" t="s">
        <v>1826</v>
      </c>
      <c r="S292" s="95" t="s">
        <v>817</v>
      </c>
      <c r="T292" s="95">
        <v>18</v>
      </c>
      <c r="U292" s="95" cm="1">
        <f t="array" ref="U292">IFERROR(INDEX('Offer Statistics'!$DS$2:$DS$350,MATCH(1,($A292='Offer Statistics'!$DD$2:$DD$350)*($A$11='Offer Statistics'!$DE$2:$DE$350),0)),"/")</f>
        <v>23</v>
      </c>
      <c r="V292" s="95" cm="1">
        <f t="array" ref="V292">IFERROR(INDEX('Offer Statistics'!$DF$2:$DF$350,MATCH(1,(A292='Offer Statistics'!$DD$2:$DD$350)*($A$11='Offer Statistics'!$DE$2:$DE$350),0)),"/")</f>
        <v>125</v>
      </c>
      <c r="W292" s="95" cm="1">
        <f t="array" ref="W292">IFERROR(INDEX('Offer Statistics'!$DN$2:$DN$350,MATCH(1,(A292='Offer Statistics'!$DD$2:$DD$350)*($A$11='Offer Statistics'!$DE$2:$DE$350),0)),"/")</f>
        <v>20</v>
      </c>
      <c r="X292" s="95">
        <f t="shared" si="776"/>
        <v>6.25</v>
      </c>
      <c r="Y292" s="95" t="s">
        <v>817</v>
      </c>
      <c r="Z292" s="95">
        <f>入學要求!AF301</f>
        <v>0</v>
      </c>
      <c r="AA292" s="95" t="str">
        <f>入學要求!AG301</f>
        <v>/</v>
      </c>
      <c r="AB292" s="386" t="s">
        <v>889</v>
      </c>
      <c r="AC292" s="364"/>
      <c r="AD292" s="364"/>
      <c r="AE292" s="364" t="s">
        <v>356</v>
      </c>
      <c r="AF292" s="364" t="s">
        <v>356</v>
      </c>
      <c r="AG292" s="364" t="s">
        <v>939</v>
      </c>
      <c r="AH292" s="364" t="s">
        <v>1827</v>
      </c>
      <c r="AJ292" s="95" t="s">
        <v>356</v>
      </c>
      <c r="AK292" s="95" t="s">
        <v>356</v>
      </c>
      <c r="AL292" s="95" t="s">
        <v>356</v>
      </c>
      <c r="AM292" s="95" t="s">
        <v>1807</v>
      </c>
      <c r="AN292" s="95" t="s">
        <v>3193</v>
      </c>
      <c r="AO292" s="95" t="s">
        <v>356</v>
      </c>
      <c r="AP292" s="95" t="s">
        <v>3194</v>
      </c>
      <c r="AQ292" s="95" t="s">
        <v>3195</v>
      </c>
      <c r="AR292" s="51"/>
      <c r="AS292" s="95" t="s">
        <v>820</v>
      </c>
      <c r="AT292" s="95" t="s">
        <v>1771</v>
      </c>
      <c r="AU292" s="95" t="s">
        <v>817</v>
      </c>
      <c r="AY292" s="95">
        <v>1.5</v>
      </c>
      <c r="AZ292" s="95">
        <v>2.5</v>
      </c>
      <c r="BA292" s="95">
        <v>1</v>
      </c>
      <c r="BB292" s="95">
        <v>1</v>
      </c>
      <c r="BD292" s="95">
        <v>1.5</v>
      </c>
      <c r="BE292" s="95">
        <v>1</v>
      </c>
      <c r="BG292" s="218"/>
      <c r="BH292" s="95">
        <v>4</v>
      </c>
      <c r="BI292" s="95">
        <v>4</v>
      </c>
      <c r="BJ292" s="95">
        <v>3</v>
      </c>
      <c r="BK292" s="95">
        <v>3</v>
      </c>
      <c r="BM292" s="95">
        <v>3</v>
      </c>
      <c r="BN292" s="95">
        <v>2</v>
      </c>
      <c r="BO292" s="95" t="s">
        <v>356</v>
      </c>
      <c r="BP292" s="95">
        <f t="shared" si="777"/>
        <v>4.00000000001</v>
      </c>
      <c r="BQ292" s="95">
        <f t="shared" si="799"/>
        <v>4.00000000002</v>
      </c>
      <c r="BR292" s="95">
        <f t="shared" si="800"/>
        <v>3.00000000003</v>
      </c>
      <c r="BS292" s="95">
        <f t="shared" si="801"/>
        <v>3.00000000004</v>
      </c>
      <c r="BT292" s="95">
        <f t="shared" si="802"/>
        <v>5.0000000000000002E-11</v>
      </c>
      <c r="BU292" s="95">
        <f t="shared" si="803"/>
        <v>3.00000000006</v>
      </c>
      <c r="BV292" s="95">
        <f t="shared" si="804"/>
        <v>2.00000000007</v>
      </c>
      <c r="BW292" s="95">
        <f t="shared" si="805"/>
        <v>0</v>
      </c>
      <c r="BX292" s="95">
        <f t="shared" si="778"/>
        <v>6.0000000000149996</v>
      </c>
      <c r="BY292" s="95">
        <f t="shared" si="779"/>
        <v>10.000000000050001</v>
      </c>
      <c r="BZ292" s="95">
        <f t="shared" si="780"/>
        <v>3.00000000003</v>
      </c>
      <c r="CA292" s="95">
        <f t="shared" si="781"/>
        <v>3.00000000004</v>
      </c>
      <c r="CB292" s="95">
        <f t="shared" si="782"/>
        <v>0</v>
      </c>
      <c r="CC292" s="95">
        <f t="shared" si="783"/>
        <v>4.50000000009</v>
      </c>
      <c r="CD292" s="95">
        <f t="shared" si="784"/>
        <v>2.00000000007</v>
      </c>
      <c r="CE292" s="95">
        <f t="shared" si="785"/>
        <v>0</v>
      </c>
      <c r="CF292" s="217" t="b">
        <f t="shared" si="806"/>
        <v>1</v>
      </c>
      <c r="CG292" s="217" t="b">
        <f t="shared" si="807"/>
        <v>1</v>
      </c>
      <c r="CH292" s="217" t="b">
        <f t="shared" si="808"/>
        <v>1</v>
      </c>
      <c r="CI292" s="217" t="b">
        <f t="shared" si="809"/>
        <v>1</v>
      </c>
      <c r="CJ292" s="217" t="b">
        <f t="shared" si="810"/>
        <v>0</v>
      </c>
      <c r="CK292" s="217" t="b">
        <f t="shared" si="811"/>
        <v>1</v>
      </c>
      <c r="CL292" s="217" t="b">
        <f t="shared" si="812"/>
        <v>0</v>
      </c>
      <c r="CM292" s="217" t="b">
        <f t="shared" si="813"/>
        <v>0</v>
      </c>
      <c r="CN292" s="95">
        <v>1.5</v>
      </c>
      <c r="CO292" s="95">
        <v>2.5</v>
      </c>
      <c r="CP292" s="95">
        <v>1</v>
      </c>
      <c r="CQ292" s="95">
        <v>1</v>
      </c>
      <c r="CS292" s="95">
        <v>1</v>
      </c>
      <c r="CT292" s="95">
        <v>1</v>
      </c>
      <c r="CU292" s="218"/>
      <c r="CV292" s="218"/>
      <c r="CW292" s="218">
        <v>4</v>
      </c>
      <c r="CX292" s="218">
        <v>4</v>
      </c>
      <c r="CY292" s="218">
        <v>3</v>
      </c>
      <c r="CZ292" s="218">
        <v>4</v>
      </c>
      <c r="DA292" s="218"/>
      <c r="DB292" s="218">
        <v>4</v>
      </c>
      <c r="DC292" s="218">
        <v>2.5</v>
      </c>
      <c r="DD292" s="95" t="s">
        <v>356</v>
      </c>
      <c r="DE292" s="95">
        <f t="shared" si="787"/>
        <v>4.00000000001</v>
      </c>
      <c r="DF292" s="95">
        <f t="shared" si="814"/>
        <v>4.00000000002</v>
      </c>
      <c r="DG292" s="95">
        <f t="shared" si="815"/>
        <v>3.00000000003</v>
      </c>
      <c r="DH292" s="95">
        <f t="shared" si="816"/>
        <v>4.00000000004</v>
      </c>
      <c r="DI292" s="95">
        <f t="shared" si="817"/>
        <v>5.0000000000000002E-11</v>
      </c>
      <c r="DJ292" s="95">
        <f t="shared" si="818"/>
        <v>4.00000000006</v>
      </c>
      <c r="DK292" s="95">
        <f t="shared" si="819"/>
        <v>2.50000000007</v>
      </c>
      <c r="DL292" s="95">
        <f t="shared" si="820"/>
        <v>0</v>
      </c>
      <c r="DM292" s="95">
        <f t="shared" si="788"/>
        <v>6.0000000000149996</v>
      </c>
      <c r="DN292" s="95">
        <f t="shared" si="789"/>
        <v>10.000000000050001</v>
      </c>
      <c r="DO292" s="95">
        <f t="shared" si="790"/>
        <v>3.00000000003</v>
      </c>
      <c r="DP292" s="95">
        <f t="shared" si="791"/>
        <v>4.00000000004</v>
      </c>
      <c r="DQ292" s="95">
        <f t="shared" si="792"/>
        <v>0</v>
      </c>
      <c r="DR292" s="95">
        <f t="shared" si="793"/>
        <v>4.00000000006</v>
      </c>
      <c r="DS292" s="95">
        <f t="shared" si="794"/>
        <v>2.50000000007</v>
      </c>
      <c r="DT292" s="95">
        <f t="shared" si="795"/>
        <v>0</v>
      </c>
      <c r="DU292" s="217" t="b">
        <f t="shared" si="821"/>
        <v>1</v>
      </c>
      <c r="DV292" s="217" t="b">
        <f t="shared" si="822"/>
        <v>1</v>
      </c>
      <c r="DW292" s="217" t="b">
        <f t="shared" si="823"/>
        <v>1</v>
      </c>
      <c r="DX292" s="217" t="b">
        <f t="shared" si="824"/>
        <v>1</v>
      </c>
      <c r="DY292" s="217" t="b">
        <f t="shared" si="825"/>
        <v>0</v>
      </c>
      <c r="DZ292" s="217" t="b">
        <f t="shared" si="826"/>
        <v>1</v>
      </c>
      <c r="EA292" s="217" t="b">
        <f t="shared" si="827"/>
        <v>0</v>
      </c>
      <c r="EB292" s="217" t="b">
        <f t="shared" si="828"/>
        <v>0</v>
      </c>
    </row>
    <row r="293" spans="1:132" s="95" customFormat="1">
      <c r="A293" s="95" t="s">
        <v>1828</v>
      </c>
      <c r="B293" s="95" t="s">
        <v>411</v>
      </c>
      <c r="C293" s="95" t="s">
        <v>1064</v>
      </c>
      <c r="D293" s="95" t="s">
        <v>1829</v>
      </c>
      <c r="E293" s="95" t="s">
        <v>889</v>
      </c>
      <c r="F293" s="95" t="s">
        <v>356</v>
      </c>
      <c r="G293" s="95" t="s">
        <v>435</v>
      </c>
      <c r="H293" s="95">
        <v>24</v>
      </c>
      <c r="I293" s="219">
        <v>24</v>
      </c>
      <c r="J293" s="219"/>
      <c r="K293" s="219">
        <f t="shared" si="797"/>
        <v>23.000000000224997</v>
      </c>
      <c r="L293" s="219">
        <f t="shared" si="798"/>
        <v>22.000000000184997</v>
      </c>
      <c r="M293" s="95" t="s">
        <v>3136</v>
      </c>
      <c r="N293" s="95" t="s">
        <v>1768</v>
      </c>
      <c r="O293" s="95" t="s">
        <v>874</v>
      </c>
      <c r="P293" s="95" t="s">
        <v>984</v>
      </c>
      <c r="Q293" s="95" t="s">
        <v>356</v>
      </c>
      <c r="R293" s="95" t="s">
        <v>1830</v>
      </c>
      <c r="S293" s="95" t="s">
        <v>817</v>
      </c>
      <c r="T293" s="95">
        <v>29</v>
      </c>
      <c r="U293" s="95" cm="1">
        <f t="array" ref="U293">IFERROR(INDEX('Offer Statistics'!$DS$2:$DS$350,MATCH(1,($A293='Offer Statistics'!$DD$2:$DD$350)*($A$11='Offer Statistics'!$DE$2:$DE$350),0)),"/")</f>
        <v>35</v>
      </c>
      <c r="V293" s="95" cm="1">
        <f t="array" ref="V293">IFERROR(INDEX('Offer Statistics'!$DF$2:$DF$350,MATCH(1,(A293='Offer Statistics'!$DD$2:$DD$350)*($A$11='Offer Statistics'!$DE$2:$DE$350),0)),"/")</f>
        <v>227</v>
      </c>
      <c r="W293" s="95" cm="1">
        <f t="array" ref="W293">IFERROR(INDEX('Offer Statistics'!$DN$2:$DN$350,MATCH(1,(A293='Offer Statistics'!$DD$2:$DD$350)*($A$11='Offer Statistics'!$DE$2:$DE$350),0)),"/")</f>
        <v>33</v>
      </c>
      <c r="X293" s="95">
        <f t="shared" si="776"/>
        <v>6.8787878787878789</v>
      </c>
      <c r="Y293" s="95" t="s">
        <v>817</v>
      </c>
      <c r="Z293" s="95">
        <f>入學要求!AF302</f>
        <v>0</v>
      </c>
      <c r="AA293" s="95" t="str">
        <f>入學要求!AG302</f>
        <v>/</v>
      </c>
      <c r="AB293" s="386" t="s">
        <v>889</v>
      </c>
      <c r="AC293" s="364"/>
      <c r="AD293" s="364"/>
      <c r="AE293" s="364" t="s">
        <v>356</v>
      </c>
      <c r="AF293" s="364" t="s">
        <v>356</v>
      </c>
      <c r="AG293" s="364" t="s">
        <v>874</v>
      </c>
      <c r="AH293" s="364" t="s">
        <v>984</v>
      </c>
      <c r="AI293" s="364" t="s">
        <v>356</v>
      </c>
      <c r="AJ293" s="95" t="s">
        <v>356</v>
      </c>
      <c r="AK293" s="95" t="s">
        <v>356</v>
      </c>
      <c r="AL293" s="95" t="s">
        <v>356</v>
      </c>
      <c r="AM293" s="95" t="s">
        <v>3196</v>
      </c>
      <c r="AN293" s="95" t="s">
        <v>3197</v>
      </c>
      <c r="AO293" s="95" t="s">
        <v>356</v>
      </c>
      <c r="AP293" s="95" t="s">
        <v>3198</v>
      </c>
      <c r="AQ293" s="95" t="s">
        <v>3199</v>
      </c>
      <c r="AR293" s="51"/>
      <c r="AS293" s="95" t="s">
        <v>820</v>
      </c>
      <c r="AT293" s="95" t="s">
        <v>1771</v>
      </c>
      <c r="AU293" s="95" t="s">
        <v>817</v>
      </c>
      <c r="AY293" s="95">
        <v>1.5</v>
      </c>
      <c r="AZ293" s="95">
        <v>2</v>
      </c>
      <c r="BA293" s="95">
        <v>1</v>
      </c>
      <c r="BB293" s="95">
        <v>1</v>
      </c>
      <c r="BD293" s="95">
        <v>1</v>
      </c>
      <c r="BE293" s="95">
        <v>1</v>
      </c>
      <c r="BG293" s="218"/>
      <c r="BH293" s="95">
        <v>4</v>
      </c>
      <c r="BI293" s="95">
        <v>3</v>
      </c>
      <c r="BJ293" s="95">
        <v>3</v>
      </c>
      <c r="BK293" s="95">
        <v>4</v>
      </c>
      <c r="BM293" s="95">
        <v>3</v>
      </c>
      <c r="BN293" s="95">
        <v>2</v>
      </c>
      <c r="BO293" s="95" t="s">
        <v>356</v>
      </c>
      <c r="BP293" s="95">
        <f t="shared" si="777"/>
        <v>4.00000000001</v>
      </c>
      <c r="BQ293" s="95">
        <f t="shared" si="799"/>
        <v>3.00000000002</v>
      </c>
      <c r="BR293" s="95">
        <f t="shared" si="800"/>
        <v>3.00000000003</v>
      </c>
      <c r="BS293" s="95">
        <f t="shared" si="801"/>
        <v>4.00000000004</v>
      </c>
      <c r="BT293" s="95">
        <f t="shared" si="802"/>
        <v>5.0000000000000002E-11</v>
      </c>
      <c r="BU293" s="95">
        <f t="shared" si="803"/>
        <v>3.00000000006</v>
      </c>
      <c r="BV293" s="95">
        <f t="shared" si="804"/>
        <v>2.00000000007</v>
      </c>
      <c r="BW293" s="95">
        <f t="shared" si="805"/>
        <v>0</v>
      </c>
      <c r="BX293" s="95">
        <f t="shared" si="778"/>
        <v>6.0000000000149996</v>
      </c>
      <c r="BY293" s="95">
        <f t="shared" si="779"/>
        <v>6.00000000004</v>
      </c>
      <c r="BZ293" s="95">
        <f t="shared" si="780"/>
        <v>3.00000000003</v>
      </c>
      <c r="CA293" s="95">
        <f t="shared" si="781"/>
        <v>4.00000000004</v>
      </c>
      <c r="CB293" s="95">
        <f t="shared" si="782"/>
        <v>0</v>
      </c>
      <c r="CC293" s="95">
        <f t="shared" si="783"/>
        <v>3.00000000006</v>
      </c>
      <c r="CD293" s="95">
        <f t="shared" si="784"/>
        <v>2.00000000007</v>
      </c>
      <c r="CE293" s="95">
        <f t="shared" si="785"/>
        <v>0</v>
      </c>
      <c r="CF293" s="217" t="b">
        <f t="shared" si="806"/>
        <v>1</v>
      </c>
      <c r="CG293" s="217" t="b">
        <f t="shared" si="807"/>
        <v>1</v>
      </c>
      <c r="CH293" s="217" t="b">
        <f t="shared" si="808"/>
        <v>1</v>
      </c>
      <c r="CI293" s="217" t="b">
        <f t="shared" si="809"/>
        <v>1</v>
      </c>
      <c r="CJ293" s="217" t="b">
        <f t="shared" si="810"/>
        <v>0</v>
      </c>
      <c r="CK293" s="217" t="b">
        <f t="shared" si="811"/>
        <v>1</v>
      </c>
      <c r="CL293" s="217" t="b">
        <f t="shared" si="812"/>
        <v>0</v>
      </c>
      <c r="CM293" s="217" t="b">
        <f t="shared" si="813"/>
        <v>0</v>
      </c>
      <c r="CN293" s="95">
        <v>1.5</v>
      </c>
      <c r="CO293" s="95">
        <v>2</v>
      </c>
      <c r="CP293" s="95">
        <v>1</v>
      </c>
      <c r="CQ293" s="95">
        <v>1</v>
      </c>
      <c r="CS293" s="95">
        <v>1</v>
      </c>
      <c r="CT293" s="95">
        <v>1</v>
      </c>
      <c r="CU293" s="218"/>
      <c r="CV293" s="218"/>
      <c r="CW293" s="218">
        <v>4</v>
      </c>
      <c r="CX293" s="218">
        <v>3</v>
      </c>
      <c r="CY293" s="218">
        <v>3</v>
      </c>
      <c r="CZ293" s="218">
        <v>4</v>
      </c>
      <c r="DA293" s="218"/>
      <c r="DB293" s="218">
        <v>4</v>
      </c>
      <c r="DC293" s="218">
        <v>3</v>
      </c>
      <c r="DD293" s="95" t="s">
        <v>356</v>
      </c>
      <c r="DE293" s="95">
        <f t="shared" si="787"/>
        <v>4.00000000001</v>
      </c>
      <c r="DF293" s="95">
        <f t="shared" si="814"/>
        <v>3.00000000002</v>
      </c>
      <c r="DG293" s="95">
        <f t="shared" si="815"/>
        <v>3.00000000003</v>
      </c>
      <c r="DH293" s="95">
        <f t="shared" si="816"/>
        <v>4.00000000004</v>
      </c>
      <c r="DI293" s="95">
        <f t="shared" si="817"/>
        <v>5.0000000000000002E-11</v>
      </c>
      <c r="DJ293" s="95">
        <f t="shared" si="818"/>
        <v>4.00000000006</v>
      </c>
      <c r="DK293" s="95">
        <f t="shared" si="819"/>
        <v>3.00000000007</v>
      </c>
      <c r="DL293" s="95">
        <f t="shared" si="820"/>
        <v>0</v>
      </c>
      <c r="DM293" s="95">
        <f t="shared" si="788"/>
        <v>6.0000000000149996</v>
      </c>
      <c r="DN293" s="95">
        <f t="shared" si="789"/>
        <v>6.00000000004</v>
      </c>
      <c r="DO293" s="95">
        <f t="shared" si="790"/>
        <v>3.00000000003</v>
      </c>
      <c r="DP293" s="95">
        <f t="shared" si="791"/>
        <v>4.00000000004</v>
      </c>
      <c r="DQ293" s="95">
        <f t="shared" si="792"/>
        <v>0</v>
      </c>
      <c r="DR293" s="95">
        <f t="shared" si="793"/>
        <v>4.00000000006</v>
      </c>
      <c r="DS293" s="95">
        <f t="shared" si="794"/>
        <v>3.00000000007</v>
      </c>
      <c r="DT293" s="95">
        <f t="shared" si="795"/>
        <v>0</v>
      </c>
      <c r="DU293" s="217" t="b">
        <f t="shared" si="821"/>
        <v>1</v>
      </c>
      <c r="DV293" s="217" t="b">
        <f t="shared" si="822"/>
        <v>1</v>
      </c>
      <c r="DW293" s="217" t="b">
        <f t="shared" si="823"/>
        <v>0</v>
      </c>
      <c r="DX293" s="217" t="b">
        <f t="shared" si="824"/>
        <v>1</v>
      </c>
      <c r="DY293" s="217" t="b">
        <f t="shared" si="825"/>
        <v>0</v>
      </c>
      <c r="DZ293" s="217" t="b">
        <f t="shared" si="826"/>
        <v>1</v>
      </c>
      <c r="EA293" s="217" t="b">
        <f t="shared" si="827"/>
        <v>1</v>
      </c>
      <c r="EB293" s="217" t="b">
        <f t="shared" si="828"/>
        <v>0</v>
      </c>
    </row>
    <row r="294" spans="1:132" s="95" customFormat="1">
      <c r="A294" s="95" t="s">
        <v>1831</v>
      </c>
      <c r="B294" s="95" t="s">
        <v>411</v>
      </c>
      <c r="C294" s="95" t="s">
        <v>1064</v>
      </c>
      <c r="D294" s="95" t="s">
        <v>1832</v>
      </c>
      <c r="E294" s="95" t="s">
        <v>889</v>
      </c>
      <c r="F294" s="95" t="s">
        <v>356</v>
      </c>
      <c r="G294" s="95" t="s">
        <v>435</v>
      </c>
      <c r="H294" s="95">
        <v>25.6</v>
      </c>
      <c r="I294" s="219">
        <v>24.8</v>
      </c>
      <c r="J294" s="219"/>
      <c r="K294" s="219">
        <f t="shared" si="797"/>
        <v>25.600000000251001</v>
      </c>
      <c r="L294" s="219">
        <f t="shared" si="798"/>
        <v>23.200000000250999</v>
      </c>
      <c r="M294" s="95" t="s">
        <v>3136</v>
      </c>
      <c r="N294" s="95" t="s">
        <v>1768</v>
      </c>
      <c r="O294" s="95" t="s">
        <v>874</v>
      </c>
      <c r="P294" s="95" t="s">
        <v>984</v>
      </c>
      <c r="Q294" s="95" t="s">
        <v>1834</v>
      </c>
      <c r="R294" s="95" t="s">
        <v>1833</v>
      </c>
      <c r="S294" s="95" t="s">
        <v>817</v>
      </c>
      <c r="T294" s="95">
        <v>32</v>
      </c>
      <c r="U294" s="95" cm="1">
        <f t="array" ref="U294">IFERROR(INDEX('Offer Statistics'!$DS$2:$DS$350,MATCH(1,($A294='Offer Statistics'!$DD$2:$DD$350)*($A$11='Offer Statistics'!$DE$2:$DE$350),0)),"/")</f>
        <v>38</v>
      </c>
      <c r="V294" s="95" cm="1">
        <f t="array" ref="V294">IFERROR(INDEX('Offer Statistics'!$DF$2:$DF$350,MATCH(1,(A294='Offer Statistics'!$DD$2:$DD$350)*($A$11='Offer Statistics'!$DE$2:$DE$350),0)),"/")</f>
        <v>356</v>
      </c>
      <c r="W294" s="95" cm="1">
        <f t="array" ref="W294">IFERROR(INDEX('Offer Statistics'!$DN$2:$DN$350,MATCH(1,(A294='Offer Statistics'!$DD$2:$DD$350)*($A$11='Offer Statistics'!$DE$2:$DE$350),0)),"/")</f>
        <v>35</v>
      </c>
      <c r="X294" s="95">
        <f t="shared" si="776"/>
        <v>10.171428571428571</v>
      </c>
      <c r="Y294" s="95" t="s">
        <v>817</v>
      </c>
      <c r="Z294" s="95">
        <f>入學要求!AF303</f>
        <v>0</v>
      </c>
      <c r="AA294" s="95" t="str">
        <f>入學要求!AG303</f>
        <v>/</v>
      </c>
      <c r="AB294" s="386" t="s">
        <v>889</v>
      </c>
      <c r="AC294" s="364"/>
      <c r="AD294" s="364"/>
      <c r="AE294" s="364" t="s">
        <v>356</v>
      </c>
      <c r="AF294" s="364" t="s">
        <v>356</v>
      </c>
      <c r="AG294" s="364" t="s">
        <v>874</v>
      </c>
      <c r="AH294" s="364" t="s">
        <v>984</v>
      </c>
      <c r="AI294" s="364" t="s">
        <v>1834</v>
      </c>
      <c r="AJ294" s="95" t="s">
        <v>356</v>
      </c>
      <c r="AK294" s="95" t="s">
        <v>356</v>
      </c>
      <c r="AL294" s="95" t="s">
        <v>356</v>
      </c>
      <c r="AM294" s="95" t="s">
        <v>3200</v>
      </c>
      <c r="AN294" s="95" t="s">
        <v>3201</v>
      </c>
      <c r="AO294" s="95" t="s">
        <v>356</v>
      </c>
      <c r="AP294" s="95" t="s">
        <v>3208</v>
      </c>
      <c r="AQ294" s="95" t="s">
        <v>3202</v>
      </c>
      <c r="AS294" s="95" t="s">
        <v>820</v>
      </c>
      <c r="AT294" s="95" t="s">
        <v>1771</v>
      </c>
      <c r="AU294" s="95" t="s">
        <v>817</v>
      </c>
      <c r="AY294" s="95">
        <v>1.5</v>
      </c>
      <c r="AZ294" s="95">
        <v>2</v>
      </c>
      <c r="BA294" s="95">
        <v>1</v>
      </c>
      <c r="BB294" s="95">
        <v>1</v>
      </c>
      <c r="BD294" s="95">
        <v>1.2</v>
      </c>
      <c r="BE294" s="95">
        <v>1.2</v>
      </c>
      <c r="BG294" s="218"/>
      <c r="BH294" s="95">
        <v>4</v>
      </c>
      <c r="BI294" s="95">
        <v>3</v>
      </c>
      <c r="BJ294" s="95">
        <v>2</v>
      </c>
      <c r="BK294" s="95">
        <v>4</v>
      </c>
      <c r="BM294" s="95">
        <v>4</v>
      </c>
      <c r="BN294" s="95">
        <v>2</v>
      </c>
      <c r="BO294" s="95" t="s">
        <v>356</v>
      </c>
      <c r="BP294" s="95">
        <f t="shared" si="777"/>
        <v>4.00000000001</v>
      </c>
      <c r="BQ294" s="95">
        <f t="shared" si="799"/>
        <v>3.00000000002</v>
      </c>
      <c r="BR294" s="95">
        <f t="shared" si="800"/>
        <v>2.00000000003</v>
      </c>
      <c r="BS294" s="95">
        <f t="shared" si="801"/>
        <v>4.00000000004</v>
      </c>
      <c r="BT294" s="95">
        <f t="shared" si="802"/>
        <v>5.0000000000000002E-11</v>
      </c>
      <c r="BU294" s="95">
        <f t="shared" si="803"/>
        <v>4.00000000006</v>
      </c>
      <c r="BV294" s="95">
        <f t="shared" si="804"/>
        <v>2.00000000007</v>
      </c>
      <c r="BW294" s="95">
        <f t="shared" si="805"/>
        <v>0</v>
      </c>
      <c r="BX294" s="95">
        <f t="shared" si="778"/>
        <v>6.0000000000149996</v>
      </c>
      <c r="BY294" s="95">
        <f t="shared" si="779"/>
        <v>6.00000000004</v>
      </c>
      <c r="BZ294" s="95">
        <f t="shared" si="780"/>
        <v>2.00000000003</v>
      </c>
      <c r="CA294" s="95">
        <f t="shared" si="781"/>
        <v>4.00000000004</v>
      </c>
      <c r="CB294" s="95">
        <f t="shared" si="782"/>
        <v>0</v>
      </c>
      <c r="CC294" s="95">
        <f t="shared" si="783"/>
        <v>4.800000000072</v>
      </c>
      <c r="CD294" s="95">
        <f t="shared" si="784"/>
        <v>2.4000000000839998</v>
      </c>
      <c r="CE294" s="95">
        <f t="shared" si="785"/>
        <v>0</v>
      </c>
      <c r="CF294" s="217" t="b">
        <f t="shared" si="806"/>
        <v>1</v>
      </c>
      <c r="CG294" s="217" t="b">
        <f t="shared" si="807"/>
        <v>1</v>
      </c>
      <c r="CH294" s="217" t="b">
        <f t="shared" si="808"/>
        <v>0</v>
      </c>
      <c r="CI294" s="217" t="b">
        <f t="shared" si="809"/>
        <v>1</v>
      </c>
      <c r="CJ294" s="217" t="b">
        <f t="shared" si="810"/>
        <v>0</v>
      </c>
      <c r="CK294" s="217" t="b">
        <f t="shared" si="811"/>
        <v>1</v>
      </c>
      <c r="CL294" s="217" t="b">
        <f t="shared" si="812"/>
        <v>1</v>
      </c>
      <c r="CM294" s="217" t="b">
        <f t="shared" si="813"/>
        <v>0</v>
      </c>
      <c r="CN294" s="95">
        <v>1.5</v>
      </c>
      <c r="CO294" s="95">
        <v>2</v>
      </c>
      <c r="CP294" s="95">
        <v>1</v>
      </c>
      <c r="CQ294" s="95">
        <v>1</v>
      </c>
      <c r="CS294" s="95">
        <v>1.2</v>
      </c>
      <c r="CT294" s="95">
        <v>1.2</v>
      </c>
      <c r="CU294" s="218"/>
      <c r="CV294" s="218"/>
      <c r="CW294" s="218">
        <v>4</v>
      </c>
      <c r="CX294" s="218">
        <v>3</v>
      </c>
      <c r="CY294" s="218">
        <v>3</v>
      </c>
      <c r="CZ294" s="218">
        <v>4</v>
      </c>
      <c r="DA294" s="218"/>
      <c r="DB294" s="218">
        <v>4</v>
      </c>
      <c r="DC294" s="218">
        <v>4</v>
      </c>
      <c r="DD294" s="95" t="s">
        <v>356</v>
      </c>
      <c r="DE294" s="95">
        <f t="shared" si="787"/>
        <v>4.00000000001</v>
      </c>
      <c r="DF294" s="95">
        <f t="shared" si="814"/>
        <v>3.00000000002</v>
      </c>
      <c r="DG294" s="95">
        <f t="shared" si="815"/>
        <v>3.00000000003</v>
      </c>
      <c r="DH294" s="95">
        <f t="shared" si="816"/>
        <v>4.00000000004</v>
      </c>
      <c r="DI294" s="95">
        <f t="shared" si="817"/>
        <v>5.0000000000000002E-11</v>
      </c>
      <c r="DJ294" s="95">
        <f t="shared" si="818"/>
        <v>4.00000000006</v>
      </c>
      <c r="DK294" s="95">
        <f t="shared" si="819"/>
        <v>4.00000000007</v>
      </c>
      <c r="DL294" s="95">
        <f t="shared" si="820"/>
        <v>0</v>
      </c>
      <c r="DM294" s="95">
        <f t="shared" si="788"/>
        <v>6.0000000000149996</v>
      </c>
      <c r="DN294" s="95">
        <f t="shared" si="789"/>
        <v>6.00000000004</v>
      </c>
      <c r="DO294" s="95">
        <f t="shared" si="790"/>
        <v>3.00000000003</v>
      </c>
      <c r="DP294" s="95">
        <f t="shared" si="791"/>
        <v>4.00000000004</v>
      </c>
      <c r="DQ294" s="95">
        <f t="shared" si="792"/>
        <v>0</v>
      </c>
      <c r="DR294" s="95">
        <f t="shared" si="793"/>
        <v>4.800000000072</v>
      </c>
      <c r="DS294" s="95">
        <f t="shared" si="794"/>
        <v>4.8000000000840002</v>
      </c>
      <c r="DT294" s="95">
        <f t="shared" si="795"/>
        <v>0</v>
      </c>
      <c r="DU294" s="217" t="b">
        <f t="shared" si="821"/>
        <v>1</v>
      </c>
      <c r="DV294" s="217" t="b">
        <f t="shared" si="822"/>
        <v>1</v>
      </c>
      <c r="DW294" s="217" t="b">
        <f t="shared" si="823"/>
        <v>0</v>
      </c>
      <c r="DX294" s="217" t="b">
        <f t="shared" si="824"/>
        <v>1</v>
      </c>
      <c r="DY294" s="217" t="b">
        <f t="shared" si="825"/>
        <v>0</v>
      </c>
      <c r="DZ294" s="217" t="b">
        <f t="shared" si="826"/>
        <v>1</v>
      </c>
      <c r="EA294" s="217" t="b">
        <f t="shared" si="827"/>
        <v>1</v>
      </c>
      <c r="EB294" s="217" t="b">
        <f t="shared" si="828"/>
        <v>0</v>
      </c>
    </row>
    <row r="295" spans="1:132" s="95" customFormat="1">
      <c r="A295" s="95" t="s">
        <v>1835</v>
      </c>
      <c r="B295" s="95" t="s">
        <v>411</v>
      </c>
      <c r="C295" s="95" t="s">
        <v>1064</v>
      </c>
      <c r="D295" s="95" t="s">
        <v>1836</v>
      </c>
      <c r="E295" s="95" t="s">
        <v>889</v>
      </c>
      <c r="F295" s="95" t="s">
        <v>356</v>
      </c>
      <c r="G295" s="95" t="s">
        <v>435</v>
      </c>
      <c r="H295" s="95">
        <v>25.5</v>
      </c>
      <c r="I295" s="219">
        <v>24.5</v>
      </c>
      <c r="J295" s="219"/>
      <c r="K295" s="219">
        <f t="shared" si="797"/>
        <v>26.000000000200004</v>
      </c>
      <c r="L295" s="219">
        <f t="shared" si="798"/>
        <v>22.000000000229999</v>
      </c>
      <c r="M295" s="95" t="s">
        <v>3136</v>
      </c>
      <c r="N295" s="95" t="s">
        <v>1768</v>
      </c>
      <c r="O295" s="95" t="s">
        <v>874</v>
      </c>
      <c r="P295" s="95" t="s">
        <v>952</v>
      </c>
      <c r="Q295" s="95" t="s">
        <v>356</v>
      </c>
      <c r="R295" s="95" t="s">
        <v>1837</v>
      </c>
      <c r="S295" s="95" t="s">
        <v>817</v>
      </c>
      <c r="T295" s="95">
        <v>27</v>
      </c>
      <c r="U295" s="95" cm="1">
        <f t="array" ref="U295">IFERROR(INDEX('Offer Statistics'!$DS$2:$DS$350,MATCH(1,($A295='Offer Statistics'!$DD$2:$DD$350)*($A$11='Offer Statistics'!$DE$2:$DE$350),0)),"/")</f>
        <v>39</v>
      </c>
      <c r="V295" s="95" cm="1">
        <f t="array" ref="V295">IFERROR(INDEX('Offer Statistics'!$DF$2:$DF$350,MATCH(1,(A295='Offer Statistics'!$DD$2:$DD$350)*($A$11='Offer Statistics'!$DE$2:$DE$350),0)),"/")</f>
        <v>149</v>
      </c>
      <c r="W295" s="95" cm="1">
        <f t="array" ref="W295">IFERROR(INDEX('Offer Statistics'!$DN$2:$DN$350,MATCH(1,(A295='Offer Statistics'!$DD$2:$DD$350)*($A$11='Offer Statistics'!$DE$2:$DE$350),0)),"/")</f>
        <v>22</v>
      </c>
      <c r="X295" s="95">
        <f t="shared" si="776"/>
        <v>6.7727272727272725</v>
      </c>
      <c r="Y295" s="95" t="s">
        <v>817</v>
      </c>
      <c r="Z295" s="95">
        <f>入學要求!AF304</f>
        <v>0</v>
      </c>
      <c r="AA295" s="95" t="str">
        <f>入學要求!AG304</f>
        <v>/</v>
      </c>
      <c r="AB295" s="386" t="s">
        <v>889</v>
      </c>
      <c r="AC295" s="364"/>
      <c r="AD295" s="364"/>
      <c r="AE295" s="364" t="s">
        <v>356</v>
      </c>
      <c r="AF295" s="364" t="s">
        <v>356</v>
      </c>
      <c r="AG295" s="364" t="s">
        <v>874</v>
      </c>
      <c r="AH295" s="364" t="s">
        <v>952</v>
      </c>
      <c r="AI295" s="364" t="s">
        <v>356</v>
      </c>
      <c r="AJ295" s="95" t="s">
        <v>356</v>
      </c>
      <c r="AK295" s="95" t="s">
        <v>356</v>
      </c>
      <c r="AL295" s="95" t="s">
        <v>356</v>
      </c>
      <c r="AM295" s="95" t="s">
        <v>1823</v>
      </c>
      <c r="AN295" s="95" t="s">
        <v>3203</v>
      </c>
      <c r="AO295" s="95" t="s">
        <v>356</v>
      </c>
      <c r="AP295" s="95" t="s">
        <v>3204</v>
      </c>
      <c r="AQ295" s="95" t="s">
        <v>3205</v>
      </c>
      <c r="AR295" s="51"/>
      <c r="AS295" s="95" t="s">
        <v>820</v>
      </c>
      <c r="AT295" s="95" t="s">
        <v>1771</v>
      </c>
      <c r="AU295" s="95" t="s">
        <v>817</v>
      </c>
      <c r="AY295" s="95">
        <v>1.5</v>
      </c>
      <c r="AZ295" s="95">
        <v>2</v>
      </c>
      <c r="BA295" s="95">
        <v>1.5</v>
      </c>
      <c r="BB295" s="95">
        <v>1</v>
      </c>
      <c r="BD295" s="95">
        <v>1</v>
      </c>
      <c r="BE295" s="95">
        <v>1</v>
      </c>
      <c r="BG295" s="218"/>
      <c r="BH295" s="95">
        <v>3</v>
      </c>
      <c r="BI295" s="95">
        <v>3</v>
      </c>
      <c r="BJ295" s="95">
        <v>3</v>
      </c>
      <c r="BK295" s="95">
        <v>3</v>
      </c>
      <c r="BM295" s="95">
        <v>4</v>
      </c>
      <c r="BN295" s="95">
        <v>3</v>
      </c>
      <c r="BO295" s="95" t="s">
        <v>356</v>
      </c>
      <c r="BP295" s="95">
        <f t="shared" si="777"/>
        <v>3.00000000001</v>
      </c>
      <c r="BQ295" s="95">
        <f t="shared" si="799"/>
        <v>3.00000000002</v>
      </c>
      <c r="BR295" s="95">
        <f t="shared" si="800"/>
        <v>3.00000000003</v>
      </c>
      <c r="BS295" s="95">
        <f t="shared" si="801"/>
        <v>3.00000000004</v>
      </c>
      <c r="BT295" s="95">
        <f t="shared" si="802"/>
        <v>5.0000000000000002E-11</v>
      </c>
      <c r="BU295" s="95">
        <f t="shared" si="803"/>
        <v>4.00000000006</v>
      </c>
      <c r="BV295" s="95">
        <f t="shared" si="804"/>
        <v>3.00000000007</v>
      </c>
      <c r="BW295" s="95">
        <f t="shared" si="805"/>
        <v>0</v>
      </c>
      <c r="BX295" s="95">
        <f t="shared" si="778"/>
        <v>4.5000000000149996</v>
      </c>
      <c r="BY295" s="95">
        <f t="shared" si="779"/>
        <v>6.00000000004</v>
      </c>
      <c r="BZ295" s="95">
        <f t="shared" si="780"/>
        <v>4.5000000000450004</v>
      </c>
      <c r="CA295" s="95">
        <f t="shared" si="781"/>
        <v>3.00000000004</v>
      </c>
      <c r="CB295" s="95">
        <f t="shared" si="782"/>
        <v>0</v>
      </c>
      <c r="CC295" s="95">
        <f t="shared" si="783"/>
        <v>4.00000000006</v>
      </c>
      <c r="CD295" s="95">
        <f t="shared" si="784"/>
        <v>3.00000000007</v>
      </c>
      <c r="CE295" s="95">
        <f t="shared" si="785"/>
        <v>0</v>
      </c>
      <c r="CF295" s="217" t="b">
        <f t="shared" si="806"/>
        <v>1</v>
      </c>
      <c r="CG295" s="217" t="b">
        <f t="shared" si="807"/>
        <v>1</v>
      </c>
      <c r="CH295" s="217" t="b">
        <f t="shared" si="808"/>
        <v>1</v>
      </c>
      <c r="CI295" s="217" t="b">
        <f t="shared" si="809"/>
        <v>0</v>
      </c>
      <c r="CJ295" s="217" t="b">
        <f t="shared" si="810"/>
        <v>0</v>
      </c>
      <c r="CK295" s="217" t="b">
        <f t="shared" si="811"/>
        <v>1</v>
      </c>
      <c r="CL295" s="217" t="b">
        <f t="shared" si="812"/>
        <v>1</v>
      </c>
      <c r="CM295" s="217" t="b">
        <f t="shared" si="813"/>
        <v>0</v>
      </c>
      <c r="CN295" s="95">
        <v>1.5</v>
      </c>
      <c r="CO295" s="95">
        <v>2</v>
      </c>
      <c r="CP295" s="95">
        <v>1.5</v>
      </c>
      <c r="CQ295" s="95">
        <v>1</v>
      </c>
      <c r="CS295" s="95">
        <v>1</v>
      </c>
      <c r="CT295" s="95">
        <v>1</v>
      </c>
      <c r="CU295" s="218"/>
      <c r="CV295" s="218"/>
      <c r="CW295" s="218">
        <v>4</v>
      </c>
      <c r="CX295" s="218">
        <v>3</v>
      </c>
      <c r="CY295" s="218">
        <v>4</v>
      </c>
      <c r="CZ295" s="218">
        <v>4</v>
      </c>
      <c r="DA295" s="218"/>
      <c r="DB295" s="218">
        <v>4</v>
      </c>
      <c r="DC295" s="218">
        <v>3</v>
      </c>
      <c r="DD295" s="95" t="s">
        <v>356</v>
      </c>
      <c r="DE295" s="95">
        <f t="shared" si="787"/>
        <v>4.00000000001</v>
      </c>
      <c r="DF295" s="95">
        <f t="shared" si="814"/>
        <v>3.00000000002</v>
      </c>
      <c r="DG295" s="95">
        <f t="shared" si="815"/>
        <v>4.00000000003</v>
      </c>
      <c r="DH295" s="95">
        <f t="shared" si="816"/>
        <v>4.00000000004</v>
      </c>
      <c r="DI295" s="95">
        <f t="shared" si="817"/>
        <v>5.0000000000000002E-11</v>
      </c>
      <c r="DJ295" s="95">
        <f t="shared" si="818"/>
        <v>4.00000000006</v>
      </c>
      <c r="DK295" s="95">
        <f t="shared" si="819"/>
        <v>3.00000000007</v>
      </c>
      <c r="DL295" s="95">
        <f t="shared" si="820"/>
        <v>0</v>
      </c>
      <c r="DM295" s="95">
        <f t="shared" si="788"/>
        <v>6.0000000000149996</v>
      </c>
      <c r="DN295" s="95">
        <f t="shared" si="789"/>
        <v>6.00000000004</v>
      </c>
      <c r="DO295" s="95">
        <f t="shared" si="790"/>
        <v>6.0000000000450004</v>
      </c>
      <c r="DP295" s="95">
        <f t="shared" si="791"/>
        <v>4.00000000004</v>
      </c>
      <c r="DQ295" s="95">
        <f t="shared" si="792"/>
        <v>0</v>
      </c>
      <c r="DR295" s="95">
        <f t="shared" si="793"/>
        <v>4.00000000006</v>
      </c>
      <c r="DS295" s="95">
        <f t="shared" si="794"/>
        <v>3.00000000007</v>
      </c>
      <c r="DT295" s="95">
        <f t="shared" si="795"/>
        <v>0</v>
      </c>
      <c r="DU295" s="217" t="b">
        <f t="shared" si="821"/>
        <v>1</v>
      </c>
      <c r="DV295" s="217" t="b">
        <f t="shared" si="822"/>
        <v>1</v>
      </c>
      <c r="DW295" s="217" t="b">
        <f t="shared" si="823"/>
        <v>1</v>
      </c>
      <c r="DX295" s="217" t="b">
        <f t="shared" si="824"/>
        <v>1</v>
      </c>
      <c r="DY295" s="217" t="b">
        <f t="shared" si="825"/>
        <v>0</v>
      </c>
      <c r="DZ295" s="217" t="b">
        <f t="shared" si="826"/>
        <v>1</v>
      </c>
      <c r="EA295" s="217" t="b">
        <f t="shared" si="827"/>
        <v>0</v>
      </c>
      <c r="EB295" s="217" t="b">
        <f t="shared" si="828"/>
        <v>0</v>
      </c>
    </row>
    <row r="296" spans="1:132" s="95" customFormat="1">
      <c r="A296" s="95" t="s">
        <v>1839</v>
      </c>
      <c r="B296" s="95" t="s">
        <v>411</v>
      </c>
      <c r="C296" s="95" t="s">
        <v>1064</v>
      </c>
      <c r="D296" s="95" t="s">
        <v>1840</v>
      </c>
      <c r="E296" s="95" t="s">
        <v>889</v>
      </c>
      <c r="F296" s="95" t="s">
        <v>356</v>
      </c>
      <c r="G296" s="95" t="s">
        <v>435</v>
      </c>
      <c r="H296" s="95">
        <v>25.5</v>
      </c>
      <c r="I296" s="219">
        <v>24.5</v>
      </c>
      <c r="J296" s="219"/>
      <c r="K296" s="219">
        <f t="shared" si="797"/>
        <v>25.000000000229999</v>
      </c>
      <c r="L296" s="219">
        <f t="shared" si="798"/>
        <v>24.000000000229999</v>
      </c>
      <c r="M296" s="95" t="s">
        <v>3136</v>
      </c>
      <c r="N296" s="95" t="s">
        <v>1768</v>
      </c>
      <c r="O296" s="95" t="s">
        <v>933</v>
      </c>
      <c r="P296" s="95" t="s">
        <v>1842</v>
      </c>
      <c r="Q296" s="95" t="s">
        <v>356</v>
      </c>
      <c r="R296" s="95" t="s">
        <v>1841</v>
      </c>
      <c r="S296" s="95" t="s">
        <v>817</v>
      </c>
      <c r="T296" s="95">
        <v>20</v>
      </c>
      <c r="U296" s="95" cm="1">
        <f t="array" ref="U296">IFERROR(INDEX('Offer Statistics'!$DS$2:$DS$350,MATCH(1,($A296='Offer Statistics'!$DD$2:$DD$350)*($A$11='Offer Statistics'!$DE$2:$DE$350),0)),"/")</f>
        <v>21</v>
      </c>
      <c r="V296" s="95" cm="1">
        <f t="array" ref="V296">IFERROR(INDEX('Offer Statistics'!$DF$2:$DF$350,MATCH(1,(A296='Offer Statistics'!$DD$2:$DD$350)*($A$11='Offer Statistics'!$DE$2:$DE$350),0)),"/")</f>
        <v>193</v>
      </c>
      <c r="W296" s="95" cm="1">
        <f t="array" ref="W296">IFERROR(INDEX('Offer Statistics'!$DN$2:$DN$350,MATCH(1,(A296='Offer Statistics'!$DD$2:$DD$350)*($A$11='Offer Statistics'!$DE$2:$DE$350),0)),"/")</f>
        <v>17</v>
      </c>
      <c r="X296" s="95">
        <f t="shared" si="776"/>
        <v>11.352941176470589</v>
      </c>
      <c r="Y296" s="95" t="s">
        <v>817</v>
      </c>
      <c r="Z296" s="95">
        <f>入學要求!AF305</f>
        <v>0</v>
      </c>
      <c r="AA296" s="95" t="str">
        <f>入學要求!AG305</f>
        <v>/</v>
      </c>
      <c r="AB296" s="386" t="s">
        <v>889</v>
      </c>
      <c r="AC296" s="51"/>
      <c r="AD296" s="364"/>
      <c r="AE296" s="364" t="s">
        <v>356</v>
      </c>
      <c r="AF296" s="364" t="s">
        <v>356</v>
      </c>
      <c r="AG296" s="364" t="s">
        <v>933</v>
      </c>
      <c r="AH296" s="364" t="s">
        <v>1842</v>
      </c>
      <c r="AI296" s="364" t="s">
        <v>356</v>
      </c>
      <c r="AJ296" s="95" t="s">
        <v>356</v>
      </c>
      <c r="AK296" s="95" t="s">
        <v>356</v>
      </c>
      <c r="AL296" s="95" t="s">
        <v>356</v>
      </c>
      <c r="AM296" s="95" t="s">
        <v>1823</v>
      </c>
      <c r="AN296" s="95" t="s">
        <v>3206</v>
      </c>
      <c r="AO296" s="95" t="s">
        <v>356</v>
      </c>
      <c r="AP296" s="95" t="s">
        <v>3207</v>
      </c>
      <c r="AQ296" s="95" t="s">
        <v>1808</v>
      </c>
      <c r="AR296" s="51"/>
      <c r="AS296" s="95" t="s">
        <v>820</v>
      </c>
      <c r="AT296" s="95" t="s">
        <v>1771</v>
      </c>
      <c r="AU296" s="95" t="s">
        <v>817</v>
      </c>
      <c r="AY296" s="51">
        <v>2</v>
      </c>
      <c r="AZ296" s="51">
        <v>2</v>
      </c>
      <c r="BA296" s="51">
        <v>1</v>
      </c>
      <c r="BB296" s="51">
        <v>1</v>
      </c>
      <c r="BC296" s="51"/>
      <c r="BD296" s="51">
        <v>1</v>
      </c>
      <c r="BE296" s="51">
        <v>1</v>
      </c>
      <c r="BG296" s="218"/>
      <c r="BH296" s="95">
        <v>4</v>
      </c>
      <c r="BI296" s="95">
        <v>3</v>
      </c>
      <c r="BJ296" s="95">
        <v>3</v>
      </c>
      <c r="BK296" s="95">
        <v>3</v>
      </c>
      <c r="BM296" s="95">
        <v>4</v>
      </c>
      <c r="BN296" s="95">
        <v>3</v>
      </c>
      <c r="BO296" s="95" t="s">
        <v>356</v>
      </c>
      <c r="BP296" s="95">
        <f t="shared" si="777"/>
        <v>4.00000000001</v>
      </c>
      <c r="BQ296" s="95">
        <f t="shared" si="799"/>
        <v>3.00000000002</v>
      </c>
      <c r="BR296" s="95">
        <f t="shared" si="800"/>
        <v>3.00000000003</v>
      </c>
      <c r="BS296" s="95">
        <f t="shared" si="801"/>
        <v>3.00000000004</v>
      </c>
      <c r="BT296" s="95">
        <f t="shared" si="802"/>
        <v>5.0000000000000002E-11</v>
      </c>
      <c r="BU296" s="95">
        <f t="shared" si="803"/>
        <v>4.00000000006</v>
      </c>
      <c r="BV296" s="95">
        <f t="shared" si="804"/>
        <v>3.00000000007</v>
      </c>
      <c r="BW296" s="95">
        <f t="shared" si="805"/>
        <v>0</v>
      </c>
      <c r="BX296" s="95">
        <f t="shared" si="778"/>
        <v>8.00000000002</v>
      </c>
      <c r="BY296" s="95">
        <f t="shared" si="779"/>
        <v>6.00000000004</v>
      </c>
      <c r="BZ296" s="95">
        <f t="shared" si="780"/>
        <v>3.00000000003</v>
      </c>
      <c r="CA296" s="95">
        <f t="shared" si="781"/>
        <v>3.00000000004</v>
      </c>
      <c r="CB296" s="95">
        <f t="shared" si="782"/>
        <v>0</v>
      </c>
      <c r="CC296" s="95">
        <f t="shared" si="783"/>
        <v>4.00000000006</v>
      </c>
      <c r="CD296" s="95">
        <f t="shared" si="784"/>
        <v>3.00000000007</v>
      </c>
      <c r="CE296" s="95">
        <f t="shared" si="785"/>
        <v>0</v>
      </c>
      <c r="CF296" s="217" t="b">
        <f t="shared" si="806"/>
        <v>1</v>
      </c>
      <c r="CG296" s="217" t="b">
        <f t="shared" si="807"/>
        <v>1</v>
      </c>
      <c r="CH296" s="217" t="b">
        <f t="shared" si="808"/>
        <v>0</v>
      </c>
      <c r="CI296" s="217" t="b">
        <f t="shared" si="809"/>
        <v>1</v>
      </c>
      <c r="CJ296" s="217" t="b">
        <f t="shared" si="810"/>
        <v>0</v>
      </c>
      <c r="CK296" s="217" t="b">
        <f t="shared" si="811"/>
        <v>1</v>
      </c>
      <c r="CL296" s="217" t="b">
        <f t="shared" si="812"/>
        <v>1</v>
      </c>
      <c r="CM296" s="217" t="b">
        <f t="shared" si="813"/>
        <v>0</v>
      </c>
      <c r="CN296" s="95">
        <v>2</v>
      </c>
      <c r="CO296" s="95">
        <v>2</v>
      </c>
      <c r="CP296" s="95">
        <v>1</v>
      </c>
      <c r="CQ296" s="95">
        <v>1</v>
      </c>
      <c r="CS296" s="95">
        <v>1</v>
      </c>
      <c r="CT296" s="95">
        <v>1</v>
      </c>
      <c r="CU296" s="218"/>
      <c r="CV296" s="218"/>
      <c r="CW296" s="218">
        <v>4</v>
      </c>
      <c r="CX296" s="218">
        <v>3</v>
      </c>
      <c r="CY296" s="218">
        <v>3</v>
      </c>
      <c r="CZ296" s="218">
        <v>4</v>
      </c>
      <c r="DA296" s="218"/>
      <c r="DB296" s="218">
        <v>4</v>
      </c>
      <c r="DC296" s="218">
        <v>3</v>
      </c>
      <c r="DD296" s="95" t="s">
        <v>356</v>
      </c>
      <c r="DE296" s="95">
        <f t="shared" si="787"/>
        <v>4.00000000001</v>
      </c>
      <c r="DF296" s="95">
        <f t="shared" si="814"/>
        <v>3.00000000002</v>
      </c>
      <c r="DG296" s="95">
        <f t="shared" si="815"/>
        <v>3.00000000003</v>
      </c>
      <c r="DH296" s="95">
        <f t="shared" si="816"/>
        <v>4.00000000004</v>
      </c>
      <c r="DI296" s="95">
        <f t="shared" si="817"/>
        <v>5.0000000000000002E-11</v>
      </c>
      <c r="DJ296" s="95">
        <f t="shared" si="818"/>
        <v>4.00000000006</v>
      </c>
      <c r="DK296" s="95">
        <f t="shared" si="819"/>
        <v>3.00000000007</v>
      </c>
      <c r="DL296" s="95">
        <f t="shared" si="820"/>
        <v>0</v>
      </c>
      <c r="DM296" s="95">
        <f t="shared" si="788"/>
        <v>8.00000000002</v>
      </c>
      <c r="DN296" s="95">
        <f t="shared" si="789"/>
        <v>6.00000000004</v>
      </c>
      <c r="DO296" s="95">
        <f t="shared" si="790"/>
        <v>3.00000000003</v>
      </c>
      <c r="DP296" s="95">
        <f t="shared" si="791"/>
        <v>4.00000000004</v>
      </c>
      <c r="DQ296" s="95">
        <f t="shared" si="792"/>
        <v>0</v>
      </c>
      <c r="DR296" s="95">
        <f t="shared" si="793"/>
        <v>4.00000000006</v>
      </c>
      <c r="DS296" s="95">
        <f t="shared" si="794"/>
        <v>3.00000000007</v>
      </c>
      <c r="DT296" s="95">
        <f t="shared" si="795"/>
        <v>0</v>
      </c>
      <c r="DU296" s="217" t="b">
        <f t="shared" si="821"/>
        <v>1</v>
      </c>
      <c r="DV296" s="217" t="b">
        <f t="shared" si="822"/>
        <v>1</v>
      </c>
      <c r="DW296" s="217" t="b">
        <f t="shared" si="823"/>
        <v>0</v>
      </c>
      <c r="DX296" s="217" t="b">
        <f t="shared" si="824"/>
        <v>1</v>
      </c>
      <c r="DY296" s="217" t="b">
        <f t="shared" si="825"/>
        <v>0</v>
      </c>
      <c r="DZ296" s="217" t="b">
        <f t="shared" si="826"/>
        <v>1</v>
      </c>
      <c r="EA296" s="217" t="b">
        <f t="shared" si="827"/>
        <v>1</v>
      </c>
      <c r="EB296" s="217" t="b">
        <f t="shared" si="828"/>
        <v>0</v>
      </c>
    </row>
    <row r="297" spans="1:132">
      <c r="B297" s="359" t="s">
        <v>3210</v>
      </c>
      <c r="O297" s="177"/>
      <c r="P297" s="177"/>
      <c r="Q297" s="177"/>
      <c r="AG297" s="177"/>
      <c r="AH297" s="177"/>
      <c r="AI297" s="177"/>
      <c r="AQ297" s="2" t="s">
        <v>356</v>
      </c>
      <c r="AV297" s="95"/>
      <c r="BG297" s="121"/>
      <c r="CF297" s="178"/>
      <c r="CG297" s="178"/>
      <c r="CH297" s="178"/>
      <c r="CI297" s="178"/>
      <c r="CJ297" s="178"/>
      <c r="CK297" s="178"/>
      <c r="CL297" s="178"/>
      <c r="CM297" s="178"/>
      <c r="CU297" s="121"/>
      <c r="CV297" s="121"/>
      <c r="CW297" s="121"/>
      <c r="CX297" s="121"/>
      <c r="CY297" s="121"/>
      <c r="CZ297" s="121"/>
      <c r="DA297" s="121"/>
      <c r="DB297" s="121"/>
      <c r="DC297" s="121"/>
      <c r="DE297" s="208"/>
      <c r="DF297" s="208"/>
      <c r="DG297" s="208"/>
      <c r="DH297" s="208"/>
      <c r="DI297" s="208"/>
      <c r="DJ297" s="208"/>
      <c r="DK297" s="208"/>
      <c r="DL297" s="208"/>
      <c r="DU297" s="178"/>
      <c r="DV297" s="178"/>
      <c r="DW297" s="178"/>
      <c r="DX297" s="178"/>
      <c r="DY297" s="178"/>
      <c r="DZ297" s="178"/>
      <c r="EA297" s="178"/>
      <c r="EB297" s="178"/>
    </row>
    <row r="298" spans="1:132">
      <c r="B298" s="360"/>
      <c r="O298" s="177"/>
      <c r="P298" s="177"/>
      <c r="T298" s="2" t="s">
        <v>1876</v>
      </c>
      <c r="AG298" s="177"/>
      <c r="AH298" s="177"/>
      <c r="AI298" s="177"/>
      <c r="AQ298" s="2" t="s">
        <v>356</v>
      </c>
      <c r="AV298" s="95"/>
      <c r="BG298" s="121"/>
      <c r="CF298" s="178"/>
      <c r="CG298" s="178"/>
      <c r="CH298" s="178"/>
      <c r="CI298" s="178"/>
      <c r="CJ298" s="178"/>
      <c r="CK298" s="178"/>
      <c r="CL298" s="178"/>
      <c r="CM298" s="178"/>
      <c r="CU298" s="121"/>
      <c r="CV298" s="121"/>
      <c r="CW298" s="121"/>
      <c r="CX298" s="121"/>
      <c r="CY298" s="121"/>
      <c r="CZ298" s="121"/>
      <c r="DA298" s="121"/>
      <c r="DB298" s="121"/>
      <c r="DC298" s="121"/>
      <c r="DE298" s="208"/>
      <c r="DF298" s="208"/>
      <c r="DG298" s="208"/>
      <c r="DH298" s="208"/>
      <c r="DI298" s="208"/>
      <c r="DJ298" s="208"/>
      <c r="DK298" s="208"/>
      <c r="DL298" s="208"/>
      <c r="DU298" s="178"/>
      <c r="DV298" s="178"/>
      <c r="DW298" s="178"/>
      <c r="DX298" s="178"/>
      <c r="DY298" s="178"/>
      <c r="DZ298" s="178"/>
      <c r="EA298" s="178"/>
      <c r="EB298" s="178"/>
    </row>
    <row r="299" spans="1:132" ht="15.6">
      <c r="A299" s="2" t="s">
        <v>1843</v>
      </c>
      <c r="B299" s="2" t="s">
        <v>261</v>
      </c>
      <c r="C299" s="2" t="s">
        <v>1247</v>
      </c>
      <c r="D299" s="2" t="s">
        <v>1844</v>
      </c>
      <c r="E299" s="2" t="s">
        <v>12</v>
      </c>
      <c r="G299" s="2" t="s">
        <v>435</v>
      </c>
      <c r="H299" s="2" t="s">
        <v>435</v>
      </c>
      <c r="I299" s="2">
        <v>22</v>
      </c>
      <c r="M299" s="2" t="s">
        <v>3246</v>
      </c>
      <c r="N299" s="177"/>
      <c r="O299" s="2" t="s">
        <v>356</v>
      </c>
      <c r="P299" s="2" t="s">
        <v>356</v>
      </c>
      <c r="R299" s="2" t="s">
        <v>1846</v>
      </c>
      <c r="S299" s="2" t="s">
        <v>817</v>
      </c>
      <c r="T299" s="2">
        <v>67</v>
      </c>
      <c r="U299" s="2" cm="1">
        <f t="array" ref="U299">IFERROR(INDEX('Offer Statistics'!$EK$2:$EK$350,MATCH(1,($A299='Offer Statistics'!$DV$2:$DV$350)*($A$11='Offer Statistics'!$DW$2:$DW$350),0)),"/")</f>
        <v>43</v>
      </c>
      <c r="V299" s="2" cm="1">
        <f t="array" ref="V299">IFERROR(INDEX('Offer Statistics'!$DX$2:$DX$350,MATCH(1,($A299='Offer Statistics'!$DV$2:$DV$350)*($A$11='Offer Statistics'!$DW$2:$DW$350),0)),"/")</f>
        <v>647</v>
      </c>
      <c r="W299" s="2" cm="1">
        <f t="array" ref="W299">IFERROR(INDEX('Offer Statistics'!$EF$2:$EF$350,MATCH(1,($A299='Offer Statistics'!$DV$2:$DV$350)*($A$11='Offer Statistics'!$DW$2:$DW$350),0)),"/")</f>
        <v>41</v>
      </c>
      <c r="X299" s="2">
        <f t="shared" si="776"/>
        <v>15.780487804878049</v>
      </c>
      <c r="Y299" s="2" t="s">
        <v>817</v>
      </c>
      <c r="Z299" s="2" t="str">
        <f>入學要求!AF308</f>
        <v>此課程不能以其他資歷取代DSE中國語文科要求。</v>
      </c>
      <c r="AA299" s="2" t="str">
        <f>入學要求!AG308</f>
        <v>/</v>
      </c>
      <c r="AB299" s="402" t="s">
        <v>12</v>
      </c>
      <c r="AE299" s="2" t="s">
        <v>356</v>
      </c>
      <c r="AF299" s="2" t="s">
        <v>356</v>
      </c>
      <c r="AG299" s="405" t="s">
        <v>3219</v>
      </c>
      <c r="AH299" s="406" t="s">
        <v>356</v>
      </c>
      <c r="AI299" s="406" t="s">
        <v>356</v>
      </c>
      <c r="AJ299" s="2" t="s">
        <v>356</v>
      </c>
      <c r="AK299" s="2" t="s">
        <v>356</v>
      </c>
      <c r="AL299" s="2" t="s">
        <v>356</v>
      </c>
      <c r="AM299" s="2" t="s">
        <v>1570</v>
      </c>
      <c r="AN299" s="2" t="s">
        <v>356</v>
      </c>
      <c r="AO299" s="2" t="s">
        <v>356</v>
      </c>
      <c r="AP299" s="2" t="s">
        <v>356</v>
      </c>
      <c r="AQ299" s="2" t="s">
        <v>356</v>
      </c>
      <c r="AS299" s="2" t="s">
        <v>1847</v>
      </c>
      <c r="AU299" s="2" t="s">
        <v>817</v>
      </c>
      <c r="AW299" s="220"/>
      <c r="AY299" s="95"/>
      <c r="AZ299" s="95"/>
      <c r="BB299" s="95"/>
    </row>
    <row r="300" spans="1:132" ht="15.6">
      <c r="A300" s="2" t="s">
        <v>1848</v>
      </c>
      <c r="B300" s="2" t="s">
        <v>261</v>
      </c>
      <c r="C300" s="2" t="s">
        <v>1247</v>
      </c>
      <c r="D300" s="2" t="s">
        <v>1849</v>
      </c>
      <c r="E300" s="2" t="s">
        <v>12</v>
      </c>
      <c r="G300" s="2" t="s">
        <v>435</v>
      </c>
      <c r="H300" s="2" t="s">
        <v>435</v>
      </c>
      <c r="I300" s="2">
        <v>22</v>
      </c>
      <c r="M300" s="2" t="s">
        <v>1850</v>
      </c>
      <c r="O300" s="2" t="s">
        <v>356</v>
      </c>
      <c r="P300" s="2" t="s">
        <v>356</v>
      </c>
      <c r="R300" s="2" t="s">
        <v>1851</v>
      </c>
      <c r="S300" s="2" t="s">
        <v>817</v>
      </c>
      <c r="T300" s="2">
        <v>14</v>
      </c>
      <c r="U300" s="2" cm="1">
        <f t="array" ref="U300">IFERROR(INDEX('Offer Statistics'!$EK$2:$EK$350,MATCH(1,($A300='Offer Statistics'!$DV$2:$DV$350)*($A$11='Offer Statistics'!$DW$2:$DW$350),0)),"/")</f>
        <v>13</v>
      </c>
      <c r="V300" s="2" cm="1">
        <f t="array" ref="V300">IFERROR(INDEX('Offer Statistics'!$DX$2:$DX$350,MATCH(1,($A300='Offer Statistics'!$DV$2:$DV$350)*($A$11='Offer Statistics'!$DW$2:$DW$350),0)),"/")</f>
        <v>210</v>
      </c>
      <c r="W300" s="2" cm="1">
        <f t="array" ref="W300">IFERROR(INDEX('Offer Statistics'!$EF$2:$EF$350,MATCH(1,($A300='Offer Statistics'!$DV$2:$DV$350)*($A$11='Offer Statistics'!$DW$2:$DW$350),0)),"/")</f>
        <v>13</v>
      </c>
      <c r="X300" s="2">
        <f t="shared" ref="X300:X325" si="829">IFERROR(V300/W300,"新科目")</f>
        <v>16.153846153846153</v>
      </c>
      <c r="Y300" s="2" t="s">
        <v>817</v>
      </c>
      <c r="Z300" s="2" t="str">
        <f>入學要求!AF309</f>
        <v>/</v>
      </c>
      <c r="AA300" s="2" t="str">
        <f>入學要求!AG309</f>
        <v>/</v>
      </c>
      <c r="AB300" s="402" t="s">
        <v>12</v>
      </c>
      <c r="AE300" s="2" t="s">
        <v>356</v>
      </c>
      <c r="AF300" s="2" t="s">
        <v>356</v>
      </c>
      <c r="AG300" s="405" t="s">
        <v>3220</v>
      </c>
      <c r="AH300" s="406" t="s">
        <v>356</v>
      </c>
      <c r="AI300" s="406" t="s">
        <v>356</v>
      </c>
      <c r="AJ300" s="2" t="s">
        <v>356</v>
      </c>
      <c r="AK300" s="2" t="s">
        <v>356</v>
      </c>
      <c r="AL300" s="2" t="s">
        <v>356</v>
      </c>
      <c r="AM300" s="2" t="s">
        <v>1570</v>
      </c>
      <c r="AN300" s="2" t="s">
        <v>356</v>
      </c>
      <c r="AO300" s="2" t="s">
        <v>356</v>
      </c>
      <c r="AP300" s="2" t="s">
        <v>356</v>
      </c>
      <c r="AQ300" s="2" t="s">
        <v>356</v>
      </c>
      <c r="AS300" s="2" t="s">
        <v>1847</v>
      </c>
      <c r="AU300" s="2" t="s">
        <v>817</v>
      </c>
      <c r="AW300" s="220"/>
      <c r="AZ300" s="95"/>
      <c r="BB300" s="177"/>
    </row>
    <row r="301" spans="1:132" ht="15.6">
      <c r="A301" s="2" t="s">
        <v>1852</v>
      </c>
      <c r="B301" s="2" t="s">
        <v>261</v>
      </c>
      <c r="C301" s="2" t="s">
        <v>1853</v>
      </c>
      <c r="D301" s="2" t="s">
        <v>1854</v>
      </c>
      <c r="E301" s="2" t="s">
        <v>889</v>
      </c>
      <c r="G301" s="2" t="s">
        <v>435</v>
      </c>
      <c r="H301" s="2" t="s">
        <v>435</v>
      </c>
      <c r="I301" s="2">
        <v>21</v>
      </c>
      <c r="O301" s="2" t="s">
        <v>356</v>
      </c>
      <c r="P301" s="2" t="s">
        <v>356</v>
      </c>
      <c r="R301" s="2" t="s">
        <v>1855</v>
      </c>
      <c r="S301" s="2" t="s">
        <v>817</v>
      </c>
      <c r="T301" s="2">
        <v>35</v>
      </c>
      <c r="U301" s="2" cm="1">
        <f t="array" ref="U301">IFERROR(INDEX('Offer Statistics'!$EK$2:$EK$350,MATCH(1,($A301='Offer Statistics'!$DV$2:$DV$350)*($A$11='Offer Statistics'!$DW$2:$DW$350),0)),"/")</f>
        <v>23</v>
      </c>
      <c r="V301" s="2" cm="1">
        <f t="array" ref="V301">IFERROR(INDEX('Offer Statistics'!$DX$2:$DX$350,MATCH(1,($A301='Offer Statistics'!$DV$2:$DV$350)*($A$11='Offer Statistics'!$DW$2:$DW$350),0)),"/")</f>
        <v>598</v>
      </c>
      <c r="W301" s="2" cm="1">
        <f t="array" ref="W301">IFERROR(INDEX('Offer Statistics'!$EF$2:$EF$350,MATCH(1,($A301='Offer Statistics'!$DV$2:$DV$350)*($A$11='Offer Statistics'!$DW$2:$DW$350),0)),"/")</f>
        <v>23</v>
      </c>
      <c r="X301" s="2">
        <f t="shared" si="829"/>
        <v>26</v>
      </c>
      <c r="Y301" s="2" t="s">
        <v>817</v>
      </c>
      <c r="Z301" s="2" t="str">
        <f>入學要求!AF310</f>
        <v>/</v>
      </c>
      <c r="AA301" s="2" t="str">
        <f>入學要求!AG310</f>
        <v>/</v>
      </c>
      <c r="AB301" s="402" t="s">
        <v>889</v>
      </c>
      <c r="AE301" s="2" t="s">
        <v>356</v>
      </c>
      <c r="AF301" s="2" t="s">
        <v>356</v>
      </c>
      <c r="AG301" s="406" t="s">
        <v>356</v>
      </c>
      <c r="AH301" s="406" t="s">
        <v>356</v>
      </c>
      <c r="AI301" s="406" t="s">
        <v>356</v>
      </c>
      <c r="AJ301" s="2" t="s">
        <v>356</v>
      </c>
      <c r="AK301" s="2" t="s">
        <v>356</v>
      </c>
      <c r="AL301" s="2" t="s">
        <v>356</v>
      </c>
      <c r="AM301" s="2" t="s">
        <v>1570</v>
      </c>
      <c r="AN301" s="2" t="s">
        <v>356</v>
      </c>
      <c r="AO301" s="2" t="s">
        <v>356</v>
      </c>
      <c r="AP301" s="2" t="s">
        <v>356</v>
      </c>
      <c r="AQ301" s="2" t="s">
        <v>356</v>
      </c>
      <c r="AS301" s="2" t="s">
        <v>1847</v>
      </c>
      <c r="AU301" s="2" t="s">
        <v>817</v>
      </c>
      <c r="AW301" s="220"/>
      <c r="AZ301" s="95"/>
      <c r="BB301" s="177"/>
    </row>
    <row r="302" spans="1:132" ht="15.6">
      <c r="A302" s="2" t="s">
        <v>1856</v>
      </c>
      <c r="B302" s="2" t="s">
        <v>261</v>
      </c>
      <c r="C302" s="2" t="s">
        <v>1853</v>
      </c>
      <c r="D302" s="2" t="s">
        <v>1857</v>
      </c>
      <c r="E302" s="2" t="s">
        <v>889</v>
      </c>
      <c r="G302" s="2" t="s">
        <v>435</v>
      </c>
      <c r="H302" s="2" t="s">
        <v>435</v>
      </c>
      <c r="I302" s="2">
        <v>20</v>
      </c>
      <c r="O302" s="2" t="s">
        <v>1858</v>
      </c>
      <c r="P302" s="2" t="s">
        <v>1859</v>
      </c>
      <c r="R302" s="2" t="s">
        <v>1860</v>
      </c>
      <c r="S302" s="2" t="s">
        <v>817</v>
      </c>
      <c r="T302" s="2">
        <v>55</v>
      </c>
      <c r="U302" s="2" cm="1">
        <f t="array" ref="U302">IFERROR(INDEX('Offer Statistics'!$EK$2:$EK$350,MATCH(1,($A302='Offer Statistics'!$DV$2:$DV$350)*($A$11='Offer Statistics'!$DW$2:$DW$350),0)),"/")</f>
        <v>48</v>
      </c>
      <c r="V302" s="2" cm="1">
        <f t="array" ref="V302">IFERROR(INDEX('Offer Statistics'!$DX$2:$DX$350,MATCH(1,($A302='Offer Statistics'!$DV$2:$DV$350)*($A$11='Offer Statistics'!$DW$2:$DW$350),0)),"/")</f>
        <v>513</v>
      </c>
      <c r="W302" s="2" cm="1">
        <f t="array" ref="W302">IFERROR(INDEX('Offer Statistics'!$EF$2:$EF$350,MATCH(1,($A302='Offer Statistics'!$DV$2:$DV$350)*($A$11='Offer Statistics'!$DW$2:$DW$350),0)),"/")</f>
        <v>48</v>
      </c>
      <c r="X302" s="2">
        <f t="shared" si="829"/>
        <v>10.6875</v>
      </c>
      <c r="Y302" s="2" t="s">
        <v>817</v>
      </c>
      <c r="Z302" s="2" t="str">
        <f>入學要求!AF311</f>
        <v>數學科需考獲 Lv.3 及 M1/2 需考獲 Lv.2</v>
      </c>
      <c r="AA302" s="2" t="str">
        <f>入學要求!AG311</f>
        <v>數學科考獲 Lv.5 但未有修讀M1/2者，將會按個別情況考慮。</v>
      </c>
      <c r="AB302" s="402" t="s">
        <v>889</v>
      </c>
      <c r="AE302" s="2" t="s">
        <v>356</v>
      </c>
      <c r="AF302" s="2" t="s">
        <v>356</v>
      </c>
      <c r="AG302" s="406" t="s">
        <v>3221</v>
      </c>
      <c r="AH302" s="406" t="s">
        <v>356</v>
      </c>
      <c r="AI302" s="406" t="s">
        <v>356</v>
      </c>
      <c r="AJ302" s="2" t="s">
        <v>356</v>
      </c>
      <c r="AK302" s="2" t="s">
        <v>356</v>
      </c>
      <c r="AL302" s="2" t="s">
        <v>356</v>
      </c>
      <c r="AM302" s="2" t="s">
        <v>1570</v>
      </c>
      <c r="AN302" s="2" t="s">
        <v>356</v>
      </c>
      <c r="AO302" s="2" t="s">
        <v>356</v>
      </c>
      <c r="AP302" s="2" t="s">
        <v>356</v>
      </c>
      <c r="AQ302" s="2" t="s">
        <v>356</v>
      </c>
      <c r="AS302" s="2" t="s">
        <v>1847</v>
      </c>
      <c r="AU302" s="2" t="s">
        <v>817</v>
      </c>
      <c r="AW302" s="220"/>
      <c r="AZ302" s="95"/>
      <c r="BB302" s="177"/>
    </row>
    <row r="303" spans="1:132" ht="15.6">
      <c r="A303" s="2" t="s">
        <v>1861</v>
      </c>
      <c r="B303" s="2" t="s">
        <v>261</v>
      </c>
      <c r="C303" s="2" t="s">
        <v>1853</v>
      </c>
      <c r="D303" s="2" t="s">
        <v>1862</v>
      </c>
      <c r="E303" s="2" t="s">
        <v>889</v>
      </c>
      <c r="G303" s="2" t="s">
        <v>435</v>
      </c>
      <c r="H303" s="2" t="s">
        <v>435</v>
      </c>
      <c r="I303" s="2">
        <v>21</v>
      </c>
      <c r="O303" s="2" t="s">
        <v>1863</v>
      </c>
      <c r="P303" s="2" t="s">
        <v>356</v>
      </c>
      <c r="R303" s="2" t="s">
        <v>1864</v>
      </c>
      <c r="S303" s="2" t="s">
        <v>817</v>
      </c>
      <c r="T303" s="2">
        <v>26</v>
      </c>
      <c r="U303" s="2" cm="1">
        <f t="array" ref="U303">IFERROR(INDEX('Offer Statistics'!$EK$2:$EK$350,MATCH(1,($A303='Offer Statistics'!$DV$2:$DV$350)*($A$11='Offer Statistics'!$DW$2:$DW$350),0)),"/")</f>
        <v>19</v>
      </c>
      <c r="V303" s="2" cm="1">
        <f t="array" ref="V303">IFERROR(INDEX('Offer Statistics'!$DX$2:$DX$350,MATCH(1,($A303='Offer Statistics'!$DV$2:$DV$350)*($A$11='Offer Statistics'!$DW$2:$DW$350),0)),"/")</f>
        <v>916</v>
      </c>
      <c r="W303" s="2" cm="1">
        <f t="array" ref="W303">IFERROR(INDEX('Offer Statistics'!$EF$2:$EF$350,MATCH(1,($A303='Offer Statistics'!$DV$2:$DV$350)*($A$11='Offer Statistics'!$DW$2:$DW$350),0)),"/")</f>
        <v>19</v>
      </c>
      <c r="X303" s="2">
        <f t="shared" si="829"/>
        <v>48.210526315789473</v>
      </c>
      <c r="Y303" s="2" t="s">
        <v>817</v>
      </c>
      <c r="Z303" s="2" t="str">
        <f>入學要求!AF312</f>
        <v>同學亦須在額外的 入學體能測試 中考獲優異成績</v>
      </c>
      <c r="AA303" s="2" t="str">
        <f>入學要求!AG312</f>
        <v>/</v>
      </c>
      <c r="AB303" s="402" t="s">
        <v>889</v>
      </c>
      <c r="AE303" s="2" t="s">
        <v>356</v>
      </c>
      <c r="AF303" s="2" t="s">
        <v>356</v>
      </c>
      <c r="AG303" s="406" t="s">
        <v>3222</v>
      </c>
      <c r="AH303" s="406" t="s">
        <v>356</v>
      </c>
      <c r="AI303" s="406" t="s">
        <v>356</v>
      </c>
      <c r="AJ303" s="2" t="s">
        <v>356</v>
      </c>
      <c r="AK303" s="2" t="s">
        <v>356</v>
      </c>
      <c r="AL303" s="2" t="s">
        <v>356</v>
      </c>
      <c r="AM303" s="2" t="s">
        <v>1570</v>
      </c>
      <c r="AN303" s="2" t="s">
        <v>356</v>
      </c>
      <c r="AO303" s="2" t="s">
        <v>356</v>
      </c>
      <c r="AP303" s="2" t="s">
        <v>356</v>
      </c>
      <c r="AQ303" s="2" t="s">
        <v>356</v>
      </c>
      <c r="AS303" s="2" t="s">
        <v>1847</v>
      </c>
      <c r="AU303" s="2" t="s">
        <v>817</v>
      </c>
      <c r="AW303" s="220"/>
      <c r="AZ303" s="95"/>
      <c r="BB303" s="177"/>
    </row>
    <row r="304" spans="1:132" ht="15.6">
      <c r="A304" s="2" t="s">
        <v>1865</v>
      </c>
      <c r="B304" s="2" t="s">
        <v>261</v>
      </c>
      <c r="C304" s="2" t="s">
        <v>1853</v>
      </c>
      <c r="D304" s="2" t="s">
        <v>1866</v>
      </c>
      <c r="E304" s="2" t="s">
        <v>889</v>
      </c>
      <c r="G304" s="2" t="s">
        <v>435</v>
      </c>
      <c r="H304" s="2" t="s">
        <v>435</v>
      </c>
      <c r="I304" s="2">
        <v>20</v>
      </c>
      <c r="O304" s="2" t="s">
        <v>1858</v>
      </c>
      <c r="P304" s="2" t="s">
        <v>1867</v>
      </c>
      <c r="R304" s="2" t="s">
        <v>1868</v>
      </c>
      <c r="S304" s="2" t="s">
        <v>817</v>
      </c>
      <c r="T304" s="2">
        <v>14</v>
      </c>
      <c r="U304" s="2" cm="1">
        <f t="array" ref="U304">IFERROR(INDEX('Offer Statistics'!$EK$2:$EK$350,MATCH(1,($A304='Offer Statistics'!$DV$2:$DV$350)*($A$11='Offer Statistics'!$DW$2:$DW$350),0)),"/")</f>
        <v>8</v>
      </c>
      <c r="V304" s="2" cm="1">
        <f t="array" ref="V304">IFERROR(INDEX('Offer Statistics'!$DX$2:$DX$350,MATCH(1,($A304='Offer Statistics'!$DV$2:$DV$350)*($A$11='Offer Statistics'!$DW$2:$DW$350),0)),"/")</f>
        <v>187</v>
      </c>
      <c r="W304" s="2" cm="1">
        <f t="array" ref="W304">IFERROR(INDEX('Offer Statistics'!$EF$2:$EF$350,MATCH(1,($A304='Offer Statistics'!$DV$2:$DV$350)*($A$11='Offer Statistics'!$DW$2:$DW$350),0)),"/")</f>
        <v>7</v>
      </c>
      <c r="X304" s="2">
        <f t="shared" si="829"/>
        <v>26.714285714285715</v>
      </c>
      <c r="Y304" s="2" t="s">
        <v>817</v>
      </c>
      <c r="Z304" s="2" t="str">
        <f>入學要求!AF313</f>
        <v>以下一科選修取得Lv.2︰生物、化學、組合科學、物理、綜合科學、ICT</v>
      </c>
      <c r="AA304" s="2" t="str">
        <f>入學要求!AG313</f>
        <v>/</v>
      </c>
      <c r="AB304" s="402" t="s">
        <v>889</v>
      </c>
      <c r="AE304" s="2" t="s">
        <v>356</v>
      </c>
      <c r="AF304" s="2" t="s">
        <v>356</v>
      </c>
      <c r="AG304" s="406" t="s">
        <v>1491</v>
      </c>
      <c r="AH304" s="406" t="s">
        <v>3223</v>
      </c>
      <c r="AI304" s="406" t="s">
        <v>356</v>
      </c>
      <c r="AJ304" s="2" t="s">
        <v>356</v>
      </c>
      <c r="AK304" s="2" t="s">
        <v>356</v>
      </c>
      <c r="AL304" s="2" t="s">
        <v>356</v>
      </c>
      <c r="AM304" s="2" t="s">
        <v>1570</v>
      </c>
      <c r="AN304" s="2" t="s">
        <v>356</v>
      </c>
      <c r="AO304" s="2" t="s">
        <v>356</v>
      </c>
      <c r="AP304" s="2" t="s">
        <v>356</v>
      </c>
      <c r="AQ304" s="2" t="s">
        <v>356</v>
      </c>
      <c r="AS304" s="2" t="s">
        <v>1847</v>
      </c>
      <c r="AU304" s="2" t="s">
        <v>817</v>
      </c>
      <c r="AW304" s="220"/>
      <c r="AZ304" s="95"/>
      <c r="BB304" s="177"/>
    </row>
    <row r="305" spans="1:116" ht="15.6">
      <c r="A305" s="2" t="s">
        <v>1869</v>
      </c>
      <c r="B305" s="2" t="s">
        <v>261</v>
      </c>
      <c r="C305" s="2" t="s">
        <v>1853</v>
      </c>
      <c r="D305" s="2" t="s">
        <v>1870</v>
      </c>
      <c r="E305" s="2" t="s">
        <v>889</v>
      </c>
      <c r="G305" s="2" t="s">
        <v>435</v>
      </c>
      <c r="H305" s="2" t="s">
        <v>435</v>
      </c>
      <c r="I305" s="2">
        <v>20</v>
      </c>
      <c r="O305" s="2" t="s">
        <v>1871</v>
      </c>
      <c r="P305" s="2" t="s">
        <v>356</v>
      </c>
      <c r="R305" s="2" t="s">
        <v>1872</v>
      </c>
      <c r="S305" s="2" t="s">
        <v>817</v>
      </c>
      <c r="T305" s="2">
        <v>19</v>
      </c>
      <c r="U305" s="2" cm="1">
        <f t="array" ref="U305">IFERROR(INDEX('Offer Statistics'!$EK$2:$EK$350,MATCH(1,($A305='Offer Statistics'!$DV$2:$DV$350)*($A$11='Offer Statistics'!$DW$2:$DW$350),0)),"/")</f>
        <v>17</v>
      </c>
      <c r="V305" s="2" cm="1">
        <f t="array" ref="V305">IFERROR(INDEX('Offer Statistics'!$DX$2:$DX$350,MATCH(1,($A305='Offer Statistics'!$DV$2:$DV$350)*($A$11='Offer Statistics'!$DW$2:$DW$350),0)),"/")</f>
        <v>275</v>
      </c>
      <c r="W305" s="2" cm="1">
        <f t="array" ref="W305">IFERROR(INDEX('Offer Statistics'!$EF$2:$EF$350,MATCH(1,($A305='Offer Statistics'!$DV$2:$DV$350)*($A$11='Offer Statistics'!$DW$2:$DW$350),0)),"/")</f>
        <v>17</v>
      </c>
      <c r="X305" s="2">
        <f t="shared" si="829"/>
        <v>16.176470588235293</v>
      </c>
      <c r="Y305" s="2" t="s">
        <v>817</v>
      </c>
      <c r="Z305" s="2" t="str">
        <f>入學要求!AF314</f>
        <v>/</v>
      </c>
      <c r="AA305" s="2" t="str">
        <f>入學要求!AG314</f>
        <v>/</v>
      </c>
      <c r="AB305" s="402" t="s">
        <v>889</v>
      </c>
      <c r="AE305" s="2" t="s">
        <v>356</v>
      </c>
      <c r="AF305" s="2" t="s">
        <v>356</v>
      </c>
      <c r="AG305" s="406" t="s">
        <v>3224</v>
      </c>
      <c r="AH305" s="406" t="s">
        <v>356</v>
      </c>
      <c r="AI305" s="406" t="s">
        <v>356</v>
      </c>
      <c r="AJ305" s="2" t="s">
        <v>356</v>
      </c>
      <c r="AK305" s="2" t="s">
        <v>356</v>
      </c>
      <c r="AL305" s="2" t="s">
        <v>356</v>
      </c>
      <c r="AM305" s="2" t="s">
        <v>1570</v>
      </c>
      <c r="AN305" s="2" t="s">
        <v>356</v>
      </c>
      <c r="AO305" s="2" t="s">
        <v>356</v>
      </c>
      <c r="AP305" s="2" t="s">
        <v>356</v>
      </c>
      <c r="AQ305" s="2" t="s">
        <v>356</v>
      </c>
      <c r="AS305" s="2" t="s">
        <v>1847</v>
      </c>
      <c r="AU305" s="2" t="s">
        <v>817</v>
      </c>
      <c r="AW305" s="220"/>
      <c r="AZ305" s="95"/>
    </row>
    <row r="306" spans="1:116">
      <c r="A306" s="2" t="s">
        <v>1873</v>
      </c>
      <c r="B306" s="2" t="s">
        <v>261</v>
      </c>
      <c r="C306" s="2" t="s">
        <v>1247</v>
      </c>
      <c r="D306" s="2" t="s">
        <v>1874</v>
      </c>
      <c r="E306" s="2" t="s">
        <v>889</v>
      </c>
      <c r="F306" s="359">
        <v>21</v>
      </c>
      <c r="G306" s="2" t="s">
        <v>1875</v>
      </c>
      <c r="H306" s="2" t="s">
        <v>1875</v>
      </c>
      <c r="I306" s="2">
        <v>21</v>
      </c>
      <c r="M306" s="2" t="s">
        <v>3247</v>
      </c>
      <c r="O306" s="2" t="s">
        <v>1878</v>
      </c>
      <c r="P306" s="2" t="s">
        <v>1879</v>
      </c>
      <c r="Q306" s="2" t="s">
        <v>1880</v>
      </c>
      <c r="R306" s="2" t="s">
        <v>1881</v>
      </c>
      <c r="S306" s="2" t="s">
        <v>817</v>
      </c>
      <c r="T306" s="2">
        <v>10</v>
      </c>
      <c r="U306" s="2" t="str" cm="1">
        <f t="array" ref="U306">IFERROR(INDEX('Offer Statistics'!$EK$2:$EK$350,MATCH(1,($A306='Offer Statistics'!$DV$2:$DV$350)*($A$11='Offer Statistics'!$DW$2:$DW$350),0)),"/")</f>
        <v>/</v>
      </c>
      <c r="V306" s="2" t="str" cm="1">
        <f t="array" ref="V306">IFERROR(INDEX('Offer Statistics'!$DX$2:$DX$350,MATCH(1,($A306='Offer Statistics'!$DV$2:$DV$350)*($A$11='Offer Statistics'!$DW$2:$DW$350),0)),"/")</f>
        <v>/</v>
      </c>
      <c r="W306" s="2" t="str" cm="1">
        <f t="array" ref="W306">IFERROR(INDEX('Offer Statistics'!$EF$2:$EF$350,MATCH(1,($A306='Offer Statistics'!$DV$2:$DV$350)*($A$11='Offer Statistics'!$DW$2:$DW$350),0)),"/")</f>
        <v>/</v>
      </c>
      <c r="X306" s="2" t="s">
        <v>1876</v>
      </c>
      <c r="Y306" s="2" t="s">
        <v>817</v>
      </c>
      <c r="Z306" s="2" t="str">
        <f>入學要求!AF315</f>
        <v>優先考慮修讀 中國歷史、歷史 者</v>
      </c>
      <c r="AA306" s="2" t="str">
        <f>入學要求!AG315</f>
        <v>/</v>
      </c>
      <c r="AB306" s="402" t="s">
        <v>889</v>
      </c>
      <c r="AE306" s="2" t="s">
        <v>3226</v>
      </c>
      <c r="AF306" s="2" t="s">
        <v>356</v>
      </c>
      <c r="AG306" s="406" t="s">
        <v>3225</v>
      </c>
      <c r="AH306" s="406" t="s">
        <v>356</v>
      </c>
      <c r="AI306" s="406" t="s">
        <v>356</v>
      </c>
      <c r="AJ306" s="2" t="s">
        <v>356</v>
      </c>
      <c r="AK306" s="2" t="s">
        <v>356</v>
      </c>
      <c r="AL306" s="2" t="s">
        <v>356</v>
      </c>
      <c r="AM306" s="2" t="s">
        <v>1570</v>
      </c>
      <c r="AN306" s="2" t="s">
        <v>356</v>
      </c>
      <c r="AO306" s="2" t="s">
        <v>356</v>
      </c>
      <c r="AP306" s="2" t="s">
        <v>356</v>
      </c>
      <c r="AQ306" s="2" t="s">
        <v>356</v>
      </c>
      <c r="AS306" s="2" t="s">
        <v>1847</v>
      </c>
      <c r="AU306" s="2" t="s">
        <v>1882</v>
      </c>
      <c r="BP306" s="2"/>
      <c r="BQ306" s="2"/>
      <c r="BR306" s="2"/>
      <c r="BS306" s="2"/>
      <c r="BT306" s="2"/>
      <c r="BU306" s="2"/>
      <c r="BV306" s="2"/>
      <c r="BW306" s="2"/>
      <c r="DE306" s="2"/>
      <c r="DF306" s="2"/>
      <c r="DG306" s="2"/>
      <c r="DH306" s="2"/>
      <c r="DI306" s="2"/>
      <c r="DJ306" s="2"/>
      <c r="DK306" s="2"/>
      <c r="DL306" s="2"/>
    </row>
    <row r="307" spans="1:116" ht="15.6">
      <c r="A307" s="2" t="s">
        <v>1883</v>
      </c>
      <c r="B307" s="2" t="s">
        <v>261</v>
      </c>
      <c r="C307" s="2" t="s">
        <v>1884</v>
      </c>
      <c r="D307" s="2" t="s">
        <v>1885</v>
      </c>
      <c r="E307" s="2" t="s">
        <v>889</v>
      </c>
      <c r="G307" s="2" t="s">
        <v>435</v>
      </c>
      <c r="H307" s="2" t="s">
        <v>435</v>
      </c>
      <c r="I307" s="2">
        <v>20</v>
      </c>
      <c r="O307" s="2" t="s">
        <v>356</v>
      </c>
      <c r="P307" s="2" t="s">
        <v>356</v>
      </c>
      <c r="R307" s="2" t="s">
        <v>1886</v>
      </c>
      <c r="S307" s="2" t="s">
        <v>817</v>
      </c>
      <c r="T307" s="2">
        <v>49</v>
      </c>
      <c r="U307" s="2" cm="1">
        <f t="array" ref="U307">IFERROR(INDEX('Offer Statistics'!$EK$2:$EK$350,MATCH(1,($A307='Offer Statistics'!$DV$2:$DV$350)*($A$11='Offer Statistics'!$DW$2:$DW$350),0)),"/")</f>
        <v>36</v>
      </c>
      <c r="V307" s="2" cm="1">
        <f t="array" ref="V307">IFERROR(INDEX('Offer Statistics'!$DX$2:$DX$350,MATCH(1,($A307='Offer Statistics'!$DV$2:$DV$350)*($A$11='Offer Statistics'!$DW$2:$DW$350),0)),"/")</f>
        <v>1287</v>
      </c>
      <c r="W307" s="2" cm="1">
        <f t="array" ref="W307">IFERROR(INDEX('Offer Statistics'!$EF$2:$EF$350,MATCH(1,($A307='Offer Statistics'!$DV$2:$DV$350)*($A$11='Offer Statistics'!$DW$2:$DW$350),0)),"/")</f>
        <v>35</v>
      </c>
      <c r="X307" s="2">
        <f t="shared" si="829"/>
        <v>36.771428571428572</v>
      </c>
      <c r="Y307" s="2" t="s">
        <v>817</v>
      </c>
      <c r="Z307" s="2" t="str">
        <f>入學要求!AF316</f>
        <v>/</v>
      </c>
      <c r="AA307" s="2" t="str">
        <f>入學要求!AG316</f>
        <v>/</v>
      </c>
      <c r="AB307" s="402" t="s">
        <v>889</v>
      </c>
      <c r="AE307" s="2" t="s">
        <v>356</v>
      </c>
      <c r="AF307" s="2" t="s">
        <v>356</v>
      </c>
      <c r="AG307" s="405" t="s">
        <v>3227</v>
      </c>
      <c r="AH307" s="406" t="s">
        <v>356</v>
      </c>
      <c r="AI307" s="406" t="s">
        <v>356</v>
      </c>
      <c r="AJ307" s="2" t="s">
        <v>356</v>
      </c>
      <c r="AK307" s="2" t="s">
        <v>356</v>
      </c>
      <c r="AL307" s="2" t="s">
        <v>356</v>
      </c>
      <c r="AM307" s="2" t="s">
        <v>1570</v>
      </c>
      <c r="AN307" s="2" t="s">
        <v>356</v>
      </c>
      <c r="AO307" s="2" t="s">
        <v>356</v>
      </c>
      <c r="AP307" s="2" t="s">
        <v>356</v>
      </c>
      <c r="AQ307" s="2" t="s">
        <v>356</v>
      </c>
      <c r="AS307" s="2" t="s">
        <v>1847</v>
      </c>
      <c r="AU307" s="2" t="s">
        <v>817</v>
      </c>
      <c r="AW307" s="220"/>
      <c r="AZ307" s="95"/>
    </row>
    <row r="308" spans="1:116" ht="15.6">
      <c r="A308" s="2" t="s">
        <v>2359</v>
      </c>
      <c r="B308" s="2" t="s">
        <v>261</v>
      </c>
      <c r="C308" s="2" t="s">
        <v>1247</v>
      </c>
      <c r="D308" s="2" t="s">
        <v>1887</v>
      </c>
      <c r="E308" s="2" t="s">
        <v>889</v>
      </c>
      <c r="G308" s="2" t="s">
        <v>435</v>
      </c>
      <c r="H308" s="2" t="s">
        <v>435</v>
      </c>
      <c r="I308" s="2" t="s">
        <v>1876</v>
      </c>
      <c r="J308" s="204"/>
      <c r="K308" s="204"/>
      <c r="L308" s="204"/>
      <c r="M308" s="2" t="s">
        <v>1877</v>
      </c>
      <c r="O308" s="2" t="s">
        <v>1878</v>
      </c>
      <c r="P308" s="2" t="s">
        <v>1879</v>
      </c>
      <c r="Q308" s="2" t="s">
        <v>1888</v>
      </c>
      <c r="R308" s="2" t="s">
        <v>1889</v>
      </c>
      <c r="S308" s="2" t="s">
        <v>817</v>
      </c>
      <c r="T308" s="2" t="s">
        <v>356</v>
      </c>
      <c r="U308" s="2" cm="1">
        <f t="array" ref="U308">IFERROR(INDEX('Offer Statistics'!$EK$2:$EK$350,MATCH(1,($A308='Offer Statistics'!$DV$2:$DV$350)*($A$11='Offer Statistics'!$DW$2:$DW$350),0)),"/")</f>
        <v>9</v>
      </c>
      <c r="V308" s="2" cm="1">
        <f t="array" ref="V308">IFERROR(INDEX('Offer Statistics'!$DX$2:$DX$350,MATCH(1,($A308='Offer Statistics'!$DV$2:$DV$350)*($A$11='Offer Statistics'!$DW$2:$DW$350),0)),"/")</f>
        <v>342</v>
      </c>
      <c r="W308" s="2" cm="1">
        <f t="array" ref="W308">IFERROR(INDEX('Offer Statistics'!$EF$2:$EF$350,MATCH(1,($A308='Offer Statistics'!$DV$2:$DV$350)*($A$11='Offer Statistics'!$DW$2:$DW$350),0)),"/")</f>
        <v>9</v>
      </c>
      <c r="X308" s="2">
        <f t="shared" si="829"/>
        <v>38</v>
      </c>
      <c r="Y308" s="2" t="s">
        <v>817</v>
      </c>
      <c r="Z308" s="2" t="str">
        <f>入學要求!AF317</f>
        <v>*注意：本年度未有收生*</v>
      </c>
      <c r="AA308" s="2" t="str">
        <f>入學要求!AG317</f>
        <v>優先考慮修讀 中國歷史、歷史 者</v>
      </c>
      <c r="AB308" s="402" t="s">
        <v>889</v>
      </c>
      <c r="AE308" s="2" t="s">
        <v>3226</v>
      </c>
      <c r="AF308" s="2" t="s">
        <v>356</v>
      </c>
      <c r="AG308" s="406" t="s">
        <v>3228</v>
      </c>
      <c r="AH308" s="406"/>
      <c r="AI308" s="406" t="s">
        <v>356</v>
      </c>
      <c r="AJ308" s="2" t="s">
        <v>356</v>
      </c>
      <c r="AK308" s="2" t="s">
        <v>356</v>
      </c>
      <c r="AL308" s="2" t="s">
        <v>356</v>
      </c>
      <c r="AM308" s="2" t="s">
        <v>1570</v>
      </c>
      <c r="AN308" s="2" t="s">
        <v>356</v>
      </c>
      <c r="AO308" s="2" t="s">
        <v>356</v>
      </c>
      <c r="AP308" s="2" t="s">
        <v>356</v>
      </c>
      <c r="AQ308" s="2" t="s">
        <v>356</v>
      </c>
      <c r="AS308" s="2" t="s">
        <v>1847</v>
      </c>
      <c r="AU308" s="2" t="s">
        <v>817</v>
      </c>
      <c r="AW308" s="220"/>
      <c r="AZ308" s="95"/>
    </row>
    <row r="309" spans="1:116" ht="15.6">
      <c r="A309" s="2" t="s">
        <v>1890</v>
      </c>
      <c r="B309" s="2" t="s">
        <v>261</v>
      </c>
      <c r="C309" s="2" t="s">
        <v>1853</v>
      </c>
      <c r="D309" s="2" t="s">
        <v>1891</v>
      </c>
      <c r="E309" s="2" t="s">
        <v>889</v>
      </c>
      <c r="G309" s="2" t="s">
        <v>435</v>
      </c>
      <c r="H309" s="2" t="s">
        <v>435</v>
      </c>
      <c r="I309" s="2">
        <v>21</v>
      </c>
      <c r="O309" s="2" t="s">
        <v>1892</v>
      </c>
      <c r="P309" s="2" t="s">
        <v>356</v>
      </c>
      <c r="R309" s="2" t="s">
        <v>1893</v>
      </c>
      <c r="S309" s="2" t="s">
        <v>817</v>
      </c>
      <c r="T309" s="2">
        <v>10</v>
      </c>
      <c r="U309" s="2" cm="1">
        <f t="array" ref="U309">IFERROR(INDEX('Offer Statistics'!$EK$2:$EK$350,MATCH(1,($A309='Offer Statistics'!$DV$2:$DV$350)*($A$11='Offer Statistics'!$DW$2:$DW$350),0)),"/")</f>
        <v>13</v>
      </c>
      <c r="V309" s="2" cm="1">
        <f t="array" ref="V309">IFERROR(INDEX('Offer Statistics'!$DX$2:$DX$350,MATCH(1,($A309='Offer Statistics'!$DV$2:$DV$350)*($A$11='Offer Statistics'!$DW$2:$DW$350),0)),"/")</f>
        <v>249</v>
      </c>
      <c r="W309" s="2" cm="1">
        <f t="array" ref="W309">IFERROR(INDEX('Offer Statistics'!$EF$2:$EF$350,MATCH(1,($A309='Offer Statistics'!$DV$2:$DV$350)*($A$11='Offer Statistics'!$DW$2:$DW$350),0)),"/")</f>
        <v>13</v>
      </c>
      <c r="X309" s="2">
        <f t="shared" si="829"/>
        <v>19.153846153846153</v>
      </c>
      <c r="Y309" s="2" t="s">
        <v>817</v>
      </c>
      <c r="Z309" s="2" t="str">
        <f>入學要求!AF318</f>
        <v>/</v>
      </c>
      <c r="AA309" s="2" t="str">
        <f>入學要求!AG318</f>
        <v>/</v>
      </c>
      <c r="AB309" s="402" t="s">
        <v>889</v>
      </c>
      <c r="AE309" s="2" t="s">
        <v>356</v>
      </c>
      <c r="AF309" s="2" t="s">
        <v>356</v>
      </c>
      <c r="AG309" s="406" t="s">
        <v>3229</v>
      </c>
      <c r="AH309" s="406" t="s">
        <v>356</v>
      </c>
      <c r="AI309" s="406" t="s">
        <v>356</v>
      </c>
      <c r="AJ309" s="2" t="s">
        <v>356</v>
      </c>
      <c r="AK309" s="2" t="s">
        <v>356</v>
      </c>
      <c r="AL309" s="2" t="s">
        <v>356</v>
      </c>
      <c r="AM309" s="2" t="s">
        <v>1570</v>
      </c>
      <c r="AN309" s="2" t="s">
        <v>356</v>
      </c>
      <c r="AO309" s="2" t="s">
        <v>356</v>
      </c>
      <c r="AP309" s="2" t="s">
        <v>356</v>
      </c>
      <c r="AQ309" s="2" t="s">
        <v>356</v>
      </c>
      <c r="AS309" s="2" t="s">
        <v>1847</v>
      </c>
      <c r="AU309" s="2" t="s">
        <v>817</v>
      </c>
      <c r="AW309" s="220"/>
      <c r="AZ309" s="95"/>
    </row>
    <row r="310" spans="1:116" ht="15.6">
      <c r="A310" s="2" t="s">
        <v>1894</v>
      </c>
      <c r="B310" s="2" t="s">
        <v>261</v>
      </c>
      <c r="C310" s="2" t="s">
        <v>1853</v>
      </c>
      <c r="D310" s="2" t="s">
        <v>1895</v>
      </c>
      <c r="E310" s="2" t="s">
        <v>889</v>
      </c>
      <c r="G310" s="2" t="s">
        <v>435</v>
      </c>
      <c r="H310" s="2" t="s">
        <v>435</v>
      </c>
      <c r="I310" s="2">
        <v>20</v>
      </c>
      <c r="O310" s="2" t="s">
        <v>1858</v>
      </c>
      <c r="P310" s="2" t="s">
        <v>398</v>
      </c>
      <c r="R310" s="2" t="s">
        <v>1896</v>
      </c>
      <c r="S310" s="2" t="s">
        <v>817</v>
      </c>
      <c r="T310" s="2">
        <v>13</v>
      </c>
      <c r="U310" s="2" cm="1">
        <f t="array" ref="U310">IFERROR(INDEX('Offer Statistics'!$EK$2:$EK$350,MATCH(1,($A310='Offer Statistics'!$DV$2:$DV$350)*($A$11='Offer Statistics'!$DW$2:$DW$350),0)),"/")</f>
        <v>392</v>
      </c>
      <c r="V310" s="2" cm="1">
        <f t="array" ref="V310">IFERROR(INDEX('Offer Statistics'!$DX$2:$DX$350,MATCH(1,($A310='Offer Statistics'!$DV$2:$DV$350)*($A$11='Offer Statistics'!$DW$2:$DW$350),0)),"/")</f>
        <v>1534</v>
      </c>
      <c r="W310" s="2" cm="1">
        <f t="array" ref="W310">IFERROR(INDEX('Offer Statistics'!$EF$2:$EF$350,MATCH(1,($A310='Offer Statistics'!$DV$2:$DV$350)*($A$11='Offer Statistics'!$DW$2:$DW$350),0)),"/")</f>
        <v>323</v>
      </c>
      <c r="X310" s="2">
        <f t="shared" si="829"/>
        <v>4.7492260061919502</v>
      </c>
      <c r="Y310" s="2" t="s">
        <v>817</v>
      </c>
      <c r="Z310" s="2" t="str">
        <f>入學要求!AF319</f>
        <v>以下一科選修取得Lv.4︰生物、化學、組合科學、物理、綜合科學</v>
      </c>
      <c r="AA310" s="2" t="str">
        <f>入學要求!AG319</f>
        <v>/</v>
      </c>
      <c r="AB310" s="402" t="s">
        <v>889</v>
      </c>
      <c r="AE310" s="2" t="s">
        <v>356</v>
      </c>
      <c r="AF310" s="2" t="s">
        <v>356</v>
      </c>
      <c r="AG310" s="406" t="s">
        <v>3231</v>
      </c>
      <c r="AH310" s="406" t="s">
        <v>3232</v>
      </c>
      <c r="AI310" s="406" t="s">
        <v>3230</v>
      </c>
      <c r="AJ310" s="2" t="s">
        <v>356</v>
      </c>
      <c r="AK310" s="2" t="s">
        <v>356</v>
      </c>
      <c r="AL310" s="2" t="s">
        <v>356</v>
      </c>
      <c r="AM310" s="2" t="s">
        <v>1570</v>
      </c>
      <c r="AN310" s="2" t="s">
        <v>356</v>
      </c>
      <c r="AO310" s="2" t="s">
        <v>356</v>
      </c>
      <c r="AP310" s="2" t="s">
        <v>356</v>
      </c>
      <c r="AQ310" s="2" t="s">
        <v>356</v>
      </c>
      <c r="AS310" s="2" t="s">
        <v>1847</v>
      </c>
      <c r="AU310" s="2" t="s">
        <v>817</v>
      </c>
      <c r="AW310" s="220"/>
      <c r="AZ310" s="95"/>
    </row>
    <row r="311" spans="1:116" ht="15.6">
      <c r="A311" s="2" t="s">
        <v>1897</v>
      </c>
      <c r="B311" s="2" t="s">
        <v>261</v>
      </c>
      <c r="C311" s="2" t="s">
        <v>1884</v>
      </c>
      <c r="D311" s="2" t="s">
        <v>1898</v>
      </c>
      <c r="E311" s="2" t="s">
        <v>889</v>
      </c>
      <c r="G311" s="2" t="s">
        <v>435</v>
      </c>
      <c r="H311" s="2" t="s">
        <v>435</v>
      </c>
      <c r="I311" s="2">
        <v>15</v>
      </c>
      <c r="O311" s="2" t="s">
        <v>356</v>
      </c>
      <c r="P311" s="2" t="s">
        <v>356</v>
      </c>
      <c r="R311" s="2" t="s">
        <v>1899</v>
      </c>
      <c r="S311" s="2" t="s">
        <v>817</v>
      </c>
      <c r="T311" s="2">
        <v>330</v>
      </c>
      <c r="U311" s="2" cm="1">
        <f t="array" ref="U311">IFERROR(INDEX('Offer Statistics'!$EK$2:$EK$350,MATCH(1,($A311='Offer Statistics'!$DV$2:$DV$350)*($A$11='Offer Statistics'!$DW$2:$DW$350),0)),"/")</f>
        <v>17</v>
      </c>
      <c r="V311" s="2" cm="1">
        <f t="array" ref="V311">IFERROR(INDEX('Offer Statistics'!$DX$2:$DX$350,MATCH(1,($A311='Offer Statistics'!$DV$2:$DV$350)*($A$11='Offer Statistics'!$DW$2:$DW$350),0)),"/")</f>
        <v>189</v>
      </c>
      <c r="W311" s="2" cm="1">
        <f t="array" ref="W311">IFERROR(INDEX('Offer Statistics'!$EF$2:$EF$350,MATCH(1,($A311='Offer Statistics'!$DV$2:$DV$350)*($A$11='Offer Statistics'!$DW$2:$DW$350),0)),"/")</f>
        <v>15</v>
      </c>
      <c r="X311" s="2">
        <f t="shared" si="829"/>
        <v>12.6</v>
      </c>
      <c r="Y311" s="2" t="s">
        <v>817</v>
      </c>
      <c r="Z311" s="2" t="str">
        <f>入學要求!AF320</f>
        <v>/</v>
      </c>
      <c r="AA311" s="2" t="str">
        <f>入學要求!AG320</f>
        <v>/</v>
      </c>
      <c r="AB311" s="402" t="s">
        <v>889</v>
      </c>
      <c r="AE311" s="2" t="s">
        <v>356</v>
      </c>
      <c r="AF311" s="2" t="s">
        <v>356</v>
      </c>
      <c r="AG311" s="405" t="s">
        <v>3227</v>
      </c>
      <c r="AH311" s="406" t="s">
        <v>356</v>
      </c>
      <c r="AI311" s="406" t="s">
        <v>356</v>
      </c>
      <c r="AJ311" s="2" t="s">
        <v>356</v>
      </c>
      <c r="AK311" s="2" t="s">
        <v>356</v>
      </c>
      <c r="AL311" s="2" t="s">
        <v>356</v>
      </c>
      <c r="AM311" s="2" t="s">
        <v>1570</v>
      </c>
      <c r="AN311" s="2" t="s">
        <v>356</v>
      </c>
      <c r="AO311" s="2" t="s">
        <v>356</v>
      </c>
      <c r="AP311" s="2" t="s">
        <v>356</v>
      </c>
      <c r="AQ311" s="2" t="s">
        <v>356</v>
      </c>
      <c r="AS311" s="2" t="s">
        <v>1847</v>
      </c>
      <c r="AU311" s="2" t="s">
        <v>817</v>
      </c>
      <c r="AW311" s="220"/>
      <c r="AZ311" s="95"/>
    </row>
    <row r="312" spans="1:116" ht="15.6">
      <c r="A312" s="2" t="s">
        <v>1900</v>
      </c>
      <c r="B312" s="2" t="s">
        <v>261</v>
      </c>
      <c r="C312" s="2" t="s">
        <v>1247</v>
      </c>
      <c r="D312" s="2" t="s">
        <v>1901</v>
      </c>
      <c r="E312" s="2" t="s">
        <v>889</v>
      </c>
      <c r="G312" s="2" t="s">
        <v>435</v>
      </c>
      <c r="H312" s="2" t="s">
        <v>435</v>
      </c>
      <c r="I312" s="2">
        <v>20</v>
      </c>
      <c r="M312" s="2" t="s">
        <v>1845</v>
      </c>
      <c r="O312" s="2" t="s">
        <v>1902</v>
      </c>
      <c r="P312" s="2" t="s">
        <v>356</v>
      </c>
      <c r="R312" s="2" t="s">
        <v>1903</v>
      </c>
      <c r="S312" s="2" t="s">
        <v>817</v>
      </c>
      <c r="T312" s="2">
        <v>11</v>
      </c>
      <c r="U312" s="2" cm="1">
        <f t="array" ref="U312">IFERROR(INDEX('Offer Statistics'!$EK$2:$EK$350,MATCH(1,($A312='Offer Statistics'!$DV$2:$DV$350)*($A$11='Offer Statistics'!$DW$2:$DW$350),0)),"/")</f>
        <v>15</v>
      </c>
      <c r="V312" s="2" cm="1">
        <f t="array" ref="V312">IFERROR(INDEX('Offer Statistics'!$DX$2:$DX$350,MATCH(1,($A312='Offer Statistics'!$DV$2:$DV$350)*($A$11='Offer Statistics'!$DW$2:$DW$350),0)),"/")</f>
        <v>190</v>
      </c>
      <c r="W312" s="2" cm="1">
        <f t="array" ref="W312">IFERROR(INDEX('Offer Statistics'!$EF$2:$EF$350,MATCH(1,($A312='Offer Statistics'!$DV$2:$DV$350)*($A$11='Offer Statistics'!$DW$2:$DW$350),0)),"/")</f>
        <v>15</v>
      </c>
      <c r="X312" s="2">
        <f t="shared" si="829"/>
        <v>12.666666666666666</v>
      </c>
      <c r="Y312" s="2" t="s">
        <v>817</v>
      </c>
      <c r="Z312" s="2" t="str">
        <f>入學要求!AF321</f>
        <v>此課程不能以其他資歷取代DSE中國語文科要求。</v>
      </c>
      <c r="AA312" s="2" t="str">
        <f>入學要求!AG321</f>
        <v>優先考慮 中國文學 考獲 Lv.2 或以上 者</v>
      </c>
      <c r="AB312" s="402" t="s">
        <v>889</v>
      </c>
      <c r="AE312" s="2" t="s">
        <v>356</v>
      </c>
      <c r="AF312" s="2" t="s">
        <v>356</v>
      </c>
      <c r="AG312" s="405" t="s">
        <v>3233</v>
      </c>
      <c r="AH312" s="406" t="s">
        <v>356</v>
      </c>
      <c r="AI312" s="406" t="s">
        <v>356</v>
      </c>
      <c r="AJ312" s="2" t="s">
        <v>356</v>
      </c>
      <c r="AK312" s="2" t="s">
        <v>356</v>
      </c>
      <c r="AL312" s="2" t="s">
        <v>356</v>
      </c>
      <c r="AM312" s="2" t="s">
        <v>1570</v>
      </c>
      <c r="AN312" s="2" t="s">
        <v>356</v>
      </c>
      <c r="AO312" s="2" t="s">
        <v>356</v>
      </c>
      <c r="AP312" s="2" t="s">
        <v>356</v>
      </c>
      <c r="AQ312" s="2" t="s">
        <v>356</v>
      </c>
      <c r="AS312" s="2" t="s">
        <v>1847</v>
      </c>
      <c r="AU312" s="2" t="s">
        <v>817</v>
      </c>
      <c r="AW312" s="220"/>
      <c r="AZ312" s="95"/>
    </row>
    <row r="313" spans="1:116" ht="15.6">
      <c r="A313" s="2" t="s">
        <v>1904</v>
      </c>
      <c r="B313" s="2" t="s">
        <v>261</v>
      </c>
      <c r="C313" s="2" t="s">
        <v>1247</v>
      </c>
      <c r="D313" s="2" t="s">
        <v>1905</v>
      </c>
      <c r="E313" s="2" t="s">
        <v>889</v>
      </c>
      <c r="G313" s="2" t="s">
        <v>435</v>
      </c>
      <c r="H313" s="2" t="s">
        <v>435</v>
      </c>
      <c r="I313" s="2">
        <v>20</v>
      </c>
      <c r="M313" s="2" t="s">
        <v>3248</v>
      </c>
      <c r="O313" s="2" t="s">
        <v>1906</v>
      </c>
      <c r="P313" s="2" t="s">
        <v>356</v>
      </c>
      <c r="R313" s="2" t="s">
        <v>1907</v>
      </c>
      <c r="S313" s="2" t="s">
        <v>817</v>
      </c>
      <c r="T313" s="2">
        <v>10</v>
      </c>
      <c r="U313" s="2" cm="1">
        <f t="array" ref="U313">IFERROR(INDEX('Offer Statistics'!$EK$2:$EK$350,MATCH(1,($A313='Offer Statistics'!$DV$2:$DV$350)*($A$11='Offer Statistics'!$DW$2:$DW$350),0)),"/")</f>
        <v>12</v>
      </c>
      <c r="V313" s="2" cm="1">
        <f t="array" ref="V313">IFERROR(INDEX('Offer Statistics'!$DX$2:$DX$350,MATCH(1,($A313='Offer Statistics'!$DV$2:$DV$350)*($A$11='Offer Statistics'!$DW$2:$DW$350),0)),"/")</f>
        <v>202</v>
      </c>
      <c r="W313" s="2" cm="1">
        <f t="array" ref="W313">IFERROR(INDEX('Offer Statistics'!$EF$2:$EF$350,MATCH(1,($A313='Offer Statistics'!$DV$2:$DV$350)*($A$11='Offer Statistics'!$DW$2:$DW$350),0)),"/")</f>
        <v>11</v>
      </c>
      <c r="X313" s="2">
        <f t="shared" si="829"/>
        <v>18.363636363636363</v>
      </c>
      <c r="Y313" s="2" t="s">
        <v>817</v>
      </c>
      <c r="Z313" s="2" t="str">
        <f>入學要求!AF322</f>
        <v>優先考慮 英語文學 考獲 Lv.2 或以上 者</v>
      </c>
      <c r="AA313" s="2" t="str">
        <f>入學要求!AG322</f>
        <v>/</v>
      </c>
      <c r="AB313" s="402" t="s">
        <v>889</v>
      </c>
      <c r="AE313" s="2" t="s">
        <v>356</v>
      </c>
      <c r="AF313" s="2" t="s">
        <v>356</v>
      </c>
      <c r="AG313" s="405" t="s">
        <v>3220</v>
      </c>
      <c r="AH313" s="406" t="s">
        <v>356</v>
      </c>
      <c r="AI313" s="406" t="s">
        <v>356</v>
      </c>
      <c r="AJ313" s="2" t="s">
        <v>356</v>
      </c>
      <c r="AK313" s="2" t="s">
        <v>356</v>
      </c>
      <c r="AL313" s="2" t="s">
        <v>356</v>
      </c>
      <c r="AM313" s="2" t="s">
        <v>1570</v>
      </c>
      <c r="AN313" s="2" t="s">
        <v>356</v>
      </c>
      <c r="AO313" s="2" t="s">
        <v>356</v>
      </c>
      <c r="AP313" s="2" t="s">
        <v>356</v>
      </c>
      <c r="AQ313" s="2" t="s">
        <v>356</v>
      </c>
      <c r="AS313" s="2" t="s">
        <v>1847</v>
      </c>
      <c r="AU313" s="2" t="s">
        <v>817</v>
      </c>
      <c r="AW313" s="220"/>
      <c r="AZ313" s="95"/>
    </row>
    <row r="314" spans="1:116" ht="15.6">
      <c r="A314" s="2" t="s">
        <v>1908</v>
      </c>
      <c r="B314" s="2" t="s">
        <v>261</v>
      </c>
      <c r="C314" s="2" t="s">
        <v>1853</v>
      </c>
      <c r="D314" s="2" t="s">
        <v>1909</v>
      </c>
      <c r="E314" s="2" t="s">
        <v>889</v>
      </c>
      <c r="G314" s="2" t="s">
        <v>435</v>
      </c>
      <c r="H314" s="2" t="s">
        <v>435</v>
      </c>
      <c r="I314" s="2">
        <v>18</v>
      </c>
      <c r="O314" s="2" t="s">
        <v>356</v>
      </c>
      <c r="P314" s="2" t="s">
        <v>356</v>
      </c>
      <c r="R314" s="2" t="s">
        <v>1910</v>
      </c>
      <c r="S314" s="2" t="s">
        <v>817</v>
      </c>
      <c r="T314" s="2">
        <v>10</v>
      </c>
      <c r="U314" s="2" cm="1">
        <f t="array" ref="U314">IFERROR(INDEX('Offer Statistics'!$EK$2:$EK$350,MATCH(1,($A314='Offer Statistics'!$DV$2:$DV$350)*($A$11='Offer Statistics'!$DW$2:$DW$350),0)),"/")</f>
        <v>17</v>
      </c>
      <c r="V314" s="2" cm="1">
        <f t="array" ref="V314">IFERROR(INDEX('Offer Statistics'!$DX$2:$DX$350,MATCH(1,($A314='Offer Statistics'!$DV$2:$DV$350)*($A$11='Offer Statistics'!$DW$2:$DW$350),0)),"/")</f>
        <v>400</v>
      </c>
      <c r="W314" s="2" cm="1">
        <f t="array" ref="W314">IFERROR(INDEX('Offer Statistics'!$EF$2:$EF$350,MATCH(1,($A314='Offer Statistics'!$DV$2:$DV$350)*($A$11='Offer Statistics'!$DW$2:$DW$350),0)),"/")</f>
        <v>12</v>
      </c>
      <c r="X314" s="2">
        <f t="shared" si="829"/>
        <v>33.333333333333336</v>
      </c>
      <c r="Y314" s="2" t="s">
        <v>817</v>
      </c>
      <c r="Z314" s="2" t="str">
        <f>入學要求!AF323</f>
        <v>同學亦須在額外的 入學測試 (Audition) 中考獲優異成績</v>
      </c>
      <c r="AA314" s="2">
        <f>入學要求!AG323</f>
        <v>0</v>
      </c>
      <c r="AB314" s="402" t="s">
        <v>889</v>
      </c>
      <c r="AE314" s="2" t="s">
        <v>356</v>
      </c>
      <c r="AF314" s="2" t="s">
        <v>356</v>
      </c>
      <c r="AG314" s="405" t="s">
        <v>3234</v>
      </c>
      <c r="AH314" s="406" t="s">
        <v>356</v>
      </c>
      <c r="AI314" s="406" t="s">
        <v>356</v>
      </c>
      <c r="AJ314" s="2" t="s">
        <v>356</v>
      </c>
      <c r="AK314" s="2" t="s">
        <v>356</v>
      </c>
      <c r="AL314" s="2" t="s">
        <v>356</v>
      </c>
      <c r="AM314" s="2" t="s">
        <v>1570</v>
      </c>
      <c r="AN314" s="2" t="s">
        <v>356</v>
      </c>
      <c r="AO314" s="2" t="s">
        <v>356</v>
      </c>
      <c r="AP314" s="2" t="s">
        <v>356</v>
      </c>
      <c r="AQ314" s="2" t="s">
        <v>356</v>
      </c>
      <c r="AS314" s="2" t="s">
        <v>1847</v>
      </c>
      <c r="AU314" s="2" t="s">
        <v>817</v>
      </c>
      <c r="AW314" s="220"/>
      <c r="AZ314" s="95"/>
    </row>
    <row r="315" spans="1:116" ht="15.6">
      <c r="A315" s="2" t="s">
        <v>1911</v>
      </c>
      <c r="B315" s="2" t="s">
        <v>261</v>
      </c>
      <c r="C315" s="2" t="s">
        <v>1853</v>
      </c>
      <c r="D315" s="2" t="s">
        <v>1912</v>
      </c>
      <c r="E315" s="2" t="s">
        <v>889</v>
      </c>
      <c r="G315" s="2" t="s">
        <v>435</v>
      </c>
      <c r="H315" s="2" t="s">
        <v>435</v>
      </c>
      <c r="I315" s="2">
        <v>19</v>
      </c>
      <c r="O315" s="2" t="s">
        <v>356</v>
      </c>
      <c r="P315" s="2" t="s">
        <v>356</v>
      </c>
      <c r="R315" s="2" t="s">
        <v>1913</v>
      </c>
      <c r="S315" s="2" t="s">
        <v>817</v>
      </c>
      <c r="T315" s="2">
        <v>10</v>
      </c>
      <c r="U315" s="2" cm="1">
        <f t="array" ref="U315">IFERROR(INDEX('Offer Statistics'!$EK$2:$EK$350,MATCH(1,($A315='Offer Statistics'!$DV$2:$DV$350)*($A$11='Offer Statistics'!$DW$2:$DW$350),0)),"/")</f>
        <v>31</v>
      </c>
      <c r="V315" s="2" cm="1">
        <f t="array" ref="V315">IFERROR(INDEX('Offer Statistics'!$DX$2:$DX$350,MATCH(1,($A315='Offer Statistics'!$DV$2:$DV$350)*($A$11='Offer Statistics'!$DW$2:$DW$350),0)),"/")</f>
        <v>513</v>
      </c>
      <c r="W315" s="2" cm="1">
        <f t="array" ref="W315">IFERROR(INDEX('Offer Statistics'!$EF$2:$EF$350,MATCH(1,($A315='Offer Statistics'!$DV$2:$DV$350)*($A$11='Offer Statistics'!$DW$2:$DW$350),0)),"/")</f>
        <v>24</v>
      </c>
      <c r="X315" s="2">
        <f t="shared" si="829"/>
        <v>21.375</v>
      </c>
      <c r="Y315" s="2" t="s">
        <v>817</v>
      </c>
      <c r="Z315" s="2" t="str">
        <f>入學要求!AF324</f>
        <v>同學亦須在額外的 入學測試 中考獲優異成績</v>
      </c>
      <c r="AA315" s="2" t="str">
        <f>入學要求!AG324</f>
        <v>DSE視覺藝術考獲 Lv.4或以上者 則可豁免該測試</v>
      </c>
      <c r="AB315" s="402" t="s">
        <v>889</v>
      </c>
      <c r="AE315" s="2" t="s">
        <v>356</v>
      </c>
      <c r="AF315" s="2" t="s">
        <v>356</v>
      </c>
      <c r="AG315" s="405" t="s">
        <v>3235</v>
      </c>
      <c r="AH315" s="406" t="s">
        <v>356</v>
      </c>
      <c r="AI315" s="406" t="s">
        <v>356</v>
      </c>
      <c r="AJ315" s="2" t="s">
        <v>356</v>
      </c>
      <c r="AK315" s="2" t="s">
        <v>356</v>
      </c>
      <c r="AL315" s="2" t="s">
        <v>356</v>
      </c>
      <c r="AM315" s="2" t="s">
        <v>1570</v>
      </c>
      <c r="AN315" s="2" t="s">
        <v>356</v>
      </c>
      <c r="AO315" s="2" t="s">
        <v>356</v>
      </c>
      <c r="AP315" s="2" t="s">
        <v>356</v>
      </c>
      <c r="AQ315" s="2" t="s">
        <v>356</v>
      </c>
      <c r="AS315" s="2" t="s">
        <v>1847</v>
      </c>
      <c r="AU315" s="2" t="s">
        <v>817</v>
      </c>
      <c r="AW315" s="220"/>
      <c r="AZ315" s="95"/>
    </row>
    <row r="316" spans="1:116" ht="15.6">
      <c r="A316" s="2" t="s">
        <v>1914</v>
      </c>
      <c r="B316" s="2" t="s">
        <v>261</v>
      </c>
      <c r="C316" s="2" t="s">
        <v>1884</v>
      </c>
      <c r="D316" s="2" t="s">
        <v>1915</v>
      </c>
      <c r="E316" s="2" t="s">
        <v>889</v>
      </c>
      <c r="G316" s="2" t="s">
        <v>435</v>
      </c>
      <c r="H316" s="2" t="s">
        <v>435</v>
      </c>
      <c r="I316" s="2">
        <v>21</v>
      </c>
      <c r="O316" s="2" t="s">
        <v>1906</v>
      </c>
      <c r="P316" s="2" t="s">
        <v>356</v>
      </c>
      <c r="R316" s="2" t="s">
        <v>1916</v>
      </c>
      <c r="S316" s="2" t="s">
        <v>817</v>
      </c>
      <c r="T316" s="2">
        <v>20</v>
      </c>
      <c r="U316" s="2" cm="1">
        <f t="array" ref="U316">IFERROR(INDEX('Offer Statistics'!$EK$2:$EK$350,MATCH(1,($A316='Offer Statistics'!$DV$2:$DV$350)*($A$11='Offer Statistics'!$DW$2:$DW$350),0)),"/")</f>
        <v>17</v>
      </c>
      <c r="V316" s="2" cm="1">
        <f t="array" ref="V316">IFERROR(INDEX('Offer Statistics'!$DX$2:$DX$350,MATCH(1,($A316='Offer Statistics'!$DV$2:$DV$350)*($A$11='Offer Statistics'!$DW$2:$DW$350),0)),"/")</f>
        <v>231</v>
      </c>
      <c r="W316" s="2" cm="1">
        <f t="array" ref="W316">IFERROR(INDEX('Offer Statistics'!$EF$2:$EF$350,MATCH(1,($A316='Offer Statistics'!$DV$2:$DV$350)*($A$11='Offer Statistics'!$DW$2:$DW$350),0)),"/")</f>
        <v>17</v>
      </c>
      <c r="X316" s="2">
        <f t="shared" si="829"/>
        <v>13.588235294117647</v>
      </c>
      <c r="Y316" s="2" t="s">
        <v>817</v>
      </c>
      <c r="Z316" s="2" t="str">
        <f>入學要求!AF325</f>
        <v>/</v>
      </c>
      <c r="AA316" s="2" t="str">
        <f>入學要求!AG325</f>
        <v>/</v>
      </c>
      <c r="AB316" s="402" t="s">
        <v>889</v>
      </c>
      <c r="AE316" s="2" t="s">
        <v>356</v>
      </c>
      <c r="AF316" s="2" t="s">
        <v>356</v>
      </c>
      <c r="AG316" s="406" t="s">
        <v>356</v>
      </c>
      <c r="AH316" s="406" t="s">
        <v>356</v>
      </c>
      <c r="AI316" s="406" t="s">
        <v>356</v>
      </c>
      <c r="AJ316" s="2" t="s">
        <v>356</v>
      </c>
      <c r="AK316" s="2" t="s">
        <v>356</v>
      </c>
      <c r="AL316" s="2" t="s">
        <v>356</v>
      </c>
      <c r="AM316" s="2" t="s">
        <v>1570</v>
      </c>
      <c r="AN316" s="2" t="s">
        <v>356</v>
      </c>
      <c r="AO316" s="2" t="s">
        <v>356</v>
      </c>
      <c r="AP316" s="2" t="s">
        <v>356</v>
      </c>
      <c r="AQ316" s="2" t="s">
        <v>356</v>
      </c>
      <c r="AS316" s="2" t="s">
        <v>1847</v>
      </c>
      <c r="AU316" s="2" t="s">
        <v>817</v>
      </c>
      <c r="AW316" s="220"/>
      <c r="AZ316" s="95"/>
    </row>
    <row r="317" spans="1:116" ht="15.6">
      <c r="A317" s="2" t="s">
        <v>1917</v>
      </c>
      <c r="B317" s="2" t="s">
        <v>261</v>
      </c>
      <c r="C317" s="2" t="s">
        <v>1884</v>
      </c>
      <c r="D317" s="2" t="s">
        <v>1918</v>
      </c>
      <c r="E317" s="2" t="s">
        <v>889</v>
      </c>
      <c r="G317" s="2" t="s">
        <v>435</v>
      </c>
      <c r="H317" s="2" t="s">
        <v>435</v>
      </c>
      <c r="I317" s="2">
        <v>19</v>
      </c>
      <c r="O317" s="2" t="s">
        <v>356</v>
      </c>
      <c r="P317" s="2" t="s">
        <v>356</v>
      </c>
      <c r="R317" s="2" t="s">
        <v>1919</v>
      </c>
      <c r="S317" s="2" t="s">
        <v>817</v>
      </c>
      <c r="T317" s="2">
        <v>20</v>
      </c>
      <c r="U317" s="2" cm="1">
        <f t="array" ref="U317">IFERROR(INDEX('Offer Statistics'!$EK$2:$EK$350,MATCH(1,($A317='Offer Statistics'!$DV$2:$DV$350)*($A$11='Offer Statistics'!$DW$2:$DW$350),0)),"/")</f>
        <v>22</v>
      </c>
      <c r="V317" s="2" cm="1">
        <f t="array" ref="V317">IFERROR(INDEX('Offer Statistics'!$DX$2:$DX$350,MATCH(1,($A317='Offer Statistics'!$DV$2:$DV$350)*($A$11='Offer Statistics'!$DW$2:$DW$350),0)),"/")</f>
        <v>201</v>
      </c>
      <c r="W317" s="2" cm="1">
        <f t="array" ref="W317">IFERROR(INDEX('Offer Statistics'!$EF$2:$EF$350,MATCH(1,($A317='Offer Statistics'!$DV$2:$DV$350)*($A$11='Offer Statistics'!$DW$2:$DW$350),0)),"/")</f>
        <v>22</v>
      </c>
      <c r="X317" s="2">
        <f t="shared" si="829"/>
        <v>9.1363636363636367</v>
      </c>
      <c r="Y317" s="2" t="s">
        <v>817</v>
      </c>
      <c r="Z317" s="2" t="str">
        <f>入學要求!AF326</f>
        <v>/</v>
      </c>
      <c r="AA317" s="2" t="str">
        <f>入學要求!AG326</f>
        <v>/</v>
      </c>
      <c r="AB317" s="402" t="s">
        <v>889</v>
      </c>
      <c r="AE317" s="2" t="s">
        <v>356</v>
      </c>
      <c r="AF317" s="2" t="s">
        <v>356</v>
      </c>
      <c r="AG317" s="405" t="s">
        <v>3227</v>
      </c>
      <c r="AH317" s="406" t="s">
        <v>356</v>
      </c>
      <c r="AI317" s="406" t="s">
        <v>356</v>
      </c>
      <c r="AJ317" s="2" t="s">
        <v>356</v>
      </c>
      <c r="AK317" s="2" t="s">
        <v>356</v>
      </c>
      <c r="AL317" s="2" t="s">
        <v>356</v>
      </c>
      <c r="AM317" s="2" t="s">
        <v>1570</v>
      </c>
      <c r="AN317" s="2" t="s">
        <v>356</v>
      </c>
      <c r="AO317" s="2" t="s">
        <v>356</v>
      </c>
      <c r="AP317" s="2" t="s">
        <v>356</v>
      </c>
      <c r="AQ317" s="2" t="s">
        <v>356</v>
      </c>
      <c r="AS317" s="2" t="s">
        <v>1847</v>
      </c>
      <c r="AU317" s="2" t="s">
        <v>817</v>
      </c>
      <c r="AW317" s="220"/>
      <c r="AZ317" s="95"/>
    </row>
    <row r="318" spans="1:116" ht="15.6">
      <c r="A318" s="2" t="s">
        <v>2607</v>
      </c>
      <c r="B318" s="2" t="s">
        <v>261</v>
      </c>
      <c r="C318" s="2" t="s">
        <v>1884</v>
      </c>
      <c r="D318" s="2" t="s">
        <v>2610</v>
      </c>
      <c r="E318" s="2" t="s">
        <v>2804</v>
      </c>
      <c r="G318" s="2" t="s">
        <v>356</v>
      </c>
      <c r="H318" s="2" t="s">
        <v>356</v>
      </c>
      <c r="I318" s="2" t="s">
        <v>356</v>
      </c>
      <c r="R318" s="2" t="s">
        <v>2608</v>
      </c>
      <c r="S318" s="2" t="s">
        <v>817</v>
      </c>
      <c r="T318" s="2">
        <v>17</v>
      </c>
      <c r="U318" s="2" t="str" cm="1">
        <f t="array" ref="U318">IFERROR(INDEX('Offer Statistics'!$EK$2:$EK$350,MATCH(1,($A318='Offer Statistics'!$DV$2:$DV$350)*($A$11='Offer Statistics'!$DW$2:$DW$350),0)),"/")</f>
        <v>/</v>
      </c>
      <c r="V318" s="2" t="str" cm="1">
        <f t="array" ref="V318">IFERROR(INDEX('Offer Statistics'!$DX$2:$DX$350,MATCH(1,($A318='Offer Statistics'!$DV$2:$DV$350)*($A$11='Offer Statistics'!$DW$2:$DW$350),0)),"/")</f>
        <v>/</v>
      </c>
      <c r="W318" s="2" t="str" cm="1">
        <f t="array" ref="W318">IFERROR(INDEX('Offer Statistics'!$EF$2:$EF$350,MATCH(1,($A318='Offer Statistics'!$DV$2:$DV$350)*($A$11='Offer Statistics'!$DW$2:$DW$350),0)),"/")</f>
        <v>/</v>
      </c>
      <c r="X318" s="2" t="str">
        <f t="shared" si="829"/>
        <v>新科目</v>
      </c>
      <c r="Y318" s="2" t="s">
        <v>817</v>
      </c>
      <c r="AB318" s="402" t="s">
        <v>889</v>
      </c>
      <c r="AC318" s="2" t="s">
        <v>2992</v>
      </c>
      <c r="AE318" s="2" t="s">
        <v>356</v>
      </c>
      <c r="AF318" s="2" t="s">
        <v>356</v>
      </c>
      <c r="AG318" s="405" t="s">
        <v>3236</v>
      </c>
      <c r="AH318" s="406" t="s">
        <v>356</v>
      </c>
      <c r="AI318" s="406" t="s">
        <v>356</v>
      </c>
      <c r="AJ318" s="2" t="s">
        <v>356</v>
      </c>
      <c r="AK318" s="2" t="s">
        <v>356</v>
      </c>
      <c r="AL318" s="2" t="s">
        <v>356</v>
      </c>
      <c r="AM318" s="2" t="s">
        <v>1570</v>
      </c>
      <c r="AN318" s="2" t="s">
        <v>356</v>
      </c>
      <c r="AO318" s="2" t="s">
        <v>356</v>
      </c>
      <c r="AP318" s="2" t="s">
        <v>356</v>
      </c>
      <c r="AQ318" s="2" t="s">
        <v>356</v>
      </c>
      <c r="AS318" s="2" t="s">
        <v>1847</v>
      </c>
      <c r="AU318" s="2" t="s">
        <v>817</v>
      </c>
      <c r="AW318" s="220"/>
      <c r="AZ318" s="95"/>
    </row>
    <row r="319" spans="1:116">
      <c r="A319" s="2" t="s">
        <v>2602</v>
      </c>
      <c r="B319" s="2" t="s">
        <v>261</v>
      </c>
      <c r="C319" s="2" t="s">
        <v>1884</v>
      </c>
      <c r="D319" s="2" t="s">
        <v>1920</v>
      </c>
      <c r="E319" s="2" t="s">
        <v>889</v>
      </c>
      <c r="G319" s="2" t="s">
        <v>435</v>
      </c>
      <c r="H319" s="2" t="s">
        <v>435</v>
      </c>
      <c r="I319" s="2">
        <v>19</v>
      </c>
      <c r="M319" s="2" t="s">
        <v>1249</v>
      </c>
      <c r="N319" s="2" t="s">
        <v>356</v>
      </c>
      <c r="O319" s="2" t="s">
        <v>356</v>
      </c>
      <c r="P319" s="2" t="s">
        <v>356</v>
      </c>
      <c r="R319" s="2" t="s">
        <v>1921</v>
      </c>
      <c r="S319" s="2" t="s">
        <v>817</v>
      </c>
      <c r="T319" s="2">
        <v>22</v>
      </c>
      <c r="U319" s="2" t="str" cm="1">
        <f t="array" ref="U319">IFERROR(INDEX('Offer Statistics'!$EK$2:$EK$350,MATCH(1,($A319='Offer Statistics'!$DV$2:$DV$350)*($A$11='Offer Statistics'!$DW$2:$DW$350),0)),"/")</f>
        <v>/</v>
      </c>
      <c r="V319" s="2" t="str" cm="1">
        <f t="array" ref="V319">IFERROR(INDEX('Offer Statistics'!$DX$2:$DX$350,MATCH(1,($A319='Offer Statistics'!$DV$2:$DV$350)*($A$11='Offer Statistics'!$DW$2:$DW$350),0)),"/")</f>
        <v>/</v>
      </c>
      <c r="W319" s="2" t="str" cm="1">
        <f t="array" ref="W319">IFERROR(INDEX('Offer Statistics'!$EF$2:$EF$350,MATCH(1,($A319='Offer Statistics'!$DV$2:$DV$350)*($A$11='Offer Statistics'!$DW$2:$DW$350),0)),"/")</f>
        <v>/</v>
      </c>
      <c r="X319" s="2" t="str">
        <f t="shared" si="829"/>
        <v>新科目</v>
      </c>
      <c r="Y319" s="2" t="s">
        <v>817</v>
      </c>
      <c r="Z319" s="2" t="str">
        <f>入學要求!AF328</f>
        <v>優先考慮修讀 中國歷史、歷史、視覺藝術、DAT 者</v>
      </c>
      <c r="AA319" s="2" t="str">
        <f>入學要求!AG328</f>
        <v>/</v>
      </c>
      <c r="AB319" s="402" t="s">
        <v>889</v>
      </c>
      <c r="AE319" s="2" t="s">
        <v>356</v>
      </c>
      <c r="AF319" s="2" t="s">
        <v>356</v>
      </c>
      <c r="AG319" s="405" t="s">
        <v>3237</v>
      </c>
      <c r="AH319" s="406" t="s">
        <v>356</v>
      </c>
      <c r="AI319" s="406" t="s">
        <v>356</v>
      </c>
      <c r="AJ319" s="2" t="s">
        <v>356</v>
      </c>
      <c r="AK319" s="2" t="s">
        <v>356</v>
      </c>
      <c r="AL319" s="2" t="s">
        <v>356</v>
      </c>
      <c r="AM319" s="2" t="s">
        <v>1570</v>
      </c>
      <c r="AN319" s="2" t="s">
        <v>356</v>
      </c>
      <c r="AO319" s="2" t="s">
        <v>356</v>
      </c>
      <c r="AP319" s="2" t="s">
        <v>356</v>
      </c>
      <c r="AQ319" s="2" t="s">
        <v>356</v>
      </c>
      <c r="AS319" s="2" t="s">
        <v>1847</v>
      </c>
      <c r="AU319" s="2" t="s">
        <v>817</v>
      </c>
    </row>
    <row r="320" spans="1:116">
      <c r="A320" s="2" t="s">
        <v>1922</v>
      </c>
      <c r="B320" s="2" t="s">
        <v>261</v>
      </c>
      <c r="C320" s="2" t="s">
        <v>1853</v>
      </c>
      <c r="D320" s="2" t="s">
        <v>1923</v>
      </c>
      <c r="E320" s="2" t="s">
        <v>889</v>
      </c>
      <c r="G320" s="2" t="s">
        <v>435</v>
      </c>
      <c r="H320" s="2" t="s">
        <v>435</v>
      </c>
      <c r="I320" s="2">
        <v>19</v>
      </c>
      <c r="O320" s="2" t="s">
        <v>356</v>
      </c>
      <c r="P320" s="2" t="s">
        <v>356</v>
      </c>
      <c r="R320" s="2" t="s">
        <v>1924</v>
      </c>
      <c r="S320" s="2" t="s">
        <v>817</v>
      </c>
      <c r="T320" s="2">
        <v>21</v>
      </c>
      <c r="U320" s="2" cm="1">
        <f t="array" ref="U320">IFERROR(INDEX('Offer Statistics'!$EK$2:$EK$350,MATCH(1,($A320='Offer Statistics'!$DV$2:$DV$350)*($A$11='Offer Statistics'!$DW$2:$DW$350),0)),"/")</f>
        <v>22</v>
      </c>
      <c r="V320" s="2" cm="1">
        <f t="array" ref="V320">IFERROR(INDEX('Offer Statistics'!$DX$2:$DX$350,MATCH(1,($A320='Offer Statistics'!$DV$2:$DV$350)*($A$11='Offer Statistics'!$DW$2:$DW$350),0)),"/")</f>
        <v>314</v>
      </c>
      <c r="W320" s="2" cm="1">
        <f t="array" ref="W320">IFERROR(INDEX('Offer Statistics'!$EF$2:$EF$350,MATCH(1,($A320='Offer Statistics'!$DV$2:$DV$350)*($A$11='Offer Statistics'!$DW$2:$DW$350),0)),"/")</f>
        <v>22</v>
      </c>
      <c r="X320" s="2">
        <f t="shared" si="829"/>
        <v>14.272727272727273</v>
      </c>
      <c r="Y320" s="2" t="s">
        <v>817</v>
      </c>
      <c r="Z320" s="2" t="str">
        <f>入學要求!AF329</f>
        <v>以下一科選修取得Lv.2︰生物、化學、組合科學、物理、綜合科學、地理</v>
      </c>
      <c r="AA320" s="2" t="str">
        <f>入學要求!AG329</f>
        <v>/</v>
      </c>
      <c r="AB320" s="402" t="s">
        <v>889</v>
      </c>
      <c r="AE320" s="2" t="s">
        <v>356</v>
      </c>
      <c r="AF320" s="2" t="s">
        <v>356</v>
      </c>
      <c r="AG320" s="405" t="s">
        <v>3238</v>
      </c>
      <c r="AH320" s="406" t="s">
        <v>356</v>
      </c>
      <c r="AI320" s="406" t="s">
        <v>356</v>
      </c>
      <c r="AJ320" s="2" t="s">
        <v>356</v>
      </c>
      <c r="AK320" s="2" t="s">
        <v>356</v>
      </c>
      <c r="AL320" s="2" t="s">
        <v>356</v>
      </c>
      <c r="AM320" s="2" t="s">
        <v>1570</v>
      </c>
      <c r="AN320" s="2" t="s">
        <v>356</v>
      </c>
      <c r="AO320" s="2" t="s">
        <v>356</v>
      </c>
      <c r="AP320" s="2" t="s">
        <v>356</v>
      </c>
      <c r="AQ320" s="2" t="s">
        <v>356</v>
      </c>
      <c r="AS320" s="2" t="s">
        <v>1847</v>
      </c>
      <c r="AU320" s="2" t="s">
        <v>817</v>
      </c>
    </row>
    <row r="321" spans="1:47">
      <c r="A321" s="2" t="s">
        <v>1925</v>
      </c>
      <c r="B321" s="2" t="s">
        <v>261</v>
      </c>
      <c r="C321" s="2" t="s">
        <v>1853</v>
      </c>
      <c r="D321" s="2" t="s">
        <v>1926</v>
      </c>
      <c r="E321" s="2" t="s">
        <v>889</v>
      </c>
      <c r="G321" s="2" t="s">
        <v>435</v>
      </c>
      <c r="H321" s="2" t="s">
        <v>435</v>
      </c>
      <c r="I321" s="2">
        <v>19</v>
      </c>
      <c r="O321" s="2" t="s">
        <v>356</v>
      </c>
      <c r="P321" s="2" t="s">
        <v>356</v>
      </c>
      <c r="R321" s="2" t="s">
        <v>1927</v>
      </c>
      <c r="S321" s="2" t="s">
        <v>817</v>
      </c>
      <c r="T321" s="2">
        <v>30</v>
      </c>
      <c r="U321" s="2" cm="1">
        <f t="array" ref="U321">IFERROR(INDEX('Offer Statistics'!$EK$2:$EK$350,MATCH(1,($A321='Offer Statistics'!$DV$2:$DV$350)*($A$11='Offer Statistics'!$DW$2:$DW$350),0)),"/")</f>
        <v>21</v>
      </c>
      <c r="V321" s="2" cm="1">
        <f t="array" ref="V321">IFERROR(INDEX('Offer Statistics'!$DX$2:$DX$350,MATCH(1,($A321='Offer Statistics'!$DV$2:$DV$350)*($A$11='Offer Statistics'!$DW$2:$DW$350),0)),"/")</f>
        <v>427</v>
      </c>
      <c r="W321" s="2" cm="1">
        <f t="array" ref="W321">IFERROR(INDEX('Offer Statistics'!$EF$2:$EF$350,MATCH(1,($A321='Offer Statistics'!$DV$2:$DV$350)*($A$11='Offer Statistics'!$DW$2:$DW$350),0)),"/")</f>
        <v>18</v>
      </c>
      <c r="X321" s="2">
        <f t="shared" si="829"/>
        <v>23.722222222222221</v>
      </c>
      <c r="Y321" s="2" t="s">
        <v>817</v>
      </c>
      <c r="Z321" s="2" t="str">
        <f>入學要求!AF330</f>
        <v>以下一科選修取得Lv.2︰生物、化學、組合科學、物理、綜合科學、ICT、M1/2</v>
      </c>
      <c r="AA321" s="2" t="str">
        <f>入學要求!AG330</f>
        <v>優先考慮 有修讀以上兩科 者</v>
      </c>
      <c r="AB321" s="402" t="s">
        <v>889</v>
      </c>
      <c r="AE321" s="2" t="s">
        <v>356</v>
      </c>
      <c r="AF321" s="2" t="s">
        <v>356</v>
      </c>
      <c r="AG321" s="405" t="s">
        <v>3239</v>
      </c>
      <c r="AH321" s="406" t="s">
        <v>356</v>
      </c>
      <c r="AI321" s="406" t="s">
        <v>356</v>
      </c>
      <c r="AJ321" s="2" t="s">
        <v>356</v>
      </c>
      <c r="AK321" s="2" t="s">
        <v>356</v>
      </c>
      <c r="AL321" s="2" t="s">
        <v>356</v>
      </c>
      <c r="AM321" s="2" t="s">
        <v>1570</v>
      </c>
      <c r="AN321" s="2" t="s">
        <v>356</v>
      </c>
      <c r="AO321" s="2" t="s">
        <v>356</v>
      </c>
      <c r="AP321" s="2" t="s">
        <v>356</v>
      </c>
      <c r="AQ321" s="2" t="s">
        <v>356</v>
      </c>
      <c r="AS321" s="2" t="s">
        <v>1847</v>
      </c>
      <c r="AU321" s="2" t="s">
        <v>817</v>
      </c>
    </row>
    <row r="322" spans="1:47">
      <c r="A322" s="2" t="s">
        <v>1928</v>
      </c>
      <c r="B322" s="2" t="s">
        <v>261</v>
      </c>
      <c r="C322" s="2" t="s">
        <v>1853</v>
      </c>
      <c r="D322" s="2" t="s">
        <v>1929</v>
      </c>
      <c r="E322" s="2" t="s">
        <v>889</v>
      </c>
      <c r="G322" s="2" t="s">
        <v>435</v>
      </c>
      <c r="H322" s="2" t="s">
        <v>435</v>
      </c>
      <c r="I322" s="2">
        <v>20</v>
      </c>
      <c r="O322" s="2" t="s">
        <v>1930</v>
      </c>
      <c r="P322" s="2" t="s">
        <v>356</v>
      </c>
      <c r="R322" s="2" t="s">
        <v>1931</v>
      </c>
      <c r="S322" s="2" t="s">
        <v>817</v>
      </c>
      <c r="T322" s="2">
        <v>24</v>
      </c>
      <c r="U322" s="2" cm="1">
        <f t="array" ref="U322">IFERROR(INDEX('Offer Statistics'!$EK$2:$EK$350,MATCH(1,($A322='Offer Statistics'!$DV$2:$DV$350)*($A$11='Offer Statistics'!$DW$2:$DW$350),0)),"/")</f>
        <v>22</v>
      </c>
      <c r="V322" s="2" cm="1">
        <f t="array" ref="V322">IFERROR(INDEX('Offer Statistics'!$DX$2:$DX$350,MATCH(1,($A322='Offer Statistics'!$DV$2:$DV$350)*($A$11='Offer Statistics'!$DW$2:$DW$350),0)),"/")</f>
        <v>698</v>
      </c>
      <c r="W322" s="2" cm="1">
        <f t="array" ref="W322">IFERROR(INDEX('Offer Statistics'!$EF$2:$EF$350,MATCH(1,($A322='Offer Statistics'!$DV$2:$DV$350)*($A$11='Offer Statistics'!$DW$2:$DW$350),0)),"/")</f>
        <v>22</v>
      </c>
      <c r="X322" s="2">
        <f t="shared" si="829"/>
        <v>31.727272727272727</v>
      </c>
      <c r="Y322" s="2" t="s">
        <v>817</v>
      </c>
      <c r="Z322" s="2" t="str">
        <f>入學要求!AF331</f>
        <v>優先考慮 修讀 生物 或 體育 者</v>
      </c>
      <c r="AA322" s="2" t="str">
        <f>入學要求!AG331</f>
        <v>/</v>
      </c>
      <c r="AB322" s="402" t="s">
        <v>889</v>
      </c>
      <c r="AE322" s="2" t="s">
        <v>356</v>
      </c>
      <c r="AF322" s="2" t="s">
        <v>356</v>
      </c>
      <c r="AG322" s="405" t="s">
        <v>3240</v>
      </c>
      <c r="AH322" s="405" t="s">
        <v>3241</v>
      </c>
      <c r="AI322" s="406" t="s">
        <v>356</v>
      </c>
      <c r="AJ322" s="2" t="s">
        <v>356</v>
      </c>
      <c r="AK322" s="2" t="s">
        <v>356</v>
      </c>
      <c r="AL322" s="2" t="s">
        <v>356</v>
      </c>
      <c r="AM322" s="2" t="s">
        <v>1570</v>
      </c>
      <c r="AN322" s="2" t="s">
        <v>356</v>
      </c>
      <c r="AO322" s="2" t="s">
        <v>356</v>
      </c>
      <c r="AP322" s="2" t="s">
        <v>356</v>
      </c>
      <c r="AQ322" s="2" t="s">
        <v>356</v>
      </c>
      <c r="AS322" s="2" t="s">
        <v>1847</v>
      </c>
      <c r="AU322" s="2" t="s">
        <v>817</v>
      </c>
    </row>
    <row r="323" spans="1:47">
      <c r="A323" s="2" t="s">
        <v>1932</v>
      </c>
      <c r="B323" s="2" t="s">
        <v>261</v>
      </c>
      <c r="C323" s="2" t="s">
        <v>1853</v>
      </c>
      <c r="D323" s="2" t="s">
        <v>1933</v>
      </c>
      <c r="E323" s="2" t="s">
        <v>889</v>
      </c>
      <c r="G323" s="2" t="s">
        <v>435</v>
      </c>
      <c r="H323" s="2" t="s">
        <v>435</v>
      </c>
      <c r="I323" s="2">
        <v>20</v>
      </c>
      <c r="O323" s="2" t="s">
        <v>1934</v>
      </c>
      <c r="P323" s="2" t="s">
        <v>356</v>
      </c>
      <c r="R323" s="2" t="s">
        <v>1935</v>
      </c>
      <c r="S323" s="2" t="s">
        <v>817</v>
      </c>
      <c r="T323" s="2">
        <v>33</v>
      </c>
      <c r="U323" s="2" cm="1">
        <f t="array" ref="U323">IFERROR(INDEX('Offer Statistics'!$EK$2:$EK$350,MATCH(1,($A323='Offer Statistics'!$DV$2:$DV$350)*($A$11='Offer Statistics'!$DW$2:$DW$350),0)),"/")</f>
        <v>21</v>
      </c>
      <c r="V323" s="2" cm="1">
        <f t="array" ref="V323">IFERROR(INDEX('Offer Statistics'!$DX$2:$DX$350,MATCH(1,($A323='Offer Statistics'!$DV$2:$DV$350)*($A$11='Offer Statistics'!$DW$2:$DW$350),0)),"/")</f>
        <v>178</v>
      </c>
      <c r="W323" s="2" cm="1">
        <f t="array" ref="W323">IFERROR(INDEX('Offer Statistics'!$EF$2:$EF$350,MATCH(1,($A323='Offer Statistics'!$DV$2:$DV$350)*($A$11='Offer Statistics'!$DW$2:$DW$350),0)),"/")</f>
        <v>21</v>
      </c>
      <c r="X323" s="2">
        <f t="shared" si="829"/>
        <v>8.4761904761904763</v>
      </c>
      <c r="Y323" s="2" t="s">
        <v>817</v>
      </c>
      <c r="Z323" s="2" t="str">
        <f>入學要求!AF332</f>
        <v>同學亦須在額外的 入學測試 (Audition) 中考獲優異成績</v>
      </c>
      <c r="AA323" s="2">
        <f>入學要求!AG332</f>
        <v>0</v>
      </c>
      <c r="AB323" s="402" t="s">
        <v>889</v>
      </c>
      <c r="AE323" s="2" t="s">
        <v>356</v>
      </c>
      <c r="AF323" s="2" t="s">
        <v>356</v>
      </c>
      <c r="AG323" s="405" t="s">
        <v>3234</v>
      </c>
      <c r="AH323" s="406" t="s">
        <v>356</v>
      </c>
      <c r="AI323" s="406" t="s">
        <v>356</v>
      </c>
      <c r="AJ323" s="2" t="s">
        <v>356</v>
      </c>
      <c r="AK323" s="2" t="s">
        <v>356</v>
      </c>
      <c r="AL323" s="2" t="s">
        <v>356</v>
      </c>
      <c r="AM323" s="2" t="s">
        <v>1570</v>
      </c>
      <c r="AN323" s="2" t="s">
        <v>356</v>
      </c>
      <c r="AO323" s="2" t="s">
        <v>356</v>
      </c>
      <c r="AP323" s="2" t="s">
        <v>356</v>
      </c>
      <c r="AQ323" s="2" t="s">
        <v>356</v>
      </c>
      <c r="AS323" s="2" t="s">
        <v>1847</v>
      </c>
      <c r="AU323" s="2" t="s">
        <v>817</v>
      </c>
    </row>
    <row r="324" spans="1:47">
      <c r="A324" s="2" t="s">
        <v>1936</v>
      </c>
      <c r="B324" s="2" t="s">
        <v>261</v>
      </c>
      <c r="C324" s="2" t="s">
        <v>1853</v>
      </c>
      <c r="D324" s="2" t="s">
        <v>1937</v>
      </c>
      <c r="E324" s="2" t="s">
        <v>889</v>
      </c>
      <c r="G324" s="2" t="s">
        <v>435</v>
      </c>
      <c r="H324" s="2" t="s">
        <v>435</v>
      </c>
      <c r="I324" s="2">
        <v>20</v>
      </c>
      <c r="O324" s="2" t="s">
        <v>356</v>
      </c>
      <c r="P324" s="2" t="s">
        <v>356</v>
      </c>
      <c r="R324" s="2" t="s">
        <v>1938</v>
      </c>
      <c r="S324" s="2" t="s">
        <v>817</v>
      </c>
      <c r="T324" s="2">
        <v>33</v>
      </c>
      <c r="U324" s="2" cm="1">
        <f t="array" ref="U324">IFERROR(INDEX('Offer Statistics'!$EK$2:$EK$350,MATCH(1,($A324='Offer Statistics'!$DV$2:$DV$350)*($A$11='Offer Statistics'!$DW$2:$DW$350),0)),"/")</f>
        <v>20</v>
      </c>
      <c r="V324" s="2" cm="1">
        <f t="array" ref="V324">IFERROR(INDEX('Offer Statistics'!$DX$2:$DX$350,MATCH(1,($A324='Offer Statistics'!$DV$2:$DV$350)*($A$11='Offer Statistics'!$DW$2:$DW$350),0)),"/")</f>
        <v>329</v>
      </c>
      <c r="W324" s="2" cm="1">
        <f t="array" ref="W324">IFERROR(INDEX('Offer Statistics'!$EF$2:$EF$350,MATCH(1,($A324='Offer Statistics'!$DV$2:$DV$350)*($A$11='Offer Statistics'!$DW$2:$DW$350),0)),"/")</f>
        <v>20</v>
      </c>
      <c r="X324" s="2">
        <f t="shared" si="829"/>
        <v>16.45</v>
      </c>
      <c r="Y324" s="2" t="s">
        <v>817</v>
      </c>
      <c r="Z324" s="2" t="str">
        <f>入學要求!AF333</f>
        <v>同學亦須在額外的 入學測試 中考獲優異成績</v>
      </c>
      <c r="AA324" s="2" t="str">
        <f>入學要求!AG333</f>
        <v>DSE視覺藝術考獲 Lv.4或以上者 則可豁免該測試</v>
      </c>
      <c r="AB324" s="402" t="s">
        <v>889</v>
      </c>
      <c r="AE324" s="2" t="s">
        <v>356</v>
      </c>
      <c r="AF324" s="2" t="s">
        <v>356</v>
      </c>
      <c r="AG324" s="405" t="s">
        <v>3235</v>
      </c>
      <c r="AH324" s="406" t="s">
        <v>356</v>
      </c>
      <c r="AI324" s="406" t="s">
        <v>356</v>
      </c>
      <c r="AJ324" s="2" t="s">
        <v>356</v>
      </c>
      <c r="AK324" s="2" t="s">
        <v>356</v>
      </c>
      <c r="AL324" s="2" t="s">
        <v>356</v>
      </c>
      <c r="AM324" s="2" t="s">
        <v>1570</v>
      </c>
      <c r="AN324" s="2" t="s">
        <v>356</v>
      </c>
      <c r="AO324" s="2" t="s">
        <v>356</v>
      </c>
      <c r="AP324" s="2" t="s">
        <v>356</v>
      </c>
      <c r="AQ324" s="2" t="s">
        <v>356</v>
      </c>
      <c r="AS324" s="2" t="s">
        <v>1847</v>
      </c>
      <c r="AU324" s="2" t="s">
        <v>817</v>
      </c>
    </row>
    <row r="325" spans="1:47">
      <c r="A325" s="2" t="s">
        <v>1939</v>
      </c>
      <c r="B325" s="2" t="s">
        <v>261</v>
      </c>
      <c r="C325" s="2" t="s">
        <v>1247</v>
      </c>
      <c r="D325" s="2" t="s">
        <v>1940</v>
      </c>
      <c r="E325" s="2" t="s">
        <v>889</v>
      </c>
      <c r="G325" s="2" t="s">
        <v>435</v>
      </c>
      <c r="H325" s="2" t="s">
        <v>435</v>
      </c>
      <c r="I325" s="2">
        <v>22</v>
      </c>
      <c r="M325" s="2" t="s">
        <v>1850</v>
      </c>
      <c r="O325" s="2" t="s">
        <v>356</v>
      </c>
      <c r="P325" s="2" t="s">
        <v>356</v>
      </c>
      <c r="R325" s="2" t="s">
        <v>1941</v>
      </c>
      <c r="S325" s="2" t="s">
        <v>817</v>
      </c>
      <c r="T325" s="2">
        <v>20</v>
      </c>
      <c r="U325" s="2" cm="1">
        <f t="array" ref="U325">IFERROR(INDEX('Offer Statistics'!$EK$2:$EK$350,MATCH(1,($A325='Offer Statistics'!$DV$2:$DV$350)*($A$11='Offer Statistics'!$DW$2:$DW$350),0)),"/")</f>
        <v>15</v>
      </c>
      <c r="V325" s="2" cm="1">
        <f t="array" ref="V325">IFERROR(INDEX('Offer Statistics'!$DX$2:$DX$350,MATCH(1,($A325='Offer Statistics'!$DV$2:$DV$350)*($A$11='Offer Statistics'!$DW$2:$DW$350),0)),"/")</f>
        <v>125</v>
      </c>
      <c r="W325" s="2" cm="1">
        <f t="array" ref="W325">IFERROR(INDEX('Offer Statistics'!$EF$2:$EF$350,MATCH(1,($A325='Offer Statistics'!$DV$2:$DV$350)*($A$11='Offer Statistics'!$DW$2:$DW$350),0)),"/")</f>
        <v>13</v>
      </c>
      <c r="X325" s="2">
        <f t="shared" si="829"/>
        <v>9.615384615384615</v>
      </c>
      <c r="Y325" s="2" t="s">
        <v>817</v>
      </c>
      <c r="Z325" s="2" t="str">
        <f>入學要求!AF334</f>
        <v>/</v>
      </c>
      <c r="AA325" s="2" t="str">
        <f>入學要求!AG334</f>
        <v>/</v>
      </c>
      <c r="AB325" s="402" t="s">
        <v>889</v>
      </c>
      <c r="AE325" s="2" t="s">
        <v>356</v>
      </c>
      <c r="AF325" s="2" t="s">
        <v>356</v>
      </c>
      <c r="AG325" s="405" t="s">
        <v>3220</v>
      </c>
      <c r="AH325" s="406" t="s">
        <v>356</v>
      </c>
      <c r="AI325" s="406" t="s">
        <v>356</v>
      </c>
      <c r="AJ325" s="2" t="s">
        <v>356</v>
      </c>
      <c r="AK325" s="2" t="s">
        <v>356</v>
      </c>
      <c r="AL325" s="2" t="s">
        <v>356</v>
      </c>
      <c r="AM325" s="2" t="s">
        <v>1570</v>
      </c>
      <c r="AN325" s="2" t="s">
        <v>356</v>
      </c>
      <c r="AO325" s="2" t="s">
        <v>356</v>
      </c>
      <c r="AP325" s="2" t="s">
        <v>356</v>
      </c>
      <c r="AQ325" s="2" t="s">
        <v>356</v>
      </c>
      <c r="AS325" s="2" t="s">
        <v>1847</v>
      </c>
      <c r="AU325" s="2" t="s">
        <v>817</v>
      </c>
    </row>
    <row r="326" spans="1:47">
      <c r="B326" s="359" t="s">
        <v>3249</v>
      </c>
      <c r="E326" s="11"/>
    </row>
    <row r="328" spans="1:47">
      <c r="A328" s="2" t="s">
        <v>1942</v>
      </c>
      <c r="B328" s="2" t="s">
        <v>265</v>
      </c>
      <c r="C328" s="2" t="s">
        <v>926</v>
      </c>
      <c r="D328" s="2" t="s">
        <v>1943</v>
      </c>
      <c r="E328" s="366" t="s">
        <v>889</v>
      </c>
      <c r="F328" s="2" t="s">
        <v>356</v>
      </c>
      <c r="G328" s="2" t="s">
        <v>356</v>
      </c>
      <c r="H328" s="204">
        <v>16</v>
      </c>
      <c r="I328" s="204">
        <v>15</v>
      </c>
      <c r="J328" s="204"/>
      <c r="K328" s="204"/>
      <c r="L328" s="204"/>
      <c r="O328" s="2" t="s">
        <v>356</v>
      </c>
      <c r="P328" s="2" t="s">
        <v>356</v>
      </c>
      <c r="Q328" s="176" t="s">
        <v>356</v>
      </c>
      <c r="R328" s="2" t="s">
        <v>1944</v>
      </c>
      <c r="S328" s="2" t="s">
        <v>817</v>
      </c>
      <c r="T328" s="2">
        <v>80</v>
      </c>
      <c r="U328" s="2" cm="1">
        <f t="array" ref="U328">IFERROR(INDEX('Offer Statistics'!$FC$2:$FC$350,MATCH(1,($A328='Offer Statistics'!$EN$2:$EN$350)*($A$11='Offer Statistics'!$EO$2:$EO$350),0)),"/")</f>
        <v>124</v>
      </c>
      <c r="V328" s="2" cm="1">
        <f t="array" ref="V328">IFERROR(INDEX('Offer Statistics'!$EP$2:$EP$350,MATCH(1,($A328='Offer Statistics'!$EN$2:$EN$350)*($A$11='Offer Statistics'!$EO$2:$EO$350),0)),"/")</f>
        <v>298</v>
      </c>
      <c r="W328" s="2" cm="1">
        <f t="array" ref="W328">IFERROR(INDEX('Offer Statistics'!$EX$2:$EX$350,MATCH(1,($A328='Offer Statistics'!$EN$2:$EN$350)*($A$11='Offer Statistics'!$EO$2:$EO$350),0)),"/")</f>
        <v>61</v>
      </c>
      <c r="X328" s="2">
        <f t="shared" si="776"/>
        <v>4.8852459016393439</v>
      </c>
      <c r="Y328" s="2" t="s">
        <v>817</v>
      </c>
      <c r="Z328" s="2" t="str">
        <f>入學要求!AF337</f>
        <v>/</v>
      </c>
      <c r="AA328" s="2" t="str">
        <f>入學要求!AG337</f>
        <v>/</v>
      </c>
      <c r="AB328" s="2" t="s">
        <v>889</v>
      </c>
      <c r="AE328" s="2" t="s">
        <v>356</v>
      </c>
      <c r="AF328" s="2" t="s">
        <v>356</v>
      </c>
      <c r="AG328" s="2" t="s">
        <v>356</v>
      </c>
      <c r="AH328" s="2" t="s">
        <v>356</v>
      </c>
      <c r="AI328" s="2" t="s">
        <v>356</v>
      </c>
      <c r="AJ328" s="2" t="s">
        <v>356</v>
      </c>
      <c r="AK328" s="2" t="s">
        <v>356</v>
      </c>
      <c r="AL328" s="2" t="s">
        <v>356</v>
      </c>
      <c r="AM328" s="2" t="s">
        <v>1946</v>
      </c>
      <c r="AN328" s="2" t="s">
        <v>1947</v>
      </c>
      <c r="AO328" s="2" t="s">
        <v>1948</v>
      </c>
      <c r="AP328" s="2" t="s">
        <v>1949</v>
      </c>
      <c r="AQ328" s="2" t="s">
        <v>356</v>
      </c>
      <c r="AS328" s="2" t="s">
        <v>820</v>
      </c>
      <c r="AU328" s="2" t="s">
        <v>817</v>
      </c>
    </row>
    <row r="329" spans="1:47">
      <c r="A329" s="2" t="s">
        <v>1950</v>
      </c>
      <c r="B329" s="2" t="s">
        <v>265</v>
      </c>
      <c r="C329" s="2" t="s">
        <v>926</v>
      </c>
      <c r="D329" s="2" t="s">
        <v>1951</v>
      </c>
      <c r="E329" s="366" t="s">
        <v>889</v>
      </c>
      <c r="F329" s="2" t="s">
        <v>356</v>
      </c>
      <c r="G329" s="2" t="s">
        <v>356</v>
      </c>
      <c r="H329" s="204">
        <v>17</v>
      </c>
      <c r="I329" s="204">
        <v>15</v>
      </c>
      <c r="J329" s="204"/>
      <c r="K329" s="204"/>
      <c r="L329" s="204"/>
      <c r="O329" s="2" t="s">
        <v>356</v>
      </c>
      <c r="P329" s="2" t="s">
        <v>356</v>
      </c>
      <c r="Q329" s="2" t="s">
        <v>356</v>
      </c>
      <c r="R329" s="2" t="s">
        <v>1952</v>
      </c>
      <c r="S329" s="2" t="s">
        <v>817</v>
      </c>
      <c r="T329" s="2">
        <v>120</v>
      </c>
      <c r="U329" s="2" cm="1">
        <f t="array" ref="U329">IFERROR(INDEX('Offer Statistics'!$FC$2:$FC$350,MATCH(1,($A329='Offer Statistics'!$EN$2:$EN$350)*($A$11='Offer Statistics'!$EO$2:$EO$350),0)),"/")</f>
        <v>235</v>
      </c>
      <c r="V329" s="2" cm="1">
        <f t="array" ref="V329">IFERROR(INDEX('Offer Statistics'!$EP$2:$EP$350,MATCH(1,($A329='Offer Statistics'!$EN$2:$EN$350)*($A$11='Offer Statistics'!$EO$2:$EO$350),0)),"/")</f>
        <v>546</v>
      </c>
      <c r="W329" s="2" cm="1">
        <f t="array" ref="W329">IFERROR(INDEX('Offer Statistics'!$EX$2:$EX$350,MATCH(1,($A329='Offer Statistics'!$EN$2:$EN$350)*($A$11='Offer Statistics'!$EO$2:$EO$350),0)),"/")</f>
        <v>131</v>
      </c>
      <c r="X329" s="2">
        <f t="shared" ref="X329:X353" si="830">IFERROR(V329/W329,"新科目")</f>
        <v>4.1679389312977095</v>
      </c>
      <c r="Y329" s="2" t="s">
        <v>817</v>
      </c>
      <c r="Z329" s="2" t="str">
        <f>入學要求!AF338</f>
        <v>/</v>
      </c>
      <c r="AA329" s="2" t="str">
        <f>入學要求!AG338</f>
        <v>/</v>
      </c>
      <c r="AB329" s="2" t="s">
        <v>889</v>
      </c>
      <c r="AE329" s="2" t="s">
        <v>356</v>
      </c>
      <c r="AF329" s="2" t="s">
        <v>356</v>
      </c>
      <c r="AG329" s="2" t="s">
        <v>356</v>
      </c>
      <c r="AH329" s="2" t="s">
        <v>356</v>
      </c>
      <c r="AI329" s="2" t="s">
        <v>356</v>
      </c>
      <c r="AJ329" s="2" t="s">
        <v>356</v>
      </c>
      <c r="AK329" s="2" t="s">
        <v>356</v>
      </c>
      <c r="AL329" s="2" t="s">
        <v>356</v>
      </c>
      <c r="AM329" s="2" t="s">
        <v>1946</v>
      </c>
      <c r="AN329" s="2" t="s">
        <v>1953</v>
      </c>
      <c r="AO329" s="2" t="s">
        <v>1954</v>
      </c>
      <c r="AP329" s="2" t="s">
        <v>356</v>
      </c>
      <c r="AQ329" s="2" t="s">
        <v>356</v>
      </c>
      <c r="AS329" s="2" t="s">
        <v>820</v>
      </c>
      <c r="AU329" s="2" t="s">
        <v>817</v>
      </c>
    </row>
    <row r="330" spans="1:47">
      <c r="A330" s="2" t="s">
        <v>1955</v>
      </c>
      <c r="B330" s="2" t="s">
        <v>265</v>
      </c>
      <c r="C330" s="2" t="s">
        <v>926</v>
      </c>
      <c r="D330" s="2" t="s">
        <v>1956</v>
      </c>
      <c r="E330" s="366" t="s">
        <v>889</v>
      </c>
      <c r="F330" s="2" t="s">
        <v>356</v>
      </c>
      <c r="G330" s="2" t="s">
        <v>435</v>
      </c>
      <c r="H330" s="2">
        <v>22</v>
      </c>
      <c r="I330" s="2">
        <v>20</v>
      </c>
      <c r="M330" s="2" t="s">
        <v>356</v>
      </c>
      <c r="N330" s="2" t="s">
        <v>356</v>
      </c>
      <c r="O330" s="2" t="s">
        <v>1382</v>
      </c>
      <c r="P330" s="2" t="s">
        <v>356</v>
      </c>
      <c r="Q330" s="2" t="s">
        <v>356</v>
      </c>
      <c r="R330" s="2" t="s">
        <v>1958</v>
      </c>
      <c r="S330" s="2" t="s">
        <v>817</v>
      </c>
      <c r="T330" s="2">
        <v>30</v>
      </c>
      <c r="U330" s="2" cm="1">
        <f t="array" ref="U330">IFERROR(INDEX('Offer Statistics'!$FC$2:$FC$350,MATCH(1,($A330='Offer Statistics'!$EN$2:$EN$350)*($A$11='Offer Statistics'!$EO$2:$EO$350),0)),"/")</f>
        <v>103</v>
      </c>
      <c r="V330" s="2" cm="1">
        <f t="array" ref="V330">IFERROR(INDEX('Offer Statistics'!$EP$2:$EP$350,MATCH(1,($A330='Offer Statistics'!$EN$2:$EN$350)*($A$11='Offer Statistics'!$EO$2:$EO$350),0)),"/")</f>
        <v>167</v>
      </c>
      <c r="W330" s="2" cm="1">
        <f t="array" ref="W330">IFERROR(INDEX('Offer Statistics'!$EX$2:$EX$350,MATCH(1,($A330='Offer Statistics'!$EN$2:$EN$350)*($A$11='Offer Statistics'!$EO$2:$EO$350),0)),"/")</f>
        <v>45</v>
      </c>
      <c r="X330" s="2">
        <f t="shared" si="830"/>
        <v>3.7111111111111112</v>
      </c>
      <c r="Y330" s="2" t="s">
        <v>817</v>
      </c>
      <c r="Z330" s="2" t="str">
        <f>入學要求!AF339</f>
        <v>/</v>
      </c>
      <c r="AA330" s="2" t="str">
        <f>入學要求!AG339</f>
        <v>/</v>
      </c>
      <c r="AB330" s="2" t="s">
        <v>889</v>
      </c>
      <c r="AE330" s="2" t="s">
        <v>356</v>
      </c>
      <c r="AF330" s="2" t="s">
        <v>356</v>
      </c>
      <c r="AG330" s="2" t="s">
        <v>1957</v>
      </c>
      <c r="AH330" s="2" t="s">
        <v>356</v>
      </c>
      <c r="AI330" s="2" t="s">
        <v>356</v>
      </c>
      <c r="AJ330" s="2" t="s">
        <v>356</v>
      </c>
      <c r="AK330" s="2" t="s">
        <v>356</v>
      </c>
      <c r="AL330" s="2" t="s">
        <v>356</v>
      </c>
      <c r="AM330" s="2" t="s">
        <v>356</v>
      </c>
      <c r="AN330" s="2" t="s">
        <v>356</v>
      </c>
      <c r="AO330" s="2" t="s">
        <v>356</v>
      </c>
      <c r="AP330" s="2" t="s">
        <v>356</v>
      </c>
      <c r="AQ330" s="2" t="s">
        <v>356</v>
      </c>
      <c r="AS330" s="2" t="s">
        <v>820</v>
      </c>
      <c r="AU330" s="2" t="s">
        <v>817</v>
      </c>
    </row>
    <row r="331" spans="1:47">
      <c r="A331" s="2" t="s">
        <v>1959</v>
      </c>
      <c r="B331" s="2" t="s">
        <v>265</v>
      </c>
      <c r="C331" s="2" t="s">
        <v>926</v>
      </c>
      <c r="D331" s="2" t="s">
        <v>1960</v>
      </c>
      <c r="E331" s="366" t="s">
        <v>889</v>
      </c>
      <c r="F331" s="2" t="s">
        <v>356</v>
      </c>
      <c r="G331" s="2" t="s">
        <v>435</v>
      </c>
      <c r="H331" s="2">
        <v>20</v>
      </c>
      <c r="I331" s="2">
        <v>19</v>
      </c>
      <c r="M331" s="2" t="s">
        <v>356</v>
      </c>
      <c r="N331" s="2" t="s">
        <v>356</v>
      </c>
      <c r="O331" s="2" t="s">
        <v>3227</v>
      </c>
      <c r="P331" s="2" t="s">
        <v>356</v>
      </c>
      <c r="Q331" s="2" t="s">
        <v>356</v>
      </c>
      <c r="R331" s="2" t="s">
        <v>1961</v>
      </c>
      <c r="S331" s="2" t="s">
        <v>817</v>
      </c>
      <c r="T331" s="2">
        <v>45</v>
      </c>
      <c r="U331" s="2" cm="1">
        <f t="array" ref="U331">IFERROR(INDEX('Offer Statistics'!$FC$2:$FC$350,MATCH(1,($A331='Offer Statistics'!$EN$2:$EN$350)*($A$11='Offer Statistics'!$EO$2:$EO$350),0)),"/")</f>
        <v>92</v>
      </c>
      <c r="V331" s="2" cm="1">
        <f t="array" ref="V331">IFERROR(INDEX('Offer Statistics'!$EP$2:$EP$350,MATCH(1,($A331='Offer Statistics'!$EN$2:$EN$350)*($A$11='Offer Statistics'!$EO$2:$EO$350),0)),"/")</f>
        <v>117</v>
      </c>
      <c r="W331" s="2" cm="1">
        <f t="array" ref="W331">IFERROR(INDEX('Offer Statistics'!$EX$2:$EX$350,MATCH(1,($A331='Offer Statistics'!$EN$2:$EN$350)*($A$11='Offer Statistics'!$EO$2:$EO$350),0)),"/")</f>
        <v>41</v>
      </c>
      <c r="X331" s="2">
        <f t="shared" si="830"/>
        <v>2.8536585365853657</v>
      </c>
      <c r="Y331" s="2" t="s">
        <v>817</v>
      </c>
      <c r="Z331" s="2" t="str">
        <f>入學要求!AF340</f>
        <v>/</v>
      </c>
      <c r="AA331" s="2" t="str">
        <f>入學要求!AG340</f>
        <v>/</v>
      </c>
      <c r="AB331" s="2" t="s">
        <v>889</v>
      </c>
      <c r="AE331" s="2" t="s">
        <v>356</v>
      </c>
      <c r="AF331" s="2" t="s">
        <v>356</v>
      </c>
      <c r="AG331" s="2" t="s">
        <v>1780</v>
      </c>
      <c r="AH331" s="2" t="s">
        <v>356</v>
      </c>
      <c r="AI331" s="2" t="s">
        <v>356</v>
      </c>
      <c r="AJ331" s="2" t="s">
        <v>356</v>
      </c>
      <c r="AK331" s="2" t="s">
        <v>356</v>
      </c>
      <c r="AL331" s="2" t="s">
        <v>356</v>
      </c>
      <c r="AM331" s="2" t="s">
        <v>356</v>
      </c>
      <c r="AN331" s="2" t="s">
        <v>356</v>
      </c>
      <c r="AO331" s="2" t="s">
        <v>356</v>
      </c>
      <c r="AP331" s="2" t="s">
        <v>356</v>
      </c>
      <c r="AQ331" s="2" t="s">
        <v>356</v>
      </c>
      <c r="AS331" s="2" t="s">
        <v>820</v>
      </c>
      <c r="AU331" s="2" t="s">
        <v>817</v>
      </c>
    </row>
    <row r="332" spans="1:47">
      <c r="A332" s="2" t="s">
        <v>1962</v>
      </c>
      <c r="B332" s="2" t="s">
        <v>265</v>
      </c>
      <c r="C332" s="2" t="s">
        <v>926</v>
      </c>
      <c r="D332" s="2" t="s">
        <v>1963</v>
      </c>
      <c r="E332" s="366" t="s">
        <v>889</v>
      </c>
      <c r="F332" s="2" t="s">
        <v>356</v>
      </c>
      <c r="G332" s="2" t="s">
        <v>435</v>
      </c>
      <c r="H332" s="2">
        <v>21</v>
      </c>
      <c r="I332" s="2">
        <v>19</v>
      </c>
      <c r="M332" s="2" t="s">
        <v>356</v>
      </c>
      <c r="N332" s="2" t="s">
        <v>356</v>
      </c>
      <c r="O332" s="2" t="s">
        <v>3227</v>
      </c>
      <c r="P332" s="2" t="s">
        <v>356</v>
      </c>
      <c r="Q332" s="2" t="s">
        <v>356</v>
      </c>
      <c r="R332" s="2" t="s">
        <v>1964</v>
      </c>
      <c r="S332" s="2" t="s">
        <v>817</v>
      </c>
      <c r="T332" s="2">
        <v>70</v>
      </c>
      <c r="U332" s="2" cm="1">
        <f t="array" ref="U332">IFERROR(INDEX('Offer Statistics'!$FC$2:$FC$350,MATCH(1,($A332='Offer Statistics'!$EN$2:$EN$350)*($A$11='Offer Statistics'!$EO$2:$EO$350),0)),"/")</f>
        <v>222</v>
      </c>
      <c r="V332" s="2" cm="1">
        <f t="array" ref="V332">IFERROR(INDEX('Offer Statistics'!$EP$2:$EP$350,MATCH(1,($A332='Offer Statistics'!$EN$2:$EN$350)*($A$11='Offer Statistics'!$EO$2:$EO$350),0)),"/")</f>
        <v>472</v>
      </c>
      <c r="W332" s="2" cm="1">
        <f t="array" ref="W332">IFERROR(INDEX('Offer Statistics'!$EX$2:$EX$350,MATCH(1,($A332='Offer Statistics'!$EN$2:$EN$350)*($A$11='Offer Statistics'!$EO$2:$EO$350),0)),"/")</f>
        <v>105</v>
      </c>
      <c r="X332" s="2">
        <f t="shared" si="830"/>
        <v>4.4952380952380953</v>
      </c>
      <c r="Y332" s="2" t="s">
        <v>817</v>
      </c>
      <c r="Z332" s="2" t="str">
        <f>入學要求!AF341</f>
        <v>/</v>
      </c>
      <c r="AA332" s="2" t="str">
        <f>入學要求!AG341</f>
        <v>/</v>
      </c>
      <c r="AB332" s="2" t="s">
        <v>889</v>
      </c>
      <c r="AE332" s="2" t="s">
        <v>356</v>
      </c>
      <c r="AF332" s="2" t="s">
        <v>356</v>
      </c>
      <c r="AG332" s="2" t="s">
        <v>1780</v>
      </c>
      <c r="AH332" s="2" t="s">
        <v>356</v>
      </c>
      <c r="AI332" s="2" t="s">
        <v>356</v>
      </c>
      <c r="AJ332" s="2" t="s">
        <v>356</v>
      </c>
      <c r="AK332" s="2" t="s">
        <v>356</v>
      </c>
      <c r="AL332" s="2" t="s">
        <v>356</v>
      </c>
      <c r="AM332" s="2" t="s">
        <v>356</v>
      </c>
      <c r="AN332" s="2" t="s">
        <v>356</v>
      </c>
      <c r="AO332" s="2" t="s">
        <v>356</v>
      </c>
      <c r="AP332" s="2" t="s">
        <v>356</v>
      </c>
      <c r="AQ332" s="2" t="s">
        <v>356</v>
      </c>
      <c r="AS332" s="2" t="s">
        <v>820</v>
      </c>
      <c r="AU332" s="2" t="s">
        <v>817</v>
      </c>
    </row>
    <row r="333" spans="1:47">
      <c r="A333" s="2" t="s">
        <v>1965</v>
      </c>
      <c r="B333" s="2" t="s">
        <v>265</v>
      </c>
      <c r="C333" s="2" t="s">
        <v>926</v>
      </c>
      <c r="D333" s="2" t="s">
        <v>1966</v>
      </c>
      <c r="E333" s="366" t="s">
        <v>889</v>
      </c>
      <c r="F333" s="2" t="s">
        <v>356</v>
      </c>
      <c r="G333" s="2" t="s">
        <v>435</v>
      </c>
      <c r="H333" s="2">
        <v>15</v>
      </c>
      <c r="I333" s="2">
        <v>14</v>
      </c>
      <c r="M333" s="2" t="s">
        <v>356</v>
      </c>
      <c r="N333" s="2" t="s">
        <v>356</v>
      </c>
      <c r="O333" s="2" t="s">
        <v>356</v>
      </c>
      <c r="P333" s="2" t="s">
        <v>356</v>
      </c>
      <c r="Q333" s="2" t="s">
        <v>356</v>
      </c>
      <c r="R333" s="2" t="s">
        <v>1967</v>
      </c>
      <c r="S333" s="2" t="s">
        <v>817</v>
      </c>
      <c r="T333" s="2">
        <v>20</v>
      </c>
      <c r="U333" s="2" cm="1">
        <f t="array" ref="U333">IFERROR(INDEX('Offer Statistics'!$FC$2:$FC$350,MATCH(1,($A333='Offer Statistics'!$EN$2:$EN$350)*($A$11='Offer Statistics'!$EO$2:$EO$350),0)),"/")</f>
        <v>53</v>
      </c>
      <c r="V333" s="2" cm="1">
        <f t="array" ref="V333">IFERROR(INDEX('Offer Statistics'!$EP$2:$EP$350,MATCH(1,($A333='Offer Statistics'!$EN$2:$EN$350)*($A$11='Offer Statistics'!$EO$2:$EO$350),0)),"/")</f>
        <v>208</v>
      </c>
      <c r="W333" s="2" cm="1">
        <f t="array" ref="W333">IFERROR(INDEX('Offer Statistics'!$EX$2:$EX$350,MATCH(1,($A333='Offer Statistics'!$EN$2:$EN$350)*($A$11='Offer Statistics'!$EO$2:$EO$350),0)),"/")</f>
        <v>27</v>
      </c>
      <c r="X333" s="2">
        <f t="shared" si="830"/>
        <v>7.7037037037037033</v>
      </c>
      <c r="Y333" s="2" t="s">
        <v>817</v>
      </c>
      <c r="Z333" s="2" t="str">
        <f>入學要求!AF342</f>
        <v>/</v>
      </c>
      <c r="AA333" s="2" t="str">
        <f>入學要求!AG342</f>
        <v>/</v>
      </c>
      <c r="AB333" s="2" t="s">
        <v>889</v>
      </c>
      <c r="AE333" s="2" t="s">
        <v>356</v>
      </c>
      <c r="AF333" s="2" t="s">
        <v>356</v>
      </c>
      <c r="AG333" s="2" t="s">
        <v>356</v>
      </c>
      <c r="AH333" s="2" t="s">
        <v>356</v>
      </c>
      <c r="AI333" s="2" t="s">
        <v>356</v>
      </c>
      <c r="AJ333" s="2" t="s">
        <v>356</v>
      </c>
      <c r="AK333" s="2" t="s">
        <v>356</v>
      </c>
      <c r="AL333" s="2" t="s">
        <v>356</v>
      </c>
      <c r="AM333" s="2" t="s">
        <v>356</v>
      </c>
      <c r="AN333" s="2" t="s">
        <v>356</v>
      </c>
      <c r="AO333" s="2" t="s">
        <v>356</v>
      </c>
      <c r="AP333" s="2" t="s">
        <v>356</v>
      </c>
      <c r="AQ333" s="2" t="s">
        <v>356</v>
      </c>
      <c r="AS333" s="2" t="s">
        <v>820</v>
      </c>
      <c r="AU333" s="2" t="s">
        <v>817</v>
      </c>
    </row>
    <row r="334" spans="1:47">
      <c r="A334" s="2" t="s">
        <v>1968</v>
      </c>
      <c r="B334" s="2" t="s">
        <v>265</v>
      </c>
      <c r="C334" s="2" t="s">
        <v>1969</v>
      </c>
      <c r="D334" s="2" t="s">
        <v>1970</v>
      </c>
      <c r="E334" s="366" t="s">
        <v>889</v>
      </c>
      <c r="F334" s="2" t="s">
        <v>356</v>
      </c>
      <c r="G334" s="2" t="s">
        <v>435</v>
      </c>
      <c r="H334" s="2">
        <v>17</v>
      </c>
      <c r="I334" s="2">
        <v>17</v>
      </c>
      <c r="M334" s="2" t="s">
        <v>356</v>
      </c>
      <c r="N334" s="2" t="s">
        <v>356</v>
      </c>
      <c r="O334" s="2" t="s">
        <v>356</v>
      </c>
      <c r="P334" s="2" t="s">
        <v>356</v>
      </c>
      <c r="Q334" s="2" t="s">
        <v>356</v>
      </c>
      <c r="R334" s="2" t="s">
        <v>1971</v>
      </c>
      <c r="S334" s="2" t="s">
        <v>817</v>
      </c>
      <c r="T334" s="2">
        <v>40</v>
      </c>
      <c r="U334" s="2" cm="1">
        <f t="array" ref="U334">IFERROR(INDEX('Offer Statistics'!$FC$2:$FC$350,MATCH(1,($A334='Offer Statistics'!$EN$2:$EN$350)*($A$11='Offer Statistics'!$EO$2:$EO$350),0)),"/")</f>
        <v>96</v>
      </c>
      <c r="V334" s="2" cm="1">
        <f t="array" ref="V334">IFERROR(INDEX('Offer Statistics'!$EP$2:$EP$350,MATCH(1,($A334='Offer Statistics'!$EN$2:$EN$350)*($A$11='Offer Statistics'!$EO$2:$EO$350),0)),"/")</f>
        <v>283</v>
      </c>
      <c r="W334" s="2" cm="1">
        <f t="array" ref="W334">IFERROR(INDEX('Offer Statistics'!$EX$2:$EX$350,MATCH(1,($A334='Offer Statistics'!$EN$2:$EN$350)*($A$11='Offer Statistics'!$EO$2:$EO$350),0)),"/")</f>
        <v>55</v>
      </c>
      <c r="X334" s="2">
        <f t="shared" si="830"/>
        <v>5.1454545454545455</v>
      </c>
      <c r="Y334" s="2" t="s">
        <v>817</v>
      </c>
      <c r="Z334" s="2" t="str">
        <f>入學要求!AF343</f>
        <v>/</v>
      </c>
      <c r="AA334" s="2" t="str">
        <f>入學要求!AG343</f>
        <v>/</v>
      </c>
      <c r="AB334" s="2" t="s">
        <v>889</v>
      </c>
      <c r="AE334" s="2" t="s">
        <v>356</v>
      </c>
      <c r="AF334" s="2" t="s">
        <v>356</v>
      </c>
      <c r="AG334" s="2" t="s">
        <v>356</v>
      </c>
      <c r="AH334" s="2" t="s">
        <v>356</v>
      </c>
      <c r="AI334" s="2" t="s">
        <v>356</v>
      </c>
      <c r="AJ334" s="2" t="s">
        <v>356</v>
      </c>
      <c r="AK334" s="2" t="s">
        <v>356</v>
      </c>
      <c r="AL334" s="2" t="s">
        <v>356</v>
      </c>
      <c r="AM334" s="2" t="s">
        <v>356</v>
      </c>
      <c r="AN334" s="2" t="s">
        <v>356</v>
      </c>
      <c r="AO334" s="2" t="s">
        <v>356</v>
      </c>
      <c r="AP334" s="2" t="s">
        <v>356</v>
      </c>
      <c r="AQ334" s="2" t="s">
        <v>356</v>
      </c>
      <c r="AS334" s="2" t="s">
        <v>820</v>
      </c>
      <c r="AU334" s="2" t="s">
        <v>817</v>
      </c>
    </row>
    <row r="335" spans="1:47">
      <c r="A335" s="2" t="s">
        <v>1972</v>
      </c>
      <c r="B335" s="2" t="s">
        <v>265</v>
      </c>
      <c r="C335" s="2" t="s">
        <v>1969</v>
      </c>
      <c r="D335" s="2" t="s">
        <v>1973</v>
      </c>
      <c r="E335" s="366" t="s">
        <v>889</v>
      </c>
      <c r="F335" s="2" t="s">
        <v>356</v>
      </c>
      <c r="G335" s="2" t="s">
        <v>356</v>
      </c>
      <c r="H335" s="2">
        <v>16</v>
      </c>
      <c r="I335" s="2">
        <v>16</v>
      </c>
      <c r="M335" s="2" t="s">
        <v>356</v>
      </c>
      <c r="N335" s="2" t="s">
        <v>356</v>
      </c>
      <c r="O335" s="2" t="s">
        <v>356</v>
      </c>
      <c r="P335" s="2" t="s">
        <v>356</v>
      </c>
      <c r="Q335" s="2" t="s">
        <v>356</v>
      </c>
      <c r="R335" s="2" t="s">
        <v>1974</v>
      </c>
      <c r="S335" s="2" t="s">
        <v>817</v>
      </c>
      <c r="T335" s="2">
        <v>20</v>
      </c>
      <c r="U335" s="2" cm="1">
        <f t="array" ref="U335">IFERROR(INDEX('Offer Statistics'!$FC$2:$FC$350,MATCH(1,($A335='Offer Statistics'!$EN$2:$EN$350)*($A$11='Offer Statistics'!$EO$2:$EO$350),0)),"/")</f>
        <v>34</v>
      </c>
      <c r="V335" s="2" cm="1">
        <f t="array" ref="V335">IFERROR(INDEX('Offer Statistics'!$EP$2:$EP$350,MATCH(1,($A335='Offer Statistics'!$EN$2:$EN$350)*($A$11='Offer Statistics'!$EO$2:$EO$350),0)),"/")</f>
        <v>165</v>
      </c>
      <c r="W335" s="2" cm="1">
        <f t="array" ref="W335">IFERROR(INDEX('Offer Statistics'!$EX$2:$EX$350,MATCH(1,($A335='Offer Statistics'!$EN$2:$EN$350)*($A$11='Offer Statistics'!$EO$2:$EO$350),0)),"/")</f>
        <v>20</v>
      </c>
      <c r="X335" s="2">
        <f t="shared" si="830"/>
        <v>8.25</v>
      </c>
      <c r="Y335" s="2" t="s">
        <v>817</v>
      </c>
      <c r="Z335" s="2" t="str">
        <f>入學要求!AF344</f>
        <v>/</v>
      </c>
      <c r="AA335" s="2" t="str">
        <f>入學要求!AG344</f>
        <v>/</v>
      </c>
      <c r="AB335" s="2" t="s">
        <v>889</v>
      </c>
      <c r="AE335" s="2" t="s">
        <v>356</v>
      </c>
      <c r="AF335" s="2" t="s">
        <v>356</v>
      </c>
      <c r="AG335" s="2" t="s">
        <v>356</v>
      </c>
      <c r="AH335" s="2" t="s">
        <v>356</v>
      </c>
      <c r="AI335" s="2" t="s">
        <v>356</v>
      </c>
      <c r="AJ335" s="2" t="s">
        <v>356</v>
      </c>
      <c r="AK335" s="2" t="s">
        <v>356</v>
      </c>
      <c r="AL335" s="2" t="s">
        <v>356</v>
      </c>
      <c r="AM335" s="2" t="s">
        <v>356</v>
      </c>
      <c r="AN335" s="2" t="s">
        <v>356</v>
      </c>
      <c r="AO335" s="2" t="s">
        <v>356</v>
      </c>
      <c r="AP335" s="2" t="s">
        <v>356</v>
      </c>
      <c r="AQ335" s="2" t="s">
        <v>356</v>
      </c>
      <c r="AS335" s="2" t="s">
        <v>820</v>
      </c>
      <c r="AU335" s="2" t="s">
        <v>817</v>
      </c>
    </row>
    <row r="336" spans="1:47">
      <c r="A336" s="2" t="s">
        <v>1975</v>
      </c>
      <c r="B336" s="2" t="s">
        <v>265</v>
      </c>
      <c r="C336" s="2" t="s">
        <v>1969</v>
      </c>
      <c r="D336" s="2" t="s">
        <v>1976</v>
      </c>
      <c r="E336" s="366" t="s">
        <v>889</v>
      </c>
      <c r="F336" s="2" t="s">
        <v>356</v>
      </c>
      <c r="G336" s="2" t="s">
        <v>435</v>
      </c>
      <c r="H336" s="2">
        <v>16</v>
      </c>
      <c r="I336" s="2">
        <v>15</v>
      </c>
      <c r="M336" s="2" t="s">
        <v>356</v>
      </c>
      <c r="N336" s="2" t="s">
        <v>356</v>
      </c>
      <c r="O336" s="2" t="s">
        <v>356</v>
      </c>
      <c r="P336" s="2" t="s">
        <v>356</v>
      </c>
      <c r="Q336" s="2" t="s">
        <v>356</v>
      </c>
      <c r="R336" s="2" t="s">
        <v>1977</v>
      </c>
      <c r="S336" s="2" t="s">
        <v>817</v>
      </c>
      <c r="T336" s="2">
        <v>40</v>
      </c>
      <c r="U336" s="2" cm="1">
        <f t="array" ref="U336">IFERROR(INDEX('Offer Statistics'!$FC$2:$FC$350,MATCH(1,($A336='Offer Statistics'!$EN$2:$EN$350)*($A$11='Offer Statistics'!$EO$2:$EO$350),0)),"/")</f>
        <v>111</v>
      </c>
      <c r="V336" s="2" cm="1">
        <f t="array" ref="V336">IFERROR(INDEX('Offer Statistics'!$EP$2:$EP$350,MATCH(1,($A336='Offer Statistics'!$EN$2:$EN$350)*($A$11='Offer Statistics'!$EO$2:$EO$350),0)),"/")</f>
        <v>446</v>
      </c>
      <c r="W336" s="2" cm="1">
        <f t="array" ref="W336">IFERROR(INDEX('Offer Statistics'!$EX$2:$EX$350,MATCH(1,($A336='Offer Statistics'!$EN$2:$EN$350)*($A$11='Offer Statistics'!$EO$2:$EO$350),0)),"/")</f>
        <v>62</v>
      </c>
      <c r="X336" s="2">
        <f t="shared" si="830"/>
        <v>7.193548387096774</v>
      </c>
      <c r="Y336" s="2" t="s">
        <v>817</v>
      </c>
      <c r="Z336" s="2" t="str">
        <f>入學要求!AF345</f>
        <v>/</v>
      </c>
      <c r="AA336" s="2" t="str">
        <f>入學要求!AG345</f>
        <v>/</v>
      </c>
      <c r="AB336" s="2" t="s">
        <v>889</v>
      </c>
      <c r="AE336" s="2" t="s">
        <v>356</v>
      </c>
      <c r="AF336" s="2" t="s">
        <v>356</v>
      </c>
      <c r="AG336" s="2" t="s">
        <v>356</v>
      </c>
      <c r="AH336" s="2" t="s">
        <v>356</v>
      </c>
      <c r="AI336" s="2" t="s">
        <v>356</v>
      </c>
      <c r="AJ336" s="2" t="s">
        <v>356</v>
      </c>
      <c r="AK336" s="2" t="s">
        <v>356</v>
      </c>
      <c r="AL336" s="2" t="s">
        <v>356</v>
      </c>
      <c r="AM336" s="2" t="s">
        <v>356</v>
      </c>
      <c r="AN336" s="2" t="s">
        <v>356</v>
      </c>
      <c r="AO336" s="2" t="s">
        <v>356</v>
      </c>
      <c r="AP336" s="2" t="s">
        <v>356</v>
      </c>
      <c r="AQ336" s="2" t="s">
        <v>356</v>
      </c>
      <c r="AS336" s="2" t="s">
        <v>820</v>
      </c>
      <c r="AU336" s="2" t="s">
        <v>817</v>
      </c>
    </row>
    <row r="337" spans="1:47">
      <c r="A337" s="2" t="s">
        <v>1978</v>
      </c>
      <c r="B337" s="2" t="s">
        <v>265</v>
      </c>
      <c r="C337" s="2" t="s">
        <v>1969</v>
      </c>
      <c r="D337" s="2" t="s">
        <v>1979</v>
      </c>
      <c r="E337" s="366" t="s">
        <v>889</v>
      </c>
      <c r="F337" s="2" t="s">
        <v>356</v>
      </c>
      <c r="G337" s="2" t="s">
        <v>356</v>
      </c>
      <c r="H337" s="2">
        <v>17</v>
      </c>
      <c r="I337" s="2">
        <v>17</v>
      </c>
      <c r="M337" s="2" t="s">
        <v>356</v>
      </c>
      <c r="N337" s="2" t="s">
        <v>356</v>
      </c>
      <c r="O337" s="2" t="s">
        <v>356</v>
      </c>
      <c r="P337" s="2" t="s">
        <v>356</v>
      </c>
      <c r="Q337" s="2" t="s">
        <v>356</v>
      </c>
      <c r="R337" s="2" t="s">
        <v>1980</v>
      </c>
      <c r="S337" s="2" t="s">
        <v>817</v>
      </c>
      <c r="T337" s="2">
        <v>10</v>
      </c>
      <c r="U337" s="2" cm="1">
        <f t="array" ref="U337">IFERROR(INDEX('Offer Statistics'!$FC$2:$FC$350,MATCH(1,($A337='Offer Statistics'!$EN$2:$EN$350)*($A$11='Offer Statistics'!$EO$2:$EO$350),0)),"/")</f>
        <v>92</v>
      </c>
      <c r="V337" s="2" cm="1">
        <f t="array" ref="V337">IFERROR(INDEX('Offer Statistics'!$EP$2:$EP$350,MATCH(1,($A337='Offer Statistics'!$EN$2:$EN$350)*($A$11='Offer Statistics'!$EO$2:$EO$350),0)),"/")</f>
        <v>178</v>
      </c>
      <c r="W337" s="2" cm="1">
        <f t="array" ref="W337">IFERROR(INDEX('Offer Statistics'!$EX$2:$EX$350,MATCH(1,($A337='Offer Statistics'!$EN$2:$EN$350)*($A$11='Offer Statistics'!$EO$2:$EO$350),0)),"/")</f>
        <v>42</v>
      </c>
      <c r="X337" s="2">
        <f t="shared" si="830"/>
        <v>4.2380952380952381</v>
      </c>
      <c r="Y337" s="2" t="s">
        <v>817</v>
      </c>
      <c r="Z337" s="2" t="str">
        <f>入學要求!AF346</f>
        <v>/</v>
      </c>
      <c r="AA337" s="2" t="str">
        <f>入學要求!AG346</f>
        <v>/</v>
      </c>
      <c r="AB337" s="2" t="s">
        <v>889</v>
      </c>
      <c r="AE337" s="2" t="s">
        <v>356</v>
      </c>
      <c r="AF337" s="2" t="s">
        <v>356</v>
      </c>
      <c r="AG337" s="2" t="s">
        <v>356</v>
      </c>
      <c r="AH337" s="2" t="s">
        <v>356</v>
      </c>
      <c r="AI337" s="2" t="s">
        <v>356</v>
      </c>
      <c r="AJ337" s="2" t="s">
        <v>356</v>
      </c>
      <c r="AK337" s="2" t="s">
        <v>356</v>
      </c>
      <c r="AL337" s="2" t="s">
        <v>356</v>
      </c>
      <c r="AM337" s="2" t="s">
        <v>356</v>
      </c>
      <c r="AN337" s="2" t="s">
        <v>356</v>
      </c>
      <c r="AO337" s="2" t="s">
        <v>356</v>
      </c>
      <c r="AP337" s="2" t="s">
        <v>356</v>
      </c>
      <c r="AQ337" s="2" t="s">
        <v>356</v>
      </c>
      <c r="AS337" s="2" t="s">
        <v>820</v>
      </c>
      <c r="AU337" s="2" t="s">
        <v>817</v>
      </c>
    </row>
    <row r="338" spans="1:47">
      <c r="A338" s="2" t="s">
        <v>1984</v>
      </c>
      <c r="B338" s="2" t="s">
        <v>265</v>
      </c>
      <c r="C338" s="2" t="s">
        <v>1969</v>
      </c>
      <c r="D338" s="2" t="s">
        <v>1985</v>
      </c>
      <c r="E338" s="366" t="s">
        <v>889</v>
      </c>
      <c r="F338" s="2" t="s">
        <v>356</v>
      </c>
      <c r="G338" s="2" t="s">
        <v>435</v>
      </c>
      <c r="H338" s="2">
        <v>16</v>
      </c>
      <c r="I338" s="2">
        <v>15</v>
      </c>
      <c r="M338" s="2" t="s">
        <v>356</v>
      </c>
      <c r="N338" s="2" t="s">
        <v>356</v>
      </c>
      <c r="O338" s="2" t="s">
        <v>356</v>
      </c>
      <c r="P338" s="2" t="s">
        <v>356</v>
      </c>
      <c r="Q338" s="2" t="s">
        <v>356</v>
      </c>
      <c r="R338" s="2" t="s">
        <v>1986</v>
      </c>
      <c r="S338" s="2" t="s">
        <v>817</v>
      </c>
      <c r="T338" s="2">
        <v>20</v>
      </c>
      <c r="U338" s="2" cm="1">
        <f t="array" ref="U338">IFERROR(INDEX('Offer Statistics'!$FC$2:$FC$350,MATCH(1,($A338='Offer Statistics'!$EN$2:$EN$350)*($A$11='Offer Statistics'!$EO$2:$EO$350),0)),"/")</f>
        <v>29</v>
      </c>
      <c r="V338" s="2" cm="1">
        <f t="array" ref="V338">IFERROR(INDEX('Offer Statistics'!$EP$2:$EP$350,MATCH(1,($A338='Offer Statistics'!$EN$2:$EN$350)*($A$11='Offer Statistics'!$EO$2:$EO$350),0)),"/")</f>
        <v>118</v>
      </c>
      <c r="W338" s="2" cm="1">
        <f t="array" ref="W338">IFERROR(INDEX('Offer Statistics'!$EX$2:$EX$350,MATCH(1,($A338='Offer Statistics'!$EN$2:$EN$350)*($A$11='Offer Statistics'!$EO$2:$EO$350),0)),"/")</f>
        <v>10</v>
      </c>
      <c r="X338" s="2">
        <f t="shared" si="830"/>
        <v>11.8</v>
      </c>
      <c r="Y338" s="2" t="s">
        <v>817</v>
      </c>
      <c r="Z338" s="2" t="str">
        <f>入學要求!AF347</f>
        <v>/</v>
      </c>
      <c r="AA338" s="2" t="str">
        <f>入學要求!AG347</f>
        <v>/</v>
      </c>
      <c r="AB338" s="2" t="s">
        <v>889</v>
      </c>
      <c r="AE338" s="2" t="s">
        <v>356</v>
      </c>
      <c r="AF338" s="2" t="s">
        <v>356</v>
      </c>
      <c r="AG338" s="2" t="s">
        <v>356</v>
      </c>
      <c r="AH338" s="2" t="s">
        <v>356</v>
      </c>
      <c r="AI338" s="2" t="s">
        <v>356</v>
      </c>
      <c r="AJ338" s="2" t="s">
        <v>356</v>
      </c>
      <c r="AK338" s="2" t="s">
        <v>356</v>
      </c>
      <c r="AL338" s="2" t="s">
        <v>356</v>
      </c>
      <c r="AM338" s="2" t="s">
        <v>356</v>
      </c>
      <c r="AN338" s="2" t="s">
        <v>356</v>
      </c>
      <c r="AO338" s="2" t="s">
        <v>356</v>
      </c>
      <c r="AP338" s="2" t="s">
        <v>356</v>
      </c>
      <c r="AQ338" s="2" t="s">
        <v>356</v>
      </c>
      <c r="AS338" s="2" t="s">
        <v>820</v>
      </c>
      <c r="AU338" s="2" t="s">
        <v>817</v>
      </c>
    </row>
    <row r="339" spans="1:47">
      <c r="A339" s="2" t="s">
        <v>1987</v>
      </c>
      <c r="B339" s="2" t="s">
        <v>265</v>
      </c>
      <c r="C339" s="2" t="s">
        <v>1969</v>
      </c>
      <c r="D339" s="2" t="s">
        <v>1988</v>
      </c>
      <c r="E339" s="366" t="s">
        <v>889</v>
      </c>
      <c r="F339" s="2" t="s">
        <v>356</v>
      </c>
      <c r="G339" s="2" t="s">
        <v>435</v>
      </c>
      <c r="H339" s="2">
        <v>16</v>
      </c>
      <c r="I339" s="2">
        <v>16</v>
      </c>
      <c r="M339" s="2" t="s">
        <v>356</v>
      </c>
      <c r="N339" s="2" t="s">
        <v>356</v>
      </c>
      <c r="O339" s="2" t="s">
        <v>356</v>
      </c>
      <c r="P339" s="2" t="s">
        <v>356</v>
      </c>
      <c r="Q339" s="2" t="s">
        <v>356</v>
      </c>
      <c r="R339" s="2" t="s">
        <v>1989</v>
      </c>
      <c r="S339" s="2" t="s">
        <v>817</v>
      </c>
      <c r="T339" s="2">
        <v>20</v>
      </c>
      <c r="U339" s="2" cm="1">
        <f t="array" ref="U339">IFERROR(INDEX('Offer Statistics'!$FC$2:$FC$350,MATCH(1,($A339='Offer Statistics'!$EN$2:$EN$350)*($A$11='Offer Statistics'!$EO$2:$EO$350),0)),"/")</f>
        <v>63</v>
      </c>
      <c r="V339" s="2" cm="1">
        <f t="array" ref="V339">IFERROR(INDEX('Offer Statistics'!$EP$2:$EP$350,MATCH(1,($A339='Offer Statistics'!$EN$2:$EN$350)*($A$11='Offer Statistics'!$EO$2:$EO$350),0)),"/")</f>
        <v>167</v>
      </c>
      <c r="W339" s="2" cm="1">
        <f t="array" ref="W339">IFERROR(INDEX('Offer Statistics'!$EX$2:$EX$350,MATCH(1,($A339='Offer Statistics'!$EN$2:$EN$350)*($A$11='Offer Statistics'!$EO$2:$EO$350),0)),"/")</f>
        <v>32</v>
      </c>
      <c r="X339" s="2">
        <f t="shared" si="830"/>
        <v>5.21875</v>
      </c>
      <c r="Y339" s="2" t="s">
        <v>817</v>
      </c>
      <c r="Z339" s="2" t="str">
        <f>入學要求!AF348</f>
        <v>/</v>
      </c>
      <c r="AA339" s="2" t="str">
        <f>入學要求!AG348</f>
        <v>/</v>
      </c>
      <c r="AB339" s="2" t="s">
        <v>889</v>
      </c>
      <c r="AE339" s="2" t="s">
        <v>356</v>
      </c>
      <c r="AF339" s="2" t="s">
        <v>356</v>
      </c>
      <c r="AG339" s="2" t="s">
        <v>356</v>
      </c>
      <c r="AH339" s="2" t="s">
        <v>356</v>
      </c>
      <c r="AI339" s="2" t="s">
        <v>356</v>
      </c>
      <c r="AJ339" s="2" t="s">
        <v>356</v>
      </c>
      <c r="AK339" s="2" t="s">
        <v>356</v>
      </c>
      <c r="AL339" s="2" t="s">
        <v>356</v>
      </c>
      <c r="AM339" s="2" t="s">
        <v>356</v>
      </c>
      <c r="AN339" s="2" t="s">
        <v>356</v>
      </c>
      <c r="AO339" s="2" t="s">
        <v>356</v>
      </c>
      <c r="AP339" s="2" t="s">
        <v>356</v>
      </c>
      <c r="AQ339" s="2" t="s">
        <v>356</v>
      </c>
      <c r="AS339" s="2" t="s">
        <v>820</v>
      </c>
      <c r="AU339" s="2" t="s">
        <v>817</v>
      </c>
    </row>
    <row r="340" spans="1:47">
      <c r="A340" s="2" t="s">
        <v>1990</v>
      </c>
      <c r="B340" s="2" t="s">
        <v>265</v>
      </c>
      <c r="C340" s="2" t="s">
        <v>1969</v>
      </c>
      <c r="D340" s="2" t="s">
        <v>1991</v>
      </c>
      <c r="E340" s="366" t="s">
        <v>889</v>
      </c>
      <c r="F340" s="2" t="s">
        <v>356</v>
      </c>
      <c r="G340" s="2" t="s">
        <v>435</v>
      </c>
      <c r="H340" s="2">
        <v>16</v>
      </c>
      <c r="I340" s="2">
        <v>15</v>
      </c>
      <c r="M340" s="2" t="s">
        <v>356</v>
      </c>
      <c r="N340" s="2" t="s">
        <v>356</v>
      </c>
      <c r="O340" s="2" t="s">
        <v>356</v>
      </c>
      <c r="P340" s="2" t="s">
        <v>356</v>
      </c>
      <c r="Q340" s="2" t="s">
        <v>356</v>
      </c>
      <c r="R340" s="2" t="s">
        <v>1992</v>
      </c>
      <c r="S340" s="2" t="s">
        <v>817</v>
      </c>
      <c r="T340" s="2">
        <v>25</v>
      </c>
      <c r="U340" s="2" cm="1">
        <f t="array" ref="U340">IFERROR(INDEX('Offer Statistics'!$FC$2:$FC$350,MATCH(1,($A340='Offer Statistics'!$EN$2:$EN$350)*($A$11='Offer Statistics'!$EO$2:$EO$350),0)),"/")</f>
        <v>82</v>
      </c>
      <c r="V340" s="2" cm="1">
        <f t="array" ref="V340">IFERROR(INDEX('Offer Statistics'!$EP$2:$EP$350,MATCH(1,($A340='Offer Statistics'!$EN$2:$EN$350)*($A$11='Offer Statistics'!$EO$2:$EO$350),0)),"/")</f>
        <v>276</v>
      </c>
      <c r="W340" s="2" cm="1">
        <f t="array" ref="W340">IFERROR(INDEX('Offer Statistics'!$EX$2:$EX$350,MATCH(1,($A340='Offer Statistics'!$EN$2:$EN$350)*($A$11='Offer Statistics'!$EO$2:$EO$350),0)),"/")</f>
        <v>36</v>
      </c>
      <c r="X340" s="2">
        <f t="shared" si="830"/>
        <v>7.666666666666667</v>
      </c>
      <c r="Y340" s="2" t="s">
        <v>817</v>
      </c>
      <c r="Z340" s="2" t="str">
        <f>入學要求!AF349</f>
        <v>/</v>
      </c>
      <c r="AA340" s="2" t="str">
        <f>入學要求!AG349</f>
        <v>/</v>
      </c>
      <c r="AB340" s="2" t="s">
        <v>889</v>
      </c>
      <c r="AE340" s="2" t="s">
        <v>356</v>
      </c>
      <c r="AF340" s="2" t="s">
        <v>356</v>
      </c>
      <c r="AG340" s="2" t="s">
        <v>356</v>
      </c>
      <c r="AH340" s="2" t="s">
        <v>356</v>
      </c>
      <c r="AI340" s="2" t="s">
        <v>356</v>
      </c>
      <c r="AJ340" s="2" t="s">
        <v>356</v>
      </c>
      <c r="AK340" s="2" t="s">
        <v>356</v>
      </c>
      <c r="AL340" s="2" t="s">
        <v>356</v>
      </c>
      <c r="AM340" s="2" t="s">
        <v>356</v>
      </c>
      <c r="AN340" s="2" t="s">
        <v>356</v>
      </c>
      <c r="AO340" s="2" t="s">
        <v>356</v>
      </c>
      <c r="AP340" s="2" t="s">
        <v>356</v>
      </c>
      <c r="AQ340" s="2" t="s">
        <v>356</v>
      </c>
      <c r="AS340" s="2" t="s">
        <v>820</v>
      </c>
      <c r="AU340" s="2" t="s">
        <v>817</v>
      </c>
    </row>
    <row r="341" spans="1:47">
      <c r="A341" s="2" t="s">
        <v>1993</v>
      </c>
      <c r="B341" s="2" t="s">
        <v>265</v>
      </c>
      <c r="C341" s="2" t="s">
        <v>1969</v>
      </c>
      <c r="D341" s="2" t="s">
        <v>1994</v>
      </c>
      <c r="E341" s="366" t="s">
        <v>889</v>
      </c>
      <c r="F341" s="2" t="s">
        <v>356</v>
      </c>
      <c r="G341" s="2" t="s">
        <v>435</v>
      </c>
      <c r="H341" s="2">
        <v>15</v>
      </c>
      <c r="I341" s="2">
        <v>14</v>
      </c>
      <c r="M341" s="2" t="s">
        <v>356</v>
      </c>
      <c r="N341" s="2" t="s">
        <v>356</v>
      </c>
      <c r="O341" s="2" t="s">
        <v>356</v>
      </c>
      <c r="P341" s="2" t="s">
        <v>356</v>
      </c>
      <c r="Q341" s="2" t="s">
        <v>356</v>
      </c>
      <c r="R341" s="2" t="s">
        <v>1995</v>
      </c>
      <c r="S341" s="2" t="s">
        <v>817</v>
      </c>
      <c r="T341" s="2">
        <v>25</v>
      </c>
      <c r="U341" s="2" cm="1">
        <f t="array" ref="U341">IFERROR(INDEX('Offer Statistics'!$FC$2:$FC$350,MATCH(1,($A341='Offer Statistics'!$EN$2:$EN$350)*($A$11='Offer Statistics'!$EO$2:$EO$350),0)),"/")</f>
        <v>81</v>
      </c>
      <c r="V341" s="2" cm="1">
        <f t="array" ref="V341">IFERROR(INDEX('Offer Statistics'!$EP$2:$EP$350,MATCH(1,($A341='Offer Statistics'!$EN$2:$EN$350)*($A$11='Offer Statistics'!$EO$2:$EO$350),0)),"/")</f>
        <v>404</v>
      </c>
      <c r="W341" s="2" cm="1">
        <f t="array" ref="W341">IFERROR(INDEX('Offer Statistics'!$EX$2:$EX$350,MATCH(1,($A341='Offer Statistics'!$EN$2:$EN$350)*($A$11='Offer Statistics'!$EO$2:$EO$350),0)),"/")</f>
        <v>53</v>
      </c>
      <c r="X341" s="2">
        <f t="shared" si="830"/>
        <v>7.6226415094339623</v>
      </c>
      <c r="Y341" s="2" t="s">
        <v>817</v>
      </c>
      <c r="Z341" s="2" t="str">
        <f>入學要求!AF350</f>
        <v>/</v>
      </c>
      <c r="AA341" s="2" t="str">
        <f>入學要求!AG350</f>
        <v>/</v>
      </c>
      <c r="AB341" s="2" t="s">
        <v>889</v>
      </c>
      <c r="AE341" s="2" t="s">
        <v>356</v>
      </c>
      <c r="AF341" s="2" t="s">
        <v>356</v>
      </c>
      <c r="AG341" s="2" t="s">
        <v>356</v>
      </c>
      <c r="AH341" s="2" t="s">
        <v>356</v>
      </c>
      <c r="AI341" s="2" t="s">
        <v>356</v>
      </c>
      <c r="AJ341" s="2" t="s">
        <v>356</v>
      </c>
      <c r="AK341" s="2" t="s">
        <v>356</v>
      </c>
      <c r="AL341" s="2" t="s">
        <v>356</v>
      </c>
      <c r="AM341" s="2" t="s">
        <v>356</v>
      </c>
      <c r="AN341" s="2" t="s">
        <v>356</v>
      </c>
      <c r="AO341" s="2" t="s">
        <v>356</v>
      </c>
      <c r="AP341" s="2" t="s">
        <v>356</v>
      </c>
      <c r="AQ341" s="2" t="s">
        <v>356</v>
      </c>
      <c r="AS341" s="2" t="s">
        <v>820</v>
      </c>
      <c r="AU341" s="2" t="s">
        <v>817</v>
      </c>
    </row>
    <row r="342" spans="1:47">
      <c r="A342" s="2" t="s">
        <v>1996</v>
      </c>
      <c r="B342" s="2" t="s">
        <v>265</v>
      </c>
      <c r="C342" s="2" t="s">
        <v>1969</v>
      </c>
      <c r="D342" s="2" t="s">
        <v>1997</v>
      </c>
      <c r="E342" s="366" t="s">
        <v>889</v>
      </c>
      <c r="F342" s="2" t="s">
        <v>356</v>
      </c>
      <c r="G342" s="2" t="s">
        <v>435</v>
      </c>
      <c r="H342" s="2">
        <v>17</v>
      </c>
      <c r="I342" s="2">
        <v>16</v>
      </c>
      <c r="M342" s="2" t="s">
        <v>356</v>
      </c>
      <c r="N342" s="2" t="s">
        <v>356</v>
      </c>
      <c r="O342" s="2" t="s">
        <v>356</v>
      </c>
      <c r="P342" s="2" t="s">
        <v>356</v>
      </c>
      <c r="Q342" s="2" t="s">
        <v>356</v>
      </c>
      <c r="R342" s="2" t="s">
        <v>1998</v>
      </c>
      <c r="S342" s="2" t="s">
        <v>817</v>
      </c>
      <c r="T342" s="2">
        <v>25</v>
      </c>
      <c r="U342" s="2" cm="1">
        <f t="array" ref="U342">IFERROR(INDEX('Offer Statistics'!$FC$2:$FC$350,MATCH(1,($A342='Offer Statistics'!$EN$2:$EN$350)*($A$11='Offer Statistics'!$EO$2:$EO$350),0)),"/")</f>
        <v>43</v>
      </c>
      <c r="V342" s="2" cm="1">
        <f t="array" ref="V342">IFERROR(INDEX('Offer Statistics'!$EP$2:$EP$350,MATCH(1,($A342='Offer Statistics'!$EN$2:$EN$350)*($A$11='Offer Statistics'!$EO$2:$EO$350),0)),"/")</f>
        <v>307</v>
      </c>
      <c r="W342" s="2" cm="1">
        <f t="array" ref="W342">IFERROR(INDEX('Offer Statistics'!$EX$2:$EX$350,MATCH(1,($A342='Offer Statistics'!$EN$2:$EN$350)*($A$11='Offer Statistics'!$EO$2:$EO$350),0)),"/")</f>
        <v>21</v>
      </c>
      <c r="X342" s="2">
        <f t="shared" si="830"/>
        <v>14.619047619047619</v>
      </c>
      <c r="Y342" s="2" t="s">
        <v>817</v>
      </c>
      <c r="Z342" s="2" t="str">
        <f>入學要求!AF351</f>
        <v>/</v>
      </c>
      <c r="AA342" s="2" t="str">
        <f>入學要求!AG351</f>
        <v>/</v>
      </c>
      <c r="AB342" s="2" t="s">
        <v>889</v>
      </c>
      <c r="AE342" s="2" t="s">
        <v>356</v>
      </c>
      <c r="AF342" s="2" t="s">
        <v>356</v>
      </c>
      <c r="AG342" s="2" t="s">
        <v>356</v>
      </c>
      <c r="AH342" s="2" t="s">
        <v>356</v>
      </c>
      <c r="AI342" s="2" t="s">
        <v>356</v>
      </c>
      <c r="AJ342" s="2" t="s">
        <v>356</v>
      </c>
      <c r="AK342" s="2" t="s">
        <v>356</v>
      </c>
      <c r="AL342" s="2" t="s">
        <v>356</v>
      </c>
      <c r="AM342" s="2" t="s">
        <v>356</v>
      </c>
      <c r="AN342" s="2" t="s">
        <v>356</v>
      </c>
      <c r="AO342" s="2" t="s">
        <v>356</v>
      </c>
      <c r="AP342" s="2" t="s">
        <v>356</v>
      </c>
      <c r="AQ342" s="2" t="s">
        <v>356</v>
      </c>
      <c r="AS342" s="2" t="s">
        <v>820</v>
      </c>
      <c r="AU342" s="2" t="s">
        <v>817</v>
      </c>
    </row>
    <row r="343" spans="1:47">
      <c r="A343" s="2" t="s">
        <v>2633</v>
      </c>
      <c r="B343" s="2" t="s">
        <v>265</v>
      </c>
      <c r="C343" s="2" t="s">
        <v>2000</v>
      </c>
      <c r="D343" s="2" t="s">
        <v>2636</v>
      </c>
      <c r="E343" s="366" t="s">
        <v>2804</v>
      </c>
      <c r="F343" s="2" t="s">
        <v>356</v>
      </c>
      <c r="G343" s="2" t="s">
        <v>435</v>
      </c>
      <c r="H343" s="2" t="s">
        <v>356</v>
      </c>
      <c r="I343" s="2" t="s">
        <v>356</v>
      </c>
      <c r="M343" s="2" t="s">
        <v>356</v>
      </c>
      <c r="N343" s="2" t="s">
        <v>356</v>
      </c>
      <c r="O343" s="2" t="s">
        <v>356</v>
      </c>
      <c r="P343" s="2" t="s">
        <v>356</v>
      </c>
      <c r="Q343" s="2" t="s">
        <v>356</v>
      </c>
      <c r="R343" s="2" t="s">
        <v>2634</v>
      </c>
      <c r="S343" s="2" t="s">
        <v>817</v>
      </c>
      <c r="T343" s="2">
        <v>35</v>
      </c>
      <c r="U343" s="2" t="str" cm="1">
        <f t="array" ref="U343">IFERROR(INDEX('Offer Statistics'!$FC$2:$FC$350,MATCH(1,($A343='Offer Statistics'!$EN$2:$EN$350)*($A$11='Offer Statistics'!$EO$2:$EO$350),0)),"/")</f>
        <v>/</v>
      </c>
      <c r="V343" s="2" t="str" cm="1">
        <f t="array" ref="V343">IFERROR(INDEX('Offer Statistics'!$EP$2:$EP$350,MATCH(1,($A343='Offer Statistics'!$EN$2:$EN$350)*($A$11='Offer Statistics'!$EO$2:$EO$350),0)),"/")</f>
        <v>/</v>
      </c>
      <c r="W343" s="2" t="str" cm="1">
        <f t="array" ref="W343">IFERROR(INDEX('Offer Statistics'!$EX$2:$EX$350,MATCH(1,($A343='Offer Statistics'!$EN$2:$EN$350)*($A$11='Offer Statistics'!$EO$2:$EO$350),0)),"/")</f>
        <v>/</v>
      </c>
      <c r="X343" s="2" t="str">
        <f t="shared" si="830"/>
        <v>新科目</v>
      </c>
      <c r="Y343" s="2" t="s">
        <v>817</v>
      </c>
      <c r="Z343" s="2" t="str">
        <f>入學要求!AF352</f>
        <v>/</v>
      </c>
      <c r="AA343" s="2" t="str">
        <f>入學要求!AG352</f>
        <v>/</v>
      </c>
      <c r="AB343" s="2" t="str">
        <f>入學要求!AH352</f>
        <v>/</v>
      </c>
      <c r="AE343" s="2" t="s">
        <v>356</v>
      </c>
      <c r="AF343" s="2" t="s">
        <v>356</v>
      </c>
      <c r="AG343" s="2" t="s">
        <v>356</v>
      </c>
      <c r="AH343" s="2" t="s">
        <v>356</v>
      </c>
      <c r="AJ343" s="2" t="s">
        <v>356</v>
      </c>
      <c r="AK343" s="2" t="s">
        <v>356</v>
      </c>
      <c r="AL343" s="2" t="s">
        <v>356</v>
      </c>
      <c r="AM343" s="2" t="s">
        <v>356</v>
      </c>
      <c r="AN343" s="2" t="s">
        <v>356</v>
      </c>
      <c r="AO343" s="2" t="s">
        <v>356</v>
      </c>
      <c r="AP343" s="2" t="s">
        <v>356</v>
      </c>
      <c r="AQ343" s="2" t="s">
        <v>356</v>
      </c>
      <c r="AS343" s="2" t="s">
        <v>820</v>
      </c>
      <c r="AU343" s="2" t="s">
        <v>817</v>
      </c>
    </row>
    <row r="344" spans="1:47">
      <c r="A344" s="2" t="s">
        <v>1999</v>
      </c>
      <c r="B344" s="2" t="s">
        <v>265</v>
      </c>
      <c r="C344" s="2" t="s">
        <v>2000</v>
      </c>
      <c r="D344" s="2" t="s">
        <v>2001</v>
      </c>
      <c r="E344" s="366" t="s">
        <v>889</v>
      </c>
      <c r="F344" s="2" t="s">
        <v>356</v>
      </c>
      <c r="G344" s="2" t="s">
        <v>435</v>
      </c>
      <c r="H344" s="2">
        <v>21</v>
      </c>
      <c r="I344" s="2">
        <v>20</v>
      </c>
      <c r="M344" s="2" t="s">
        <v>356</v>
      </c>
      <c r="N344" s="2" t="s">
        <v>356</v>
      </c>
      <c r="O344" s="2" t="s">
        <v>874</v>
      </c>
      <c r="P344" s="2" t="s">
        <v>356</v>
      </c>
      <c r="Q344" s="2" t="s">
        <v>356</v>
      </c>
      <c r="R344" s="2" t="s">
        <v>2002</v>
      </c>
      <c r="S344" s="2" t="s">
        <v>817</v>
      </c>
      <c r="T344" s="2">
        <v>30</v>
      </c>
      <c r="U344" s="2" cm="1">
        <f t="array" ref="U344">IFERROR(INDEX('Offer Statistics'!$FC$2:$FC$350,MATCH(1,($A344='Offer Statistics'!$EN$2:$EN$350)*($A$11='Offer Statistics'!$EO$2:$EO$350),0)),"/")</f>
        <v>47</v>
      </c>
      <c r="V344" s="2" cm="1">
        <f t="array" ref="V344">IFERROR(INDEX('Offer Statistics'!$EP$2:$EP$350,MATCH(1,($A344='Offer Statistics'!$EN$2:$EN$350)*($A$11='Offer Statistics'!$EO$2:$EO$350),0)),"/")</f>
        <v>128</v>
      </c>
      <c r="W344" s="2" cm="1">
        <f t="array" ref="W344">IFERROR(INDEX('Offer Statistics'!$EX$2:$EX$350,MATCH(1,($A344='Offer Statistics'!$EN$2:$EN$350)*($A$11='Offer Statistics'!$EO$2:$EO$350),0)),"/")</f>
        <v>39</v>
      </c>
      <c r="X344" s="2">
        <f t="shared" si="830"/>
        <v>3.2820512820512819</v>
      </c>
      <c r="Y344" s="2" t="s">
        <v>817</v>
      </c>
      <c r="Z344" s="2" t="str">
        <f>入學要求!AF353</f>
        <v>/</v>
      </c>
      <c r="AA344" s="2" t="str">
        <f>入學要求!AG353</f>
        <v>/</v>
      </c>
      <c r="AB344" s="2" t="s">
        <v>889</v>
      </c>
      <c r="AE344" s="2" t="s">
        <v>356</v>
      </c>
      <c r="AF344" s="2" t="s">
        <v>356</v>
      </c>
      <c r="AG344" s="2" t="s">
        <v>874</v>
      </c>
      <c r="AH344" s="2" t="s">
        <v>356</v>
      </c>
      <c r="AI344" s="2" t="s">
        <v>356</v>
      </c>
      <c r="AJ344" s="2" t="s">
        <v>356</v>
      </c>
      <c r="AK344" s="2" t="s">
        <v>356</v>
      </c>
      <c r="AL344" s="2" t="s">
        <v>356</v>
      </c>
      <c r="AM344" s="2" t="s">
        <v>356</v>
      </c>
      <c r="AN344" s="2" t="s">
        <v>356</v>
      </c>
      <c r="AO344" s="2" t="s">
        <v>356</v>
      </c>
      <c r="AP344" s="2" t="s">
        <v>356</v>
      </c>
      <c r="AQ344" s="2" t="s">
        <v>356</v>
      </c>
      <c r="AS344" s="2" t="s">
        <v>820</v>
      </c>
      <c r="AU344" s="2" t="s">
        <v>817</v>
      </c>
    </row>
    <row r="345" spans="1:47">
      <c r="A345" s="2" t="s">
        <v>2003</v>
      </c>
      <c r="B345" s="2" t="s">
        <v>265</v>
      </c>
      <c r="C345" s="2" t="s">
        <v>2000</v>
      </c>
      <c r="D345" s="2" t="s">
        <v>2004</v>
      </c>
      <c r="E345" s="366" t="s">
        <v>889</v>
      </c>
      <c r="F345" s="2" t="s">
        <v>356</v>
      </c>
      <c r="G345" s="2" t="s">
        <v>435</v>
      </c>
      <c r="H345" s="2">
        <v>21</v>
      </c>
      <c r="I345" s="2">
        <v>20</v>
      </c>
      <c r="M345" s="2" t="s">
        <v>356</v>
      </c>
      <c r="N345" s="2" t="s">
        <v>356</v>
      </c>
      <c r="O345" s="2" t="s">
        <v>874</v>
      </c>
      <c r="P345" s="2" t="s">
        <v>356</v>
      </c>
      <c r="Q345" s="2" t="s">
        <v>356</v>
      </c>
      <c r="R345" s="2" t="s">
        <v>2005</v>
      </c>
      <c r="S345" s="2" t="s">
        <v>817</v>
      </c>
      <c r="T345" s="2">
        <v>20</v>
      </c>
      <c r="U345" s="2" cm="1">
        <f t="array" ref="U345">IFERROR(INDEX('Offer Statistics'!$FC$2:$FC$350,MATCH(1,($A345='Offer Statistics'!$EN$2:$EN$350)*($A$11='Offer Statistics'!$EO$2:$EO$350),0)),"/")</f>
        <v>39</v>
      </c>
      <c r="V345" s="2" cm="1">
        <f t="array" ref="V345">IFERROR(INDEX('Offer Statistics'!$EP$2:$EP$350,MATCH(1,($A345='Offer Statistics'!$EN$2:$EN$350)*($A$11='Offer Statistics'!$EO$2:$EO$350),0)),"/")</f>
        <v>71</v>
      </c>
      <c r="W345" s="2" cm="1">
        <f t="array" ref="W345">IFERROR(INDEX('Offer Statistics'!$EX$2:$EX$350,MATCH(1,($A345='Offer Statistics'!$EN$2:$EN$350)*($A$11='Offer Statistics'!$EO$2:$EO$350),0)),"/")</f>
        <v>14</v>
      </c>
      <c r="X345" s="2">
        <f t="shared" si="830"/>
        <v>5.0714285714285712</v>
      </c>
      <c r="Y345" s="2" t="s">
        <v>817</v>
      </c>
      <c r="Z345" s="2" t="str">
        <f>入學要求!AF354</f>
        <v>/</v>
      </c>
      <c r="AA345" s="2" t="str">
        <f>入學要求!AG354</f>
        <v>/</v>
      </c>
      <c r="AB345" s="2" t="s">
        <v>889</v>
      </c>
      <c r="AE345" s="2" t="s">
        <v>356</v>
      </c>
      <c r="AF345" s="2" t="s">
        <v>356</v>
      </c>
      <c r="AG345" s="2" t="s">
        <v>874</v>
      </c>
      <c r="AH345" s="2" t="s">
        <v>356</v>
      </c>
      <c r="AI345" s="2" t="s">
        <v>356</v>
      </c>
      <c r="AJ345" s="2" t="s">
        <v>356</v>
      </c>
      <c r="AK345" s="2" t="s">
        <v>356</v>
      </c>
      <c r="AL345" s="2" t="s">
        <v>356</v>
      </c>
      <c r="AM345" s="2" t="s">
        <v>356</v>
      </c>
      <c r="AN345" s="2" t="s">
        <v>356</v>
      </c>
      <c r="AO345" s="2" t="s">
        <v>356</v>
      </c>
      <c r="AP345" s="2" t="s">
        <v>356</v>
      </c>
      <c r="AQ345" s="2" t="s">
        <v>356</v>
      </c>
      <c r="AS345" s="2" t="s">
        <v>820</v>
      </c>
      <c r="AU345" s="2" t="s">
        <v>817</v>
      </c>
    </row>
    <row r="346" spans="1:47">
      <c r="A346" s="2" t="s">
        <v>2006</v>
      </c>
      <c r="B346" s="2" t="s">
        <v>265</v>
      </c>
      <c r="C346" s="2" t="s">
        <v>2000</v>
      </c>
      <c r="D346" s="2" t="s">
        <v>2007</v>
      </c>
      <c r="E346" s="366" t="s">
        <v>889</v>
      </c>
      <c r="F346" s="2" t="s">
        <v>356</v>
      </c>
      <c r="G346" s="2" t="s">
        <v>435</v>
      </c>
      <c r="H346" s="2">
        <v>23</v>
      </c>
      <c r="I346" s="2">
        <v>23</v>
      </c>
      <c r="M346" s="2" t="s">
        <v>356</v>
      </c>
      <c r="N346" s="2" t="s">
        <v>356</v>
      </c>
      <c r="O346" s="2" t="s">
        <v>3259</v>
      </c>
      <c r="P346" s="2" t="s">
        <v>356</v>
      </c>
      <c r="Q346" s="2" t="s">
        <v>356</v>
      </c>
      <c r="R346" s="2" t="s">
        <v>2009</v>
      </c>
      <c r="S346" s="2" t="s">
        <v>817</v>
      </c>
      <c r="T346" s="2">
        <v>20</v>
      </c>
      <c r="U346" s="2" cm="1">
        <f t="array" ref="U346">IFERROR(INDEX('Offer Statistics'!$FC$2:$FC$350,MATCH(1,($A346='Offer Statistics'!$EN$2:$EN$350)*($A$11='Offer Statistics'!$EO$2:$EO$350),0)),"/")</f>
        <v>16</v>
      </c>
      <c r="V346" s="2" cm="1">
        <f t="array" ref="V346">IFERROR(INDEX('Offer Statistics'!$EP$2:$EP$350,MATCH(1,($A346='Offer Statistics'!$EN$2:$EN$350)*($A$11='Offer Statistics'!$EO$2:$EO$350),0)),"/")</f>
        <v>62</v>
      </c>
      <c r="W346" s="2" cm="1">
        <f t="array" ref="W346">IFERROR(INDEX('Offer Statistics'!$EX$2:$EX$350,MATCH(1,($A346='Offer Statistics'!$EN$2:$EN$350)*($A$11='Offer Statistics'!$EO$2:$EO$350),0)),"/")</f>
        <v>5</v>
      </c>
      <c r="X346" s="2">
        <f t="shared" si="830"/>
        <v>12.4</v>
      </c>
      <c r="Y346" s="2" t="s">
        <v>817</v>
      </c>
      <c r="Z346" s="2" t="str">
        <f>入學要求!AF355</f>
        <v>/</v>
      </c>
      <c r="AA346" s="2" t="str">
        <f>入學要求!AG355</f>
        <v>/</v>
      </c>
      <c r="AB346" s="2" t="s">
        <v>889</v>
      </c>
      <c r="AE346" s="2" t="s">
        <v>356</v>
      </c>
      <c r="AF346" s="2" t="s">
        <v>356</v>
      </c>
      <c r="AG346" s="2" t="s">
        <v>2008</v>
      </c>
      <c r="AH346" s="2" t="s">
        <v>356</v>
      </c>
      <c r="AI346" s="2" t="s">
        <v>356</v>
      </c>
      <c r="AJ346" s="2" t="s">
        <v>356</v>
      </c>
      <c r="AK346" s="2" t="s">
        <v>356</v>
      </c>
      <c r="AL346" s="2" t="s">
        <v>356</v>
      </c>
      <c r="AM346" s="2" t="s">
        <v>356</v>
      </c>
      <c r="AN346" s="2" t="s">
        <v>356</v>
      </c>
      <c r="AO346" s="2" t="s">
        <v>356</v>
      </c>
      <c r="AP346" s="2" t="s">
        <v>356</v>
      </c>
      <c r="AQ346" s="2" t="s">
        <v>356</v>
      </c>
      <c r="AS346" s="2" t="s">
        <v>820</v>
      </c>
      <c r="AU346" s="2" t="s">
        <v>817</v>
      </c>
    </row>
    <row r="347" spans="1:47">
      <c r="A347" s="2" t="s">
        <v>2010</v>
      </c>
      <c r="B347" s="2" t="s">
        <v>265</v>
      </c>
      <c r="C347" s="2" t="s">
        <v>2000</v>
      </c>
      <c r="D347" s="2" t="s">
        <v>2011</v>
      </c>
      <c r="E347" s="366" t="s">
        <v>889</v>
      </c>
      <c r="F347" s="2" t="s">
        <v>356</v>
      </c>
      <c r="G347" s="2" t="s">
        <v>435</v>
      </c>
      <c r="H347" s="2">
        <v>22</v>
      </c>
      <c r="I347" s="2">
        <v>21</v>
      </c>
      <c r="M347" s="2" t="s">
        <v>356</v>
      </c>
      <c r="N347" s="2" t="s">
        <v>356</v>
      </c>
      <c r="O347" s="2" t="s">
        <v>3259</v>
      </c>
      <c r="P347" s="2" t="s">
        <v>356</v>
      </c>
      <c r="Q347" s="2" t="s">
        <v>356</v>
      </c>
      <c r="R347" s="2" t="s">
        <v>2012</v>
      </c>
      <c r="S347" s="2" t="s">
        <v>817</v>
      </c>
      <c r="T347" s="2">
        <v>35</v>
      </c>
      <c r="U347" s="2" cm="1">
        <f t="array" ref="U347">IFERROR(INDEX('Offer Statistics'!$FC$2:$FC$350,MATCH(1,($A347='Offer Statistics'!$EN$2:$EN$350)*($A$11='Offer Statistics'!$EO$2:$EO$350),0)),"/")</f>
        <v>44</v>
      </c>
      <c r="V347" s="2" cm="1">
        <f t="array" ref="V347">IFERROR(INDEX('Offer Statistics'!$EP$2:$EP$350,MATCH(1,($A347='Offer Statistics'!$EN$2:$EN$350)*($A$11='Offer Statistics'!$EO$2:$EO$350),0)),"/")</f>
        <v>152</v>
      </c>
      <c r="W347" s="2" cm="1">
        <f t="array" ref="W347">IFERROR(INDEX('Offer Statistics'!$EX$2:$EX$350,MATCH(1,($A347='Offer Statistics'!$EN$2:$EN$350)*($A$11='Offer Statistics'!$EO$2:$EO$350),0)),"/")</f>
        <v>38</v>
      </c>
      <c r="X347" s="2">
        <f t="shared" si="830"/>
        <v>4</v>
      </c>
      <c r="Y347" s="2" t="s">
        <v>817</v>
      </c>
      <c r="Z347" s="2" t="str">
        <f>入學要求!AF356</f>
        <v>/</v>
      </c>
      <c r="AA347" s="2" t="str">
        <f>入學要求!AG356</f>
        <v>/</v>
      </c>
      <c r="AB347" s="2" t="s">
        <v>889</v>
      </c>
      <c r="AE347" s="2" t="s">
        <v>356</v>
      </c>
      <c r="AF347" s="2" t="s">
        <v>356</v>
      </c>
      <c r="AG347" s="2" t="s">
        <v>2008</v>
      </c>
      <c r="AH347" s="2" t="s">
        <v>356</v>
      </c>
      <c r="AI347" s="2" t="s">
        <v>356</v>
      </c>
      <c r="AJ347" s="2" t="s">
        <v>356</v>
      </c>
      <c r="AK347" s="2" t="s">
        <v>356</v>
      </c>
      <c r="AL347" s="2" t="s">
        <v>356</v>
      </c>
      <c r="AM347" s="2" t="s">
        <v>356</v>
      </c>
      <c r="AN347" s="2" t="s">
        <v>356</v>
      </c>
      <c r="AO347" s="2" t="s">
        <v>356</v>
      </c>
      <c r="AP347" s="2" t="s">
        <v>356</v>
      </c>
      <c r="AQ347" s="2" t="s">
        <v>356</v>
      </c>
      <c r="AS347" s="2" t="s">
        <v>820</v>
      </c>
      <c r="AU347" s="2" t="s">
        <v>817</v>
      </c>
    </row>
    <row r="348" spans="1:47">
      <c r="A348" s="2" t="s">
        <v>2013</v>
      </c>
      <c r="B348" s="2" t="s">
        <v>265</v>
      </c>
      <c r="C348" s="2" t="s">
        <v>2000</v>
      </c>
      <c r="D348" s="2" t="s">
        <v>2014</v>
      </c>
      <c r="E348" s="366" t="s">
        <v>889</v>
      </c>
      <c r="F348" s="2" t="s">
        <v>356</v>
      </c>
      <c r="G348" s="2" t="s">
        <v>435</v>
      </c>
      <c r="H348" s="2">
        <v>16</v>
      </c>
      <c r="I348" s="2">
        <v>15</v>
      </c>
      <c r="M348" s="2" t="s">
        <v>356</v>
      </c>
      <c r="N348" s="2" t="s">
        <v>356</v>
      </c>
      <c r="O348" s="2" t="s">
        <v>3260</v>
      </c>
      <c r="P348" s="2" t="s">
        <v>356</v>
      </c>
      <c r="Q348" s="2" t="s">
        <v>356</v>
      </c>
      <c r="R348" s="2" t="s">
        <v>2016</v>
      </c>
      <c r="S348" s="2" t="s">
        <v>817</v>
      </c>
      <c r="T348" s="2">
        <v>40</v>
      </c>
      <c r="U348" s="2" cm="1">
        <f t="array" ref="U348">IFERROR(INDEX('Offer Statistics'!$FC$2:$FC$350,MATCH(1,($A348='Offer Statistics'!$EN$2:$EN$350)*($A$11='Offer Statistics'!$EO$2:$EO$350),0)),"/")</f>
        <v>43</v>
      </c>
      <c r="V348" s="2" cm="1">
        <f t="array" ref="V348">IFERROR(INDEX('Offer Statistics'!$EP$2:$EP$350,MATCH(1,($A348='Offer Statistics'!$EN$2:$EN$350)*($A$11='Offer Statistics'!$EO$2:$EO$350),0)),"/")</f>
        <v>485</v>
      </c>
      <c r="W348" s="2" cm="1">
        <f t="array" ref="W348">IFERROR(INDEX('Offer Statistics'!$EX$2:$EX$350,MATCH(1,($A348='Offer Statistics'!$EN$2:$EN$350)*($A$11='Offer Statistics'!$EO$2:$EO$350),0)),"/")</f>
        <v>36</v>
      </c>
      <c r="X348" s="2">
        <f t="shared" si="830"/>
        <v>13.472222222222221</v>
      </c>
      <c r="Y348" s="2" t="s">
        <v>817</v>
      </c>
      <c r="Z348" s="2" t="str">
        <f>入學要求!AF357</f>
        <v>/</v>
      </c>
      <c r="AA348" s="2" t="str">
        <f>入學要求!AG357</f>
        <v>/</v>
      </c>
      <c r="AB348" s="2" t="s">
        <v>889</v>
      </c>
      <c r="AE348" s="2" t="s">
        <v>356</v>
      </c>
      <c r="AF348" s="2" t="s">
        <v>356</v>
      </c>
      <c r="AG348" s="2" t="s">
        <v>2015</v>
      </c>
      <c r="AH348" s="2" t="s">
        <v>356</v>
      </c>
      <c r="AI348" s="2" t="s">
        <v>356</v>
      </c>
      <c r="AJ348" s="2" t="s">
        <v>356</v>
      </c>
      <c r="AK348" s="2" t="s">
        <v>356</v>
      </c>
      <c r="AL348" s="2" t="s">
        <v>356</v>
      </c>
      <c r="AM348" s="2" t="s">
        <v>356</v>
      </c>
      <c r="AN348" s="2" t="s">
        <v>356</v>
      </c>
      <c r="AO348" s="2" t="s">
        <v>356</v>
      </c>
      <c r="AP348" s="2" t="s">
        <v>356</v>
      </c>
      <c r="AQ348" s="2" t="s">
        <v>356</v>
      </c>
      <c r="AS348" s="2" t="s">
        <v>820</v>
      </c>
      <c r="AU348" s="2" t="s">
        <v>817</v>
      </c>
    </row>
    <row r="349" spans="1:47">
      <c r="A349" s="2" t="s">
        <v>2017</v>
      </c>
      <c r="B349" s="2" t="s">
        <v>265</v>
      </c>
      <c r="C349" s="2" t="s">
        <v>2018</v>
      </c>
      <c r="D349" s="2" t="s">
        <v>2019</v>
      </c>
      <c r="E349" s="366" t="s">
        <v>889</v>
      </c>
      <c r="F349" s="2" t="s">
        <v>356</v>
      </c>
      <c r="G349" s="2" t="s">
        <v>435</v>
      </c>
      <c r="H349" s="2">
        <v>15</v>
      </c>
      <c r="I349" s="2">
        <v>14</v>
      </c>
      <c r="M349" s="2" t="s">
        <v>356</v>
      </c>
      <c r="N349" s="2" t="s">
        <v>356</v>
      </c>
      <c r="O349" s="2" t="s">
        <v>356</v>
      </c>
      <c r="P349" s="2" t="s">
        <v>356</v>
      </c>
      <c r="Q349" s="2" t="s">
        <v>356</v>
      </c>
      <c r="R349" s="2" t="s">
        <v>2020</v>
      </c>
      <c r="S349" s="2" t="s">
        <v>817</v>
      </c>
      <c r="T349" s="2">
        <v>30</v>
      </c>
      <c r="U349" s="2" cm="1">
        <f t="array" ref="U349">IFERROR(INDEX('Offer Statistics'!$FC$2:$FC$350,MATCH(1,($A349='Offer Statistics'!$EN$2:$EN$350)*($A$11='Offer Statistics'!$EO$2:$EO$350),0)),"/")</f>
        <v>51</v>
      </c>
      <c r="V349" s="2" cm="1">
        <f t="array" ref="V349">IFERROR(INDEX('Offer Statistics'!$EP$2:$EP$350,MATCH(1,($A349='Offer Statistics'!$EN$2:$EN$350)*($A$11='Offer Statistics'!$EO$2:$EO$350),0)),"/")</f>
        <v>385</v>
      </c>
      <c r="W349" s="2" cm="1">
        <f t="array" ref="W349">IFERROR(INDEX('Offer Statistics'!$EX$2:$EX$350,MATCH(1,($A349='Offer Statistics'!$EN$2:$EN$350)*($A$11='Offer Statistics'!$EO$2:$EO$350),0)),"/")</f>
        <v>27</v>
      </c>
      <c r="X349" s="2">
        <f t="shared" si="830"/>
        <v>14.25925925925926</v>
      </c>
      <c r="Y349" s="2" t="s">
        <v>817</v>
      </c>
      <c r="Z349" s="2" t="str">
        <f>入學要求!AF358</f>
        <v>/</v>
      </c>
      <c r="AA349" s="2" t="str">
        <f>入學要求!AG358</f>
        <v>/</v>
      </c>
      <c r="AB349" s="2" t="s">
        <v>889</v>
      </c>
      <c r="AE349" s="2" t="s">
        <v>356</v>
      </c>
      <c r="AF349" s="2" t="s">
        <v>356</v>
      </c>
      <c r="AG349" s="2" t="s">
        <v>356</v>
      </c>
      <c r="AH349" s="2" t="s">
        <v>356</v>
      </c>
      <c r="AI349" s="2" t="s">
        <v>356</v>
      </c>
      <c r="AJ349" s="2" t="s">
        <v>356</v>
      </c>
      <c r="AK349" s="2" t="s">
        <v>356</v>
      </c>
      <c r="AL349" s="2" t="s">
        <v>356</v>
      </c>
      <c r="AM349" s="2" t="s">
        <v>356</v>
      </c>
      <c r="AN349" s="2" t="s">
        <v>356</v>
      </c>
      <c r="AO349" s="2" t="s">
        <v>356</v>
      </c>
      <c r="AP349" s="2" t="s">
        <v>356</v>
      </c>
      <c r="AQ349" s="2" t="s">
        <v>356</v>
      </c>
      <c r="AS349" s="2" t="s">
        <v>820</v>
      </c>
      <c r="AU349" s="2" t="s">
        <v>817</v>
      </c>
    </row>
    <row r="350" spans="1:47">
      <c r="A350" s="2" t="s">
        <v>2021</v>
      </c>
      <c r="B350" s="2" t="s">
        <v>265</v>
      </c>
      <c r="C350" s="2" t="s">
        <v>2018</v>
      </c>
      <c r="D350" s="2" t="s">
        <v>2022</v>
      </c>
      <c r="E350" s="366" t="s">
        <v>889</v>
      </c>
      <c r="F350" s="2" t="s">
        <v>356</v>
      </c>
      <c r="G350" s="2" t="s">
        <v>435</v>
      </c>
      <c r="H350" s="2">
        <v>16</v>
      </c>
      <c r="I350" s="2">
        <v>16</v>
      </c>
      <c r="M350" s="2" t="s">
        <v>356</v>
      </c>
      <c r="N350" s="2" t="s">
        <v>356</v>
      </c>
      <c r="O350" s="2" t="s">
        <v>356</v>
      </c>
      <c r="P350" s="2" t="s">
        <v>356</v>
      </c>
      <c r="Q350" s="2" t="s">
        <v>356</v>
      </c>
      <c r="R350" s="2" t="s">
        <v>2023</v>
      </c>
      <c r="S350" s="2" t="s">
        <v>817</v>
      </c>
      <c r="T350" s="2">
        <v>30</v>
      </c>
      <c r="U350" s="2" cm="1">
        <f t="array" ref="U350">IFERROR(INDEX('Offer Statistics'!$FC$2:$FC$350,MATCH(1,($A350='Offer Statistics'!$EN$2:$EN$350)*($A$11='Offer Statistics'!$EO$2:$EO$350),0)),"/")</f>
        <v>65</v>
      </c>
      <c r="V350" s="2" cm="1">
        <f t="array" ref="V350">IFERROR(INDEX('Offer Statistics'!$EP$2:$EP$350,MATCH(1,($A350='Offer Statistics'!$EN$2:$EN$350)*($A$11='Offer Statistics'!$EO$2:$EO$350),0)),"/")</f>
        <v>226</v>
      </c>
      <c r="W350" s="2" cm="1">
        <f t="array" ref="W350">IFERROR(INDEX('Offer Statistics'!$EX$2:$EX$350,MATCH(1,($A350='Offer Statistics'!$EN$2:$EN$350)*($A$11='Offer Statistics'!$EO$2:$EO$350),0)),"/")</f>
        <v>33</v>
      </c>
      <c r="X350" s="2">
        <f t="shared" si="830"/>
        <v>6.8484848484848486</v>
      </c>
      <c r="Y350" s="2" t="s">
        <v>817</v>
      </c>
      <c r="Z350" s="2" t="str">
        <f>入學要求!AF359</f>
        <v>/</v>
      </c>
      <c r="AA350" s="2" t="str">
        <f>入學要求!AG359</f>
        <v>/</v>
      </c>
      <c r="AB350" s="2" t="s">
        <v>889</v>
      </c>
      <c r="AE350" s="2" t="s">
        <v>356</v>
      </c>
      <c r="AF350" s="2" t="s">
        <v>356</v>
      </c>
      <c r="AG350" s="2" t="s">
        <v>356</v>
      </c>
      <c r="AH350" s="2" t="s">
        <v>356</v>
      </c>
      <c r="AI350" s="2" t="s">
        <v>356</v>
      </c>
      <c r="AJ350" s="2" t="s">
        <v>356</v>
      </c>
      <c r="AK350" s="2" t="s">
        <v>356</v>
      </c>
      <c r="AL350" s="2" t="s">
        <v>356</v>
      </c>
      <c r="AM350" s="2" t="s">
        <v>356</v>
      </c>
      <c r="AN350" s="2" t="s">
        <v>356</v>
      </c>
      <c r="AO350" s="2" t="s">
        <v>356</v>
      </c>
      <c r="AP350" s="2" t="s">
        <v>356</v>
      </c>
      <c r="AQ350" s="2" t="s">
        <v>356</v>
      </c>
      <c r="AS350" s="2" t="s">
        <v>820</v>
      </c>
      <c r="AU350" s="2" t="s">
        <v>817</v>
      </c>
    </row>
    <row r="351" spans="1:47">
      <c r="A351" s="2" t="s">
        <v>2024</v>
      </c>
      <c r="B351" s="2" t="s">
        <v>265</v>
      </c>
      <c r="C351" s="2" t="s">
        <v>2018</v>
      </c>
      <c r="D351" s="2" t="s">
        <v>2025</v>
      </c>
      <c r="E351" s="366" t="s">
        <v>889</v>
      </c>
      <c r="F351" s="2" t="s">
        <v>356</v>
      </c>
      <c r="G351" s="2" t="s">
        <v>435</v>
      </c>
      <c r="H351" s="2">
        <v>17</v>
      </c>
      <c r="I351" s="2">
        <v>15</v>
      </c>
      <c r="M351" s="2" t="s">
        <v>356</v>
      </c>
      <c r="N351" s="2" t="s">
        <v>356</v>
      </c>
      <c r="O351" s="2" t="s">
        <v>356</v>
      </c>
      <c r="P351" s="2" t="s">
        <v>356</v>
      </c>
      <c r="Q351" s="2" t="s">
        <v>356</v>
      </c>
      <c r="R351" s="2" t="s">
        <v>2026</v>
      </c>
      <c r="S351" s="2" t="s">
        <v>817</v>
      </c>
      <c r="T351" s="2">
        <v>35</v>
      </c>
      <c r="U351" s="2" cm="1">
        <f t="array" ref="U351">IFERROR(INDEX('Offer Statistics'!$FC$2:$FC$350,MATCH(1,($A351='Offer Statistics'!$EN$2:$EN$350)*($A$11='Offer Statistics'!$EO$2:$EO$350),0)),"/")</f>
        <v>39</v>
      </c>
      <c r="V351" s="2" cm="1">
        <f t="array" ref="V351">IFERROR(INDEX('Offer Statistics'!$EP$2:$EP$350,MATCH(1,($A351='Offer Statistics'!$EN$2:$EN$350)*($A$11='Offer Statistics'!$EO$2:$EO$350),0)),"/")</f>
        <v>174</v>
      </c>
      <c r="W351" s="2" cm="1">
        <f t="array" ref="W351">IFERROR(INDEX('Offer Statistics'!$EX$2:$EX$350,MATCH(1,($A351='Offer Statistics'!$EN$2:$EN$350)*($A$11='Offer Statistics'!$EO$2:$EO$350),0)),"/")</f>
        <v>31</v>
      </c>
      <c r="X351" s="2">
        <f t="shared" si="830"/>
        <v>5.612903225806452</v>
      </c>
      <c r="Y351" s="2" t="s">
        <v>817</v>
      </c>
      <c r="Z351" s="2" t="str">
        <f>入學要求!AF360</f>
        <v>/</v>
      </c>
      <c r="AA351" s="2" t="str">
        <f>入學要求!AG360</f>
        <v>/</v>
      </c>
      <c r="AB351" s="2" t="s">
        <v>889</v>
      </c>
      <c r="AE351" s="2" t="s">
        <v>356</v>
      </c>
      <c r="AF351" s="2" t="s">
        <v>356</v>
      </c>
      <c r="AG351" s="2" t="s">
        <v>356</v>
      </c>
      <c r="AH351" s="2" t="s">
        <v>356</v>
      </c>
      <c r="AI351" s="2" t="s">
        <v>356</v>
      </c>
      <c r="AJ351" s="2" t="s">
        <v>356</v>
      </c>
      <c r="AK351" s="2" t="s">
        <v>356</v>
      </c>
      <c r="AL351" s="2" t="s">
        <v>356</v>
      </c>
      <c r="AM351" s="2" t="s">
        <v>356</v>
      </c>
      <c r="AN351" s="2" t="s">
        <v>356</v>
      </c>
      <c r="AO351" s="2" t="s">
        <v>356</v>
      </c>
      <c r="AP351" s="2" t="s">
        <v>356</v>
      </c>
      <c r="AQ351" s="2" t="s">
        <v>356</v>
      </c>
      <c r="AS351" s="2" t="s">
        <v>820</v>
      </c>
      <c r="AU351" s="2" t="s">
        <v>817</v>
      </c>
    </row>
    <row r="352" spans="1:47">
      <c r="A352" s="2" t="s">
        <v>2027</v>
      </c>
      <c r="B352" s="2" t="s">
        <v>265</v>
      </c>
      <c r="C352" s="2" t="s">
        <v>2018</v>
      </c>
      <c r="D352" s="2" t="s">
        <v>2028</v>
      </c>
      <c r="E352" s="366" t="s">
        <v>889</v>
      </c>
      <c r="F352" s="2" t="s">
        <v>356</v>
      </c>
      <c r="G352" s="2" t="s">
        <v>435</v>
      </c>
      <c r="H352" s="2">
        <v>17</v>
      </c>
      <c r="I352" s="2">
        <v>16</v>
      </c>
      <c r="M352" s="2" t="s">
        <v>356</v>
      </c>
      <c r="N352" s="2" t="s">
        <v>356</v>
      </c>
      <c r="O352" s="2" t="s">
        <v>356</v>
      </c>
      <c r="P352" s="2" t="s">
        <v>356</v>
      </c>
      <c r="Q352" s="2" t="s">
        <v>356</v>
      </c>
      <c r="R352" s="2" t="s">
        <v>2029</v>
      </c>
      <c r="S352" s="2" t="s">
        <v>817</v>
      </c>
      <c r="T352" s="2">
        <v>30</v>
      </c>
      <c r="U352" s="2" cm="1">
        <f t="array" ref="U352">IFERROR(INDEX('Offer Statistics'!$FC$2:$FC$350,MATCH(1,($A352='Offer Statistics'!$EN$2:$EN$350)*($A$11='Offer Statistics'!$EO$2:$EO$350),0)),"/")</f>
        <v>83</v>
      </c>
      <c r="V352" s="2" cm="1">
        <f t="array" ref="V352">IFERROR(INDEX('Offer Statistics'!$EP$2:$EP$350,MATCH(1,($A352='Offer Statistics'!$EN$2:$EN$350)*($A$11='Offer Statistics'!$EO$2:$EO$350),0)),"/")</f>
        <v>228</v>
      </c>
      <c r="W352" s="2" cm="1">
        <f t="array" ref="W352">IFERROR(INDEX('Offer Statistics'!$EX$2:$EX$350,MATCH(1,($A352='Offer Statistics'!$EN$2:$EN$350)*($A$11='Offer Statistics'!$EO$2:$EO$350),0)),"/")</f>
        <v>44</v>
      </c>
      <c r="X352" s="2">
        <f t="shared" si="830"/>
        <v>5.1818181818181817</v>
      </c>
      <c r="Y352" s="2" t="s">
        <v>817</v>
      </c>
      <c r="Z352" s="2" t="str">
        <f>入學要求!AF361</f>
        <v>/</v>
      </c>
      <c r="AA352" s="2" t="str">
        <f>入學要求!AG361</f>
        <v>/</v>
      </c>
      <c r="AB352" s="2" t="s">
        <v>889</v>
      </c>
      <c r="AE352" s="2" t="s">
        <v>356</v>
      </c>
      <c r="AF352" s="2" t="s">
        <v>356</v>
      </c>
      <c r="AG352" s="2" t="s">
        <v>356</v>
      </c>
      <c r="AH352" s="2" t="s">
        <v>356</v>
      </c>
      <c r="AI352" s="2" t="s">
        <v>356</v>
      </c>
      <c r="AJ352" s="2" t="s">
        <v>356</v>
      </c>
      <c r="AK352" s="2" t="s">
        <v>356</v>
      </c>
      <c r="AL352" s="2" t="s">
        <v>356</v>
      </c>
      <c r="AM352" s="2" t="s">
        <v>356</v>
      </c>
      <c r="AN352" s="2" t="s">
        <v>356</v>
      </c>
      <c r="AO352" s="2" t="s">
        <v>356</v>
      </c>
      <c r="AP352" s="2" t="s">
        <v>356</v>
      </c>
      <c r="AQ352" s="2" t="s">
        <v>356</v>
      </c>
      <c r="AS352" s="2" t="s">
        <v>820</v>
      </c>
      <c r="AU352" s="2" t="s">
        <v>817</v>
      </c>
    </row>
    <row r="353" spans="1:172">
      <c r="A353" s="2" t="s">
        <v>2030</v>
      </c>
      <c r="B353" s="2" t="s">
        <v>265</v>
      </c>
      <c r="C353" s="2" t="s">
        <v>2018</v>
      </c>
      <c r="D353" s="2" t="s">
        <v>2031</v>
      </c>
      <c r="E353" s="366" t="s">
        <v>889</v>
      </c>
      <c r="F353" s="2" t="s">
        <v>356</v>
      </c>
      <c r="G353" s="2" t="s">
        <v>435</v>
      </c>
      <c r="H353" s="2">
        <v>16</v>
      </c>
      <c r="I353" s="2">
        <v>16</v>
      </c>
      <c r="M353" s="2" t="s">
        <v>356</v>
      </c>
      <c r="N353" s="2" t="s">
        <v>356</v>
      </c>
      <c r="O353" s="2" t="s">
        <v>356</v>
      </c>
      <c r="P353" s="2" t="s">
        <v>356</v>
      </c>
      <c r="Q353" s="2" t="s">
        <v>356</v>
      </c>
      <c r="R353" s="2" t="s">
        <v>2032</v>
      </c>
      <c r="S353" s="2" t="s">
        <v>817</v>
      </c>
      <c r="T353" s="2">
        <v>30</v>
      </c>
      <c r="U353" s="2" cm="1">
        <f t="array" ref="U353">IFERROR(INDEX('Offer Statistics'!$FC$2:$FC$350,MATCH(1,($A353='Offer Statistics'!$EN$2:$EN$350)*($A$11='Offer Statistics'!$EO$2:$EO$350),0)),"/")</f>
        <v>11</v>
      </c>
      <c r="V353" s="2" cm="1">
        <f t="array" ref="V353">IFERROR(INDEX('Offer Statistics'!$EP$2:$EP$350,MATCH(1,($A353='Offer Statistics'!$EN$2:$EN$350)*($A$11='Offer Statistics'!$EO$2:$EO$350),0)),"/")</f>
        <v>59</v>
      </c>
      <c r="W353" s="2" cm="1">
        <f t="array" ref="W353">IFERROR(INDEX('Offer Statistics'!$EX$2:$EX$350,MATCH(1,($A353='Offer Statistics'!$EN$2:$EN$350)*($A$11='Offer Statistics'!$EO$2:$EO$350),0)),"/")</f>
        <v>5</v>
      </c>
      <c r="X353" s="2">
        <f t="shared" si="830"/>
        <v>11.8</v>
      </c>
      <c r="Y353" s="2" t="s">
        <v>817</v>
      </c>
      <c r="Z353" s="2" t="str">
        <f>入學要求!AF362</f>
        <v>/</v>
      </c>
      <c r="AA353" s="2" t="str">
        <f>入學要求!AG362</f>
        <v>/</v>
      </c>
      <c r="AB353" s="2" t="s">
        <v>889</v>
      </c>
      <c r="AE353" s="2" t="s">
        <v>356</v>
      </c>
      <c r="AF353" s="2" t="s">
        <v>356</v>
      </c>
      <c r="AG353" s="2" t="s">
        <v>356</v>
      </c>
      <c r="AH353" s="2" t="s">
        <v>356</v>
      </c>
      <c r="AI353" s="2" t="s">
        <v>356</v>
      </c>
      <c r="AK353" s="2" t="s">
        <v>356</v>
      </c>
      <c r="AL353" s="2" t="s">
        <v>356</v>
      </c>
      <c r="AM353" s="2" t="s">
        <v>356</v>
      </c>
      <c r="AN353" s="2" t="s">
        <v>356</v>
      </c>
      <c r="AO353" s="2" t="s">
        <v>356</v>
      </c>
      <c r="AP353" s="2" t="s">
        <v>356</v>
      </c>
      <c r="AQ353" s="2" t="s">
        <v>356</v>
      </c>
      <c r="AS353" s="2" t="s">
        <v>820</v>
      </c>
      <c r="AU353" s="2" t="s">
        <v>817</v>
      </c>
    </row>
    <row r="354" spans="1:172">
      <c r="B354" s="359" t="s">
        <v>3262</v>
      </c>
      <c r="E354" s="11"/>
    </row>
    <row r="355" spans="1:172">
      <c r="B355" s="360"/>
    </row>
    <row r="356" spans="1:172">
      <c r="A356" s="95" t="s">
        <v>2033</v>
      </c>
      <c r="B356" s="95" t="s">
        <v>416</v>
      </c>
      <c r="C356" s="95" t="s">
        <v>2034</v>
      </c>
      <c r="D356" s="95" t="s">
        <v>2751</v>
      </c>
      <c r="E356" s="364" t="s">
        <v>889</v>
      </c>
      <c r="F356" s="364">
        <v>16</v>
      </c>
      <c r="G356" s="364" t="s">
        <v>356</v>
      </c>
      <c r="H356" s="364">
        <v>16</v>
      </c>
      <c r="I356" s="364" t="s">
        <v>356</v>
      </c>
      <c r="M356" s="364" t="s">
        <v>3263</v>
      </c>
      <c r="R356" s="95" t="s">
        <v>2410</v>
      </c>
      <c r="T356" s="2">
        <v>640</v>
      </c>
      <c r="U356" s="2" cm="1">
        <f t="array" ref="U356">IFERROR(INDEX('Offer Statistics'!$FU$2:$FU$450,MATCH(1,($A356='Offer Statistics'!$FF$2:$FF$450)*($A$11='Offer Statistics'!$FG$2:$FG$450),0)),"/")</f>
        <v>669</v>
      </c>
      <c r="V356" s="2" cm="1">
        <f t="array" ref="V356">IFERROR(INDEX('Offer Statistics'!$FH$2:$FH$450,MATCH(1,($A356='Offer Statistics'!$FF$2:$FF$450)*($A$11='Offer Statistics'!$FG$2:$FG$450),0)),"/")</f>
        <v>2606</v>
      </c>
      <c r="W356" s="2" cm="1">
        <f t="array" ref="W356">IFERROR(INDEX('Offer Statistics'!$FP$2:$FP$450,MATCH(1,($A356='Offer Statistics'!$FF$2:$FF$450)*($A$11='Offer Statistics'!$FG$2:$FG$450),0)),"/")</f>
        <v>537</v>
      </c>
      <c r="X356" s="2">
        <f t="shared" ref="X356" si="831">IFERROR(V356/W356,"新科目")</f>
        <v>4.8528864059590315</v>
      </c>
      <c r="Y356" s="2" t="s">
        <v>2035</v>
      </c>
      <c r="Z356" s="2" t="str">
        <f>入學要求!AF365</f>
        <v>優先考慮 生物 或 組合科學 (生物) 考獲Lv.2或以上者</v>
      </c>
      <c r="AA356" s="2" t="str">
        <f>入學要求!AG365</f>
        <v>/</v>
      </c>
      <c r="AB356" s="364" t="s">
        <v>889</v>
      </c>
      <c r="AQ356" s="2" t="s">
        <v>356</v>
      </c>
      <c r="AS356" s="2" t="s">
        <v>1847</v>
      </c>
      <c r="AU356" s="2" t="s">
        <v>817</v>
      </c>
    </row>
    <row r="357" spans="1:172">
      <c r="A357" s="95" t="s">
        <v>2036</v>
      </c>
      <c r="B357" s="95" t="s">
        <v>416</v>
      </c>
      <c r="C357" s="95" t="s">
        <v>2034</v>
      </c>
      <c r="D357" s="95" t="s">
        <v>2644</v>
      </c>
      <c r="E357" s="364" t="s">
        <v>889</v>
      </c>
      <c r="F357" s="364">
        <v>14</v>
      </c>
      <c r="G357" s="364" t="s">
        <v>356</v>
      </c>
      <c r="H357" s="364">
        <v>14</v>
      </c>
      <c r="I357" s="364" t="s">
        <v>356</v>
      </c>
      <c r="M357" s="364"/>
      <c r="R357" s="95" t="s">
        <v>2037</v>
      </c>
      <c r="T357" s="2">
        <v>20</v>
      </c>
      <c r="U357" s="2" cm="1">
        <f t="array" ref="U357">IFERROR(INDEX('Offer Statistics'!$FU$2:$FU$450,MATCH(1,($A357='Offer Statistics'!$FF$2:$FF$450)*($A$11='Offer Statistics'!$FG$2:$FG$450),0)),"/")</f>
        <v>22</v>
      </c>
      <c r="V357" s="2" cm="1">
        <f t="array" ref="V357">IFERROR(INDEX('Offer Statistics'!$FH$2:$FH$450,MATCH(1,($A357='Offer Statistics'!$FF$2:$FF$450)*($A$11='Offer Statistics'!$FG$2:$FG$450),0)),"/")</f>
        <v>148</v>
      </c>
      <c r="W357" s="2" cm="1">
        <f t="array" ref="W357">IFERROR(INDEX('Offer Statistics'!$FP$2:$FP$450,MATCH(1,($A357='Offer Statistics'!$FF$2:$FF$450)*($A$11='Offer Statistics'!$FG$2:$FG$450),0)),"/")</f>
        <v>12</v>
      </c>
      <c r="X357" s="2">
        <f t="shared" ref="X357:X407" si="832">IFERROR(V357/W357,"新科目")</f>
        <v>12.333333333333334</v>
      </c>
      <c r="Y357" s="2" t="s">
        <v>2035</v>
      </c>
      <c r="Z357" s="2" t="str">
        <f>入學要求!AF366</f>
        <v>申請人在兩個選修科目中的表現將被視為收生過程中的加分項目</v>
      </c>
      <c r="AA357" s="2" t="str">
        <f>入學要求!AG366</f>
        <v>/</v>
      </c>
      <c r="AB357" s="364" t="s">
        <v>889</v>
      </c>
      <c r="AQ357" s="2" t="s">
        <v>356</v>
      </c>
      <c r="AS357" s="2" t="s">
        <v>1847</v>
      </c>
      <c r="AU357" s="2" t="s">
        <v>817</v>
      </c>
    </row>
    <row r="358" spans="1:172">
      <c r="A358" s="95" t="s">
        <v>2038</v>
      </c>
      <c r="B358" s="95" t="s">
        <v>416</v>
      </c>
      <c r="C358" s="95" t="s">
        <v>2034</v>
      </c>
      <c r="D358" s="95" t="s">
        <v>2645</v>
      </c>
      <c r="E358" s="364" t="s">
        <v>889</v>
      </c>
      <c r="F358" s="364">
        <v>21</v>
      </c>
      <c r="G358" s="364" t="s">
        <v>356</v>
      </c>
      <c r="H358" s="364">
        <v>21</v>
      </c>
      <c r="I358" s="364" t="s">
        <v>356</v>
      </c>
      <c r="M358" s="364" t="s">
        <v>3263</v>
      </c>
      <c r="N358" s="364" t="s">
        <v>3264</v>
      </c>
      <c r="R358" s="95" t="s">
        <v>2040</v>
      </c>
      <c r="T358" s="2">
        <v>60</v>
      </c>
      <c r="U358" s="2" cm="1">
        <f t="array" ref="U358">IFERROR(INDEX('Offer Statistics'!$FU$2:$FU$450,MATCH(1,($A358='Offer Statistics'!$FF$2:$FF$450)*($A$11='Offer Statistics'!$FG$2:$FG$450),0)),"/")</f>
        <v>60</v>
      </c>
      <c r="V358" s="2" cm="1">
        <f t="array" ref="V358">IFERROR(INDEX('Offer Statistics'!$FH$2:$FH$450,MATCH(1,($A358='Offer Statistics'!$FF$2:$FF$450)*($A$11='Offer Statistics'!$FG$2:$FG$450),0)),"/")</f>
        <v>663</v>
      </c>
      <c r="W358" s="2" cm="1">
        <f t="array" ref="W358">IFERROR(INDEX('Offer Statistics'!$FP$2:$FP$450,MATCH(1,($A358='Offer Statistics'!$FF$2:$FF$450)*($A$11='Offer Statistics'!$FG$2:$FG$450),0)),"/")</f>
        <v>60</v>
      </c>
      <c r="X358" s="2">
        <f t="shared" si="832"/>
        <v>11.05</v>
      </c>
      <c r="Y358" s="2" t="s">
        <v>2035</v>
      </c>
      <c r="Z358" s="2" t="str">
        <f>入學要求!AF367</f>
        <v>優先考慮:  英文 考獲 Lv.4 或以上 者 及</v>
      </c>
      <c r="AA358" s="2" t="str">
        <f>入學要求!AG367</f>
        <v>優先考慮 物理 或 生物 或 組合科學 (物理、生物) 考獲Lv.3或以上者</v>
      </c>
      <c r="AB358" s="364" t="s">
        <v>889</v>
      </c>
      <c r="AE358" s="2" t="s">
        <v>664</v>
      </c>
      <c r="AF358" s="2" t="s">
        <v>2039</v>
      </c>
      <c r="AQ358" s="2" t="s">
        <v>356</v>
      </c>
      <c r="AS358" s="2" t="s">
        <v>1847</v>
      </c>
      <c r="AU358" s="2" t="s">
        <v>817</v>
      </c>
    </row>
    <row r="359" spans="1:172">
      <c r="A359" s="95" t="s">
        <v>2041</v>
      </c>
      <c r="B359" s="95" t="s">
        <v>416</v>
      </c>
      <c r="C359" s="95" t="s">
        <v>2034</v>
      </c>
      <c r="D359" s="95" t="s">
        <v>2646</v>
      </c>
      <c r="E359" s="364" t="s">
        <v>889</v>
      </c>
      <c r="F359" s="364">
        <v>16</v>
      </c>
      <c r="G359" s="364" t="s">
        <v>356</v>
      </c>
      <c r="H359" s="364">
        <v>16</v>
      </c>
      <c r="I359" s="364" t="s">
        <v>356</v>
      </c>
      <c r="M359" s="204"/>
      <c r="R359" s="95" t="s">
        <v>2042</v>
      </c>
      <c r="T359" s="2">
        <v>20</v>
      </c>
      <c r="U359" s="2" cm="1">
        <f t="array" ref="U359">IFERROR(INDEX('Offer Statistics'!$FU$2:$FU$450,MATCH(1,($A359='Offer Statistics'!$FF$2:$FF$450)*($A$11='Offer Statistics'!$FG$2:$FG$450),0)),"/")</f>
        <v>21</v>
      </c>
      <c r="V359" s="2" cm="1">
        <f t="array" ref="V359">IFERROR(INDEX('Offer Statistics'!$FH$2:$FH$450,MATCH(1,($A359='Offer Statistics'!$FF$2:$FF$450)*($A$11='Offer Statistics'!$FG$2:$FG$450),0)),"/")</f>
        <v>197</v>
      </c>
      <c r="W359" s="2" cm="1">
        <f t="array" ref="W359">IFERROR(INDEX('Offer Statistics'!$FP$2:$FP$450,MATCH(1,($A359='Offer Statistics'!$FF$2:$FF$450)*($A$11='Offer Statistics'!$FG$2:$FG$450),0)),"/")</f>
        <v>12</v>
      </c>
      <c r="X359" s="2">
        <f t="shared" si="832"/>
        <v>16.416666666666668</v>
      </c>
      <c r="Y359" s="2" t="s">
        <v>2035</v>
      </c>
      <c r="Z359" s="2" t="str">
        <f>入學要求!AF368</f>
        <v>申請人在兩個選修科目中的表現將被視為收生過程中的加分項目</v>
      </c>
      <c r="AA359" s="2" t="str">
        <f>入學要求!AG368</f>
        <v>/</v>
      </c>
      <c r="AB359" s="364" t="s">
        <v>889</v>
      </c>
      <c r="AQ359" s="2" t="s">
        <v>356</v>
      </c>
      <c r="AS359" s="2" t="s">
        <v>1847</v>
      </c>
      <c r="AU359" s="2" t="s">
        <v>817</v>
      </c>
    </row>
    <row r="360" spans="1:172">
      <c r="A360" s="95" t="s">
        <v>2043</v>
      </c>
      <c r="B360" s="95" t="s">
        <v>416</v>
      </c>
      <c r="C360" s="95" t="s">
        <v>2034</v>
      </c>
      <c r="D360" s="95" t="s">
        <v>2752</v>
      </c>
      <c r="E360" s="364" t="s">
        <v>889</v>
      </c>
      <c r="F360" s="364">
        <v>17</v>
      </c>
      <c r="G360" s="364" t="s">
        <v>356</v>
      </c>
      <c r="H360" s="364">
        <v>17</v>
      </c>
      <c r="I360" s="364" t="s">
        <v>356</v>
      </c>
      <c r="R360" s="95" t="s">
        <v>2648</v>
      </c>
      <c r="T360" s="2">
        <v>10</v>
      </c>
      <c r="U360" s="2" cm="1">
        <f t="array" ref="U360">IFERROR(INDEX('Offer Statistics'!$FU$2:$FU$450,MATCH(1,($A360='Offer Statistics'!$FF$2:$FF$450)*($A$11='Offer Statistics'!$FG$2:$FG$450),0)),"/")</f>
        <v>18</v>
      </c>
      <c r="V360" s="2" cm="1">
        <f t="array" ref="V360">IFERROR(INDEX('Offer Statistics'!$FH$2:$FH$450,MATCH(1,($A360='Offer Statistics'!$FF$2:$FF$450)*($A$11='Offer Statistics'!$FG$2:$FG$450),0)),"/")</f>
        <v>38</v>
      </c>
      <c r="W360" s="2" cm="1">
        <f t="array" ref="W360">IFERROR(INDEX('Offer Statistics'!$FP$2:$FP$450,MATCH(1,($A360='Offer Statistics'!$FF$2:$FF$450)*($A$11='Offer Statistics'!$FG$2:$FG$450),0)),"/")</f>
        <v>7</v>
      </c>
      <c r="X360" s="2">
        <f t="shared" si="832"/>
        <v>5.4285714285714288</v>
      </c>
      <c r="Y360" s="2" t="s">
        <v>2035</v>
      </c>
      <c r="Z360" s="2" t="str">
        <f>入學要求!AF369</f>
        <v>/</v>
      </c>
      <c r="AA360" s="2" t="str">
        <f>入學要求!AG369</f>
        <v>/</v>
      </c>
      <c r="AB360" s="364" t="s">
        <v>889</v>
      </c>
      <c r="AQ360" s="2" t="s">
        <v>356</v>
      </c>
      <c r="AS360" s="2" t="s">
        <v>1847</v>
      </c>
      <c r="AU360" s="2" t="s">
        <v>817</v>
      </c>
    </row>
    <row r="361" spans="1:172">
      <c r="A361" s="95" t="s">
        <v>2695</v>
      </c>
      <c r="B361" s="95" t="s">
        <v>416</v>
      </c>
      <c r="C361" s="95" t="s">
        <v>2034</v>
      </c>
      <c r="D361" s="95" t="s">
        <v>2753</v>
      </c>
      <c r="E361" s="55" t="s">
        <v>2804</v>
      </c>
      <c r="G361" s="2" t="s">
        <v>356</v>
      </c>
      <c r="H361" s="2" t="s">
        <v>356</v>
      </c>
      <c r="I361" s="2" t="s">
        <v>356</v>
      </c>
      <c r="R361" s="95" t="s">
        <v>2696</v>
      </c>
      <c r="T361" s="2">
        <v>15</v>
      </c>
      <c r="U361" s="2" t="str" cm="1">
        <f t="array" ref="U361">IFERROR(INDEX('Offer Statistics'!$FU$2:$FU$450,MATCH(1,($A361='Offer Statistics'!$FF$2:$FF$450)*($A$11='Offer Statistics'!$FG$2:$FG$450),0)),"/")</f>
        <v>/</v>
      </c>
      <c r="V361" s="2" t="str" cm="1">
        <f t="array" ref="V361">IFERROR(INDEX('Offer Statistics'!$FH$2:$FH$450,MATCH(1,($A361='Offer Statistics'!$FF$2:$FF$450)*($A$11='Offer Statistics'!$FG$2:$FG$450),0)),"/")</f>
        <v>/</v>
      </c>
      <c r="W361" s="2" t="str" cm="1">
        <f t="array" ref="W361">IFERROR(INDEX('Offer Statistics'!$FP$2:$FP$450,MATCH(1,($A361='Offer Statistics'!$FF$2:$FF$450)*($A$11='Offer Statistics'!$FG$2:$FG$450),0)),"/")</f>
        <v>/</v>
      </c>
      <c r="X361" s="2" t="str">
        <f t="shared" si="832"/>
        <v>新科目</v>
      </c>
      <c r="Y361" s="2" t="s">
        <v>2035</v>
      </c>
      <c r="Z361" s="2" t="str">
        <f>入學要求!AF370</f>
        <v>/</v>
      </c>
      <c r="AA361" s="2" t="str">
        <f>入學要求!AG370</f>
        <v>/</v>
      </c>
      <c r="AB361" s="364" t="s">
        <v>889</v>
      </c>
      <c r="AQ361" s="2" t="s">
        <v>356</v>
      </c>
      <c r="AS361" s="2" t="s">
        <v>1847</v>
      </c>
      <c r="AU361" s="2" t="s">
        <v>817</v>
      </c>
    </row>
    <row r="362" spans="1:172">
      <c r="A362" s="95" t="s">
        <v>2044</v>
      </c>
      <c r="B362" s="95" t="s">
        <v>416</v>
      </c>
      <c r="C362" s="95" t="s">
        <v>2045</v>
      </c>
      <c r="D362" s="95" t="s">
        <v>2649</v>
      </c>
      <c r="E362" s="364" t="s">
        <v>1945</v>
      </c>
      <c r="F362" s="364" t="s">
        <v>356</v>
      </c>
      <c r="G362" s="364">
        <v>19</v>
      </c>
      <c r="H362" s="364" t="s">
        <v>356</v>
      </c>
      <c r="I362" s="364">
        <v>17</v>
      </c>
      <c r="J362" s="51"/>
      <c r="K362" s="51"/>
      <c r="L362" s="51"/>
      <c r="M362" s="51"/>
      <c r="N362" s="51"/>
      <c r="O362" s="51"/>
      <c r="P362" s="51"/>
      <c r="Q362" s="51"/>
      <c r="R362" s="95" t="s">
        <v>2046</v>
      </c>
      <c r="T362" s="2">
        <v>20</v>
      </c>
      <c r="U362" s="2" cm="1">
        <f t="array" ref="U362">IFERROR(INDEX('Offer Statistics'!$FU$2:$FU$450,MATCH(1,($A362='Offer Statistics'!$FF$2:$FF$450)*($A$11='Offer Statistics'!$FG$2:$FG$450),0)),"/")</f>
        <v>15</v>
      </c>
      <c r="V362" s="2" cm="1">
        <f t="array" ref="V362">IFERROR(INDEX('Offer Statistics'!$FH$2:$FH$450,MATCH(1,($A362='Offer Statistics'!$FF$2:$FF$450)*($A$11='Offer Statistics'!$FG$2:$FG$450),0)),"/")</f>
        <v>78</v>
      </c>
      <c r="W362" s="2" cm="1">
        <f t="array" ref="W362">IFERROR(INDEX('Offer Statistics'!$FP$2:$FP$450,MATCH(1,($A362='Offer Statistics'!$FF$2:$FF$450)*($A$11='Offer Statistics'!$FG$2:$FG$450),0)),"/")</f>
        <v>9</v>
      </c>
      <c r="X362" s="2">
        <f t="shared" si="832"/>
        <v>8.6666666666666661</v>
      </c>
      <c r="Y362" s="2" t="s">
        <v>2035</v>
      </c>
      <c r="Z362" s="2" t="str">
        <f>入學要求!AF371</f>
        <v>/</v>
      </c>
      <c r="AA362" s="2" t="str">
        <f>入學要求!AG371</f>
        <v>/</v>
      </c>
      <c r="AB362" s="364" t="s">
        <v>889</v>
      </c>
      <c r="AQ362" s="2" t="s">
        <v>356</v>
      </c>
      <c r="AS362" s="2" t="s">
        <v>1847</v>
      </c>
      <c r="AU362" s="2" t="s">
        <v>817</v>
      </c>
      <c r="AY362" s="2">
        <v>1</v>
      </c>
      <c r="AZ362" s="2">
        <v>1</v>
      </c>
      <c r="BA362" s="2">
        <v>1</v>
      </c>
      <c r="BB362" s="2">
        <v>1</v>
      </c>
      <c r="BC362" s="2">
        <v>1</v>
      </c>
      <c r="BD362" s="2">
        <v>1</v>
      </c>
      <c r="BE362" s="2">
        <v>1</v>
      </c>
      <c r="BF362" s="2">
        <v>1</v>
      </c>
      <c r="BH362" s="2">
        <v>3</v>
      </c>
      <c r="BI362" s="2">
        <v>4</v>
      </c>
      <c r="BJ362" s="2">
        <v>4</v>
      </c>
      <c r="BK362" s="2">
        <v>3</v>
      </c>
      <c r="BM362" s="2">
        <v>3</v>
      </c>
      <c r="BX362" s="2">
        <f t="shared" ref="BX362:CE362" si="833">AY362*BH362</f>
        <v>3</v>
      </c>
      <c r="BY362" s="2">
        <f t="shared" si="833"/>
        <v>4</v>
      </c>
      <c r="BZ362" s="2">
        <f t="shared" si="833"/>
        <v>4</v>
      </c>
      <c r="CA362" s="2">
        <f t="shared" si="833"/>
        <v>3</v>
      </c>
      <c r="CB362" s="2">
        <f t="shared" si="833"/>
        <v>0</v>
      </c>
      <c r="CC362" s="2">
        <f t="shared" si="833"/>
        <v>3</v>
      </c>
      <c r="CD362" s="2">
        <f t="shared" si="833"/>
        <v>0</v>
      </c>
      <c r="CE362" s="2">
        <f t="shared" si="833"/>
        <v>0</v>
      </c>
      <c r="CF362" s="2" t="b">
        <v>1</v>
      </c>
      <c r="CG362" s="2" t="b">
        <v>1</v>
      </c>
      <c r="CH362" s="2" t="b">
        <v>1</v>
      </c>
      <c r="CI362" s="2" t="b">
        <v>1</v>
      </c>
      <c r="CJ362" s="2" t="b">
        <v>0</v>
      </c>
      <c r="CK362" s="2" t="b">
        <v>1</v>
      </c>
      <c r="CL362" s="2" t="b">
        <v>0</v>
      </c>
      <c r="CM362" s="2" t="b">
        <v>0</v>
      </c>
      <c r="EC362" s="2">
        <v>1</v>
      </c>
      <c r="ED362" s="2">
        <v>1</v>
      </c>
      <c r="EE362" s="2">
        <v>1</v>
      </c>
      <c r="EF362" s="2">
        <v>1</v>
      </c>
      <c r="EG362" s="2">
        <v>1</v>
      </c>
      <c r="EH362" s="2">
        <v>1</v>
      </c>
      <c r="EI362" s="2">
        <v>1</v>
      </c>
      <c r="EJ362" s="2">
        <v>1</v>
      </c>
      <c r="EK362" s="2">
        <v>4</v>
      </c>
      <c r="EL362" s="2">
        <v>4</v>
      </c>
      <c r="EM362" s="2">
        <v>4</v>
      </c>
      <c r="EN362" s="2">
        <v>4</v>
      </c>
      <c r="EP362" s="2">
        <v>3</v>
      </c>
      <c r="FA362" s="2">
        <f>EK362*EC362</f>
        <v>4</v>
      </c>
      <c r="FB362" s="2">
        <f t="shared" ref="FB362:FH362" si="834">EL362*ED362</f>
        <v>4</v>
      </c>
      <c r="FC362" s="2">
        <f t="shared" si="834"/>
        <v>4</v>
      </c>
      <c r="FD362" s="2">
        <f t="shared" si="834"/>
        <v>4</v>
      </c>
      <c r="FE362" s="2">
        <f t="shared" si="834"/>
        <v>0</v>
      </c>
      <c r="FF362" s="2">
        <f t="shared" si="834"/>
        <v>3</v>
      </c>
      <c r="FG362" s="2">
        <f t="shared" si="834"/>
        <v>0</v>
      </c>
      <c r="FH362" s="2">
        <f t="shared" si="834"/>
        <v>0</v>
      </c>
      <c r="FI362" s="2" t="b">
        <v>1</v>
      </c>
      <c r="FJ362" s="2" t="b">
        <v>1</v>
      </c>
      <c r="FK362" s="2" t="b">
        <v>1</v>
      </c>
      <c r="FL362" s="2" t="b">
        <v>1</v>
      </c>
      <c r="FM362" s="2" t="b">
        <v>0</v>
      </c>
      <c r="FN362" s="2" t="b">
        <v>1</v>
      </c>
      <c r="FO362" s="2" t="b">
        <v>0</v>
      </c>
      <c r="FP362" s="2" t="b">
        <v>0</v>
      </c>
    </row>
    <row r="363" spans="1:172" s="51" customFormat="1">
      <c r="A363" s="95" t="s">
        <v>2047</v>
      </c>
      <c r="B363" s="95" t="s">
        <v>416</v>
      </c>
      <c r="C363" s="95" t="s">
        <v>2048</v>
      </c>
      <c r="D363" s="95" t="s">
        <v>2650</v>
      </c>
      <c r="E363" s="364" t="s">
        <v>1945</v>
      </c>
      <c r="F363" s="364">
        <v>16.12</v>
      </c>
      <c r="G363" s="364" t="s">
        <v>356</v>
      </c>
      <c r="H363" s="364">
        <v>16.12</v>
      </c>
      <c r="I363" s="364" t="s">
        <v>356</v>
      </c>
      <c r="R363" s="95" t="s">
        <v>2049</v>
      </c>
      <c r="T363" s="2">
        <v>105</v>
      </c>
      <c r="U363" s="2" cm="1">
        <f t="array" ref="U363">IFERROR(INDEX('Offer Statistics'!$FU$2:$FU$450,MATCH(1,($A363='Offer Statistics'!$FF$2:$FF$450)*($A$11='Offer Statistics'!$FG$2:$FG$450),0)),"/")</f>
        <v>198</v>
      </c>
      <c r="V363" s="2" cm="1">
        <f t="array" ref="V363">IFERROR(INDEX('Offer Statistics'!$FH$2:$FH$450,MATCH(1,($A363='Offer Statistics'!$FF$2:$FF$450)*($A$11='Offer Statistics'!$FG$2:$FG$450),0)),"/")</f>
        <v>540</v>
      </c>
      <c r="W363" s="2" cm="1">
        <f t="array" ref="W363">IFERROR(INDEX('Offer Statistics'!$FP$2:$FP$450,MATCH(1,($A363='Offer Statistics'!$FF$2:$FF$450)*($A$11='Offer Statistics'!$FG$2:$FG$450),0)),"/")</f>
        <v>145</v>
      </c>
      <c r="X363" s="2">
        <f t="shared" si="832"/>
        <v>3.7241379310344827</v>
      </c>
      <c r="Y363" s="2" t="s">
        <v>2035</v>
      </c>
      <c r="Z363" s="2" t="str">
        <f>入學要求!AF372</f>
        <v>/</v>
      </c>
      <c r="AA363" s="2" t="str">
        <f>入學要求!AG372</f>
        <v>/</v>
      </c>
      <c r="AB363" s="364" t="s">
        <v>889</v>
      </c>
      <c r="AQ363" s="2" t="s">
        <v>356</v>
      </c>
      <c r="AS363" s="2" t="s">
        <v>1847</v>
      </c>
      <c r="AT363" s="2"/>
      <c r="AU363" s="2" t="s">
        <v>817</v>
      </c>
      <c r="BP363" s="221"/>
      <c r="BQ363" s="221"/>
      <c r="BR363" s="221"/>
      <c r="BS363" s="221"/>
      <c r="BT363" s="221"/>
      <c r="BU363" s="221"/>
      <c r="BV363" s="221"/>
      <c r="BW363" s="221"/>
      <c r="DE363" s="221"/>
      <c r="DF363" s="221"/>
      <c r="DG363" s="221"/>
      <c r="DH363" s="221"/>
      <c r="DI363" s="221"/>
      <c r="DJ363" s="221"/>
      <c r="DK363" s="221"/>
      <c r="DL363" s="221"/>
    </row>
    <row r="364" spans="1:172" s="51" customFormat="1">
      <c r="A364" s="95" t="s">
        <v>2050</v>
      </c>
      <c r="B364" s="95" t="s">
        <v>416</v>
      </c>
      <c r="C364" s="95" t="s">
        <v>2048</v>
      </c>
      <c r="D364" s="95" t="s">
        <v>2651</v>
      </c>
      <c r="E364" s="364" t="s">
        <v>1945</v>
      </c>
      <c r="F364" s="364">
        <v>16.93</v>
      </c>
      <c r="G364" s="364" t="s">
        <v>356</v>
      </c>
      <c r="H364" s="364">
        <v>16.93</v>
      </c>
      <c r="I364" s="364" t="s">
        <v>356</v>
      </c>
      <c r="R364" s="95" t="s">
        <v>2697</v>
      </c>
      <c r="T364" s="2">
        <v>35</v>
      </c>
      <c r="U364" s="2" cm="1">
        <f t="array" ref="U364">IFERROR(INDEX('Offer Statistics'!$FU$2:$FU$450,MATCH(1,($A364='Offer Statistics'!$FF$2:$FF$450)*($A$11='Offer Statistics'!$FG$2:$FG$450),0)),"/")</f>
        <v>36</v>
      </c>
      <c r="V364" s="2" cm="1">
        <f t="array" ref="V364">IFERROR(INDEX('Offer Statistics'!$FH$2:$FH$450,MATCH(1,($A364='Offer Statistics'!$FF$2:$FF$450)*($A$11='Offer Statistics'!$FG$2:$FG$450),0)),"/")</f>
        <v>134</v>
      </c>
      <c r="W364" s="2" cm="1">
        <f t="array" ref="W364">IFERROR(INDEX('Offer Statistics'!$FP$2:$FP$450,MATCH(1,($A364='Offer Statistics'!$FF$2:$FF$450)*($A$11='Offer Statistics'!$FG$2:$FG$450),0)),"/")</f>
        <v>26</v>
      </c>
      <c r="X364" s="2">
        <f t="shared" si="832"/>
        <v>5.1538461538461542</v>
      </c>
      <c r="Y364" s="2" t="s">
        <v>2035</v>
      </c>
      <c r="Z364" s="2" t="str">
        <f>入學要求!AF373</f>
        <v>/</v>
      </c>
      <c r="AA364" s="2" t="str">
        <f>入學要求!AG373</f>
        <v>/</v>
      </c>
      <c r="AB364" s="364" t="s">
        <v>889</v>
      </c>
      <c r="AQ364" s="2" t="s">
        <v>356</v>
      </c>
      <c r="AS364" s="2" t="s">
        <v>1847</v>
      </c>
      <c r="AT364" s="2"/>
      <c r="AU364" s="2" t="s">
        <v>817</v>
      </c>
      <c r="BP364" s="221"/>
      <c r="BQ364" s="221"/>
      <c r="BR364" s="221"/>
      <c r="BS364" s="221"/>
      <c r="BT364" s="221"/>
      <c r="BU364" s="221"/>
      <c r="BV364" s="221"/>
      <c r="BW364" s="221"/>
      <c r="DE364" s="221"/>
      <c r="DF364" s="221"/>
      <c r="DG364" s="221"/>
      <c r="DH364" s="221"/>
      <c r="DI364" s="221"/>
      <c r="DJ364" s="221"/>
      <c r="DK364" s="221"/>
      <c r="DL364" s="221"/>
    </row>
    <row r="365" spans="1:172" s="51" customFormat="1">
      <c r="A365" s="95" t="s">
        <v>2052</v>
      </c>
      <c r="B365" s="95" t="s">
        <v>416</v>
      </c>
      <c r="C365" s="95" t="s">
        <v>2048</v>
      </c>
      <c r="D365" s="95" t="s">
        <v>2652</v>
      </c>
      <c r="E365" s="364" t="s">
        <v>1945</v>
      </c>
      <c r="F365" s="364">
        <v>15.72</v>
      </c>
      <c r="G365" s="364" t="s">
        <v>356</v>
      </c>
      <c r="H365" s="364">
        <v>15.72</v>
      </c>
      <c r="I365" s="364" t="s">
        <v>356</v>
      </c>
      <c r="R365" s="95" t="s">
        <v>2698</v>
      </c>
      <c r="T365" s="2">
        <v>60</v>
      </c>
      <c r="U365" s="2" cm="1">
        <f t="array" ref="U365">IFERROR(INDEX('Offer Statistics'!$FU$2:$FU$450,MATCH(1,($A365='Offer Statistics'!$FF$2:$FF$450)*($A$11='Offer Statistics'!$FG$2:$FG$450),0)),"/")</f>
        <v>44</v>
      </c>
      <c r="V365" s="2" cm="1">
        <f t="array" ref="V365">IFERROR(INDEX('Offer Statistics'!$FH$2:$FH$450,MATCH(1,($A365='Offer Statistics'!$FF$2:$FF$450)*($A$11='Offer Statistics'!$FG$2:$FG$450),0)),"/")</f>
        <v>254</v>
      </c>
      <c r="W365" s="2" cm="1">
        <f t="array" ref="W365">IFERROR(INDEX('Offer Statistics'!$FP$2:$FP$450,MATCH(1,($A365='Offer Statistics'!$FF$2:$FF$450)*($A$11='Offer Statistics'!$FG$2:$FG$450),0)),"/")</f>
        <v>41</v>
      </c>
      <c r="X365" s="2">
        <f t="shared" si="832"/>
        <v>6.1951219512195124</v>
      </c>
      <c r="Y365" s="2" t="s">
        <v>2035</v>
      </c>
      <c r="Z365" s="2" t="str">
        <f>入學要求!AF374</f>
        <v>/</v>
      </c>
      <c r="AA365" s="2" t="str">
        <f>入學要求!AG374</f>
        <v>/</v>
      </c>
      <c r="AB365" s="364" t="s">
        <v>889</v>
      </c>
      <c r="AQ365" s="2" t="s">
        <v>356</v>
      </c>
      <c r="AS365" s="2" t="s">
        <v>1847</v>
      </c>
      <c r="AT365" s="2"/>
      <c r="AU365" s="2" t="s">
        <v>817</v>
      </c>
      <c r="BP365" s="221"/>
      <c r="BQ365" s="221"/>
      <c r="BR365" s="221"/>
      <c r="BS365" s="221"/>
      <c r="BT365" s="221"/>
      <c r="BU365" s="221"/>
      <c r="BV365" s="221"/>
      <c r="BW365" s="221"/>
      <c r="DE365" s="221"/>
      <c r="DF365" s="221"/>
      <c r="DG365" s="221"/>
      <c r="DH365" s="221"/>
      <c r="DI365" s="221"/>
      <c r="DJ365" s="221"/>
      <c r="DK365" s="221"/>
      <c r="DL365" s="221"/>
    </row>
    <row r="366" spans="1:172" s="51" customFormat="1">
      <c r="A366" s="95" t="s">
        <v>2054</v>
      </c>
      <c r="B366" s="95" t="s">
        <v>416</v>
      </c>
      <c r="C366" s="95" t="s">
        <v>2048</v>
      </c>
      <c r="D366" s="95" t="s">
        <v>2653</v>
      </c>
      <c r="E366" s="364" t="s">
        <v>1945</v>
      </c>
      <c r="F366" s="364">
        <v>15.92</v>
      </c>
      <c r="G366" s="364" t="s">
        <v>356</v>
      </c>
      <c r="H366" s="364">
        <v>15.92</v>
      </c>
      <c r="I366" s="364" t="s">
        <v>356</v>
      </c>
      <c r="R366" s="95" t="s">
        <v>2699</v>
      </c>
      <c r="T366" s="2">
        <v>70</v>
      </c>
      <c r="U366" s="2" cm="1">
        <f t="array" ref="U366">IFERROR(INDEX('Offer Statistics'!$FU$2:$FU$450,MATCH(1,($A366='Offer Statistics'!$FF$2:$FF$450)*($A$11='Offer Statistics'!$FG$2:$FG$450),0)),"/")</f>
        <v>63</v>
      </c>
      <c r="V366" s="2" cm="1">
        <f t="array" ref="V366">IFERROR(INDEX('Offer Statistics'!$FH$2:$FH$450,MATCH(1,($A366='Offer Statistics'!$FF$2:$FF$450)*($A$11='Offer Statistics'!$FG$2:$FG$450),0)),"/")</f>
        <v>217</v>
      </c>
      <c r="W366" s="2" cm="1">
        <f t="array" ref="W366">IFERROR(INDEX('Offer Statistics'!$FP$2:$FP$450,MATCH(1,($A366='Offer Statistics'!$FF$2:$FF$450)*($A$11='Offer Statistics'!$FG$2:$FG$450),0)),"/")</f>
        <v>50</v>
      </c>
      <c r="X366" s="2">
        <f t="shared" si="832"/>
        <v>4.34</v>
      </c>
      <c r="Y366" s="2" t="s">
        <v>2035</v>
      </c>
      <c r="Z366" s="2" t="str">
        <f>入學要求!AF375</f>
        <v>/</v>
      </c>
      <c r="AA366" s="2" t="str">
        <f>入學要求!AG375</f>
        <v>/</v>
      </c>
      <c r="AB366" s="364" t="s">
        <v>889</v>
      </c>
      <c r="AQ366" s="2" t="s">
        <v>356</v>
      </c>
      <c r="AS366" s="2" t="s">
        <v>1847</v>
      </c>
      <c r="AT366" s="2"/>
      <c r="AU366" s="2" t="s">
        <v>817</v>
      </c>
      <c r="BP366" s="221"/>
      <c r="BQ366" s="221"/>
      <c r="BR366" s="221"/>
      <c r="BS366" s="221"/>
      <c r="BT366" s="221"/>
      <c r="BU366" s="221"/>
      <c r="BV366" s="221"/>
      <c r="BW366" s="221"/>
      <c r="DE366" s="221"/>
      <c r="DF366" s="221"/>
      <c r="DG366" s="221"/>
      <c r="DH366" s="221"/>
      <c r="DI366" s="221"/>
      <c r="DJ366" s="221"/>
      <c r="DK366" s="221"/>
      <c r="DL366" s="221"/>
    </row>
    <row r="367" spans="1:172" s="51" customFormat="1">
      <c r="A367" s="95" t="s">
        <v>2056</v>
      </c>
      <c r="B367" s="95" t="s">
        <v>416</v>
      </c>
      <c r="C367" s="95" t="s">
        <v>2048</v>
      </c>
      <c r="D367" s="95" t="s">
        <v>2654</v>
      </c>
      <c r="E367" s="364" t="s">
        <v>1945</v>
      </c>
      <c r="F367" s="364">
        <v>16.55</v>
      </c>
      <c r="G367" s="364" t="s">
        <v>356</v>
      </c>
      <c r="H367" s="364">
        <v>16.55</v>
      </c>
      <c r="I367" s="364" t="s">
        <v>356</v>
      </c>
      <c r="R367" s="95" t="s">
        <v>2057</v>
      </c>
      <c r="T367" s="2">
        <v>65</v>
      </c>
      <c r="U367" s="2" cm="1">
        <f t="array" ref="U367">IFERROR(INDEX('Offer Statistics'!$FU$2:$FU$450,MATCH(1,($A367='Offer Statistics'!$FF$2:$FF$450)*($A$11='Offer Statistics'!$FG$2:$FG$450),0)),"/")</f>
        <v>50</v>
      </c>
      <c r="V367" s="2" cm="1">
        <f t="array" ref="V367">IFERROR(INDEX('Offer Statistics'!$FH$2:$FH$450,MATCH(1,($A367='Offer Statistics'!$FF$2:$FF$450)*($A$11='Offer Statistics'!$FG$2:$FG$450),0)),"/")</f>
        <v>191</v>
      </c>
      <c r="W367" s="2" cm="1">
        <f t="array" ref="W367">IFERROR(INDEX('Offer Statistics'!$FP$2:$FP$450,MATCH(1,($A367='Offer Statistics'!$FF$2:$FF$450)*($A$11='Offer Statistics'!$FG$2:$FG$450),0)),"/")</f>
        <v>31</v>
      </c>
      <c r="X367" s="2">
        <f t="shared" si="832"/>
        <v>6.161290322580645</v>
      </c>
      <c r="Y367" s="2" t="s">
        <v>2035</v>
      </c>
      <c r="Z367" s="2" t="str">
        <f>入學要求!AF376</f>
        <v>/</v>
      </c>
      <c r="AA367" s="2" t="str">
        <f>入學要求!AG376</f>
        <v>/</v>
      </c>
      <c r="AB367" s="364" t="s">
        <v>889</v>
      </c>
      <c r="AQ367" s="2" t="s">
        <v>356</v>
      </c>
      <c r="AS367" s="2" t="s">
        <v>1847</v>
      </c>
      <c r="AT367" s="2"/>
      <c r="AU367" s="2" t="s">
        <v>817</v>
      </c>
      <c r="BP367" s="221"/>
      <c r="BQ367" s="221"/>
      <c r="BR367" s="221"/>
      <c r="BS367" s="221"/>
      <c r="BT367" s="221"/>
      <c r="BU367" s="221"/>
      <c r="BV367" s="221"/>
      <c r="BW367" s="221"/>
      <c r="DE367" s="221"/>
      <c r="DF367" s="221"/>
      <c r="DG367" s="221"/>
      <c r="DH367" s="221"/>
      <c r="DI367" s="221"/>
      <c r="DJ367" s="221"/>
      <c r="DK367" s="221"/>
      <c r="DL367" s="221"/>
    </row>
    <row r="368" spans="1:172" s="51" customFormat="1">
      <c r="A368" s="95" t="s">
        <v>2058</v>
      </c>
      <c r="B368" s="95" t="s">
        <v>416</v>
      </c>
      <c r="C368" s="95" t="s">
        <v>2048</v>
      </c>
      <c r="D368" s="95" t="s">
        <v>2655</v>
      </c>
      <c r="E368" s="364" t="s">
        <v>1945</v>
      </c>
      <c r="F368" s="364">
        <v>15.48</v>
      </c>
      <c r="G368" s="364" t="s">
        <v>356</v>
      </c>
      <c r="H368" s="364">
        <v>15.48</v>
      </c>
      <c r="I368" s="364" t="s">
        <v>356</v>
      </c>
      <c r="R368" s="95" t="s">
        <v>2059</v>
      </c>
      <c r="T368" s="2">
        <v>40</v>
      </c>
      <c r="U368" s="2" cm="1">
        <f t="array" ref="U368">IFERROR(INDEX('Offer Statistics'!$FU$2:$FU$450,MATCH(1,($A368='Offer Statistics'!$FF$2:$FF$450)*($A$11='Offer Statistics'!$FG$2:$FG$450),0)),"/")</f>
        <v>58</v>
      </c>
      <c r="V368" s="2" cm="1">
        <f t="array" ref="V368">IFERROR(INDEX('Offer Statistics'!$FH$2:$FH$450,MATCH(1,($A368='Offer Statistics'!$FF$2:$FF$450)*($A$11='Offer Statistics'!$FG$2:$FG$450),0)),"/")</f>
        <v>342</v>
      </c>
      <c r="W368" s="2" cm="1">
        <f t="array" ref="W368">IFERROR(INDEX('Offer Statistics'!$FP$2:$FP$450,MATCH(1,($A368='Offer Statistics'!$FF$2:$FF$450)*($A$11='Offer Statistics'!$FG$2:$FG$450),0)),"/")</f>
        <v>38</v>
      </c>
      <c r="X368" s="2">
        <f t="shared" si="832"/>
        <v>9</v>
      </c>
      <c r="Y368" s="2" t="s">
        <v>2035</v>
      </c>
      <c r="Z368" s="2" t="str">
        <f>入學要求!AF377</f>
        <v>/</v>
      </c>
      <c r="AA368" s="2" t="str">
        <f>入學要求!AG377</f>
        <v>/</v>
      </c>
      <c r="AB368" s="364" t="s">
        <v>889</v>
      </c>
      <c r="AQ368" s="2" t="s">
        <v>356</v>
      </c>
      <c r="AS368" s="2" t="s">
        <v>1847</v>
      </c>
      <c r="AT368" s="2"/>
      <c r="AU368" s="2" t="s">
        <v>817</v>
      </c>
      <c r="BP368" s="221"/>
      <c r="BQ368" s="221"/>
      <c r="BR368" s="221"/>
      <c r="BS368" s="221"/>
      <c r="BT368" s="221"/>
      <c r="BU368" s="221"/>
      <c r="BV368" s="221"/>
      <c r="BW368" s="221"/>
      <c r="DE368" s="221"/>
      <c r="DF368" s="221"/>
      <c r="DG368" s="221"/>
      <c r="DH368" s="221"/>
      <c r="DI368" s="221"/>
      <c r="DJ368" s="221"/>
      <c r="DK368" s="221"/>
      <c r="DL368" s="221"/>
    </row>
    <row r="369" spans="1:47">
      <c r="A369" s="95" t="s">
        <v>2060</v>
      </c>
      <c r="B369" s="95" t="s">
        <v>416</v>
      </c>
      <c r="C369" s="95" t="s">
        <v>2061</v>
      </c>
      <c r="D369" s="95" t="s">
        <v>2656</v>
      </c>
      <c r="E369" s="364" t="s">
        <v>889</v>
      </c>
      <c r="F369" s="364" t="s">
        <v>356</v>
      </c>
      <c r="G369" s="364" t="s">
        <v>356</v>
      </c>
      <c r="H369" s="364">
        <v>17.3</v>
      </c>
      <c r="I369" s="364" t="s">
        <v>356</v>
      </c>
      <c r="J369" s="51"/>
      <c r="K369" s="51"/>
      <c r="L369" s="51"/>
      <c r="M369" s="51"/>
      <c r="N369" s="51"/>
      <c r="O369" s="51"/>
      <c r="P369" s="51"/>
      <c r="Q369" s="51"/>
      <c r="R369" s="95" t="s">
        <v>2062</v>
      </c>
      <c r="T369" s="2">
        <v>400</v>
      </c>
      <c r="U369" s="2" cm="1">
        <f t="array" ref="U369">IFERROR(INDEX('Offer Statistics'!$FU$2:$FU$450,MATCH(1,($A369='Offer Statistics'!$FF$2:$FF$450)*($A$11='Offer Statistics'!$FG$2:$FG$450),0)),"/")</f>
        <v>555</v>
      </c>
      <c r="V369" s="2" cm="1">
        <f t="array" ref="V369">IFERROR(INDEX('Offer Statistics'!$FH$2:$FH$450,MATCH(1,($A369='Offer Statistics'!$FF$2:$FF$450)*($A$11='Offer Statistics'!$FG$2:$FG$450),0)),"/")</f>
        <v>1957</v>
      </c>
      <c r="W369" s="2" cm="1">
        <f t="array" ref="W369">IFERROR(INDEX('Offer Statistics'!$FP$2:$FP$450,MATCH(1,($A369='Offer Statistics'!$FF$2:$FF$450)*($A$11='Offer Statistics'!$FG$2:$FG$450),0)),"/")</f>
        <v>441</v>
      </c>
      <c r="X369" s="2">
        <f t="shared" si="832"/>
        <v>4.437641723356009</v>
      </c>
      <c r="Y369" s="2" t="s">
        <v>2035</v>
      </c>
      <c r="Z369" s="2" t="str">
        <f>入學要求!AF378</f>
        <v>優先考慮:  英文 考獲 Lv.4 或以上 者</v>
      </c>
      <c r="AA369" s="2" t="str">
        <f>入學要求!AG378</f>
        <v>/</v>
      </c>
      <c r="AB369" s="2" t="s">
        <v>889</v>
      </c>
      <c r="AQ369" s="2" t="s">
        <v>356</v>
      </c>
      <c r="AS369" s="2" t="s">
        <v>1847</v>
      </c>
      <c r="AU369" s="2" t="s">
        <v>817</v>
      </c>
    </row>
    <row r="370" spans="1:47">
      <c r="A370" s="95" t="s">
        <v>2063</v>
      </c>
      <c r="B370" s="95" t="s">
        <v>416</v>
      </c>
      <c r="C370" s="95" t="s">
        <v>2061</v>
      </c>
      <c r="D370" s="95" t="s">
        <v>2657</v>
      </c>
      <c r="E370" s="364" t="s">
        <v>889</v>
      </c>
      <c r="F370" s="364" t="s">
        <v>356</v>
      </c>
      <c r="G370" s="364" t="s">
        <v>356</v>
      </c>
      <c r="H370" s="364">
        <v>20.8</v>
      </c>
      <c r="I370" s="364" t="s">
        <v>356</v>
      </c>
      <c r="J370" s="51"/>
      <c r="K370" s="51"/>
      <c r="L370" s="51"/>
      <c r="M370" s="51"/>
      <c r="N370" s="51"/>
      <c r="O370" s="51"/>
      <c r="P370" s="51"/>
      <c r="Q370" s="51"/>
      <c r="R370" s="95" t="s">
        <v>2064</v>
      </c>
      <c r="T370" s="2">
        <v>45</v>
      </c>
      <c r="U370" s="2" cm="1">
        <f t="array" ref="U370">IFERROR(INDEX('Offer Statistics'!$FU$2:$FU$450,MATCH(1,($A370='Offer Statistics'!$FF$2:$FF$450)*($A$11='Offer Statistics'!$FG$2:$FG$450),0)),"/")</f>
        <v>42</v>
      </c>
      <c r="V370" s="2" cm="1">
        <f t="array" ref="V370">IFERROR(INDEX('Offer Statistics'!$FH$2:$FH$450,MATCH(1,($A370='Offer Statistics'!$FF$2:$FF$450)*($A$11='Offer Statistics'!$FG$2:$FG$450),0)),"/")</f>
        <v>286</v>
      </c>
      <c r="W370" s="2" cm="1">
        <f t="array" ref="W370">IFERROR(INDEX('Offer Statistics'!$FP$2:$FP$450,MATCH(1,($A370='Offer Statistics'!$FF$2:$FF$450)*($A$11='Offer Statistics'!$FG$2:$FG$450),0)),"/")</f>
        <v>36</v>
      </c>
      <c r="X370" s="2">
        <f t="shared" si="832"/>
        <v>7.9444444444444446</v>
      </c>
      <c r="Y370" s="2" t="s">
        <v>2035</v>
      </c>
      <c r="Z370" s="2" t="str">
        <f>入學要求!AF379</f>
        <v>優先考慮:  英文 考獲 Lv.4 或以上 者</v>
      </c>
      <c r="AA370" s="2" t="str">
        <f>入學要求!AG379</f>
        <v>優先考慮:  化學 或 組合科學 (化學) 考獲Lv.4或以上者</v>
      </c>
      <c r="AB370" s="2" t="s">
        <v>889</v>
      </c>
      <c r="AQ370" s="2" t="s">
        <v>356</v>
      </c>
      <c r="AS370" s="2" t="s">
        <v>1847</v>
      </c>
      <c r="AU370" s="2" t="s">
        <v>817</v>
      </c>
    </row>
    <row r="371" spans="1:47">
      <c r="A371" s="95" t="s">
        <v>2065</v>
      </c>
      <c r="B371" s="95" t="s">
        <v>416</v>
      </c>
      <c r="C371" s="95" t="s">
        <v>2061</v>
      </c>
      <c r="D371" s="95" t="s">
        <v>2658</v>
      </c>
      <c r="E371" s="364" t="s">
        <v>889</v>
      </c>
      <c r="F371" s="364" t="s">
        <v>356</v>
      </c>
      <c r="G371" s="364" t="s">
        <v>356</v>
      </c>
      <c r="H371" s="364">
        <v>24.4</v>
      </c>
      <c r="I371" s="364" t="s">
        <v>356</v>
      </c>
      <c r="J371" s="51"/>
      <c r="K371" s="51"/>
      <c r="L371" s="51"/>
      <c r="M371" s="51"/>
      <c r="N371" s="51"/>
      <c r="O371" s="51"/>
      <c r="P371" s="51"/>
      <c r="Q371" s="51"/>
      <c r="R371" s="95" t="s">
        <v>2066</v>
      </c>
      <c r="T371" s="2">
        <v>20</v>
      </c>
      <c r="U371" s="2" cm="1">
        <f t="array" ref="U371">IFERROR(INDEX('Offer Statistics'!$FU$2:$FU$450,MATCH(1,($A371='Offer Statistics'!$FF$2:$FF$450)*($A$11='Offer Statistics'!$FG$2:$FG$450),0)),"/")</f>
        <v>21</v>
      </c>
      <c r="V371" s="2" cm="1">
        <f t="array" ref="V371">IFERROR(INDEX('Offer Statistics'!$FH$2:$FH$450,MATCH(1,($A371='Offer Statistics'!$FF$2:$FF$450)*($A$11='Offer Statistics'!$FG$2:$FG$450),0)),"/")</f>
        <v>152</v>
      </c>
      <c r="W371" s="2" cm="1">
        <f t="array" ref="W371">IFERROR(INDEX('Offer Statistics'!$FP$2:$FP$450,MATCH(1,($A371='Offer Statistics'!$FF$2:$FF$450)*($A$11='Offer Statistics'!$FG$2:$FG$450),0)),"/")</f>
        <v>19</v>
      </c>
      <c r="X371" s="2">
        <f t="shared" si="832"/>
        <v>8</v>
      </c>
      <c r="Y371" s="2" t="s">
        <v>2035</v>
      </c>
      <c r="Z371" s="2" t="str">
        <f>入學要求!AF380</f>
        <v>優先考慮:  英文 Lv.4 或以上，數學 和 通識 及 [物理 或 綜合科學 或 組合科學(物理) ]Lv.3或以上者</v>
      </c>
      <c r="AA371" s="2" t="str">
        <f>入學要求!AG380</f>
        <v>以下一科選修取得Lv.3︰生物、化學、物理、組合科學、綜合科學 或 健康護理實務(Distinction (I))</v>
      </c>
      <c r="AB371" s="2" t="s">
        <v>889</v>
      </c>
      <c r="AQ371" s="2" t="s">
        <v>356</v>
      </c>
      <c r="AS371" s="2" t="s">
        <v>1847</v>
      </c>
      <c r="AU371" s="2" t="s">
        <v>817</v>
      </c>
    </row>
    <row r="372" spans="1:47">
      <c r="A372" s="95" t="s">
        <v>2067</v>
      </c>
      <c r="B372" s="95" t="s">
        <v>416</v>
      </c>
      <c r="C372" s="95" t="s">
        <v>2061</v>
      </c>
      <c r="D372" s="95" t="s">
        <v>2659</v>
      </c>
      <c r="E372" s="364" t="s">
        <v>889</v>
      </c>
      <c r="F372" s="364" t="s">
        <v>356</v>
      </c>
      <c r="G372" s="364" t="s">
        <v>356</v>
      </c>
      <c r="H372" s="364">
        <v>21.7</v>
      </c>
      <c r="I372" s="364" t="s">
        <v>356</v>
      </c>
      <c r="J372" s="51"/>
      <c r="K372" s="51"/>
      <c r="L372" s="51"/>
      <c r="M372" s="51"/>
      <c r="N372" s="51"/>
      <c r="O372" s="51"/>
      <c r="P372" s="51"/>
      <c r="Q372" s="51"/>
      <c r="R372" s="95" t="s">
        <v>2068</v>
      </c>
      <c r="T372" s="2">
        <v>60</v>
      </c>
      <c r="U372" s="2" cm="1">
        <f t="array" ref="U372">IFERROR(INDEX('Offer Statistics'!$FU$2:$FU$450,MATCH(1,($A372='Offer Statistics'!$FF$2:$FF$450)*($A$11='Offer Statistics'!$FG$2:$FG$450),0)),"/")</f>
        <v>59</v>
      </c>
      <c r="V372" s="2" cm="1">
        <f t="array" ref="V372">IFERROR(INDEX('Offer Statistics'!$FH$2:$FH$450,MATCH(1,($A372='Offer Statistics'!$FF$2:$FF$450)*($A$11='Offer Statistics'!$FG$2:$FG$450),0)),"/")</f>
        <v>422</v>
      </c>
      <c r="W372" s="2" cm="1">
        <f t="array" ref="W372">IFERROR(INDEX('Offer Statistics'!$FP$2:$FP$450,MATCH(1,($A372='Offer Statistics'!$FF$2:$FF$450)*($A$11='Offer Statistics'!$FG$2:$FG$450),0)),"/")</f>
        <v>59</v>
      </c>
      <c r="X372" s="2">
        <f t="shared" si="832"/>
        <v>7.1525423728813555</v>
      </c>
      <c r="Y372" s="2" t="s">
        <v>2035</v>
      </c>
      <c r="Z372" s="2" t="str">
        <f>入學要求!AF381</f>
        <v>優先考慮:  英文 考獲 Lv.4 或以上 者</v>
      </c>
      <c r="AA372" s="2" t="str">
        <f>入學要求!AG381</f>
        <v>優先考慮 生物 或 組合科學 (生物) 考獲Lv.3或以上者</v>
      </c>
      <c r="AB372" s="2" t="s">
        <v>889</v>
      </c>
      <c r="AQ372" s="2" t="s">
        <v>356</v>
      </c>
      <c r="AS372" s="2" t="s">
        <v>1847</v>
      </c>
      <c r="AU372" s="2" t="s">
        <v>817</v>
      </c>
    </row>
    <row r="373" spans="1:47">
      <c r="A373" s="95" t="s">
        <v>2069</v>
      </c>
      <c r="B373" s="95" t="s">
        <v>416</v>
      </c>
      <c r="C373" s="95" t="s">
        <v>2061</v>
      </c>
      <c r="D373" s="95" t="s">
        <v>2645</v>
      </c>
      <c r="E373" s="364" t="s">
        <v>889</v>
      </c>
      <c r="F373" s="364" t="s">
        <v>356</v>
      </c>
      <c r="G373" s="364" t="s">
        <v>356</v>
      </c>
      <c r="H373" s="364">
        <v>24.2</v>
      </c>
      <c r="I373" s="364" t="s">
        <v>356</v>
      </c>
      <c r="J373" s="51"/>
      <c r="K373" s="51"/>
      <c r="L373" s="51"/>
      <c r="M373" s="51"/>
      <c r="N373" s="51"/>
      <c r="O373" s="51"/>
      <c r="P373" s="51"/>
      <c r="Q373" s="51"/>
      <c r="R373" s="95" t="s">
        <v>2070</v>
      </c>
      <c r="T373" s="2">
        <v>60</v>
      </c>
      <c r="U373" s="2" cm="1">
        <f t="array" ref="U373">IFERROR(INDEX('Offer Statistics'!$FU$2:$FU$450,MATCH(1,($A373='Offer Statistics'!$FF$2:$FF$450)*($A$11='Offer Statistics'!$FG$2:$FG$450),0)),"/")</f>
        <v>54</v>
      </c>
      <c r="V373" s="2" cm="1">
        <f t="array" ref="V373">IFERROR(INDEX('Offer Statistics'!$FH$2:$FH$450,MATCH(1,($A373='Offer Statistics'!$FF$2:$FF$450)*($A$11='Offer Statistics'!$FG$2:$FG$450),0)),"/")</f>
        <v>471</v>
      </c>
      <c r="W373" s="2" cm="1">
        <f t="array" ref="W373">IFERROR(INDEX('Offer Statistics'!$FP$2:$FP$450,MATCH(1,($A373='Offer Statistics'!$FF$2:$FF$450)*($A$11='Offer Statistics'!$FG$2:$FG$450),0)),"/")</f>
        <v>50</v>
      </c>
      <c r="X373" s="2">
        <f t="shared" si="832"/>
        <v>9.42</v>
      </c>
      <c r="Y373" s="2" t="s">
        <v>2035</v>
      </c>
      <c r="Z373" s="2" t="str">
        <f>入學要求!AF382</f>
        <v>優先考慮:  英文 考獲 Lv.4 或以上 者</v>
      </c>
      <c r="AA373" s="2" t="str">
        <f>入學要求!AG382</f>
        <v>優先考慮 生物 或 組合科學 (生物) 考獲Lv.3或以上者</v>
      </c>
      <c r="AB373" s="2" t="s">
        <v>889</v>
      </c>
      <c r="AQ373" s="2" t="s">
        <v>356</v>
      </c>
      <c r="AS373" s="2" t="s">
        <v>1847</v>
      </c>
      <c r="AU373" s="2" t="s">
        <v>817</v>
      </c>
    </row>
    <row r="374" spans="1:47">
      <c r="A374" s="95" t="s">
        <v>2413</v>
      </c>
      <c r="B374" s="95" t="s">
        <v>416</v>
      </c>
      <c r="C374" s="95" t="s">
        <v>2061</v>
      </c>
      <c r="D374" s="95" t="s">
        <v>2754</v>
      </c>
      <c r="E374" s="364" t="s">
        <v>889</v>
      </c>
      <c r="F374" s="364" t="s">
        <v>356</v>
      </c>
      <c r="G374" s="364" t="s">
        <v>356</v>
      </c>
      <c r="H374" s="364">
        <v>17.899999999999999</v>
      </c>
      <c r="I374" s="364" t="s">
        <v>356</v>
      </c>
      <c r="J374" s="51"/>
      <c r="K374" s="51"/>
      <c r="L374" s="51"/>
      <c r="M374" s="51"/>
      <c r="N374" s="51"/>
      <c r="O374" s="51"/>
      <c r="P374" s="51"/>
      <c r="Q374" s="51"/>
      <c r="R374" s="95" t="s">
        <v>2071</v>
      </c>
      <c r="T374" s="2">
        <v>40</v>
      </c>
      <c r="U374" s="2" cm="1">
        <f t="array" ref="U374">IFERROR(INDEX('Offer Statistics'!$FU$2:$FU$450,MATCH(1,($A374='Offer Statistics'!$FF$2:$FF$450)*($A$11='Offer Statistics'!$FG$2:$FG$450),0)),"/")</f>
        <v>20</v>
      </c>
      <c r="V374" s="2" cm="1">
        <f t="array" ref="V374">IFERROR(INDEX('Offer Statistics'!$FH$2:$FH$450,MATCH(1,($A374='Offer Statistics'!$FF$2:$FF$450)*($A$11='Offer Statistics'!$FG$2:$FG$450),0)),"/")</f>
        <v>88</v>
      </c>
      <c r="W374" s="2" cm="1">
        <f t="array" ref="W374">IFERROR(INDEX('Offer Statistics'!$FP$2:$FP$450,MATCH(1,($A374='Offer Statistics'!$FF$2:$FF$450)*($A$11='Offer Statistics'!$FG$2:$FG$450),0)),"/")</f>
        <v>12</v>
      </c>
      <c r="X374" s="2">
        <f t="shared" si="832"/>
        <v>7.333333333333333</v>
      </c>
      <c r="Y374" s="2" t="s">
        <v>2035</v>
      </c>
      <c r="Z374" s="2" t="str">
        <f>入學要求!AF383</f>
        <v>/</v>
      </c>
      <c r="AA374" s="2" t="str">
        <f>入學要求!AG383</f>
        <v>/</v>
      </c>
      <c r="AB374" s="2" t="s">
        <v>889</v>
      </c>
      <c r="AQ374" s="2" t="s">
        <v>356</v>
      </c>
      <c r="AS374" s="2" t="s">
        <v>1847</v>
      </c>
      <c r="AU374" s="2" t="s">
        <v>817</v>
      </c>
    </row>
    <row r="375" spans="1:47">
      <c r="A375" s="95" t="s">
        <v>2700</v>
      </c>
      <c r="B375" s="95" t="s">
        <v>416</v>
      </c>
      <c r="C375" s="95" t="s">
        <v>2061</v>
      </c>
      <c r="D375" s="95" t="s">
        <v>2755</v>
      </c>
      <c r="E375" s="55" t="s">
        <v>2804</v>
      </c>
      <c r="F375" s="364" t="s">
        <v>356</v>
      </c>
      <c r="G375" s="364" t="s">
        <v>356</v>
      </c>
      <c r="H375" s="364" t="s">
        <v>356</v>
      </c>
      <c r="I375" s="364" t="s">
        <v>356</v>
      </c>
      <c r="J375" s="51"/>
      <c r="K375" s="51"/>
      <c r="L375" s="51"/>
      <c r="M375" s="51"/>
      <c r="N375" s="51"/>
      <c r="O375" s="51"/>
      <c r="P375" s="51"/>
      <c r="Q375" s="51"/>
      <c r="R375" s="95" t="s">
        <v>2701</v>
      </c>
      <c r="T375" s="2">
        <v>25</v>
      </c>
      <c r="U375" s="2" t="str" cm="1">
        <f t="array" ref="U375">IFERROR(INDEX('Offer Statistics'!$FU$2:$FU$450,MATCH(1,($A375='Offer Statistics'!$FF$2:$FF$450)*($A$11='Offer Statistics'!$FG$2:$FG$450),0)),"/")</f>
        <v>/</v>
      </c>
      <c r="V375" s="2" t="str" cm="1">
        <f t="array" ref="V375">IFERROR(INDEX('Offer Statistics'!$FH$2:$FH$450,MATCH(1,($A375='Offer Statistics'!$FF$2:$FF$450)*($A$11='Offer Statistics'!$FG$2:$FG$450),0)),"/")</f>
        <v>/</v>
      </c>
      <c r="W375" s="2" t="str" cm="1">
        <f t="array" ref="W375">IFERROR(INDEX('Offer Statistics'!$FP$2:$FP$450,MATCH(1,($A375='Offer Statistics'!$FF$2:$FF$450)*($A$11='Offer Statistics'!$FG$2:$FG$450),0)),"/")</f>
        <v>/</v>
      </c>
      <c r="X375" s="2" t="str">
        <f t="shared" si="832"/>
        <v>新科目</v>
      </c>
      <c r="Y375" s="2" t="s">
        <v>2035</v>
      </c>
      <c r="Z375" s="2" t="str">
        <f>入學要求!AF384</f>
        <v>/</v>
      </c>
      <c r="AA375" s="2" t="str">
        <f>入學要求!AG384</f>
        <v>/</v>
      </c>
      <c r="AB375" s="2" t="s">
        <v>889</v>
      </c>
      <c r="AQ375" s="2" t="s">
        <v>356</v>
      </c>
      <c r="AS375" s="2" t="s">
        <v>1847</v>
      </c>
      <c r="AU375" s="2" t="s">
        <v>817</v>
      </c>
    </row>
    <row r="376" spans="1:47">
      <c r="A376" s="95" t="s">
        <v>2072</v>
      </c>
      <c r="B376" s="95" t="s">
        <v>416</v>
      </c>
      <c r="C376" s="95" t="s">
        <v>2073</v>
      </c>
      <c r="D376" s="95" t="s">
        <v>2663</v>
      </c>
      <c r="E376" s="364" t="s">
        <v>889</v>
      </c>
      <c r="F376" s="364" t="s">
        <v>356</v>
      </c>
      <c r="G376" s="364" t="s">
        <v>356</v>
      </c>
      <c r="H376" s="364">
        <v>20</v>
      </c>
      <c r="I376" s="364">
        <v>18</v>
      </c>
      <c r="J376" s="51"/>
      <c r="K376" s="51"/>
      <c r="L376" s="51"/>
      <c r="M376" s="51"/>
      <c r="N376" s="51"/>
      <c r="O376" s="364" t="s">
        <v>1780</v>
      </c>
      <c r="P376" s="51"/>
      <c r="Q376" s="51"/>
      <c r="R376" s="95" t="s">
        <v>2702</v>
      </c>
      <c r="T376" s="2">
        <v>50</v>
      </c>
      <c r="U376" s="2" cm="1">
        <f t="array" ref="U376">IFERROR(INDEX('Offer Statistics'!$FU$2:$FU$450,MATCH(1,($A376='Offer Statistics'!$FF$2:$FF$450)*($A$11='Offer Statistics'!$FG$2:$FG$450),0)),"/")</f>
        <v>110</v>
      </c>
      <c r="V376" s="2" cm="1">
        <f t="array" ref="V376">IFERROR(INDEX('Offer Statistics'!$FH$2:$FH$450,MATCH(1,($A376='Offer Statistics'!$FF$2:$FF$450)*($A$11='Offer Statistics'!$FG$2:$FG$450),0)),"/")</f>
        <v>358</v>
      </c>
      <c r="W376" s="2" cm="1">
        <f t="array" ref="W376">IFERROR(INDEX('Offer Statistics'!$FP$2:$FP$450,MATCH(1,($A376='Offer Statistics'!$FF$2:$FF$450)*($A$11='Offer Statistics'!$FG$2:$FG$450),0)),"/")</f>
        <v>73</v>
      </c>
      <c r="X376" s="2">
        <f t="shared" si="832"/>
        <v>4.904109589041096</v>
      </c>
      <c r="Y376" s="2" t="s">
        <v>2035</v>
      </c>
      <c r="Z376" s="2" t="str">
        <f>入學要求!AF385</f>
        <v>/</v>
      </c>
      <c r="AA376" s="2" t="str">
        <f>入學要求!AG385</f>
        <v>/</v>
      </c>
      <c r="AB376" s="364" t="s">
        <v>889</v>
      </c>
      <c r="AQ376" s="2" t="s">
        <v>356</v>
      </c>
      <c r="AS376" s="2" t="s">
        <v>1847</v>
      </c>
      <c r="AU376" s="2" t="s">
        <v>817</v>
      </c>
    </row>
    <row r="377" spans="1:47">
      <c r="A377" s="95" t="s">
        <v>2075</v>
      </c>
      <c r="B377" s="95" t="s">
        <v>416</v>
      </c>
      <c r="C377" s="95" t="s">
        <v>2073</v>
      </c>
      <c r="D377" s="95" t="s">
        <v>2664</v>
      </c>
      <c r="E377" s="364" t="s">
        <v>889</v>
      </c>
      <c r="F377" s="364" t="s">
        <v>356</v>
      </c>
      <c r="G377" s="364" t="s">
        <v>356</v>
      </c>
      <c r="H377" s="364">
        <v>16</v>
      </c>
      <c r="I377" s="364">
        <v>15</v>
      </c>
      <c r="J377" s="51"/>
      <c r="K377" s="51"/>
      <c r="L377" s="51"/>
      <c r="M377" s="51"/>
      <c r="N377" s="51"/>
      <c r="O377" s="51"/>
      <c r="P377" s="51"/>
      <c r="Q377" s="51"/>
      <c r="R377" s="95" t="s">
        <v>2703</v>
      </c>
      <c r="T377" s="2">
        <v>80</v>
      </c>
      <c r="U377" s="2" cm="1">
        <f t="array" ref="U377">IFERROR(INDEX('Offer Statistics'!$FU$2:$FU$450,MATCH(1,($A377='Offer Statistics'!$FF$2:$FF$450)*($A$11='Offer Statistics'!$FG$2:$FG$450),0)),"/")</f>
        <v>99</v>
      </c>
      <c r="V377" s="2" cm="1">
        <f t="array" ref="V377">IFERROR(INDEX('Offer Statistics'!$FH$2:$FH$450,MATCH(1,($A377='Offer Statistics'!$FF$2:$FF$450)*($A$11='Offer Statistics'!$FG$2:$FG$450),0)),"/")</f>
        <v>533</v>
      </c>
      <c r="W377" s="2" cm="1">
        <f t="array" ref="W377">IFERROR(INDEX('Offer Statistics'!$FP$2:$FP$450,MATCH(1,($A377='Offer Statistics'!$FF$2:$FF$450)*($A$11='Offer Statistics'!$FG$2:$FG$450),0)),"/")</f>
        <v>67</v>
      </c>
      <c r="X377" s="2">
        <f t="shared" si="832"/>
        <v>7.955223880597015</v>
      </c>
      <c r="Y377" s="2" t="s">
        <v>2035</v>
      </c>
      <c r="Z377" s="2" t="str">
        <f>入學要求!AF386</f>
        <v>/</v>
      </c>
      <c r="AA377" s="2" t="str">
        <f>入學要求!AG386</f>
        <v>/</v>
      </c>
      <c r="AB377" s="364" t="s">
        <v>889</v>
      </c>
      <c r="AQ377" s="2" t="s">
        <v>356</v>
      </c>
      <c r="AS377" s="2" t="s">
        <v>1847</v>
      </c>
      <c r="AU377" s="2" t="s">
        <v>817</v>
      </c>
    </row>
    <row r="378" spans="1:47">
      <c r="A378" s="95" t="s">
        <v>2077</v>
      </c>
      <c r="B378" s="95" t="s">
        <v>416</v>
      </c>
      <c r="C378" s="95" t="s">
        <v>2073</v>
      </c>
      <c r="D378" s="95" t="s">
        <v>2665</v>
      </c>
      <c r="E378" s="364" t="s">
        <v>889</v>
      </c>
      <c r="F378" s="364" t="s">
        <v>356</v>
      </c>
      <c r="G378" s="364" t="s">
        <v>356</v>
      </c>
      <c r="H378" s="364">
        <v>16</v>
      </c>
      <c r="I378" s="364">
        <v>15</v>
      </c>
      <c r="J378" s="51"/>
      <c r="K378" s="51"/>
      <c r="L378" s="51"/>
      <c r="M378" s="51"/>
      <c r="N378" s="51"/>
      <c r="O378" s="51"/>
      <c r="P378" s="51"/>
      <c r="Q378" s="51"/>
      <c r="R378" s="95" t="s">
        <v>2704</v>
      </c>
      <c r="T378" s="2">
        <v>35</v>
      </c>
      <c r="U378" s="2" cm="1">
        <f t="array" ref="U378">IFERROR(INDEX('Offer Statistics'!$FU$2:$FU$450,MATCH(1,($A378='Offer Statistics'!$FF$2:$FF$450)*($A$11='Offer Statistics'!$FG$2:$FG$450),0)),"/")</f>
        <v>42</v>
      </c>
      <c r="V378" s="2" cm="1">
        <f t="array" ref="V378">IFERROR(INDEX('Offer Statistics'!$FH$2:$FH$450,MATCH(1,($A378='Offer Statistics'!$FF$2:$FF$450)*($A$11='Offer Statistics'!$FG$2:$FG$450),0)),"/")</f>
        <v>316</v>
      </c>
      <c r="W378" s="2" cm="1">
        <f t="array" ref="W378">IFERROR(INDEX('Offer Statistics'!$FP$2:$FP$450,MATCH(1,($A378='Offer Statistics'!$FF$2:$FF$450)*($A$11='Offer Statistics'!$FG$2:$FG$450),0)),"/")</f>
        <v>24</v>
      </c>
      <c r="X378" s="2">
        <f t="shared" si="832"/>
        <v>13.166666666666666</v>
      </c>
      <c r="Y378" s="2" t="s">
        <v>2035</v>
      </c>
      <c r="Z378" s="2" t="str">
        <f>入學要求!AF387</f>
        <v>/</v>
      </c>
      <c r="AA378" s="2" t="str">
        <f>入學要求!AG387</f>
        <v>/</v>
      </c>
      <c r="AB378" s="364" t="s">
        <v>889</v>
      </c>
      <c r="AQ378" s="2" t="s">
        <v>356</v>
      </c>
      <c r="AS378" s="2" t="s">
        <v>1847</v>
      </c>
      <c r="AU378" s="2" t="s">
        <v>817</v>
      </c>
    </row>
    <row r="379" spans="1:47">
      <c r="A379" s="95" t="s">
        <v>2705</v>
      </c>
      <c r="B379" s="95" t="s">
        <v>416</v>
      </c>
      <c r="C379" s="95" t="s">
        <v>2073</v>
      </c>
      <c r="D379" s="95" t="s">
        <v>2756</v>
      </c>
      <c r="E379" s="55" t="s">
        <v>2804</v>
      </c>
      <c r="F379" s="364" t="s">
        <v>356</v>
      </c>
      <c r="G379" s="364" t="s">
        <v>356</v>
      </c>
      <c r="H379" s="364" t="s">
        <v>356</v>
      </c>
      <c r="I379" s="364" t="s">
        <v>356</v>
      </c>
      <c r="J379" s="51"/>
      <c r="K379" s="51"/>
      <c r="L379" s="51"/>
      <c r="M379" s="51"/>
      <c r="N379" s="51"/>
      <c r="O379" s="51"/>
      <c r="P379" s="51"/>
      <c r="Q379" s="51"/>
      <c r="R379" s="95" t="s">
        <v>2706</v>
      </c>
      <c r="T379" s="2">
        <v>45</v>
      </c>
      <c r="U379" s="2" t="str" cm="1">
        <f t="array" ref="U379">IFERROR(INDEX('Offer Statistics'!$FU$2:$FU$450,MATCH(1,($A379='Offer Statistics'!$FF$2:$FF$450)*($A$11='Offer Statistics'!$FG$2:$FG$450),0)),"/")</f>
        <v>/</v>
      </c>
      <c r="V379" s="2" t="str" cm="1">
        <f t="array" ref="V379">IFERROR(INDEX('Offer Statistics'!$FH$2:$FH$450,MATCH(1,($A379='Offer Statistics'!$FF$2:$FF$450)*($A$11='Offer Statistics'!$FG$2:$FG$450),0)),"/")</f>
        <v>/</v>
      </c>
      <c r="W379" s="2" t="str" cm="1">
        <f t="array" ref="W379">IFERROR(INDEX('Offer Statistics'!$FP$2:$FP$450,MATCH(1,($A379='Offer Statistics'!$FF$2:$FF$450)*($A$11='Offer Statistics'!$FG$2:$FG$450),0)),"/")</f>
        <v>/</v>
      </c>
      <c r="X379" s="2" t="str">
        <f t="shared" si="832"/>
        <v>新科目</v>
      </c>
      <c r="Y379" s="2" t="s">
        <v>2035</v>
      </c>
      <c r="Z379" s="2" t="str">
        <f>入學要求!AF388</f>
        <v>/</v>
      </c>
      <c r="AA379" s="2" t="str">
        <f>入學要求!AG388</f>
        <v>/</v>
      </c>
      <c r="AB379" s="364" t="s">
        <v>889</v>
      </c>
      <c r="AQ379" s="2" t="s">
        <v>356</v>
      </c>
      <c r="AS379" s="2" t="s">
        <v>1847</v>
      </c>
      <c r="AU379" s="2" t="s">
        <v>817</v>
      </c>
    </row>
    <row r="380" spans="1:47">
      <c r="A380" s="95" t="s">
        <v>2079</v>
      </c>
      <c r="B380" s="95" t="s">
        <v>416</v>
      </c>
      <c r="C380" s="95" t="s">
        <v>2073</v>
      </c>
      <c r="D380" s="95" t="s">
        <v>2666</v>
      </c>
      <c r="E380" s="364" t="s">
        <v>889</v>
      </c>
      <c r="F380" s="364" t="s">
        <v>356</v>
      </c>
      <c r="G380" s="364" t="s">
        <v>356</v>
      </c>
      <c r="H380" s="364">
        <v>21</v>
      </c>
      <c r="I380" s="364">
        <v>19</v>
      </c>
      <c r="J380" s="364"/>
      <c r="K380" s="364"/>
      <c r="L380" s="364"/>
      <c r="M380" s="364"/>
      <c r="N380" s="364"/>
      <c r="O380" s="364" t="s">
        <v>2080</v>
      </c>
      <c r="P380" s="51"/>
      <c r="Q380" s="51"/>
      <c r="R380" s="95" t="s">
        <v>2707</v>
      </c>
      <c r="T380" s="2">
        <v>400</v>
      </c>
      <c r="U380" s="2" cm="1">
        <f t="array" ref="U380">IFERROR(INDEX('Offer Statistics'!$FU$2:$FU$450,MATCH(1,($A380='Offer Statistics'!$FF$2:$FF$450)*($A$11='Offer Statistics'!$FG$2:$FG$450),0)),"/")</f>
        <v>340</v>
      </c>
      <c r="V380" s="2" cm="1">
        <f t="array" ref="V380">IFERROR(INDEX('Offer Statistics'!$FH$2:$FH$450,MATCH(1,($A380='Offer Statistics'!$FF$2:$FF$450)*($A$11='Offer Statistics'!$FG$2:$FG$450),0)),"/")</f>
        <v>2287</v>
      </c>
      <c r="W380" s="2" cm="1">
        <f t="array" ref="W380">IFERROR(INDEX('Offer Statistics'!$FP$2:$FP$450,MATCH(1,($A380='Offer Statistics'!$FF$2:$FF$450)*($A$11='Offer Statistics'!$FG$2:$FG$450),0)),"/")</f>
        <v>340</v>
      </c>
      <c r="X380" s="2">
        <f t="shared" si="832"/>
        <v>6.7264705882352942</v>
      </c>
      <c r="Y380" s="2" t="s">
        <v>2035</v>
      </c>
      <c r="Z380" s="2" t="str">
        <f>入學要求!AF389</f>
        <v>/</v>
      </c>
      <c r="AA380" s="2" t="str">
        <f>入學要求!AG389</f>
        <v>/</v>
      </c>
      <c r="AB380" s="364" t="s">
        <v>889</v>
      </c>
      <c r="AQ380" s="2" t="s">
        <v>356</v>
      </c>
      <c r="AS380" s="2" t="s">
        <v>1847</v>
      </c>
      <c r="AU380" s="2" t="s">
        <v>817</v>
      </c>
    </row>
    <row r="381" spans="1:47">
      <c r="A381" s="95" t="s">
        <v>2082</v>
      </c>
      <c r="B381" s="95" t="s">
        <v>416</v>
      </c>
      <c r="C381" s="95" t="s">
        <v>2073</v>
      </c>
      <c r="D381" s="95" t="s">
        <v>2667</v>
      </c>
      <c r="E381" s="364" t="s">
        <v>889</v>
      </c>
      <c r="F381" s="364" t="s">
        <v>356</v>
      </c>
      <c r="G381" s="364" t="s">
        <v>356</v>
      </c>
      <c r="H381" s="364">
        <v>17</v>
      </c>
      <c r="I381" s="364">
        <v>16</v>
      </c>
      <c r="J381" s="364"/>
      <c r="K381" s="364"/>
      <c r="L381" s="364"/>
      <c r="M381" s="364"/>
      <c r="N381" s="364"/>
      <c r="O381" s="364" t="s">
        <v>2083</v>
      </c>
      <c r="P381" s="51"/>
      <c r="Q381" s="51"/>
      <c r="R381" s="95" t="s">
        <v>2708</v>
      </c>
      <c r="T381" s="2">
        <v>125</v>
      </c>
      <c r="U381" s="2" cm="1">
        <f t="array" ref="U381">IFERROR(INDEX('Offer Statistics'!$FU$2:$FU$450,MATCH(1,($A381='Offer Statistics'!$FF$2:$FF$450)*($A$11='Offer Statistics'!$FG$2:$FG$450),0)),"/")</f>
        <v>136</v>
      </c>
      <c r="V381" s="2" cm="1">
        <f t="array" ref="V381">IFERROR(INDEX('Offer Statistics'!$FH$2:$FH$450,MATCH(1,($A381='Offer Statistics'!$FF$2:$FF$450)*($A$11='Offer Statistics'!$FG$2:$FG$450),0)),"/")</f>
        <v>902</v>
      </c>
      <c r="W381" s="2" cm="1">
        <f t="array" ref="W381">IFERROR(INDEX('Offer Statistics'!$FP$2:$FP$450,MATCH(1,($A381='Offer Statistics'!$FF$2:$FF$450)*($A$11='Offer Statistics'!$FG$2:$FG$450),0)),"/")</f>
        <v>136</v>
      </c>
      <c r="X381" s="2">
        <f t="shared" si="832"/>
        <v>6.632352941176471</v>
      </c>
      <c r="Y381" s="2" t="s">
        <v>2035</v>
      </c>
      <c r="Z381" s="2" t="str">
        <f>入學要求!AF390</f>
        <v>/</v>
      </c>
      <c r="AA381" s="2" t="str">
        <f>入學要求!AG390</f>
        <v>/</v>
      </c>
      <c r="AB381" s="364" t="s">
        <v>889</v>
      </c>
      <c r="AQ381" s="2" t="s">
        <v>356</v>
      </c>
      <c r="AS381" s="2" t="s">
        <v>1847</v>
      </c>
      <c r="AU381" s="2" t="s">
        <v>817</v>
      </c>
    </row>
    <row r="382" spans="1:47">
      <c r="A382" s="95" t="s">
        <v>2085</v>
      </c>
      <c r="B382" s="95" t="s">
        <v>416</v>
      </c>
      <c r="C382" s="95" t="s">
        <v>2073</v>
      </c>
      <c r="D382" s="95" t="s">
        <v>2668</v>
      </c>
      <c r="E382" s="364" t="s">
        <v>889</v>
      </c>
      <c r="F382" s="364" t="s">
        <v>356</v>
      </c>
      <c r="G382" s="364" t="s">
        <v>356</v>
      </c>
      <c r="H382" s="364">
        <v>24</v>
      </c>
      <c r="I382" s="364">
        <v>23</v>
      </c>
      <c r="J382" s="51"/>
      <c r="K382" s="51"/>
      <c r="L382" s="51"/>
      <c r="M382" s="51"/>
      <c r="N382" s="51"/>
      <c r="O382" s="51"/>
      <c r="P382" s="51"/>
      <c r="Q382" s="51"/>
      <c r="R382" s="95" t="s">
        <v>2709</v>
      </c>
      <c r="T382" s="2">
        <v>50</v>
      </c>
      <c r="U382" s="2" cm="1">
        <f t="array" ref="U382">IFERROR(INDEX('Offer Statistics'!$FU$2:$FU$450,MATCH(1,($A382='Offer Statistics'!$FF$2:$FF$450)*($A$11='Offer Statistics'!$FG$2:$FG$450),0)),"/")</f>
        <v>50</v>
      </c>
      <c r="V382" s="2" cm="1">
        <f t="array" ref="V382">IFERROR(INDEX('Offer Statistics'!$FH$2:$FH$450,MATCH(1,($A382='Offer Statistics'!$FF$2:$FF$450)*($A$11='Offer Statistics'!$FG$2:$FG$450),0)),"/")</f>
        <v>357</v>
      </c>
      <c r="W382" s="2" cm="1">
        <f t="array" ref="W382">IFERROR(INDEX('Offer Statistics'!$FP$2:$FP$450,MATCH(1,($A382='Offer Statistics'!$FF$2:$FF$450)*($A$11='Offer Statistics'!$FG$2:$FG$450),0)),"/")</f>
        <v>50</v>
      </c>
      <c r="X382" s="2">
        <f t="shared" si="832"/>
        <v>7.14</v>
      </c>
      <c r="Y382" s="2" t="s">
        <v>2035</v>
      </c>
      <c r="Z382" s="2" t="str">
        <f>入學要求!AF391</f>
        <v>/</v>
      </c>
      <c r="AA382" s="2" t="str">
        <f>入學要求!AG391</f>
        <v>/</v>
      </c>
      <c r="AB382" s="364" t="s">
        <v>889</v>
      </c>
      <c r="AQ382" s="2" t="s">
        <v>356</v>
      </c>
      <c r="AS382" s="2" t="s">
        <v>1847</v>
      </c>
      <c r="AU382" s="2" t="s">
        <v>817</v>
      </c>
    </row>
    <row r="383" spans="1:47">
      <c r="A383" s="95" t="s">
        <v>2087</v>
      </c>
      <c r="B383" s="95" t="s">
        <v>416</v>
      </c>
      <c r="C383" s="95" t="s">
        <v>2073</v>
      </c>
      <c r="D383" s="95" t="s">
        <v>2669</v>
      </c>
      <c r="E383" s="364" t="s">
        <v>889</v>
      </c>
      <c r="F383" s="364" t="s">
        <v>356</v>
      </c>
      <c r="G383" s="364" t="s">
        <v>356</v>
      </c>
      <c r="H383" s="364">
        <v>16</v>
      </c>
      <c r="I383" s="364">
        <v>13</v>
      </c>
      <c r="J383" s="51"/>
      <c r="K383" s="51"/>
      <c r="L383" s="51"/>
      <c r="M383" s="364" t="s">
        <v>2088</v>
      </c>
      <c r="N383" s="364" t="s">
        <v>2089</v>
      </c>
      <c r="O383" s="364"/>
      <c r="P383" s="51"/>
      <c r="Q383" s="51"/>
      <c r="R383" s="95" t="s">
        <v>2710</v>
      </c>
      <c r="T383" s="2">
        <v>55</v>
      </c>
      <c r="U383" s="2" cm="1">
        <f t="array" ref="U383">IFERROR(INDEX('Offer Statistics'!$FU$2:$FU$450,MATCH(1,($A383='Offer Statistics'!$FF$2:$FF$450)*($A$11='Offer Statistics'!$FG$2:$FG$450),0)),"/")</f>
        <v>78</v>
      </c>
      <c r="V383" s="2" cm="1">
        <f t="array" ref="V383">IFERROR(INDEX('Offer Statistics'!$FH$2:$FH$450,MATCH(1,($A383='Offer Statistics'!$FF$2:$FF$450)*($A$11='Offer Statistics'!$FG$2:$FG$450),0)),"/")</f>
        <v>296</v>
      </c>
      <c r="W383" s="2" cm="1">
        <f t="array" ref="W383">IFERROR(INDEX('Offer Statistics'!$FP$2:$FP$450,MATCH(1,($A383='Offer Statistics'!$FF$2:$FF$450)*($A$11='Offer Statistics'!$FG$2:$FG$450),0)),"/")</f>
        <v>69</v>
      </c>
      <c r="X383" s="2">
        <f t="shared" si="832"/>
        <v>4.2898550724637685</v>
      </c>
      <c r="Y383" s="2" t="s">
        <v>2035</v>
      </c>
      <c r="Z383" s="2" t="str">
        <f>入學要求!AF392</f>
        <v>/</v>
      </c>
      <c r="AA383" s="2" t="str">
        <f>入學要求!AG392</f>
        <v>/</v>
      </c>
      <c r="AB383" s="364" t="s">
        <v>889</v>
      </c>
      <c r="AQ383" s="2" t="s">
        <v>356</v>
      </c>
      <c r="AS383" s="2" t="s">
        <v>1847</v>
      </c>
      <c r="AU383" s="2" t="s">
        <v>817</v>
      </c>
    </row>
    <row r="384" spans="1:47">
      <c r="A384" s="95" t="s">
        <v>685</v>
      </c>
      <c r="B384" s="95" t="s">
        <v>416</v>
      </c>
      <c r="C384" s="95" t="s">
        <v>2073</v>
      </c>
      <c r="D384" s="95" t="s">
        <v>2670</v>
      </c>
      <c r="E384" s="364" t="s">
        <v>889</v>
      </c>
      <c r="F384" s="364" t="s">
        <v>356</v>
      </c>
      <c r="G384" s="364" t="s">
        <v>356</v>
      </c>
      <c r="H384" s="364">
        <v>18</v>
      </c>
      <c r="I384" s="364">
        <v>16</v>
      </c>
      <c r="J384" s="51"/>
      <c r="K384" s="51"/>
      <c r="L384" s="51"/>
      <c r="M384" s="364"/>
      <c r="N384" s="364"/>
      <c r="O384" s="364"/>
      <c r="P384" s="51"/>
      <c r="Q384" s="51"/>
      <c r="R384" s="95" t="s">
        <v>2671</v>
      </c>
      <c r="T384" s="2">
        <v>60</v>
      </c>
      <c r="U384" s="2" cm="1">
        <f t="array" ref="U384">IFERROR(INDEX('Offer Statistics'!$FU$2:$FU$450,MATCH(1,($A384='Offer Statistics'!$FF$2:$FF$450)*($A$11='Offer Statistics'!$FG$2:$FG$450),0)),"/")</f>
        <v>114</v>
      </c>
      <c r="V384" s="2" cm="1">
        <f t="array" ref="V384">IFERROR(INDEX('Offer Statistics'!$FH$2:$FH$450,MATCH(1,($A384='Offer Statistics'!$FF$2:$FF$450)*($A$11='Offer Statistics'!$FG$2:$FG$450),0)),"/")</f>
        <v>321</v>
      </c>
      <c r="W384" s="2" cm="1">
        <f t="array" ref="W384">IFERROR(INDEX('Offer Statistics'!$FP$2:$FP$450,MATCH(1,($A384='Offer Statistics'!$FF$2:$FF$450)*($A$11='Offer Statistics'!$FG$2:$FG$450),0)),"/")</f>
        <v>104</v>
      </c>
      <c r="X384" s="2">
        <f t="shared" si="832"/>
        <v>3.0865384615384617</v>
      </c>
      <c r="Y384" s="2" t="s">
        <v>2035</v>
      </c>
      <c r="Z384" s="2" t="str">
        <f>入學要求!AF393</f>
        <v>優先考慮  生物 或 化學 或 組合科學 (生物、化學) 考獲Lv.2或以上者</v>
      </c>
      <c r="AA384" s="2" t="str">
        <f>入學要求!AG393</f>
        <v>/</v>
      </c>
      <c r="AB384" s="364" t="s">
        <v>889</v>
      </c>
      <c r="AQ384" s="2" t="s">
        <v>356</v>
      </c>
      <c r="AS384" s="2" t="s">
        <v>1847</v>
      </c>
      <c r="AU384" s="2" t="s">
        <v>817</v>
      </c>
    </row>
    <row r="385" spans="1:47">
      <c r="A385" s="95" t="s">
        <v>2091</v>
      </c>
      <c r="B385" s="95" t="s">
        <v>416</v>
      </c>
      <c r="C385" s="95" t="s">
        <v>2073</v>
      </c>
      <c r="D385" s="95" t="s">
        <v>2757</v>
      </c>
      <c r="E385" s="364" t="s">
        <v>889</v>
      </c>
      <c r="F385" s="364" t="s">
        <v>356</v>
      </c>
      <c r="G385" s="364" t="s">
        <v>356</v>
      </c>
      <c r="H385" s="364">
        <v>16</v>
      </c>
      <c r="I385" s="364">
        <v>16</v>
      </c>
      <c r="J385" s="51"/>
      <c r="K385" s="51"/>
      <c r="L385" s="51"/>
      <c r="M385" s="364"/>
      <c r="N385" s="364"/>
      <c r="O385" s="364"/>
      <c r="P385" s="51"/>
      <c r="Q385" s="51"/>
      <c r="R385" s="95" t="s">
        <v>2711</v>
      </c>
      <c r="T385" s="2">
        <v>30</v>
      </c>
      <c r="U385" s="2" cm="1">
        <f t="array" ref="U385">IFERROR(INDEX('Offer Statistics'!$FU$2:$FU$450,MATCH(1,($A385='Offer Statistics'!$FF$2:$FF$450)*($A$11='Offer Statistics'!$FG$2:$FG$450),0)),"/")</f>
        <v>26</v>
      </c>
      <c r="V385" s="2" cm="1">
        <f t="array" ref="V385">IFERROR(INDEX('Offer Statistics'!$FH$2:$FH$450,MATCH(1,($A385='Offer Statistics'!$FF$2:$FF$450)*($A$11='Offer Statistics'!$FG$2:$FG$450),0)),"/")</f>
        <v>150</v>
      </c>
      <c r="W385" s="2" cm="1">
        <f t="array" ref="W385">IFERROR(INDEX('Offer Statistics'!$FP$2:$FP$450,MATCH(1,($A385='Offer Statistics'!$FF$2:$FF$450)*($A$11='Offer Statistics'!$FG$2:$FG$450),0)),"/")</f>
        <v>16</v>
      </c>
      <c r="X385" s="2">
        <f t="shared" si="832"/>
        <v>9.375</v>
      </c>
      <c r="Y385" s="2" t="s">
        <v>2035</v>
      </c>
      <c r="Z385" s="2" t="str">
        <f>入學要求!AF394</f>
        <v>/</v>
      </c>
      <c r="AA385" s="2" t="str">
        <f>入學要求!AG394</f>
        <v>/</v>
      </c>
      <c r="AB385" s="364" t="s">
        <v>889</v>
      </c>
      <c r="AQ385" s="2" t="s">
        <v>356</v>
      </c>
      <c r="AS385" s="2" t="s">
        <v>1847</v>
      </c>
      <c r="AU385" s="2" t="s">
        <v>817</v>
      </c>
    </row>
    <row r="386" spans="1:47">
      <c r="A386" s="95" t="s">
        <v>2093</v>
      </c>
      <c r="B386" s="95" t="s">
        <v>416</v>
      </c>
      <c r="C386" s="95" t="s">
        <v>2073</v>
      </c>
      <c r="D386" s="95" t="s">
        <v>2673</v>
      </c>
      <c r="E386" s="364" t="s">
        <v>889</v>
      </c>
      <c r="F386" s="364" t="s">
        <v>356</v>
      </c>
      <c r="G386" s="364" t="s">
        <v>356</v>
      </c>
      <c r="H386" s="364">
        <v>16</v>
      </c>
      <c r="I386" s="364">
        <v>14</v>
      </c>
      <c r="J386" s="51"/>
      <c r="K386" s="51"/>
      <c r="L386" s="51"/>
      <c r="M386" s="364"/>
      <c r="N386" s="364"/>
      <c r="O386" s="364"/>
      <c r="P386" s="51"/>
      <c r="Q386" s="51"/>
      <c r="R386" s="95" t="s">
        <v>2094</v>
      </c>
      <c r="T386" s="2">
        <v>30</v>
      </c>
      <c r="U386" s="2" cm="1">
        <f t="array" ref="U386">IFERROR(INDEX('Offer Statistics'!$FU$2:$FU$450,MATCH(1,($A386='Offer Statistics'!$FF$2:$FF$450)*($A$11='Offer Statistics'!$FG$2:$FG$450),0)),"/")</f>
        <v>55</v>
      </c>
      <c r="V386" s="2" cm="1">
        <f t="array" ref="V386">IFERROR(INDEX('Offer Statistics'!$FH$2:$FH$450,MATCH(1,($A386='Offer Statistics'!$FF$2:$FF$450)*($A$11='Offer Statistics'!$FG$2:$FG$450),0)),"/")</f>
        <v>318</v>
      </c>
      <c r="W386" s="2" cm="1">
        <f t="array" ref="W386">IFERROR(INDEX('Offer Statistics'!$FP$2:$FP$450,MATCH(1,($A386='Offer Statistics'!$FF$2:$FF$450)*($A$11='Offer Statistics'!$FG$2:$FG$450),0)),"/")</f>
        <v>33</v>
      </c>
      <c r="X386" s="2">
        <f t="shared" si="832"/>
        <v>9.6363636363636367</v>
      </c>
      <c r="Y386" s="2" t="s">
        <v>2035</v>
      </c>
      <c r="Z386" s="2" t="str">
        <f>入學要求!AF395</f>
        <v>/</v>
      </c>
      <c r="AA386" s="2" t="str">
        <f>入學要求!AG395</f>
        <v>/</v>
      </c>
      <c r="AB386" s="364" t="s">
        <v>889</v>
      </c>
      <c r="AQ386" s="2" t="s">
        <v>356</v>
      </c>
      <c r="AS386" s="2" t="s">
        <v>1847</v>
      </c>
      <c r="AU386" s="2" t="s">
        <v>817</v>
      </c>
    </row>
    <row r="387" spans="1:47">
      <c r="A387" s="95" t="s">
        <v>2095</v>
      </c>
      <c r="B387" s="95" t="s">
        <v>416</v>
      </c>
      <c r="C387" s="95" t="s">
        <v>2073</v>
      </c>
      <c r="D387" s="95" t="s">
        <v>2674</v>
      </c>
      <c r="E387" s="364" t="s">
        <v>889</v>
      </c>
      <c r="F387" s="364" t="s">
        <v>356</v>
      </c>
      <c r="G387" s="364" t="s">
        <v>356</v>
      </c>
      <c r="H387" s="364">
        <v>16</v>
      </c>
      <c r="I387" s="364">
        <v>15</v>
      </c>
      <c r="J387" s="51"/>
      <c r="K387" s="51"/>
      <c r="L387" s="51"/>
      <c r="M387" s="364"/>
      <c r="N387" s="364"/>
      <c r="O387" s="364"/>
      <c r="P387" s="51"/>
      <c r="Q387" s="51"/>
      <c r="R387" s="95" t="s">
        <v>2712</v>
      </c>
      <c r="T387" s="2">
        <v>35</v>
      </c>
      <c r="U387" s="2" cm="1">
        <f t="array" ref="U387">IFERROR(INDEX('Offer Statistics'!$FU$2:$FU$450,MATCH(1,($A387='Offer Statistics'!$FF$2:$FF$450)*($A$11='Offer Statistics'!$FG$2:$FG$450),0)),"/")</f>
        <v>54</v>
      </c>
      <c r="V387" s="2" cm="1">
        <f t="array" ref="V387">IFERROR(INDEX('Offer Statistics'!$FH$2:$FH$450,MATCH(1,($A387='Offer Statistics'!$FF$2:$FF$450)*($A$11='Offer Statistics'!$FG$2:$FG$450),0)),"/")</f>
        <v>194</v>
      </c>
      <c r="W387" s="2" cm="1">
        <f t="array" ref="W387">IFERROR(INDEX('Offer Statistics'!$FP$2:$FP$450,MATCH(1,($A387='Offer Statistics'!$FF$2:$FF$450)*($A$11='Offer Statistics'!$FG$2:$FG$450),0)),"/")</f>
        <v>29</v>
      </c>
      <c r="X387" s="2">
        <f t="shared" si="832"/>
        <v>6.6896551724137927</v>
      </c>
      <c r="Y387" s="2" t="s">
        <v>2035</v>
      </c>
      <c r="Z387" s="2" t="str">
        <f>入學要求!AF396</f>
        <v>/</v>
      </c>
      <c r="AA387" s="2" t="str">
        <f>入學要求!AG396</f>
        <v>/</v>
      </c>
      <c r="AB387" s="364" t="s">
        <v>889</v>
      </c>
      <c r="AQ387" s="2" t="s">
        <v>356</v>
      </c>
      <c r="AS387" s="2" t="s">
        <v>1847</v>
      </c>
      <c r="AU387" s="2" t="s">
        <v>817</v>
      </c>
    </row>
    <row r="388" spans="1:47">
      <c r="A388" s="365" t="s">
        <v>2097</v>
      </c>
      <c r="B388" s="95" t="s">
        <v>416</v>
      </c>
      <c r="C388" s="95" t="s">
        <v>2073</v>
      </c>
      <c r="D388" s="95" t="s">
        <v>2403</v>
      </c>
      <c r="E388" s="364" t="s">
        <v>889</v>
      </c>
      <c r="F388" s="364" t="s">
        <v>356</v>
      </c>
      <c r="G388" s="364" t="s">
        <v>356</v>
      </c>
      <c r="H388" s="364">
        <v>16</v>
      </c>
      <c r="I388" s="364">
        <v>16</v>
      </c>
      <c r="J388" s="51"/>
      <c r="K388" s="51"/>
      <c r="L388" s="51"/>
      <c r="M388" s="364" t="s">
        <v>2098</v>
      </c>
      <c r="N388" s="364" t="s">
        <v>2099</v>
      </c>
      <c r="O388" s="364"/>
      <c r="P388" s="51"/>
      <c r="Q388" s="51"/>
      <c r="R388" s="95" t="s">
        <v>2675</v>
      </c>
      <c r="T388" s="2">
        <v>45</v>
      </c>
      <c r="U388" s="2" cm="1">
        <f t="array" ref="U388">IFERROR(INDEX('Offer Statistics'!$FU$2:$FU$450,MATCH(1,($A388='Offer Statistics'!$FF$2:$FF$450)*($A$11='Offer Statistics'!$FG$2:$FG$450),0)),"/")</f>
        <v>68</v>
      </c>
      <c r="V388" s="2" cm="1">
        <f t="array" ref="V388">IFERROR(INDEX('Offer Statistics'!$FH$2:$FH$450,MATCH(1,($A388='Offer Statistics'!$FF$2:$FF$450)*($A$11='Offer Statistics'!$FG$2:$FG$450),0)),"/")</f>
        <v>259</v>
      </c>
      <c r="W388" s="2" cm="1">
        <f t="array" ref="W388">IFERROR(INDEX('Offer Statistics'!$FP$2:$FP$450,MATCH(1,($A388='Offer Statistics'!$FF$2:$FF$450)*($A$11='Offer Statistics'!$FG$2:$FG$450),0)),"/")</f>
        <v>46</v>
      </c>
      <c r="X388" s="2">
        <f t="shared" si="832"/>
        <v>5.6304347826086953</v>
      </c>
      <c r="Y388" s="2" t="s">
        <v>2035</v>
      </c>
      <c r="Z388" s="2" t="str">
        <f>入學要求!AF397</f>
        <v>/</v>
      </c>
      <c r="AA388" s="2" t="str">
        <f>入學要求!AG397</f>
        <v>/</v>
      </c>
      <c r="AB388" s="364" t="s">
        <v>889</v>
      </c>
      <c r="AQ388" s="2" t="s">
        <v>356</v>
      </c>
      <c r="AS388" s="2" t="s">
        <v>1847</v>
      </c>
      <c r="AU388" s="2" t="s">
        <v>817</v>
      </c>
    </row>
    <row r="389" spans="1:47">
      <c r="A389" s="365" t="s">
        <v>2713</v>
      </c>
      <c r="B389" s="95" t="s">
        <v>416</v>
      </c>
      <c r="C389" s="95" t="s">
        <v>2073</v>
      </c>
      <c r="D389" s="95" t="s">
        <v>2758</v>
      </c>
      <c r="E389" s="55" t="s">
        <v>2804</v>
      </c>
      <c r="F389" s="364" t="s">
        <v>356</v>
      </c>
      <c r="G389" s="364" t="s">
        <v>356</v>
      </c>
      <c r="H389" s="364" t="s">
        <v>356</v>
      </c>
      <c r="I389" s="364" t="s">
        <v>356</v>
      </c>
      <c r="J389" s="51"/>
      <c r="K389" s="51"/>
      <c r="L389" s="51"/>
      <c r="M389" s="364"/>
      <c r="N389" s="364"/>
      <c r="O389" s="364"/>
      <c r="P389" s="51"/>
      <c r="Q389" s="51"/>
      <c r="R389" s="95" t="s">
        <v>2714</v>
      </c>
      <c r="T389" s="2">
        <v>25</v>
      </c>
      <c r="U389" s="2" t="str" cm="1">
        <f t="array" ref="U389">IFERROR(INDEX('Offer Statistics'!$FU$2:$FU$450,MATCH(1,($A389='Offer Statistics'!$FF$2:$FF$450)*($A$11='Offer Statistics'!$FG$2:$FG$450),0)),"/")</f>
        <v>/</v>
      </c>
      <c r="V389" s="2" t="str" cm="1">
        <f t="array" ref="V389">IFERROR(INDEX('Offer Statistics'!$FH$2:$FH$450,MATCH(1,($A389='Offer Statistics'!$FF$2:$FF$450)*($A$11='Offer Statistics'!$FG$2:$FG$450),0)),"/")</f>
        <v>/</v>
      </c>
      <c r="W389" s="2" t="str" cm="1">
        <f t="array" ref="W389">IFERROR(INDEX('Offer Statistics'!$FP$2:$FP$450,MATCH(1,($A389='Offer Statistics'!$FF$2:$FF$450)*($A$11='Offer Statistics'!$FG$2:$FG$450),0)),"/")</f>
        <v>/</v>
      </c>
      <c r="X389" s="2" t="str">
        <f t="shared" si="832"/>
        <v>新科目</v>
      </c>
      <c r="Y389" s="2" t="s">
        <v>2035</v>
      </c>
      <c r="Z389" s="2" t="str">
        <f>入學要求!AF398</f>
        <v>優先考慮修讀  化學 或 物理 者</v>
      </c>
      <c r="AA389" s="2" t="str">
        <f>入學要求!AG398</f>
        <v>/</v>
      </c>
      <c r="AB389" s="364" t="s">
        <v>889</v>
      </c>
      <c r="AQ389" s="2" t="s">
        <v>356</v>
      </c>
      <c r="AS389" s="2" t="s">
        <v>1847</v>
      </c>
      <c r="AU389" s="2" t="s">
        <v>817</v>
      </c>
    </row>
    <row r="390" spans="1:47">
      <c r="A390" s="365" t="s">
        <v>2676</v>
      </c>
      <c r="B390" s="95" t="s">
        <v>416</v>
      </c>
      <c r="C390" s="95" t="s">
        <v>2073</v>
      </c>
      <c r="D390" s="95" t="s">
        <v>2407</v>
      </c>
      <c r="E390" s="364" t="s">
        <v>889</v>
      </c>
      <c r="F390" s="364" t="s">
        <v>356</v>
      </c>
      <c r="G390" s="364" t="s">
        <v>356</v>
      </c>
      <c r="H390" s="364">
        <v>16</v>
      </c>
      <c r="I390" s="364">
        <v>16</v>
      </c>
      <c r="J390" s="51"/>
      <c r="K390" s="51"/>
      <c r="L390" s="51"/>
      <c r="M390" s="364" t="s">
        <v>2100</v>
      </c>
      <c r="N390" s="364" t="s">
        <v>2101</v>
      </c>
      <c r="O390" s="364"/>
      <c r="P390" s="51"/>
      <c r="Q390" s="51"/>
      <c r="R390" s="95" t="s">
        <v>2102</v>
      </c>
      <c r="T390" s="2">
        <v>25</v>
      </c>
      <c r="U390" s="2" cm="1">
        <f t="array" ref="U390">IFERROR(INDEX('Offer Statistics'!$FU$2:$FU$450,MATCH(1,($A390='Offer Statistics'!$FF$2:$FF$450)*($A$11='Offer Statistics'!$FG$2:$FG$450),0)),"/")</f>
        <v>15</v>
      </c>
      <c r="V390" s="2" cm="1">
        <f t="array" ref="V390">IFERROR(INDEX('Offer Statistics'!$FH$2:$FH$450,MATCH(1,($A390='Offer Statistics'!$FF$2:$FF$450)*($A$11='Offer Statistics'!$FG$2:$FG$450),0)),"/")</f>
        <v>90</v>
      </c>
      <c r="W390" s="2" cm="1">
        <f t="array" ref="W390">IFERROR(INDEX('Offer Statistics'!$FP$2:$FP$450,MATCH(1,($A390='Offer Statistics'!$FF$2:$FF$450)*($A$11='Offer Statistics'!$FG$2:$FG$450),0)),"/")</f>
        <v>12</v>
      </c>
      <c r="X390" s="2">
        <f t="shared" si="832"/>
        <v>7.5</v>
      </c>
      <c r="Y390" s="2" t="s">
        <v>2035</v>
      </c>
      <c r="Z390" s="2" t="str">
        <f>入學要求!AF399</f>
        <v>/</v>
      </c>
      <c r="AA390" s="2" t="str">
        <f>入學要求!AG399</f>
        <v>/</v>
      </c>
      <c r="AB390" s="364" t="s">
        <v>889</v>
      </c>
      <c r="AQ390" s="2" t="s">
        <v>356</v>
      </c>
      <c r="AS390" s="2" t="s">
        <v>1847</v>
      </c>
      <c r="AU390" s="2" t="s">
        <v>817</v>
      </c>
    </row>
    <row r="391" spans="1:47">
      <c r="A391" s="365" t="s">
        <v>2677</v>
      </c>
      <c r="B391" s="95" t="s">
        <v>416</v>
      </c>
      <c r="C391" s="95" t="s">
        <v>2073</v>
      </c>
      <c r="D391" s="95" t="s">
        <v>2678</v>
      </c>
      <c r="E391" s="364" t="s">
        <v>889</v>
      </c>
      <c r="F391" s="364" t="s">
        <v>356</v>
      </c>
      <c r="G391" s="364" t="s">
        <v>356</v>
      </c>
      <c r="H391" s="364">
        <v>17</v>
      </c>
      <c r="I391" s="364">
        <v>16</v>
      </c>
      <c r="J391" s="51"/>
      <c r="K391" s="51"/>
      <c r="L391" s="51"/>
      <c r="M391" s="364" t="s">
        <v>2103</v>
      </c>
      <c r="N391" s="364" t="s">
        <v>2104</v>
      </c>
      <c r="O391" s="364"/>
      <c r="P391" s="51"/>
      <c r="Q391" s="51"/>
      <c r="R391" s="95" t="s">
        <v>2105</v>
      </c>
      <c r="T391" s="2">
        <v>40</v>
      </c>
      <c r="U391" s="2" cm="1">
        <f t="array" ref="U391">IFERROR(INDEX('Offer Statistics'!$FU$2:$FU$450,MATCH(1,($A391='Offer Statistics'!$FF$2:$FF$450)*($A$11='Offer Statistics'!$FG$2:$FG$450),0)),"/")</f>
        <v>55</v>
      </c>
      <c r="V391" s="2" cm="1">
        <f t="array" ref="V391">IFERROR(INDEX('Offer Statistics'!$FH$2:$FH$450,MATCH(1,($A391='Offer Statistics'!$FF$2:$FF$450)*($A$11='Offer Statistics'!$FG$2:$FG$450),0)),"/")</f>
        <v>193</v>
      </c>
      <c r="W391" s="2" cm="1">
        <f t="array" ref="W391">IFERROR(INDEX('Offer Statistics'!$FP$2:$FP$450,MATCH(1,($A391='Offer Statistics'!$FF$2:$FF$450)*($A$11='Offer Statistics'!$FG$2:$FG$450),0)),"/")</f>
        <v>39</v>
      </c>
      <c r="X391" s="2">
        <f t="shared" si="832"/>
        <v>4.9487179487179489</v>
      </c>
      <c r="Y391" s="2" t="s">
        <v>2035</v>
      </c>
      <c r="Z391" s="2" t="str">
        <f>入學要求!AF400</f>
        <v>/</v>
      </c>
      <c r="AA391" s="2" t="str">
        <f>入學要求!AG400</f>
        <v>/</v>
      </c>
      <c r="AB391" s="364" t="s">
        <v>889</v>
      </c>
      <c r="AQ391" s="2" t="s">
        <v>356</v>
      </c>
      <c r="AS391" s="2" t="s">
        <v>1847</v>
      </c>
      <c r="AU391" s="2" t="s">
        <v>817</v>
      </c>
    </row>
    <row r="392" spans="1:47">
      <c r="A392" s="95" t="s">
        <v>2106</v>
      </c>
      <c r="B392" s="95" t="s">
        <v>416</v>
      </c>
      <c r="C392" s="95" t="s">
        <v>2073</v>
      </c>
      <c r="D392" s="95" t="s">
        <v>2759</v>
      </c>
      <c r="E392" s="364" t="s">
        <v>889</v>
      </c>
      <c r="F392" s="364" t="s">
        <v>356</v>
      </c>
      <c r="G392" s="364" t="s">
        <v>356</v>
      </c>
      <c r="H392" s="364">
        <v>17</v>
      </c>
      <c r="I392" s="364">
        <v>16</v>
      </c>
      <c r="J392" s="364"/>
      <c r="K392" s="364"/>
      <c r="L392" s="364"/>
      <c r="M392" s="364"/>
      <c r="N392" s="364"/>
      <c r="O392" s="364"/>
      <c r="P392" s="51"/>
      <c r="Q392" s="51"/>
      <c r="R392" s="95" t="s">
        <v>2680</v>
      </c>
      <c r="T392" s="2">
        <v>50</v>
      </c>
      <c r="U392" s="2" cm="1">
        <f t="array" ref="U392">IFERROR(INDEX('Offer Statistics'!$FU$2:$FU$450,MATCH(1,($A392='Offer Statistics'!$FF$2:$FF$450)*($A$11='Offer Statistics'!$FG$2:$FG$450),0)),"/")</f>
        <v>66</v>
      </c>
      <c r="V392" s="2" cm="1">
        <f t="array" ref="V392">IFERROR(INDEX('Offer Statistics'!$FH$2:$FH$450,MATCH(1,($A392='Offer Statistics'!$FF$2:$FF$450)*($A$11='Offer Statistics'!$FG$2:$FG$450),0)),"/")</f>
        <v>359</v>
      </c>
      <c r="W392" s="2" cm="1">
        <f t="array" ref="W392">IFERROR(INDEX('Offer Statistics'!$FP$2:$FP$450,MATCH(1,($A392='Offer Statistics'!$FF$2:$FF$450)*($A$11='Offer Statistics'!$FG$2:$FG$450),0)),"/")</f>
        <v>49</v>
      </c>
      <c r="X392" s="2">
        <f t="shared" si="832"/>
        <v>7.3265306122448983</v>
      </c>
      <c r="Y392" s="2" t="s">
        <v>2035</v>
      </c>
      <c r="Z392" s="2" t="str">
        <f>入學要求!AF401</f>
        <v>/</v>
      </c>
      <c r="AA392" s="2" t="str">
        <f>入學要求!AG401</f>
        <v>/</v>
      </c>
      <c r="AB392" s="364" t="s">
        <v>889</v>
      </c>
      <c r="AQ392" s="2" t="s">
        <v>356</v>
      </c>
      <c r="AS392" s="2" t="s">
        <v>1847</v>
      </c>
      <c r="AU392" s="2" t="s">
        <v>817</v>
      </c>
    </row>
    <row r="393" spans="1:47">
      <c r="A393" s="95" t="s">
        <v>2107</v>
      </c>
      <c r="B393" s="95" t="s">
        <v>416</v>
      </c>
      <c r="C393" s="95" t="s">
        <v>2073</v>
      </c>
      <c r="D393" s="95" t="s">
        <v>2760</v>
      </c>
      <c r="E393" s="364" t="s">
        <v>889</v>
      </c>
      <c r="F393" s="364" t="s">
        <v>356</v>
      </c>
      <c r="G393" s="364" t="s">
        <v>356</v>
      </c>
      <c r="H393" s="364">
        <v>16</v>
      </c>
      <c r="I393" s="364">
        <v>15</v>
      </c>
      <c r="J393" s="364"/>
      <c r="K393" s="364"/>
      <c r="L393" s="364"/>
      <c r="M393" s="364"/>
      <c r="N393" s="364"/>
      <c r="O393" s="364"/>
      <c r="P393" s="51"/>
      <c r="Q393" s="51"/>
      <c r="R393" s="95" t="s">
        <v>2682</v>
      </c>
      <c r="T393" s="2">
        <v>40</v>
      </c>
      <c r="U393" s="2" cm="1">
        <f t="array" ref="U393">IFERROR(INDEX('Offer Statistics'!$FU$2:$FU$450,MATCH(1,($A393='Offer Statistics'!$FF$2:$FF$450)*($A$11='Offer Statistics'!$FG$2:$FG$450),0)),"/")</f>
        <v>84</v>
      </c>
      <c r="V393" s="2" cm="1">
        <f t="array" ref="V393">IFERROR(INDEX('Offer Statistics'!$FH$2:$FH$450,MATCH(1,($A393='Offer Statistics'!$FF$2:$FF$450)*($A$11='Offer Statistics'!$FG$2:$FG$450),0)),"/")</f>
        <v>345</v>
      </c>
      <c r="W393" s="2" cm="1">
        <f t="array" ref="W393">IFERROR(INDEX('Offer Statistics'!$FP$2:$FP$450,MATCH(1,($A393='Offer Statistics'!$FF$2:$FF$450)*($A$11='Offer Statistics'!$FG$2:$FG$450),0)),"/")</f>
        <v>52</v>
      </c>
      <c r="X393" s="2">
        <f t="shared" si="832"/>
        <v>6.634615384615385</v>
      </c>
      <c r="Y393" s="2" t="s">
        <v>2035</v>
      </c>
      <c r="Z393" s="2" t="str">
        <f>入學要求!AF402</f>
        <v>/</v>
      </c>
      <c r="AA393" s="2" t="str">
        <f>入學要求!AG402</f>
        <v>/</v>
      </c>
      <c r="AB393" s="364" t="s">
        <v>889</v>
      </c>
      <c r="AQ393" s="2" t="s">
        <v>356</v>
      </c>
      <c r="AS393" s="2" t="s">
        <v>1847</v>
      </c>
      <c r="AU393" s="2" t="s">
        <v>817</v>
      </c>
    </row>
    <row r="394" spans="1:47">
      <c r="A394" s="95" t="s">
        <v>2108</v>
      </c>
      <c r="B394" s="95" t="s">
        <v>416</v>
      </c>
      <c r="C394" s="95" t="s">
        <v>2073</v>
      </c>
      <c r="D394" s="95" t="s">
        <v>2761</v>
      </c>
      <c r="E394" s="364" t="s">
        <v>889</v>
      </c>
      <c r="F394" s="364" t="s">
        <v>356</v>
      </c>
      <c r="G394" s="364" t="s">
        <v>356</v>
      </c>
      <c r="H394" s="364">
        <v>17</v>
      </c>
      <c r="I394" s="364">
        <v>16</v>
      </c>
      <c r="J394" s="364"/>
      <c r="K394" s="364"/>
      <c r="L394" s="364"/>
      <c r="M394" s="364"/>
      <c r="N394" s="364"/>
      <c r="O394" s="364"/>
      <c r="P394" s="51"/>
      <c r="Q394" s="51"/>
      <c r="R394" s="95" t="s">
        <v>2715</v>
      </c>
      <c r="T394" s="2">
        <v>30</v>
      </c>
      <c r="U394" s="2" cm="1">
        <f t="array" ref="U394">IFERROR(INDEX('Offer Statistics'!$FU$2:$FU$450,MATCH(1,($A394='Offer Statistics'!$FF$2:$FF$450)*($A$11='Offer Statistics'!$FG$2:$FG$450),0)),"/")</f>
        <v>43</v>
      </c>
      <c r="V394" s="2" cm="1">
        <f t="array" ref="V394">IFERROR(INDEX('Offer Statistics'!$FH$2:$FH$450,MATCH(1,($A394='Offer Statistics'!$FF$2:$FF$450)*($A$11='Offer Statistics'!$FG$2:$FG$450),0)),"/")</f>
        <v>186</v>
      </c>
      <c r="W394" s="2" cm="1">
        <f t="array" ref="W394">IFERROR(INDEX('Offer Statistics'!$FP$2:$FP$450,MATCH(1,($A394='Offer Statistics'!$FF$2:$FF$450)*($A$11='Offer Statistics'!$FG$2:$FG$450),0)),"/")</f>
        <v>28</v>
      </c>
      <c r="X394" s="2">
        <f t="shared" si="832"/>
        <v>6.6428571428571432</v>
      </c>
      <c r="Y394" s="2" t="s">
        <v>2035</v>
      </c>
      <c r="Z394" s="2" t="str">
        <f>入學要求!AF403</f>
        <v>/</v>
      </c>
      <c r="AA394" s="2" t="str">
        <f>入學要求!AG403</f>
        <v>/</v>
      </c>
      <c r="AB394" s="364" t="s">
        <v>889</v>
      </c>
      <c r="AQ394" s="2" t="s">
        <v>356</v>
      </c>
      <c r="AS394" s="2" t="s">
        <v>1847</v>
      </c>
      <c r="AU394" s="2" t="s">
        <v>817</v>
      </c>
    </row>
    <row r="395" spans="1:47">
      <c r="A395" s="95" t="s">
        <v>2110</v>
      </c>
      <c r="B395" s="95" t="s">
        <v>416</v>
      </c>
      <c r="C395" s="95" t="s">
        <v>2073</v>
      </c>
      <c r="D395" s="95" t="s">
        <v>2762</v>
      </c>
      <c r="E395" s="364" t="s">
        <v>889</v>
      </c>
      <c r="F395" s="364" t="s">
        <v>356</v>
      </c>
      <c r="G395" s="364" t="s">
        <v>356</v>
      </c>
      <c r="H395" s="364">
        <v>17</v>
      </c>
      <c r="I395" s="364">
        <v>17</v>
      </c>
      <c r="J395" s="364"/>
      <c r="K395" s="364"/>
      <c r="L395" s="364"/>
      <c r="M395" s="364"/>
      <c r="N395" s="364"/>
      <c r="O395" s="364"/>
      <c r="P395" s="51"/>
      <c r="Q395" s="51"/>
      <c r="R395" s="95" t="s">
        <v>2716</v>
      </c>
      <c r="T395" s="2">
        <v>30</v>
      </c>
      <c r="U395" s="2" cm="1">
        <f t="array" ref="U395">IFERROR(INDEX('Offer Statistics'!$FU$2:$FU$450,MATCH(1,($A395='Offer Statistics'!$FF$2:$FF$450)*($A$11='Offer Statistics'!$FG$2:$FG$450),0)),"/")</f>
        <v>37</v>
      </c>
      <c r="V395" s="2" cm="1">
        <f t="array" ref="V395">IFERROR(INDEX('Offer Statistics'!$FH$2:$FH$450,MATCH(1,($A395='Offer Statistics'!$FF$2:$FF$450)*($A$11='Offer Statistics'!$FG$2:$FG$450),0)),"/")</f>
        <v>203</v>
      </c>
      <c r="W395" s="2" cm="1">
        <f t="array" ref="W395">IFERROR(INDEX('Offer Statistics'!$FP$2:$FP$450,MATCH(1,($A395='Offer Statistics'!$FF$2:$FF$450)*($A$11='Offer Statistics'!$FG$2:$FG$450),0)),"/")</f>
        <v>21</v>
      </c>
      <c r="X395" s="2">
        <f t="shared" si="832"/>
        <v>9.6666666666666661</v>
      </c>
      <c r="Y395" s="2" t="s">
        <v>2035</v>
      </c>
      <c r="Z395" s="2" t="str">
        <f>入學要求!AF404</f>
        <v>/</v>
      </c>
      <c r="AA395" s="2" t="str">
        <f>入學要求!AG404</f>
        <v>/</v>
      </c>
      <c r="AB395" s="364" t="s">
        <v>889</v>
      </c>
      <c r="AQ395" s="2" t="s">
        <v>356</v>
      </c>
      <c r="AS395" s="2" t="s">
        <v>1847</v>
      </c>
      <c r="AU395" s="2" t="s">
        <v>817</v>
      </c>
    </row>
    <row r="396" spans="1:47">
      <c r="A396" s="95" t="s">
        <v>2112</v>
      </c>
      <c r="B396" s="95" t="s">
        <v>416</v>
      </c>
      <c r="C396" s="95" t="s">
        <v>2113</v>
      </c>
      <c r="D396" s="95" t="s">
        <v>2685</v>
      </c>
      <c r="E396" s="364" t="s">
        <v>889</v>
      </c>
      <c r="F396" s="364">
        <v>15</v>
      </c>
      <c r="G396" s="364" t="s">
        <v>356</v>
      </c>
      <c r="H396" s="364">
        <v>15</v>
      </c>
      <c r="I396" s="364" t="s">
        <v>356</v>
      </c>
      <c r="J396" s="364"/>
      <c r="K396" s="51"/>
      <c r="L396" s="51"/>
      <c r="M396" s="51"/>
      <c r="N396" s="51"/>
      <c r="O396" s="51"/>
      <c r="P396" s="51"/>
      <c r="Q396" s="51"/>
      <c r="R396" s="95" t="s">
        <v>2114</v>
      </c>
      <c r="T396" s="2">
        <v>25</v>
      </c>
      <c r="U396" s="2" cm="1">
        <f t="array" ref="U396">IFERROR(INDEX('Offer Statistics'!$FU$2:$FU$450,MATCH(1,($A396='Offer Statistics'!$FF$2:$FF$450)*($A$11='Offer Statistics'!$FG$2:$FG$450),0)),"/")</f>
        <v>43</v>
      </c>
      <c r="V396" s="2" cm="1">
        <f t="array" ref="V396">IFERROR(INDEX('Offer Statistics'!$FH$2:$FH$450,MATCH(1,($A396='Offer Statistics'!$FF$2:$FF$450)*($A$11='Offer Statistics'!$FG$2:$FG$450),0)),"/")</f>
        <v>254</v>
      </c>
      <c r="W396" s="2" cm="1">
        <f t="array" ref="W396">IFERROR(INDEX('Offer Statistics'!$FP$2:$FP$450,MATCH(1,($A396='Offer Statistics'!$FF$2:$FF$450)*($A$11='Offer Statistics'!$FG$2:$FG$450),0)),"/")</f>
        <v>26</v>
      </c>
      <c r="X396" s="2">
        <f t="shared" si="832"/>
        <v>9.7692307692307701</v>
      </c>
      <c r="Y396" s="2" t="s">
        <v>2035</v>
      </c>
      <c r="Z396" s="2" t="str">
        <f>入學要求!AF405</f>
        <v>/</v>
      </c>
      <c r="AA396" s="2" t="str">
        <f>入學要求!AG405</f>
        <v>/</v>
      </c>
      <c r="AB396" s="2" t="s">
        <v>889</v>
      </c>
      <c r="AQ396" s="2" t="s">
        <v>356</v>
      </c>
      <c r="AS396" s="2" t="s">
        <v>1847</v>
      </c>
      <c r="AU396" s="2" t="s">
        <v>817</v>
      </c>
    </row>
    <row r="397" spans="1:47">
      <c r="A397" s="95" t="s">
        <v>2115</v>
      </c>
      <c r="B397" s="95" t="s">
        <v>416</v>
      </c>
      <c r="C397" s="95" t="s">
        <v>2113</v>
      </c>
      <c r="D397" s="95" t="s">
        <v>2686</v>
      </c>
      <c r="E397" s="364" t="s">
        <v>889</v>
      </c>
      <c r="F397" s="364">
        <v>17</v>
      </c>
      <c r="G397" s="364" t="s">
        <v>356</v>
      </c>
      <c r="H397" s="364">
        <v>17</v>
      </c>
      <c r="I397" s="364" t="s">
        <v>356</v>
      </c>
      <c r="J397" s="364"/>
      <c r="K397" s="51"/>
      <c r="L397" s="51"/>
      <c r="M397" s="51"/>
      <c r="N397" s="51"/>
      <c r="O397" s="51"/>
      <c r="P397" s="51"/>
      <c r="Q397" s="51"/>
      <c r="R397" s="95" t="s">
        <v>2116</v>
      </c>
      <c r="T397" s="2">
        <v>15</v>
      </c>
      <c r="U397" s="2" cm="1">
        <f t="array" ref="U397">IFERROR(INDEX('Offer Statistics'!$FU$2:$FU$450,MATCH(1,($A397='Offer Statistics'!$FF$2:$FF$450)*($A$11='Offer Statistics'!$FG$2:$FG$450),0)),"/")</f>
        <v>12</v>
      </c>
      <c r="V397" s="2" cm="1">
        <f t="array" ref="V397">IFERROR(INDEX('Offer Statistics'!$FH$2:$FH$450,MATCH(1,($A397='Offer Statistics'!$FF$2:$FF$450)*($A$11='Offer Statistics'!$FG$2:$FG$450),0)),"/")</f>
        <v>169</v>
      </c>
      <c r="W397" s="2" cm="1">
        <f t="array" ref="W397">IFERROR(INDEX('Offer Statistics'!$FP$2:$FP$450,MATCH(1,($A397='Offer Statistics'!$FF$2:$FF$450)*($A$11='Offer Statistics'!$FG$2:$FG$450),0)),"/")</f>
        <v>8</v>
      </c>
      <c r="X397" s="2">
        <f t="shared" si="832"/>
        <v>21.125</v>
      </c>
      <c r="Y397" s="2" t="s">
        <v>2035</v>
      </c>
      <c r="Z397" s="2" t="str">
        <f>入學要求!AF406</f>
        <v>/</v>
      </c>
      <c r="AA397" s="2" t="str">
        <f>入學要求!AG406</f>
        <v>/</v>
      </c>
      <c r="AB397" s="2" t="s">
        <v>889</v>
      </c>
      <c r="AQ397" s="2" t="s">
        <v>356</v>
      </c>
      <c r="AS397" s="2" t="s">
        <v>1847</v>
      </c>
      <c r="AU397" s="2" t="s">
        <v>817</v>
      </c>
    </row>
    <row r="398" spans="1:47">
      <c r="A398" s="95" t="s">
        <v>2117</v>
      </c>
      <c r="B398" s="95" t="s">
        <v>416</v>
      </c>
      <c r="C398" s="95" t="s">
        <v>2113</v>
      </c>
      <c r="D398" s="95" t="s">
        <v>2687</v>
      </c>
      <c r="E398" s="364" t="s">
        <v>889</v>
      </c>
      <c r="F398" s="364">
        <v>16</v>
      </c>
      <c r="G398" s="364" t="s">
        <v>356</v>
      </c>
      <c r="H398" s="364">
        <v>16</v>
      </c>
      <c r="I398" s="364" t="s">
        <v>356</v>
      </c>
      <c r="J398" s="364"/>
      <c r="K398" s="51"/>
      <c r="L398" s="51"/>
      <c r="M398" s="51"/>
      <c r="N398" s="51"/>
      <c r="O398" s="51"/>
      <c r="P398" s="51"/>
      <c r="Q398" s="51"/>
      <c r="R398" s="95" t="s">
        <v>2118</v>
      </c>
      <c r="T398" s="2">
        <v>15</v>
      </c>
      <c r="U398" s="2" cm="1">
        <f t="array" ref="U398">IFERROR(INDEX('Offer Statistics'!$FU$2:$FU$450,MATCH(1,($A398='Offer Statistics'!$FF$2:$FF$450)*($A$11='Offer Statistics'!$FG$2:$FG$450),0)),"/")</f>
        <v>8</v>
      </c>
      <c r="V398" s="2" cm="1">
        <f t="array" ref="V398">IFERROR(INDEX('Offer Statistics'!$FH$2:$FH$450,MATCH(1,($A398='Offer Statistics'!$FF$2:$FF$450)*($A$11='Offer Statistics'!$FG$2:$FG$450),0)),"/")</f>
        <v>48</v>
      </c>
      <c r="W398" s="2" cm="1">
        <f t="array" ref="W398">IFERROR(INDEX('Offer Statistics'!$FP$2:$FP$450,MATCH(1,($A398='Offer Statistics'!$FF$2:$FF$450)*($A$11='Offer Statistics'!$FG$2:$FG$450),0)),"/")</f>
        <v>6</v>
      </c>
      <c r="X398" s="2">
        <f t="shared" si="832"/>
        <v>8</v>
      </c>
      <c r="Y398" s="2" t="s">
        <v>2035</v>
      </c>
      <c r="Z398" s="2" t="str">
        <f>入學要求!AF407</f>
        <v>/</v>
      </c>
      <c r="AA398" s="2" t="str">
        <f>入學要求!AG407</f>
        <v>/</v>
      </c>
      <c r="AB398" s="2" t="s">
        <v>889</v>
      </c>
      <c r="AQ398" s="2" t="s">
        <v>356</v>
      </c>
      <c r="AS398" s="2" t="s">
        <v>1847</v>
      </c>
      <c r="AU398" s="2" t="s">
        <v>817</v>
      </c>
    </row>
    <row r="399" spans="1:47">
      <c r="A399" s="95" t="s">
        <v>2119</v>
      </c>
      <c r="B399" s="95" t="s">
        <v>416</v>
      </c>
      <c r="C399" s="95" t="s">
        <v>2113</v>
      </c>
      <c r="D399" s="95" t="s">
        <v>2688</v>
      </c>
      <c r="E399" s="364" t="s">
        <v>889</v>
      </c>
      <c r="F399" s="364">
        <v>17</v>
      </c>
      <c r="G399" s="364" t="s">
        <v>356</v>
      </c>
      <c r="H399" s="364">
        <v>17</v>
      </c>
      <c r="I399" s="364" t="s">
        <v>356</v>
      </c>
      <c r="J399" s="364"/>
      <c r="K399" s="51"/>
      <c r="L399" s="51"/>
      <c r="M399" s="51"/>
      <c r="N399" s="51"/>
      <c r="O399" s="51"/>
      <c r="P399" s="51"/>
      <c r="Q399" s="51"/>
      <c r="R399" s="95" t="s">
        <v>2120</v>
      </c>
      <c r="T399" s="2">
        <v>15</v>
      </c>
      <c r="U399" s="2" cm="1">
        <f t="array" ref="U399">IFERROR(INDEX('Offer Statistics'!$FU$2:$FU$450,MATCH(1,($A399='Offer Statistics'!$FF$2:$FF$450)*($A$11='Offer Statistics'!$FG$2:$FG$450),0)),"/")</f>
        <v>30</v>
      </c>
      <c r="V399" s="2" cm="1">
        <f t="array" ref="V399">IFERROR(INDEX('Offer Statistics'!$FH$2:$FH$450,MATCH(1,($A399='Offer Statistics'!$FF$2:$FF$450)*($A$11='Offer Statistics'!$FG$2:$FG$450),0)),"/")</f>
        <v>216</v>
      </c>
      <c r="W399" s="2" cm="1">
        <f t="array" ref="W399">IFERROR(INDEX('Offer Statistics'!$FP$2:$FP$450,MATCH(1,($A399='Offer Statistics'!$FF$2:$FF$450)*($A$11='Offer Statistics'!$FG$2:$FG$450),0)),"/")</f>
        <v>15</v>
      </c>
      <c r="X399" s="2">
        <f t="shared" si="832"/>
        <v>14.4</v>
      </c>
      <c r="Y399" s="2" t="s">
        <v>2035</v>
      </c>
      <c r="Z399" s="2" t="str">
        <f>入學要求!AF408</f>
        <v>/</v>
      </c>
      <c r="AA399" s="2" t="str">
        <f>入學要求!AG408</f>
        <v>/</v>
      </c>
      <c r="AB399" s="2" t="s">
        <v>889</v>
      </c>
      <c r="AQ399" s="2" t="s">
        <v>356</v>
      </c>
      <c r="AS399" s="2" t="s">
        <v>1847</v>
      </c>
      <c r="AU399" s="2" t="s">
        <v>817</v>
      </c>
    </row>
    <row r="400" spans="1:47">
      <c r="A400" s="95" t="s">
        <v>2121</v>
      </c>
      <c r="B400" s="95" t="s">
        <v>416</v>
      </c>
      <c r="C400" s="95" t="s">
        <v>2113</v>
      </c>
      <c r="D400" s="95" t="s">
        <v>2689</v>
      </c>
      <c r="E400" s="364" t="s">
        <v>889</v>
      </c>
      <c r="F400" s="364">
        <v>17</v>
      </c>
      <c r="G400" s="364" t="s">
        <v>356</v>
      </c>
      <c r="H400" s="364">
        <v>17</v>
      </c>
      <c r="I400" s="364" t="s">
        <v>356</v>
      </c>
      <c r="J400" s="364"/>
      <c r="K400" s="51"/>
      <c r="L400" s="51"/>
      <c r="M400" s="51"/>
      <c r="N400" s="51"/>
      <c r="O400" s="51"/>
      <c r="P400" s="51"/>
      <c r="Q400" s="51"/>
      <c r="R400" s="95" t="s">
        <v>2122</v>
      </c>
      <c r="T400" s="2">
        <v>25</v>
      </c>
      <c r="U400" s="2" cm="1">
        <f t="array" ref="U400">IFERROR(INDEX('Offer Statistics'!$FU$2:$FU$450,MATCH(1,($A400='Offer Statistics'!$FF$2:$FF$450)*($A$11='Offer Statistics'!$FG$2:$FG$450),0)),"/")</f>
        <v>7</v>
      </c>
      <c r="V400" s="2" cm="1">
        <f t="array" ref="V400">IFERROR(INDEX('Offer Statistics'!$FH$2:$FH$450,MATCH(1,($A400='Offer Statistics'!$FF$2:$FF$450)*($A$11='Offer Statistics'!$FG$2:$FG$450),0)),"/")</f>
        <v>128</v>
      </c>
      <c r="W400" s="2" cm="1">
        <f t="array" ref="W400">IFERROR(INDEX('Offer Statistics'!$FP$2:$FP$450,MATCH(1,($A400='Offer Statistics'!$FF$2:$FF$450)*($A$11='Offer Statistics'!$FG$2:$FG$450),0)),"/")</f>
        <v>7</v>
      </c>
      <c r="X400" s="2">
        <f t="shared" si="832"/>
        <v>18.285714285714285</v>
      </c>
      <c r="Y400" s="2" t="s">
        <v>2035</v>
      </c>
      <c r="Z400" s="2" t="str">
        <f>入學要求!AF409</f>
        <v>以下一科選修取得Lv.2︰生物、化學、組合科學、物理、綜合科學、M1/2</v>
      </c>
      <c r="AA400" s="2" t="str">
        <f>入學要求!AG409</f>
        <v>/</v>
      </c>
      <c r="AB400" s="2" t="s">
        <v>889</v>
      </c>
      <c r="AQ400" s="2" t="s">
        <v>356</v>
      </c>
      <c r="AS400" s="2" t="s">
        <v>1847</v>
      </c>
      <c r="AU400" s="2" t="s">
        <v>817</v>
      </c>
    </row>
    <row r="401" spans="1:47">
      <c r="A401" s="95" t="s">
        <v>2123</v>
      </c>
      <c r="B401" s="95" t="s">
        <v>416</v>
      </c>
      <c r="C401" s="95" t="s">
        <v>2113</v>
      </c>
      <c r="D401" s="95" t="s">
        <v>2690</v>
      </c>
      <c r="E401" s="364" t="s">
        <v>889</v>
      </c>
      <c r="F401" s="364">
        <v>17</v>
      </c>
      <c r="G401" s="364" t="s">
        <v>356</v>
      </c>
      <c r="H401" s="364">
        <v>17</v>
      </c>
      <c r="I401" s="364" t="s">
        <v>356</v>
      </c>
      <c r="J401" s="364"/>
      <c r="K401" s="51"/>
      <c r="L401" s="51"/>
      <c r="M401" s="51"/>
      <c r="N401" s="51"/>
      <c r="O401" s="51"/>
      <c r="P401" s="51"/>
      <c r="Q401" s="51"/>
      <c r="R401" s="95" t="s">
        <v>2124</v>
      </c>
      <c r="T401" s="2">
        <v>15</v>
      </c>
      <c r="U401" s="2" cm="1">
        <f t="array" ref="U401">IFERROR(INDEX('Offer Statistics'!$FU$2:$FU$450,MATCH(1,($A401='Offer Statistics'!$FF$2:$FF$450)*($A$11='Offer Statistics'!$FG$2:$FG$450),0)),"/")</f>
        <v>6</v>
      </c>
      <c r="V401" s="2" cm="1">
        <f t="array" ref="V401">IFERROR(INDEX('Offer Statistics'!$FH$2:$FH$450,MATCH(1,($A401='Offer Statistics'!$FF$2:$FF$450)*($A$11='Offer Statistics'!$FG$2:$FG$450),0)),"/")</f>
        <v>71</v>
      </c>
      <c r="W401" s="2" cm="1">
        <f t="array" ref="W401">IFERROR(INDEX('Offer Statistics'!$FP$2:$FP$450,MATCH(1,($A401='Offer Statistics'!$FF$2:$FF$450)*($A$11='Offer Statistics'!$FG$2:$FG$450),0)),"/")</f>
        <v>3</v>
      </c>
      <c r="X401" s="2">
        <f t="shared" si="832"/>
        <v>23.666666666666668</v>
      </c>
      <c r="Y401" s="2" t="s">
        <v>2035</v>
      </c>
      <c r="Z401" s="2" t="str">
        <f>入學要求!AF410</f>
        <v>/</v>
      </c>
      <c r="AA401" s="2" t="str">
        <f>入學要求!AG410</f>
        <v>/</v>
      </c>
      <c r="AB401" s="2" t="s">
        <v>889</v>
      </c>
      <c r="AQ401" s="2" t="s">
        <v>356</v>
      </c>
      <c r="AS401" s="2" t="s">
        <v>1847</v>
      </c>
      <c r="AU401" s="2" t="s">
        <v>817</v>
      </c>
    </row>
    <row r="402" spans="1:47">
      <c r="A402" s="95" t="s">
        <v>2125</v>
      </c>
      <c r="B402" s="95" t="s">
        <v>416</v>
      </c>
      <c r="C402" s="95" t="s">
        <v>2113</v>
      </c>
      <c r="D402" s="95" t="s">
        <v>2691</v>
      </c>
      <c r="E402" s="364" t="s">
        <v>889</v>
      </c>
      <c r="F402" s="364">
        <v>17</v>
      </c>
      <c r="G402" s="364" t="s">
        <v>356</v>
      </c>
      <c r="H402" s="364">
        <v>17</v>
      </c>
      <c r="I402" s="364" t="s">
        <v>356</v>
      </c>
      <c r="J402" s="364"/>
      <c r="K402" s="51"/>
      <c r="L402" s="51"/>
      <c r="M402" s="51"/>
      <c r="N402" s="51"/>
      <c r="O402" s="51"/>
      <c r="P402" s="51"/>
      <c r="Q402" s="51"/>
      <c r="R402" s="95" t="s">
        <v>2126</v>
      </c>
      <c r="T402" s="2">
        <v>15</v>
      </c>
      <c r="U402" s="2" cm="1">
        <f t="array" ref="U402">IFERROR(INDEX('Offer Statistics'!$FU$2:$FU$450,MATCH(1,($A402='Offer Statistics'!$FF$2:$FF$450)*($A$11='Offer Statistics'!$FG$2:$FG$450),0)),"/")</f>
        <v>13</v>
      </c>
      <c r="V402" s="2" cm="1">
        <f t="array" ref="V402">IFERROR(INDEX('Offer Statistics'!$FH$2:$FH$450,MATCH(1,($A402='Offer Statistics'!$FF$2:$FF$450)*($A$11='Offer Statistics'!$FG$2:$FG$450),0)),"/")</f>
        <v>98</v>
      </c>
      <c r="W402" s="2" cm="1">
        <f t="array" ref="W402">IFERROR(INDEX('Offer Statistics'!$FP$2:$FP$450,MATCH(1,($A402='Offer Statistics'!$FF$2:$FF$450)*($A$11='Offer Statistics'!$FG$2:$FG$450),0)),"/")</f>
        <v>9</v>
      </c>
      <c r="X402" s="2">
        <f t="shared" si="832"/>
        <v>10.888888888888889</v>
      </c>
      <c r="Y402" s="2" t="s">
        <v>2035</v>
      </c>
      <c r="Z402" s="2" t="str">
        <f>入學要求!AF411</f>
        <v>/</v>
      </c>
      <c r="AA402" s="2" t="str">
        <f>入學要求!AG411</f>
        <v>/</v>
      </c>
      <c r="AB402" s="2" t="s">
        <v>889</v>
      </c>
      <c r="AQ402" s="2" t="s">
        <v>356</v>
      </c>
      <c r="AS402" s="2" t="s">
        <v>1847</v>
      </c>
      <c r="AU402" s="2" t="s">
        <v>817</v>
      </c>
    </row>
    <row r="403" spans="1:47">
      <c r="A403" s="95" t="s">
        <v>2127</v>
      </c>
      <c r="B403" s="95" t="s">
        <v>416</v>
      </c>
      <c r="C403" s="95" t="s">
        <v>2113</v>
      </c>
      <c r="D403" s="95" t="s">
        <v>2692</v>
      </c>
      <c r="E403" s="364" t="s">
        <v>889</v>
      </c>
      <c r="F403" s="364">
        <v>17</v>
      </c>
      <c r="G403" s="364" t="s">
        <v>356</v>
      </c>
      <c r="H403" s="364">
        <v>17</v>
      </c>
      <c r="I403" s="364" t="s">
        <v>356</v>
      </c>
      <c r="J403" s="364"/>
      <c r="K403" s="51"/>
      <c r="L403" s="51"/>
      <c r="M403" s="51"/>
      <c r="N403" s="51"/>
      <c r="O403" s="51"/>
      <c r="P403" s="51"/>
      <c r="Q403" s="51"/>
      <c r="R403" s="95" t="s">
        <v>2128</v>
      </c>
      <c r="T403" s="2">
        <v>25</v>
      </c>
      <c r="U403" s="2" cm="1">
        <f t="array" ref="U403">IFERROR(INDEX('Offer Statistics'!$FU$2:$FU$450,MATCH(1,($A403='Offer Statistics'!$FF$2:$FF$450)*($A$11='Offer Statistics'!$FG$2:$FG$450),0)),"/")</f>
        <v>33</v>
      </c>
      <c r="V403" s="2" cm="1">
        <f t="array" ref="V403">IFERROR(INDEX('Offer Statistics'!$FH$2:$FH$450,MATCH(1,($A403='Offer Statistics'!$FF$2:$FF$450)*($A$11='Offer Statistics'!$FG$2:$FG$450),0)),"/")</f>
        <v>259</v>
      </c>
      <c r="W403" s="2" cm="1">
        <f t="array" ref="W403">IFERROR(INDEX('Offer Statistics'!$FP$2:$FP$450,MATCH(1,($A403='Offer Statistics'!$FF$2:$FF$450)*($A$11='Offer Statistics'!$FG$2:$FG$450),0)),"/")</f>
        <v>16</v>
      </c>
      <c r="X403" s="2">
        <f t="shared" si="832"/>
        <v>16.1875</v>
      </c>
      <c r="Y403" s="2" t="s">
        <v>2035</v>
      </c>
      <c r="Z403" s="2" t="str">
        <f>入學要求!AF412</f>
        <v>/</v>
      </c>
      <c r="AA403" s="2" t="str">
        <f>入學要求!AG412</f>
        <v>/</v>
      </c>
      <c r="AB403" s="2" t="s">
        <v>889</v>
      </c>
      <c r="AQ403" s="2" t="s">
        <v>356</v>
      </c>
      <c r="AS403" s="2" t="s">
        <v>1847</v>
      </c>
      <c r="AU403" s="2" t="s">
        <v>817</v>
      </c>
    </row>
    <row r="404" spans="1:47">
      <c r="A404" s="95" t="s">
        <v>680</v>
      </c>
      <c r="B404" s="95" t="s">
        <v>416</v>
      </c>
      <c r="C404" s="95" t="s">
        <v>2113</v>
      </c>
      <c r="D404" s="95" t="s">
        <v>2693</v>
      </c>
      <c r="E404" s="364" t="s">
        <v>889</v>
      </c>
      <c r="F404" s="364" t="s">
        <v>356</v>
      </c>
      <c r="G404" s="364" t="s">
        <v>356</v>
      </c>
      <c r="H404" s="364" t="s">
        <v>356</v>
      </c>
      <c r="I404" s="364" t="s">
        <v>356</v>
      </c>
      <c r="J404" s="364"/>
      <c r="K404" s="51"/>
      <c r="L404" s="51"/>
      <c r="M404" s="51"/>
      <c r="N404" s="51"/>
      <c r="O404" s="51"/>
      <c r="P404" s="51"/>
      <c r="Q404" s="51"/>
      <c r="R404" s="95" t="s">
        <v>2694</v>
      </c>
      <c r="T404" s="2">
        <v>10</v>
      </c>
      <c r="U404" s="2" cm="1">
        <f t="array" ref="U404">IFERROR(INDEX('Offer Statistics'!$FU$2:$FU$450,MATCH(1,($A404='Offer Statistics'!$FF$2:$FF$450)*($A$11='Offer Statistics'!$FG$2:$FG$450),0)),"/")</f>
        <v>3</v>
      </c>
      <c r="V404" s="2" cm="1">
        <f t="array" ref="V404">IFERROR(INDEX('Offer Statistics'!$FH$2:$FH$450,MATCH(1,($A404='Offer Statistics'!$FF$2:$FF$450)*($A$11='Offer Statistics'!$FG$2:$FG$450),0)),"/")</f>
        <v>49</v>
      </c>
      <c r="W404" s="2" cm="1">
        <f t="array" ref="W404">IFERROR(INDEX('Offer Statistics'!$FP$2:$FP$450,MATCH(1,($A404='Offer Statistics'!$FF$2:$FF$450)*($A$11='Offer Statistics'!$FG$2:$FG$450),0)),"/")</f>
        <v>3</v>
      </c>
      <c r="X404" s="2">
        <f t="shared" si="832"/>
        <v>16.333333333333332</v>
      </c>
      <c r="Y404" s="2" t="s">
        <v>2035</v>
      </c>
      <c r="Z404" s="2" t="str">
        <f>入學要求!AF413</f>
        <v>以下一科選修取得Lv.2︰生物、化學、組合科學、物理、綜合科學、M1/2</v>
      </c>
      <c r="AA404" s="2" t="str">
        <f>入學要求!AG413</f>
        <v>/</v>
      </c>
      <c r="AB404" s="2" t="s">
        <v>889</v>
      </c>
      <c r="AQ404" s="2" t="s">
        <v>356</v>
      </c>
      <c r="AS404" s="2" t="s">
        <v>1847</v>
      </c>
      <c r="AU404" s="2" t="s">
        <v>817</v>
      </c>
    </row>
    <row r="405" spans="1:47">
      <c r="A405" s="95" t="s">
        <v>2129</v>
      </c>
      <c r="B405" s="95" t="s">
        <v>416</v>
      </c>
      <c r="C405" s="95" t="s">
        <v>2130</v>
      </c>
      <c r="D405" s="95" t="s">
        <v>2131</v>
      </c>
      <c r="E405" s="364" t="s">
        <v>889</v>
      </c>
      <c r="F405" s="364"/>
      <c r="G405" s="364" t="s">
        <v>356</v>
      </c>
      <c r="H405" s="364">
        <v>16.5</v>
      </c>
      <c r="I405" s="364" t="s">
        <v>356</v>
      </c>
      <c r="J405" s="51"/>
      <c r="K405" s="51"/>
      <c r="L405" s="51"/>
      <c r="M405" s="51"/>
      <c r="N405" s="51"/>
      <c r="O405" s="51"/>
      <c r="P405" s="51"/>
      <c r="Q405" s="51"/>
      <c r="R405" s="95" t="s">
        <v>2133</v>
      </c>
      <c r="T405" s="2">
        <v>15</v>
      </c>
      <c r="U405" s="2" cm="1">
        <f t="array" ref="U405">IFERROR(INDEX('Offer Statistics'!$FU$2:$FU$450,MATCH(1,($A405='Offer Statistics'!$FF$2:$FF$450)*($A$11='Offer Statistics'!$FG$2:$FG$450),0)),"/")</f>
        <v>17</v>
      </c>
      <c r="V405" s="2" cm="1">
        <f t="array" ref="V405">IFERROR(INDEX('Offer Statistics'!$FH$2:$FH$450,MATCH(1,($A405='Offer Statistics'!$FF$2:$FF$450)*($A$11='Offer Statistics'!$FG$2:$FG$450),0)),"/")</f>
        <v>104</v>
      </c>
      <c r="W405" s="2" cm="1">
        <f t="array" ref="W405">IFERROR(INDEX('Offer Statistics'!$FP$2:$FP$450,MATCH(1,($A405='Offer Statistics'!$FF$2:$FF$450)*($A$11='Offer Statistics'!$FG$2:$FG$450),0)),"/")</f>
        <v>13</v>
      </c>
      <c r="X405" s="2">
        <f t="shared" si="832"/>
        <v>8</v>
      </c>
      <c r="Y405" s="2" t="s">
        <v>2035</v>
      </c>
      <c r="Z405" s="2" t="str">
        <f>入學要求!AF414</f>
        <v>/</v>
      </c>
      <c r="AA405" s="2" t="str">
        <f>入學要求!AG414</f>
        <v>/</v>
      </c>
      <c r="AB405" s="2" t="s">
        <v>2132</v>
      </c>
      <c r="AQ405" s="2" t="s">
        <v>356</v>
      </c>
      <c r="AS405" s="2" t="s">
        <v>1847</v>
      </c>
      <c r="AU405" s="2" t="s">
        <v>817</v>
      </c>
    </row>
    <row r="406" spans="1:47">
      <c r="A406" s="95" t="s">
        <v>2717</v>
      </c>
      <c r="B406" s="95" t="s">
        <v>416</v>
      </c>
      <c r="C406" s="95" t="s">
        <v>2130</v>
      </c>
      <c r="D406" s="95" t="s">
        <v>2763</v>
      </c>
      <c r="E406" s="55" t="s">
        <v>2804</v>
      </c>
      <c r="F406" s="364"/>
      <c r="G406" s="364" t="s">
        <v>356</v>
      </c>
      <c r="H406" s="364" t="s">
        <v>356</v>
      </c>
      <c r="I406" s="364" t="s">
        <v>356</v>
      </c>
      <c r="J406" s="51"/>
      <c r="K406" s="51"/>
      <c r="L406" s="51"/>
      <c r="M406" s="51"/>
      <c r="N406" s="51"/>
      <c r="O406" s="51"/>
      <c r="P406" s="51"/>
      <c r="Q406" s="51"/>
      <c r="R406" s="95" t="s">
        <v>2718</v>
      </c>
      <c r="T406" s="2">
        <v>10</v>
      </c>
      <c r="U406" s="2" t="str" cm="1">
        <f t="array" ref="U406">IFERROR(INDEX('Offer Statistics'!$FU$2:$FU$450,MATCH(1,($A406='Offer Statistics'!$FF$2:$FF$450)*($A$11='Offer Statistics'!$FG$2:$FG$450),0)),"/")</f>
        <v>/</v>
      </c>
      <c r="V406" s="2" t="str" cm="1">
        <f t="array" ref="V406">IFERROR(INDEX('Offer Statistics'!$FH$2:$FH$450,MATCH(1,($A406='Offer Statistics'!$FF$2:$FF$450)*($A$11='Offer Statistics'!$FG$2:$FG$450),0)),"/")</f>
        <v>/</v>
      </c>
      <c r="W406" s="2" t="str" cm="1">
        <f t="array" ref="W406">IFERROR(INDEX('Offer Statistics'!$FP$2:$FP$450,MATCH(1,($A406='Offer Statistics'!$FF$2:$FF$450)*($A$11='Offer Statistics'!$FG$2:$FG$450),0)),"/")</f>
        <v>/</v>
      </c>
      <c r="X406" s="2" t="str">
        <f t="shared" si="832"/>
        <v>新科目</v>
      </c>
      <c r="Y406" s="2" t="s">
        <v>2035</v>
      </c>
      <c r="Z406" s="2" t="str">
        <f>入學要求!AF415</f>
        <v>/</v>
      </c>
      <c r="AA406" s="2" t="str">
        <f>入學要求!AG415</f>
        <v>/</v>
      </c>
      <c r="AB406" s="2" t="s">
        <v>2132</v>
      </c>
      <c r="AQ406" s="2" t="s">
        <v>356</v>
      </c>
      <c r="AS406" s="2" t="s">
        <v>1847</v>
      </c>
      <c r="AU406" s="2" t="s">
        <v>817</v>
      </c>
    </row>
    <row r="407" spans="1:47">
      <c r="A407" s="95" t="s">
        <v>2134</v>
      </c>
      <c r="B407" s="95" t="s">
        <v>416</v>
      </c>
      <c r="C407" s="95" t="s">
        <v>2135</v>
      </c>
      <c r="D407" s="95" t="s">
        <v>2136</v>
      </c>
      <c r="E407" s="364" t="s">
        <v>889</v>
      </c>
      <c r="F407" s="364">
        <v>16.7</v>
      </c>
      <c r="G407" s="364" t="s">
        <v>356</v>
      </c>
      <c r="H407" s="364">
        <v>16.7</v>
      </c>
      <c r="I407" s="364" t="s">
        <v>356</v>
      </c>
      <c r="J407" s="364"/>
      <c r="K407" s="364"/>
      <c r="L407" s="364"/>
      <c r="M407" s="364"/>
      <c r="N407" s="51"/>
      <c r="O407" s="51"/>
      <c r="P407" s="51"/>
      <c r="Q407" s="51"/>
      <c r="R407" s="95" t="s">
        <v>2137</v>
      </c>
      <c r="T407" s="2">
        <v>30</v>
      </c>
      <c r="U407" s="2" cm="1">
        <f t="array" ref="U407">IFERROR(INDEX('Offer Statistics'!$FU$2:$FU$450,MATCH(1,($A407='Offer Statistics'!$FF$2:$FF$450)*($A$11='Offer Statistics'!$FG$2:$FG$450),0)),"/")</f>
        <v>43</v>
      </c>
      <c r="V407" s="2" cm="1">
        <f t="array" ref="V407">IFERROR(INDEX('Offer Statistics'!$FH$2:$FH$450,MATCH(1,($A407='Offer Statistics'!$FF$2:$FF$450)*($A$11='Offer Statistics'!$FG$2:$FG$450),0)),"/")</f>
        <v>164</v>
      </c>
      <c r="W407" s="2" cm="1">
        <f t="array" ref="W407">IFERROR(INDEX('Offer Statistics'!$FP$2:$FP$450,MATCH(1,($A407='Offer Statistics'!$FF$2:$FF$450)*($A$11='Offer Statistics'!$FG$2:$FG$450),0)),"/")</f>
        <v>26</v>
      </c>
      <c r="X407" s="2">
        <f t="shared" si="832"/>
        <v>6.3076923076923075</v>
      </c>
      <c r="Y407" s="2" t="s">
        <v>2035</v>
      </c>
      <c r="Z407" s="2" t="str">
        <f>入學要求!AF416</f>
        <v>優先考慮:  數學 及/或 資訊及通訊科技 考獲Lv.3或以上者</v>
      </c>
      <c r="AA407" s="2" t="str">
        <f>入學要求!AG416</f>
        <v>/</v>
      </c>
      <c r="AB407" s="2" t="s">
        <v>889</v>
      </c>
      <c r="AQ407" s="2" t="s">
        <v>356</v>
      </c>
      <c r="AS407" s="2" t="s">
        <v>1847</v>
      </c>
      <c r="AU407" s="2" t="s">
        <v>817</v>
      </c>
    </row>
    <row r="408" spans="1:47">
      <c r="B408" s="359" t="s">
        <v>3265</v>
      </c>
      <c r="E408" s="11"/>
    </row>
  </sheetData>
  <phoneticPr fontId="3" type="noConversion"/>
  <conditionalFormatting sqref="A200:AI225">
    <cfRule type="expression" dxfId="36" priority="2">
      <formula>MOD(ROW(),2)=0</formula>
    </cfRule>
  </conditionalFormatting>
  <conditionalFormatting sqref="A13:XFD68">
    <cfRule type="expression" dxfId="35" priority="46">
      <formula>MOD(ROW(),2)=0</formula>
    </cfRule>
  </conditionalFormatting>
  <conditionalFormatting sqref="A70:XFD90">
    <cfRule type="expression" dxfId="34" priority="42">
      <formula>MOD(ROW(),2)=1</formula>
    </cfRule>
  </conditionalFormatting>
  <conditionalFormatting sqref="A128:XFD197">
    <cfRule type="expression" dxfId="33" priority="38">
      <formula>MOD(ROW(),2)=0</formula>
    </cfRule>
  </conditionalFormatting>
  <conditionalFormatting sqref="A279:XFD296">
    <cfRule type="expression" dxfId="32" priority="37">
      <formula>MOD(ROW(),2)=0</formula>
    </cfRule>
  </conditionalFormatting>
  <conditionalFormatting sqref="A299:XFD325 A328:XFD353">
    <cfRule type="expression" dxfId="31" priority="20">
      <formula>MOD(ROW(),2)=0</formula>
    </cfRule>
  </conditionalFormatting>
  <conditionalFormatting sqref="A356:XFD407">
    <cfRule type="expression" dxfId="30" priority="16">
      <formula>MOD(ROW(),2)=0</formula>
    </cfRule>
  </conditionalFormatting>
  <conditionalFormatting sqref="B68:C68">
    <cfRule type="expression" dxfId="29" priority="10">
      <formula>MOD(ROW(),2)=0</formula>
    </cfRule>
  </conditionalFormatting>
  <conditionalFormatting sqref="J128:L197">
    <cfRule type="expression" dxfId="28" priority="6">
      <formula>IF(ROUND(G128,2)=ROUND(J128,2),TRUE,FALSE)</formula>
    </cfRule>
  </conditionalFormatting>
  <conditionalFormatting sqref="J93:AR108 A93:I125 BX94:XFD108 AU94:BO123 J109:AA125">
    <cfRule type="expression" dxfId="27" priority="9">
      <formula>MOD(ROW(),2)=0</formula>
    </cfRule>
  </conditionalFormatting>
  <conditionalFormatting sqref="S228:S276">
    <cfRule type="expression" dxfId="26" priority="1">
      <formula>MOD(ROW(),2)=0</formula>
    </cfRule>
  </conditionalFormatting>
  <conditionalFormatting sqref="T228:XFD276 A228:R276">
    <cfRule type="expression" dxfId="25" priority="25">
      <formula>MOD(ROW(),2)=0</formula>
    </cfRule>
  </conditionalFormatting>
  <conditionalFormatting sqref="AJ200:XFD225">
    <cfRule type="expression" dxfId="24" priority="44">
      <formula>MOD(ROW(),2)=0</formula>
    </cfRule>
  </conditionalFormatting>
  <conditionalFormatting sqref="AU93:XFD93 BX109:XFD124 AB125:XFD125 AS93:AT123 BP94:BW124 AB109:AR123 AB124:BO124">
    <cfRule type="expression" dxfId="23" priority="39">
      <formula>MOD(ROW(),2)=0</formula>
    </cfRule>
  </conditionalFormatting>
  <conditionalFormatting sqref="CF1:CM509 DU1:EB509">
    <cfRule type="expression" dxfId="22" priority="12">
      <formula>CF1</formula>
    </cfRule>
  </conditionalFormatting>
  <conditionalFormatting sqref="DM1:DT509 BX70:CE509 BX1:CE68 BY69:CE69">
    <cfRule type="expression" dxfId="21" priority="13">
      <formula>CF1</formula>
    </cfRule>
  </conditionalFormatting>
  <conditionalFormatting sqref="FA128:FH198">
    <cfRule type="expression" dxfId="20" priority="27">
      <formula>FI128</formula>
    </cfRule>
  </conditionalFormatting>
  <conditionalFormatting sqref="FI128:FP198">
    <cfRule type="expression" dxfId="19" priority="4">
      <formula>FI128</formula>
    </cfRule>
  </conditionalFormatting>
  <hyperlinks>
    <hyperlink ref="AN185" r:id="rId1" xr:uid="{EC5996E7-5325-4C02-B25B-9DA648DE5BF7}"/>
    <hyperlink ref="AO219" r:id="rId2" xr:uid="{B1397B17-9535-4B07-92D0-09438C2940D1}"/>
  </hyperlinks>
  <pageMargins left="0.7" right="0.7" top="0.75" bottom="0.75" header="0.3" footer="0.3"/>
  <pageSetup paperSize="9" orientation="portrait" r:id="rId3"/>
  <legacy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7DC2E-D32B-4F4C-9C18-FA5622108A5D}">
  <sheetPr filterMode="1"/>
  <dimension ref="A1:L202"/>
  <sheetViews>
    <sheetView workbookViewId="0"/>
    <sheetView workbookViewId="1"/>
  </sheetViews>
  <sheetFormatPr defaultRowHeight="15.6"/>
  <sheetData>
    <row r="1" spans="1:12">
      <c r="A1" s="213" t="s">
        <v>2460</v>
      </c>
      <c r="B1" s="214" t="s">
        <v>2461</v>
      </c>
      <c r="C1" s="214" t="s">
        <v>2462</v>
      </c>
      <c r="D1" s="214" t="s">
        <v>2463</v>
      </c>
      <c r="E1" s="214" t="s">
        <v>2464</v>
      </c>
      <c r="F1" s="214" t="s">
        <v>2465</v>
      </c>
      <c r="G1" s="214" t="s">
        <v>2466</v>
      </c>
      <c r="H1" s="214" t="s">
        <v>2467</v>
      </c>
      <c r="I1" s="214" t="s">
        <v>2468</v>
      </c>
      <c r="J1" s="214" t="s">
        <v>418</v>
      </c>
      <c r="K1" s="214" t="s">
        <v>419</v>
      </c>
      <c r="L1" s="214" t="s">
        <v>141</v>
      </c>
    </row>
    <row r="2" spans="1:12">
      <c r="A2" t="s">
        <v>1292</v>
      </c>
      <c r="B2" t="s">
        <v>109</v>
      </c>
      <c r="C2">
        <v>7</v>
      </c>
      <c r="D2">
        <v>3</v>
      </c>
      <c r="E2">
        <v>3</v>
      </c>
      <c r="F2">
        <v>4</v>
      </c>
      <c r="G2" t="s">
        <v>356</v>
      </c>
      <c r="H2">
        <v>5.5</v>
      </c>
      <c r="I2">
        <v>5.5</v>
      </c>
      <c r="J2" t="s">
        <v>356</v>
      </c>
      <c r="L2">
        <v>25</v>
      </c>
    </row>
    <row r="3" spans="1:12" hidden="1">
      <c r="A3" t="s">
        <v>1292</v>
      </c>
      <c r="B3" t="s">
        <v>2470</v>
      </c>
      <c r="C3">
        <v>4</v>
      </c>
      <c r="D3">
        <v>4</v>
      </c>
      <c r="E3">
        <v>3</v>
      </c>
      <c r="F3">
        <v>4</v>
      </c>
      <c r="G3" t="s">
        <v>356</v>
      </c>
      <c r="H3">
        <v>8.5</v>
      </c>
      <c r="I3">
        <v>4</v>
      </c>
      <c r="J3" t="s">
        <v>356</v>
      </c>
      <c r="L3">
        <v>24.5</v>
      </c>
    </row>
    <row r="4" spans="1:12" hidden="1">
      <c r="A4" t="s">
        <v>1292</v>
      </c>
      <c r="B4" t="s">
        <v>106</v>
      </c>
      <c r="C4">
        <v>4</v>
      </c>
      <c r="D4">
        <v>7</v>
      </c>
      <c r="E4">
        <v>4</v>
      </c>
      <c r="F4">
        <v>4</v>
      </c>
      <c r="G4" t="s">
        <v>356</v>
      </c>
      <c r="H4">
        <v>4</v>
      </c>
      <c r="I4">
        <v>4</v>
      </c>
      <c r="J4" t="s">
        <v>356</v>
      </c>
      <c r="L4">
        <v>23</v>
      </c>
    </row>
    <row r="5" spans="1:12">
      <c r="A5" t="s">
        <v>1295</v>
      </c>
      <c r="B5" t="s">
        <v>109</v>
      </c>
      <c r="C5">
        <v>5.5</v>
      </c>
      <c r="D5">
        <v>3</v>
      </c>
      <c r="E5">
        <v>7</v>
      </c>
      <c r="F5">
        <v>4</v>
      </c>
      <c r="G5" t="s">
        <v>356</v>
      </c>
      <c r="H5">
        <v>7</v>
      </c>
      <c r="I5">
        <v>7</v>
      </c>
      <c r="J5">
        <v>5.5</v>
      </c>
      <c r="L5">
        <v>33.1</v>
      </c>
    </row>
    <row r="6" spans="1:12" hidden="1">
      <c r="A6" t="s">
        <v>1295</v>
      </c>
      <c r="B6" t="s">
        <v>2470</v>
      </c>
      <c r="C6">
        <v>7</v>
      </c>
      <c r="D6">
        <v>5.5</v>
      </c>
      <c r="E6">
        <v>5.5</v>
      </c>
      <c r="F6">
        <v>5.5</v>
      </c>
      <c r="G6" t="s">
        <v>356</v>
      </c>
      <c r="H6">
        <v>5.5</v>
      </c>
      <c r="I6">
        <v>4</v>
      </c>
      <c r="J6" t="s">
        <v>356</v>
      </c>
      <c r="L6">
        <v>30.4</v>
      </c>
    </row>
    <row r="7" spans="1:12" hidden="1">
      <c r="A7" t="s">
        <v>1295</v>
      </c>
      <c r="B7" t="s">
        <v>106</v>
      </c>
      <c r="C7">
        <v>8.5</v>
      </c>
      <c r="D7">
        <v>5.5</v>
      </c>
      <c r="E7">
        <v>3</v>
      </c>
      <c r="F7">
        <v>4</v>
      </c>
      <c r="G7" t="s">
        <v>356</v>
      </c>
      <c r="H7">
        <v>5.5</v>
      </c>
      <c r="I7">
        <v>4</v>
      </c>
      <c r="J7" t="s">
        <v>356</v>
      </c>
      <c r="L7">
        <v>29.2</v>
      </c>
    </row>
    <row r="8" spans="1:12">
      <c r="A8" t="s">
        <v>1299</v>
      </c>
      <c r="B8" t="s">
        <v>109</v>
      </c>
      <c r="C8">
        <v>5.5</v>
      </c>
      <c r="D8">
        <v>4</v>
      </c>
      <c r="E8">
        <v>3</v>
      </c>
      <c r="F8">
        <v>4</v>
      </c>
      <c r="G8" t="s">
        <v>356</v>
      </c>
      <c r="H8">
        <v>5.5</v>
      </c>
      <c r="I8">
        <v>5.5</v>
      </c>
      <c r="J8">
        <v>4</v>
      </c>
      <c r="L8">
        <v>24.5</v>
      </c>
    </row>
    <row r="9" spans="1:12" hidden="1">
      <c r="A9" t="s">
        <v>1299</v>
      </c>
      <c r="B9" t="s">
        <v>2470</v>
      </c>
      <c r="C9">
        <v>8.5</v>
      </c>
      <c r="D9">
        <v>3</v>
      </c>
      <c r="E9">
        <v>4</v>
      </c>
      <c r="F9">
        <v>4</v>
      </c>
      <c r="G9" t="s">
        <v>356</v>
      </c>
      <c r="H9">
        <v>4</v>
      </c>
      <c r="I9">
        <v>3</v>
      </c>
      <c r="J9" t="s">
        <v>356</v>
      </c>
      <c r="L9">
        <v>23.5</v>
      </c>
    </row>
    <row r="10" spans="1:12" hidden="1">
      <c r="A10" t="s">
        <v>1299</v>
      </c>
      <c r="B10" t="s">
        <v>106</v>
      </c>
      <c r="C10">
        <v>7</v>
      </c>
      <c r="D10">
        <v>3</v>
      </c>
      <c r="E10">
        <v>5.5</v>
      </c>
      <c r="F10">
        <v>4</v>
      </c>
      <c r="G10" t="s">
        <v>356</v>
      </c>
      <c r="H10">
        <v>4</v>
      </c>
      <c r="I10">
        <v>3</v>
      </c>
      <c r="J10" t="s">
        <v>356</v>
      </c>
      <c r="L10">
        <v>23.5</v>
      </c>
    </row>
    <row r="11" spans="1:12">
      <c r="A11" t="s">
        <v>1302</v>
      </c>
      <c r="B11" t="s">
        <v>109</v>
      </c>
      <c r="C11">
        <v>8.5</v>
      </c>
      <c r="D11">
        <v>4</v>
      </c>
      <c r="E11">
        <v>4</v>
      </c>
      <c r="F11">
        <v>4</v>
      </c>
      <c r="G11" t="s">
        <v>356</v>
      </c>
      <c r="H11">
        <v>5.5</v>
      </c>
      <c r="I11">
        <v>4</v>
      </c>
      <c r="J11" t="s">
        <v>356</v>
      </c>
      <c r="L11">
        <v>26</v>
      </c>
    </row>
    <row r="12" spans="1:12" hidden="1">
      <c r="A12" t="s">
        <v>1302</v>
      </c>
      <c r="B12" t="s">
        <v>2470</v>
      </c>
      <c r="C12">
        <v>5.5</v>
      </c>
      <c r="D12">
        <v>3</v>
      </c>
      <c r="E12">
        <v>3</v>
      </c>
      <c r="F12">
        <v>5.5</v>
      </c>
      <c r="G12" t="s">
        <v>356</v>
      </c>
      <c r="H12">
        <v>5.5</v>
      </c>
      <c r="I12">
        <v>5.5</v>
      </c>
      <c r="J12" t="s">
        <v>356</v>
      </c>
      <c r="L12">
        <v>25</v>
      </c>
    </row>
    <row r="13" spans="1:12" hidden="1">
      <c r="A13" t="s">
        <v>1302</v>
      </c>
      <c r="B13" t="s">
        <v>106</v>
      </c>
      <c r="C13">
        <v>8.5</v>
      </c>
      <c r="D13">
        <v>4</v>
      </c>
      <c r="E13">
        <v>2</v>
      </c>
      <c r="F13">
        <v>4</v>
      </c>
      <c r="G13" t="s">
        <v>356</v>
      </c>
      <c r="H13">
        <v>4</v>
      </c>
      <c r="I13">
        <v>4</v>
      </c>
      <c r="J13" t="s">
        <v>356</v>
      </c>
      <c r="L13">
        <v>24.5</v>
      </c>
    </row>
    <row r="14" spans="1:12">
      <c r="A14" t="s">
        <v>1305</v>
      </c>
      <c r="B14" t="s">
        <v>109</v>
      </c>
      <c r="C14">
        <v>4</v>
      </c>
      <c r="D14">
        <v>8.5</v>
      </c>
      <c r="E14">
        <v>3</v>
      </c>
      <c r="F14">
        <v>4</v>
      </c>
      <c r="G14" t="s">
        <v>356</v>
      </c>
      <c r="H14">
        <v>4</v>
      </c>
      <c r="I14">
        <v>3</v>
      </c>
      <c r="J14" t="s">
        <v>356</v>
      </c>
      <c r="L14">
        <v>27.75</v>
      </c>
    </row>
    <row r="15" spans="1:12" hidden="1">
      <c r="A15" t="s">
        <v>1305</v>
      </c>
      <c r="B15" t="s">
        <v>2470</v>
      </c>
      <c r="C15">
        <v>4</v>
      </c>
      <c r="D15">
        <v>7</v>
      </c>
      <c r="E15">
        <v>4</v>
      </c>
      <c r="F15">
        <v>4</v>
      </c>
      <c r="G15" t="s">
        <v>356</v>
      </c>
      <c r="H15">
        <v>4</v>
      </c>
      <c r="I15">
        <v>4</v>
      </c>
      <c r="J15">
        <v>3</v>
      </c>
      <c r="L15">
        <v>26.5</v>
      </c>
    </row>
    <row r="16" spans="1:12" hidden="1">
      <c r="A16" t="s">
        <v>1305</v>
      </c>
      <c r="B16" t="s">
        <v>106</v>
      </c>
      <c r="C16">
        <v>5.5</v>
      </c>
      <c r="D16">
        <v>5.5</v>
      </c>
      <c r="E16">
        <v>4</v>
      </c>
      <c r="F16">
        <v>4</v>
      </c>
      <c r="G16" t="s">
        <v>356</v>
      </c>
      <c r="H16">
        <v>4</v>
      </c>
      <c r="I16">
        <v>4</v>
      </c>
      <c r="J16" t="s">
        <v>356</v>
      </c>
      <c r="L16">
        <v>25.75</v>
      </c>
    </row>
    <row r="17" spans="1:12">
      <c r="A17" t="s">
        <v>1308</v>
      </c>
      <c r="B17" t="s">
        <v>109</v>
      </c>
      <c r="C17">
        <v>4</v>
      </c>
      <c r="D17">
        <v>5.5</v>
      </c>
      <c r="E17">
        <v>4</v>
      </c>
      <c r="F17">
        <v>4</v>
      </c>
      <c r="G17" t="s">
        <v>356</v>
      </c>
      <c r="H17">
        <v>8.5</v>
      </c>
      <c r="I17">
        <v>7</v>
      </c>
      <c r="J17" t="s">
        <v>356</v>
      </c>
      <c r="L17">
        <v>29</v>
      </c>
    </row>
    <row r="18" spans="1:12" hidden="1">
      <c r="A18" t="s">
        <v>1308</v>
      </c>
      <c r="B18" t="s">
        <v>2470</v>
      </c>
      <c r="C18">
        <v>4</v>
      </c>
      <c r="D18">
        <v>5.5</v>
      </c>
      <c r="E18">
        <v>4</v>
      </c>
      <c r="F18">
        <v>4</v>
      </c>
      <c r="G18" t="s">
        <v>356</v>
      </c>
      <c r="H18">
        <v>7</v>
      </c>
      <c r="I18">
        <v>4</v>
      </c>
      <c r="J18" t="s">
        <v>356</v>
      </c>
      <c r="L18">
        <v>24.5</v>
      </c>
    </row>
    <row r="19" spans="1:12" hidden="1">
      <c r="A19" t="s">
        <v>1308</v>
      </c>
      <c r="B19" t="s">
        <v>106</v>
      </c>
      <c r="C19">
        <v>5.5</v>
      </c>
      <c r="D19">
        <v>4</v>
      </c>
      <c r="E19">
        <v>3</v>
      </c>
      <c r="F19">
        <v>4</v>
      </c>
      <c r="G19" t="s">
        <v>356</v>
      </c>
      <c r="H19">
        <v>4</v>
      </c>
      <c r="I19">
        <v>4</v>
      </c>
      <c r="J19" t="s">
        <v>356</v>
      </c>
      <c r="L19">
        <v>21.5</v>
      </c>
    </row>
    <row r="20" spans="1:12">
      <c r="A20" t="s">
        <v>1312</v>
      </c>
      <c r="B20" t="s">
        <v>109</v>
      </c>
      <c r="C20">
        <v>5.5</v>
      </c>
      <c r="D20">
        <v>4</v>
      </c>
      <c r="E20">
        <v>5.5</v>
      </c>
      <c r="F20">
        <v>4</v>
      </c>
      <c r="G20" t="s">
        <v>356</v>
      </c>
      <c r="H20">
        <v>8.5</v>
      </c>
      <c r="I20">
        <v>5.5</v>
      </c>
      <c r="J20">
        <v>5.5</v>
      </c>
      <c r="L20">
        <v>30.5</v>
      </c>
    </row>
    <row r="21" spans="1:12" hidden="1">
      <c r="A21" t="s">
        <v>1312</v>
      </c>
      <c r="B21" t="s">
        <v>2470</v>
      </c>
      <c r="C21">
        <v>4</v>
      </c>
      <c r="D21">
        <v>4</v>
      </c>
      <c r="E21">
        <v>5.5</v>
      </c>
      <c r="F21">
        <v>5.5</v>
      </c>
      <c r="G21" t="s">
        <v>356</v>
      </c>
      <c r="H21">
        <v>8.5</v>
      </c>
      <c r="I21">
        <v>4</v>
      </c>
      <c r="J21" t="s">
        <v>356</v>
      </c>
      <c r="L21">
        <v>27.5</v>
      </c>
    </row>
    <row r="22" spans="1:12" hidden="1">
      <c r="A22" t="s">
        <v>1312</v>
      </c>
      <c r="B22" t="s">
        <v>106</v>
      </c>
      <c r="C22">
        <v>7</v>
      </c>
      <c r="D22">
        <v>4</v>
      </c>
      <c r="E22">
        <v>3</v>
      </c>
      <c r="F22">
        <v>4</v>
      </c>
      <c r="G22" t="s">
        <v>356</v>
      </c>
      <c r="H22">
        <v>7</v>
      </c>
      <c r="I22">
        <v>4</v>
      </c>
      <c r="J22" t="s">
        <v>356</v>
      </c>
      <c r="L22">
        <v>26</v>
      </c>
    </row>
    <row r="23" spans="1:12">
      <c r="A23" t="s">
        <v>1314</v>
      </c>
      <c r="B23" t="s">
        <v>109</v>
      </c>
      <c r="C23">
        <v>3</v>
      </c>
      <c r="D23">
        <v>4</v>
      </c>
      <c r="E23">
        <v>5.5</v>
      </c>
      <c r="F23">
        <v>3</v>
      </c>
      <c r="G23">
        <v>7</v>
      </c>
      <c r="H23">
        <v>5.5</v>
      </c>
      <c r="I23">
        <v>4</v>
      </c>
      <c r="J23">
        <v>3</v>
      </c>
      <c r="L23">
        <v>26</v>
      </c>
    </row>
    <row r="24" spans="1:12" hidden="1">
      <c r="A24" t="s">
        <v>1314</v>
      </c>
      <c r="B24" t="s">
        <v>2470</v>
      </c>
      <c r="C24">
        <v>3</v>
      </c>
      <c r="D24">
        <v>4</v>
      </c>
      <c r="E24">
        <v>5.5</v>
      </c>
      <c r="F24">
        <v>3</v>
      </c>
      <c r="G24" t="s">
        <v>356</v>
      </c>
      <c r="H24">
        <v>7</v>
      </c>
      <c r="I24">
        <v>4</v>
      </c>
      <c r="J24">
        <v>4</v>
      </c>
      <c r="L24">
        <v>24.5</v>
      </c>
    </row>
    <row r="25" spans="1:12" hidden="1">
      <c r="A25" t="s">
        <v>1314</v>
      </c>
      <c r="B25" t="s">
        <v>106</v>
      </c>
      <c r="C25">
        <v>4</v>
      </c>
      <c r="D25">
        <v>3</v>
      </c>
      <c r="E25">
        <v>2</v>
      </c>
      <c r="F25">
        <v>4</v>
      </c>
      <c r="G25" t="s">
        <v>356</v>
      </c>
      <c r="H25">
        <v>7</v>
      </c>
      <c r="I25">
        <v>5.5</v>
      </c>
      <c r="J25">
        <v>4</v>
      </c>
      <c r="L25">
        <v>24.5</v>
      </c>
    </row>
    <row r="26" spans="1:12">
      <c r="A26" t="s">
        <v>1317</v>
      </c>
      <c r="B26" t="s">
        <v>109</v>
      </c>
      <c r="C26">
        <v>7</v>
      </c>
      <c r="D26">
        <v>4</v>
      </c>
      <c r="E26">
        <v>4</v>
      </c>
      <c r="F26">
        <v>5.5</v>
      </c>
      <c r="G26" t="s">
        <v>356</v>
      </c>
      <c r="H26">
        <v>4</v>
      </c>
      <c r="I26">
        <v>4</v>
      </c>
      <c r="J26">
        <v>3</v>
      </c>
      <c r="L26">
        <v>24.5</v>
      </c>
    </row>
    <row r="27" spans="1:12" hidden="1">
      <c r="A27" t="s">
        <v>1317</v>
      </c>
      <c r="B27" t="s">
        <v>2470</v>
      </c>
      <c r="C27">
        <v>4</v>
      </c>
      <c r="D27">
        <v>5.5</v>
      </c>
      <c r="E27">
        <v>2</v>
      </c>
      <c r="F27">
        <v>4</v>
      </c>
      <c r="G27" t="s">
        <v>356</v>
      </c>
      <c r="H27">
        <v>7</v>
      </c>
      <c r="I27">
        <v>4</v>
      </c>
      <c r="J27" t="s">
        <v>356</v>
      </c>
      <c r="L27">
        <v>24.5</v>
      </c>
    </row>
    <row r="28" spans="1:12" hidden="1">
      <c r="A28" t="s">
        <v>1317</v>
      </c>
      <c r="B28" t="s">
        <v>106</v>
      </c>
      <c r="C28">
        <v>8.5</v>
      </c>
      <c r="D28">
        <v>3</v>
      </c>
      <c r="E28">
        <v>4</v>
      </c>
      <c r="F28">
        <v>4</v>
      </c>
      <c r="G28" t="s">
        <v>356</v>
      </c>
      <c r="H28">
        <v>4</v>
      </c>
      <c r="I28">
        <v>3</v>
      </c>
      <c r="J28" t="s">
        <v>356</v>
      </c>
      <c r="L28">
        <v>23.5</v>
      </c>
    </row>
    <row r="29" spans="1:12">
      <c r="A29" t="s">
        <v>1320</v>
      </c>
      <c r="B29" t="s">
        <v>109</v>
      </c>
      <c r="C29">
        <v>7</v>
      </c>
      <c r="D29">
        <v>5.5</v>
      </c>
      <c r="E29">
        <v>4</v>
      </c>
      <c r="F29">
        <v>5.5</v>
      </c>
      <c r="G29">
        <v>4</v>
      </c>
      <c r="H29">
        <v>5.5</v>
      </c>
      <c r="I29">
        <v>5.5</v>
      </c>
      <c r="J29" t="s">
        <v>356</v>
      </c>
      <c r="L29">
        <v>29</v>
      </c>
    </row>
    <row r="30" spans="1:12" hidden="1">
      <c r="A30" t="s">
        <v>1320</v>
      </c>
      <c r="B30" t="s">
        <v>2470</v>
      </c>
      <c r="C30">
        <v>4</v>
      </c>
      <c r="D30">
        <v>7</v>
      </c>
      <c r="E30">
        <v>4</v>
      </c>
      <c r="F30">
        <v>4</v>
      </c>
      <c r="G30" t="s">
        <v>356</v>
      </c>
      <c r="H30">
        <v>4</v>
      </c>
      <c r="I30">
        <v>4</v>
      </c>
      <c r="J30">
        <v>3</v>
      </c>
      <c r="L30">
        <v>23</v>
      </c>
    </row>
    <row r="31" spans="1:12" hidden="1">
      <c r="A31" t="s">
        <v>1320</v>
      </c>
      <c r="B31" t="s">
        <v>106</v>
      </c>
      <c r="C31">
        <v>3</v>
      </c>
      <c r="D31">
        <v>4</v>
      </c>
      <c r="E31">
        <v>4</v>
      </c>
      <c r="F31">
        <v>4</v>
      </c>
      <c r="G31" t="s">
        <v>356</v>
      </c>
      <c r="H31">
        <v>5.5</v>
      </c>
      <c r="I31">
        <v>4</v>
      </c>
      <c r="J31">
        <v>4</v>
      </c>
      <c r="L31">
        <v>21.5</v>
      </c>
    </row>
    <row r="32" spans="1:12">
      <c r="A32" t="s">
        <v>1323</v>
      </c>
      <c r="B32" t="s">
        <v>109</v>
      </c>
      <c r="C32">
        <v>5.5</v>
      </c>
      <c r="D32">
        <v>5.5</v>
      </c>
      <c r="E32">
        <v>5.5</v>
      </c>
      <c r="F32">
        <v>4</v>
      </c>
      <c r="G32" t="s">
        <v>356</v>
      </c>
      <c r="H32">
        <v>7</v>
      </c>
      <c r="I32">
        <v>4</v>
      </c>
      <c r="J32">
        <v>4</v>
      </c>
      <c r="L32">
        <v>27.5</v>
      </c>
    </row>
    <row r="33" spans="1:12" hidden="1">
      <c r="A33" t="s">
        <v>1323</v>
      </c>
      <c r="B33" t="s">
        <v>2470</v>
      </c>
      <c r="C33">
        <v>3</v>
      </c>
      <c r="D33">
        <v>4</v>
      </c>
      <c r="E33">
        <v>5.5</v>
      </c>
      <c r="F33">
        <v>3</v>
      </c>
      <c r="G33">
        <v>5.5</v>
      </c>
      <c r="H33">
        <v>5.5</v>
      </c>
      <c r="I33">
        <v>4</v>
      </c>
      <c r="J33" t="s">
        <v>356</v>
      </c>
      <c r="L33">
        <v>23.5</v>
      </c>
    </row>
    <row r="34" spans="1:12" hidden="1">
      <c r="A34" t="s">
        <v>1323</v>
      </c>
      <c r="B34" t="s">
        <v>106</v>
      </c>
      <c r="C34">
        <v>4</v>
      </c>
      <c r="D34">
        <v>4</v>
      </c>
      <c r="E34">
        <v>5.5</v>
      </c>
      <c r="F34">
        <v>4</v>
      </c>
      <c r="G34" t="s">
        <v>356</v>
      </c>
      <c r="H34">
        <v>5.5</v>
      </c>
      <c r="I34">
        <v>4</v>
      </c>
      <c r="J34" t="s">
        <v>356</v>
      </c>
      <c r="L34">
        <v>23</v>
      </c>
    </row>
    <row r="35" spans="1:12">
      <c r="A35" t="s">
        <v>1326</v>
      </c>
      <c r="B35" t="s">
        <v>109</v>
      </c>
      <c r="C35">
        <v>4</v>
      </c>
      <c r="D35">
        <v>3</v>
      </c>
      <c r="E35">
        <v>4</v>
      </c>
      <c r="F35">
        <v>5.5</v>
      </c>
      <c r="G35">
        <v>3</v>
      </c>
      <c r="H35">
        <v>5.5</v>
      </c>
      <c r="I35">
        <v>2</v>
      </c>
      <c r="J35" t="s">
        <v>356</v>
      </c>
      <c r="L35">
        <v>22</v>
      </c>
    </row>
    <row r="36" spans="1:12" hidden="1">
      <c r="A36" t="s">
        <v>1326</v>
      </c>
      <c r="B36" t="s">
        <v>2470</v>
      </c>
      <c r="C36">
        <v>3</v>
      </c>
      <c r="D36">
        <v>3</v>
      </c>
      <c r="E36">
        <v>5.5</v>
      </c>
      <c r="F36">
        <v>2</v>
      </c>
      <c r="G36" t="s">
        <v>356</v>
      </c>
      <c r="H36">
        <v>5.5</v>
      </c>
      <c r="I36">
        <v>4</v>
      </c>
      <c r="J36" t="s">
        <v>356</v>
      </c>
      <c r="L36">
        <v>21</v>
      </c>
    </row>
    <row r="37" spans="1:12" hidden="1">
      <c r="A37" t="s">
        <v>1326</v>
      </c>
      <c r="B37" t="s">
        <v>106</v>
      </c>
      <c r="C37">
        <v>4</v>
      </c>
      <c r="D37">
        <v>4</v>
      </c>
      <c r="E37">
        <v>4</v>
      </c>
      <c r="F37">
        <v>4</v>
      </c>
      <c r="G37" t="s">
        <v>356</v>
      </c>
      <c r="H37">
        <v>4</v>
      </c>
      <c r="I37">
        <v>4</v>
      </c>
      <c r="J37" t="s">
        <v>356</v>
      </c>
      <c r="L37">
        <v>20</v>
      </c>
    </row>
    <row r="38" spans="1:12">
      <c r="A38" t="s">
        <v>1333</v>
      </c>
      <c r="B38" t="s">
        <v>109</v>
      </c>
      <c r="C38">
        <v>4</v>
      </c>
      <c r="D38">
        <v>5.5</v>
      </c>
      <c r="E38">
        <v>5.5</v>
      </c>
      <c r="F38">
        <v>4</v>
      </c>
      <c r="G38" t="s">
        <v>356</v>
      </c>
      <c r="H38">
        <v>5.5</v>
      </c>
      <c r="I38">
        <v>5.5</v>
      </c>
      <c r="J38">
        <v>3</v>
      </c>
      <c r="L38">
        <v>26</v>
      </c>
    </row>
    <row r="39" spans="1:12" hidden="1">
      <c r="A39" t="s">
        <v>1333</v>
      </c>
      <c r="B39" t="s">
        <v>2470</v>
      </c>
      <c r="C39">
        <v>4</v>
      </c>
      <c r="D39">
        <v>5.5</v>
      </c>
      <c r="E39">
        <v>4</v>
      </c>
      <c r="F39">
        <v>4</v>
      </c>
      <c r="G39" t="s">
        <v>356</v>
      </c>
      <c r="H39">
        <v>5.5</v>
      </c>
      <c r="I39">
        <v>4</v>
      </c>
      <c r="J39">
        <v>4</v>
      </c>
      <c r="L39">
        <v>23</v>
      </c>
    </row>
    <row r="40" spans="1:12" hidden="1">
      <c r="A40" t="s">
        <v>1333</v>
      </c>
      <c r="B40" t="s">
        <v>106</v>
      </c>
      <c r="C40">
        <v>5.5</v>
      </c>
      <c r="D40">
        <v>4</v>
      </c>
      <c r="E40">
        <v>4</v>
      </c>
      <c r="F40">
        <v>4</v>
      </c>
      <c r="G40" t="s">
        <v>356</v>
      </c>
      <c r="H40">
        <v>4</v>
      </c>
      <c r="I40">
        <v>4</v>
      </c>
      <c r="J40" t="s">
        <v>356</v>
      </c>
      <c r="L40">
        <v>21.5</v>
      </c>
    </row>
    <row r="41" spans="1:12">
      <c r="A41" t="s">
        <v>1337</v>
      </c>
      <c r="B41" t="s">
        <v>109</v>
      </c>
      <c r="C41">
        <v>4</v>
      </c>
      <c r="D41">
        <v>4</v>
      </c>
      <c r="E41">
        <v>5.5</v>
      </c>
      <c r="F41">
        <v>4</v>
      </c>
      <c r="G41" t="s">
        <v>356</v>
      </c>
      <c r="H41">
        <v>5.5</v>
      </c>
      <c r="I41">
        <v>4</v>
      </c>
      <c r="J41" t="s">
        <v>356</v>
      </c>
      <c r="L41">
        <v>24</v>
      </c>
    </row>
    <row r="42" spans="1:12" hidden="1">
      <c r="A42" t="s">
        <v>1337</v>
      </c>
      <c r="B42" t="s">
        <v>2470</v>
      </c>
      <c r="C42">
        <v>7</v>
      </c>
      <c r="D42">
        <v>3</v>
      </c>
      <c r="E42">
        <v>4</v>
      </c>
      <c r="F42">
        <v>3</v>
      </c>
      <c r="G42" t="s">
        <v>356</v>
      </c>
      <c r="H42">
        <v>4</v>
      </c>
      <c r="I42">
        <v>4</v>
      </c>
      <c r="J42">
        <v>3</v>
      </c>
      <c r="L42">
        <v>22.75</v>
      </c>
    </row>
    <row r="43" spans="1:12" hidden="1">
      <c r="A43" t="s">
        <v>1337</v>
      </c>
      <c r="B43" t="s">
        <v>106</v>
      </c>
      <c r="C43">
        <v>5.5</v>
      </c>
      <c r="D43">
        <v>3</v>
      </c>
      <c r="E43">
        <v>4</v>
      </c>
      <c r="F43">
        <v>4</v>
      </c>
      <c r="G43">
        <v>2</v>
      </c>
      <c r="H43">
        <v>4</v>
      </c>
      <c r="I43">
        <v>3</v>
      </c>
      <c r="J43" t="s">
        <v>356</v>
      </c>
      <c r="L43">
        <v>21.25</v>
      </c>
    </row>
    <row r="44" spans="1:12">
      <c r="A44" t="s">
        <v>1341</v>
      </c>
      <c r="B44" t="s">
        <v>109</v>
      </c>
      <c r="C44">
        <v>7</v>
      </c>
      <c r="D44">
        <v>3</v>
      </c>
      <c r="E44">
        <v>4</v>
      </c>
      <c r="F44">
        <v>4</v>
      </c>
      <c r="G44" t="s">
        <v>356</v>
      </c>
      <c r="H44">
        <v>7</v>
      </c>
      <c r="I44">
        <v>5.5</v>
      </c>
      <c r="J44" t="s">
        <v>356</v>
      </c>
      <c r="L44">
        <v>27.5</v>
      </c>
    </row>
    <row r="45" spans="1:12" hidden="1">
      <c r="A45" t="s">
        <v>1341</v>
      </c>
      <c r="B45" t="s">
        <v>2470</v>
      </c>
      <c r="C45">
        <v>4</v>
      </c>
      <c r="D45">
        <v>3</v>
      </c>
      <c r="E45">
        <v>7</v>
      </c>
      <c r="F45">
        <v>5.5</v>
      </c>
      <c r="G45">
        <v>4</v>
      </c>
      <c r="H45">
        <v>5.5</v>
      </c>
      <c r="I45" t="s">
        <v>356</v>
      </c>
      <c r="J45" t="s">
        <v>356</v>
      </c>
      <c r="L45">
        <v>26</v>
      </c>
    </row>
    <row r="46" spans="1:12" hidden="1">
      <c r="A46" t="s">
        <v>1341</v>
      </c>
      <c r="B46" t="s">
        <v>106</v>
      </c>
      <c r="C46">
        <v>8.5</v>
      </c>
      <c r="D46">
        <v>4</v>
      </c>
      <c r="E46">
        <v>4</v>
      </c>
      <c r="F46">
        <v>4</v>
      </c>
      <c r="G46">
        <v>3</v>
      </c>
      <c r="H46">
        <v>4</v>
      </c>
      <c r="I46">
        <v>4</v>
      </c>
      <c r="J46">
        <v>3</v>
      </c>
      <c r="L46">
        <v>24.5</v>
      </c>
    </row>
    <row r="47" spans="1:12">
      <c r="A47" t="s">
        <v>1344</v>
      </c>
      <c r="B47" t="s">
        <v>109</v>
      </c>
      <c r="C47">
        <v>4</v>
      </c>
      <c r="D47">
        <v>8.5</v>
      </c>
      <c r="E47">
        <v>7</v>
      </c>
      <c r="F47">
        <v>8.5</v>
      </c>
      <c r="G47">
        <v>7</v>
      </c>
      <c r="H47">
        <v>8.5</v>
      </c>
      <c r="I47">
        <v>5.5</v>
      </c>
      <c r="J47">
        <v>5.5</v>
      </c>
      <c r="L47">
        <v>43.5</v>
      </c>
    </row>
    <row r="48" spans="1:12" hidden="1">
      <c r="A48" t="s">
        <v>1344</v>
      </c>
      <c r="B48" t="s">
        <v>2470</v>
      </c>
      <c r="C48">
        <v>4</v>
      </c>
      <c r="D48">
        <v>7</v>
      </c>
      <c r="E48">
        <v>8.5</v>
      </c>
      <c r="F48">
        <v>5.5</v>
      </c>
      <c r="G48">
        <v>7</v>
      </c>
      <c r="H48">
        <v>8.5</v>
      </c>
      <c r="I48">
        <v>7</v>
      </c>
      <c r="J48">
        <v>5.5</v>
      </c>
      <c r="L48">
        <v>40.5</v>
      </c>
    </row>
    <row r="49" spans="1:12" hidden="1">
      <c r="A49" t="s">
        <v>1344</v>
      </c>
      <c r="B49" t="s">
        <v>106</v>
      </c>
      <c r="C49">
        <v>5.5</v>
      </c>
      <c r="D49">
        <v>7</v>
      </c>
      <c r="E49">
        <v>7</v>
      </c>
      <c r="F49">
        <v>8.5</v>
      </c>
      <c r="G49">
        <v>5.5</v>
      </c>
      <c r="H49">
        <v>7</v>
      </c>
      <c r="I49">
        <v>5.5</v>
      </c>
      <c r="J49">
        <v>5.5</v>
      </c>
      <c r="L49">
        <v>40.5</v>
      </c>
    </row>
    <row r="50" spans="1:12">
      <c r="A50" t="s">
        <v>1347</v>
      </c>
      <c r="B50" t="s">
        <v>109</v>
      </c>
      <c r="C50">
        <v>7</v>
      </c>
      <c r="D50">
        <v>3</v>
      </c>
      <c r="E50">
        <v>4</v>
      </c>
      <c r="F50">
        <v>4</v>
      </c>
      <c r="G50" t="s">
        <v>356</v>
      </c>
      <c r="H50">
        <v>5.5</v>
      </c>
      <c r="I50">
        <v>4</v>
      </c>
      <c r="J50" t="s">
        <v>356</v>
      </c>
      <c r="L50">
        <v>24.5</v>
      </c>
    </row>
    <row r="51" spans="1:12" hidden="1">
      <c r="A51" t="s">
        <v>1347</v>
      </c>
      <c r="B51" t="s">
        <v>2470</v>
      </c>
      <c r="C51">
        <v>4</v>
      </c>
      <c r="D51">
        <v>4</v>
      </c>
      <c r="E51">
        <v>5.5</v>
      </c>
      <c r="F51">
        <v>3</v>
      </c>
      <c r="G51">
        <v>4</v>
      </c>
      <c r="H51">
        <v>5.5</v>
      </c>
      <c r="I51">
        <v>4</v>
      </c>
      <c r="J51">
        <v>4</v>
      </c>
      <c r="L51">
        <v>23</v>
      </c>
    </row>
    <row r="52" spans="1:12" hidden="1">
      <c r="A52" t="s">
        <v>1347</v>
      </c>
      <c r="B52" t="s">
        <v>106</v>
      </c>
      <c r="C52">
        <v>4</v>
      </c>
      <c r="D52">
        <v>5.5</v>
      </c>
      <c r="E52">
        <v>4</v>
      </c>
      <c r="F52">
        <v>4</v>
      </c>
      <c r="G52" t="s">
        <v>356</v>
      </c>
      <c r="H52">
        <v>5.5</v>
      </c>
      <c r="I52">
        <v>4</v>
      </c>
      <c r="J52" t="s">
        <v>356</v>
      </c>
      <c r="L52">
        <v>23</v>
      </c>
    </row>
    <row r="53" spans="1:12">
      <c r="A53" t="s">
        <v>1350</v>
      </c>
      <c r="B53" t="s">
        <v>109</v>
      </c>
      <c r="C53">
        <v>5.5</v>
      </c>
      <c r="D53">
        <v>5.5</v>
      </c>
      <c r="E53">
        <v>7</v>
      </c>
      <c r="F53">
        <v>5.5</v>
      </c>
      <c r="G53">
        <v>7</v>
      </c>
      <c r="H53">
        <v>7</v>
      </c>
      <c r="I53">
        <v>5.5</v>
      </c>
      <c r="J53" t="s">
        <v>356</v>
      </c>
      <c r="L53">
        <v>32</v>
      </c>
    </row>
    <row r="54" spans="1:12" hidden="1">
      <c r="A54" t="s">
        <v>1350</v>
      </c>
      <c r="B54" t="s">
        <v>2470</v>
      </c>
      <c r="C54">
        <v>4</v>
      </c>
      <c r="D54">
        <v>5.5</v>
      </c>
      <c r="E54">
        <v>8.5</v>
      </c>
      <c r="F54">
        <v>4</v>
      </c>
      <c r="G54">
        <v>7</v>
      </c>
      <c r="H54">
        <v>5.5</v>
      </c>
      <c r="I54">
        <v>5.5</v>
      </c>
      <c r="J54">
        <v>4</v>
      </c>
      <c r="L54">
        <v>32</v>
      </c>
    </row>
    <row r="55" spans="1:12" hidden="1">
      <c r="A55" t="s">
        <v>1350</v>
      </c>
      <c r="B55" t="s">
        <v>106</v>
      </c>
      <c r="C55">
        <v>4</v>
      </c>
      <c r="D55">
        <v>4</v>
      </c>
      <c r="E55">
        <v>7</v>
      </c>
      <c r="F55">
        <v>4</v>
      </c>
      <c r="G55">
        <v>5.5</v>
      </c>
      <c r="H55">
        <v>7</v>
      </c>
      <c r="I55">
        <v>7</v>
      </c>
      <c r="J55" t="s">
        <v>356</v>
      </c>
      <c r="L55">
        <v>30.5</v>
      </c>
    </row>
    <row r="56" spans="1:12">
      <c r="A56" t="s">
        <v>1356</v>
      </c>
      <c r="B56" t="s">
        <v>109</v>
      </c>
      <c r="C56">
        <v>4</v>
      </c>
      <c r="D56">
        <v>4</v>
      </c>
      <c r="E56">
        <v>5.5</v>
      </c>
      <c r="F56">
        <v>4</v>
      </c>
      <c r="G56" t="s">
        <v>356</v>
      </c>
      <c r="H56">
        <v>7</v>
      </c>
      <c r="I56">
        <v>7</v>
      </c>
      <c r="J56" t="s">
        <v>356</v>
      </c>
      <c r="L56">
        <v>27.5</v>
      </c>
    </row>
    <row r="57" spans="1:12" hidden="1">
      <c r="A57" t="s">
        <v>1356</v>
      </c>
      <c r="B57" t="s">
        <v>2470</v>
      </c>
      <c r="C57">
        <v>3</v>
      </c>
      <c r="D57">
        <v>3</v>
      </c>
      <c r="E57">
        <v>5.5</v>
      </c>
      <c r="F57">
        <v>3</v>
      </c>
      <c r="G57">
        <v>7</v>
      </c>
      <c r="H57">
        <v>5.5</v>
      </c>
      <c r="I57">
        <v>4</v>
      </c>
      <c r="J57">
        <v>4</v>
      </c>
      <c r="L57">
        <v>26</v>
      </c>
    </row>
    <row r="58" spans="1:12" hidden="1">
      <c r="A58" t="s">
        <v>1356</v>
      </c>
      <c r="B58" t="s">
        <v>106</v>
      </c>
      <c r="C58">
        <v>4</v>
      </c>
      <c r="D58">
        <v>4</v>
      </c>
      <c r="E58">
        <v>4</v>
      </c>
      <c r="F58">
        <v>4</v>
      </c>
      <c r="G58" t="s">
        <v>356</v>
      </c>
      <c r="H58">
        <v>7</v>
      </c>
      <c r="I58">
        <v>5.5</v>
      </c>
      <c r="J58">
        <v>4</v>
      </c>
      <c r="L58">
        <v>24.5</v>
      </c>
    </row>
    <row r="59" spans="1:12">
      <c r="A59" t="s">
        <v>1359</v>
      </c>
      <c r="B59" t="s">
        <v>109</v>
      </c>
      <c r="C59">
        <v>3</v>
      </c>
      <c r="D59">
        <v>7</v>
      </c>
      <c r="E59">
        <v>7</v>
      </c>
      <c r="F59">
        <v>4</v>
      </c>
      <c r="G59">
        <v>7</v>
      </c>
      <c r="H59">
        <v>8.5</v>
      </c>
      <c r="I59">
        <v>7</v>
      </c>
      <c r="J59">
        <v>4</v>
      </c>
      <c r="L59">
        <v>54</v>
      </c>
    </row>
    <row r="60" spans="1:12" hidden="1">
      <c r="A60" t="s">
        <v>1359</v>
      </c>
      <c r="B60" t="s">
        <v>2470</v>
      </c>
      <c r="C60">
        <v>5.5</v>
      </c>
      <c r="D60">
        <v>7</v>
      </c>
      <c r="E60">
        <v>7</v>
      </c>
      <c r="F60">
        <v>4</v>
      </c>
      <c r="G60">
        <v>7</v>
      </c>
      <c r="H60">
        <v>7</v>
      </c>
      <c r="I60">
        <v>7</v>
      </c>
      <c r="J60" t="s">
        <v>356</v>
      </c>
      <c r="L60">
        <v>52.5</v>
      </c>
    </row>
    <row r="61" spans="1:12" hidden="1">
      <c r="A61" t="s">
        <v>1359</v>
      </c>
      <c r="B61" t="s">
        <v>106</v>
      </c>
      <c r="C61">
        <v>5.5</v>
      </c>
      <c r="D61">
        <v>7</v>
      </c>
      <c r="E61">
        <v>7</v>
      </c>
      <c r="F61">
        <v>4</v>
      </c>
      <c r="G61">
        <v>4</v>
      </c>
      <c r="H61">
        <v>7</v>
      </c>
      <c r="I61">
        <v>7</v>
      </c>
      <c r="J61">
        <v>5.5</v>
      </c>
      <c r="L61">
        <v>51</v>
      </c>
    </row>
    <row r="62" spans="1:12">
      <c r="A62" t="s">
        <v>1362</v>
      </c>
      <c r="B62" t="s">
        <v>109</v>
      </c>
      <c r="C62">
        <v>5.5</v>
      </c>
      <c r="D62">
        <v>7</v>
      </c>
      <c r="E62">
        <v>8.5</v>
      </c>
      <c r="F62">
        <v>4</v>
      </c>
      <c r="G62">
        <v>7</v>
      </c>
      <c r="H62">
        <v>7</v>
      </c>
      <c r="I62">
        <v>3</v>
      </c>
      <c r="J62" t="s">
        <v>356</v>
      </c>
      <c r="L62">
        <v>35</v>
      </c>
    </row>
    <row r="63" spans="1:12" hidden="1">
      <c r="A63" t="s">
        <v>1362</v>
      </c>
      <c r="B63" t="s">
        <v>2470</v>
      </c>
      <c r="C63">
        <v>7</v>
      </c>
      <c r="D63">
        <v>5.5</v>
      </c>
      <c r="E63">
        <v>5.5</v>
      </c>
      <c r="F63">
        <v>7</v>
      </c>
      <c r="G63" t="s">
        <v>356</v>
      </c>
      <c r="H63">
        <v>8.5</v>
      </c>
      <c r="I63">
        <v>3</v>
      </c>
      <c r="J63">
        <v>3</v>
      </c>
      <c r="L63">
        <v>33.5</v>
      </c>
    </row>
    <row r="64" spans="1:12" hidden="1">
      <c r="A64" t="s">
        <v>1362</v>
      </c>
      <c r="B64" t="s">
        <v>106</v>
      </c>
      <c r="C64">
        <v>7</v>
      </c>
      <c r="D64">
        <v>5.5</v>
      </c>
      <c r="E64">
        <v>7</v>
      </c>
      <c r="F64">
        <v>5.5</v>
      </c>
      <c r="G64" t="s">
        <v>356</v>
      </c>
      <c r="H64">
        <v>7</v>
      </c>
      <c r="I64">
        <v>5.5</v>
      </c>
      <c r="J64">
        <v>4</v>
      </c>
      <c r="L64">
        <v>32</v>
      </c>
    </row>
    <row r="65" spans="1:12">
      <c r="A65" t="s">
        <v>1367</v>
      </c>
      <c r="B65" t="s">
        <v>109</v>
      </c>
      <c r="C65">
        <v>8.5</v>
      </c>
      <c r="D65">
        <v>8.5</v>
      </c>
      <c r="E65">
        <v>4</v>
      </c>
      <c r="F65">
        <v>5.5</v>
      </c>
      <c r="G65" t="s">
        <v>356</v>
      </c>
      <c r="H65">
        <v>5.5</v>
      </c>
      <c r="I65">
        <v>4</v>
      </c>
      <c r="J65" t="s">
        <v>356</v>
      </c>
      <c r="L65">
        <v>54.25</v>
      </c>
    </row>
    <row r="66" spans="1:12" hidden="1">
      <c r="A66" t="s">
        <v>1367</v>
      </c>
      <c r="B66" t="s">
        <v>2470</v>
      </c>
      <c r="C66">
        <v>8.5</v>
      </c>
      <c r="D66">
        <v>5.5</v>
      </c>
      <c r="E66">
        <v>4</v>
      </c>
      <c r="F66">
        <v>4</v>
      </c>
      <c r="G66" t="s">
        <v>356</v>
      </c>
      <c r="H66">
        <v>7</v>
      </c>
      <c r="I66">
        <v>7</v>
      </c>
      <c r="J66">
        <v>7</v>
      </c>
      <c r="L66">
        <v>49.75</v>
      </c>
    </row>
    <row r="67" spans="1:12" hidden="1">
      <c r="A67" t="s">
        <v>1367</v>
      </c>
      <c r="B67" t="s">
        <v>106</v>
      </c>
      <c r="C67">
        <v>7</v>
      </c>
      <c r="D67">
        <v>7</v>
      </c>
      <c r="E67">
        <v>5.5</v>
      </c>
      <c r="F67">
        <v>4</v>
      </c>
      <c r="G67" t="s">
        <v>356</v>
      </c>
      <c r="H67">
        <v>7</v>
      </c>
      <c r="I67">
        <v>5.5</v>
      </c>
      <c r="J67" t="s">
        <v>356</v>
      </c>
      <c r="L67">
        <v>50.5</v>
      </c>
    </row>
    <row r="68" spans="1:12">
      <c r="A68" t="s">
        <v>1372</v>
      </c>
      <c r="B68" t="s">
        <v>109</v>
      </c>
      <c r="C68">
        <v>7</v>
      </c>
      <c r="D68">
        <v>5.5</v>
      </c>
      <c r="E68">
        <v>8.5</v>
      </c>
      <c r="F68">
        <v>8.5</v>
      </c>
      <c r="G68">
        <v>7</v>
      </c>
      <c r="H68">
        <v>8.5</v>
      </c>
      <c r="I68">
        <v>8.5</v>
      </c>
      <c r="J68">
        <v>8.5</v>
      </c>
      <c r="L68">
        <v>57.75</v>
      </c>
    </row>
    <row r="69" spans="1:12" hidden="1">
      <c r="A69" t="s">
        <v>1372</v>
      </c>
      <c r="B69" t="s">
        <v>2470</v>
      </c>
      <c r="C69">
        <v>4</v>
      </c>
      <c r="D69">
        <v>5.5</v>
      </c>
      <c r="E69">
        <v>8.5</v>
      </c>
      <c r="F69">
        <v>4</v>
      </c>
      <c r="G69">
        <v>8.5</v>
      </c>
      <c r="H69">
        <v>8.5</v>
      </c>
      <c r="I69">
        <v>7</v>
      </c>
      <c r="J69">
        <v>7</v>
      </c>
      <c r="L69">
        <v>56.25</v>
      </c>
    </row>
    <row r="70" spans="1:12" hidden="1">
      <c r="A70" t="s">
        <v>1372</v>
      </c>
      <c r="B70" t="s">
        <v>106</v>
      </c>
      <c r="C70">
        <v>7</v>
      </c>
      <c r="D70">
        <v>5.5</v>
      </c>
      <c r="E70">
        <v>8.5</v>
      </c>
      <c r="F70">
        <v>4</v>
      </c>
      <c r="G70">
        <v>8.5</v>
      </c>
      <c r="H70">
        <v>7</v>
      </c>
      <c r="I70">
        <v>7</v>
      </c>
      <c r="J70">
        <v>5.5</v>
      </c>
      <c r="L70">
        <v>54.75</v>
      </c>
    </row>
    <row r="71" spans="1:12">
      <c r="A71" t="s">
        <v>1376</v>
      </c>
      <c r="B71" t="s">
        <v>109</v>
      </c>
      <c r="C71">
        <v>5.5</v>
      </c>
      <c r="D71">
        <v>4</v>
      </c>
      <c r="E71">
        <v>7</v>
      </c>
      <c r="F71">
        <v>4</v>
      </c>
      <c r="G71" t="s">
        <v>356</v>
      </c>
      <c r="H71">
        <v>7</v>
      </c>
      <c r="I71">
        <v>7</v>
      </c>
      <c r="J71">
        <v>4</v>
      </c>
      <c r="L71">
        <v>30.5</v>
      </c>
    </row>
    <row r="72" spans="1:12" hidden="1">
      <c r="A72" t="s">
        <v>1376</v>
      </c>
      <c r="B72" t="s">
        <v>2470</v>
      </c>
      <c r="C72">
        <v>4</v>
      </c>
      <c r="D72">
        <v>4</v>
      </c>
      <c r="E72">
        <v>5.5</v>
      </c>
      <c r="F72">
        <v>4</v>
      </c>
      <c r="G72" t="s">
        <v>356</v>
      </c>
      <c r="H72">
        <v>7</v>
      </c>
      <c r="I72">
        <v>5.5</v>
      </c>
      <c r="J72">
        <v>4</v>
      </c>
      <c r="L72">
        <v>26</v>
      </c>
    </row>
    <row r="73" spans="1:12" hidden="1">
      <c r="A73" t="s">
        <v>1376</v>
      </c>
      <c r="B73" t="s">
        <v>106</v>
      </c>
      <c r="C73">
        <v>4</v>
      </c>
      <c r="D73">
        <v>4</v>
      </c>
      <c r="E73">
        <v>5.5</v>
      </c>
      <c r="F73">
        <v>4</v>
      </c>
      <c r="G73" t="s">
        <v>356</v>
      </c>
      <c r="H73">
        <v>7</v>
      </c>
      <c r="I73">
        <v>5.5</v>
      </c>
      <c r="J73" t="s">
        <v>356</v>
      </c>
      <c r="L73">
        <v>26</v>
      </c>
    </row>
    <row r="74" spans="1:12">
      <c r="A74" t="s">
        <v>1380</v>
      </c>
      <c r="B74" t="s">
        <v>109</v>
      </c>
      <c r="C74">
        <v>8.5</v>
      </c>
      <c r="D74">
        <v>3</v>
      </c>
      <c r="E74">
        <v>4</v>
      </c>
      <c r="F74">
        <v>5.5</v>
      </c>
      <c r="G74" t="s">
        <v>356</v>
      </c>
      <c r="H74">
        <v>8.5</v>
      </c>
      <c r="I74">
        <v>8.5</v>
      </c>
      <c r="J74" t="s">
        <v>356</v>
      </c>
      <c r="L74">
        <v>43.5</v>
      </c>
    </row>
    <row r="75" spans="1:12" hidden="1">
      <c r="A75" t="s">
        <v>1380</v>
      </c>
      <c r="B75" t="s">
        <v>2470</v>
      </c>
      <c r="C75">
        <v>8.5</v>
      </c>
      <c r="D75">
        <v>4</v>
      </c>
      <c r="E75">
        <v>3</v>
      </c>
      <c r="F75">
        <v>7</v>
      </c>
      <c r="G75" t="s">
        <v>356</v>
      </c>
      <c r="H75">
        <v>7</v>
      </c>
      <c r="I75">
        <v>7</v>
      </c>
      <c r="J75" t="s">
        <v>356</v>
      </c>
      <c r="L75">
        <v>42</v>
      </c>
    </row>
    <row r="76" spans="1:12" hidden="1">
      <c r="A76" t="s">
        <v>1380</v>
      </c>
      <c r="B76" t="s">
        <v>106</v>
      </c>
      <c r="C76">
        <v>8.5</v>
      </c>
      <c r="D76">
        <v>3</v>
      </c>
      <c r="E76">
        <v>2</v>
      </c>
      <c r="F76">
        <v>4</v>
      </c>
      <c r="G76" t="s">
        <v>356</v>
      </c>
      <c r="H76">
        <v>8.5</v>
      </c>
      <c r="I76">
        <v>7</v>
      </c>
      <c r="J76" t="s">
        <v>356</v>
      </c>
      <c r="L76">
        <v>39.5</v>
      </c>
    </row>
    <row r="77" spans="1:12">
      <c r="A77" t="s">
        <v>1385</v>
      </c>
      <c r="B77" t="s">
        <v>109</v>
      </c>
      <c r="C77">
        <v>3</v>
      </c>
      <c r="D77">
        <v>8.5</v>
      </c>
      <c r="E77">
        <v>5.5</v>
      </c>
      <c r="F77">
        <v>2</v>
      </c>
      <c r="G77">
        <v>7</v>
      </c>
      <c r="H77">
        <v>5.5</v>
      </c>
      <c r="I77">
        <v>5.5</v>
      </c>
      <c r="J77" t="s">
        <v>356</v>
      </c>
      <c r="L77">
        <v>40.5</v>
      </c>
    </row>
    <row r="78" spans="1:12" hidden="1">
      <c r="A78" t="s">
        <v>1385</v>
      </c>
      <c r="B78" t="s">
        <v>2470</v>
      </c>
      <c r="C78">
        <v>4</v>
      </c>
      <c r="D78">
        <v>8.5</v>
      </c>
      <c r="E78">
        <v>3</v>
      </c>
      <c r="F78">
        <v>4</v>
      </c>
      <c r="G78" t="s">
        <v>356</v>
      </c>
      <c r="H78">
        <v>7</v>
      </c>
      <c r="I78">
        <v>4</v>
      </c>
      <c r="J78">
        <v>4</v>
      </c>
      <c r="L78">
        <v>36</v>
      </c>
    </row>
    <row r="79" spans="1:12" hidden="1">
      <c r="A79" t="s">
        <v>1385</v>
      </c>
      <c r="B79" t="s">
        <v>106</v>
      </c>
      <c r="C79">
        <v>7</v>
      </c>
      <c r="D79">
        <v>7</v>
      </c>
      <c r="E79">
        <v>4</v>
      </c>
      <c r="F79">
        <v>5.5</v>
      </c>
      <c r="G79" t="s">
        <v>356</v>
      </c>
      <c r="H79">
        <v>5.5</v>
      </c>
      <c r="I79">
        <v>4</v>
      </c>
      <c r="J79" t="s">
        <v>356</v>
      </c>
      <c r="L79">
        <v>36</v>
      </c>
    </row>
    <row r="80" spans="1:12">
      <c r="A80" t="s">
        <v>362</v>
      </c>
      <c r="B80" t="s">
        <v>109</v>
      </c>
      <c r="C80">
        <v>5.5</v>
      </c>
      <c r="D80">
        <v>4</v>
      </c>
      <c r="E80">
        <v>8.5</v>
      </c>
      <c r="F80">
        <v>4</v>
      </c>
      <c r="G80">
        <v>7</v>
      </c>
      <c r="H80">
        <v>5.5</v>
      </c>
      <c r="I80">
        <v>5.5</v>
      </c>
      <c r="J80" t="s">
        <v>356</v>
      </c>
      <c r="L80">
        <v>53</v>
      </c>
    </row>
    <row r="81" spans="1:12" hidden="1">
      <c r="A81" t="s">
        <v>362</v>
      </c>
      <c r="B81" t="s">
        <v>2470</v>
      </c>
      <c r="C81">
        <v>4</v>
      </c>
      <c r="D81">
        <v>4</v>
      </c>
      <c r="E81">
        <v>8.5</v>
      </c>
      <c r="F81">
        <v>4</v>
      </c>
      <c r="G81">
        <v>7</v>
      </c>
      <c r="H81">
        <v>5.5</v>
      </c>
      <c r="I81">
        <v>5.5</v>
      </c>
      <c r="J81" t="s">
        <v>356</v>
      </c>
      <c r="L81">
        <v>50.75</v>
      </c>
    </row>
    <row r="82" spans="1:12" hidden="1">
      <c r="A82" t="s">
        <v>362</v>
      </c>
      <c r="B82" t="s">
        <v>106</v>
      </c>
      <c r="C82">
        <v>4</v>
      </c>
      <c r="D82">
        <v>5.5</v>
      </c>
      <c r="E82">
        <v>8.5</v>
      </c>
      <c r="F82">
        <v>4</v>
      </c>
      <c r="G82">
        <v>5.5</v>
      </c>
      <c r="H82">
        <v>5.5</v>
      </c>
      <c r="I82">
        <v>5.5</v>
      </c>
      <c r="J82" t="s">
        <v>356</v>
      </c>
      <c r="L82">
        <v>50</v>
      </c>
    </row>
    <row r="83" spans="1:12">
      <c r="A83" t="s">
        <v>1394</v>
      </c>
      <c r="B83" t="s">
        <v>109</v>
      </c>
      <c r="C83">
        <v>5.5</v>
      </c>
      <c r="D83">
        <v>4</v>
      </c>
      <c r="E83">
        <v>4</v>
      </c>
      <c r="F83">
        <v>4</v>
      </c>
      <c r="G83" t="s">
        <v>356</v>
      </c>
      <c r="H83">
        <v>5.5</v>
      </c>
      <c r="I83">
        <v>4</v>
      </c>
      <c r="J83">
        <v>3</v>
      </c>
      <c r="L83">
        <v>23</v>
      </c>
    </row>
    <row r="84" spans="1:12" hidden="1">
      <c r="A84" t="s">
        <v>1394</v>
      </c>
      <c r="B84" t="s">
        <v>2470</v>
      </c>
      <c r="C84">
        <v>5.5</v>
      </c>
      <c r="D84">
        <v>4</v>
      </c>
      <c r="E84">
        <v>4</v>
      </c>
      <c r="F84">
        <v>3</v>
      </c>
      <c r="G84" t="s">
        <v>356</v>
      </c>
      <c r="H84">
        <v>4</v>
      </c>
      <c r="I84">
        <v>4</v>
      </c>
      <c r="J84">
        <v>4</v>
      </c>
      <c r="L84">
        <v>21.5</v>
      </c>
    </row>
    <row r="85" spans="1:12" hidden="1">
      <c r="A85" t="s">
        <v>1394</v>
      </c>
      <c r="B85" t="s">
        <v>106</v>
      </c>
      <c r="C85">
        <v>4</v>
      </c>
      <c r="D85">
        <v>4</v>
      </c>
      <c r="E85">
        <v>5.5</v>
      </c>
      <c r="F85">
        <v>3</v>
      </c>
      <c r="G85">
        <v>4</v>
      </c>
      <c r="H85">
        <v>3</v>
      </c>
      <c r="I85">
        <v>3</v>
      </c>
      <c r="J85" t="s">
        <v>356</v>
      </c>
      <c r="L85">
        <v>20.5</v>
      </c>
    </row>
    <row r="86" spans="1:12">
      <c r="A86" t="s">
        <v>470</v>
      </c>
      <c r="B86" t="s">
        <v>109</v>
      </c>
      <c r="C86">
        <v>3</v>
      </c>
      <c r="D86">
        <v>4</v>
      </c>
      <c r="E86">
        <v>4</v>
      </c>
      <c r="F86">
        <v>4</v>
      </c>
      <c r="G86" t="s">
        <v>356</v>
      </c>
      <c r="H86">
        <v>7</v>
      </c>
      <c r="I86">
        <v>5.5</v>
      </c>
      <c r="J86">
        <v>4</v>
      </c>
      <c r="L86">
        <v>34.75</v>
      </c>
    </row>
    <row r="87" spans="1:12" hidden="1">
      <c r="A87" t="s">
        <v>470</v>
      </c>
      <c r="B87" t="s">
        <v>2470</v>
      </c>
      <c r="C87">
        <v>4</v>
      </c>
      <c r="D87">
        <v>4</v>
      </c>
      <c r="E87">
        <v>5.5</v>
      </c>
      <c r="F87">
        <v>4</v>
      </c>
      <c r="G87">
        <v>4</v>
      </c>
      <c r="H87">
        <v>4</v>
      </c>
      <c r="I87" t="s">
        <v>356</v>
      </c>
      <c r="J87" t="s">
        <v>356</v>
      </c>
      <c r="L87">
        <v>29.25</v>
      </c>
    </row>
    <row r="88" spans="1:12" hidden="1">
      <c r="A88" t="s">
        <v>470</v>
      </c>
      <c r="B88" t="s">
        <v>106</v>
      </c>
      <c r="C88">
        <v>3</v>
      </c>
      <c r="D88">
        <v>4</v>
      </c>
      <c r="E88">
        <v>4</v>
      </c>
      <c r="F88">
        <v>2</v>
      </c>
      <c r="G88">
        <v>4</v>
      </c>
      <c r="H88">
        <v>4</v>
      </c>
      <c r="I88">
        <v>3</v>
      </c>
      <c r="J88" t="s">
        <v>356</v>
      </c>
      <c r="L88">
        <v>27.5</v>
      </c>
    </row>
    <row r="89" spans="1:12">
      <c r="A89" t="s">
        <v>1404</v>
      </c>
      <c r="B89" t="s">
        <v>109</v>
      </c>
      <c r="C89">
        <v>4</v>
      </c>
      <c r="D89">
        <v>3</v>
      </c>
      <c r="E89">
        <v>5.5</v>
      </c>
      <c r="F89">
        <v>4</v>
      </c>
      <c r="G89">
        <v>3</v>
      </c>
      <c r="H89">
        <v>5.5</v>
      </c>
      <c r="I89">
        <v>4</v>
      </c>
      <c r="J89" t="s">
        <v>356</v>
      </c>
      <c r="L89">
        <v>30</v>
      </c>
    </row>
    <row r="90" spans="1:12" hidden="1">
      <c r="A90" t="s">
        <v>1404</v>
      </c>
      <c r="B90" t="s">
        <v>2470</v>
      </c>
      <c r="C90">
        <v>3</v>
      </c>
      <c r="D90">
        <v>3</v>
      </c>
      <c r="E90">
        <v>7</v>
      </c>
      <c r="F90">
        <v>4</v>
      </c>
      <c r="G90" t="s">
        <v>356</v>
      </c>
      <c r="H90">
        <v>4</v>
      </c>
      <c r="I90">
        <v>4</v>
      </c>
      <c r="J90" t="s">
        <v>356</v>
      </c>
      <c r="L90">
        <v>27.5</v>
      </c>
    </row>
    <row r="91" spans="1:12" hidden="1">
      <c r="A91" t="s">
        <v>1404</v>
      </c>
      <c r="B91" t="s">
        <v>106</v>
      </c>
      <c r="C91">
        <v>3</v>
      </c>
      <c r="D91">
        <v>4</v>
      </c>
      <c r="E91">
        <v>4</v>
      </c>
      <c r="F91">
        <v>4</v>
      </c>
      <c r="G91" t="s">
        <v>356</v>
      </c>
      <c r="H91">
        <v>4</v>
      </c>
      <c r="I91">
        <v>4</v>
      </c>
      <c r="J91">
        <v>4</v>
      </c>
      <c r="L91">
        <v>26</v>
      </c>
    </row>
    <row r="92" spans="1:12">
      <c r="A92" t="s">
        <v>472</v>
      </c>
      <c r="B92" t="s">
        <v>109</v>
      </c>
      <c r="C92">
        <v>7</v>
      </c>
      <c r="D92">
        <v>3</v>
      </c>
      <c r="E92">
        <v>7</v>
      </c>
      <c r="F92">
        <v>3</v>
      </c>
      <c r="G92">
        <v>5.5</v>
      </c>
      <c r="H92">
        <v>7</v>
      </c>
      <c r="I92">
        <v>5.5</v>
      </c>
      <c r="J92">
        <v>4</v>
      </c>
      <c r="L92">
        <v>45.875</v>
      </c>
    </row>
    <row r="93" spans="1:12" hidden="1">
      <c r="A93" t="s">
        <v>472</v>
      </c>
      <c r="B93" t="s">
        <v>2470</v>
      </c>
      <c r="C93">
        <v>5.5</v>
      </c>
      <c r="D93">
        <v>4</v>
      </c>
      <c r="E93">
        <v>7</v>
      </c>
      <c r="F93">
        <v>3</v>
      </c>
      <c r="G93">
        <v>7</v>
      </c>
      <c r="H93">
        <v>5.5</v>
      </c>
      <c r="I93">
        <v>4</v>
      </c>
      <c r="J93" t="s">
        <v>356</v>
      </c>
      <c r="L93">
        <v>42.5</v>
      </c>
    </row>
    <row r="94" spans="1:12" hidden="1">
      <c r="A94" t="s">
        <v>472</v>
      </c>
      <c r="B94" t="s">
        <v>106</v>
      </c>
      <c r="C94">
        <v>3</v>
      </c>
      <c r="D94">
        <v>5.5</v>
      </c>
      <c r="E94">
        <v>5.5</v>
      </c>
      <c r="F94">
        <v>2</v>
      </c>
      <c r="G94">
        <v>5.5</v>
      </c>
      <c r="H94">
        <v>5.5</v>
      </c>
      <c r="I94">
        <v>5.5</v>
      </c>
      <c r="J94" t="s">
        <v>356</v>
      </c>
      <c r="L94">
        <v>39.875</v>
      </c>
    </row>
    <row r="95" spans="1:12">
      <c r="A95" t="s">
        <v>1412</v>
      </c>
      <c r="B95" t="s">
        <v>109</v>
      </c>
      <c r="C95">
        <v>4</v>
      </c>
      <c r="D95">
        <v>4</v>
      </c>
      <c r="E95">
        <v>8.5</v>
      </c>
      <c r="F95">
        <v>4</v>
      </c>
      <c r="G95">
        <v>7</v>
      </c>
      <c r="H95">
        <v>7</v>
      </c>
      <c r="I95">
        <v>7</v>
      </c>
      <c r="J95">
        <v>5.5</v>
      </c>
      <c r="K95" t="s">
        <v>2472</v>
      </c>
      <c r="L95">
        <v>65</v>
      </c>
    </row>
    <row r="96" spans="1:12" hidden="1">
      <c r="A96" t="s">
        <v>1412</v>
      </c>
      <c r="B96" t="s">
        <v>2470</v>
      </c>
      <c r="C96">
        <v>3</v>
      </c>
      <c r="D96">
        <v>5.5</v>
      </c>
      <c r="E96">
        <v>5.5</v>
      </c>
      <c r="F96">
        <v>3</v>
      </c>
      <c r="G96">
        <v>7</v>
      </c>
      <c r="H96">
        <v>7</v>
      </c>
      <c r="I96">
        <v>7</v>
      </c>
      <c r="J96" t="s">
        <v>2472</v>
      </c>
      <c r="L96">
        <v>61.25</v>
      </c>
    </row>
    <row r="97" spans="1:12" hidden="1">
      <c r="A97" t="s">
        <v>1412</v>
      </c>
      <c r="B97" t="s">
        <v>106</v>
      </c>
      <c r="C97">
        <v>5.5</v>
      </c>
      <c r="D97">
        <v>4</v>
      </c>
      <c r="E97">
        <v>5.5</v>
      </c>
      <c r="F97">
        <v>7</v>
      </c>
      <c r="G97">
        <v>7</v>
      </c>
      <c r="H97">
        <v>7</v>
      </c>
      <c r="I97">
        <v>7</v>
      </c>
      <c r="J97" t="s">
        <v>356</v>
      </c>
      <c r="L97">
        <v>60</v>
      </c>
    </row>
    <row r="98" spans="1:12">
      <c r="A98" t="s">
        <v>1418</v>
      </c>
      <c r="B98" t="s">
        <v>109</v>
      </c>
      <c r="C98">
        <v>4</v>
      </c>
      <c r="D98">
        <v>4</v>
      </c>
      <c r="E98">
        <v>7</v>
      </c>
      <c r="F98">
        <v>4</v>
      </c>
      <c r="G98">
        <v>5.5</v>
      </c>
      <c r="H98">
        <v>7</v>
      </c>
      <c r="I98">
        <v>5.5</v>
      </c>
      <c r="J98">
        <v>5.5</v>
      </c>
      <c r="L98">
        <v>48.875</v>
      </c>
    </row>
    <row r="99" spans="1:12" hidden="1">
      <c r="A99" t="s">
        <v>1418</v>
      </c>
      <c r="B99" t="s">
        <v>2470</v>
      </c>
      <c r="C99">
        <v>4</v>
      </c>
      <c r="D99">
        <v>5.5</v>
      </c>
      <c r="E99">
        <v>8.5</v>
      </c>
      <c r="F99">
        <v>3</v>
      </c>
      <c r="G99" t="s">
        <v>356</v>
      </c>
      <c r="H99">
        <v>8.5</v>
      </c>
      <c r="I99">
        <v>7</v>
      </c>
      <c r="J99" t="s">
        <v>356</v>
      </c>
      <c r="L99">
        <v>46.5</v>
      </c>
    </row>
    <row r="100" spans="1:12" hidden="1">
      <c r="A100" t="s">
        <v>1418</v>
      </c>
      <c r="B100" t="s">
        <v>106</v>
      </c>
      <c r="C100">
        <v>3</v>
      </c>
      <c r="D100">
        <v>4</v>
      </c>
      <c r="E100">
        <v>7</v>
      </c>
      <c r="F100">
        <v>4</v>
      </c>
      <c r="G100">
        <v>7</v>
      </c>
      <c r="H100">
        <v>5.5</v>
      </c>
      <c r="I100">
        <v>4</v>
      </c>
      <c r="J100">
        <v>3</v>
      </c>
      <c r="L100">
        <v>43.75</v>
      </c>
    </row>
    <row r="101" spans="1:12">
      <c r="A101" t="s">
        <v>1424</v>
      </c>
      <c r="B101" t="s">
        <v>109</v>
      </c>
      <c r="C101">
        <v>3</v>
      </c>
      <c r="D101">
        <v>3</v>
      </c>
      <c r="E101">
        <v>5.5</v>
      </c>
      <c r="F101">
        <v>3</v>
      </c>
      <c r="G101">
        <v>5.5</v>
      </c>
      <c r="H101">
        <v>4</v>
      </c>
      <c r="I101">
        <v>4</v>
      </c>
      <c r="J101" t="s">
        <v>356</v>
      </c>
      <c r="L101">
        <v>29.5</v>
      </c>
    </row>
    <row r="102" spans="1:12" hidden="1">
      <c r="A102" t="s">
        <v>1424</v>
      </c>
      <c r="B102" t="s">
        <v>2470</v>
      </c>
      <c r="C102">
        <v>3</v>
      </c>
      <c r="D102">
        <v>3</v>
      </c>
      <c r="E102">
        <v>5.5</v>
      </c>
      <c r="F102">
        <v>3</v>
      </c>
      <c r="G102">
        <v>5.5</v>
      </c>
      <c r="H102">
        <v>4</v>
      </c>
      <c r="I102">
        <v>3</v>
      </c>
      <c r="J102" t="s">
        <v>356</v>
      </c>
      <c r="L102">
        <v>28</v>
      </c>
    </row>
    <row r="103" spans="1:12" hidden="1">
      <c r="A103" t="s">
        <v>1424</v>
      </c>
      <c r="B103" t="s">
        <v>106</v>
      </c>
      <c r="C103">
        <v>5.5</v>
      </c>
      <c r="D103">
        <v>4</v>
      </c>
      <c r="E103">
        <v>3</v>
      </c>
      <c r="F103">
        <v>4</v>
      </c>
      <c r="G103" t="s">
        <v>356</v>
      </c>
      <c r="H103">
        <v>5.5</v>
      </c>
      <c r="I103">
        <v>5.5</v>
      </c>
      <c r="J103">
        <v>5.5</v>
      </c>
      <c r="L103">
        <v>26.5</v>
      </c>
    </row>
    <row r="104" spans="1:12">
      <c r="A104" t="s">
        <v>473</v>
      </c>
      <c r="B104" t="s">
        <v>109</v>
      </c>
      <c r="C104">
        <v>3</v>
      </c>
      <c r="D104">
        <v>4</v>
      </c>
      <c r="E104">
        <v>7</v>
      </c>
      <c r="F104">
        <v>4</v>
      </c>
      <c r="G104">
        <v>5.5</v>
      </c>
      <c r="H104">
        <v>5.5</v>
      </c>
      <c r="I104" t="s">
        <v>356</v>
      </c>
      <c r="J104" t="s">
        <v>356</v>
      </c>
      <c r="L104">
        <v>38.875</v>
      </c>
    </row>
    <row r="105" spans="1:12" hidden="1">
      <c r="A105" t="s">
        <v>473</v>
      </c>
      <c r="B105" t="s">
        <v>2470</v>
      </c>
      <c r="C105">
        <v>4</v>
      </c>
      <c r="D105">
        <v>3</v>
      </c>
      <c r="E105">
        <v>5.5</v>
      </c>
      <c r="F105">
        <v>3</v>
      </c>
      <c r="G105">
        <v>3</v>
      </c>
      <c r="H105">
        <v>7</v>
      </c>
      <c r="I105">
        <v>4</v>
      </c>
      <c r="J105" t="s">
        <v>356</v>
      </c>
      <c r="L105">
        <v>36.75</v>
      </c>
    </row>
    <row r="106" spans="1:12" hidden="1">
      <c r="A106" t="s">
        <v>473</v>
      </c>
      <c r="B106" t="s">
        <v>106</v>
      </c>
      <c r="C106">
        <v>4</v>
      </c>
      <c r="D106">
        <v>3</v>
      </c>
      <c r="E106">
        <v>5.5</v>
      </c>
      <c r="F106">
        <v>3</v>
      </c>
      <c r="G106">
        <v>4</v>
      </c>
      <c r="H106">
        <v>4</v>
      </c>
      <c r="I106">
        <v>4</v>
      </c>
      <c r="J106">
        <v>3</v>
      </c>
      <c r="L106">
        <v>34.5</v>
      </c>
    </row>
    <row r="107" spans="1:12">
      <c r="A107" t="s">
        <v>1432</v>
      </c>
      <c r="B107" t="s">
        <v>109</v>
      </c>
      <c r="C107">
        <v>3</v>
      </c>
      <c r="D107">
        <v>4</v>
      </c>
      <c r="E107">
        <v>4</v>
      </c>
      <c r="F107">
        <v>4</v>
      </c>
      <c r="G107">
        <v>2</v>
      </c>
      <c r="H107">
        <v>5.5</v>
      </c>
      <c r="I107">
        <v>4</v>
      </c>
      <c r="J107">
        <v>4</v>
      </c>
      <c r="L107">
        <v>30.25</v>
      </c>
    </row>
    <row r="108" spans="1:12" hidden="1">
      <c r="A108" t="s">
        <v>1432</v>
      </c>
      <c r="B108" t="s">
        <v>2470</v>
      </c>
      <c r="C108">
        <v>4</v>
      </c>
      <c r="D108">
        <v>3</v>
      </c>
      <c r="E108">
        <v>4</v>
      </c>
      <c r="F108">
        <v>4</v>
      </c>
      <c r="G108" t="s">
        <v>356</v>
      </c>
      <c r="H108">
        <v>4</v>
      </c>
      <c r="I108">
        <v>4</v>
      </c>
      <c r="J108">
        <v>4</v>
      </c>
      <c r="L108">
        <v>28</v>
      </c>
    </row>
    <row r="109" spans="1:12" hidden="1">
      <c r="A109" t="s">
        <v>1432</v>
      </c>
      <c r="B109" t="s">
        <v>106</v>
      </c>
      <c r="C109">
        <v>4</v>
      </c>
      <c r="D109">
        <v>4</v>
      </c>
      <c r="E109">
        <v>3</v>
      </c>
      <c r="F109">
        <v>4</v>
      </c>
      <c r="G109" t="s">
        <v>356</v>
      </c>
      <c r="H109">
        <v>5.5</v>
      </c>
      <c r="I109">
        <v>4</v>
      </c>
      <c r="J109">
        <v>2</v>
      </c>
      <c r="L109">
        <v>26.75</v>
      </c>
    </row>
    <row r="110" spans="1:12">
      <c r="A110" t="s">
        <v>474</v>
      </c>
      <c r="B110" t="s">
        <v>109</v>
      </c>
      <c r="C110">
        <v>4</v>
      </c>
      <c r="D110">
        <v>5.5</v>
      </c>
      <c r="E110">
        <v>5.5</v>
      </c>
      <c r="F110">
        <v>3</v>
      </c>
      <c r="G110">
        <v>3</v>
      </c>
      <c r="H110">
        <v>8.5</v>
      </c>
      <c r="I110">
        <v>5.5</v>
      </c>
      <c r="J110">
        <v>5.5</v>
      </c>
      <c r="L110">
        <v>41.5</v>
      </c>
    </row>
    <row r="111" spans="1:12" hidden="1">
      <c r="A111" t="s">
        <v>474</v>
      </c>
      <c r="B111" t="s">
        <v>2470</v>
      </c>
      <c r="C111">
        <v>3</v>
      </c>
      <c r="D111">
        <v>4</v>
      </c>
      <c r="E111">
        <v>5.5</v>
      </c>
      <c r="F111">
        <v>7</v>
      </c>
      <c r="G111">
        <v>5.5</v>
      </c>
      <c r="H111">
        <v>5.5</v>
      </c>
      <c r="I111">
        <v>5.5</v>
      </c>
      <c r="J111">
        <v>5.5</v>
      </c>
      <c r="L111">
        <v>40</v>
      </c>
    </row>
    <row r="112" spans="1:12" hidden="1">
      <c r="A112" t="s">
        <v>474</v>
      </c>
      <c r="B112" t="s">
        <v>106</v>
      </c>
      <c r="C112">
        <v>4</v>
      </c>
      <c r="D112">
        <v>4</v>
      </c>
      <c r="E112">
        <v>4</v>
      </c>
      <c r="F112">
        <v>4</v>
      </c>
      <c r="G112" t="s">
        <v>356</v>
      </c>
      <c r="H112">
        <v>7</v>
      </c>
      <c r="I112">
        <v>7</v>
      </c>
      <c r="J112">
        <v>5.5</v>
      </c>
      <c r="L112">
        <v>38.5</v>
      </c>
    </row>
    <row r="113" spans="1:12">
      <c r="A113" t="s">
        <v>1440</v>
      </c>
      <c r="B113" t="s">
        <v>109</v>
      </c>
      <c r="C113">
        <v>4</v>
      </c>
      <c r="D113">
        <v>3</v>
      </c>
      <c r="E113">
        <v>5.5</v>
      </c>
      <c r="F113">
        <v>5.5</v>
      </c>
      <c r="G113">
        <v>4</v>
      </c>
      <c r="H113">
        <v>4</v>
      </c>
      <c r="I113">
        <v>4</v>
      </c>
      <c r="J113" t="s">
        <v>356</v>
      </c>
      <c r="L113">
        <v>29.05</v>
      </c>
    </row>
    <row r="114" spans="1:12" hidden="1">
      <c r="A114" t="s">
        <v>1440</v>
      </c>
      <c r="B114" t="s">
        <v>2470</v>
      </c>
      <c r="C114">
        <v>3</v>
      </c>
      <c r="D114">
        <v>3</v>
      </c>
      <c r="E114">
        <v>5.5</v>
      </c>
      <c r="F114">
        <v>4</v>
      </c>
      <c r="G114">
        <v>5.5</v>
      </c>
      <c r="H114">
        <v>4</v>
      </c>
      <c r="I114">
        <v>3</v>
      </c>
      <c r="J114" t="s">
        <v>356</v>
      </c>
      <c r="L114">
        <v>28</v>
      </c>
    </row>
    <row r="115" spans="1:12" hidden="1">
      <c r="A115" t="s">
        <v>1440</v>
      </c>
      <c r="B115" t="s">
        <v>106</v>
      </c>
      <c r="C115">
        <v>3</v>
      </c>
      <c r="D115">
        <v>3</v>
      </c>
      <c r="E115">
        <v>7</v>
      </c>
      <c r="F115">
        <v>4</v>
      </c>
      <c r="G115">
        <v>4</v>
      </c>
      <c r="H115">
        <v>4</v>
      </c>
      <c r="I115" t="s">
        <v>356</v>
      </c>
      <c r="J115" t="s">
        <v>356</v>
      </c>
      <c r="L115">
        <v>27.3</v>
      </c>
    </row>
    <row r="116" spans="1:12">
      <c r="A116" t="s">
        <v>1445</v>
      </c>
      <c r="B116" t="s">
        <v>109</v>
      </c>
      <c r="C116">
        <v>4</v>
      </c>
      <c r="D116">
        <v>4</v>
      </c>
      <c r="E116">
        <v>8.5</v>
      </c>
      <c r="F116">
        <v>4</v>
      </c>
      <c r="G116">
        <v>8.5</v>
      </c>
      <c r="H116">
        <v>8.5</v>
      </c>
      <c r="I116">
        <v>7</v>
      </c>
      <c r="J116" t="s">
        <v>356</v>
      </c>
      <c r="L116">
        <v>58</v>
      </c>
    </row>
    <row r="117" spans="1:12" hidden="1">
      <c r="A117" t="s">
        <v>1445</v>
      </c>
      <c r="B117" t="s">
        <v>2470</v>
      </c>
      <c r="C117">
        <v>3</v>
      </c>
      <c r="D117">
        <v>4</v>
      </c>
      <c r="E117">
        <v>8.5</v>
      </c>
      <c r="F117">
        <v>3</v>
      </c>
      <c r="G117">
        <v>7</v>
      </c>
      <c r="H117">
        <v>7</v>
      </c>
      <c r="I117">
        <v>5.5</v>
      </c>
      <c r="J117">
        <v>5.5</v>
      </c>
      <c r="L117">
        <v>54.125</v>
      </c>
    </row>
    <row r="118" spans="1:12" hidden="1">
      <c r="A118" t="s">
        <v>1445</v>
      </c>
      <c r="B118" t="s">
        <v>106</v>
      </c>
      <c r="C118">
        <v>3</v>
      </c>
      <c r="D118">
        <v>4</v>
      </c>
      <c r="E118">
        <v>8.5</v>
      </c>
      <c r="F118">
        <v>4</v>
      </c>
      <c r="G118">
        <v>7</v>
      </c>
      <c r="H118">
        <v>7</v>
      </c>
      <c r="I118">
        <v>5.5</v>
      </c>
      <c r="J118">
        <v>5.5</v>
      </c>
      <c r="L118">
        <v>51.375</v>
      </c>
    </row>
    <row r="119" spans="1:12">
      <c r="A119" t="s">
        <v>1449</v>
      </c>
      <c r="B119" t="s">
        <v>109</v>
      </c>
      <c r="C119">
        <v>5.5</v>
      </c>
      <c r="D119">
        <v>8.5</v>
      </c>
      <c r="E119">
        <v>8.5</v>
      </c>
      <c r="F119">
        <v>5.5</v>
      </c>
      <c r="G119">
        <v>5.5</v>
      </c>
      <c r="H119">
        <v>8.5</v>
      </c>
      <c r="I119">
        <v>8.5</v>
      </c>
      <c r="J119">
        <v>7</v>
      </c>
      <c r="L119">
        <v>44</v>
      </c>
    </row>
    <row r="120" spans="1:12" hidden="1">
      <c r="A120" t="s">
        <v>1449</v>
      </c>
      <c r="B120" t="s">
        <v>2470</v>
      </c>
      <c r="C120">
        <v>8.5</v>
      </c>
      <c r="D120">
        <v>7</v>
      </c>
      <c r="E120">
        <v>7</v>
      </c>
      <c r="F120">
        <v>5.5</v>
      </c>
      <c r="G120">
        <v>5.5</v>
      </c>
      <c r="H120">
        <v>8.5</v>
      </c>
      <c r="I120">
        <v>7</v>
      </c>
      <c r="J120">
        <v>7</v>
      </c>
      <c r="L120">
        <v>43</v>
      </c>
    </row>
    <row r="121" spans="1:12" hidden="1">
      <c r="A121" t="s">
        <v>1449</v>
      </c>
      <c r="B121" t="s">
        <v>106</v>
      </c>
      <c r="C121">
        <v>8.5</v>
      </c>
      <c r="D121">
        <v>8.5</v>
      </c>
      <c r="E121">
        <v>5.5</v>
      </c>
      <c r="F121">
        <v>5.5</v>
      </c>
      <c r="G121">
        <v>5.5</v>
      </c>
      <c r="H121">
        <v>7</v>
      </c>
      <c r="I121">
        <v>7</v>
      </c>
      <c r="J121">
        <v>5.5</v>
      </c>
      <c r="L121">
        <v>41</v>
      </c>
    </row>
    <row r="122" spans="1:12">
      <c r="A122" t="s">
        <v>487</v>
      </c>
      <c r="B122" t="s">
        <v>109</v>
      </c>
      <c r="C122">
        <v>8.5</v>
      </c>
      <c r="D122">
        <v>7</v>
      </c>
      <c r="E122">
        <v>7</v>
      </c>
      <c r="F122">
        <v>8.5</v>
      </c>
      <c r="G122">
        <v>8.5</v>
      </c>
      <c r="H122">
        <v>8.5</v>
      </c>
      <c r="I122">
        <v>8.5</v>
      </c>
      <c r="J122">
        <v>8.5</v>
      </c>
      <c r="L122">
        <v>47.5</v>
      </c>
    </row>
    <row r="123" spans="1:12" hidden="1">
      <c r="A123" t="s">
        <v>487</v>
      </c>
      <c r="B123" t="s">
        <v>2470</v>
      </c>
      <c r="C123">
        <v>7</v>
      </c>
      <c r="D123">
        <v>8.5</v>
      </c>
      <c r="E123">
        <v>8.5</v>
      </c>
      <c r="F123">
        <v>8.5</v>
      </c>
      <c r="G123">
        <v>7</v>
      </c>
      <c r="H123">
        <v>8.5</v>
      </c>
      <c r="I123">
        <v>8.5</v>
      </c>
      <c r="J123">
        <v>7</v>
      </c>
      <c r="L123">
        <v>47</v>
      </c>
    </row>
    <row r="124" spans="1:12" hidden="1">
      <c r="A124" t="s">
        <v>487</v>
      </c>
      <c r="B124" t="s">
        <v>106</v>
      </c>
      <c r="C124">
        <v>8.5</v>
      </c>
      <c r="D124">
        <v>8.5</v>
      </c>
      <c r="E124">
        <v>7</v>
      </c>
      <c r="F124">
        <v>7</v>
      </c>
      <c r="G124" t="s">
        <v>356</v>
      </c>
      <c r="H124">
        <v>8.5</v>
      </c>
      <c r="I124">
        <v>8.5</v>
      </c>
      <c r="J124">
        <v>7</v>
      </c>
      <c r="L124">
        <v>46</v>
      </c>
    </row>
    <row r="125" spans="1:12">
      <c r="A125" t="s">
        <v>1458</v>
      </c>
      <c r="B125" t="s">
        <v>109</v>
      </c>
      <c r="C125">
        <v>5.5</v>
      </c>
      <c r="D125">
        <v>4</v>
      </c>
      <c r="E125">
        <v>5.5</v>
      </c>
      <c r="F125">
        <v>5.5</v>
      </c>
      <c r="G125" t="s">
        <v>356</v>
      </c>
      <c r="H125">
        <v>7</v>
      </c>
      <c r="I125">
        <v>5.5</v>
      </c>
      <c r="J125">
        <v>4</v>
      </c>
      <c r="L125">
        <v>34.1</v>
      </c>
    </row>
    <row r="126" spans="1:12" hidden="1">
      <c r="A126" t="s">
        <v>1458</v>
      </c>
      <c r="B126" t="s">
        <v>2470</v>
      </c>
      <c r="C126">
        <v>4</v>
      </c>
      <c r="D126">
        <v>4</v>
      </c>
      <c r="E126">
        <v>4</v>
      </c>
      <c r="F126">
        <v>5.5</v>
      </c>
      <c r="G126" t="s">
        <v>356</v>
      </c>
      <c r="H126">
        <v>7</v>
      </c>
      <c r="I126">
        <v>7</v>
      </c>
      <c r="J126" t="s">
        <v>356</v>
      </c>
      <c r="L126">
        <v>32.9</v>
      </c>
    </row>
    <row r="127" spans="1:12" hidden="1">
      <c r="A127" t="s">
        <v>1458</v>
      </c>
      <c r="B127" t="s">
        <v>106</v>
      </c>
      <c r="C127">
        <v>5.5</v>
      </c>
      <c r="D127">
        <v>4</v>
      </c>
      <c r="E127">
        <v>5.5</v>
      </c>
      <c r="F127">
        <v>4</v>
      </c>
      <c r="G127" t="s">
        <v>356</v>
      </c>
      <c r="H127">
        <v>5.5</v>
      </c>
      <c r="I127">
        <v>5.5</v>
      </c>
      <c r="J127">
        <v>4</v>
      </c>
      <c r="L127">
        <v>31.1</v>
      </c>
    </row>
    <row r="128" spans="1:12">
      <c r="A128" t="s">
        <v>1461</v>
      </c>
      <c r="B128" t="s">
        <v>109</v>
      </c>
      <c r="C128">
        <v>7</v>
      </c>
      <c r="D128">
        <v>4</v>
      </c>
      <c r="E128">
        <v>7</v>
      </c>
      <c r="F128">
        <v>5.5</v>
      </c>
      <c r="G128">
        <v>4</v>
      </c>
      <c r="H128">
        <v>7</v>
      </c>
      <c r="I128">
        <v>5.5</v>
      </c>
      <c r="J128" t="s">
        <v>356</v>
      </c>
      <c r="L128">
        <v>36</v>
      </c>
    </row>
    <row r="129" spans="1:12" hidden="1">
      <c r="A129" t="s">
        <v>1461</v>
      </c>
      <c r="B129" t="s">
        <v>2470</v>
      </c>
      <c r="C129">
        <v>5.5</v>
      </c>
      <c r="D129">
        <v>5.5</v>
      </c>
      <c r="E129">
        <v>7</v>
      </c>
      <c r="F129">
        <v>4</v>
      </c>
      <c r="G129">
        <v>3</v>
      </c>
      <c r="H129">
        <v>7</v>
      </c>
      <c r="I129">
        <v>5.5</v>
      </c>
      <c r="J129">
        <v>4</v>
      </c>
      <c r="L129">
        <v>34.5</v>
      </c>
    </row>
    <row r="130" spans="1:12" hidden="1">
      <c r="A130" t="s">
        <v>1461</v>
      </c>
      <c r="B130" t="s">
        <v>106</v>
      </c>
      <c r="C130">
        <v>7</v>
      </c>
      <c r="D130">
        <v>5.5</v>
      </c>
      <c r="E130">
        <v>4</v>
      </c>
      <c r="F130">
        <v>4</v>
      </c>
      <c r="G130" t="s">
        <v>356</v>
      </c>
      <c r="H130">
        <v>7</v>
      </c>
      <c r="I130">
        <v>5.5</v>
      </c>
      <c r="J130">
        <v>5.5</v>
      </c>
      <c r="L130">
        <v>33</v>
      </c>
    </row>
    <row r="131" spans="1:12">
      <c r="A131" t="s">
        <v>1464</v>
      </c>
      <c r="B131" t="s">
        <v>109</v>
      </c>
      <c r="C131">
        <v>5.5</v>
      </c>
      <c r="D131">
        <v>4</v>
      </c>
      <c r="E131">
        <v>4</v>
      </c>
      <c r="F131">
        <v>5.5</v>
      </c>
      <c r="G131" t="s">
        <v>356</v>
      </c>
      <c r="H131">
        <v>5.5</v>
      </c>
      <c r="I131">
        <v>4</v>
      </c>
      <c r="J131">
        <v>4</v>
      </c>
      <c r="L131">
        <v>24.5</v>
      </c>
    </row>
    <row r="132" spans="1:12" hidden="1">
      <c r="A132" t="s">
        <v>1464</v>
      </c>
      <c r="B132" t="s">
        <v>2470</v>
      </c>
      <c r="C132">
        <v>5.5</v>
      </c>
      <c r="D132">
        <v>4</v>
      </c>
      <c r="E132">
        <v>5.5</v>
      </c>
      <c r="F132">
        <v>5.5</v>
      </c>
      <c r="G132" t="s">
        <v>356</v>
      </c>
      <c r="H132">
        <v>4</v>
      </c>
      <c r="I132">
        <v>4</v>
      </c>
      <c r="J132" t="s">
        <v>356</v>
      </c>
      <c r="L132">
        <v>24.5</v>
      </c>
    </row>
    <row r="133" spans="1:12" hidden="1">
      <c r="A133" t="s">
        <v>1464</v>
      </c>
      <c r="B133" t="s">
        <v>106</v>
      </c>
      <c r="C133">
        <v>5.5</v>
      </c>
      <c r="D133">
        <v>3</v>
      </c>
      <c r="E133">
        <v>4</v>
      </c>
      <c r="F133">
        <v>4</v>
      </c>
      <c r="G133" t="s">
        <v>356</v>
      </c>
      <c r="H133">
        <v>7</v>
      </c>
      <c r="I133">
        <v>3</v>
      </c>
      <c r="J133">
        <v>3</v>
      </c>
      <c r="L133">
        <v>23.5</v>
      </c>
    </row>
    <row r="134" spans="1:12">
      <c r="A134" t="s">
        <v>1467</v>
      </c>
      <c r="B134" t="s">
        <v>109</v>
      </c>
      <c r="C134">
        <v>4</v>
      </c>
      <c r="D134">
        <v>5.5</v>
      </c>
      <c r="E134">
        <v>7</v>
      </c>
      <c r="F134">
        <v>4</v>
      </c>
      <c r="G134" t="s">
        <v>356</v>
      </c>
      <c r="H134">
        <v>7</v>
      </c>
      <c r="I134">
        <v>7</v>
      </c>
      <c r="J134" t="s">
        <v>356</v>
      </c>
      <c r="L134">
        <v>34.5</v>
      </c>
    </row>
    <row r="135" spans="1:12" hidden="1">
      <c r="A135" t="s">
        <v>1467</v>
      </c>
      <c r="B135" t="s">
        <v>2470</v>
      </c>
      <c r="C135">
        <v>7</v>
      </c>
      <c r="D135">
        <v>3</v>
      </c>
      <c r="E135">
        <v>7</v>
      </c>
      <c r="F135">
        <v>4</v>
      </c>
      <c r="G135">
        <v>5.5</v>
      </c>
      <c r="H135">
        <v>5.5</v>
      </c>
      <c r="I135">
        <v>4</v>
      </c>
      <c r="J135" t="s">
        <v>356</v>
      </c>
      <c r="L135">
        <v>32</v>
      </c>
    </row>
    <row r="136" spans="1:12" hidden="1">
      <c r="A136" t="s">
        <v>1467</v>
      </c>
      <c r="B136" t="s">
        <v>106</v>
      </c>
      <c r="C136">
        <v>7</v>
      </c>
      <c r="D136">
        <v>4</v>
      </c>
      <c r="E136">
        <v>5.5</v>
      </c>
      <c r="F136">
        <v>4</v>
      </c>
      <c r="G136">
        <v>5.5</v>
      </c>
      <c r="H136">
        <v>5.5</v>
      </c>
      <c r="I136" t="s">
        <v>356</v>
      </c>
      <c r="J136" t="s">
        <v>356</v>
      </c>
      <c r="L136">
        <v>31.5</v>
      </c>
    </row>
    <row r="137" spans="1:12">
      <c r="A137" t="s">
        <v>1470</v>
      </c>
      <c r="B137" t="s">
        <v>109</v>
      </c>
      <c r="C137">
        <v>4</v>
      </c>
      <c r="D137">
        <v>5.5</v>
      </c>
      <c r="E137">
        <v>5.5</v>
      </c>
      <c r="F137">
        <v>7</v>
      </c>
      <c r="G137" t="s">
        <v>356</v>
      </c>
      <c r="H137">
        <v>7</v>
      </c>
      <c r="I137">
        <v>7</v>
      </c>
      <c r="J137">
        <v>5.5</v>
      </c>
      <c r="L137">
        <v>36</v>
      </c>
    </row>
    <row r="138" spans="1:12" hidden="1">
      <c r="A138" t="s">
        <v>1470</v>
      </c>
      <c r="B138" t="s">
        <v>2470</v>
      </c>
      <c r="C138">
        <v>3</v>
      </c>
      <c r="D138">
        <v>5.5</v>
      </c>
      <c r="E138">
        <v>8.5</v>
      </c>
      <c r="F138">
        <v>4</v>
      </c>
      <c r="G138">
        <v>7</v>
      </c>
      <c r="H138">
        <v>7</v>
      </c>
      <c r="I138">
        <v>4</v>
      </c>
      <c r="J138" t="s">
        <v>356</v>
      </c>
      <c r="L138">
        <v>35</v>
      </c>
    </row>
    <row r="139" spans="1:12" hidden="1">
      <c r="A139" t="s">
        <v>1470</v>
      </c>
      <c r="B139" t="s">
        <v>106</v>
      </c>
      <c r="C139">
        <v>4</v>
      </c>
      <c r="D139">
        <v>5.5</v>
      </c>
      <c r="E139">
        <v>5.5</v>
      </c>
      <c r="F139">
        <v>5.5</v>
      </c>
      <c r="G139">
        <v>7</v>
      </c>
      <c r="H139">
        <v>7</v>
      </c>
      <c r="I139">
        <v>5.5</v>
      </c>
      <c r="J139">
        <v>5.5</v>
      </c>
      <c r="L139">
        <v>34.5</v>
      </c>
    </row>
    <row r="140" spans="1:12">
      <c r="A140" t="s">
        <v>1473</v>
      </c>
      <c r="B140" t="s">
        <v>109</v>
      </c>
      <c r="C140">
        <v>4</v>
      </c>
      <c r="D140">
        <v>5.5</v>
      </c>
      <c r="E140">
        <v>7</v>
      </c>
      <c r="F140">
        <v>3</v>
      </c>
      <c r="G140">
        <v>5.5</v>
      </c>
      <c r="H140">
        <v>4</v>
      </c>
      <c r="I140" t="s">
        <v>356</v>
      </c>
      <c r="J140" t="s">
        <v>356</v>
      </c>
      <c r="L140">
        <v>39</v>
      </c>
    </row>
    <row r="141" spans="1:12" hidden="1">
      <c r="A141" t="s">
        <v>1473</v>
      </c>
      <c r="B141" t="s">
        <v>2470</v>
      </c>
      <c r="C141">
        <v>4</v>
      </c>
      <c r="D141">
        <v>4</v>
      </c>
      <c r="E141">
        <v>5.5</v>
      </c>
      <c r="F141">
        <v>3</v>
      </c>
      <c r="G141" t="s">
        <v>356</v>
      </c>
      <c r="H141">
        <v>5.5</v>
      </c>
      <c r="I141">
        <v>4</v>
      </c>
      <c r="J141">
        <v>4</v>
      </c>
      <c r="L141">
        <v>35.25</v>
      </c>
    </row>
    <row r="142" spans="1:12" hidden="1">
      <c r="A142" t="s">
        <v>1473</v>
      </c>
      <c r="B142" t="s">
        <v>106</v>
      </c>
      <c r="C142">
        <v>5.5</v>
      </c>
      <c r="D142">
        <v>3</v>
      </c>
      <c r="E142">
        <v>4</v>
      </c>
      <c r="F142">
        <v>4</v>
      </c>
      <c r="G142">
        <v>2</v>
      </c>
      <c r="H142">
        <v>5.5</v>
      </c>
      <c r="I142">
        <v>4</v>
      </c>
      <c r="J142">
        <v>4</v>
      </c>
      <c r="L142">
        <v>33</v>
      </c>
    </row>
    <row r="143" spans="1:12">
      <c r="A143" t="s">
        <v>2249</v>
      </c>
      <c r="B143" t="s">
        <v>109</v>
      </c>
      <c r="C143">
        <v>5.5</v>
      </c>
      <c r="D143">
        <v>3</v>
      </c>
      <c r="E143">
        <v>7</v>
      </c>
      <c r="F143">
        <v>4</v>
      </c>
      <c r="G143">
        <v>4</v>
      </c>
      <c r="H143">
        <v>7</v>
      </c>
      <c r="I143">
        <v>7</v>
      </c>
      <c r="J143" t="s">
        <v>356</v>
      </c>
      <c r="L143">
        <v>56</v>
      </c>
    </row>
    <row r="144" spans="1:12" hidden="1">
      <c r="A144" t="s">
        <v>2249</v>
      </c>
      <c r="B144" t="s">
        <v>2470</v>
      </c>
      <c r="C144">
        <v>3</v>
      </c>
      <c r="D144">
        <v>4</v>
      </c>
      <c r="E144">
        <v>4</v>
      </c>
      <c r="F144">
        <v>2</v>
      </c>
      <c r="G144" t="s">
        <v>356</v>
      </c>
      <c r="H144">
        <v>5.5</v>
      </c>
      <c r="I144">
        <v>5.5</v>
      </c>
      <c r="J144">
        <v>5.5</v>
      </c>
      <c r="L144">
        <v>49</v>
      </c>
    </row>
    <row r="145" spans="1:12" hidden="1">
      <c r="A145" t="s">
        <v>2249</v>
      </c>
      <c r="B145" t="s">
        <v>106</v>
      </c>
      <c r="C145">
        <v>7</v>
      </c>
      <c r="D145">
        <v>4</v>
      </c>
      <c r="E145">
        <v>4</v>
      </c>
      <c r="F145">
        <v>4</v>
      </c>
      <c r="G145" t="s">
        <v>356</v>
      </c>
      <c r="H145">
        <v>7</v>
      </c>
      <c r="I145">
        <v>5.5</v>
      </c>
      <c r="J145">
        <v>5.5</v>
      </c>
      <c r="K145" t="s">
        <v>2986</v>
      </c>
      <c r="L145">
        <v>45</v>
      </c>
    </row>
    <row r="146" spans="1:12">
      <c r="A146" t="s">
        <v>1483</v>
      </c>
      <c r="B146" t="s">
        <v>109</v>
      </c>
      <c r="C146">
        <v>4</v>
      </c>
      <c r="D146">
        <v>4</v>
      </c>
      <c r="E146">
        <v>8.5</v>
      </c>
      <c r="F146">
        <v>3</v>
      </c>
      <c r="G146">
        <v>8.5</v>
      </c>
      <c r="H146">
        <v>7</v>
      </c>
      <c r="I146">
        <v>5.5</v>
      </c>
      <c r="J146">
        <v>5.5</v>
      </c>
      <c r="L146">
        <v>56.25</v>
      </c>
    </row>
    <row r="147" spans="1:12" hidden="1">
      <c r="A147" t="s">
        <v>1483</v>
      </c>
      <c r="B147" t="s">
        <v>2470</v>
      </c>
      <c r="C147">
        <v>4</v>
      </c>
      <c r="D147">
        <v>4</v>
      </c>
      <c r="E147">
        <v>8.5</v>
      </c>
      <c r="F147">
        <v>4</v>
      </c>
      <c r="G147">
        <v>7</v>
      </c>
      <c r="H147">
        <v>7</v>
      </c>
      <c r="I147">
        <v>7</v>
      </c>
      <c r="J147">
        <v>5.5</v>
      </c>
      <c r="L147">
        <v>52.5</v>
      </c>
    </row>
    <row r="148" spans="1:12" hidden="1">
      <c r="A148" t="s">
        <v>1483</v>
      </c>
      <c r="B148" t="s">
        <v>106</v>
      </c>
      <c r="C148">
        <v>3</v>
      </c>
      <c r="D148">
        <v>4</v>
      </c>
      <c r="E148">
        <v>7</v>
      </c>
      <c r="F148">
        <v>3</v>
      </c>
      <c r="G148">
        <v>7</v>
      </c>
      <c r="H148">
        <v>7</v>
      </c>
      <c r="I148">
        <v>5.5</v>
      </c>
      <c r="J148">
        <v>3</v>
      </c>
      <c r="L148">
        <v>48</v>
      </c>
    </row>
    <row r="149" spans="1:12">
      <c r="A149" t="s">
        <v>1488</v>
      </c>
      <c r="B149" t="s">
        <v>109</v>
      </c>
      <c r="C149">
        <v>4</v>
      </c>
      <c r="D149">
        <v>5.5</v>
      </c>
      <c r="E149">
        <v>7</v>
      </c>
      <c r="F149">
        <v>4</v>
      </c>
      <c r="G149" t="s">
        <v>356</v>
      </c>
      <c r="H149">
        <v>8.5</v>
      </c>
      <c r="I149">
        <v>8.5</v>
      </c>
      <c r="J149">
        <v>7</v>
      </c>
      <c r="L149">
        <v>48.5</v>
      </c>
    </row>
    <row r="150" spans="1:12" hidden="1">
      <c r="A150" t="s">
        <v>1488</v>
      </c>
      <c r="B150" t="s">
        <v>2470</v>
      </c>
      <c r="C150">
        <v>4</v>
      </c>
      <c r="D150">
        <v>4</v>
      </c>
      <c r="E150">
        <v>7</v>
      </c>
      <c r="F150">
        <v>4</v>
      </c>
      <c r="G150">
        <v>5.5</v>
      </c>
      <c r="H150">
        <v>8.5</v>
      </c>
      <c r="I150">
        <v>5.5</v>
      </c>
      <c r="J150" t="s">
        <v>356</v>
      </c>
      <c r="L150">
        <v>45.25</v>
      </c>
    </row>
    <row r="151" spans="1:12" hidden="1">
      <c r="A151" t="s">
        <v>1488</v>
      </c>
      <c r="B151" t="s">
        <v>106</v>
      </c>
      <c r="C151">
        <v>4</v>
      </c>
      <c r="D151">
        <v>4</v>
      </c>
      <c r="E151">
        <v>5.5</v>
      </c>
      <c r="F151">
        <v>2</v>
      </c>
      <c r="G151">
        <v>5.5</v>
      </c>
      <c r="H151">
        <v>8.5</v>
      </c>
      <c r="I151">
        <v>5.5</v>
      </c>
      <c r="J151" t="s">
        <v>356</v>
      </c>
      <c r="L151">
        <v>43</v>
      </c>
    </row>
    <row r="152" spans="1:12">
      <c r="A152" t="s">
        <v>1494</v>
      </c>
      <c r="B152" t="s">
        <v>109</v>
      </c>
      <c r="C152">
        <v>4</v>
      </c>
      <c r="D152">
        <v>4</v>
      </c>
      <c r="E152">
        <v>5.5</v>
      </c>
      <c r="F152">
        <v>4</v>
      </c>
      <c r="G152">
        <v>8.5</v>
      </c>
      <c r="H152">
        <v>7</v>
      </c>
      <c r="I152">
        <v>5.5</v>
      </c>
      <c r="J152" t="s">
        <v>356</v>
      </c>
      <c r="L152">
        <v>44.5</v>
      </c>
    </row>
    <row r="153" spans="1:12" hidden="1">
      <c r="A153" t="s">
        <v>1494</v>
      </c>
      <c r="B153" t="s">
        <v>2470</v>
      </c>
      <c r="C153">
        <v>4</v>
      </c>
      <c r="D153">
        <v>3</v>
      </c>
      <c r="E153">
        <v>5.5</v>
      </c>
      <c r="F153">
        <v>3</v>
      </c>
      <c r="G153">
        <v>7</v>
      </c>
      <c r="H153">
        <v>7</v>
      </c>
      <c r="I153">
        <v>5.5</v>
      </c>
      <c r="J153" t="s">
        <v>356</v>
      </c>
      <c r="L153">
        <v>41.5</v>
      </c>
    </row>
    <row r="154" spans="1:12" hidden="1">
      <c r="A154" t="s">
        <v>1494</v>
      </c>
      <c r="B154" t="s">
        <v>106</v>
      </c>
      <c r="C154">
        <v>3</v>
      </c>
      <c r="D154">
        <v>3</v>
      </c>
      <c r="E154">
        <v>7</v>
      </c>
      <c r="F154">
        <v>3</v>
      </c>
      <c r="G154">
        <v>5.5</v>
      </c>
      <c r="H154">
        <v>5.5</v>
      </c>
      <c r="I154">
        <v>5.5</v>
      </c>
      <c r="J154" t="s">
        <v>356</v>
      </c>
      <c r="L154">
        <v>39</v>
      </c>
    </row>
    <row r="155" spans="1:12">
      <c r="A155" t="s">
        <v>1498</v>
      </c>
      <c r="B155" t="s">
        <v>109</v>
      </c>
      <c r="C155">
        <v>4</v>
      </c>
      <c r="D155">
        <v>7</v>
      </c>
      <c r="E155">
        <v>5.5</v>
      </c>
      <c r="F155">
        <v>3</v>
      </c>
      <c r="G155" t="s">
        <v>356</v>
      </c>
      <c r="H155">
        <v>7</v>
      </c>
      <c r="I155">
        <v>7</v>
      </c>
      <c r="J155" t="s">
        <v>356</v>
      </c>
      <c r="L155">
        <v>30.5</v>
      </c>
    </row>
    <row r="156" spans="1:12" hidden="1">
      <c r="A156" t="s">
        <v>1498</v>
      </c>
      <c r="B156" t="s">
        <v>2470</v>
      </c>
      <c r="C156">
        <v>5.5</v>
      </c>
      <c r="D156">
        <v>4</v>
      </c>
      <c r="E156">
        <v>5.5</v>
      </c>
      <c r="F156">
        <v>4</v>
      </c>
      <c r="G156" t="s">
        <v>356</v>
      </c>
      <c r="H156">
        <v>7</v>
      </c>
      <c r="I156">
        <v>5.5</v>
      </c>
      <c r="J156">
        <v>5.5</v>
      </c>
      <c r="L156">
        <v>29</v>
      </c>
    </row>
    <row r="157" spans="1:12" hidden="1">
      <c r="A157" t="s">
        <v>1498</v>
      </c>
      <c r="B157" t="s">
        <v>106</v>
      </c>
      <c r="C157">
        <v>4</v>
      </c>
      <c r="D157">
        <v>4</v>
      </c>
      <c r="E157">
        <v>4</v>
      </c>
      <c r="F157">
        <v>5.5</v>
      </c>
      <c r="G157" t="s">
        <v>356</v>
      </c>
      <c r="H157">
        <v>8.5</v>
      </c>
      <c r="I157">
        <v>7</v>
      </c>
      <c r="J157" t="s">
        <v>356</v>
      </c>
      <c r="L157">
        <v>29</v>
      </c>
    </row>
    <row r="158" spans="1:12">
      <c r="A158" t="s">
        <v>2473</v>
      </c>
      <c r="B158" t="s">
        <v>109</v>
      </c>
      <c r="C158">
        <v>3</v>
      </c>
      <c r="D158">
        <v>4</v>
      </c>
      <c r="E158">
        <v>7</v>
      </c>
      <c r="F158">
        <v>4</v>
      </c>
      <c r="G158">
        <v>5.5</v>
      </c>
      <c r="H158">
        <v>5.5</v>
      </c>
      <c r="I158">
        <v>5.5</v>
      </c>
      <c r="J158" t="s">
        <v>356</v>
      </c>
      <c r="L158">
        <v>31</v>
      </c>
    </row>
    <row r="159" spans="1:12" hidden="1">
      <c r="A159" t="s">
        <v>2473</v>
      </c>
      <c r="B159" t="s">
        <v>2470</v>
      </c>
      <c r="C159">
        <v>4</v>
      </c>
      <c r="D159">
        <v>4</v>
      </c>
      <c r="E159">
        <v>7</v>
      </c>
      <c r="F159">
        <v>5.5</v>
      </c>
      <c r="G159">
        <v>5.5</v>
      </c>
      <c r="H159">
        <v>4</v>
      </c>
      <c r="I159">
        <v>4</v>
      </c>
      <c r="J159" t="s">
        <v>356</v>
      </c>
      <c r="L159">
        <v>29.5</v>
      </c>
    </row>
    <row r="160" spans="1:12" hidden="1">
      <c r="A160" t="s">
        <v>2473</v>
      </c>
      <c r="B160" t="s">
        <v>106</v>
      </c>
      <c r="C160">
        <v>5.5</v>
      </c>
      <c r="D160">
        <v>5.5</v>
      </c>
      <c r="E160">
        <v>4</v>
      </c>
      <c r="F160">
        <v>4</v>
      </c>
      <c r="G160">
        <v>4</v>
      </c>
      <c r="H160">
        <v>4</v>
      </c>
      <c r="I160">
        <v>4</v>
      </c>
      <c r="J160">
        <v>4</v>
      </c>
      <c r="L160">
        <v>25</v>
      </c>
    </row>
    <row r="161" spans="1:12">
      <c r="A161" t="s">
        <v>1511</v>
      </c>
      <c r="B161" t="s">
        <v>109</v>
      </c>
      <c r="C161">
        <v>5.5</v>
      </c>
      <c r="D161">
        <v>4</v>
      </c>
      <c r="E161">
        <v>4</v>
      </c>
      <c r="F161">
        <v>4</v>
      </c>
      <c r="G161" t="s">
        <v>356</v>
      </c>
      <c r="H161">
        <v>7</v>
      </c>
      <c r="I161">
        <v>5.5</v>
      </c>
      <c r="J161">
        <v>4</v>
      </c>
      <c r="L161">
        <v>27.2</v>
      </c>
    </row>
    <row r="162" spans="1:12" hidden="1">
      <c r="A162" t="s">
        <v>1511</v>
      </c>
      <c r="B162" t="s">
        <v>2470</v>
      </c>
      <c r="C162">
        <v>4</v>
      </c>
      <c r="D162">
        <v>5.5</v>
      </c>
      <c r="E162">
        <v>5.5</v>
      </c>
      <c r="F162">
        <v>4</v>
      </c>
      <c r="G162" t="s">
        <v>356</v>
      </c>
      <c r="H162">
        <v>5.5</v>
      </c>
      <c r="I162">
        <v>4</v>
      </c>
      <c r="J162" t="s">
        <v>356</v>
      </c>
      <c r="L162">
        <v>26.15</v>
      </c>
    </row>
    <row r="163" spans="1:12" hidden="1">
      <c r="A163" t="s">
        <v>1511</v>
      </c>
      <c r="B163" t="s">
        <v>106</v>
      </c>
      <c r="C163">
        <v>4</v>
      </c>
      <c r="D163">
        <v>4</v>
      </c>
      <c r="E163">
        <v>4</v>
      </c>
      <c r="F163">
        <v>4</v>
      </c>
      <c r="G163" t="s">
        <v>356</v>
      </c>
      <c r="H163">
        <v>7</v>
      </c>
      <c r="I163">
        <v>5.5</v>
      </c>
      <c r="J163" t="s">
        <v>356</v>
      </c>
      <c r="L163">
        <v>25.7</v>
      </c>
    </row>
    <row r="164" spans="1:12">
      <c r="A164" t="s">
        <v>1515</v>
      </c>
      <c r="B164" t="s">
        <v>109</v>
      </c>
      <c r="C164">
        <v>8.5</v>
      </c>
      <c r="D164">
        <v>4</v>
      </c>
      <c r="E164">
        <v>5.5</v>
      </c>
      <c r="F164">
        <v>5.5</v>
      </c>
      <c r="G164" t="s">
        <v>356</v>
      </c>
      <c r="H164">
        <v>5.5</v>
      </c>
      <c r="I164">
        <v>5.5</v>
      </c>
      <c r="J164" t="s">
        <v>356</v>
      </c>
      <c r="L164">
        <v>31</v>
      </c>
    </row>
    <row r="165" spans="1:12" hidden="1">
      <c r="A165" t="s">
        <v>1515</v>
      </c>
      <c r="B165" t="s">
        <v>2470</v>
      </c>
      <c r="C165">
        <v>4</v>
      </c>
      <c r="D165">
        <v>4</v>
      </c>
      <c r="E165">
        <v>7</v>
      </c>
      <c r="F165">
        <v>4</v>
      </c>
      <c r="G165">
        <v>4</v>
      </c>
      <c r="H165">
        <v>7</v>
      </c>
      <c r="I165">
        <v>4</v>
      </c>
      <c r="J165">
        <v>4</v>
      </c>
      <c r="L165">
        <v>28</v>
      </c>
    </row>
    <row r="166" spans="1:12" hidden="1">
      <c r="A166" t="s">
        <v>1515</v>
      </c>
      <c r="B166" t="s">
        <v>106</v>
      </c>
      <c r="C166">
        <v>4</v>
      </c>
      <c r="D166">
        <v>5.5</v>
      </c>
      <c r="E166">
        <v>5.5</v>
      </c>
      <c r="F166">
        <v>4</v>
      </c>
      <c r="G166" t="s">
        <v>356</v>
      </c>
      <c r="H166">
        <v>5.5</v>
      </c>
      <c r="I166">
        <v>4</v>
      </c>
      <c r="J166">
        <v>4</v>
      </c>
      <c r="L166">
        <v>27.25</v>
      </c>
    </row>
    <row r="167" spans="1:12">
      <c r="A167" t="s">
        <v>1520</v>
      </c>
      <c r="B167" t="s">
        <v>109</v>
      </c>
      <c r="C167">
        <v>3</v>
      </c>
      <c r="D167">
        <v>5.5</v>
      </c>
      <c r="E167">
        <v>5.5</v>
      </c>
      <c r="F167">
        <v>3</v>
      </c>
      <c r="G167">
        <v>4</v>
      </c>
      <c r="H167">
        <v>5.5</v>
      </c>
      <c r="I167">
        <v>5.5</v>
      </c>
      <c r="J167" t="s">
        <v>356</v>
      </c>
      <c r="L167">
        <v>31.5</v>
      </c>
    </row>
    <row r="168" spans="1:12" hidden="1">
      <c r="A168" t="s">
        <v>1520</v>
      </c>
      <c r="B168" t="s">
        <v>2470</v>
      </c>
      <c r="C168">
        <v>3</v>
      </c>
      <c r="D168">
        <v>4</v>
      </c>
      <c r="E168">
        <v>5.5</v>
      </c>
      <c r="F168">
        <v>4</v>
      </c>
      <c r="G168" t="s">
        <v>356</v>
      </c>
      <c r="H168">
        <v>5.5</v>
      </c>
      <c r="I168">
        <v>5.5</v>
      </c>
      <c r="J168" t="s">
        <v>356</v>
      </c>
      <c r="L168">
        <v>30</v>
      </c>
    </row>
    <row r="169" spans="1:12" hidden="1">
      <c r="A169" t="s">
        <v>1520</v>
      </c>
      <c r="B169" t="s">
        <v>106</v>
      </c>
      <c r="C169">
        <v>3</v>
      </c>
      <c r="D169">
        <v>3</v>
      </c>
      <c r="E169">
        <v>5.5</v>
      </c>
      <c r="F169">
        <v>3</v>
      </c>
      <c r="G169">
        <v>5.5</v>
      </c>
      <c r="H169">
        <v>4</v>
      </c>
      <c r="I169">
        <v>4</v>
      </c>
      <c r="J169">
        <v>4</v>
      </c>
      <c r="L169">
        <v>28.5</v>
      </c>
    </row>
    <row r="170" spans="1:12">
      <c r="A170" t="s">
        <v>1523</v>
      </c>
      <c r="B170" t="s">
        <v>109</v>
      </c>
      <c r="C170">
        <v>5.5</v>
      </c>
      <c r="D170">
        <v>5.5</v>
      </c>
      <c r="E170">
        <v>4</v>
      </c>
      <c r="F170">
        <v>4</v>
      </c>
      <c r="G170" t="s">
        <v>356</v>
      </c>
      <c r="H170">
        <v>5.5</v>
      </c>
      <c r="I170">
        <v>5.5</v>
      </c>
      <c r="J170" t="s">
        <v>356</v>
      </c>
      <c r="L170">
        <v>31.5</v>
      </c>
    </row>
    <row r="171" spans="1:12" hidden="1">
      <c r="A171" t="s">
        <v>1523</v>
      </c>
      <c r="B171" t="s">
        <v>2470</v>
      </c>
      <c r="C171">
        <v>4</v>
      </c>
      <c r="D171">
        <v>4</v>
      </c>
      <c r="E171">
        <v>5.5</v>
      </c>
      <c r="F171">
        <v>4</v>
      </c>
      <c r="G171" t="s">
        <v>356</v>
      </c>
      <c r="H171">
        <v>7</v>
      </c>
      <c r="I171">
        <v>3</v>
      </c>
      <c r="J171" t="s">
        <v>356</v>
      </c>
      <c r="L171">
        <v>30</v>
      </c>
    </row>
    <row r="172" spans="1:12" hidden="1">
      <c r="A172" t="s">
        <v>1523</v>
      </c>
      <c r="B172" t="s">
        <v>106</v>
      </c>
      <c r="C172">
        <v>4</v>
      </c>
      <c r="D172">
        <v>4</v>
      </c>
      <c r="E172">
        <v>4</v>
      </c>
      <c r="F172">
        <v>4</v>
      </c>
      <c r="G172" t="s">
        <v>356</v>
      </c>
      <c r="H172">
        <v>7</v>
      </c>
      <c r="I172">
        <v>4</v>
      </c>
      <c r="J172" t="s">
        <v>356</v>
      </c>
      <c r="L172">
        <v>28.5</v>
      </c>
    </row>
    <row r="173" spans="1:12">
      <c r="A173" t="s">
        <v>1527</v>
      </c>
      <c r="B173" t="s">
        <v>109</v>
      </c>
      <c r="C173">
        <v>7</v>
      </c>
      <c r="D173">
        <v>8.5</v>
      </c>
      <c r="E173">
        <v>3</v>
      </c>
      <c r="F173">
        <v>4</v>
      </c>
      <c r="G173" t="s">
        <v>356</v>
      </c>
      <c r="H173">
        <v>4</v>
      </c>
      <c r="I173">
        <v>4</v>
      </c>
      <c r="J173">
        <v>4</v>
      </c>
      <c r="L173">
        <v>27.5</v>
      </c>
    </row>
    <row r="174" spans="1:12" hidden="1">
      <c r="A174" t="s">
        <v>1527</v>
      </c>
      <c r="B174" t="s">
        <v>2470</v>
      </c>
      <c r="C174">
        <v>4</v>
      </c>
      <c r="D174">
        <v>4</v>
      </c>
      <c r="E174">
        <v>4</v>
      </c>
      <c r="F174">
        <v>3</v>
      </c>
      <c r="G174" t="s">
        <v>356</v>
      </c>
      <c r="H174">
        <v>5.5</v>
      </c>
      <c r="I174">
        <v>5.5</v>
      </c>
      <c r="J174">
        <v>5.5</v>
      </c>
      <c r="L174">
        <v>24.5</v>
      </c>
    </row>
    <row r="175" spans="1:12" hidden="1">
      <c r="A175" t="s">
        <v>1527</v>
      </c>
      <c r="B175" t="s">
        <v>106</v>
      </c>
      <c r="C175">
        <v>4</v>
      </c>
      <c r="D175">
        <v>3</v>
      </c>
      <c r="E175">
        <v>4</v>
      </c>
      <c r="F175">
        <v>4</v>
      </c>
      <c r="G175" t="s">
        <v>356</v>
      </c>
      <c r="H175">
        <v>7</v>
      </c>
      <c r="I175">
        <v>5.5</v>
      </c>
      <c r="J175" t="s">
        <v>356</v>
      </c>
      <c r="L175">
        <v>24.5</v>
      </c>
    </row>
    <row r="176" spans="1:12">
      <c r="A176" t="s">
        <v>1530</v>
      </c>
      <c r="B176" t="s">
        <v>109</v>
      </c>
      <c r="C176">
        <v>5.5</v>
      </c>
      <c r="D176">
        <v>4</v>
      </c>
      <c r="E176">
        <v>3</v>
      </c>
      <c r="F176">
        <v>5.5</v>
      </c>
      <c r="G176" t="s">
        <v>356</v>
      </c>
      <c r="H176">
        <v>4</v>
      </c>
      <c r="I176">
        <v>4</v>
      </c>
      <c r="J176">
        <v>4</v>
      </c>
      <c r="L176">
        <v>27.75</v>
      </c>
    </row>
    <row r="177" spans="1:12" hidden="1">
      <c r="A177" t="s">
        <v>1530</v>
      </c>
      <c r="B177" t="s">
        <v>2470</v>
      </c>
      <c r="C177">
        <v>5.5</v>
      </c>
      <c r="D177">
        <v>4</v>
      </c>
      <c r="E177">
        <v>4</v>
      </c>
      <c r="F177">
        <v>4</v>
      </c>
      <c r="G177" t="s">
        <v>356</v>
      </c>
      <c r="H177">
        <v>5.5</v>
      </c>
      <c r="I177">
        <v>4</v>
      </c>
      <c r="J177" t="s">
        <v>356</v>
      </c>
      <c r="L177">
        <v>27.375</v>
      </c>
    </row>
    <row r="178" spans="1:12" hidden="1">
      <c r="A178" t="s">
        <v>1530</v>
      </c>
      <c r="B178" t="s">
        <v>106</v>
      </c>
      <c r="C178">
        <v>7</v>
      </c>
      <c r="D178">
        <v>3</v>
      </c>
      <c r="E178">
        <v>3</v>
      </c>
      <c r="F178">
        <v>4</v>
      </c>
      <c r="G178" t="s">
        <v>356</v>
      </c>
      <c r="H178">
        <v>5.5</v>
      </c>
      <c r="I178">
        <v>3</v>
      </c>
      <c r="J178" t="s">
        <v>356</v>
      </c>
      <c r="L178">
        <v>26.75</v>
      </c>
    </row>
    <row r="179" spans="1:12">
      <c r="A179" t="s">
        <v>1534</v>
      </c>
      <c r="B179" t="s">
        <v>109</v>
      </c>
      <c r="C179">
        <v>7</v>
      </c>
      <c r="D179">
        <v>5.5</v>
      </c>
      <c r="E179">
        <v>5.5</v>
      </c>
      <c r="F179">
        <v>4</v>
      </c>
      <c r="G179" t="s">
        <v>356</v>
      </c>
      <c r="H179">
        <v>5.5</v>
      </c>
      <c r="I179">
        <v>5.5</v>
      </c>
      <c r="J179">
        <v>5.5</v>
      </c>
      <c r="L179">
        <v>32.75</v>
      </c>
    </row>
    <row r="180" spans="1:12" hidden="1">
      <c r="A180" t="s">
        <v>1534</v>
      </c>
      <c r="B180" t="s">
        <v>2470</v>
      </c>
      <c r="C180">
        <v>4</v>
      </c>
      <c r="D180">
        <v>5.5</v>
      </c>
      <c r="E180">
        <v>5.5</v>
      </c>
      <c r="F180">
        <v>5.5</v>
      </c>
      <c r="G180">
        <v>5.5</v>
      </c>
      <c r="H180">
        <v>7</v>
      </c>
      <c r="I180">
        <v>4</v>
      </c>
      <c r="J180" t="s">
        <v>356</v>
      </c>
      <c r="L180">
        <v>30.65</v>
      </c>
    </row>
    <row r="181" spans="1:12" hidden="1">
      <c r="A181" t="s">
        <v>1534</v>
      </c>
      <c r="B181" t="s">
        <v>106</v>
      </c>
      <c r="C181">
        <v>5.5</v>
      </c>
      <c r="D181">
        <v>4</v>
      </c>
      <c r="E181">
        <v>7</v>
      </c>
      <c r="F181">
        <v>4</v>
      </c>
      <c r="G181">
        <v>4</v>
      </c>
      <c r="H181">
        <v>5.5</v>
      </c>
      <c r="I181">
        <v>4</v>
      </c>
      <c r="J181">
        <v>4</v>
      </c>
      <c r="L181">
        <v>28.85</v>
      </c>
    </row>
    <row r="182" spans="1:12">
      <c r="A182" t="s">
        <v>1538</v>
      </c>
      <c r="B182" t="s">
        <v>109</v>
      </c>
      <c r="C182">
        <v>7</v>
      </c>
      <c r="D182">
        <v>7</v>
      </c>
      <c r="E182">
        <v>5.5</v>
      </c>
      <c r="F182">
        <v>4</v>
      </c>
      <c r="G182" t="s">
        <v>356</v>
      </c>
      <c r="H182">
        <v>5.5</v>
      </c>
      <c r="I182">
        <v>5.5</v>
      </c>
      <c r="J182" t="s">
        <v>356</v>
      </c>
      <c r="L182">
        <v>32.6</v>
      </c>
    </row>
    <row r="183" spans="1:12" hidden="1">
      <c r="A183" t="s">
        <v>1538</v>
      </c>
      <c r="B183" t="s">
        <v>2470</v>
      </c>
      <c r="C183">
        <v>4</v>
      </c>
      <c r="D183">
        <v>4</v>
      </c>
      <c r="E183">
        <v>7</v>
      </c>
      <c r="F183">
        <v>5.5</v>
      </c>
      <c r="G183">
        <v>5.5</v>
      </c>
      <c r="H183">
        <v>5.5</v>
      </c>
      <c r="I183" t="s">
        <v>356</v>
      </c>
      <c r="J183" t="s">
        <v>356</v>
      </c>
      <c r="L183">
        <v>28.7</v>
      </c>
    </row>
    <row r="184" spans="1:12" hidden="1">
      <c r="A184" t="s">
        <v>1538</v>
      </c>
      <c r="B184" t="s">
        <v>106</v>
      </c>
      <c r="C184">
        <v>8.5</v>
      </c>
      <c r="D184">
        <v>4</v>
      </c>
      <c r="E184">
        <v>4</v>
      </c>
      <c r="F184">
        <v>4</v>
      </c>
      <c r="G184" t="s">
        <v>356</v>
      </c>
      <c r="H184">
        <v>5.5</v>
      </c>
      <c r="I184">
        <v>4</v>
      </c>
      <c r="J184" t="s">
        <v>356</v>
      </c>
      <c r="L184">
        <v>27.2</v>
      </c>
    </row>
    <row r="185" spans="1:12">
      <c r="A185" t="s">
        <v>43</v>
      </c>
      <c r="B185" t="s">
        <v>109</v>
      </c>
      <c r="C185">
        <v>7</v>
      </c>
      <c r="D185">
        <v>5.5</v>
      </c>
      <c r="E185">
        <v>5.5</v>
      </c>
      <c r="F185">
        <v>5.5</v>
      </c>
      <c r="G185" t="s">
        <v>356</v>
      </c>
      <c r="H185">
        <v>5.5</v>
      </c>
      <c r="I185">
        <v>5.5</v>
      </c>
      <c r="J185">
        <v>5.5</v>
      </c>
      <c r="L185">
        <v>34.5</v>
      </c>
    </row>
    <row r="186" spans="1:12" hidden="1">
      <c r="A186" t="s">
        <v>43</v>
      </c>
      <c r="B186" t="s">
        <v>2470</v>
      </c>
      <c r="C186">
        <v>5.5</v>
      </c>
      <c r="D186">
        <v>7</v>
      </c>
      <c r="E186">
        <v>4</v>
      </c>
      <c r="F186">
        <v>4</v>
      </c>
      <c r="G186" t="s">
        <v>356</v>
      </c>
      <c r="H186">
        <v>5.5</v>
      </c>
      <c r="I186">
        <v>5.5</v>
      </c>
      <c r="J186" t="s">
        <v>356</v>
      </c>
      <c r="L186">
        <v>33</v>
      </c>
    </row>
    <row r="187" spans="1:12" hidden="1">
      <c r="A187" t="s">
        <v>43</v>
      </c>
      <c r="B187" t="s">
        <v>106</v>
      </c>
      <c r="C187">
        <v>5.5</v>
      </c>
      <c r="D187">
        <v>4</v>
      </c>
      <c r="E187">
        <v>5.5</v>
      </c>
      <c r="F187">
        <v>4</v>
      </c>
      <c r="G187" t="s">
        <v>356</v>
      </c>
      <c r="H187">
        <v>5.5</v>
      </c>
      <c r="I187">
        <v>5.5</v>
      </c>
      <c r="J187">
        <v>4</v>
      </c>
      <c r="L187">
        <v>30.75</v>
      </c>
    </row>
    <row r="188" spans="1:12">
      <c r="A188" t="s">
        <v>1545</v>
      </c>
      <c r="B188" t="s">
        <v>109</v>
      </c>
      <c r="C188">
        <v>8.5</v>
      </c>
      <c r="D188">
        <v>5.5</v>
      </c>
      <c r="E188">
        <v>5.5</v>
      </c>
      <c r="F188">
        <v>4</v>
      </c>
      <c r="G188" t="s">
        <v>356</v>
      </c>
      <c r="H188">
        <v>5.5</v>
      </c>
      <c r="I188">
        <v>4</v>
      </c>
      <c r="J188">
        <v>3</v>
      </c>
      <c r="L188">
        <v>29</v>
      </c>
    </row>
    <row r="189" spans="1:12" hidden="1">
      <c r="A189" t="s">
        <v>1545</v>
      </c>
      <c r="B189" t="s">
        <v>2470</v>
      </c>
      <c r="C189">
        <v>4</v>
      </c>
      <c r="D189">
        <v>3</v>
      </c>
      <c r="E189">
        <v>7</v>
      </c>
      <c r="F189">
        <v>4</v>
      </c>
      <c r="G189">
        <v>5.5</v>
      </c>
      <c r="H189">
        <v>5.5</v>
      </c>
      <c r="I189">
        <v>5.5</v>
      </c>
      <c r="J189">
        <v>4</v>
      </c>
      <c r="L189">
        <v>27.5</v>
      </c>
    </row>
    <row r="190" spans="1:12" hidden="1">
      <c r="A190" t="s">
        <v>1545</v>
      </c>
      <c r="B190" t="s">
        <v>106</v>
      </c>
      <c r="C190">
        <v>5.5</v>
      </c>
      <c r="D190">
        <v>4</v>
      </c>
      <c r="E190">
        <v>3</v>
      </c>
      <c r="F190">
        <v>4</v>
      </c>
      <c r="G190" t="s">
        <v>356</v>
      </c>
      <c r="H190">
        <v>7</v>
      </c>
      <c r="I190">
        <v>7</v>
      </c>
      <c r="J190" t="s">
        <v>356</v>
      </c>
      <c r="L190">
        <v>27.5</v>
      </c>
    </row>
    <row r="191" spans="1:12">
      <c r="A191" t="s">
        <v>1548</v>
      </c>
      <c r="B191" t="s">
        <v>109</v>
      </c>
      <c r="C191">
        <v>4</v>
      </c>
      <c r="D191">
        <v>4</v>
      </c>
      <c r="E191">
        <v>4</v>
      </c>
      <c r="F191">
        <v>7</v>
      </c>
      <c r="G191" t="s">
        <v>356</v>
      </c>
      <c r="H191">
        <v>4</v>
      </c>
      <c r="I191">
        <v>3</v>
      </c>
      <c r="J191" t="s">
        <v>356</v>
      </c>
      <c r="L191">
        <v>28.5</v>
      </c>
    </row>
    <row r="192" spans="1:12" hidden="1">
      <c r="A192" t="s">
        <v>1548</v>
      </c>
      <c r="B192" t="s">
        <v>2470</v>
      </c>
      <c r="C192">
        <v>4</v>
      </c>
      <c r="D192">
        <v>5.5</v>
      </c>
      <c r="E192">
        <v>4</v>
      </c>
      <c r="F192">
        <v>4</v>
      </c>
      <c r="G192" t="s">
        <v>356</v>
      </c>
      <c r="H192">
        <v>5.5</v>
      </c>
      <c r="I192">
        <v>3</v>
      </c>
      <c r="J192" t="s">
        <v>356</v>
      </c>
      <c r="L192">
        <v>27.75</v>
      </c>
    </row>
    <row r="193" spans="1:12" hidden="1">
      <c r="A193" t="s">
        <v>1548</v>
      </c>
      <c r="B193" t="s">
        <v>106</v>
      </c>
      <c r="C193">
        <v>5.5</v>
      </c>
      <c r="D193">
        <v>4</v>
      </c>
      <c r="E193">
        <v>5.5</v>
      </c>
      <c r="F193">
        <v>4</v>
      </c>
      <c r="G193">
        <v>3</v>
      </c>
      <c r="H193">
        <v>4</v>
      </c>
      <c r="I193">
        <v>4</v>
      </c>
      <c r="J193">
        <v>3</v>
      </c>
      <c r="L193">
        <v>27</v>
      </c>
    </row>
    <row r="194" spans="1:12">
      <c r="A194" t="s">
        <v>1552</v>
      </c>
      <c r="B194" t="s">
        <v>109</v>
      </c>
      <c r="C194">
        <v>4</v>
      </c>
      <c r="D194">
        <v>4</v>
      </c>
      <c r="E194">
        <v>4</v>
      </c>
      <c r="F194">
        <v>4</v>
      </c>
      <c r="G194" t="s">
        <v>356</v>
      </c>
      <c r="H194">
        <v>7</v>
      </c>
      <c r="I194">
        <v>7</v>
      </c>
      <c r="J194">
        <v>5.5</v>
      </c>
      <c r="L194">
        <v>29.5</v>
      </c>
    </row>
    <row r="195" spans="1:12" hidden="1">
      <c r="A195" t="s">
        <v>1552</v>
      </c>
      <c r="B195" t="s">
        <v>2470</v>
      </c>
      <c r="C195">
        <v>4</v>
      </c>
      <c r="D195">
        <v>7</v>
      </c>
      <c r="E195">
        <v>4</v>
      </c>
      <c r="F195">
        <v>4</v>
      </c>
      <c r="G195" t="s">
        <v>356</v>
      </c>
      <c r="H195">
        <v>4</v>
      </c>
      <c r="I195">
        <v>4</v>
      </c>
      <c r="J195" t="s">
        <v>356</v>
      </c>
      <c r="L195">
        <v>26.5</v>
      </c>
    </row>
    <row r="196" spans="1:12" hidden="1">
      <c r="A196" t="s">
        <v>1552</v>
      </c>
      <c r="B196" t="s">
        <v>106</v>
      </c>
      <c r="C196">
        <v>4</v>
      </c>
      <c r="D196">
        <v>5.5</v>
      </c>
      <c r="E196">
        <v>2</v>
      </c>
      <c r="F196">
        <v>4</v>
      </c>
      <c r="G196" t="s">
        <v>356</v>
      </c>
      <c r="H196">
        <v>5.5</v>
      </c>
      <c r="I196">
        <v>4</v>
      </c>
      <c r="J196" t="s">
        <v>356</v>
      </c>
      <c r="L196">
        <v>25.75</v>
      </c>
    </row>
    <row r="197" spans="1:12">
      <c r="A197" t="s">
        <v>1555</v>
      </c>
      <c r="B197" t="s">
        <v>109</v>
      </c>
      <c r="C197">
        <v>3</v>
      </c>
      <c r="D197">
        <v>3</v>
      </c>
      <c r="E197">
        <v>5.5</v>
      </c>
      <c r="F197">
        <v>4</v>
      </c>
      <c r="G197">
        <v>5.5</v>
      </c>
      <c r="H197">
        <v>5.5</v>
      </c>
      <c r="I197">
        <v>5.5</v>
      </c>
      <c r="J197" t="s">
        <v>356</v>
      </c>
      <c r="L197">
        <v>26</v>
      </c>
    </row>
    <row r="198" spans="1:12" hidden="1">
      <c r="A198" t="s">
        <v>1555</v>
      </c>
      <c r="B198" t="s">
        <v>2470</v>
      </c>
      <c r="C198">
        <v>4</v>
      </c>
      <c r="D198">
        <v>4</v>
      </c>
      <c r="E198">
        <v>5.5</v>
      </c>
      <c r="F198">
        <v>4</v>
      </c>
      <c r="G198">
        <v>3</v>
      </c>
      <c r="H198">
        <v>5.5</v>
      </c>
      <c r="I198">
        <v>4</v>
      </c>
      <c r="J198" t="s">
        <v>356</v>
      </c>
      <c r="L198">
        <v>23</v>
      </c>
    </row>
    <row r="199" spans="1:12" hidden="1">
      <c r="A199" t="s">
        <v>1555</v>
      </c>
      <c r="B199" t="s">
        <v>106</v>
      </c>
      <c r="C199">
        <v>4</v>
      </c>
      <c r="D199">
        <v>4</v>
      </c>
      <c r="E199">
        <v>4</v>
      </c>
      <c r="F199">
        <v>4</v>
      </c>
      <c r="G199" t="s">
        <v>356</v>
      </c>
      <c r="H199">
        <v>5.5</v>
      </c>
      <c r="I199">
        <v>4</v>
      </c>
      <c r="J199">
        <v>3</v>
      </c>
      <c r="L199">
        <v>21.5</v>
      </c>
    </row>
    <row r="200" spans="1:12">
      <c r="A200" t="s">
        <v>1558</v>
      </c>
      <c r="B200" t="s">
        <v>109</v>
      </c>
      <c r="C200">
        <v>4</v>
      </c>
      <c r="D200">
        <v>7</v>
      </c>
      <c r="E200">
        <v>5.5</v>
      </c>
      <c r="F200">
        <v>7</v>
      </c>
      <c r="G200" t="s">
        <v>356</v>
      </c>
      <c r="H200">
        <v>4</v>
      </c>
      <c r="I200">
        <v>4</v>
      </c>
      <c r="J200" t="s">
        <v>356</v>
      </c>
      <c r="L200">
        <v>47.5</v>
      </c>
    </row>
    <row r="201" spans="1:12" hidden="1">
      <c r="A201" t="s">
        <v>1558</v>
      </c>
      <c r="B201" t="s">
        <v>2470</v>
      </c>
      <c r="C201">
        <v>5.5</v>
      </c>
      <c r="D201">
        <v>7</v>
      </c>
      <c r="E201">
        <v>5.5</v>
      </c>
      <c r="F201">
        <v>4</v>
      </c>
      <c r="G201" t="s">
        <v>356</v>
      </c>
      <c r="H201">
        <v>5.5</v>
      </c>
      <c r="I201">
        <v>4</v>
      </c>
      <c r="J201">
        <v>4</v>
      </c>
      <c r="L201">
        <v>45.25</v>
      </c>
    </row>
    <row r="202" spans="1:12" hidden="1">
      <c r="A202" t="s">
        <v>1558</v>
      </c>
      <c r="B202" t="s">
        <v>106</v>
      </c>
      <c r="C202">
        <v>5.5</v>
      </c>
      <c r="D202">
        <v>5.5</v>
      </c>
      <c r="E202">
        <v>4</v>
      </c>
      <c r="F202">
        <v>5.5</v>
      </c>
      <c r="G202" t="s">
        <v>356</v>
      </c>
      <c r="H202">
        <v>5.5</v>
      </c>
      <c r="I202">
        <v>4</v>
      </c>
      <c r="J202">
        <v>3</v>
      </c>
      <c r="L202">
        <v>43.75</v>
      </c>
    </row>
  </sheetData>
  <autoFilter ref="A1:L202" xr:uid="{17A7DC2E-D32B-4F4C-9C18-FA5622108A5D}">
    <filterColumn colId="1">
      <filters>
        <filter val="UQ"/>
      </filters>
    </filterColumn>
  </autoFilter>
  <sortState xmlns:xlrd2="http://schemas.microsoft.com/office/spreadsheetml/2017/richdata2" ref="A2:T202">
    <sortCondition ref="A2:A202"/>
  </sortState>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工作表3"/>
  <dimension ref="A1:BI416"/>
  <sheetViews>
    <sheetView workbookViewId="0">
      <selection activeCell="L5" sqref="L5"/>
    </sheetView>
    <sheetView topLeftCell="A81" workbookViewId="1">
      <selection activeCell="AL358" sqref="AL358"/>
    </sheetView>
  </sheetViews>
  <sheetFormatPr defaultColWidth="8.69921875" defaultRowHeight="13.8"/>
  <cols>
    <col min="1" max="1" width="9" style="2" customWidth="1"/>
    <col min="2" max="2" width="8.69921875" style="2" customWidth="1"/>
    <col min="3" max="3" width="15.69921875" style="2" customWidth="1"/>
    <col min="4" max="4" width="8.69921875" style="16"/>
    <col min="5" max="10" width="2.69921875" style="16" hidden="1" customWidth="1"/>
    <col min="11" max="11" width="2.69921875" style="16" customWidth="1"/>
    <col min="12" max="17" width="3.19921875" style="16" customWidth="1"/>
    <col min="18" max="21" width="3.19921875" style="2" customWidth="1"/>
    <col min="22" max="22" width="4" style="2" customWidth="1"/>
    <col min="23" max="25" width="3.19921875" style="2" customWidth="1"/>
    <col min="26" max="31" width="3.19921875" style="16" customWidth="1"/>
    <col min="32" max="32" width="14.69921875" style="21" customWidth="1"/>
    <col min="33" max="33" width="5.69921875" style="21" customWidth="1"/>
    <col min="34" max="34" width="2.69921875" style="21" customWidth="1"/>
    <col min="35" max="35" width="8.69921875" style="16"/>
    <col min="36" max="36" width="10.19921875" style="16" customWidth="1"/>
    <col min="37" max="37" width="9.69921875" style="16" customWidth="1"/>
    <col min="38" max="39" width="8.69921875" style="16"/>
    <col min="40" max="40" width="5.69921875" style="16" customWidth="1"/>
    <col min="41" max="42" width="8.69921875" style="16"/>
    <col min="43" max="43" width="6.19921875" style="16" customWidth="1"/>
    <col min="44" max="44" width="8.69921875" style="16"/>
    <col min="45" max="45" width="6.19921875" style="16" customWidth="1"/>
    <col min="46" max="46" width="9" style="16" customWidth="1"/>
    <col min="47" max="47" width="9.69921875" style="16" customWidth="1"/>
    <col min="48" max="48" width="11" style="16" customWidth="1"/>
    <col min="49" max="16384" width="8.69921875" style="2"/>
  </cols>
  <sheetData>
    <row r="1" spans="2:33">
      <c r="L1" s="19" t="s">
        <v>117</v>
      </c>
      <c r="M1" s="19" t="s">
        <v>118</v>
      </c>
      <c r="N1" s="19" t="s">
        <v>119</v>
      </c>
      <c r="O1" s="19" t="s">
        <v>2807</v>
      </c>
      <c r="P1" s="19" t="s">
        <v>417</v>
      </c>
      <c r="Q1" s="19" t="s">
        <v>121</v>
      </c>
      <c r="R1" s="19" t="s">
        <v>122</v>
      </c>
      <c r="S1" s="19" t="s">
        <v>418</v>
      </c>
      <c r="T1" s="19" t="s">
        <v>419</v>
      </c>
      <c r="U1" s="11" t="s">
        <v>420</v>
      </c>
      <c r="V1" s="11" t="s">
        <v>421</v>
      </c>
    </row>
    <row r="2" spans="2:33">
      <c r="L2" s="120" t="s">
        <v>13</v>
      </c>
      <c r="M2" s="120" t="s">
        <v>16</v>
      </c>
      <c r="N2" s="120" t="s">
        <v>19</v>
      </c>
      <c r="O2" s="120" t="s">
        <v>2514</v>
      </c>
      <c r="P2" s="120" t="s">
        <v>246</v>
      </c>
      <c r="Q2" s="120" t="str">
        <f>主頁!$B$15</f>
        <v>請選擇第一選修科</v>
      </c>
      <c r="R2" s="120" t="str">
        <f>主頁!$B$16</f>
        <v>請選擇第二選修科</v>
      </c>
      <c r="S2" s="120" t="str">
        <f>主頁!$B$17</f>
        <v>請選擇第三選修科</v>
      </c>
      <c r="T2" s="120" t="str">
        <f>主頁!$B$18</f>
        <v>請選擇第四選修科</v>
      </c>
      <c r="U2" s="120" t="str">
        <f>主頁!$B$19</f>
        <v>請選擇語言科目</v>
      </c>
      <c r="V2" s="120" t="str">
        <f>主頁!$B$19</f>
        <v>請選擇語言科目</v>
      </c>
    </row>
    <row r="3" spans="2:33">
      <c r="L3" s="16">
        <f>計分版!K$13</f>
        <v>4.0000000000000001E-10</v>
      </c>
      <c r="M3" s="16">
        <f>計分版!L$13</f>
        <v>2.0000000000000001E-10</v>
      </c>
      <c r="N3" s="16">
        <f>計分版!M$13</f>
        <v>3E-10</v>
      </c>
      <c r="O3" s="16">
        <f>計分版!N$13</f>
        <v>0</v>
      </c>
      <c r="P3" s="16">
        <f>計分版!O$13</f>
        <v>5.0000000000000003E-10</v>
      </c>
      <c r="Q3" s="16">
        <f>計分版!P$13</f>
        <v>6E-10</v>
      </c>
      <c r="R3" s="16">
        <f>計分版!Q$13</f>
        <v>6.9999999999999996E-10</v>
      </c>
      <c r="S3" s="16">
        <f>計分版!R$13</f>
        <v>8.0000000000000003E-10</v>
      </c>
      <c r="T3" s="16">
        <f>計分版!S$13</f>
        <v>8.9999999999999999E-10</v>
      </c>
      <c r="U3" s="16">
        <f>IF(OR(V3="請選擇等級",V3="U",V3=0),0,3)</f>
        <v>0</v>
      </c>
      <c r="V3" s="2">
        <f>計分版!T2</f>
        <v>0</v>
      </c>
      <c r="AB3" s="229" t="s">
        <v>422</v>
      </c>
    </row>
    <row r="4" spans="2:33">
      <c r="B4" s="11" t="s">
        <v>110</v>
      </c>
      <c r="C4" s="11" t="s">
        <v>112</v>
      </c>
      <c r="D4" s="19" t="s">
        <v>38</v>
      </c>
      <c r="E4" s="19"/>
      <c r="F4" s="19"/>
      <c r="G4" s="19"/>
      <c r="H4" s="19"/>
      <c r="I4" s="19"/>
      <c r="J4" s="19"/>
      <c r="K4" s="19"/>
      <c r="L4" s="94" t="s">
        <v>117</v>
      </c>
      <c r="M4" s="94" t="s">
        <v>118</v>
      </c>
      <c r="N4" s="94" t="s">
        <v>119</v>
      </c>
      <c r="O4" s="19" t="s">
        <v>2807</v>
      </c>
      <c r="P4" s="94" t="s">
        <v>121</v>
      </c>
      <c r="Q4" s="94" t="s">
        <v>122</v>
      </c>
      <c r="R4" s="11"/>
      <c r="S4" s="19" t="s">
        <v>117</v>
      </c>
      <c r="T4" s="19" t="s">
        <v>118</v>
      </c>
      <c r="U4" s="19" t="s">
        <v>119</v>
      </c>
      <c r="V4" s="19" t="s">
        <v>2807</v>
      </c>
      <c r="W4" s="19" t="s">
        <v>121</v>
      </c>
      <c r="X4" s="19" t="s">
        <v>122</v>
      </c>
      <c r="Y4" s="51"/>
      <c r="Z4" s="19" t="s">
        <v>116</v>
      </c>
      <c r="AA4" s="2"/>
      <c r="AB4" s="19" t="s">
        <v>297</v>
      </c>
      <c r="AC4" s="19" t="s">
        <v>298</v>
      </c>
      <c r="AD4" s="19" t="s">
        <v>299</v>
      </c>
      <c r="AF4" s="162" t="s">
        <v>423</v>
      </c>
      <c r="AG4" s="162" t="s">
        <v>424</v>
      </c>
    </row>
    <row r="15" spans="2:33">
      <c r="L15" s="21" t="s">
        <v>425</v>
      </c>
      <c r="S15" s="2" t="s">
        <v>426</v>
      </c>
    </row>
    <row r="16" spans="2:33">
      <c r="B16" s="2" t="s">
        <v>427</v>
      </c>
      <c r="S16" s="2" t="s">
        <v>428</v>
      </c>
    </row>
    <row r="17" spans="1:61">
      <c r="B17" s="11" t="s">
        <v>110</v>
      </c>
      <c r="L17" s="19" t="s">
        <v>117</v>
      </c>
      <c r="M17" s="19" t="s">
        <v>118</v>
      </c>
      <c r="N17" s="19" t="s">
        <v>119</v>
      </c>
      <c r="O17" s="19" t="s">
        <v>2807</v>
      </c>
      <c r="P17" s="19" t="s">
        <v>121</v>
      </c>
      <c r="Q17" s="19" t="s">
        <v>122</v>
      </c>
      <c r="S17" s="19" t="s">
        <v>117</v>
      </c>
      <c r="T17" s="19" t="s">
        <v>118</v>
      </c>
      <c r="U17" s="19" t="s">
        <v>119</v>
      </c>
      <c r="V17" s="19" t="s">
        <v>2807</v>
      </c>
      <c r="W17" s="19" t="s">
        <v>121</v>
      </c>
      <c r="X17" s="19" t="s">
        <v>122</v>
      </c>
      <c r="Z17" s="19" t="s">
        <v>116</v>
      </c>
      <c r="AB17" s="19" t="s">
        <v>297</v>
      </c>
      <c r="AC17" s="19" t="s">
        <v>298</v>
      </c>
      <c r="AD17" s="19" t="s">
        <v>299</v>
      </c>
    </row>
    <row r="18" spans="1:61">
      <c r="B18" s="2" t="str">
        <f>'All in One'!C8</f>
        <v>JS4458</v>
      </c>
      <c r="L18" s="16">
        <f t="shared" ref="L18:Q18" si="0">IFERROR(INDEX(L$22:L$498,MATCH($B18,$B$22:$B$498,0)),"")</f>
        <v>3</v>
      </c>
      <c r="M18" s="16">
        <f t="shared" si="0"/>
        <v>3</v>
      </c>
      <c r="N18" s="16">
        <f t="shared" si="0"/>
        <v>3</v>
      </c>
      <c r="O18" s="16">
        <f t="shared" si="0"/>
        <v>1</v>
      </c>
      <c r="P18" s="16">
        <f t="shared" si="0"/>
        <v>3</v>
      </c>
      <c r="Q18" s="16">
        <f t="shared" si="0"/>
        <v>3</v>
      </c>
      <c r="R18" s="16"/>
      <c r="S18" s="16">
        <f t="shared" ref="S18:X18" si="1">IFERROR(INDEX(S$22:S$498,MATCH($B18,$B$22:$B$498,0)),"")</f>
        <v>0</v>
      </c>
      <c r="T18" s="16">
        <f t="shared" si="1"/>
        <v>0</v>
      </c>
      <c r="U18" s="16">
        <f t="shared" si="1"/>
        <v>0</v>
      </c>
      <c r="V18" s="16">
        <f t="shared" si="1"/>
        <v>0</v>
      </c>
      <c r="W18" s="16">
        <f t="shared" si="1"/>
        <v>0</v>
      </c>
      <c r="X18" s="16">
        <f t="shared" si="1"/>
        <v>0</v>
      </c>
      <c r="Y18" s="16"/>
      <c r="Z18" s="16">
        <f>IFERROR(INDEX(Z$22:Z$498,MATCH($B18,$B$22:$B$498,0)),"")</f>
        <v>0</v>
      </c>
      <c r="AB18" s="16" t="str">
        <f>IFERROR(INDEX(AB$22:AB$498,MATCH($B18,$B$22:$B$498,0)),"")</f>
        <v>v</v>
      </c>
      <c r="AC18" s="16" t="str">
        <f>IFERROR(INDEX(AC$22:AC$498,MATCH($B18,$B$22:$B$498,0)),"")</f>
        <v>E</v>
      </c>
      <c r="AD18" s="16" t="str">
        <f>IFERROR(INDEX(AD$22:AD$498,MATCH($B18,$B$22:$B$498,0)),"")</f>
        <v>NO</v>
      </c>
      <c r="AY18" s="16"/>
      <c r="AZ18" s="16"/>
      <c r="BA18" s="16"/>
    </row>
    <row r="19" spans="1:61">
      <c r="A19" s="11" t="s">
        <v>295</v>
      </c>
      <c r="AJ19" s="21"/>
    </row>
    <row r="20" spans="1:61">
      <c r="B20" s="11" t="s">
        <v>249</v>
      </c>
      <c r="C20" s="401" t="s">
        <v>2885</v>
      </c>
      <c r="E20" s="21" t="s">
        <v>295</v>
      </c>
    </row>
    <row r="21" spans="1:61">
      <c r="A21" s="55" t="s">
        <v>429</v>
      </c>
      <c r="B21" s="11" t="s">
        <v>110</v>
      </c>
      <c r="C21" s="11" t="s">
        <v>112</v>
      </c>
      <c r="D21" s="19" t="s">
        <v>38</v>
      </c>
      <c r="E21" s="19"/>
      <c r="F21" s="19"/>
      <c r="G21" s="19"/>
      <c r="H21" s="19"/>
      <c r="I21" s="19"/>
      <c r="J21" s="19"/>
      <c r="K21" s="19"/>
      <c r="L21" s="19" t="s">
        <v>117</v>
      </c>
      <c r="M21" s="19" t="s">
        <v>118</v>
      </c>
      <c r="N21" s="19" t="s">
        <v>119</v>
      </c>
      <c r="O21" s="19" t="s">
        <v>2807</v>
      </c>
      <c r="P21" s="19" t="s">
        <v>121</v>
      </c>
      <c r="Q21" s="19" t="s">
        <v>122</v>
      </c>
      <c r="S21" s="19" t="s">
        <v>117</v>
      </c>
      <c r="T21" s="19" t="s">
        <v>118</v>
      </c>
      <c r="U21" s="19" t="s">
        <v>119</v>
      </c>
      <c r="V21" s="19" t="s">
        <v>2807</v>
      </c>
      <c r="W21" s="19" t="s">
        <v>121</v>
      </c>
      <c r="X21" s="19" t="s">
        <v>122</v>
      </c>
      <c r="Z21" s="19" t="s">
        <v>116</v>
      </c>
      <c r="AA21" s="2"/>
      <c r="AB21" s="19" t="s">
        <v>297</v>
      </c>
      <c r="AC21" s="19" t="s">
        <v>298</v>
      </c>
      <c r="AD21" s="19" t="s">
        <v>299</v>
      </c>
      <c r="AH21" s="21" t="s">
        <v>430</v>
      </c>
      <c r="AI21" s="124" t="s">
        <v>249</v>
      </c>
      <c r="AJ21" s="124" t="s">
        <v>431</v>
      </c>
      <c r="AK21" s="104"/>
      <c r="AL21" s="117"/>
      <c r="AM21" s="117"/>
      <c r="AN21" s="117"/>
      <c r="AO21" s="117"/>
      <c r="AP21" s="117"/>
      <c r="AQ21" s="117"/>
      <c r="AR21" s="117"/>
      <c r="AS21" s="117"/>
      <c r="AT21" s="117"/>
      <c r="AU21" s="117"/>
      <c r="AV21" s="117"/>
      <c r="AW21" s="117"/>
      <c r="AX21" s="117"/>
      <c r="AY21" s="117"/>
      <c r="AZ21" s="117"/>
      <c r="BA21" s="117"/>
      <c r="BB21" s="117"/>
      <c r="BC21" s="117"/>
      <c r="BD21" s="117"/>
      <c r="BE21" s="117"/>
      <c r="BF21" s="117"/>
      <c r="BG21" s="117"/>
      <c r="BH21" s="117"/>
      <c r="BI21" s="117"/>
    </row>
    <row r="22" spans="1:61">
      <c r="A22" s="2" t="str">
        <f>'Reference Score Calculation'!A13</f>
        <v>JS1000</v>
      </c>
      <c r="B22" s="364" t="str">
        <f>'Reference Score Calculation'!A13</f>
        <v>JS1000</v>
      </c>
      <c r="C22" s="2" t="str">
        <f>'Reference Score Calculation'!D13</f>
        <v>理學士(計算金融及金融科技)</v>
      </c>
      <c r="D22" s="16">
        <f>'Reference Score Calculation'!T13</f>
        <v>10</v>
      </c>
      <c r="E22" s="16">
        <v>3</v>
      </c>
      <c r="F22" s="16">
        <v>3</v>
      </c>
      <c r="G22" s="16">
        <v>4</v>
      </c>
      <c r="H22" s="16">
        <v>2</v>
      </c>
      <c r="I22" s="16">
        <v>3</v>
      </c>
      <c r="J22" s="16">
        <v>3</v>
      </c>
      <c r="L22" s="92">
        <v>3</v>
      </c>
      <c r="M22" s="92">
        <v>3</v>
      </c>
      <c r="N22" s="92">
        <v>4</v>
      </c>
      <c r="O22" s="92">
        <v>1</v>
      </c>
      <c r="P22" s="92">
        <v>3</v>
      </c>
      <c r="Q22" s="92">
        <v>3</v>
      </c>
      <c r="S22" s="16">
        <f t="shared" ref="S22:S60" si="2">IF(L22&gt;L$3,0,1)</f>
        <v>0</v>
      </c>
      <c r="T22" s="16">
        <f t="shared" ref="T22:T60" si="3">IF(M22&gt;M$3,0,1)</f>
        <v>0</v>
      </c>
      <c r="U22" s="16">
        <f t="shared" ref="U22:U60" si="4">IF(N22&gt;N$3,0,1)</f>
        <v>0</v>
      </c>
      <c r="V22" s="16">
        <f t="shared" ref="V22:V60" si="5">IF(O22&gt;O$3,0,1)</f>
        <v>0</v>
      </c>
      <c r="W22" s="16">
        <f>IF(P22&gt;LARGE($P$3:$U$3,1),0,1)</f>
        <v>0</v>
      </c>
      <c r="X22" s="16">
        <f>IF(Q22&gt;LARGE(P$3:U$3,2),0,1)</f>
        <v>0</v>
      </c>
      <c r="Z22" s="16">
        <f>S22*T22*U22*V22*W22*X22</f>
        <v>0</v>
      </c>
      <c r="AA22" s="2"/>
      <c r="AB22" s="16" t="s">
        <v>432</v>
      </c>
      <c r="AC22" s="16" t="s">
        <v>433</v>
      </c>
      <c r="AD22" s="16" t="s">
        <v>434</v>
      </c>
      <c r="AF22" s="2" t="s">
        <v>435</v>
      </c>
      <c r="AG22" s="2" t="s">
        <v>435</v>
      </c>
      <c r="AH22" s="21" t="s">
        <v>430</v>
      </c>
      <c r="AI22" s="104"/>
      <c r="AJ22" s="103"/>
      <c r="AK22" s="104"/>
      <c r="AL22" s="117"/>
      <c r="AM22" s="117"/>
      <c r="AN22" s="117"/>
      <c r="AO22" s="117"/>
      <c r="AP22" s="117"/>
      <c r="AQ22" s="117"/>
      <c r="AR22" s="117"/>
      <c r="AS22" s="117"/>
      <c r="AT22" s="117"/>
      <c r="AU22" s="117"/>
      <c r="AV22" s="117"/>
      <c r="AW22" s="117"/>
      <c r="AX22" s="117"/>
      <c r="AY22" s="117"/>
      <c r="AZ22" s="117"/>
      <c r="BA22" s="117"/>
      <c r="BB22" s="117"/>
      <c r="BC22" s="117"/>
      <c r="BD22" s="117"/>
      <c r="BE22" s="117"/>
      <c r="BF22" s="117"/>
      <c r="BG22" s="117"/>
      <c r="BH22" s="117"/>
      <c r="BI22" s="117"/>
    </row>
    <row r="23" spans="1:61">
      <c r="A23" s="2" t="str">
        <f>'Reference Score Calculation'!A14</f>
        <v>JS1001</v>
      </c>
      <c r="B23" s="364" t="str">
        <f>'Reference Score Calculation'!A14</f>
        <v>JS1001</v>
      </c>
      <c r="C23" s="2" t="str">
        <f>'Reference Score Calculation'!D14</f>
        <v>工商管理學士(環球商業)</v>
      </c>
      <c r="D23" s="16">
        <f>'Reference Score Calculation'!T14</f>
        <v>15</v>
      </c>
      <c r="E23" s="16">
        <v>3</v>
      </c>
      <c r="F23" s="16">
        <v>3</v>
      </c>
      <c r="G23" s="16">
        <v>3</v>
      </c>
      <c r="H23" s="16">
        <v>2</v>
      </c>
      <c r="I23" s="16">
        <v>3</v>
      </c>
      <c r="J23" s="16">
        <v>3</v>
      </c>
      <c r="L23" s="92">
        <v>3</v>
      </c>
      <c r="M23" s="92">
        <v>3</v>
      </c>
      <c r="N23" s="92">
        <v>3</v>
      </c>
      <c r="O23" s="92">
        <v>1</v>
      </c>
      <c r="P23" s="92">
        <v>3</v>
      </c>
      <c r="Q23" s="92">
        <v>3</v>
      </c>
      <c r="S23" s="16">
        <f t="shared" si="2"/>
        <v>0</v>
      </c>
      <c r="T23" s="16">
        <f t="shared" si="3"/>
        <v>0</v>
      </c>
      <c r="U23" s="16">
        <f t="shared" si="4"/>
        <v>0</v>
      </c>
      <c r="V23" s="16">
        <f t="shared" si="5"/>
        <v>0</v>
      </c>
      <c r="W23" s="16">
        <f t="shared" ref="W23:W39" si="6">IF(P23&gt;LARGE(P$3:U$3,1),0,1)</f>
        <v>0</v>
      </c>
      <c r="X23" s="16">
        <f t="shared" ref="X23:X58" si="7">IF(Q23&gt;LARGE(P$3:U$3,2),0,1)</f>
        <v>0</v>
      </c>
      <c r="Z23" s="16">
        <f t="shared" ref="Z23:Z76" si="8">S23*T23*U23*V23*W23*X23</f>
        <v>0</v>
      </c>
      <c r="AA23" s="2"/>
      <c r="AB23" s="16" t="s">
        <v>432</v>
      </c>
      <c r="AC23" s="16" t="s">
        <v>433</v>
      </c>
      <c r="AD23" s="16" t="s">
        <v>434</v>
      </c>
      <c r="AF23" s="2" t="s">
        <v>435</v>
      </c>
      <c r="AG23" s="2" t="s">
        <v>435</v>
      </c>
      <c r="AH23" s="21" t="s">
        <v>430</v>
      </c>
      <c r="AI23" s="124" t="s">
        <v>308</v>
      </c>
      <c r="AJ23" s="104"/>
      <c r="AK23" s="104"/>
      <c r="AL23" s="104"/>
      <c r="AM23" s="104"/>
      <c r="AN23" s="104"/>
      <c r="AO23" s="104"/>
      <c r="AP23" s="104"/>
      <c r="AQ23" s="104"/>
      <c r="AR23" s="104"/>
      <c r="AS23" s="104"/>
      <c r="AT23" s="104"/>
      <c r="AU23" s="104"/>
      <c r="AV23" s="104"/>
      <c r="AW23" s="117"/>
      <c r="AX23" s="117"/>
      <c r="AY23" s="117"/>
      <c r="AZ23" s="117"/>
      <c r="BA23" s="117"/>
      <c r="BB23" s="117"/>
      <c r="BC23" s="117"/>
      <c r="BD23" s="117"/>
      <c r="BE23" s="117"/>
      <c r="BF23" s="117"/>
      <c r="BG23" s="117"/>
      <c r="BH23" s="117"/>
      <c r="BI23" s="117"/>
    </row>
    <row r="24" spans="1:61">
      <c r="A24" s="2" t="str">
        <f>'Reference Score Calculation'!A15</f>
        <v>JS1002</v>
      </c>
      <c r="B24" s="364" t="str">
        <f>'Reference Score Calculation'!A15</f>
        <v>JS1002</v>
      </c>
      <c r="C24" s="2" t="str">
        <f>'Reference Score Calculation'!D15</f>
        <v>工商管理學士(會計)</v>
      </c>
      <c r="D24" s="16">
        <f>'Reference Score Calculation'!T15</f>
        <v>150</v>
      </c>
      <c r="E24" s="16">
        <v>3</v>
      </c>
      <c r="F24" s="16">
        <v>3</v>
      </c>
      <c r="G24" s="16">
        <v>3</v>
      </c>
      <c r="H24" s="16">
        <v>2</v>
      </c>
      <c r="I24" s="16">
        <v>3</v>
      </c>
      <c r="J24" s="16">
        <v>3</v>
      </c>
      <c r="L24" s="92">
        <v>3</v>
      </c>
      <c r="M24" s="92">
        <v>3</v>
      </c>
      <c r="N24" s="92">
        <v>3</v>
      </c>
      <c r="O24" s="92">
        <v>1</v>
      </c>
      <c r="P24" s="92">
        <v>3</v>
      </c>
      <c r="Q24" s="92">
        <v>3</v>
      </c>
      <c r="S24" s="16">
        <f t="shared" si="2"/>
        <v>0</v>
      </c>
      <c r="T24" s="16">
        <f t="shared" si="3"/>
        <v>0</v>
      </c>
      <c r="U24" s="16">
        <f t="shared" si="4"/>
        <v>0</v>
      </c>
      <c r="V24" s="16">
        <f t="shared" si="5"/>
        <v>0</v>
      </c>
      <c r="W24" s="16">
        <f t="shared" si="6"/>
        <v>0</v>
      </c>
      <c r="X24" s="16">
        <f t="shared" si="7"/>
        <v>0</v>
      </c>
      <c r="Z24" s="16">
        <f t="shared" si="8"/>
        <v>0</v>
      </c>
      <c r="AA24" s="2"/>
      <c r="AB24" s="16" t="s">
        <v>432</v>
      </c>
      <c r="AC24" s="16" t="s">
        <v>433</v>
      </c>
      <c r="AD24" s="16" t="s">
        <v>434</v>
      </c>
      <c r="AF24" s="2" t="s">
        <v>435</v>
      </c>
      <c r="AG24" s="2" t="s">
        <v>435</v>
      </c>
      <c r="AH24" s="21" t="s">
        <v>430</v>
      </c>
      <c r="AI24" s="104"/>
      <c r="AJ24" s="104"/>
      <c r="AK24" s="104"/>
      <c r="AL24" s="104"/>
      <c r="AM24" s="104"/>
      <c r="AN24" s="104"/>
      <c r="AO24" s="104"/>
      <c r="AP24" s="104"/>
      <c r="AQ24" s="104"/>
      <c r="AR24" s="104"/>
      <c r="AS24" s="104"/>
      <c r="AT24" s="104"/>
      <c r="AU24" s="104"/>
      <c r="AV24" s="104"/>
      <c r="AW24" s="117"/>
      <c r="AX24" s="117"/>
      <c r="AY24" s="117"/>
      <c r="AZ24" s="117"/>
      <c r="BA24" s="117"/>
      <c r="BB24" s="117"/>
      <c r="BC24" s="117"/>
      <c r="BD24" s="117"/>
      <c r="BE24" s="117"/>
      <c r="BF24" s="117"/>
      <c r="BG24" s="117"/>
      <c r="BH24" s="117"/>
      <c r="BI24" s="117"/>
    </row>
    <row r="25" spans="1:61">
      <c r="A25" s="2" t="str">
        <f>'Reference Score Calculation'!A16</f>
        <v>JS1005</v>
      </c>
      <c r="B25" s="364" t="str">
        <f>'Reference Score Calculation'!A16</f>
        <v>JS1005</v>
      </c>
      <c r="C25" s="2" t="str">
        <f>'Reference Score Calculation'!D16</f>
        <v>工商管理學士(管理學)</v>
      </c>
      <c r="D25" s="16">
        <f>'Reference Score Calculation'!T16</f>
        <v>60</v>
      </c>
      <c r="E25" s="16">
        <v>3</v>
      </c>
      <c r="F25" s="16">
        <v>3</v>
      </c>
      <c r="G25" s="16">
        <v>3</v>
      </c>
      <c r="H25" s="16">
        <v>2</v>
      </c>
      <c r="I25" s="16">
        <v>3</v>
      </c>
      <c r="J25" s="16">
        <v>3</v>
      </c>
      <c r="L25" s="92">
        <v>3</v>
      </c>
      <c r="M25" s="92">
        <v>3</v>
      </c>
      <c r="N25" s="92">
        <v>3</v>
      </c>
      <c r="O25" s="92">
        <v>1</v>
      </c>
      <c r="P25" s="92">
        <v>3</v>
      </c>
      <c r="Q25" s="92">
        <v>3</v>
      </c>
      <c r="S25" s="16">
        <f t="shared" si="2"/>
        <v>0</v>
      </c>
      <c r="T25" s="16">
        <f t="shared" si="3"/>
        <v>0</v>
      </c>
      <c r="U25" s="16">
        <f t="shared" si="4"/>
        <v>0</v>
      </c>
      <c r="V25" s="16">
        <f t="shared" si="5"/>
        <v>0</v>
      </c>
      <c r="W25" s="16">
        <f t="shared" si="6"/>
        <v>0</v>
      </c>
      <c r="X25" s="16">
        <f t="shared" si="7"/>
        <v>0</v>
      </c>
      <c r="Z25" s="16">
        <f t="shared" si="8"/>
        <v>0</v>
      </c>
      <c r="AA25" s="2"/>
      <c r="AB25" s="16" t="s">
        <v>432</v>
      </c>
      <c r="AC25" s="16" t="s">
        <v>433</v>
      </c>
      <c r="AD25" s="16" t="s">
        <v>434</v>
      </c>
      <c r="AF25" s="2" t="s">
        <v>435</v>
      </c>
      <c r="AG25" s="2" t="s">
        <v>435</v>
      </c>
      <c r="AH25" s="21" t="s">
        <v>430</v>
      </c>
      <c r="AI25" s="118"/>
      <c r="AJ25" s="118" t="str">
        <f>Q2</f>
        <v>請選擇第一選修科</v>
      </c>
      <c r="AK25" s="118" t="str">
        <f>R2</f>
        <v>請選擇第二選修科</v>
      </c>
      <c r="AL25" s="118" t="str">
        <f>S2</f>
        <v>請選擇第三選修科</v>
      </c>
      <c r="AM25" s="118" t="str">
        <f>T2</f>
        <v>請選擇第四選修科</v>
      </c>
      <c r="AN25" s="118"/>
      <c r="AO25" s="118"/>
      <c r="AP25" s="118" t="s">
        <v>2859</v>
      </c>
      <c r="AQ25" s="118"/>
      <c r="AR25" s="118"/>
      <c r="AS25" s="118"/>
      <c r="AT25" s="118"/>
      <c r="AU25" s="118"/>
      <c r="AV25" s="118"/>
      <c r="AW25" s="117"/>
      <c r="AX25" s="117"/>
      <c r="AY25" s="117"/>
      <c r="AZ25" s="117"/>
      <c r="BA25" s="117"/>
      <c r="BB25" s="117"/>
      <c r="BC25" s="117"/>
      <c r="BD25" s="117"/>
      <c r="BE25" s="117"/>
      <c r="BF25" s="117"/>
      <c r="BG25" s="117"/>
      <c r="BH25" s="117"/>
      <c r="BI25" s="117"/>
    </row>
    <row r="26" spans="1:61">
      <c r="A26" s="2" t="str">
        <f>'Reference Score Calculation'!A17</f>
        <v>JS1007</v>
      </c>
      <c r="B26" s="364" t="str">
        <f>'Reference Score Calculation'!A17</f>
        <v>JS1007</v>
      </c>
      <c r="C26" s="2" t="str">
        <f>'Reference Score Calculation'!D17</f>
        <v>工商管理學士(市場營銷)</v>
      </c>
      <c r="D26" s="16">
        <f>'Reference Score Calculation'!T17</f>
        <v>85</v>
      </c>
      <c r="E26" s="16">
        <v>3</v>
      </c>
      <c r="F26" s="16">
        <v>3</v>
      </c>
      <c r="G26" s="16">
        <v>3</v>
      </c>
      <c r="H26" s="16">
        <v>2</v>
      </c>
      <c r="I26" s="16">
        <v>3</v>
      </c>
      <c r="J26" s="16">
        <v>3</v>
      </c>
      <c r="L26" s="92">
        <v>3</v>
      </c>
      <c r="M26" s="92">
        <v>3</v>
      </c>
      <c r="N26" s="92">
        <v>3</v>
      </c>
      <c r="O26" s="92">
        <v>1</v>
      </c>
      <c r="P26" s="92">
        <v>3</v>
      </c>
      <c r="Q26" s="92">
        <v>3</v>
      </c>
      <c r="S26" s="16">
        <f t="shared" si="2"/>
        <v>0</v>
      </c>
      <c r="T26" s="16">
        <f t="shared" si="3"/>
        <v>0</v>
      </c>
      <c r="U26" s="16">
        <f t="shared" si="4"/>
        <v>0</v>
      </c>
      <c r="V26" s="16">
        <f t="shared" si="5"/>
        <v>0</v>
      </c>
      <c r="W26" s="16">
        <f t="shared" si="6"/>
        <v>0</v>
      </c>
      <c r="X26" s="16">
        <f t="shared" si="7"/>
        <v>0</v>
      </c>
      <c r="Z26" s="16">
        <f>S26*T26*U26*V26*W26*X26</f>
        <v>0</v>
      </c>
      <c r="AA26" s="2"/>
      <c r="AB26" s="16" t="s">
        <v>432</v>
      </c>
      <c r="AC26" s="16" t="s">
        <v>433</v>
      </c>
      <c r="AD26" s="16" t="s">
        <v>434</v>
      </c>
      <c r="AF26" s="2" t="s">
        <v>435</v>
      </c>
      <c r="AG26" s="2" t="s">
        <v>435</v>
      </c>
      <c r="AH26" s="21" t="s">
        <v>430</v>
      </c>
      <c r="AI26" s="118" t="s">
        <v>436</v>
      </c>
      <c r="AJ26" s="119">
        <f>IF(Q2="物理",Q3,0)</f>
        <v>0</v>
      </c>
      <c r="AK26" s="119">
        <f t="shared" ref="AK26:AM26" si="9">IF(R2="物理",R3,0)</f>
        <v>0</v>
      </c>
      <c r="AL26" s="119">
        <f t="shared" si="9"/>
        <v>0</v>
      </c>
      <c r="AM26" s="119">
        <f t="shared" si="9"/>
        <v>0</v>
      </c>
      <c r="AN26" s="118"/>
      <c r="AO26" s="118"/>
      <c r="AP26" s="119" t="str">
        <f>IF(AQ26&gt;0,INDEX(AJ25:AM25,MATCH(LARGE(AJ26:AM26,1),AJ26:AM26,0)),"無")</f>
        <v>無</v>
      </c>
      <c r="AQ26" s="119">
        <f>LARGE((AJ26:AM26),1)</f>
        <v>0</v>
      </c>
      <c r="AR26" s="118"/>
      <c r="AS26" s="118"/>
      <c r="AT26" s="118"/>
      <c r="AU26" s="118"/>
      <c r="AV26" s="118"/>
      <c r="AW26" s="117"/>
      <c r="AX26" s="117"/>
      <c r="AY26" s="117"/>
      <c r="AZ26" s="117"/>
      <c r="BA26" s="117"/>
      <c r="BB26" s="117"/>
      <c r="BC26" s="117"/>
      <c r="BD26" s="117"/>
      <c r="BE26" s="117"/>
      <c r="BF26" s="117"/>
      <c r="BG26" s="117"/>
      <c r="BH26" s="117"/>
      <c r="BI26" s="117"/>
    </row>
    <row r="27" spans="1:61">
      <c r="A27" s="2" t="str">
        <f>'Reference Score Calculation'!A18</f>
        <v>JS1012</v>
      </c>
      <c r="B27" s="364" t="str">
        <f>'Reference Score Calculation'!A18</f>
        <v>JS1012</v>
      </c>
      <c r="C27" s="2" t="str">
        <f>'Reference Score Calculation'!D18</f>
        <v>經濟及金融系 [選項: 工商管理學士(商業經濟)、工商管理學士(金融)]</v>
      </c>
      <c r="D27" s="16">
        <f>'Reference Score Calculation'!T18</f>
        <v>20</v>
      </c>
      <c r="E27" s="16">
        <v>3</v>
      </c>
      <c r="F27" s="16">
        <v>3</v>
      </c>
      <c r="G27" s="16">
        <v>3</v>
      </c>
      <c r="H27" s="16">
        <v>2</v>
      </c>
      <c r="I27" s="16">
        <v>3</v>
      </c>
      <c r="J27" s="16">
        <v>3</v>
      </c>
      <c r="L27" s="92">
        <v>3</v>
      </c>
      <c r="M27" s="92">
        <v>3</v>
      </c>
      <c r="N27" s="92">
        <v>3</v>
      </c>
      <c r="O27" s="92">
        <v>1</v>
      </c>
      <c r="P27" s="92">
        <v>3</v>
      </c>
      <c r="Q27" s="92">
        <v>3</v>
      </c>
      <c r="S27" s="16">
        <f t="shared" si="2"/>
        <v>0</v>
      </c>
      <c r="T27" s="16">
        <f t="shared" si="3"/>
        <v>0</v>
      </c>
      <c r="U27" s="16">
        <f t="shared" si="4"/>
        <v>0</v>
      </c>
      <c r="V27" s="16">
        <f t="shared" si="5"/>
        <v>0</v>
      </c>
      <c r="W27" s="16">
        <f t="shared" si="6"/>
        <v>0</v>
      </c>
      <c r="X27" s="16">
        <f t="shared" si="7"/>
        <v>0</v>
      </c>
      <c r="Z27" s="16">
        <f t="shared" si="8"/>
        <v>0</v>
      </c>
      <c r="AA27" s="2"/>
      <c r="AB27" s="16" t="s">
        <v>432</v>
      </c>
      <c r="AC27" s="16" t="s">
        <v>433</v>
      </c>
      <c r="AD27" s="16" t="s">
        <v>434</v>
      </c>
      <c r="AF27" s="2" t="s">
        <v>435</v>
      </c>
      <c r="AG27" s="2" t="s">
        <v>435</v>
      </c>
      <c r="AH27" s="21" t="s">
        <v>430</v>
      </c>
      <c r="AI27" s="118"/>
      <c r="AJ27" s="118" t="str">
        <f>Q2</f>
        <v>請選擇第一選修科</v>
      </c>
      <c r="AK27" s="118" t="str">
        <f>R2</f>
        <v>請選擇第二選修科</v>
      </c>
      <c r="AL27" s="118" t="str">
        <f>S2</f>
        <v>請選擇第三選修科</v>
      </c>
      <c r="AM27" s="118" t="str">
        <f>T2</f>
        <v>請選擇第四選修科</v>
      </c>
      <c r="AN27" s="118" t="s">
        <v>23</v>
      </c>
      <c r="AO27" s="104"/>
      <c r="AP27" s="118" t="s">
        <v>2861</v>
      </c>
      <c r="AQ27" s="118"/>
      <c r="AR27" s="118"/>
      <c r="AS27" s="118"/>
      <c r="AT27" s="118"/>
      <c r="AU27" s="118"/>
      <c r="AV27" s="117"/>
      <c r="AW27" s="117"/>
      <c r="AX27" s="117"/>
      <c r="AY27" s="117"/>
      <c r="AZ27" s="117"/>
      <c r="BA27" s="117"/>
      <c r="BB27" s="117"/>
      <c r="BC27" s="117"/>
      <c r="BD27" s="117"/>
      <c r="BE27" s="117"/>
      <c r="BF27" s="117"/>
      <c r="BG27" s="117"/>
      <c r="BH27" s="117"/>
      <c r="BI27" s="117"/>
    </row>
    <row r="28" spans="1:61">
      <c r="A28" s="2" t="str">
        <f>'Reference Score Calculation'!A19</f>
        <v>JS1013</v>
      </c>
      <c r="B28" s="364" t="str">
        <f>'Reference Score Calculation'!A19</f>
        <v>JS1013</v>
      </c>
      <c r="C28" s="2" t="str">
        <f>'Reference Score Calculation'!D19</f>
        <v>工商管理學士(商業經濟)</v>
      </c>
      <c r="D28" s="16">
        <f>'Reference Score Calculation'!T19</f>
        <v>36</v>
      </c>
      <c r="E28" s="16">
        <v>3</v>
      </c>
      <c r="F28" s="16">
        <v>3</v>
      </c>
      <c r="G28" s="16">
        <v>3</v>
      </c>
      <c r="H28" s="16">
        <v>2</v>
      </c>
      <c r="I28" s="16">
        <v>3</v>
      </c>
      <c r="J28" s="16">
        <v>3</v>
      </c>
      <c r="L28" s="92">
        <v>3</v>
      </c>
      <c r="M28" s="92">
        <v>3</v>
      </c>
      <c r="N28" s="92">
        <v>3</v>
      </c>
      <c r="O28" s="92">
        <v>1</v>
      </c>
      <c r="P28" s="92">
        <v>3</v>
      </c>
      <c r="Q28" s="92">
        <v>3</v>
      </c>
      <c r="S28" s="16">
        <f t="shared" si="2"/>
        <v>0</v>
      </c>
      <c r="T28" s="16">
        <f t="shared" si="3"/>
        <v>0</v>
      </c>
      <c r="U28" s="16">
        <f t="shared" si="4"/>
        <v>0</v>
      </c>
      <c r="V28" s="16">
        <f t="shared" si="5"/>
        <v>0</v>
      </c>
      <c r="W28" s="16">
        <f t="shared" si="6"/>
        <v>0</v>
      </c>
      <c r="X28" s="16">
        <f t="shared" si="7"/>
        <v>0</v>
      </c>
      <c r="Z28" s="16">
        <f t="shared" si="8"/>
        <v>0</v>
      </c>
      <c r="AA28" s="2"/>
      <c r="AB28" s="16" t="s">
        <v>432</v>
      </c>
      <c r="AC28" s="16" t="s">
        <v>433</v>
      </c>
      <c r="AD28" s="16" t="s">
        <v>434</v>
      </c>
      <c r="AF28" s="2" t="s">
        <v>435</v>
      </c>
      <c r="AG28" s="2" t="s">
        <v>435</v>
      </c>
      <c r="AH28" s="21" t="s">
        <v>430</v>
      </c>
      <c r="AI28" s="118" t="s">
        <v>310</v>
      </c>
      <c r="AJ28" s="119">
        <f>IF(OR(Q2="物理",Q2="化學",Q2="生物",Q2="資訊及通訊科技"),Q3,0)</f>
        <v>0</v>
      </c>
      <c r="AK28" s="119">
        <f>IF(OR(R2="物理",R2="化學",R2="生物",R2="資訊及通訊科技"),R3,0)</f>
        <v>0</v>
      </c>
      <c r="AL28" s="119">
        <f>IF(OR(S2="物理",S2="化學",S2="生物",S2="資訊及通訊科技"),S3,0)</f>
        <v>0</v>
      </c>
      <c r="AM28" s="119">
        <f>IF(OR(T2="物理",T2="化學",T2="生物",T2="資訊及通訊科技"),T3,0)</f>
        <v>0</v>
      </c>
      <c r="AN28" s="119">
        <f>P3</f>
        <v>5.0000000000000003E-10</v>
      </c>
      <c r="AO28" s="118"/>
      <c r="AP28" s="119" t="str">
        <f>IF(AQ28&gt;0,INDEX(AJ27:AN27,MATCH(LARGE(AJ28:AN28,1),AJ28:AN28,0)),"無")</f>
        <v>M1/2</v>
      </c>
      <c r="AQ28" s="119">
        <f>LARGE((AJ28:AN28),1)</f>
        <v>5.0000000000000003E-10</v>
      </c>
      <c r="AR28" s="118"/>
      <c r="AS28" s="118"/>
      <c r="AT28" s="118"/>
      <c r="AU28" s="118"/>
      <c r="AV28" s="118"/>
      <c r="AW28" s="117"/>
      <c r="AX28" s="117"/>
      <c r="AY28" s="117"/>
      <c r="AZ28" s="117"/>
      <c r="BA28" s="117"/>
      <c r="BB28" s="117"/>
      <c r="BC28" s="117"/>
      <c r="BD28" s="117"/>
      <c r="BE28" s="117"/>
      <c r="BF28" s="117"/>
      <c r="BG28" s="117"/>
      <c r="BH28" s="117"/>
      <c r="BI28" s="117"/>
    </row>
    <row r="29" spans="1:61">
      <c r="A29" s="2" t="str">
        <f>'Reference Score Calculation'!A20</f>
        <v>JS1014</v>
      </c>
      <c r="B29" s="364" t="str">
        <f>'Reference Score Calculation'!A20</f>
        <v>JS1014</v>
      </c>
      <c r="C29" s="2" t="str">
        <f>'Reference Score Calculation'!D20</f>
        <v>工商管理學士(金融)</v>
      </c>
      <c r="D29" s="16">
        <f>'Reference Score Calculation'!T20</f>
        <v>104</v>
      </c>
      <c r="E29" s="16">
        <v>3</v>
      </c>
      <c r="F29" s="16">
        <v>3</v>
      </c>
      <c r="G29" s="16">
        <v>3</v>
      </c>
      <c r="H29" s="16">
        <v>2</v>
      </c>
      <c r="I29" s="16">
        <v>3</v>
      </c>
      <c r="J29" s="16">
        <v>3</v>
      </c>
      <c r="L29" s="92">
        <v>3</v>
      </c>
      <c r="M29" s="92">
        <v>3</v>
      </c>
      <c r="N29" s="92">
        <v>3</v>
      </c>
      <c r="O29" s="92">
        <v>1</v>
      </c>
      <c r="P29" s="92">
        <v>3</v>
      </c>
      <c r="Q29" s="92">
        <v>3</v>
      </c>
      <c r="S29" s="16">
        <f t="shared" si="2"/>
        <v>0</v>
      </c>
      <c r="T29" s="16">
        <f t="shared" si="3"/>
        <v>0</v>
      </c>
      <c r="U29" s="16">
        <f t="shared" si="4"/>
        <v>0</v>
      </c>
      <c r="V29" s="16">
        <f t="shared" si="5"/>
        <v>0</v>
      </c>
      <c r="W29" s="16">
        <f t="shared" si="6"/>
        <v>0</v>
      </c>
      <c r="X29" s="16">
        <f t="shared" si="7"/>
        <v>0</v>
      </c>
      <c r="Z29" s="16">
        <f t="shared" si="8"/>
        <v>0</v>
      </c>
      <c r="AA29" s="2"/>
      <c r="AB29" s="16" t="s">
        <v>432</v>
      </c>
      <c r="AC29" s="16" t="s">
        <v>433</v>
      </c>
      <c r="AD29" s="16" t="s">
        <v>434</v>
      </c>
      <c r="AF29" s="2" t="s">
        <v>435</v>
      </c>
      <c r="AG29" s="2" t="s">
        <v>435</v>
      </c>
      <c r="AH29" s="21" t="s">
        <v>430</v>
      </c>
      <c r="AI29" s="118"/>
      <c r="AJ29" s="118" t="str">
        <f>Q2</f>
        <v>請選擇第一選修科</v>
      </c>
      <c r="AK29" s="118" t="str">
        <f>R2</f>
        <v>請選擇第二選修科</v>
      </c>
      <c r="AL29" s="118" t="str">
        <f>S2</f>
        <v>請選擇第三選修科</v>
      </c>
      <c r="AM29" s="118" t="str">
        <f>T2</f>
        <v>請選擇第四選修科</v>
      </c>
      <c r="AN29" s="118" t="s">
        <v>23</v>
      </c>
      <c r="AO29" s="104"/>
      <c r="AP29" s="118" t="s">
        <v>2862</v>
      </c>
      <c r="AQ29" s="118"/>
      <c r="AR29" s="118"/>
      <c r="AS29" s="118"/>
      <c r="AT29" s="118"/>
      <c r="AU29" s="118"/>
      <c r="AV29" s="118"/>
      <c r="AW29" s="117"/>
      <c r="AX29" s="117"/>
      <c r="AY29" s="117"/>
      <c r="AZ29" s="117"/>
      <c r="BA29" s="117"/>
      <c r="BB29" s="117"/>
      <c r="BC29" s="117"/>
      <c r="BD29" s="117"/>
      <c r="BE29" s="117"/>
      <c r="BF29" s="117"/>
      <c r="BG29" s="117"/>
      <c r="BH29" s="117"/>
      <c r="BI29" s="117"/>
    </row>
    <row r="30" spans="1:61">
      <c r="A30" s="2" t="str">
        <f>'Reference Score Calculation'!A21</f>
        <v>JS1017</v>
      </c>
      <c r="B30" s="364" t="str">
        <f>'Reference Score Calculation'!A21</f>
        <v>JS1017</v>
      </c>
      <c r="C30" s="2" t="str">
        <f>'Reference Score Calculation'!D21</f>
        <v>資訊系統學系 [選項: 工商管理學士(環球商業系統管理)、工商管理學士(資訊管理)]</v>
      </c>
      <c r="D30" s="16">
        <f>'Reference Score Calculation'!T21</f>
        <v>65</v>
      </c>
      <c r="E30" s="16">
        <v>3</v>
      </c>
      <c r="F30" s="16">
        <v>3</v>
      </c>
      <c r="G30" s="16">
        <v>3</v>
      </c>
      <c r="H30" s="16">
        <v>2</v>
      </c>
      <c r="I30" s="16">
        <v>3</v>
      </c>
      <c r="J30" s="16">
        <v>3</v>
      </c>
      <c r="L30" s="92">
        <v>3</v>
      </c>
      <c r="M30" s="92">
        <v>3</v>
      </c>
      <c r="N30" s="92">
        <v>3</v>
      </c>
      <c r="O30" s="92">
        <v>1</v>
      </c>
      <c r="P30" s="92">
        <v>3</v>
      </c>
      <c r="Q30" s="92">
        <v>3</v>
      </c>
      <c r="S30" s="16">
        <f t="shared" si="2"/>
        <v>0</v>
      </c>
      <c r="T30" s="16">
        <f t="shared" si="3"/>
        <v>0</v>
      </c>
      <c r="U30" s="16">
        <f t="shared" si="4"/>
        <v>0</v>
      </c>
      <c r="V30" s="16">
        <f t="shared" si="5"/>
        <v>0</v>
      </c>
      <c r="W30" s="16">
        <f t="shared" si="6"/>
        <v>0</v>
      </c>
      <c r="X30" s="16">
        <f t="shared" si="7"/>
        <v>0</v>
      </c>
      <c r="Z30" s="16">
        <f t="shared" si="8"/>
        <v>0</v>
      </c>
      <c r="AA30" s="2"/>
      <c r="AB30" s="16" t="s">
        <v>432</v>
      </c>
      <c r="AC30" s="16" t="s">
        <v>433</v>
      </c>
      <c r="AD30" s="16" t="s">
        <v>434</v>
      </c>
      <c r="AF30" s="2" t="s">
        <v>435</v>
      </c>
      <c r="AG30" s="2" t="s">
        <v>435</v>
      </c>
      <c r="AH30" s="21" t="s">
        <v>430</v>
      </c>
      <c r="AI30" s="118" t="s">
        <v>437</v>
      </c>
      <c r="AJ30" s="121">
        <f>IF(OR(Q2="化學",Q2="生物",Q2="資訊及通訊科技",Q2="物理"),Q3,0)</f>
        <v>0</v>
      </c>
      <c r="AK30" s="121">
        <f t="shared" ref="AK30:AM30" si="10">IF(OR(R2="化學",R2="生物",R2="資訊及通訊科技",R2="物理"),R3,0)</f>
        <v>0</v>
      </c>
      <c r="AL30" s="121">
        <f t="shared" si="10"/>
        <v>0</v>
      </c>
      <c r="AM30" s="121">
        <f t="shared" si="10"/>
        <v>0</v>
      </c>
      <c r="AN30" s="122">
        <f>P3</f>
        <v>5.0000000000000003E-10</v>
      </c>
      <c r="AO30" s="118"/>
      <c r="AP30" s="119" t="str">
        <f>IF(AQ30&gt;0,INDEX(AJ29:AN29,MATCH(LARGE(AJ30:AN30,1),AJ30:AN30,0)),"無")</f>
        <v>M1/2</v>
      </c>
      <c r="AQ30" s="119">
        <f>LARGE((AJ30:AN30),1)</f>
        <v>5.0000000000000003E-10</v>
      </c>
      <c r="AR30" s="118"/>
      <c r="AS30" s="118"/>
      <c r="AT30" s="118"/>
      <c r="AU30" s="118"/>
      <c r="AV30" s="118"/>
      <c r="AW30" s="117"/>
      <c r="AX30" s="117"/>
      <c r="AY30" s="117"/>
      <c r="AZ30" s="117"/>
      <c r="BA30" s="117"/>
      <c r="BB30" s="117"/>
      <c r="BC30" s="117"/>
      <c r="BD30" s="117"/>
      <c r="BE30" s="117"/>
      <c r="BF30" s="117"/>
      <c r="BG30" s="117"/>
      <c r="BH30" s="117"/>
      <c r="BI30" s="117"/>
    </row>
    <row r="31" spans="1:61">
      <c r="A31" s="2" t="str">
        <f>'Reference Score Calculation'!A22</f>
        <v>JS1018</v>
      </c>
      <c r="B31" s="364" t="str">
        <f>'Reference Score Calculation'!A22</f>
        <v>JS1018</v>
      </c>
      <c r="C31" s="2" t="str">
        <f>'Reference Score Calculation'!D22</f>
        <v>工商管理學士(環球商業系統管理)</v>
      </c>
      <c r="D31" s="16">
        <f>'Reference Score Calculation'!T22</f>
        <v>10</v>
      </c>
      <c r="E31" s="16">
        <v>3</v>
      </c>
      <c r="F31" s="16">
        <v>3</v>
      </c>
      <c r="G31" s="16">
        <v>3</v>
      </c>
      <c r="H31" s="16">
        <v>2</v>
      </c>
      <c r="I31" s="16">
        <v>3</v>
      </c>
      <c r="J31" s="16">
        <v>3</v>
      </c>
      <c r="L31" s="92">
        <v>3</v>
      </c>
      <c r="M31" s="92">
        <v>3</v>
      </c>
      <c r="N31" s="92">
        <v>3</v>
      </c>
      <c r="O31" s="92">
        <v>1</v>
      </c>
      <c r="P31" s="92">
        <v>3</v>
      </c>
      <c r="Q31" s="92">
        <v>3</v>
      </c>
      <c r="S31" s="16">
        <f t="shared" si="2"/>
        <v>0</v>
      </c>
      <c r="T31" s="16">
        <f t="shared" si="3"/>
        <v>0</v>
      </c>
      <c r="U31" s="16">
        <f t="shared" si="4"/>
        <v>0</v>
      </c>
      <c r="V31" s="16">
        <f t="shared" si="5"/>
        <v>0</v>
      </c>
      <c r="W31" s="16">
        <f t="shared" si="6"/>
        <v>0</v>
      </c>
      <c r="X31" s="16">
        <f t="shared" si="7"/>
        <v>0</v>
      </c>
      <c r="Z31" s="16">
        <f t="shared" si="8"/>
        <v>0</v>
      </c>
      <c r="AA31" s="2"/>
      <c r="AB31" s="16" t="s">
        <v>432</v>
      </c>
      <c r="AC31" s="16" t="s">
        <v>433</v>
      </c>
      <c r="AD31" s="16" t="s">
        <v>434</v>
      </c>
      <c r="AF31" s="2" t="s">
        <v>435</v>
      </c>
      <c r="AG31" s="2" t="s">
        <v>435</v>
      </c>
      <c r="AH31" s="21" t="s">
        <v>430</v>
      </c>
      <c r="AI31" s="118"/>
      <c r="AJ31" s="118" t="str">
        <f>Q2</f>
        <v>請選擇第一選修科</v>
      </c>
      <c r="AK31" s="118" t="str">
        <f>R2</f>
        <v>請選擇第二選修科</v>
      </c>
      <c r="AL31" s="118" t="str">
        <f>S2</f>
        <v>請選擇第三選修科</v>
      </c>
      <c r="AM31" s="118" t="str">
        <f>T2</f>
        <v>請選擇第四選修科</v>
      </c>
      <c r="AN31" s="118" t="s">
        <v>23</v>
      </c>
      <c r="AO31" s="104"/>
      <c r="AP31" s="118" t="s">
        <v>2863</v>
      </c>
      <c r="AQ31" s="118"/>
      <c r="AR31" s="118"/>
      <c r="AS31" s="118"/>
      <c r="AT31" s="118"/>
      <c r="AU31" s="117"/>
      <c r="AV31" s="117"/>
      <c r="AW31" s="117"/>
      <c r="AX31" s="117"/>
      <c r="AY31" s="117"/>
      <c r="AZ31" s="117"/>
      <c r="BA31" s="117"/>
      <c r="BB31" s="117"/>
      <c r="BC31" s="117"/>
      <c r="BD31" s="117"/>
      <c r="BE31" s="117"/>
      <c r="BF31" s="117"/>
      <c r="BG31" s="117"/>
      <c r="BH31" s="117"/>
      <c r="BI31" s="117"/>
    </row>
    <row r="32" spans="1:61">
      <c r="A32" s="2" t="str">
        <f>'Reference Score Calculation'!A23</f>
        <v>JS1019</v>
      </c>
      <c r="B32" s="364" t="str">
        <f>'Reference Score Calculation'!A23</f>
        <v>JS1019</v>
      </c>
      <c r="C32" s="2" t="str">
        <f>'Reference Score Calculation'!D23</f>
        <v>工商管理學士(資訊管理)</v>
      </c>
      <c r="D32" s="16">
        <f>'Reference Score Calculation'!T23</f>
        <v>10</v>
      </c>
      <c r="E32" s="16">
        <v>3</v>
      </c>
      <c r="F32" s="16">
        <v>3</v>
      </c>
      <c r="G32" s="16">
        <v>3</v>
      </c>
      <c r="H32" s="16">
        <v>2</v>
      </c>
      <c r="I32" s="16">
        <v>3</v>
      </c>
      <c r="J32" s="16">
        <v>3</v>
      </c>
      <c r="L32" s="92">
        <v>3</v>
      </c>
      <c r="M32" s="92">
        <v>3</v>
      </c>
      <c r="N32" s="92">
        <v>3</v>
      </c>
      <c r="O32" s="92">
        <v>1</v>
      </c>
      <c r="P32" s="92">
        <v>3</v>
      </c>
      <c r="Q32" s="92">
        <v>3</v>
      </c>
      <c r="S32" s="16">
        <f t="shared" si="2"/>
        <v>0</v>
      </c>
      <c r="T32" s="16">
        <f t="shared" si="3"/>
        <v>0</v>
      </c>
      <c r="U32" s="16">
        <f t="shared" si="4"/>
        <v>0</v>
      </c>
      <c r="V32" s="16">
        <f t="shared" si="5"/>
        <v>0</v>
      </c>
      <c r="W32" s="16">
        <f t="shared" si="6"/>
        <v>0</v>
      </c>
      <c r="X32" s="16">
        <f t="shared" si="7"/>
        <v>0</v>
      </c>
      <c r="Z32" s="16">
        <f t="shared" si="8"/>
        <v>0</v>
      </c>
      <c r="AA32" s="2"/>
      <c r="AB32" s="16" t="s">
        <v>432</v>
      </c>
      <c r="AC32" s="16" t="s">
        <v>433</v>
      </c>
      <c r="AD32" s="16" t="s">
        <v>434</v>
      </c>
      <c r="AF32" s="2" t="s">
        <v>435</v>
      </c>
      <c r="AG32" s="2" t="s">
        <v>435</v>
      </c>
      <c r="AH32" s="21" t="s">
        <v>430</v>
      </c>
      <c r="AI32" s="118" t="s">
        <v>438</v>
      </c>
      <c r="AJ32" s="119">
        <f>IF(OR(Q2="化學",Q2="設計與應用科技",Q2="物理"),Q3,0)</f>
        <v>0</v>
      </c>
      <c r="AK32" s="119">
        <f t="shared" ref="AK32:AM32" si="11">IF(OR(R2="化學",R2="設計與應用科技",R2="物理"),R3,0)</f>
        <v>0</v>
      </c>
      <c r="AL32" s="119">
        <f t="shared" si="11"/>
        <v>0</v>
      </c>
      <c r="AM32" s="119">
        <f t="shared" si="11"/>
        <v>0</v>
      </c>
      <c r="AN32" s="122">
        <f>P3</f>
        <v>5.0000000000000003E-10</v>
      </c>
      <c r="AO32" s="118"/>
      <c r="AP32" s="119" t="str">
        <f>IF(AQ32&gt;0,INDEX(AJ31:AN31,MATCH(LARGE(AJ32:AN32,1),AJ32:AN32,0)),"無")</f>
        <v>M1/2</v>
      </c>
      <c r="AQ32" s="119">
        <f>LARGE((AJ32:AN32),1)</f>
        <v>5.0000000000000003E-10</v>
      </c>
      <c r="AR32" s="118"/>
      <c r="AS32" s="118"/>
      <c r="AT32" s="118"/>
      <c r="AU32" s="117"/>
      <c r="AV32" s="117"/>
      <c r="AW32" s="117"/>
      <c r="AX32" s="117"/>
      <c r="AY32" s="117"/>
      <c r="AZ32" s="117"/>
      <c r="BA32" s="117"/>
      <c r="BB32" s="117"/>
      <c r="BC32" s="117"/>
      <c r="BD32" s="117"/>
      <c r="BE32" s="117"/>
      <c r="BF32" s="117"/>
      <c r="BG32" s="117"/>
      <c r="BH32" s="117"/>
      <c r="BI32" s="117"/>
    </row>
    <row r="33" spans="1:61">
      <c r="A33" s="2" t="str">
        <f>'Reference Score Calculation'!A24</f>
        <v>JS1025</v>
      </c>
      <c r="B33" s="364" t="str">
        <f>'Reference Score Calculation'!A24</f>
        <v>JS1025</v>
      </c>
      <c r="C33" s="2" t="str">
        <f>'Reference Score Calculation'!D24</f>
        <v>管理科學系 [選項: 工商管理學士(商業決策分析)、工商管理學士(環球營運管理)]</v>
      </c>
      <c r="D33" s="16">
        <f>'Reference Score Calculation'!T24</f>
        <v>24</v>
      </c>
      <c r="E33" s="16">
        <v>3</v>
      </c>
      <c r="F33" s="16">
        <v>3</v>
      </c>
      <c r="G33" s="16">
        <v>3</v>
      </c>
      <c r="H33" s="16">
        <v>2</v>
      </c>
      <c r="I33" s="16">
        <v>3</v>
      </c>
      <c r="J33" s="16">
        <v>3</v>
      </c>
      <c r="L33" s="92">
        <v>3</v>
      </c>
      <c r="M33" s="92">
        <v>3</v>
      </c>
      <c r="N33" s="92">
        <v>3</v>
      </c>
      <c r="O33" s="92">
        <v>1</v>
      </c>
      <c r="P33" s="92">
        <v>3</v>
      </c>
      <c r="Q33" s="92">
        <v>3</v>
      </c>
      <c r="S33" s="16">
        <f t="shared" si="2"/>
        <v>0</v>
      </c>
      <c r="T33" s="16">
        <f t="shared" si="3"/>
        <v>0</v>
      </c>
      <c r="U33" s="16">
        <f t="shared" si="4"/>
        <v>0</v>
      </c>
      <c r="V33" s="16">
        <f t="shared" si="5"/>
        <v>0</v>
      </c>
      <c r="W33" s="16">
        <f t="shared" si="6"/>
        <v>0</v>
      </c>
      <c r="X33" s="16">
        <f t="shared" si="7"/>
        <v>0</v>
      </c>
      <c r="Z33" s="16">
        <f t="shared" si="8"/>
        <v>0</v>
      </c>
      <c r="AA33" s="2"/>
      <c r="AB33" s="16" t="s">
        <v>432</v>
      </c>
      <c r="AC33" s="16" t="s">
        <v>433</v>
      </c>
      <c r="AD33" s="16" t="s">
        <v>434</v>
      </c>
      <c r="AF33" s="2" t="s">
        <v>435</v>
      </c>
      <c r="AG33" s="2" t="s">
        <v>435</v>
      </c>
      <c r="AH33" s="21" t="s">
        <v>430</v>
      </c>
      <c r="AI33" s="118"/>
      <c r="AJ33" s="118" t="str">
        <f>Q2</f>
        <v>請選擇第一選修科</v>
      </c>
      <c r="AK33" s="118" t="str">
        <f>R2</f>
        <v>請選擇第二選修科</v>
      </c>
      <c r="AL33" s="118" t="str">
        <f>S2</f>
        <v>請選擇第三選修科</v>
      </c>
      <c r="AM33" s="118" t="str">
        <f>T2</f>
        <v>請選擇第四選修科</v>
      </c>
      <c r="AN33" s="104"/>
      <c r="AO33" s="118"/>
      <c r="AP33" s="118" t="s">
        <v>2864</v>
      </c>
      <c r="AQ33" s="118"/>
      <c r="AR33" s="118"/>
      <c r="AS33" s="118"/>
      <c r="AT33" s="118"/>
      <c r="AU33" s="117"/>
      <c r="AV33" s="117"/>
      <c r="AW33" s="117"/>
      <c r="AX33" s="117"/>
      <c r="AY33" s="117"/>
      <c r="AZ33" s="117"/>
      <c r="BA33" s="117"/>
      <c r="BB33" s="117"/>
      <c r="BC33" s="117"/>
      <c r="BD33" s="117"/>
      <c r="BE33" s="117"/>
      <c r="BF33" s="117"/>
      <c r="BG33" s="117"/>
      <c r="BH33" s="117"/>
      <c r="BI33" s="117"/>
    </row>
    <row r="34" spans="1:61">
      <c r="A34" s="2" t="str">
        <f>'Reference Score Calculation'!A25</f>
        <v>JS1026</v>
      </c>
      <c r="B34" s="364" t="str">
        <f>'Reference Score Calculation'!A25</f>
        <v>JS1026</v>
      </c>
      <c r="C34" s="2" t="str">
        <f>'Reference Score Calculation'!D25</f>
        <v>工商管理學士(商業決策分析)</v>
      </c>
      <c r="D34" s="16">
        <f>'Reference Score Calculation'!T25</f>
        <v>24</v>
      </c>
      <c r="E34" s="16">
        <v>3</v>
      </c>
      <c r="F34" s="16">
        <v>3</v>
      </c>
      <c r="G34" s="16">
        <v>3</v>
      </c>
      <c r="H34" s="16">
        <v>2</v>
      </c>
      <c r="I34" s="16">
        <v>3</v>
      </c>
      <c r="J34" s="16">
        <v>3</v>
      </c>
      <c r="L34" s="92">
        <v>3</v>
      </c>
      <c r="M34" s="92">
        <v>3</v>
      </c>
      <c r="N34" s="92">
        <v>3</v>
      </c>
      <c r="O34" s="92">
        <v>1</v>
      </c>
      <c r="P34" s="92">
        <v>3</v>
      </c>
      <c r="Q34" s="92">
        <v>3</v>
      </c>
      <c r="S34" s="16">
        <f t="shared" si="2"/>
        <v>0</v>
      </c>
      <c r="T34" s="16">
        <f t="shared" si="3"/>
        <v>0</v>
      </c>
      <c r="U34" s="16">
        <f t="shared" si="4"/>
        <v>0</v>
      </c>
      <c r="V34" s="16">
        <f t="shared" si="5"/>
        <v>0</v>
      </c>
      <c r="W34" s="16">
        <f t="shared" si="6"/>
        <v>0</v>
      </c>
      <c r="X34" s="16">
        <f t="shared" si="7"/>
        <v>0</v>
      </c>
      <c r="Z34" s="16">
        <f t="shared" si="8"/>
        <v>0</v>
      </c>
      <c r="AA34" s="2"/>
      <c r="AB34" s="16" t="s">
        <v>432</v>
      </c>
      <c r="AC34" s="16" t="s">
        <v>433</v>
      </c>
      <c r="AD34" s="16" t="s">
        <v>434</v>
      </c>
      <c r="AF34" s="2" t="s">
        <v>435</v>
      </c>
      <c r="AG34" s="2" t="s">
        <v>435</v>
      </c>
      <c r="AH34" s="21" t="s">
        <v>430</v>
      </c>
      <c r="AI34" s="118" t="s">
        <v>311</v>
      </c>
      <c r="AJ34" s="119">
        <f>IF(OR(Q2="化學",Q2="設計與應用科技",Q2="物理"),Q3,0)</f>
        <v>0</v>
      </c>
      <c r="AK34" s="119">
        <f t="shared" ref="AK34:AM34" si="12">IF(OR(R2="化學",R2="設計與應用科技",R2="物理"),R3,0)</f>
        <v>0</v>
      </c>
      <c r="AL34" s="119">
        <f t="shared" si="12"/>
        <v>0</v>
      </c>
      <c r="AM34" s="119">
        <f t="shared" si="12"/>
        <v>0</v>
      </c>
      <c r="AN34" s="118"/>
      <c r="AO34" s="118"/>
      <c r="AP34" s="119" t="str">
        <f>IF(AQ34&gt;0,INDEX(AJ33:AM33,MATCH(LARGE(AJ34:AM34,1),AJ34:AM34,0)),"無")</f>
        <v>無</v>
      </c>
      <c r="AQ34" s="119">
        <f>LARGE((AJ34:AM34),1)</f>
        <v>0</v>
      </c>
      <c r="AR34" s="118"/>
      <c r="AS34" s="118"/>
      <c r="AT34" s="118"/>
      <c r="AU34" s="117"/>
      <c r="AV34" s="117"/>
      <c r="AW34" s="117"/>
      <c r="AX34" s="117"/>
      <c r="AY34" s="117"/>
      <c r="AZ34" s="117"/>
      <c r="BA34" s="117"/>
      <c r="BB34" s="117"/>
      <c r="BC34" s="117"/>
      <c r="BD34" s="117"/>
      <c r="BE34" s="117"/>
      <c r="BF34" s="117"/>
      <c r="BG34" s="117"/>
      <c r="BH34" s="117"/>
      <c r="BI34" s="117"/>
    </row>
    <row r="35" spans="1:61">
      <c r="A35" s="2" t="str">
        <f>'Reference Score Calculation'!A26</f>
        <v>JS1027</v>
      </c>
      <c r="B35" s="364" t="str">
        <f>'Reference Score Calculation'!A26</f>
        <v>JS1027</v>
      </c>
      <c r="C35" s="2" t="str">
        <f>'Reference Score Calculation'!D26</f>
        <v>工商管理學士(環球營運管理)</v>
      </c>
      <c r="D35" s="16">
        <f>'Reference Score Calculation'!T26</f>
        <v>24</v>
      </c>
      <c r="E35" s="16">
        <v>3</v>
      </c>
      <c r="F35" s="16">
        <v>3</v>
      </c>
      <c r="G35" s="16">
        <v>3</v>
      </c>
      <c r="H35" s="16">
        <v>2</v>
      </c>
      <c r="I35" s="16">
        <v>3</v>
      </c>
      <c r="J35" s="16">
        <v>3</v>
      </c>
      <c r="L35" s="92">
        <v>3</v>
      </c>
      <c r="M35" s="92">
        <v>3</v>
      </c>
      <c r="N35" s="92">
        <v>3</v>
      </c>
      <c r="O35" s="92">
        <v>1</v>
      </c>
      <c r="P35" s="92">
        <v>3</v>
      </c>
      <c r="Q35" s="92">
        <v>3</v>
      </c>
      <c r="S35" s="16">
        <f t="shared" si="2"/>
        <v>0</v>
      </c>
      <c r="T35" s="16">
        <f t="shared" si="3"/>
        <v>0</v>
      </c>
      <c r="U35" s="16">
        <f t="shared" si="4"/>
        <v>0</v>
      </c>
      <c r="V35" s="16">
        <f t="shared" si="5"/>
        <v>0</v>
      </c>
      <c r="W35" s="16">
        <f t="shared" si="6"/>
        <v>0</v>
      </c>
      <c r="X35" s="16">
        <f t="shared" si="7"/>
        <v>0</v>
      </c>
      <c r="Z35" s="16">
        <f t="shared" si="8"/>
        <v>0</v>
      </c>
      <c r="AA35" s="2"/>
      <c r="AB35" s="16" t="s">
        <v>432</v>
      </c>
      <c r="AC35" s="16" t="s">
        <v>433</v>
      </c>
      <c r="AD35" s="16" t="s">
        <v>434</v>
      </c>
      <c r="AF35" s="2" t="s">
        <v>435</v>
      </c>
      <c r="AG35" s="2" t="s">
        <v>435</v>
      </c>
      <c r="AH35" s="21" t="s">
        <v>430</v>
      </c>
      <c r="AI35" s="118"/>
      <c r="AJ35" s="118" t="str">
        <f>Q2</f>
        <v>請選擇第一選修科</v>
      </c>
      <c r="AK35" s="118" t="str">
        <f>R2</f>
        <v>請選擇第二選修科</v>
      </c>
      <c r="AL35" s="118" t="str">
        <f>S2</f>
        <v>請選擇第三選修科</v>
      </c>
      <c r="AM35" s="118" t="str">
        <f>T2</f>
        <v>請選擇第四選修科</v>
      </c>
      <c r="AN35" s="104"/>
      <c r="AO35" s="118"/>
      <c r="AP35" s="118" t="s">
        <v>2865</v>
      </c>
      <c r="AQ35" s="118"/>
      <c r="AR35" s="118"/>
      <c r="AS35" s="118"/>
      <c r="AT35" s="118"/>
      <c r="AU35" s="117"/>
      <c r="AV35" s="117"/>
      <c r="AW35" s="117"/>
      <c r="AX35" s="117"/>
      <c r="AY35" s="117"/>
      <c r="AZ35" s="117"/>
      <c r="BA35" s="117"/>
      <c r="BB35" s="117"/>
      <c r="BC35" s="117"/>
      <c r="BD35" s="117"/>
      <c r="BE35" s="117"/>
      <c r="BF35" s="117"/>
      <c r="BG35" s="117"/>
      <c r="BH35" s="117"/>
      <c r="BI35" s="117"/>
    </row>
    <row r="36" spans="1:61">
      <c r="A36" s="2" t="str">
        <f>'Reference Score Calculation'!A27</f>
        <v>JS1041</v>
      </c>
      <c r="B36" s="364" t="str">
        <f>'Reference Score Calculation'!A27</f>
        <v>JS1041</v>
      </c>
      <c r="C36" s="2" t="str">
        <f>'Reference Score Calculation'!D27</f>
        <v>創意媒體學院 [選項: 文學士(創意媒體)、理學士(創意媒體)、文理學士(新媒體)]</v>
      </c>
      <c r="D36" s="16">
        <f>'Reference Score Calculation'!T27</f>
        <v>24</v>
      </c>
      <c r="E36" s="16">
        <v>3</v>
      </c>
      <c r="F36" s="16">
        <v>3</v>
      </c>
      <c r="G36" s="16">
        <v>2</v>
      </c>
      <c r="H36" s="16">
        <v>2</v>
      </c>
      <c r="I36" s="16">
        <v>3</v>
      </c>
      <c r="J36" s="16">
        <v>3</v>
      </c>
      <c r="L36" s="92">
        <v>3</v>
      </c>
      <c r="M36" s="92">
        <v>3</v>
      </c>
      <c r="N36" s="92">
        <v>2</v>
      </c>
      <c r="O36" s="92">
        <v>1</v>
      </c>
      <c r="P36" s="92">
        <v>3</v>
      </c>
      <c r="Q36" s="92">
        <v>3</v>
      </c>
      <c r="S36" s="16">
        <f t="shared" si="2"/>
        <v>0</v>
      </c>
      <c r="T36" s="16">
        <f t="shared" si="3"/>
        <v>0</v>
      </c>
      <c r="U36" s="16">
        <f t="shared" si="4"/>
        <v>0</v>
      </c>
      <c r="V36" s="16">
        <f t="shared" si="5"/>
        <v>0</v>
      </c>
      <c r="W36" s="16">
        <f t="shared" si="6"/>
        <v>0</v>
      </c>
      <c r="X36" s="16">
        <f t="shared" si="7"/>
        <v>0</v>
      </c>
      <c r="Z36" s="16">
        <f t="shared" si="8"/>
        <v>0</v>
      </c>
      <c r="AA36" s="2"/>
      <c r="AB36" s="16" t="s">
        <v>432</v>
      </c>
      <c r="AC36" s="16" t="s">
        <v>433</v>
      </c>
      <c r="AD36" s="123" t="s">
        <v>432</v>
      </c>
      <c r="AF36" s="2" t="s">
        <v>435</v>
      </c>
      <c r="AG36" s="2" t="s">
        <v>435</v>
      </c>
      <c r="AH36" s="21" t="s">
        <v>430</v>
      </c>
      <c r="AI36" s="118" t="s">
        <v>314</v>
      </c>
      <c r="AJ36" s="119">
        <f>IF(OR(Q2="化學",Q2="生物",Q2="物理"),Q3,0)</f>
        <v>0</v>
      </c>
      <c r="AK36" s="119">
        <f t="shared" ref="AK36:AM36" si="13">IF(OR(R2="化學",R2="生物",R2="物理"),R3,0)</f>
        <v>0</v>
      </c>
      <c r="AL36" s="119">
        <f t="shared" si="13"/>
        <v>0</v>
      </c>
      <c r="AM36" s="119">
        <f t="shared" si="13"/>
        <v>0</v>
      </c>
      <c r="AN36" s="118"/>
      <c r="AO36" s="118"/>
      <c r="AP36" s="119" t="str">
        <f>IF(AQ36&gt;0,INDEX(AJ35:AM35,MATCH(LARGE(AJ36:AM36,1),AJ36:AM36,0)),"無")</f>
        <v>無</v>
      </c>
      <c r="AQ36" s="119">
        <f>LARGE((AJ36:AM36),1)</f>
        <v>0</v>
      </c>
      <c r="AR36" s="118"/>
      <c r="AS36" s="118"/>
      <c r="AT36" s="118"/>
      <c r="AU36" s="117"/>
      <c r="AV36" s="117"/>
      <c r="AW36" s="117"/>
      <c r="AX36" s="117"/>
      <c r="AY36" s="117"/>
      <c r="AZ36" s="117"/>
      <c r="BA36" s="117"/>
      <c r="BB36" s="117"/>
      <c r="BC36" s="117"/>
      <c r="BD36" s="117"/>
      <c r="BE36" s="117"/>
      <c r="BF36" s="117"/>
      <c r="BG36" s="117"/>
      <c r="BH36" s="117"/>
      <c r="BI36" s="117"/>
    </row>
    <row r="37" spans="1:61">
      <c r="A37" s="2" t="str">
        <f>'Reference Score Calculation'!A28</f>
        <v>JS1042</v>
      </c>
      <c r="B37" s="364" t="str">
        <f>'Reference Score Calculation'!A28</f>
        <v>JS1042</v>
      </c>
      <c r="C37" s="2" t="str">
        <f>'Reference Score Calculation'!D28</f>
        <v>文學士(創意媒體)</v>
      </c>
      <c r="D37" s="16">
        <f>'Reference Score Calculation'!T28</f>
        <v>20</v>
      </c>
      <c r="E37" s="16">
        <v>3</v>
      </c>
      <c r="F37" s="16">
        <v>3</v>
      </c>
      <c r="G37" s="16">
        <v>2</v>
      </c>
      <c r="H37" s="16">
        <v>2</v>
      </c>
      <c r="I37" s="16">
        <v>3</v>
      </c>
      <c r="J37" s="16">
        <v>3</v>
      </c>
      <c r="L37" s="92">
        <v>3</v>
      </c>
      <c r="M37" s="92">
        <v>3</v>
      </c>
      <c r="N37" s="92">
        <v>2</v>
      </c>
      <c r="O37" s="92">
        <v>1</v>
      </c>
      <c r="P37" s="92">
        <v>3</v>
      </c>
      <c r="Q37" s="92">
        <v>3</v>
      </c>
      <c r="S37" s="16">
        <f t="shared" si="2"/>
        <v>0</v>
      </c>
      <c r="T37" s="16">
        <f t="shared" si="3"/>
        <v>0</v>
      </c>
      <c r="U37" s="16">
        <f t="shared" si="4"/>
        <v>0</v>
      </c>
      <c r="V37" s="16">
        <f t="shared" si="5"/>
        <v>0</v>
      </c>
      <c r="W37" s="16">
        <f t="shared" si="6"/>
        <v>0</v>
      </c>
      <c r="X37" s="16">
        <f t="shared" si="7"/>
        <v>0</v>
      </c>
      <c r="Z37" s="16">
        <f t="shared" si="8"/>
        <v>0</v>
      </c>
      <c r="AA37" s="2"/>
      <c r="AB37" s="16" t="s">
        <v>432</v>
      </c>
      <c r="AC37" s="16" t="s">
        <v>433</v>
      </c>
      <c r="AD37" s="123" t="s">
        <v>432</v>
      </c>
      <c r="AF37" s="2" t="s">
        <v>435</v>
      </c>
      <c r="AG37" s="2" t="s">
        <v>435</v>
      </c>
      <c r="AH37" s="21" t="s">
        <v>430</v>
      </c>
      <c r="AI37" s="118"/>
      <c r="AJ37" s="118" t="str">
        <f>Q2</f>
        <v>請選擇第一選修科</v>
      </c>
      <c r="AK37" s="118" t="str">
        <f>R2</f>
        <v>請選擇第二選修科</v>
      </c>
      <c r="AL37" s="118" t="str">
        <f>S2</f>
        <v>請選擇第三選修科</v>
      </c>
      <c r="AM37" s="118" t="str">
        <f>T2</f>
        <v>請選擇第四選修科</v>
      </c>
      <c r="AN37" s="118" t="s">
        <v>23</v>
      </c>
      <c r="AO37" s="104"/>
      <c r="AP37" s="118" t="s">
        <v>2866</v>
      </c>
      <c r="AQ37" s="118"/>
      <c r="AR37" s="118"/>
      <c r="AS37" s="118"/>
      <c r="AT37" s="118"/>
      <c r="AU37" s="117"/>
      <c r="AV37" s="117"/>
      <c r="AW37" s="117"/>
      <c r="AX37" s="117"/>
      <c r="AY37" s="117"/>
      <c r="AZ37" s="117"/>
      <c r="BA37" s="117"/>
      <c r="BB37" s="117"/>
      <c r="BC37" s="117"/>
      <c r="BD37" s="117"/>
      <c r="BE37" s="117"/>
      <c r="BF37" s="117"/>
      <c r="BG37" s="117"/>
      <c r="BH37" s="117"/>
      <c r="BI37" s="117"/>
    </row>
    <row r="38" spans="1:61">
      <c r="A38" s="2" t="str">
        <f>'Reference Score Calculation'!A29</f>
        <v>JS1043</v>
      </c>
      <c r="B38" s="364" t="str">
        <f>'Reference Score Calculation'!A29</f>
        <v>JS1043</v>
      </c>
      <c r="C38" s="2" t="str">
        <f>'Reference Score Calculation'!D29</f>
        <v>理學士(創意媒體)</v>
      </c>
      <c r="D38" s="16">
        <f>'Reference Score Calculation'!T29</f>
        <v>27</v>
      </c>
      <c r="E38" s="16">
        <v>3</v>
      </c>
      <c r="F38" s="16">
        <v>3</v>
      </c>
      <c r="G38" s="16">
        <v>2</v>
      </c>
      <c r="H38" s="16">
        <v>2</v>
      </c>
      <c r="I38" s="16">
        <v>3</v>
      </c>
      <c r="J38" s="16">
        <v>3</v>
      </c>
      <c r="L38" s="92">
        <v>3</v>
      </c>
      <c r="M38" s="92">
        <v>3</v>
      </c>
      <c r="N38" s="92">
        <v>2</v>
      </c>
      <c r="O38" s="92">
        <v>1</v>
      </c>
      <c r="P38" s="92">
        <v>3</v>
      </c>
      <c r="Q38" s="92">
        <v>3</v>
      </c>
      <c r="S38" s="16">
        <f t="shared" si="2"/>
        <v>0</v>
      </c>
      <c r="T38" s="16">
        <f t="shared" si="3"/>
        <v>0</v>
      </c>
      <c r="U38" s="16">
        <f t="shared" si="4"/>
        <v>0</v>
      </c>
      <c r="V38" s="16">
        <f t="shared" si="5"/>
        <v>0</v>
      </c>
      <c r="W38" s="16">
        <f t="shared" si="6"/>
        <v>0</v>
      </c>
      <c r="X38" s="16">
        <f t="shared" si="7"/>
        <v>0</v>
      </c>
      <c r="Z38" s="16">
        <f t="shared" si="8"/>
        <v>0</v>
      </c>
      <c r="AA38" s="2"/>
      <c r="AB38" s="16" t="s">
        <v>432</v>
      </c>
      <c r="AC38" s="16" t="s">
        <v>433</v>
      </c>
      <c r="AD38" s="123" t="s">
        <v>432</v>
      </c>
      <c r="AF38" s="2" t="s">
        <v>435</v>
      </c>
      <c r="AG38" s="2" t="s">
        <v>435</v>
      </c>
      <c r="AH38" s="21" t="s">
        <v>430</v>
      </c>
      <c r="AI38" s="118" t="s">
        <v>439</v>
      </c>
      <c r="AJ38" s="119">
        <f>IF(OR(Q2="化學",Q2="設計與應用科技",Q2="資訊及通訊科技",Q2="物理"),Q3,0)</f>
        <v>0</v>
      </c>
      <c r="AK38" s="119">
        <f t="shared" ref="AK38:AM38" si="14">IF(OR(R2="化學",R2="設計與應用科技",R2="資訊及通訊科技",R2="物理"),R3,0)</f>
        <v>0</v>
      </c>
      <c r="AL38" s="119">
        <f t="shared" si="14"/>
        <v>0</v>
      </c>
      <c r="AM38" s="119">
        <f t="shared" si="14"/>
        <v>0</v>
      </c>
      <c r="AN38" s="122">
        <f>P3</f>
        <v>5.0000000000000003E-10</v>
      </c>
      <c r="AO38" s="118"/>
      <c r="AP38" s="119" t="str">
        <f>IF(AQ38&gt;0,INDEX(AJ37:AN37,MATCH(LARGE(AJ38:AN38,1),AJ38:AN38,0)),"無")</f>
        <v>M1/2</v>
      </c>
      <c r="AQ38" s="119">
        <f>LARGE((AJ38:AN38),1)</f>
        <v>5.0000000000000003E-10</v>
      </c>
      <c r="AR38" s="117"/>
      <c r="AS38" s="117"/>
      <c r="AT38" s="117"/>
      <c r="AU38" s="117"/>
      <c r="AV38" s="117"/>
      <c r="AW38" s="117"/>
      <c r="AX38" s="117"/>
      <c r="AY38" s="117"/>
      <c r="AZ38" s="117"/>
      <c r="BA38" s="117"/>
      <c r="BB38" s="117"/>
      <c r="BC38" s="117"/>
      <c r="BD38" s="117"/>
      <c r="BE38" s="117"/>
      <c r="BF38" s="117"/>
      <c r="BG38" s="117"/>
      <c r="BH38" s="117"/>
      <c r="BI38" s="117"/>
    </row>
    <row r="39" spans="1:61">
      <c r="A39" s="2" t="str">
        <f>'Reference Score Calculation'!A30</f>
        <v>JS1044</v>
      </c>
      <c r="B39" s="364" t="str">
        <f>'Reference Score Calculation'!A30</f>
        <v>JS1044</v>
      </c>
      <c r="C39" s="2" t="str">
        <f>'Reference Score Calculation'!D30</f>
        <v>文理學士(新媒體)</v>
      </c>
      <c r="D39" s="16">
        <f>'Reference Score Calculation'!T30</f>
        <v>19</v>
      </c>
      <c r="E39" s="16">
        <v>3</v>
      </c>
      <c r="F39" s="16">
        <v>3</v>
      </c>
      <c r="G39" s="16">
        <v>2</v>
      </c>
      <c r="H39" s="16">
        <v>2</v>
      </c>
      <c r="I39" s="16">
        <v>3</v>
      </c>
      <c r="J39" s="16">
        <v>3</v>
      </c>
      <c r="L39" s="92">
        <v>3</v>
      </c>
      <c r="M39" s="92">
        <v>3</v>
      </c>
      <c r="N39" s="92">
        <v>2</v>
      </c>
      <c r="O39" s="92">
        <v>1</v>
      </c>
      <c r="P39" s="92">
        <v>3</v>
      </c>
      <c r="Q39" s="92">
        <v>3</v>
      </c>
      <c r="S39" s="16">
        <f t="shared" si="2"/>
        <v>0</v>
      </c>
      <c r="T39" s="16">
        <f t="shared" si="3"/>
        <v>0</v>
      </c>
      <c r="U39" s="16">
        <f t="shared" si="4"/>
        <v>0</v>
      </c>
      <c r="V39" s="16">
        <f t="shared" si="5"/>
        <v>0</v>
      </c>
      <c r="W39" s="16">
        <f t="shared" si="6"/>
        <v>0</v>
      </c>
      <c r="X39" s="16">
        <f t="shared" si="7"/>
        <v>0</v>
      </c>
      <c r="Z39" s="16">
        <f t="shared" si="8"/>
        <v>0</v>
      </c>
      <c r="AA39" s="2"/>
      <c r="AB39" s="16" t="s">
        <v>432</v>
      </c>
      <c r="AC39" s="16" t="s">
        <v>433</v>
      </c>
      <c r="AD39" s="123" t="s">
        <v>432</v>
      </c>
      <c r="AF39" s="2" t="s">
        <v>435</v>
      </c>
      <c r="AG39" s="2" t="s">
        <v>435</v>
      </c>
      <c r="AH39" s="21" t="s">
        <v>430</v>
      </c>
      <c r="AI39" s="118"/>
      <c r="AJ39" s="118" t="str">
        <f>Q2</f>
        <v>請選擇第一選修科</v>
      </c>
      <c r="AK39" s="118" t="str">
        <f>R2</f>
        <v>請選擇第二選修科</v>
      </c>
      <c r="AL39" s="118" t="str">
        <f>S2</f>
        <v>請選擇第三選修科</v>
      </c>
      <c r="AM39" s="118" t="str">
        <f>T2</f>
        <v>請選擇第四選修科</v>
      </c>
      <c r="AN39" s="118" t="s">
        <v>23</v>
      </c>
      <c r="AO39" s="118"/>
      <c r="AP39" s="118" t="s">
        <v>2867</v>
      </c>
      <c r="AQ39" s="118"/>
      <c r="AR39" s="118"/>
      <c r="AS39" s="118"/>
      <c r="AT39" s="118"/>
      <c r="AU39" s="117"/>
      <c r="AV39" s="117"/>
      <c r="AW39" s="117"/>
      <c r="AX39" s="117"/>
      <c r="AY39" s="117"/>
      <c r="AZ39" s="117"/>
      <c r="BA39" s="117"/>
      <c r="BB39" s="117"/>
      <c r="BC39" s="117"/>
      <c r="BD39" s="117"/>
      <c r="BE39" s="117"/>
      <c r="BF39" s="117"/>
      <c r="BG39" s="117"/>
      <c r="BH39" s="117"/>
      <c r="BI39" s="117"/>
    </row>
    <row r="40" spans="1:61">
      <c r="A40" s="2" t="str">
        <f>'Reference Score Calculation'!A31</f>
        <v>JS1051</v>
      </c>
      <c r="B40" s="364" t="str">
        <f>'Reference Score Calculation'!A31</f>
        <v>JS1051</v>
      </c>
      <c r="C40" s="2" t="str">
        <f>'Reference Score Calculation'!D31</f>
        <v>能源及環境學院 [選項: 工學士(能源科學及工程學)、工學士(環境科學及工程學)]</v>
      </c>
      <c r="D40" s="16">
        <f>'Reference Score Calculation'!T31</f>
        <v>55</v>
      </c>
      <c r="E40" s="16">
        <v>3</v>
      </c>
      <c r="F40" s="16">
        <v>3</v>
      </c>
      <c r="G40" s="16">
        <v>2</v>
      </c>
      <c r="H40" s="16">
        <v>2</v>
      </c>
      <c r="I40" s="16">
        <v>3</v>
      </c>
      <c r="J40" s="16">
        <v>3</v>
      </c>
      <c r="L40" s="92">
        <v>3</v>
      </c>
      <c r="M40" s="92">
        <v>3</v>
      </c>
      <c r="N40" s="92">
        <v>2</v>
      </c>
      <c r="O40" s="92">
        <v>1</v>
      </c>
      <c r="P40" s="92">
        <v>3</v>
      </c>
      <c r="Q40" s="92">
        <v>3</v>
      </c>
      <c r="S40" s="16">
        <f t="shared" si="2"/>
        <v>0</v>
      </c>
      <c r="T40" s="16">
        <f t="shared" si="3"/>
        <v>0</v>
      </c>
      <c r="U40" s="16">
        <f t="shared" si="4"/>
        <v>0</v>
      </c>
      <c r="V40" s="16">
        <f t="shared" si="5"/>
        <v>0</v>
      </c>
      <c r="W40" s="73">
        <f>IF(AQ71=0,0,IF(P40&gt;AQ71,0,1))</f>
        <v>0</v>
      </c>
      <c r="X40" s="16">
        <f t="shared" si="7"/>
        <v>0</v>
      </c>
      <c r="Z40" s="16">
        <f t="shared" si="8"/>
        <v>0</v>
      </c>
      <c r="AA40" s="2"/>
      <c r="AB40" s="16" t="s">
        <v>432</v>
      </c>
      <c r="AC40" s="16" t="s">
        <v>433</v>
      </c>
      <c r="AD40" s="16" t="s">
        <v>434</v>
      </c>
      <c r="AF40" s="21" t="s">
        <v>2879</v>
      </c>
      <c r="AG40" s="2" t="s">
        <v>435</v>
      </c>
      <c r="AH40" s="21" t="s">
        <v>430</v>
      </c>
      <c r="AI40" s="118" t="s">
        <v>440</v>
      </c>
      <c r="AJ40" s="119">
        <f>IF(OR(Q2="化學",Q2="生物",Q2="設計與應用科技",Q2="資訊及通訊科技",Q2="物理"),Q3,0)</f>
        <v>0</v>
      </c>
      <c r="AK40" s="119">
        <f t="shared" ref="AK40:AM40" si="15">IF(OR(R2="化學",R2="生物",R2="設計與應用科技",R2="資訊及通訊科技",R2="物理"),R3,0)</f>
        <v>0</v>
      </c>
      <c r="AL40" s="119">
        <f t="shared" si="15"/>
        <v>0</v>
      </c>
      <c r="AM40" s="119">
        <f t="shared" si="15"/>
        <v>0</v>
      </c>
      <c r="AN40" s="122">
        <f>P3</f>
        <v>5.0000000000000003E-10</v>
      </c>
      <c r="AO40" s="118"/>
      <c r="AP40" s="119" t="str">
        <f>IF(AQ40&gt;0,INDEX(AJ39:AN39,MATCH(LARGE(AJ40:AN40,1),AJ40:AN40,0)),"無")</f>
        <v>M1/2</v>
      </c>
      <c r="AQ40" s="119">
        <f>LARGE((AJ40:AN40),1)</f>
        <v>5.0000000000000003E-10</v>
      </c>
      <c r="AR40" s="119" t="str">
        <f>IF(AS40&gt;0,INDEX(AJ39:AN39,MATCH(LARGE(AJ40:AN40,2),AJ40:AN40,0)),"無")</f>
        <v>無</v>
      </c>
      <c r="AS40" s="119">
        <f>LARGE((AJ40:AN40),2)</f>
        <v>0</v>
      </c>
      <c r="AT40" s="118"/>
      <c r="AU40" s="117"/>
      <c r="AV40" s="117"/>
      <c r="AW40" s="117"/>
      <c r="AX40" s="117"/>
      <c r="AY40" s="117"/>
      <c r="AZ40" s="117"/>
      <c r="BA40" s="117"/>
      <c r="BB40" s="117"/>
      <c r="BC40" s="117"/>
      <c r="BD40" s="117"/>
      <c r="BE40" s="117"/>
      <c r="BF40" s="117"/>
      <c r="BG40" s="117"/>
      <c r="BH40" s="117"/>
      <c r="BI40" s="117"/>
    </row>
    <row r="41" spans="1:61">
      <c r="B41" s="364" t="str">
        <f>'Reference Score Calculation'!A32</f>
        <v>JS1052</v>
      </c>
      <c r="C41" s="2" t="str">
        <f>'Reference Score Calculation'!D32</f>
        <v>工學士(環境科學及工程學)與工商管理學士(金融)</v>
      </c>
      <c r="D41" s="16">
        <f>'Reference Score Calculation'!T32</f>
        <v>10</v>
      </c>
      <c r="E41" s="16">
        <v>3</v>
      </c>
      <c r="F41" s="16">
        <v>3</v>
      </c>
      <c r="G41" s="16">
        <v>2</v>
      </c>
      <c r="H41" s="16">
        <v>2</v>
      </c>
      <c r="I41" s="16">
        <v>3</v>
      </c>
      <c r="J41" s="16">
        <v>3</v>
      </c>
      <c r="L41" s="92">
        <v>3</v>
      </c>
      <c r="M41" s="92">
        <v>3</v>
      </c>
      <c r="N41" s="92">
        <v>2</v>
      </c>
      <c r="O41" s="92">
        <v>1</v>
      </c>
      <c r="P41" s="92">
        <v>3</v>
      </c>
      <c r="Q41" s="92">
        <v>3</v>
      </c>
      <c r="S41" s="16">
        <f t="shared" ref="S41" si="16">IF(L41&gt;L$3,0,1)</f>
        <v>0</v>
      </c>
      <c r="T41" s="16">
        <f t="shared" ref="T41" si="17">IF(M41&gt;M$3,0,1)</f>
        <v>0</v>
      </c>
      <c r="U41" s="16">
        <f t="shared" ref="U41" si="18">IF(N41&gt;N$3,0,1)</f>
        <v>0</v>
      </c>
      <c r="V41" s="16">
        <f t="shared" ref="V41" si="19">IF(O41&gt;O$3,0,1)</f>
        <v>0</v>
      </c>
      <c r="W41" s="73">
        <f>IF(AQ71=0,0,IF(P41&gt;AQ71,0,1))</f>
        <v>0</v>
      </c>
      <c r="X41" s="16">
        <f t="shared" ref="X41" si="20">IF(Q41&gt;LARGE(P$3:U$3,2),0,1)</f>
        <v>0</v>
      </c>
      <c r="Z41" s="16">
        <f t="shared" ref="Z41" si="21">S41*T41*U41*V41*W41*X41</f>
        <v>0</v>
      </c>
      <c r="AA41" s="2"/>
      <c r="AB41" s="16" t="s">
        <v>432</v>
      </c>
      <c r="AC41" s="16" t="s">
        <v>433</v>
      </c>
      <c r="AD41" s="16" t="s">
        <v>434</v>
      </c>
      <c r="AF41" s="21" t="s">
        <v>2879</v>
      </c>
      <c r="AG41" s="2" t="s">
        <v>435</v>
      </c>
      <c r="AI41" s="118"/>
      <c r="AJ41" s="118" t="str">
        <f>Q2</f>
        <v>請選擇第一選修科</v>
      </c>
      <c r="AK41" s="118" t="str">
        <f>R2</f>
        <v>請選擇第二選修科</v>
      </c>
      <c r="AL41" s="118" t="str">
        <f>S2</f>
        <v>請選擇第三選修科</v>
      </c>
      <c r="AM41" s="118" t="str">
        <f>T2</f>
        <v>請選擇第四選修科</v>
      </c>
      <c r="AN41" s="118" t="s">
        <v>23</v>
      </c>
      <c r="AO41" s="104"/>
      <c r="AP41" s="118" t="s">
        <v>2862</v>
      </c>
      <c r="AQ41" s="118"/>
      <c r="AR41" s="118"/>
      <c r="AS41" s="118"/>
      <c r="AT41" s="118"/>
      <c r="AU41" s="117"/>
      <c r="AV41" s="117"/>
      <c r="AW41" s="117"/>
      <c r="AX41" s="117"/>
      <c r="AY41" s="117"/>
      <c r="AZ41" s="117"/>
      <c r="BA41" s="117"/>
      <c r="BB41" s="117"/>
      <c r="BC41" s="117"/>
      <c r="BD41" s="117"/>
      <c r="BE41" s="117"/>
      <c r="BF41" s="117"/>
      <c r="BG41" s="117"/>
      <c r="BH41" s="117"/>
      <c r="BI41" s="117"/>
    </row>
    <row r="42" spans="1:61">
      <c r="A42" s="2" t="str">
        <f>'Reference Score Calculation'!A33</f>
        <v>JS1061</v>
      </c>
      <c r="B42" s="364" t="str">
        <f>'Reference Score Calculation'!A33</f>
        <v>JS1061</v>
      </c>
      <c r="C42" s="2" t="str">
        <f>'Reference Score Calculation'!D33</f>
        <v>法律學學士</v>
      </c>
      <c r="D42" s="16">
        <f>'Reference Score Calculation'!T33</f>
        <v>39</v>
      </c>
      <c r="E42" s="16">
        <v>3</v>
      </c>
      <c r="F42" s="16">
        <v>5</v>
      </c>
      <c r="G42" s="16">
        <v>2</v>
      </c>
      <c r="H42" s="16">
        <v>2</v>
      </c>
      <c r="I42" s="16">
        <v>3</v>
      </c>
      <c r="J42" s="16">
        <v>3</v>
      </c>
      <c r="L42" s="92">
        <v>3</v>
      </c>
      <c r="M42" s="92">
        <v>5</v>
      </c>
      <c r="N42" s="92">
        <v>2</v>
      </c>
      <c r="O42" s="92">
        <v>1</v>
      </c>
      <c r="P42" s="92">
        <v>3</v>
      </c>
      <c r="Q42" s="92">
        <v>3</v>
      </c>
      <c r="S42" s="16">
        <f t="shared" si="2"/>
        <v>0</v>
      </c>
      <c r="T42" s="16">
        <f t="shared" si="3"/>
        <v>0</v>
      </c>
      <c r="U42" s="16">
        <f t="shared" si="4"/>
        <v>0</v>
      </c>
      <c r="V42" s="16">
        <f t="shared" si="5"/>
        <v>0</v>
      </c>
      <c r="W42" s="16">
        <f t="shared" ref="W42:W58" si="22">IF(P42&gt;LARGE(P$3:U$3,1),0,1)</f>
        <v>0</v>
      </c>
      <c r="X42" s="16">
        <f t="shared" si="7"/>
        <v>0</v>
      </c>
      <c r="Z42" s="16">
        <f t="shared" si="8"/>
        <v>0</v>
      </c>
      <c r="AA42" s="2"/>
      <c r="AB42" s="16" t="s">
        <v>432</v>
      </c>
      <c r="AC42" s="16" t="s">
        <v>433</v>
      </c>
      <c r="AD42" s="16" t="s">
        <v>434</v>
      </c>
      <c r="AF42" s="2" t="s">
        <v>435</v>
      </c>
      <c r="AG42" s="2" t="s">
        <v>435</v>
      </c>
      <c r="AH42" s="21" t="s">
        <v>430</v>
      </c>
      <c r="AI42" s="118" t="s">
        <v>441</v>
      </c>
      <c r="AJ42" s="119">
        <f>IF(OR(Q2="化學",Q2="生物",Q2="資訊及通訊科技",Q2="物理"),Q3,0)</f>
        <v>0</v>
      </c>
      <c r="AK42" s="119">
        <f t="shared" ref="AK42:AM42" si="23">IF(OR(R2="化學",R2="生物",R2="資訊及通訊科技",R2="物理"),R3,0)</f>
        <v>0</v>
      </c>
      <c r="AL42" s="119">
        <f t="shared" si="23"/>
        <v>0</v>
      </c>
      <c r="AM42" s="119">
        <f t="shared" si="23"/>
        <v>0</v>
      </c>
      <c r="AN42" s="119">
        <f>P3</f>
        <v>5.0000000000000003E-10</v>
      </c>
      <c r="AO42" s="118"/>
      <c r="AP42" s="119" t="str">
        <f>IF(AQ42&gt;0,INDEX(AJ41:AN41,MATCH(LARGE(AJ42:AN42,1),AJ42:AN42,0)),"無")</f>
        <v>M1/2</v>
      </c>
      <c r="AQ42" s="119">
        <f>LARGE((AJ42:AN42),1)</f>
        <v>5.0000000000000003E-10</v>
      </c>
      <c r="AR42" s="118"/>
      <c r="AS42" s="118"/>
      <c r="AT42" s="118"/>
      <c r="AU42" s="117"/>
      <c r="AV42" s="117"/>
      <c r="AW42" s="117"/>
      <c r="AX42" s="117"/>
      <c r="AY42" s="117"/>
      <c r="AZ42" s="117"/>
      <c r="BA42" s="117"/>
      <c r="BB42" s="117"/>
      <c r="BC42" s="117"/>
      <c r="BD42" s="117"/>
      <c r="BE42" s="117"/>
      <c r="BF42" s="117"/>
      <c r="BG42" s="117"/>
      <c r="BH42" s="117"/>
      <c r="BI42" s="117"/>
    </row>
    <row r="43" spans="1:61">
      <c r="A43" s="2" t="str">
        <f>'Reference Score Calculation'!A34</f>
        <v>JS1062</v>
      </c>
      <c r="B43" s="364" t="str">
        <f>'Reference Score Calculation'!A34</f>
        <v>JS1062</v>
      </c>
      <c r="C43" s="2" t="str">
        <f>'Reference Score Calculation'!D34</f>
        <v>法律學學士與工商管理學士(會計)</v>
      </c>
      <c r="D43" s="16">
        <f>'Reference Score Calculation'!T34</f>
        <v>8</v>
      </c>
      <c r="E43" s="16">
        <v>3</v>
      </c>
      <c r="F43" s="16">
        <v>5</v>
      </c>
      <c r="G43" s="16">
        <v>3</v>
      </c>
      <c r="H43" s="16">
        <v>2</v>
      </c>
      <c r="I43" s="16">
        <v>3</v>
      </c>
      <c r="J43" s="16">
        <v>3</v>
      </c>
      <c r="L43" s="92">
        <v>3</v>
      </c>
      <c r="M43" s="92">
        <v>5</v>
      </c>
      <c r="N43" s="92">
        <v>3</v>
      </c>
      <c r="O43" s="92">
        <v>1</v>
      </c>
      <c r="P43" s="92">
        <v>3</v>
      </c>
      <c r="Q43" s="92">
        <v>3</v>
      </c>
      <c r="S43" s="16">
        <f t="shared" si="2"/>
        <v>0</v>
      </c>
      <c r="T43" s="16">
        <f t="shared" si="3"/>
        <v>0</v>
      </c>
      <c r="U43" s="16">
        <f t="shared" si="4"/>
        <v>0</v>
      </c>
      <c r="V43" s="16">
        <f t="shared" si="5"/>
        <v>0</v>
      </c>
      <c r="W43" s="16">
        <f t="shared" si="22"/>
        <v>0</v>
      </c>
      <c r="X43" s="16">
        <f t="shared" si="7"/>
        <v>0</v>
      </c>
      <c r="Z43" s="16">
        <f t="shared" si="8"/>
        <v>0</v>
      </c>
      <c r="AA43" s="2"/>
      <c r="AB43" s="16" t="s">
        <v>432</v>
      </c>
      <c r="AC43" s="16" t="s">
        <v>433</v>
      </c>
      <c r="AD43" s="16" t="s">
        <v>434</v>
      </c>
      <c r="AF43" s="2" t="s">
        <v>435</v>
      </c>
      <c r="AG43" s="2" t="s">
        <v>435</v>
      </c>
      <c r="AH43" s="21" t="s">
        <v>430</v>
      </c>
      <c r="AI43" s="118"/>
      <c r="AJ43" s="118"/>
      <c r="AK43" s="118"/>
      <c r="AL43" s="117"/>
      <c r="AM43" s="117"/>
      <c r="AN43" s="117"/>
      <c r="AO43" s="117"/>
      <c r="AP43" s="117"/>
      <c r="AQ43" s="117"/>
      <c r="AR43" s="117"/>
      <c r="AS43" s="118"/>
      <c r="AT43" s="118"/>
      <c r="AU43" s="117"/>
      <c r="AV43" s="117"/>
      <c r="AW43" s="117"/>
      <c r="AX43" s="117"/>
      <c r="AY43" s="117"/>
      <c r="AZ43" s="117"/>
      <c r="BA43" s="117"/>
      <c r="BB43" s="117"/>
      <c r="BC43" s="117"/>
      <c r="BD43" s="117"/>
      <c r="BE43" s="117"/>
      <c r="BF43" s="117"/>
      <c r="BG43" s="117"/>
      <c r="BH43" s="117"/>
      <c r="BI43" s="117"/>
    </row>
    <row r="44" spans="1:61">
      <c r="A44" s="2" t="str">
        <f>'Reference Score Calculation'!A35</f>
        <v>JS1071</v>
      </c>
      <c r="B44" s="364" t="str">
        <f>'Reference Score Calculation'!A35</f>
        <v>JS1071</v>
      </c>
      <c r="C44" s="2" t="str">
        <f>'Reference Score Calculation'!D35</f>
        <v>數據科學學院 [選項：理學士 (數據科學)、理學士 (數據與系統工程)]</v>
      </c>
      <c r="D44" s="16">
        <f>'Reference Score Calculation'!T35</f>
        <v>20</v>
      </c>
      <c r="E44" s="16">
        <v>3</v>
      </c>
      <c r="F44" s="16">
        <v>3</v>
      </c>
      <c r="G44" s="16">
        <v>3</v>
      </c>
      <c r="H44" s="16">
        <v>2</v>
      </c>
      <c r="I44" s="16">
        <v>3</v>
      </c>
      <c r="J44" s="16">
        <v>3</v>
      </c>
      <c r="L44" s="92">
        <v>3</v>
      </c>
      <c r="M44" s="92">
        <v>3</v>
      </c>
      <c r="N44" s="92">
        <v>3</v>
      </c>
      <c r="O44" s="92">
        <v>1</v>
      </c>
      <c r="P44" s="92">
        <v>3</v>
      </c>
      <c r="Q44" s="92">
        <v>3</v>
      </c>
      <c r="S44" s="16">
        <f t="shared" si="2"/>
        <v>0</v>
      </c>
      <c r="T44" s="16">
        <f t="shared" si="3"/>
        <v>0</v>
      </c>
      <c r="U44" s="16">
        <f t="shared" si="4"/>
        <v>0</v>
      </c>
      <c r="V44" s="16">
        <f t="shared" si="5"/>
        <v>0</v>
      </c>
      <c r="W44" s="16">
        <f t="shared" si="22"/>
        <v>0</v>
      </c>
      <c r="X44" s="16">
        <f t="shared" si="7"/>
        <v>0</v>
      </c>
      <c r="Z44" s="16">
        <f t="shared" si="8"/>
        <v>0</v>
      </c>
      <c r="AA44" s="2"/>
      <c r="AB44" s="16" t="s">
        <v>432</v>
      </c>
      <c r="AC44" s="16" t="s">
        <v>433</v>
      </c>
      <c r="AD44" s="16" t="s">
        <v>434</v>
      </c>
      <c r="AF44" s="2" t="s">
        <v>435</v>
      </c>
      <c r="AG44" s="2" t="s">
        <v>435</v>
      </c>
      <c r="AH44" s="21" t="s">
        <v>430</v>
      </c>
      <c r="AI44" s="118"/>
      <c r="AJ44" s="118"/>
      <c r="AK44" s="118"/>
      <c r="AL44" s="117"/>
      <c r="AM44" s="117"/>
      <c r="AN44" s="117"/>
      <c r="AO44" s="117"/>
      <c r="AP44" s="117"/>
      <c r="AQ44" s="117"/>
      <c r="AR44" s="117"/>
      <c r="AS44" s="118"/>
      <c r="AT44" s="118"/>
      <c r="AU44" s="118"/>
      <c r="AV44" s="117"/>
      <c r="AW44" s="117"/>
      <c r="AX44" s="117"/>
      <c r="AY44" s="117"/>
      <c r="AZ44" s="117"/>
      <c r="BA44" s="117"/>
      <c r="BB44" s="117"/>
      <c r="BC44" s="117"/>
      <c r="BD44" s="117"/>
      <c r="BE44" s="117"/>
      <c r="BF44" s="117"/>
      <c r="BG44" s="117"/>
      <c r="BH44" s="117"/>
      <c r="BI44" s="117"/>
    </row>
    <row r="45" spans="1:61">
      <c r="A45" s="2" t="str">
        <f>'Reference Score Calculation'!A36</f>
        <v>JS1072</v>
      </c>
      <c r="B45" s="364" t="str">
        <f>'Reference Score Calculation'!A36</f>
        <v>JS1072</v>
      </c>
      <c r="C45" s="2" t="str">
        <f>'Reference Score Calculation'!D36</f>
        <v>理學士(數據科學)</v>
      </c>
      <c r="D45" s="16">
        <f>'Reference Score Calculation'!T36</f>
        <v>30</v>
      </c>
      <c r="E45" s="16">
        <v>3</v>
      </c>
      <c r="F45" s="16">
        <v>3</v>
      </c>
      <c r="G45" s="16">
        <v>3</v>
      </c>
      <c r="H45" s="16">
        <v>2</v>
      </c>
      <c r="I45" s="16">
        <v>3</v>
      </c>
      <c r="J45" s="16">
        <v>3</v>
      </c>
      <c r="L45" s="92">
        <v>3</v>
      </c>
      <c r="M45" s="92">
        <v>3</v>
      </c>
      <c r="N45" s="92">
        <v>3</v>
      </c>
      <c r="O45" s="92">
        <v>1</v>
      </c>
      <c r="P45" s="92">
        <v>3</v>
      </c>
      <c r="Q45" s="92">
        <v>3</v>
      </c>
      <c r="S45" s="16">
        <f t="shared" si="2"/>
        <v>0</v>
      </c>
      <c r="T45" s="16">
        <f t="shared" si="3"/>
        <v>0</v>
      </c>
      <c r="U45" s="16">
        <f t="shared" si="4"/>
        <v>0</v>
      </c>
      <c r="V45" s="16">
        <f t="shared" si="5"/>
        <v>0</v>
      </c>
      <c r="W45" s="16">
        <f t="shared" si="22"/>
        <v>0</v>
      </c>
      <c r="X45" s="16">
        <f t="shared" si="7"/>
        <v>0</v>
      </c>
      <c r="Z45" s="16">
        <f t="shared" si="8"/>
        <v>0</v>
      </c>
      <c r="AA45" s="2"/>
      <c r="AB45" s="16" t="s">
        <v>432</v>
      </c>
      <c r="AC45" s="16" t="s">
        <v>433</v>
      </c>
      <c r="AD45" s="16" t="s">
        <v>434</v>
      </c>
      <c r="AF45" s="2" t="s">
        <v>435</v>
      </c>
      <c r="AG45" s="2" t="s">
        <v>435</v>
      </c>
      <c r="AH45" s="21" t="s">
        <v>430</v>
      </c>
      <c r="AI45" s="118"/>
      <c r="AJ45" s="118"/>
      <c r="AK45" s="118"/>
      <c r="AL45" s="117"/>
      <c r="AM45" s="117"/>
      <c r="AN45" s="117"/>
      <c r="AO45" s="117"/>
      <c r="AP45" s="117"/>
      <c r="AQ45" s="117"/>
      <c r="AR45" s="117"/>
      <c r="AS45" s="118"/>
      <c r="AT45" s="118"/>
      <c r="AU45" s="118"/>
      <c r="AV45" s="117"/>
      <c r="AW45" s="117"/>
      <c r="AX45" s="117"/>
      <c r="AY45" s="117"/>
      <c r="AZ45" s="117"/>
      <c r="BA45" s="117"/>
      <c r="BB45" s="117"/>
      <c r="BC45" s="117"/>
      <c r="BD45" s="117"/>
      <c r="BE45" s="117"/>
      <c r="BF45" s="117"/>
      <c r="BG45" s="117"/>
      <c r="BH45" s="117"/>
      <c r="BI45" s="117"/>
    </row>
    <row r="46" spans="1:61">
      <c r="A46" s="2" t="str">
        <f>'Reference Score Calculation'!A37</f>
        <v>JS1074</v>
      </c>
      <c r="B46" s="364" t="str">
        <f>'Reference Score Calculation'!A37</f>
        <v>JS1074</v>
      </c>
      <c r="C46" s="2" t="str">
        <f>'Reference Score Calculation'!D37</f>
        <v>理學士(數據與系統工程)</v>
      </c>
      <c r="D46" s="16">
        <f>'Reference Score Calculation'!T37</f>
        <v>20</v>
      </c>
      <c r="E46" s="16">
        <v>3</v>
      </c>
      <c r="F46" s="16">
        <v>3</v>
      </c>
      <c r="G46" s="16">
        <v>3</v>
      </c>
      <c r="H46" s="16">
        <v>2</v>
      </c>
      <c r="I46" s="16">
        <v>3</v>
      </c>
      <c r="J46" s="16">
        <v>3</v>
      </c>
      <c r="L46" s="92">
        <v>3</v>
      </c>
      <c r="M46" s="92">
        <v>3</v>
      </c>
      <c r="N46" s="92">
        <v>3</v>
      </c>
      <c r="O46" s="92">
        <v>1</v>
      </c>
      <c r="P46" s="92">
        <v>3</v>
      </c>
      <c r="Q46" s="92">
        <v>3</v>
      </c>
      <c r="S46" s="16">
        <f t="shared" si="2"/>
        <v>0</v>
      </c>
      <c r="T46" s="16">
        <f t="shared" si="3"/>
        <v>0</v>
      </c>
      <c r="U46" s="16">
        <f t="shared" si="4"/>
        <v>0</v>
      </c>
      <c r="V46" s="16">
        <f t="shared" si="5"/>
        <v>0</v>
      </c>
      <c r="W46" s="16">
        <f t="shared" si="22"/>
        <v>0</v>
      </c>
      <c r="X46" s="16">
        <f t="shared" si="7"/>
        <v>0</v>
      </c>
      <c r="Z46" s="16">
        <f t="shared" si="8"/>
        <v>0</v>
      </c>
      <c r="AA46" s="2"/>
      <c r="AB46" s="16" t="s">
        <v>432</v>
      </c>
      <c r="AC46" s="16" t="s">
        <v>433</v>
      </c>
      <c r="AD46" s="16" t="s">
        <v>434</v>
      </c>
      <c r="AF46" s="2" t="s">
        <v>435</v>
      </c>
      <c r="AG46" s="2" t="s">
        <v>435</v>
      </c>
      <c r="AH46" s="21" t="s">
        <v>430</v>
      </c>
      <c r="AI46" s="125" t="s">
        <v>442</v>
      </c>
      <c r="AJ46" s="118"/>
      <c r="AK46" s="118"/>
      <c r="AL46" s="117"/>
      <c r="AM46" s="117"/>
      <c r="AN46" s="117"/>
      <c r="AO46" s="117"/>
      <c r="AP46" s="117"/>
      <c r="AQ46" s="117"/>
      <c r="AR46" s="117"/>
      <c r="AS46" s="118"/>
      <c r="AT46" s="118"/>
      <c r="AU46" s="118"/>
      <c r="AV46" s="117"/>
      <c r="AW46" s="117"/>
      <c r="AX46" s="117"/>
      <c r="AY46" s="117"/>
      <c r="AZ46" s="117"/>
      <c r="BA46" s="117"/>
      <c r="BB46" s="117"/>
      <c r="BC46" s="117"/>
      <c r="BD46" s="117"/>
      <c r="BE46" s="117"/>
      <c r="BF46" s="117"/>
      <c r="BG46" s="117"/>
      <c r="BH46" s="117"/>
      <c r="BI46" s="117"/>
    </row>
    <row r="47" spans="1:61">
      <c r="A47" s="2" t="str">
        <f>'Reference Score Calculation'!A38</f>
        <v>JS1102</v>
      </c>
      <c r="B47" s="364" t="str">
        <f>'Reference Score Calculation'!A38</f>
        <v>JS1102</v>
      </c>
      <c r="C47" s="2" t="str">
        <f>'Reference Score Calculation'!D38</f>
        <v>社會科學學士(國際關係及全球事務)</v>
      </c>
      <c r="D47" s="16">
        <f>'Reference Score Calculation'!T38</f>
        <v>20</v>
      </c>
      <c r="E47" s="16">
        <v>3</v>
      </c>
      <c r="F47" s="16">
        <v>3</v>
      </c>
      <c r="G47" s="16">
        <v>2</v>
      </c>
      <c r="H47" s="16">
        <v>2</v>
      </c>
      <c r="I47" s="16">
        <v>3</v>
      </c>
      <c r="J47" s="16">
        <v>3</v>
      </c>
      <c r="L47" s="92">
        <v>3</v>
      </c>
      <c r="M47" s="92">
        <v>3</v>
      </c>
      <c r="N47" s="92">
        <v>2</v>
      </c>
      <c r="O47" s="92">
        <v>1</v>
      </c>
      <c r="P47" s="92">
        <v>3</v>
      </c>
      <c r="Q47" s="92">
        <v>3</v>
      </c>
      <c r="S47" s="16">
        <f t="shared" si="2"/>
        <v>0</v>
      </c>
      <c r="T47" s="16">
        <f t="shared" si="3"/>
        <v>0</v>
      </c>
      <c r="U47" s="16">
        <f t="shared" si="4"/>
        <v>0</v>
      </c>
      <c r="V47" s="16">
        <f t="shared" si="5"/>
        <v>0</v>
      </c>
      <c r="W47" s="16">
        <f t="shared" si="22"/>
        <v>0</v>
      </c>
      <c r="X47" s="16">
        <f t="shared" si="7"/>
        <v>0</v>
      </c>
      <c r="Z47" s="16">
        <f t="shared" si="8"/>
        <v>0</v>
      </c>
      <c r="AA47" s="2"/>
      <c r="AB47" s="16" t="s">
        <v>432</v>
      </c>
      <c r="AC47" s="16" t="s">
        <v>433</v>
      </c>
      <c r="AD47" s="16" t="s">
        <v>434</v>
      </c>
      <c r="AF47" s="2" t="s">
        <v>435</v>
      </c>
      <c r="AG47" s="2" t="s">
        <v>435</v>
      </c>
      <c r="AH47" s="21" t="s">
        <v>430</v>
      </c>
      <c r="AI47" s="117"/>
      <c r="AJ47" s="117"/>
      <c r="AK47" s="117"/>
      <c r="AL47" s="117"/>
      <c r="AM47" s="117"/>
      <c r="AN47" s="117"/>
      <c r="AO47" s="117"/>
      <c r="AP47" s="117"/>
      <c r="AQ47" s="117"/>
      <c r="AR47" s="117"/>
      <c r="AS47" s="117"/>
      <c r="AT47" s="117"/>
      <c r="AU47" s="117"/>
      <c r="AV47" s="117"/>
      <c r="AW47" s="117"/>
      <c r="AX47" s="117"/>
      <c r="AY47" s="117"/>
      <c r="AZ47" s="117"/>
      <c r="BA47" s="117"/>
      <c r="BB47" s="117"/>
      <c r="BC47" s="117"/>
      <c r="BD47" s="117"/>
      <c r="BE47" s="117"/>
      <c r="BF47" s="117"/>
      <c r="BG47" s="117"/>
      <c r="BH47" s="117"/>
      <c r="BI47" s="117"/>
    </row>
    <row r="48" spans="1:61">
      <c r="A48" s="2" t="str">
        <f>'Reference Score Calculation'!A39</f>
        <v>JS1103</v>
      </c>
      <c r="B48" s="364" t="str">
        <f>'Reference Score Calculation'!A39</f>
        <v>JS1103</v>
      </c>
      <c r="C48" s="2" t="str">
        <f>'Reference Score Calculation'!D39</f>
        <v>文學士(中文及歷史)</v>
      </c>
      <c r="D48" s="16">
        <f>'Reference Score Calculation'!T39</f>
        <v>45</v>
      </c>
      <c r="E48" s="16">
        <v>3</v>
      </c>
      <c r="F48" s="16">
        <v>3</v>
      </c>
      <c r="G48" s="16">
        <v>2</v>
      </c>
      <c r="H48" s="16">
        <v>2</v>
      </c>
      <c r="I48" s="16">
        <v>3</v>
      </c>
      <c r="J48" s="16">
        <v>3</v>
      </c>
      <c r="L48" s="92">
        <v>3</v>
      </c>
      <c r="M48" s="92">
        <v>3</v>
      </c>
      <c r="N48" s="92">
        <v>2</v>
      </c>
      <c r="O48" s="92">
        <v>1</v>
      </c>
      <c r="P48" s="92">
        <v>3</v>
      </c>
      <c r="Q48" s="92">
        <v>3</v>
      </c>
      <c r="S48" s="16">
        <f t="shared" si="2"/>
        <v>0</v>
      </c>
      <c r="T48" s="16">
        <f t="shared" si="3"/>
        <v>0</v>
      </c>
      <c r="U48" s="16">
        <f t="shared" si="4"/>
        <v>0</v>
      </c>
      <c r="V48" s="16">
        <f t="shared" si="5"/>
        <v>0</v>
      </c>
      <c r="W48" s="16">
        <f t="shared" si="22"/>
        <v>0</v>
      </c>
      <c r="X48" s="16">
        <f t="shared" si="7"/>
        <v>0</v>
      </c>
      <c r="Z48" s="16">
        <f t="shared" si="8"/>
        <v>0</v>
      </c>
      <c r="AA48" s="2"/>
      <c r="AB48" s="16" t="s">
        <v>432</v>
      </c>
      <c r="AC48" s="16" t="s">
        <v>433</v>
      </c>
      <c r="AD48" s="16" t="s">
        <v>434</v>
      </c>
      <c r="AF48" s="2" t="s">
        <v>435</v>
      </c>
      <c r="AG48" s="2" t="s">
        <v>435</v>
      </c>
      <c r="AH48" s="21" t="s">
        <v>430</v>
      </c>
      <c r="AI48" s="118"/>
      <c r="AJ48" s="118" t="str">
        <f>Q2</f>
        <v>請選擇第一選修科</v>
      </c>
      <c r="AK48" s="118" t="str">
        <f>R2</f>
        <v>請選擇第二選修科</v>
      </c>
      <c r="AL48" s="118" t="str">
        <f>S2</f>
        <v>請選擇第三選修科</v>
      </c>
      <c r="AM48" s="118" t="str">
        <f>T2</f>
        <v>請選擇第四選修科</v>
      </c>
      <c r="AN48" s="118" t="s">
        <v>23</v>
      </c>
      <c r="AO48" s="118"/>
      <c r="AP48" s="118" t="s">
        <v>443</v>
      </c>
      <c r="AQ48" s="118"/>
      <c r="AR48" s="118"/>
      <c r="AS48" s="118"/>
      <c r="AT48" s="118"/>
      <c r="AU48" s="118"/>
      <c r="AV48" s="118"/>
      <c r="AW48" s="117"/>
      <c r="AX48" s="117"/>
      <c r="AY48" s="117"/>
      <c r="AZ48" s="117"/>
      <c r="BA48" s="117"/>
      <c r="BB48" s="117"/>
      <c r="BC48" s="117"/>
      <c r="BD48" s="117"/>
      <c r="BE48" s="117"/>
      <c r="BF48" s="117"/>
      <c r="BG48" s="117"/>
      <c r="BH48" s="117"/>
      <c r="BI48" s="117"/>
    </row>
    <row r="49" spans="1:61">
      <c r="A49" s="2" t="str">
        <f>'Reference Score Calculation'!A40</f>
        <v>JS1104</v>
      </c>
      <c r="B49" s="364" t="str">
        <f>'Reference Score Calculation'!A40</f>
        <v>JS1104</v>
      </c>
      <c r="C49" s="2" t="str">
        <f>'Reference Score Calculation'!D40</f>
        <v>文學士(英語語言)</v>
      </c>
      <c r="D49" s="16">
        <f>'Reference Score Calculation'!T40</f>
        <v>25</v>
      </c>
      <c r="E49" s="16">
        <v>3</v>
      </c>
      <c r="F49" s="16">
        <v>3</v>
      </c>
      <c r="G49" s="16">
        <v>2</v>
      </c>
      <c r="H49" s="16">
        <v>2</v>
      </c>
      <c r="I49" s="16">
        <v>3</v>
      </c>
      <c r="J49" s="16">
        <v>3</v>
      </c>
      <c r="L49" s="92">
        <v>3</v>
      </c>
      <c r="M49" s="92">
        <v>3</v>
      </c>
      <c r="N49" s="92">
        <v>2</v>
      </c>
      <c r="O49" s="92">
        <v>1</v>
      </c>
      <c r="P49" s="92">
        <v>3</v>
      </c>
      <c r="Q49" s="92">
        <v>3</v>
      </c>
      <c r="S49" s="16">
        <f t="shared" si="2"/>
        <v>0</v>
      </c>
      <c r="T49" s="16">
        <f t="shared" si="3"/>
        <v>0</v>
      </c>
      <c r="U49" s="16">
        <f t="shared" si="4"/>
        <v>0</v>
      </c>
      <c r="V49" s="16">
        <f t="shared" si="5"/>
        <v>0</v>
      </c>
      <c r="W49" s="16">
        <f t="shared" si="22"/>
        <v>0</v>
      </c>
      <c r="X49" s="16">
        <f t="shared" si="7"/>
        <v>0</v>
      </c>
      <c r="Z49" s="16">
        <f t="shared" si="8"/>
        <v>0</v>
      </c>
      <c r="AA49" s="2"/>
      <c r="AB49" s="16" t="s">
        <v>432</v>
      </c>
      <c r="AC49" s="16" t="s">
        <v>433</v>
      </c>
      <c r="AD49" s="16" t="s">
        <v>434</v>
      </c>
      <c r="AF49" s="2" t="s">
        <v>435</v>
      </c>
      <c r="AG49" s="2" t="s">
        <v>435</v>
      </c>
      <c r="AH49" s="21" t="s">
        <v>430</v>
      </c>
      <c r="AI49" s="118" t="s">
        <v>444</v>
      </c>
      <c r="AJ49" s="119">
        <f>IF(OR(Q2="化學",Q2="生物",Q2="經濟",Q2="物理"),Q3,0)</f>
        <v>0</v>
      </c>
      <c r="AK49" s="119">
        <f>IF(OR(R2="化學",R2="生物",R2="經濟",R2="物理"),R3,0)</f>
        <v>0</v>
      </c>
      <c r="AL49" s="119">
        <f>IF(OR(S2="化學",S2="生物",S2="經濟",S2="物理"),S3,0)</f>
        <v>0</v>
      </c>
      <c r="AM49" s="119">
        <f>IF(OR(T2="化學",T2="生物",T2="經濟",T2="物理"),T3,0)</f>
        <v>0</v>
      </c>
      <c r="AN49" s="119">
        <f>P3</f>
        <v>5.0000000000000003E-10</v>
      </c>
      <c r="AO49" s="118"/>
      <c r="AP49" s="119" t="str">
        <f>IF(AQ49&gt;0,INDEX(AJ48:AN48,MATCH(LARGE(AJ49:AN49,1),AJ49:AN49,0)),"無")</f>
        <v>M1/2</v>
      </c>
      <c r="AQ49" s="119">
        <f>LARGE((AJ49:AN49),1)</f>
        <v>5.0000000000000003E-10</v>
      </c>
      <c r="AR49" s="119" t="str">
        <f>IF(AS49&gt;0,INDEX(AJ48:AN48,MATCH(LARGE(AJ49:AN49,2),AJ49:AN49,0)),"無")</f>
        <v>無</v>
      </c>
      <c r="AS49" s="119">
        <f>LARGE((AJ49:AN49),2)</f>
        <v>0</v>
      </c>
      <c r="AT49" s="118"/>
      <c r="AU49" s="118"/>
      <c r="AV49" s="118"/>
      <c r="AW49" s="117"/>
      <c r="AX49" s="117"/>
      <c r="AY49" s="117"/>
      <c r="AZ49" s="117"/>
      <c r="BA49" s="117"/>
      <c r="BB49" s="117"/>
      <c r="BC49" s="117"/>
      <c r="BD49" s="117"/>
      <c r="BE49" s="117"/>
      <c r="BF49" s="117"/>
      <c r="BG49" s="117"/>
      <c r="BH49" s="117"/>
      <c r="BI49" s="117"/>
    </row>
    <row r="50" spans="1:61">
      <c r="A50" s="2" t="str">
        <f>'Reference Score Calculation'!A41</f>
        <v>JS1106</v>
      </c>
      <c r="B50" s="364" t="str">
        <f>'Reference Score Calculation'!A41</f>
        <v>JS1106</v>
      </c>
      <c r="C50" s="2" t="str">
        <f>'Reference Score Calculation'!D41</f>
        <v>媒體與傳播系 [選項: 文學士(數碼電視與廣播)、文學士(媒體與傳播)]</v>
      </c>
      <c r="D50" s="16">
        <f>'Reference Score Calculation'!T41</f>
        <v>45</v>
      </c>
      <c r="E50" s="16">
        <v>3</v>
      </c>
      <c r="F50" s="16">
        <v>3</v>
      </c>
      <c r="G50" s="16">
        <v>2</v>
      </c>
      <c r="H50" s="16">
        <v>2</v>
      </c>
      <c r="I50" s="16">
        <v>3</v>
      </c>
      <c r="J50" s="16">
        <v>3</v>
      </c>
      <c r="L50" s="92">
        <v>3</v>
      </c>
      <c r="M50" s="92">
        <v>3</v>
      </c>
      <c r="N50" s="92">
        <v>2</v>
      </c>
      <c r="O50" s="92">
        <v>1</v>
      </c>
      <c r="P50" s="92">
        <v>3</v>
      </c>
      <c r="Q50" s="92">
        <v>3</v>
      </c>
      <c r="S50" s="16">
        <f t="shared" si="2"/>
        <v>0</v>
      </c>
      <c r="T50" s="16">
        <f t="shared" si="3"/>
        <v>0</v>
      </c>
      <c r="U50" s="16">
        <f t="shared" si="4"/>
        <v>0</v>
      </c>
      <c r="V50" s="16">
        <f t="shared" si="5"/>
        <v>0</v>
      </c>
      <c r="W50" s="16">
        <f t="shared" si="22"/>
        <v>0</v>
      </c>
      <c r="X50" s="16">
        <f t="shared" si="7"/>
        <v>0</v>
      </c>
      <c r="Z50" s="16">
        <f t="shared" si="8"/>
        <v>0</v>
      </c>
      <c r="AA50" s="2"/>
      <c r="AB50" s="16" t="s">
        <v>432</v>
      </c>
      <c r="AC50" s="16" t="s">
        <v>433</v>
      </c>
      <c r="AD50" s="16" t="s">
        <v>434</v>
      </c>
      <c r="AF50" s="2" t="s">
        <v>435</v>
      </c>
      <c r="AG50" s="2" t="s">
        <v>435</v>
      </c>
      <c r="AH50" s="21" t="s">
        <v>430</v>
      </c>
      <c r="AI50" s="118"/>
      <c r="AJ50" s="117" t="str">
        <f>Q2</f>
        <v>請選擇第一選修科</v>
      </c>
      <c r="AK50" s="117" t="str">
        <f>R2</f>
        <v>請選擇第二選修科</v>
      </c>
      <c r="AL50" s="117" t="str">
        <f>S2</f>
        <v>請選擇第三選修科</v>
      </c>
      <c r="AM50" s="117" t="str">
        <f>T2</f>
        <v>請選擇第四選修科</v>
      </c>
      <c r="AN50" s="117"/>
      <c r="AO50" s="118"/>
      <c r="AP50" s="118" t="s">
        <v>2868</v>
      </c>
      <c r="AQ50" s="118"/>
      <c r="AR50" s="118"/>
      <c r="AS50" s="117" t="s">
        <v>445</v>
      </c>
      <c r="AT50" s="118"/>
      <c r="AU50" s="118" t="str">
        <f>Q2</f>
        <v>請選擇第一選修科</v>
      </c>
      <c r="AV50" s="118" t="str">
        <f>R2</f>
        <v>請選擇第二選修科</v>
      </c>
      <c r="AW50" s="118" t="str">
        <f>S2</f>
        <v>請選擇第三選修科</v>
      </c>
      <c r="AX50" s="118" t="str">
        <f>T2</f>
        <v>請選擇第四選修科</v>
      </c>
      <c r="AY50" s="117"/>
      <c r="AZ50" s="118" t="s">
        <v>2871</v>
      </c>
      <c r="BA50" s="117"/>
      <c r="BB50" s="117"/>
      <c r="BC50" s="117"/>
      <c r="BD50" s="117"/>
      <c r="BE50" s="117"/>
      <c r="BF50" s="117"/>
      <c r="BG50" s="117"/>
      <c r="BH50" s="117"/>
      <c r="BI50" s="117"/>
    </row>
    <row r="51" spans="1:61">
      <c r="A51" s="2" t="str">
        <f>'Reference Score Calculation'!A42</f>
        <v>JS1108</v>
      </c>
      <c r="B51" s="364" t="str">
        <f>'Reference Score Calculation'!A42</f>
        <v>JS1108</v>
      </c>
      <c r="C51" s="2" t="str">
        <f>'Reference Score Calculation'!D42</f>
        <v>社會科學學士(公共政策與政治)</v>
      </c>
      <c r="D51" s="16">
        <f>'Reference Score Calculation'!T42</f>
        <v>63</v>
      </c>
      <c r="E51" s="16">
        <v>3</v>
      </c>
      <c r="F51" s="16">
        <v>3</v>
      </c>
      <c r="G51" s="16">
        <v>2</v>
      </c>
      <c r="H51" s="16">
        <v>2</v>
      </c>
      <c r="I51" s="16">
        <v>3</v>
      </c>
      <c r="J51" s="16">
        <v>3</v>
      </c>
      <c r="L51" s="92">
        <v>3</v>
      </c>
      <c r="M51" s="92">
        <v>3</v>
      </c>
      <c r="N51" s="92">
        <v>2</v>
      </c>
      <c r="O51" s="92">
        <v>1</v>
      </c>
      <c r="P51" s="92">
        <v>3</v>
      </c>
      <c r="Q51" s="92">
        <v>3</v>
      </c>
      <c r="S51" s="16">
        <f t="shared" si="2"/>
        <v>0</v>
      </c>
      <c r="T51" s="16">
        <f t="shared" si="3"/>
        <v>0</v>
      </c>
      <c r="U51" s="16">
        <f t="shared" si="4"/>
        <v>0</v>
      </c>
      <c r="V51" s="16">
        <f t="shared" si="5"/>
        <v>0</v>
      </c>
      <c r="W51" s="16">
        <f t="shared" si="22"/>
        <v>0</v>
      </c>
      <c r="X51" s="16">
        <f t="shared" si="7"/>
        <v>0</v>
      </c>
      <c r="Z51" s="16">
        <f t="shared" si="8"/>
        <v>0</v>
      </c>
      <c r="AA51" s="2"/>
      <c r="AB51" s="16" t="s">
        <v>432</v>
      </c>
      <c r="AC51" s="16" t="s">
        <v>433</v>
      </c>
      <c r="AD51" s="16" t="s">
        <v>434</v>
      </c>
      <c r="AF51" s="2" t="s">
        <v>435</v>
      </c>
      <c r="AG51" s="2" t="s">
        <v>435</v>
      </c>
      <c r="AH51" s="21" t="s">
        <v>430</v>
      </c>
      <c r="AI51" s="118" t="s">
        <v>446</v>
      </c>
      <c r="AJ51" s="2">
        <f>IF(Q2="化學",Q3,0)</f>
        <v>0</v>
      </c>
      <c r="AK51" s="2">
        <f t="shared" ref="AK51:AM51" si="24">IF(R2="化學",R3,0)</f>
        <v>0</v>
      </c>
      <c r="AL51" s="2">
        <f t="shared" si="24"/>
        <v>0</v>
      </c>
      <c r="AM51" s="2">
        <f t="shared" si="24"/>
        <v>0</v>
      </c>
      <c r="AN51" s="117"/>
      <c r="AO51" s="118"/>
      <c r="AP51" s="119" t="str">
        <f>IF(AQ51&gt;0,INDEX(AJ50:AM50,MATCH(LARGE(AJ51:AM51,1),AJ51:AM51,0)),"無")</f>
        <v>無</v>
      </c>
      <c r="AQ51" s="119">
        <f>LARGE((AJ51:AM51),1)</f>
        <v>0</v>
      </c>
      <c r="AR51" s="118"/>
      <c r="AS51" s="2" t="b">
        <f>IF(N3&gt;3,TRUE,FALSE)</f>
        <v>0</v>
      </c>
      <c r="AT51" s="118"/>
      <c r="AU51" s="119">
        <f>IF(OR(Q2="生物",Q2="企業、會計與財務概論",Q2="設計與應用科技",Q2="資訊及通訊科技",Q2="物理"),Q3,0)</f>
        <v>0</v>
      </c>
      <c r="AV51" s="119">
        <f t="shared" ref="AV51:AX51" si="25">IF(OR(R2="生物",R2="企業、會計與財務概論",R2="設計與應用科技",R2="資訊及通訊科技",R2="物理"),R3,0)</f>
        <v>0</v>
      </c>
      <c r="AW51" s="119">
        <f t="shared" si="25"/>
        <v>0</v>
      </c>
      <c r="AX51" s="119">
        <f t="shared" si="25"/>
        <v>0</v>
      </c>
      <c r="AY51" s="117"/>
      <c r="AZ51" s="119" t="str">
        <f>IF(BA51&gt;0,INDEX(AU50:AX50,MATCH(LARGE(AU51:AX51,1),AU51:AX51,0)),"無")</f>
        <v>無</v>
      </c>
      <c r="BA51" s="119">
        <f>LARGE((AU51:AX51),1)</f>
        <v>0</v>
      </c>
      <c r="BB51" s="117"/>
      <c r="BC51" s="117"/>
      <c r="BD51" s="117"/>
      <c r="BE51" s="117"/>
      <c r="BF51" s="117"/>
      <c r="BG51" s="117"/>
      <c r="BH51" s="117"/>
      <c r="BI51" s="117"/>
    </row>
    <row r="52" spans="1:61">
      <c r="A52" s="2" t="str">
        <f>'Reference Score Calculation'!A43</f>
        <v>JS1109</v>
      </c>
      <c r="B52" s="364" t="str">
        <f>'Reference Score Calculation'!A43</f>
        <v>JS1109</v>
      </c>
      <c r="C52" s="2" t="str">
        <f>'Reference Score Calculation'!D43</f>
        <v>文學士(語言學及語言應用)</v>
      </c>
      <c r="D52" s="16">
        <f>'Reference Score Calculation'!T43</f>
        <v>25</v>
      </c>
      <c r="E52" s="16">
        <v>3</v>
      </c>
      <c r="F52" s="16">
        <v>3</v>
      </c>
      <c r="G52" s="16">
        <v>2</v>
      </c>
      <c r="H52" s="16">
        <v>2</v>
      </c>
      <c r="I52" s="16">
        <v>3</v>
      </c>
      <c r="J52" s="16">
        <v>3</v>
      </c>
      <c r="L52" s="92">
        <v>3</v>
      </c>
      <c r="M52" s="92">
        <v>3</v>
      </c>
      <c r="N52" s="92">
        <v>2</v>
      </c>
      <c r="O52" s="92">
        <v>1</v>
      </c>
      <c r="P52" s="92">
        <v>3</v>
      </c>
      <c r="Q52" s="92">
        <v>3</v>
      </c>
      <c r="S52" s="16">
        <f t="shared" si="2"/>
        <v>0</v>
      </c>
      <c r="T52" s="16">
        <f t="shared" si="3"/>
        <v>0</v>
      </c>
      <c r="U52" s="16">
        <f t="shared" si="4"/>
        <v>0</v>
      </c>
      <c r="V52" s="16">
        <f t="shared" si="5"/>
        <v>0</v>
      </c>
      <c r="W52" s="16">
        <f t="shared" si="22"/>
        <v>0</v>
      </c>
      <c r="X52" s="16">
        <f t="shared" si="7"/>
        <v>0</v>
      </c>
      <c r="Z52" s="16">
        <f t="shared" si="8"/>
        <v>0</v>
      </c>
      <c r="AA52" s="2"/>
      <c r="AB52" s="16" t="s">
        <v>432</v>
      </c>
      <c r="AC52" s="16" t="s">
        <v>433</v>
      </c>
      <c r="AD52" s="16" t="s">
        <v>434</v>
      </c>
      <c r="AF52" s="2" t="s">
        <v>435</v>
      </c>
      <c r="AG52" s="2" t="s">
        <v>435</v>
      </c>
      <c r="AH52" s="21" t="s">
        <v>430</v>
      </c>
      <c r="AI52" s="118"/>
      <c r="AJ52" s="117" t="str">
        <f>Q2</f>
        <v>請選擇第一選修科</v>
      </c>
      <c r="AK52" s="117" t="str">
        <f>R2</f>
        <v>請選擇第二選修科</v>
      </c>
      <c r="AL52" s="117" t="str">
        <f>S2</f>
        <v>請選擇第三選修科</v>
      </c>
      <c r="AM52" s="117" t="str">
        <f>T2</f>
        <v>請選擇第四選修科</v>
      </c>
      <c r="AN52" s="118" t="s">
        <v>23</v>
      </c>
      <c r="AO52" s="118"/>
      <c r="AP52" s="118" t="s">
        <v>2869</v>
      </c>
      <c r="AQ52" s="118"/>
      <c r="AR52" s="118"/>
      <c r="AS52" s="118"/>
      <c r="AT52" s="118"/>
      <c r="AU52" s="118"/>
      <c r="AV52" s="118"/>
      <c r="AW52" s="117"/>
      <c r="AX52" s="117"/>
      <c r="AY52" s="117"/>
      <c r="AZ52" s="117"/>
      <c r="BA52" s="117"/>
      <c r="BB52" s="117"/>
      <c r="BC52" s="117"/>
      <c r="BD52" s="117"/>
      <c r="BE52" s="117"/>
      <c r="BF52" s="117"/>
      <c r="BG52" s="117"/>
      <c r="BH52" s="117"/>
      <c r="BI52" s="117"/>
    </row>
    <row r="53" spans="1:61">
      <c r="A53" s="2" t="str">
        <f>'Reference Score Calculation'!A44</f>
        <v>JS1110</v>
      </c>
      <c r="B53" s="364" t="str">
        <f>'Reference Score Calculation'!A44</f>
        <v>JS1110</v>
      </c>
      <c r="C53" s="2" t="str">
        <f>'Reference Score Calculation'!D44</f>
        <v>社會及行為科學系 [選項: 社會科學學士(犯罪學及社會學)、社會科學學士(心理學)、社會科學學士(社會工作)]</v>
      </c>
      <c r="D53" s="16">
        <f>'Reference Score Calculation'!T44</f>
        <v>10</v>
      </c>
      <c r="E53" s="16">
        <v>3</v>
      </c>
      <c r="F53" s="16">
        <v>3</v>
      </c>
      <c r="G53" s="16">
        <v>2</v>
      </c>
      <c r="H53" s="16">
        <v>2</v>
      </c>
      <c r="I53" s="16">
        <v>3</v>
      </c>
      <c r="J53" s="16">
        <v>3</v>
      </c>
      <c r="L53" s="92">
        <v>3</v>
      </c>
      <c r="M53" s="92">
        <v>3</v>
      </c>
      <c r="N53" s="92">
        <v>2</v>
      </c>
      <c r="O53" s="92">
        <v>1</v>
      </c>
      <c r="P53" s="92">
        <v>3</v>
      </c>
      <c r="Q53" s="92">
        <v>3</v>
      </c>
      <c r="S53" s="16">
        <f t="shared" si="2"/>
        <v>0</v>
      </c>
      <c r="T53" s="16">
        <f t="shared" si="3"/>
        <v>0</v>
      </c>
      <c r="U53" s="16">
        <f t="shared" si="4"/>
        <v>0</v>
      </c>
      <c r="V53" s="16">
        <f t="shared" si="5"/>
        <v>0</v>
      </c>
      <c r="W53" s="16">
        <f t="shared" si="22"/>
        <v>0</v>
      </c>
      <c r="X53" s="16">
        <f t="shared" si="7"/>
        <v>0</v>
      </c>
      <c r="Z53" s="16">
        <f t="shared" si="8"/>
        <v>0</v>
      </c>
      <c r="AA53" s="2"/>
      <c r="AB53" s="16" t="s">
        <v>432</v>
      </c>
      <c r="AC53" s="16" t="s">
        <v>433</v>
      </c>
      <c r="AD53" s="16" t="s">
        <v>434</v>
      </c>
      <c r="AF53" s="2" t="s">
        <v>435</v>
      </c>
      <c r="AG53" s="2" t="s">
        <v>435</v>
      </c>
      <c r="AH53" s="21" t="s">
        <v>430</v>
      </c>
      <c r="AI53" s="118" t="s">
        <v>447</v>
      </c>
      <c r="AJ53" s="2">
        <f>IF(OR(Q2="生物",Q2="企業、會計與財務概論",Q2="化學",Q2="設計與應用科技",Q2="資訊及通訊科技",Q2="物理"),Q3,0)</f>
        <v>0</v>
      </c>
      <c r="AK53" s="2">
        <f t="shared" ref="AK53:AM53" si="26">IF(OR(R2="生物",R2="企業、會計與財務概論",R2="化學",R2="設計與應用科技",R2="資訊及通訊科技",R2="物理"),R3,0)</f>
        <v>0</v>
      </c>
      <c r="AL53" s="2">
        <f t="shared" si="26"/>
        <v>0</v>
      </c>
      <c r="AM53" s="2">
        <f t="shared" si="26"/>
        <v>0</v>
      </c>
      <c r="AN53" s="119">
        <f>P3</f>
        <v>5.0000000000000003E-10</v>
      </c>
      <c r="AO53" s="118"/>
      <c r="AP53" s="119" t="str">
        <f>IF(AQ53&gt;0,INDEX(AJ52:AN52,MATCH(LARGE(AJ53:AN53,1),AJ53:AN53,0)),"無")</f>
        <v>M1/2</v>
      </c>
      <c r="AQ53" s="119">
        <f>LARGE((AJ53:AN53),1)</f>
        <v>5.0000000000000003E-10</v>
      </c>
      <c r="AR53" s="118"/>
      <c r="AS53" s="118"/>
      <c r="AT53" s="118"/>
      <c r="AU53" s="118"/>
      <c r="AV53" s="118"/>
      <c r="AW53" s="117"/>
      <c r="AX53" s="117"/>
      <c r="AY53" s="117"/>
      <c r="AZ53" s="117"/>
      <c r="BA53" s="117"/>
      <c r="BB53" s="117"/>
      <c r="BC53" s="117"/>
      <c r="BD53" s="117"/>
      <c r="BE53" s="117"/>
      <c r="BF53" s="117"/>
      <c r="BG53" s="117"/>
      <c r="BH53" s="117"/>
      <c r="BI53" s="117"/>
    </row>
    <row r="54" spans="1:61">
      <c r="A54" s="2" t="str">
        <f>'Reference Score Calculation'!A45</f>
        <v>JS1111</v>
      </c>
      <c r="B54" s="364" t="str">
        <f>'Reference Score Calculation'!A45</f>
        <v>JS1111</v>
      </c>
      <c r="C54" s="2" t="str">
        <f>'Reference Score Calculation'!D45</f>
        <v>社會科學學士(犯罪學及社會學)</v>
      </c>
      <c r="D54" s="16">
        <f>'Reference Score Calculation'!T45</f>
        <v>20</v>
      </c>
      <c r="E54" s="16">
        <v>3</v>
      </c>
      <c r="F54" s="16">
        <v>3</v>
      </c>
      <c r="G54" s="16">
        <v>2</v>
      </c>
      <c r="H54" s="16">
        <v>2</v>
      </c>
      <c r="I54" s="16">
        <v>3</v>
      </c>
      <c r="J54" s="16">
        <v>3</v>
      </c>
      <c r="L54" s="92">
        <v>3</v>
      </c>
      <c r="M54" s="92">
        <v>3</v>
      </c>
      <c r="N54" s="92">
        <v>2</v>
      </c>
      <c r="O54" s="92">
        <v>1</v>
      </c>
      <c r="P54" s="92">
        <v>3</v>
      </c>
      <c r="Q54" s="92">
        <v>3</v>
      </c>
      <c r="S54" s="16">
        <f t="shared" si="2"/>
        <v>0</v>
      </c>
      <c r="T54" s="16">
        <f t="shared" si="3"/>
        <v>0</v>
      </c>
      <c r="U54" s="16">
        <f t="shared" si="4"/>
        <v>0</v>
      </c>
      <c r="V54" s="16">
        <f t="shared" si="5"/>
        <v>0</v>
      </c>
      <c r="W54" s="16">
        <f t="shared" si="22"/>
        <v>0</v>
      </c>
      <c r="X54" s="16">
        <f t="shared" si="7"/>
        <v>0</v>
      </c>
      <c r="Z54" s="16">
        <f t="shared" si="8"/>
        <v>0</v>
      </c>
      <c r="AA54" s="2"/>
      <c r="AB54" s="16" t="s">
        <v>432</v>
      </c>
      <c r="AC54" s="16" t="s">
        <v>433</v>
      </c>
      <c r="AD54" s="16" t="s">
        <v>434</v>
      </c>
      <c r="AF54" s="2" t="s">
        <v>435</v>
      </c>
      <c r="AG54" s="2" t="s">
        <v>435</v>
      </c>
      <c r="AH54" s="21" t="s">
        <v>430</v>
      </c>
      <c r="AI54" s="118"/>
      <c r="AJ54" s="117" t="str">
        <f>Q2</f>
        <v>請選擇第一選修科</v>
      </c>
      <c r="AK54" s="117" t="str">
        <f>R2</f>
        <v>請選擇第二選修科</v>
      </c>
      <c r="AL54" s="117" t="str">
        <f>S2</f>
        <v>請選擇第三選修科</v>
      </c>
      <c r="AM54" s="117" t="str">
        <f>T2</f>
        <v>請選擇第四選修科</v>
      </c>
      <c r="AN54" s="118" t="s">
        <v>23</v>
      </c>
      <c r="AO54" s="118"/>
      <c r="AP54" s="118" t="s">
        <v>2883</v>
      </c>
      <c r="AQ54" s="118"/>
      <c r="AR54" s="118"/>
      <c r="AS54" s="118"/>
      <c r="AT54" s="118"/>
      <c r="AU54" s="118"/>
      <c r="AV54" s="118"/>
      <c r="AW54" s="117"/>
      <c r="AX54" s="117"/>
      <c r="AY54" s="117"/>
      <c r="AZ54" s="117"/>
      <c r="BA54" s="117"/>
      <c r="BB54" s="117"/>
      <c r="BC54" s="117"/>
      <c r="BD54" s="117"/>
      <c r="BE54" s="117"/>
      <c r="BF54" s="117"/>
      <c r="BG54" s="117"/>
      <c r="BH54" s="117"/>
      <c r="BI54" s="117"/>
    </row>
    <row r="55" spans="1:61">
      <c r="A55" s="2" t="str">
        <f>'Reference Score Calculation'!A46</f>
        <v>JS1112</v>
      </c>
      <c r="B55" s="364" t="str">
        <f>'Reference Score Calculation'!A46</f>
        <v>JS1112</v>
      </c>
      <c r="C55" s="2" t="str">
        <f>'Reference Score Calculation'!D46</f>
        <v>社會科學學士(心理學)</v>
      </c>
      <c r="D55" s="16">
        <f>'Reference Score Calculation'!T46</f>
        <v>26</v>
      </c>
      <c r="E55" s="16">
        <v>3</v>
      </c>
      <c r="F55" s="16">
        <v>3</v>
      </c>
      <c r="G55" s="16">
        <v>2</v>
      </c>
      <c r="H55" s="16">
        <v>2</v>
      </c>
      <c r="I55" s="16">
        <v>3</v>
      </c>
      <c r="J55" s="16">
        <v>3</v>
      </c>
      <c r="L55" s="92">
        <v>3</v>
      </c>
      <c r="M55" s="92">
        <v>3</v>
      </c>
      <c r="N55" s="92">
        <v>2</v>
      </c>
      <c r="O55" s="92">
        <v>1</v>
      </c>
      <c r="P55" s="92">
        <v>3</v>
      </c>
      <c r="Q55" s="92">
        <v>3</v>
      </c>
      <c r="S55" s="16">
        <f t="shared" si="2"/>
        <v>0</v>
      </c>
      <c r="T55" s="16">
        <f t="shared" si="3"/>
        <v>0</v>
      </c>
      <c r="U55" s="16">
        <f t="shared" si="4"/>
        <v>0</v>
      </c>
      <c r="V55" s="16">
        <f t="shared" si="5"/>
        <v>0</v>
      </c>
      <c r="W55" s="16">
        <f t="shared" si="22"/>
        <v>0</v>
      </c>
      <c r="X55" s="16">
        <f t="shared" si="7"/>
        <v>0</v>
      </c>
      <c r="Z55" s="16">
        <f t="shared" si="8"/>
        <v>0</v>
      </c>
      <c r="AA55" s="2"/>
      <c r="AB55" s="16" t="s">
        <v>432</v>
      </c>
      <c r="AC55" s="16" t="s">
        <v>433</v>
      </c>
      <c r="AD55" s="16" t="s">
        <v>434</v>
      </c>
      <c r="AF55" s="2" t="s">
        <v>435</v>
      </c>
      <c r="AG55" s="2" t="s">
        <v>435</v>
      </c>
      <c r="AH55" s="21" t="s">
        <v>430</v>
      </c>
      <c r="AI55" s="118" t="s">
        <v>448</v>
      </c>
      <c r="AJ55" s="2">
        <f>IF(OR(Q2="化學",Q2="設計與應用科技",Q2="物理"),Q3,0)</f>
        <v>0</v>
      </c>
      <c r="AK55" s="2">
        <f t="shared" ref="AK55:AM55" si="27">IF(OR(R2="化學",R2="設計與應用科技",R2="物理"),R3,0)</f>
        <v>0</v>
      </c>
      <c r="AL55" s="2">
        <f t="shared" si="27"/>
        <v>0</v>
      </c>
      <c r="AM55" s="2">
        <f t="shared" si="27"/>
        <v>0</v>
      </c>
      <c r="AN55" s="2">
        <f>P3</f>
        <v>5.0000000000000003E-10</v>
      </c>
      <c r="AO55" s="118"/>
      <c r="AP55" s="119" t="str">
        <f>IF(AQ55&gt;0,INDEX(AJ54:AN54,MATCH(LARGE(AJ55:AN55,1),AJ55:AN55,0)),"無")</f>
        <v>M1/2</v>
      </c>
      <c r="AQ55" s="119">
        <f>LARGE((AJ55:AN55),1)</f>
        <v>5.0000000000000003E-10</v>
      </c>
      <c r="AR55" s="118"/>
      <c r="AS55" s="118"/>
      <c r="AT55" s="118"/>
      <c r="AU55" s="118"/>
      <c r="AV55" s="118"/>
      <c r="AW55" s="117"/>
      <c r="AX55" s="117"/>
      <c r="AY55" s="117"/>
      <c r="AZ55" s="117"/>
      <c r="BA55" s="117"/>
      <c r="BB55" s="117"/>
      <c r="BC55" s="117"/>
      <c r="BD55" s="117"/>
      <c r="BE55" s="117"/>
      <c r="BF55" s="117"/>
      <c r="BG55" s="117"/>
      <c r="BH55" s="117"/>
      <c r="BI55" s="117"/>
    </row>
    <row r="56" spans="1:61">
      <c r="A56" s="2" t="str">
        <f>'Reference Score Calculation'!A47</f>
        <v>JS1113</v>
      </c>
      <c r="B56" s="364" t="str">
        <f>'Reference Score Calculation'!A47</f>
        <v>JS1113</v>
      </c>
      <c r="C56" s="2" t="str">
        <f>'Reference Score Calculation'!D47</f>
        <v>社會科學學士(社會工作)</v>
      </c>
      <c r="D56" s="16">
        <f>'Reference Score Calculation'!T47</f>
        <v>27</v>
      </c>
      <c r="E56" s="16">
        <v>3</v>
      </c>
      <c r="F56" s="16">
        <v>3</v>
      </c>
      <c r="G56" s="16">
        <v>2</v>
      </c>
      <c r="H56" s="16">
        <v>2</v>
      </c>
      <c r="I56" s="16">
        <v>3</v>
      </c>
      <c r="J56" s="16">
        <v>3</v>
      </c>
      <c r="L56" s="92">
        <v>3</v>
      </c>
      <c r="M56" s="92">
        <v>3</v>
      </c>
      <c r="N56" s="92">
        <v>2</v>
      </c>
      <c r="O56" s="92">
        <v>1</v>
      </c>
      <c r="P56" s="92">
        <v>3</v>
      </c>
      <c r="Q56" s="92">
        <v>3</v>
      </c>
      <c r="S56" s="16">
        <f t="shared" si="2"/>
        <v>0</v>
      </c>
      <c r="T56" s="16">
        <f t="shared" si="3"/>
        <v>0</v>
      </c>
      <c r="U56" s="16">
        <f t="shared" si="4"/>
        <v>0</v>
      </c>
      <c r="V56" s="16">
        <f t="shared" si="5"/>
        <v>0</v>
      </c>
      <c r="W56" s="16">
        <f t="shared" si="22"/>
        <v>0</v>
      </c>
      <c r="X56" s="16">
        <f t="shared" si="7"/>
        <v>0</v>
      </c>
      <c r="Z56" s="16">
        <f t="shared" si="8"/>
        <v>0</v>
      </c>
      <c r="AA56" s="2"/>
      <c r="AB56" s="16" t="s">
        <v>432</v>
      </c>
      <c r="AC56" s="16" t="s">
        <v>433</v>
      </c>
      <c r="AD56" s="16" t="s">
        <v>434</v>
      </c>
      <c r="AF56" s="2" t="s">
        <v>435</v>
      </c>
      <c r="AG56" s="2" t="s">
        <v>435</v>
      </c>
      <c r="AH56" s="21" t="s">
        <v>430</v>
      </c>
      <c r="AI56" s="118"/>
      <c r="AJ56" s="117" t="str">
        <f>Q2</f>
        <v>請選擇第一選修科</v>
      </c>
      <c r="AK56" s="117" t="str">
        <f>R2</f>
        <v>請選擇第二選修科</v>
      </c>
      <c r="AL56" s="117" t="str">
        <f>S2</f>
        <v>請選擇第三選修科</v>
      </c>
      <c r="AM56" s="117" t="str">
        <f>T2</f>
        <v>請選擇第四選修科</v>
      </c>
      <c r="AN56" s="118" t="s">
        <v>23</v>
      </c>
      <c r="AO56" s="118"/>
      <c r="AP56" s="118" t="s">
        <v>449</v>
      </c>
      <c r="AQ56" s="118"/>
      <c r="AR56" s="118"/>
      <c r="AS56" s="118"/>
      <c r="AT56" s="118"/>
      <c r="AU56" s="118"/>
      <c r="AV56" s="118"/>
      <c r="AW56" s="117"/>
      <c r="AX56" s="117"/>
      <c r="AY56" s="117"/>
      <c r="AZ56" s="117"/>
      <c r="BA56" s="117"/>
      <c r="BB56" s="117"/>
      <c r="BC56" s="117"/>
      <c r="BD56" s="117"/>
      <c r="BE56" s="117"/>
      <c r="BF56" s="117"/>
      <c r="BG56" s="117"/>
      <c r="BH56" s="117"/>
      <c r="BI56" s="117"/>
    </row>
    <row r="57" spans="1:61">
      <c r="A57" s="2" t="str">
        <f>'Reference Score Calculation'!A48</f>
        <v>JS1122</v>
      </c>
      <c r="B57" s="364" t="str">
        <f>'Reference Score Calculation'!A48</f>
        <v>JS1122</v>
      </c>
      <c r="C57" s="2" t="str">
        <f>'Reference Score Calculation'!D48</f>
        <v>社會科學學士(公共政策)與法律學學士</v>
      </c>
      <c r="D57" s="16">
        <f>'Reference Score Calculation'!T48</f>
        <v>10</v>
      </c>
      <c r="E57" s="16">
        <v>3</v>
      </c>
      <c r="F57" s="16">
        <v>5</v>
      </c>
      <c r="G57" s="16">
        <v>2</v>
      </c>
      <c r="H57" s="16">
        <v>2</v>
      </c>
      <c r="I57" s="16">
        <v>3</v>
      </c>
      <c r="J57" s="16">
        <v>3</v>
      </c>
      <c r="L57" s="92">
        <v>3</v>
      </c>
      <c r="M57" s="92">
        <v>5</v>
      </c>
      <c r="N57" s="92">
        <v>2</v>
      </c>
      <c r="O57" s="92">
        <v>1</v>
      </c>
      <c r="P57" s="92">
        <v>3</v>
      </c>
      <c r="Q57" s="92">
        <v>3</v>
      </c>
      <c r="S57" s="16">
        <f t="shared" si="2"/>
        <v>0</v>
      </c>
      <c r="T57" s="16">
        <f t="shared" si="3"/>
        <v>0</v>
      </c>
      <c r="U57" s="16">
        <f t="shared" si="4"/>
        <v>0</v>
      </c>
      <c r="V57" s="16">
        <f t="shared" si="5"/>
        <v>0</v>
      </c>
      <c r="W57" s="16">
        <f t="shared" si="22"/>
        <v>0</v>
      </c>
      <c r="X57" s="16">
        <f t="shared" si="7"/>
        <v>0</v>
      </c>
      <c r="Z57" s="16">
        <f t="shared" si="8"/>
        <v>0</v>
      </c>
      <c r="AA57" s="2"/>
      <c r="AB57" s="16" t="s">
        <v>432</v>
      </c>
      <c r="AC57" s="16" t="s">
        <v>433</v>
      </c>
      <c r="AD57" s="16" t="s">
        <v>434</v>
      </c>
      <c r="AF57" s="2" t="s">
        <v>435</v>
      </c>
      <c r="AG57" s="2" t="s">
        <v>435</v>
      </c>
      <c r="AH57" s="21" t="s">
        <v>430</v>
      </c>
      <c r="AI57" s="118" t="s">
        <v>450</v>
      </c>
      <c r="AJ57" s="2">
        <f>IF(OR(Q2="企業、會計與財務概論",Q2="化學",Q2="物理"),Q3,0)</f>
        <v>0</v>
      </c>
      <c r="AK57" s="2">
        <f>IF(OR(R2="企業、會計與財務概論",R2="化學",R2="物理"),R3,0)</f>
        <v>0</v>
      </c>
      <c r="AL57" s="2">
        <f>IF(OR(S2="企業、會計與財務概論",S2="化學",S2="物理"),S3,0)</f>
        <v>0</v>
      </c>
      <c r="AM57" s="2">
        <f>IF(OR(T2="企業、會計與財務概論",T2="化學",T2="物理"),T3,0)</f>
        <v>0</v>
      </c>
      <c r="AN57" s="2">
        <f>P3</f>
        <v>5.0000000000000003E-10</v>
      </c>
      <c r="AO57" s="118"/>
      <c r="AP57" s="119" t="str">
        <f>IF(AQ57&gt;0,INDEX(AJ56:AN56,MATCH(LARGE(AJ57:AN57,1),AJ57:AN57,0)),"無")</f>
        <v>M1/2</v>
      </c>
      <c r="AQ57" s="119">
        <f>LARGE((AJ57:AN57),1)</f>
        <v>5.0000000000000003E-10</v>
      </c>
      <c r="AR57" s="118"/>
      <c r="AS57" s="118"/>
      <c r="AT57" s="118"/>
      <c r="AU57" s="118"/>
      <c r="AV57" s="118"/>
      <c r="AW57" s="117"/>
      <c r="AX57" s="117"/>
      <c r="AY57" s="117"/>
      <c r="AZ57" s="117"/>
      <c r="BA57" s="117"/>
      <c r="BB57" s="117"/>
      <c r="BC57" s="117"/>
      <c r="BD57" s="117"/>
      <c r="BE57" s="117"/>
      <c r="BF57" s="117"/>
      <c r="BG57" s="117"/>
      <c r="BH57" s="117"/>
      <c r="BI57" s="117"/>
    </row>
    <row r="58" spans="1:61">
      <c r="A58" s="2" t="str">
        <f>'Reference Score Calculation'!A49</f>
        <v>JS1123</v>
      </c>
      <c r="B58" s="364" t="str">
        <f>'Reference Score Calculation'!A49</f>
        <v>JS1123</v>
      </c>
      <c r="C58" s="2" t="str">
        <f>'Reference Score Calculation'!D49</f>
        <v>社會科學學士(犯罪學)與法律學學士</v>
      </c>
      <c r="D58" s="16">
        <f>'Reference Score Calculation'!T49</f>
        <v>10</v>
      </c>
      <c r="E58" s="16">
        <v>3</v>
      </c>
      <c r="F58" s="16">
        <v>5</v>
      </c>
      <c r="G58" s="16">
        <v>2</v>
      </c>
      <c r="H58" s="16">
        <v>2</v>
      </c>
      <c r="I58" s="16">
        <v>3</v>
      </c>
      <c r="J58" s="16">
        <v>3</v>
      </c>
      <c r="L58" s="92">
        <v>3</v>
      </c>
      <c r="M58" s="92">
        <v>5</v>
      </c>
      <c r="N58" s="92">
        <v>2</v>
      </c>
      <c r="O58" s="92">
        <v>1</v>
      </c>
      <c r="P58" s="92">
        <v>3</v>
      </c>
      <c r="Q58" s="92">
        <v>3</v>
      </c>
      <c r="S58" s="16">
        <f t="shared" si="2"/>
        <v>0</v>
      </c>
      <c r="T58" s="16">
        <f t="shared" si="3"/>
        <v>0</v>
      </c>
      <c r="U58" s="16">
        <f t="shared" si="4"/>
        <v>0</v>
      </c>
      <c r="V58" s="16">
        <f t="shared" si="5"/>
        <v>0</v>
      </c>
      <c r="W58" s="16">
        <f t="shared" si="22"/>
        <v>0</v>
      </c>
      <c r="X58" s="16">
        <f t="shared" si="7"/>
        <v>0</v>
      </c>
      <c r="Z58" s="16">
        <f t="shared" si="8"/>
        <v>0</v>
      </c>
      <c r="AA58" s="2"/>
      <c r="AB58" s="16" t="s">
        <v>432</v>
      </c>
      <c r="AC58" s="16" t="s">
        <v>433</v>
      </c>
      <c r="AD58" s="16" t="s">
        <v>434</v>
      </c>
      <c r="AF58" s="2" t="s">
        <v>435</v>
      </c>
      <c r="AG58" s="2" t="s">
        <v>435</v>
      </c>
      <c r="AH58" s="21" t="s">
        <v>430</v>
      </c>
      <c r="AI58" s="117"/>
      <c r="AJ58" s="117"/>
      <c r="AK58" s="117"/>
      <c r="AL58" s="117"/>
      <c r="AM58" s="117"/>
      <c r="AN58" s="117"/>
      <c r="AO58" s="117"/>
      <c r="AP58" s="117"/>
      <c r="AQ58" s="117"/>
      <c r="AR58" s="117"/>
      <c r="AS58" s="117"/>
      <c r="AT58" s="117"/>
      <c r="AU58" s="117"/>
      <c r="AV58" s="117"/>
      <c r="AW58" s="117"/>
      <c r="AX58" s="117"/>
      <c r="AY58" s="117"/>
      <c r="AZ58" s="117"/>
      <c r="BA58" s="117"/>
      <c r="BB58" s="117"/>
      <c r="BC58" s="117"/>
      <c r="BD58" s="117"/>
      <c r="BE58" s="117"/>
      <c r="BF58" s="117"/>
      <c r="BG58" s="117"/>
      <c r="BH58" s="117"/>
      <c r="BI58" s="117"/>
    </row>
    <row r="59" spans="1:61">
      <c r="A59" s="2" t="str">
        <f>'Reference Score Calculation'!A50</f>
        <v>JS1200</v>
      </c>
      <c r="B59" s="368" t="str">
        <f>'Reference Score Calculation'!A50</f>
        <v>JS1200</v>
      </c>
      <c r="C59" s="2" t="str">
        <f>'Reference Score Calculation'!D50</f>
        <v>環球精研與科創課程</v>
      </c>
      <c r="D59" s="16">
        <f>'Reference Score Calculation'!T50</f>
        <v>9</v>
      </c>
      <c r="E59" s="16">
        <v>3</v>
      </c>
      <c r="F59" s="16">
        <v>3</v>
      </c>
      <c r="G59" s="16">
        <v>2</v>
      </c>
      <c r="H59" s="16">
        <v>2</v>
      </c>
      <c r="I59" s="16">
        <v>3</v>
      </c>
      <c r="J59" s="16">
        <v>3</v>
      </c>
      <c r="L59" s="92">
        <v>3</v>
      </c>
      <c r="M59" s="92">
        <v>3</v>
      </c>
      <c r="N59" s="92">
        <v>2</v>
      </c>
      <c r="O59" s="92">
        <v>1</v>
      </c>
      <c r="P59" s="93">
        <v>3</v>
      </c>
      <c r="Q59" s="93">
        <v>3</v>
      </c>
      <c r="S59" s="16">
        <f t="shared" si="2"/>
        <v>0</v>
      </c>
      <c r="T59" s="16">
        <f t="shared" si="3"/>
        <v>0</v>
      </c>
      <c r="U59" s="16">
        <f t="shared" si="4"/>
        <v>0</v>
      </c>
      <c r="V59" s="16">
        <f t="shared" si="5"/>
        <v>0</v>
      </c>
      <c r="W59" s="73">
        <f>IF(AQ49=0,0,IF(P59&gt;AQ49,0,1))</f>
        <v>0</v>
      </c>
      <c r="X59" s="73">
        <f>IF(AS49=0,0,IF(Q59&gt;AS49,0,1))</f>
        <v>0</v>
      </c>
      <c r="Z59" s="16">
        <f t="shared" si="8"/>
        <v>0</v>
      </c>
      <c r="AA59" s="2"/>
      <c r="AB59" s="16" t="s">
        <v>432</v>
      </c>
      <c r="AC59" s="16" t="s">
        <v>434</v>
      </c>
      <c r="AD59" s="16" t="s">
        <v>434</v>
      </c>
      <c r="AF59" s="21" t="s">
        <v>451</v>
      </c>
      <c r="AG59" s="2" t="s">
        <v>435</v>
      </c>
      <c r="AH59" s="21" t="s">
        <v>430</v>
      </c>
      <c r="AI59" s="117"/>
      <c r="AJ59" s="117"/>
      <c r="AK59" s="117"/>
      <c r="AL59" s="117"/>
      <c r="AM59" s="117"/>
      <c r="AN59" s="117"/>
      <c r="AO59" s="117"/>
      <c r="AP59" s="117"/>
      <c r="AQ59" s="117"/>
      <c r="AR59" s="117"/>
      <c r="AS59" s="117"/>
      <c r="AT59" s="117"/>
      <c r="AU59" s="117"/>
      <c r="AV59" s="117"/>
      <c r="AW59" s="117"/>
      <c r="AX59" s="117"/>
      <c r="AY59" s="117"/>
      <c r="AZ59" s="117"/>
      <c r="BA59" s="117"/>
      <c r="BB59" s="117"/>
      <c r="BC59" s="117"/>
      <c r="BD59" s="117"/>
      <c r="BE59" s="117"/>
      <c r="BF59" s="117"/>
      <c r="BG59" s="117"/>
      <c r="BH59" s="117"/>
      <c r="BI59" s="117"/>
    </row>
    <row r="60" spans="1:61">
      <c r="A60" s="2" t="str">
        <f>'Reference Score Calculation'!A51</f>
        <v>JS1201</v>
      </c>
      <c r="B60" s="364" t="str">
        <f>'Reference Score Calculation'!A51</f>
        <v>JS1201</v>
      </c>
      <c r="C60" s="2" t="str">
        <f>'Reference Score Calculation'!D51</f>
        <v>建築學及土木工程學系 [選項: 工學士(建築工程)、工學士(土木工程)、理學士(建築學及測量學)]</v>
      </c>
      <c r="D60" s="16">
        <f>'Reference Score Calculation'!T51</f>
        <v>98</v>
      </c>
      <c r="E60" s="16">
        <v>3</v>
      </c>
      <c r="F60" s="16">
        <v>3</v>
      </c>
      <c r="G60" s="16">
        <v>3</v>
      </c>
      <c r="H60" s="16">
        <v>2</v>
      </c>
      <c r="I60" s="16">
        <v>3</v>
      </c>
      <c r="J60" s="16">
        <v>3</v>
      </c>
      <c r="L60" s="92">
        <v>3</v>
      </c>
      <c r="M60" s="92">
        <v>3</v>
      </c>
      <c r="N60" s="92">
        <v>3</v>
      </c>
      <c r="O60" s="92">
        <v>1</v>
      </c>
      <c r="P60" s="92">
        <v>3</v>
      </c>
      <c r="Q60" s="92">
        <v>3</v>
      </c>
      <c r="S60" s="16">
        <f t="shared" si="2"/>
        <v>0</v>
      </c>
      <c r="T60" s="16">
        <f t="shared" si="3"/>
        <v>0</v>
      </c>
      <c r="U60" s="16">
        <f t="shared" si="4"/>
        <v>0</v>
      </c>
      <c r="V60" s="16">
        <f t="shared" si="5"/>
        <v>0</v>
      </c>
      <c r="W60" s="73">
        <f>IF(AQ26=0,0,IF(P60&gt;AQ26,0,1))</f>
        <v>0</v>
      </c>
      <c r="X60" s="16">
        <f>IF(Q60&gt;LARGE(P$3:T$3,2),0,1)</f>
        <v>0</v>
      </c>
      <c r="Z60" s="16">
        <f t="shared" si="8"/>
        <v>0</v>
      </c>
      <c r="AA60" s="2"/>
      <c r="AB60" s="16" t="s">
        <v>432</v>
      </c>
      <c r="AC60" s="16" t="s">
        <v>434</v>
      </c>
      <c r="AD60" s="16" t="s">
        <v>434</v>
      </c>
      <c r="AF60" s="21" t="s">
        <v>2860</v>
      </c>
      <c r="AG60" s="2" t="s">
        <v>435</v>
      </c>
      <c r="AH60" s="21" t="s">
        <v>430</v>
      </c>
      <c r="AI60" s="126" t="s">
        <v>315</v>
      </c>
      <c r="AJ60" s="117"/>
      <c r="AK60" s="117"/>
      <c r="AL60" s="117"/>
      <c r="AM60" s="117"/>
      <c r="AN60" s="117"/>
      <c r="AO60" s="117"/>
      <c r="AP60" s="117"/>
      <c r="AQ60" s="117"/>
      <c r="AR60" s="117"/>
      <c r="AS60" s="117"/>
      <c r="AT60" s="117"/>
      <c r="AU60" s="117"/>
      <c r="AV60" s="117"/>
      <c r="AW60" s="117"/>
      <c r="AX60" s="117"/>
      <c r="AY60" s="117"/>
      <c r="AZ60" s="117"/>
      <c r="BA60" s="117"/>
      <c r="BB60" s="117"/>
      <c r="BC60" s="117"/>
      <c r="BD60" s="117"/>
      <c r="BE60" s="117"/>
      <c r="BF60" s="117"/>
      <c r="BG60" s="117"/>
      <c r="BH60" s="117"/>
      <c r="BI60" s="117"/>
    </row>
    <row r="61" spans="1:61">
      <c r="A61" s="2" t="str">
        <f>'Reference Score Calculation'!A52</f>
        <v>JS1202</v>
      </c>
      <c r="B61" s="368" t="str">
        <f>'Reference Score Calculation'!A52</f>
        <v>JS1202</v>
      </c>
      <c r="C61" s="2" t="str">
        <f>'Reference Score Calculation'!D52</f>
        <v>理學士(化學)</v>
      </c>
      <c r="D61" s="16">
        <f>'Reference Score Calculation'!T52</f>
        <v>46</v>
      </c>
      <c r="E61" s="16">
        <v>3</v>
      </c>
      <c r="F61" s="16">
        <v>3</v>
      </c>
      <c r="G61" s="16">
        <v>2</v>
      </c>
      <c r="H61" s="16">
        <v>2</v>
      </c>
      <c r="I61" s="16">
        <v>3</v>
      </c>
      <c r="J61" s="16">
        <v>3</v>
      </c>
      <c r="L61" s="92">
        <v>3</v>
      </c>
      <c r="M61" s="92">
        <v>3</v>
      </c>
      <c r="N61" s="92">
        <v>2</v>
      </c>
      <c r="O61" s="92">
        <v>1</v>
      </c>
      <c r="P61" s="92">
        <v>3</v>
      </c>
      <c r="Q61" s="92">
        <v>3</v>
      </c>
      <c r="S61" s="16">
        <f t="shared" ref="S61:S76" si="28">IF(L61&gt;L$3,0,1)</f>
        <v>0</v>
      </c>
      <c r="T61" s="16">
        <f t="shared" ref="T61:T76" si="29">IF(M61&gt;M$3,0,1)</f>
        <v>0</v>
      </c>
      <c r="U61" s="16">
        <f>IF(N3&gt;3,1,IF(AND(BA51&gt;3,N3&gt;2),1,IF(N3&gt;2,2,0)))</f>
        <v>0</v>
      </c>
      <c r="V61" s="16">
        <f t="shared" ref="V61:V76" si="30">IF(O61&gt;O$3,0,1)</f>
        <v>0</v>
      </c>
      <c r="W61" s="73">
        <f>IF(AQ51=0,0,IF(P61&gt;AQ51,0,1))</f>
        <v>0</v>
      </c>
      <c r="X61" s="73">
        <f>IF(AS51,IF(Q61&gt;LARGE(Q$3:U$3,2),0,1),IF(BA51=0,0,IF(Q61&gt;BA51,0,1)))</f>
        <v>0</v>
      </c>
      <c r="Z61" s="16">
        <f t="shared" si="8"/>
        <v>0</v>
      </c>
      <c r="AA61" s="2"/>
      <c r="AB61" s="16" t="s">
        <v>432</v>
      </c>
      <c r="AC61" s="16" t="s">
        <v>433</v>
      </c>
      <c r="AD61" s="16" t="s">
        <v>434</v>
      </c>
      <c r="AF61" s="21" t="s">
        <v>2873</v>
      </c>
      <c r="AG61" s="21" t="s">
        <v>2874</v>
      </c>
      <c r="AH61" s="21" t="s">
        <v>430</v>
      </c>
      <c r="AI61" s="117"/>
      <c r="AJ61" s="117"/>
      <c r="AK61" s="117"/>
      <c r="AL61" s="117"/>
      <c r="AM61" s="117"/>
      <c r="AN61" s="117"/>
      <c r="AO61" s="117"/>
      <c r="AP61" s="117"/>
      <c r="AQ61" s="117"/>
      <c r="AR61" s="117"/>
      <c r="AS61" s="117"/>
      <c r="AT61" s="117"/>
      <c r="AU61" s="117"/>
      <c r="AV61" s="117"/>
      <c r="AW61" s="117"/>
      <c r="AX61" s="117"/>
      <c r="AY61" s="117"/>
      <c r="AZ61" s="117"/>
      <c r="BA61" s="117"/>
      <c r="BB61" s="117"/>
      <c r="BC61" s="117"/>
      <c r="BD61" s="117"/>
      <c r="BE61" s="117"/>
      <c r="BF61" s="117"/>
      <c r="BG61" s="117"/>
      <c r="BH61" s="117"/>
      <c r="BI61" s="117"/>
    </row>
    <row r="62" spans="1:61">
      <c r="A62" s="2" t="str">
        <f>'Reference Score Calculation'!A53</f>
        <v>JS1204</v>
      </c>
      <c r="B62" s="364" t="str">
        <f>'Reference Score Calculation'!A53</f>
        <v>JS1204</v>
      </c>
      <c r="C62" s="2" t="str">
        <f>'Reference Score Calculation'!D53</f>
        <v>理學士(電腦科學)</v>
      </c>
      <c r="D62" s="16">
        <f>'Reference Score Calculation'!T53</f>
        <v>99</v>
      </c>
      <c r="E62" s="16">
        <v>3</v>
      </c>
      <c r="F62" s="16">
        <v>3</v>
      </c>
      <c r="G62" s="16">
        <v>3</v>
      </c>
      <c r="H62" s="16">
        <v>2</v>
      </c>
      <c r="I62" s="16">
        <v>3</v>
      </c>
      <c r="J62" s="16">
        <v>3</v>
      </c>
      <c r="L62" s="92">
        <v>3</v>
      </c>
      <c r="M62" s="92">
        <v>3</v>
      </c>
      <c r="N62" s="92">
        <v>3</v>
      </c>
      <c r="O62" s="92">
        <v>1</v>
      </c>
      <c r="P62" s="92">
        <v>3</v>
      </c>
      <c r="Q62" s="92">
        <v>3</v>
      </c>
      <c r="S62" s="16">
        <f t="shared" si="28"/>
        <v>0</v>
      </c>
      <c r="T62" s="16">
        <f t="shared" si="29"/>
        <v>0</v>
      </c>
      <c r="U62" s="16">
        <f t="shared" ref="U62:U76" si="31">IF(N62&gt;N$3,0,1)</f>
        <v>0</v>
      </c>
      <c r="V62" s="16">
        <f t="shared" si="30"/>
        <v>0</v>
      </c>
      <c r="W62" s="73">
        <f>IF(AQ28=0,0,IF(P62&gt;AQ28,0,1))</f>
        <v>0</v>
      </c>
      <c r="X62" s="16">
        <f t="shared" ref="X62:X69" si="32">IF(Q62&gt;LARGE(P$3:U$3,2),0,1)</f>
        <v>0</v>
      </c>
      <c r="Z62" s="16">
        <f t="shared" si="8"/>
        <v>0</v>
      </c>
      <c r="AA62" s="2"/>
      <c r="AB62" s="16" t="s">
        <v>432</v>
      </c>
      <c r="AC62" s="16" t="s">
        <v>433</v>
      </c>
      <c r="AD62" s="16" t="s">
        <v>434</v>
      </c>
      <c r="AF62" s="21" t="s">
        <v>2875</v>
      </c>
      <c r="AG62" s="2" t="s">
        <v>435</v>
      </c>
      <c r="AH62" s="21" t="s">
        <v>430</v>
      </c>
      <c r="AI62" s="118"/>
      <c r="AJ62" s="118" t="str">
        <f>Q2</f>
        <v>請選擇第一選修科</v>
      </c>
      <c r="AK62" s="118" t="str">
        <f>R2</f>
        <v>請選擇第二選修科</v>
      </c>
      <c r="AL62" s="118" t="str">
        <f>S2</f>
        <v>請選擇第三選修科</v>
      </c>
      <c r="AM62" s="118" t="str">
        <f>T2</f>
        <v>請選擇第四選修科</v>
      </c>
      <c r="AN62" s="118"/>
      <c r="AO62" s="118"/>
      <c r="AP62" s="118" t="s">
        <v>316</v>
      </c>
      <c r="AQ62" s="118"/>
      <c r="AR62" s="118"/>
      <c r="AS62" s="118"/>
      <c r="AT62" s="118"/>
      <c r="AU62" s="118"/>
      <c r="AV62" s="118"/>
      <c r="AW62" s="117"/>
      <c r="AX62" s="117"/>
      <c r="AY62" s="117"/>
      <c r="AZ62" s="117"/>
      <c r="BA62" s="117"/>
      <c r="BB62" s="117"/>
      <c r="BC62" s="117"/>
      <c r="BD62" s="117"/>
      <c r="BE62" s="117"/>
      <c r="BF62" s="117"/>
      <c r="BG62" s="117"/>
      <c r="BH62" s="117"/>
      <c r="BI62" s="117"/>
    </row>
    <row r="63" spans="1:61">
      <c r="A63" s="2" t="str">
        <f>'Reference Score Calculation'!A54</f>
        <v>JS1205</v>
      </c>
      <c r="B63" s="364" t="str">
        <f>'Reference Score Calculation'!A54</f>
        <v>JS1205</v>
      </c>
      <c r="C63" s="2" t="str">
        <f>'Reference Score Calculation'!D54</f>
        <v>電機工程學系 [選項: 工學士(電子計算機及數據工程學)、工學士(電子及電機工程學)、工學士(資訊工程學)、工學士(微電子工程學)]</v>
      </c>
      <c r="D63" s="16">
        <f>'Reference Score Calculation'!T54</f>
        <v>178</v>
      </c>
      <c r="E63" s="16">
        <v>3</v>
      </c>
      <c r="F63" s="16">
        <v>3</v>
      </c>
      <c r="G63" s="16">
        <v>3</v>
      </c>
      <c r="H63" s="16">
        <v>2</v>
      </c>
      <c r="I63" s="16">
        <v>3</v>
      </c>
      <c r="J63" s="16">
        <v>3</v>
      </c>
      <c r="L63" s="92">
        <v>3</v>
      </c>
      <c r="M63" s="92">
        <v>3</v>
      </c>
      <c r="N63" s="92">
        <v>3</v>
      </c>
      <c r="O63" s="92">
        <v>1</v>
      </c>
      <c r="P63" s="92">
        <v>3</v>
      </c>
      <c r="Q63" s="92">
        <v>3</v>
      </c>
      <c r="S63" s="16">
        <f t="shared" si="28"/>
        <v>0</v>
      </c>
      <c r="T63" s="16">
        <f t="shared" si="29"/>
        <v>0</v>
      </c>
      <c r="U63" s="16">
        <f t="shared" si="31"/>
        <v>0</v>
      </c>
      <c r="V63" s="16">
        <f t="shared" si="30"/>
        <v>0</v>
      </c>
      <c r="W63" s="73">
        <f>IF(AQ30=0,0,IF(P63&gt;AQ30,0,1))</f>
        <v>0</v>
      </c>
      <c r="X63" s="16">
        <f t="shared" si="32"/>
        <v>0</v>
      </c>
      <c r="Z63" s="16">
        <f t="shared" si="8"/>
        <v>0</v>
      </c>
      <c r="AA63" s="2"/>
      <c r="AB63" s="16" t="s">
        <v>432</v>
      </c>
      <c r="AC63" s="16" t="s">
        <v>433</v>
      </c>
      <c r="AD63" s="16" t="s">
        <v>434</v>
      </c>
      <c r="AF63" s="21" t="s">
        <v>2875</v>
      </c>
      <c r="AG63" s="2" t="s">
        <v>435</v>
      </c>
      <c r="AH63" s="21" t="s">
        <v>430</v>
      </c>
      <c r="AI63" s="118" t="s">
        <v>317</v>
      </c>
      <c r="AJ63" s="119">
        <f>IF(OR(Q2="化學",Q2="生物"),Q3,0)</f>
        <v>0</v>
      </c>
      <c r="AK63" s="119">
        <f>IF(OR(R2="化學",R2="生物"),R3,0)</f>
        <v>0</v>
      </c>
      <c r="AL63" s="119">
        <f>IF(OR(S2="化學",S2="生物"),S3,0)</f>
        <v>0</v>
      </c>
      <c r="AM63" s="119">
        <f>IF(OR(T2="化學",T2="生物"),T3,0)</f>
        <v>0</v>
      </c>
      <c r="AN63" s="118"/>
      <c r="AO63" s="118"/>
      <c r="AP63" s="119" t="str">
        <f>IF(AQ63&gt;0,INDEX(AJ62:AM62,MATCH(LARGE(AJ63:AM63,1),AJ63:AM63,0)),"無")</f>
        <v>無</v>
      </c>
      <c r="AQ63" s="119">
        <f>LARGE((AJ63:AM63),1)</f>
        <v>0</v>
      </c>
      <c r="AR63" s="119" t="str">
        <f>IF(AS63&gt;0,INDEX(AJ62:AM62,MATCH(LARGE(AJ63:AM63,2),AJ63:AM63,0)),"無")</f>
        <v>無</v>
      </c>
      <c r="AS63" s="119">
        <f>LARGE((AJ63:AM63),2)</f>
        <v>0</v>
      </c>
      <c r="AT63" s="118"/>
      <c r="AU63" s="118"/>
      <c r="AV63" s="118"/>
      <c r="AW63" s="117"/>
      <c r="AX63" s="117"/>
      <c r="AY63" s="117"/>
      <c r="AZ63" s="117"/>
      <c r="BA63" s="117"/>
      <c r="BB63" s="117"/>
      <c r="BC63" s="117"/>
      <c r="BD63" s="117"/>
      <c r="BE63" s="117"/>
      <c r="BF63" s="117"/>
      <c r="BG63" s="117"/>
      <c r="BH63" s="117"/>
      <c r="BI63" s="117"/>
    </row>
    <row r="64" spans="1:61">
      <c r="A64" s="2" t="str">
        <f>'Reference Score Calculation'!A55</f>
        <v>JS1206</v>
      </c>
      <c r="B64" s="364" t="str">
        <f>'Reference Score Calculation'!A55</f>
        <v>JS1206</v>
      </c>
      <c r="C64" s="2" t="str">
        <f>'Reference Score Calculation'!D55</f>
        <v>理學士(計算數學)</v>
      </c>
      <c r="D64" s="16">
        <f>'Reference Score Calculation'!T55</f>
        <v>31</v>
      </c>
      <c r="E64" s="16">
        <v>3</v>
      </c>
      <c r="F64" s="16">
        <v>3</v>
      </c>
      <c r="G64" s="16">
        <v>3</v>
      </c>
      <c r="H64" s="16">
        <v>2</v>
      </c>
      <c r="I64" s="16">
        <v>3</v>
      </c>
      <c r="J64" s="16">
        <v>3</v>
      </c>
      <c r="L64" s="92">
        <v>3</v>
      </c>
      <c r="M64" s="92">
        <v>3</v>
      </c>
      <c r="N64" s="92">
        <v>3</v>
      </c>
      <c r="O64" s="92">
        <v>1</v>
      </c>
      <c r="P64" s="92">
        <v>3</v>
      </c>
      <c r="Q64" s="92">
        <v>3</v>
      </c>
      <c r="S64" s="16">
        <f t="shared" si="28"/>
        <v>0</v>
      </c>
      <c r="T64" s="16">
        <f t="shared" si="29"/>
        <v>0</v>
      </c>
      <c r="U64" s="16">
        <f t="shared" si="31"/>
        <v>0</v>
      </c>
      <c r="V64" s="16">
        <f t="shared" si="30"/>
        <v>0</v>
      </c>
      <c r="W64" s="73">
        <f>IF(AQ53=0,0,IF(P64&gt;AQ53,0,1))</f>
        <v>0</v>
      </c>
      <c r="X64" s="16">
        <f t="shared" si="32"/>
        <v>0</v>
      </c>
      <c r="Z64" s="16">
        <f t="shared" si="8"/>
        <v>0</v>
      </c>
      <c r="AA64" s="2"/>
      <c r="AB64" s="16" t="s">
        <v>432</v>
      </c>
      <c r="AC64" s="16" t="s">
        <v>433</v>
      </c>
      <c r="AD64" s="16" t="s">
        <v>434</v>
      </c>
      <c r="AF64" s="21" t="s">
        <v>2876</v>
      </c>
      <c r="AG64" s="2" t="s">
        <v>435</v>
      </c>
      <c r="AH64" s="21" t="s">
        <v>430</v>
      </c>
      <c r="AI64" s="118"/>
      <c r="AJ64" s="117" t="str">
        <f>Q2</f>
        <v>請選擇第一選修科</v>
      </c>
      <c r="AK64" s="117" t="str">
        <f>R2</f>
        <v>請選擇第二選修科</v>
      </c>
      <c r="AL64" s="117" t="str">
        <f>S2</f>
        <v>請選擇第三選修科</v>
      </c>
      <c r="AM64" s="117" t="str">
        <f>T2</f>
        <v>請選擇第四選修科</v>
      </c>
      <c r="AN64" s="118"/>
      <c r="AO64" s="118"/>
      <c r="AP64" s="118" t="s">
        <v>2870</v>
      </c>
      <c r="AQ64" s="118"/>
      <c r="AR64" s="118"/>
      <c r="AS64" s="118" t="str">
        <f>IF(Q2=$AP$65,"",Q2)</f>
        <v>請選擇第一選修科</v>
      </c>
      <c r="AT64" s="118" t="str">
        <f>IF(R2=$AP$65,"",R2)</f>
        <v>請選擇第二選修科</v>
      </c>
      <c r="AU64" s="118" t="str">
        <f>IF(S2=$AP$65,"",S2)</f>
        <v>請選擇第三選修科</v>
      </c>
      <c r="AV64" s="118" t="str">
        <f>IF(T2=$AP$65,"",T2)</f>
        <v>請選擇第四選修科</v>
      </c>
      <c r="AW64" s="118" t="s">
        <v>23</v>
      </c>
      <c r="AX64" s="117"/>
      <c r="AY64" s="118" t="s">
        <v>2869</v>
      </c>
      <c r="AZ64" s="117"/>
      <c r="BA64" s="117"/>
      <c r="BB64" s="117"/>
      <c r="BC64" s="117"/>
      <c r="BD64" s="117"/>
      <c r="BE64" s="117"/>
      <c r="BF64" s="117"/>
      <c r="BG64" s="117"/>
      <c r="BH64" s="117"/>
      <c r="BI64" s="117"/>
    </row>
    <row r="65" spans="1:61">
      <c r="A65" s="2" t="str">
        <f>'Reference Score Calculation'!A56</f>
        <v>JS1207</v>
      </c>
      <c r="B65" s="364" t="str">
        <f>'Reference Score Calculation'!A56</f>
        <v>JS1207</v>
      </c>
      <c r="C65" s="2" t="str">
        <f>'Reference Score Calculation'!D56</f>
        <v>機械工程學系 [選項: 工學士(航空航天工程)、工學士(機械工程)、工學士(核子及風險工程)]</v>
      </c>
      <c r="D65" s="16">
        <f>'Reference Score Calculation'!T56</f>
        <v>108</v>
      </c>
      <c r="E65" s="16">
        <v>3</v>
      </c>
      <c r="F65" s="16">
        <v>3</v>
      </c>
      <c r="G65" s="16">
        <v>2</v>
      </c>
      <c r="H65" s="16">
        <v>2</v>
      </c>
      <c r="I65" s="16">
        <v>3</v>
      </c>
      <c r="J65" s="16">
        <v>3</v>
      </c>
      <c r="L65" s="92">
        <v>3</v>
      </c>
      <c r="M65" s="92">
        <v>3</v>
      </c>
      <c r="N65" s="92">
        <v>2</v>
      </c>
      <c r="O65" s="92">
        <v>1</v>
      </c>
      <c r="P65" s="92">
        <v>3</v>
      </c>
      <c r="Q65" s="92">
        <v>3</v>
      </c>
      <c r="S65" s="16">
        <f t="shared" si="28"/>
        <v>0</v>
      </c>
      <c r="T65" s="16">
        <f t="shared" si="29"/>
        <v>0</v>
      </c>
      <c r="U65" s="16">
        <f t="shared" si="31"/>
        <v>0</v>
      </c>
      <c r="V65" s="16">
        <f t="shared" si="30"/>
        <v>0</v>
      </c>
      <c r="W65" s="73">
        <f>IF(AQ32=0,0,IF(P65&gt;AQ32,0,1))</f>
        <v>0</v>
      </c>
      <c r="X65" s="16">
        <f t="shared" si="32"/>
        <v>0</v>
      </c>
      <c r="Z65" s="16">
        <f t="shared" si="8"/>
        <v>0</v>
      </c>
      <c r="AA65" s="2"/>
      <c r="AB65" s="16" t="s">
        <v>432</v>
      </c>
      <c r="AC65" s="16" t="s">
        <v>433</v>
      </c>
      <c r="AD65" s="16" t="s">
        <v>434</v>
      </c>
      <c r="AF65" s="21" t="s">
        <v>2877</v>
      </c>
      <c r="AG65" s="2" t="s">
        <v>435</v>
      </c>
      <c r="AH65" s="21" t="s">
        <v>430</v>
      </c>
      <c r="AI65" s="118" t="s">
        <v>453</v>
      </c>
      <c r="AJ65" s="2">
        <f>IF(OR(Q2="生物",Q2="化學"),Q3,0)</f>
        <v>0</v>
      </c>
      <c r="AK65" s="2">
        <f t="shared" ref="AK65:AM65" si="33">IF(OR(R2="生物",R2="化學"),R3,0)</f>
        <v>0</v>
      </c>
      <c r="AL65" s="2">
        <f t="shared" si="33"/>
        <v>0</v>
      </c>
      <c r="AM65" s="2">
        <f t="shared" si="33"/>
        <v>0</v>
      </c>
      <c r="AN65" s="118"/>
      <c r="AO65" s="118"/>
      <c r="AP65" s="119" t="str">
        <f>IF(AQ65&gt;0,INDEX(AJ64:AM64,MATCH(LARGE(AJ65:AM65,1),AJ65:AM65,0)),"無")</f>
        <v>無</v>
      </c>
      <c r="AQ65" s="119">
        <f>LARGE((AJ65:AM65),1)</f>
        <v>0</v>
      </c>
      <c r="AR65" s="118"/>
      <c r="AS65" s="119">
        <f>IF(AS64="",0,IF(OR(Q2="生物",Q2="企業、會計與財務概論",Q2="化學",Q2="設計與應用科技",Q2="資訊及通訊科技",Q2="物理"),Q3,0))</f>
        <v>0</v>
      </c>
      <c r="AT65" s="119">
        <f t="shared" ref="AT65:AV65" si="34">IF(AT64="",0,IF(OR(R2="生物",R2="企業、會計與財務概論",R2="化學",R2="設計與應用科技",R2="資訊及通訊科技",R2="物理"),R3,0))</f>
        <v>0</v>
      </c>
      <c r="AU65" s="119">
        <f t="shared" si="34"/>
        <v>0</v>
      </c>
      <c r="AV65" s="119">
        <f t="shared" si="34"/>
        <v>0</v>
      </c>
      <c r="AW65" s="119">
        <f>P3</f>
        <v>5.0000000000000003E-10</v>
      </c>
      <c r="AX65" s="117"/>
      <c r="AY65" s="119" t="str">
        <f>IF(AZ65&gt;0,INDEX(AS64:AW64,MATCH(LARGE(AS65:AW65,1),AS65:AW65,0)),"無")</f>
        <v>無</v>
      </c>
      <c r="AZ65" s="119">
        <f>LARGE((AS65:AV65),1)</f>
        <v>0</v>
      </c>
      <c r="BA65" s="117"/>
      <c r="BB65" s="117"/>
      <c r="BC65" s="117"/>
      <c r="BD65" s="117"/>
      <c r="BE65" s="117"/>
      <c r="BF65" s="117"/>
      <c r="BG65" s="117"/>
      <c r="BH65" s="117"/>
      <c r="BI65" s="117"/>
    </row>
    <row r="66" spans="1:61">
      <c r="A66" s="2" t="str">
        <f>'Reference Score Calculation'!A57</f>
        <v>JS1208</v>
      </c>
      <c r="B66" s="364" t="str">
        <f>'Reference Score Calculation'!A57</f>
        <v>JS1208</v>
      </c>
      <c r="C66" s="2" t="str">
        <f>'Reference Score Calculation'!D57</f>
        <v>理學士(物理學)</v>
      </c>
      <c r="D66" s="16">
        <f>'Reference Score Calculation'!T57</f>
        <v>22</v>
      </c>
      <c r="E66" s="16">
        <v>3</v>
      </c>
      <c r="F66" s="16">
        <v>3</v>
      </c>
      <c r="G66" s="16">
        <v>2</v>
      </c>
      <c r="H66" s="16">
        <v>2</v>
      </c>
      <c r="I66" s="16">
        <v>3</v>
      </c>
      <c r="J66" s="16">
        <v>3</v>
      </c>
      <c r="L66" s="92">
        <v>3</v>
      </c>
      <c r="M66" s="92">
        <v>3</v>
      </c>
      <c r="N66" s="92">
        <v>2</v>
      </c>
      <c r="O66" s="92">
        <v>1</v>
      </c>
      <c r="P66" s="92">
        <v>3</v>
      </c>
      <c r="Q66" s="92">
        <v>3</v>
      </c>
      <c r="S66" s="16">
        <f t="shared" si="28"/>
        <v>0</v>
      </c>
      <c r="T66" s="16">
        <f t="shared" si="29"/>
        <v>0</v>
      </c>
      <c r="U66" s="16">
        <f t="shared" si="31"/>
        <v>0</v>
      </c>
      <c r="V66" s="16">
        <f t="shared" si="30"/>
        <v>0</v>
      </c>
      <c r="W66" s="73">
        <f>IF(AQ55=0,0,IF(P66&gt;AQ55,0,1))</f>
        <v>0</v>
      </c>
      <c r="X66" s="16">
        <f t="shared" si="32"/>
        <v>0</v>
      </c>
      <c r="Z66" s="16">
        <f t="shared" si="8"/>
        <v>0</v>
      </c>
      <c r="AB66" s="16" t="s">
        <v>432</v>
      </c>
      <c r="AC66" s="16" t="s">
        <v>433</v>
      </c>
      <c r="AD66" s="16" t="s">
        <v>434</v>
      </c>
      <c r="AF66" s="21" t="s">
        <v>2884</v>
      </c>
      <c r="AG66" s="2" t="s">
        <v>435</v>
      </c>
      <c r="AH66" s="21" t="s">
        <v>430</v>
      </c>
      <c r="AI66" s="118"/>
      <c r="AJ66" s="118"/>
      <c r="AK66" s="118"/>
      <c r="AL66" s="118"/>
      <c r="AM66" s="118"/>
      <c r="AN66" s="118"/>
      <c r="AO66" s="118"/>
      <c r="AP66" s="118"/>
      <c r="AQ66" s="118"/>
      <c r="AR66" s="118"/>
      <c r="AS66" s="118"/>
      <c r="AT66" s="118"/>
      <c r="AU66" s="118"/>
      <c r="AV66" s="118"/>
      <c r="AW66" s="117"/>
      <c r="AX66" s="117"/>
      <c r="AY66" s="117"/>
      <c r="AZ66" s="117"/>
      <c r="BA66" s="117"/>
      <c r="BB66" s="117"/>
      <c r="BC66" s="117"/>
      <c r="BD66" s="117"/>
      <c r="BE66" s="117"/>
      <c r="BF66" s="117"/>
      <c r="BG66" s="117"/>
      <c r="BH66" s="117"/>
      <c r="BI66" s="117"/>
    </row>
    <row r="67" spans="1:61">
      <c r="A67" s="2" t="str">
        <f>'Reference Score Calculation'!A58</f>
        <v>JS1210</v>
      </c>
      <c r="B67" s="364" t="str">
        <f>'Reference Score Calculation'!A58</f>
        <v>JS1210</v>
      </c>
      <c r="C67" s="2" t="str">
        <f>'Reference Score Calculation'!D58</f>
        <v>工學士(材料科學及工程)</v>
      </c>
      <c r="D67" s="16">
        <f>'Reference Score Calculation'!T58</f>
        <v>29</v>
      </c>
      <c r="E67" s="16">
        <v>3</v>
      </c>
      <c r="F67" s="16">
        <v>3</v>
      </c>
      <c r="G67" s="16">
        <v>2</v>
      </c>
      <c r="H67" s="16">
        <v>2</v>
      </c>
      <c r="I67" s="16">
        <v>3</v>
      </c>
      <c r="J67" s="16">
        <v>3</v>
      </c>
      <c r="L67" s="92">
        <v>3</v>
      </c>
      <c r="M67" s="92">
        <v>3</v>
      </c>
      <c r="N67" s="92">
        <v>2</v>
      </c>
      <c r="O67" s="92">
        <v>1</v>
      </c>
      <c r="P67" s="92">
        <v>3</v>
      </c>
      <c r="Q67" s="92">
        <v>3</v>
      </c>
      <c r="S67" s="16">
        <f t="shared" si="28"/>
        <v>0</v>
      </c>
      <c r="T67" s="16">
        <f t="shared" si="29"/>
        <v>0</v>
      </c>
      <c r="U67" s="16">
        <f t="shared" si="31"/>
        <v>0</v>
      </c>
      <c r="V67" s="16">
        <f t="shared" si="30"/>
        <v>0</v>
      </c>
      <c r="W67" s="73">
        <f>IF(AQ34=0,0,IF(P67&gt;AQ34,0,1))</f>
        <v>0</v>
      </c>
      <c r="X67" s="16">
        <f t="shared" si="32"/>
        <v>0</v>
      </c>
      <c r="Z67" s="16">
        <f t="shared" si="8"/>
        <v>0</v>
      </c>
      <c r="AB67" s="16" t="s">
        <v>432</v>
      </c>
      <c r="AC67" s="16" t="s">
        <v>433</v>
      </c>
      <c r="AD67" s="16" t="s">
        <v>434</v>
      </c>
      <c r="AF67" s="21" t="s">
        <v>2878</v>
      </c>
      <c r="AG67" s="2" t="s">
        <v>435</v>
      </c>
      <c r="AH67" s="21" t="s">
        <v>430</v>
      </c>
      <c r="AI67" s="118"/>
      <c r="AJ67" s="118"/>
      <c r="AK67" s="118"/>
      <c r="AL67" s="118"/>
      <c r="AM67" s="118"/>
      <c r="AN67" s="118"/>
      <c r="AO67" s="118"/>
      <c r="AP67" s="118"/>
      <c r="AQ67" s="118"/>
      <c r="AR67" s="118"/>
      <c r="AS67" s="118"/>
      <c r="AT67" s="118"/>
      <c r="AU67" s="118"/>
      <c r="AV67" s="118"/>
      <c r="AW67" s="117"/>
      <c r="AX67" s="117"/>
      <c r="AY67" s="117"/>
      <c r="AZ67" s="117"/>
      <c r="BA67" s="117"/>
      <c r="BB67" s="117"/>
      <c r="BC67" s="117"/>
      <c r="BD67" s="117"/>
      <c r="BE67" s="117"/>
      <c r="BF67" s="117"/>
      <c r="BG67" s="117"/>
      <c r="BH67" s="117"/>
      <c r="BI67" s="117"/>
    </row>
    <row r="68" spans="1:61">
      <c r="A68" s="2" t="str">
        <f>'Reference Score Calculation'!A59</f>
        <v>JS1211</v>
      </c>
      <c r="B68" s="364" t="str">
        <f>'Reference Score Calculation'!A59</f>
        <v>JS1211</v>
      </c>
      <c r="C68" s="2" t="str">
        <f>'Reference Score Calculation'!D59</f>
        <v>工學士(生物醫學工程)</v>
      </c>
      <c r="D68" s="16">
        <f>'Reference Score Calculation'!T59</f>
        <v>44</v>
      </c>
      <c r="E68" s="16">
        <v>3</v>
      </c>
      <c r="F68" s="16">
        <v>3</v>
      </c>
      <c r="G68" s="16">
        <v>2</v>
      </c>
      <c r="H68" s="16">
        <v>2</v>
      </c>
      <c r="I68" s="16">
        <v>3</v>
      </c>
      <c r="J68" s="16">
        <v>3</v>
      </c>
      <c r="L68" s="92">
        <v>3</v>
      </c>
      <c r="M68" s="92">
        <v>3</v>
      </c>
      <c r="N68" s="92">
        <v>2</v>
      </c>
      <c r="O68" s="92">
        <v>1</v>
      </c>
      <c r="P68" s="92">
        <v>3</v>
      </c>
      <c r="Q68" s="92">
        <v>3</v>
      </c>
      <c r="S68" s="16">
        <f t="shared" si="28"/>
        <v>0</v>
      </c>
      <c r="T68" s="16">
        <f t="shared" si="29"/>
        <v>0</v>
      </c>
      <c r="U68" s="16">
        <f t="shared" si="31"/>
        <v>0</v>
      </c>
      <c r="V68" s="16">
        <f t="shared" si="30"/>
        <v>0</v>
      </c>
      <c r="W68" s="73">
        <f>IF(AQ36=0,0,IF(P68&gt;AQ36,0,1))</f>
        <v>0</v>
      </c>
      <c r="X68" s="16">
        <f t="shared" si="32"/>
        <v>0</v>
      </c>
      <c r="Z68" s="16">
        <f t="shared" si="8"/>
        <v>0</v>
      </c>
      <c r="AB68" s="16" t="s">
        <v>432</v>
      </c>
      <c r="AC68" s="16" t="s">
        <v>433</v>
      </c>
      <c r="AD68" s="16" t="s">
        <v>434</v>
      </c>
      <c r="AF68" s="21" t="s">
        <v>2879</v>
      </c>
      <c r="AG68" s="2" t="s">
        <v>435</v>
      </c>
      <c r="AH68" s="21" t="s">
        <v>430</v>
      </c>
      <c r="AI68" s="125" t="s">
        <v>301</v>
      </c>
      <c r="AJ68" s="118"/>
      <c r="AK68" s="118"/>
      <c r="AL68" s="118"/>
      <c r="AM68" s="118"/>
      <c r="AN68" s="118"/>
      <c r="AO68" s="118"/>
      <c r="AP68" s="118"/>
      <c r="AQ68" s="118"/>
      <c r="AR68" s="118"/>
      <c r="AS68" s="118"/>
      <c r="AT68" s="118"/>
      <c r="AU68" s="118"/>
      <c r="AV68" s="118"/>
      <c r="AW68" s="117"/>
      <c r="AX68" s="117"/>
      <c r="AY68" s="117"/>
      <c r="AZ68" s="117"/>
      <c r="BA68" s="117"/>
      <c r="BB68" s="117"/>
      <c r="BC68" s="117"/>
      <c r="BD68" s="117"/>
      <c r="BE68" s="117"/>
      <c r="BF68" s="117"/>
      <c r="BG68" s="117"/>
      <c r="BH68" s="117"/>
      <c r="BI68" s="117"/>
    </row>
    <row r="69" spans="1:61">
      <c r="A69" s="2" t="str">
        <f>'Reference Score Calculation'!A60</f>
        <v>JS1216</v>
      </c>
      <c r="B69" s="364" t="str">
        <f>'Reference Score Calculation'!A60</f>
        <v>JS1216</v>
      </c>
      <c r="C69" s="2" t="str">
        <f>'Reference Score Calculation'!D60</f>
        <v>工學士(智能製造工程學)</v>
      </c>
      <c r="D69" s="16">
        <f>'Reference Score Calculation'!T60</f>
        <v>24</v>
      </c>
      <c r="E69" s="16">
        <v>3</v>
      </c>
      <c r="F69" s="16">
        <v>3</v>
      </c>
      <c r="G69" s="16">
        <v>2</v>
      </c>
      <c r="H69" s="16">
        <v>2</v>
      </c>
      <c r="I69" s="16">
        <v>3</v>
      </c>
      <c r="J69" s="16">
        <v>3</v>
      </c>
      <c r="L69" s="92">
        <v>3</v>
      </c>
      <c r="M69" s="92">
        <v>3</v>
      </c>
      <c r="N69" s="92">
        <v>2</v>
      </c>
      <c r="O69" s="92">
        <v>1</v>
      </c>
      <c r="P69" s="92">
        <v>3</v>
      </c>
      <c r="Q69" s="92">
        <v>3</v>
      </c>
      <c r="S69" s="16">
        <f t="shared" si="28"/>
        <v>0</v>
      </c>
      <c r="T69" s="16">
        <f t="shared" si="29"/>
        <v>0</v>
      </c>
      <c r="U69" s="16">
        <f t="shared" si="31"/>
        <v>0</v>
      </c>
      <c r="V69" s="16">
        <f t="shared" si="30"/>
        <v>0</v>
      </c>
      <c r="W69" s="73">
        <f>IF(AQ38=0,0,IF(P69&gt;AQ38,0,1))</f>
        <v>0</v>
      </c>
      <c r="X69" s="16">
        <f t="shared" si="32"/>
        <v>0</v>
      </c>
      <c r="Z69" s="16">
        <f t="shared" si="8"/>
        <v>0</v>
      </c>
      <c r="AB69" s="16" t="s">
        <v>432</v>
      </c>
      <c r="AC69" s="16" t="s">
        <v>433</v>
      </c>
      <c r="AD69" s="16" t="s">
        <v>434</v>
      </c>
      <c r="AF69" s="21" t="s">
        <v>2880</v>
      </c>
      <c r="AG69" s="2" t="s">
        <v>435</v>
      </c>
      <c r="AH69" s="21" t="s">
        <v>430</v>
      </c>
      <c r="AI69" s="118"/>
      <c r="AJ69" s="118"/>
      <c r="AK69" s="118"/>
      <c r="AL69" s="118"/>
      <c r="AM69" s="118"/>
      <c r="AN69" s="118"/>
      <c r="AO69" s="118"/>
      <c r="AP69" s="118"/>
      <c r="AQ69" s="118"/>
      <c r="AR69" s="118"/>
      <c r="AS69" s="118"/>
      <c r="AT69" s="118"/>
      <c r="AU69" s="118"/>
      <c r="AV69" s="118"/>
      <c r="AW69" s="117"/>
      <c r="AX69" s="117"/>
      <c r="AY69" s="117"/>
      <c r="AZ69" s="117"/>
      <c r="BA69" s="117"/>
      <c r="BB69" s="117"/>
      <c r="BC69" s="117"/>
      <c r="BD69" s="117"/>
      <c r="BE69" s="117"/>
      <c r="BF69" s="117"/>
      <c r="BG69" s="117"/>
      <c r="BH69" s="117"/>
      <c r="BI69" s="117"/>
    </row>
    <row r="70" spans="1:61">
      <c r="A70" s="2" t="str">
        <f>'Reference Score Calculation'!A61</f>
        <v>JS1217</v>
      </c>
      <c r="B70" s="364" t="str">
        <f>'Reference Score Calculation'!A61</f>
        <v>JS1217</v>
      </c>
      <c r="C70" s="2" t="str">
        <f>'Reference Score Calculation'!D61</f>
        <v>工學院(選項: 工學院任何一個主修及工程創業副修)</v>
      </c>
      <c r="D70" s="16">
        <f>'Reference Score Calculation'!T61</f>
        <v>10</v>
      </c>
      <c r="E70" s="16">
        <v>3</v>
      </c>
      <c r="F70" s="16">
        <v>3</v>
      </c>
      <c r="G70" s="16">
        <v>3</v>
      </c>
      <c r="H70" s="16">
        <v>2</v>
      </c>
      <c r="I70" s="16">
        <v>3</v>
      </c>
      <c r="J70" s="16">
        <v>3</v>
      </c>
      <c r="L70" s="92">
        <v>3</v>
      </c>
      <c r="M70" s="92">
        <v>3</v>
      </c>
      <c r="N70" s="92">
        <v>3</v>
      </c>
      <c r="O70" s="92">
        <v>1</v>
      </c>
      <c r="P70" s="92">
        <v>3</v>
      </c>
      <c r="Q70" s="92">
        <v>3</v>
      </c>
      <c r="S70" s="16">
        <f t="shared" si="28"/>
        <v>0</v>
      </c>
      <c r="T70" s="16">
        <f t="shared" si="29"/>
        <v>0</v>
      </c>
      <c r="U70" s="16">
        <f t="shared" si="31"/>
        <v>0</v>
      </c>
      <c r="V70" s="16">
        <f t="shared" si="30"/>
        <v>0</v>
      </c>
      <c r="W70" s="73">
        <f>IF(AQ40=0,0,IF(P70&gt;AQ40,0,1))</f>
        <v>0</v>
      </c>
      <c r="X70" s="73">
        <f>IF(AS40=0,0,IF(Q70&gt;AS40,0,1))</f>
        <v>0</v>
      </c>
      <c r="Z70" s="16">
        <f t="shared" si="8"/>
        <v>0</v>
      </c>
      <c r="AB70" s="16" t="s">
        <v>432</v>
      </c>
      <c r="AC70" s="16" t="s">
        <v>434</v>
      </c>
      <c r="AD70" s="16" t="s">
        <v>434</v>
      </c>
      <c r="AF70" s="21" t="s">
        <v>2881</v>
      </c>
      <c r="AG70" s="2" t="s">
        <v>435</v>
      </c>
      <c r="AH70" s="21" t="s">
        <v>430</v>
      </c>
      <c r="AI70" s="118"/>
      <c r="AJ70" s="118" t="str">
        <f>Q2</f>
        <v>請選擇第一選修科</v>
      </c>
      <c r="AK70" s="118" t="str">
        <f>R2</f>
        <v>請選擇第二選修科</v>
      </c>
      <c r="AL70" s="118" t="str">
        <f>S2</f>
        <v>請選擇第三選修科</v>
      </c>
      <c r="AM70" s="118" t="str">
        <f>T2</f>
        <v>請選擇第四選修科</v>
      </c>
      <c r="AN70" s="118"/>
      <c r="AO70" s="118"/>
      <c r="AP70" s="118" t="s">
        <v>2872</v>
      </c>
      <c r="AQ70" s="117"/>
      <c r="AR70" s="118"/>
      <c r="AS70" s="117"/>
      <c r="AT70" s="117"/>
      <c r="AU70" s="117"/>
      <c r="AV70" s="118"/>
      <c r="AW70" s="117"/>
      <c r="AX70" s="117"/>
      <c r="AY70" s="117"/>
      <c r="AZ70" s="117"/>
      <c r="BA70" s="117"/>
      <c r="BB70" s="117"/>
      <c r="BC70" s="117"/>
      <c r="BD70" s="117"/>
      <c r="BE70" s="117"/>
      <c r="BF70" s="117"/>
      <c r="BG70" s="117"/>
      <c r="BH70" s="117"/>
      <c r="BI70" s="117"/>
    </row>
    <row r="71" spans="1:61">
      <c r="A71" s="2" t="str">
        <f>'Reference Score Calculation'!A62</f>
        <v>JS1220</v>
      </c>
      <c r="B71" s="364" t="str">
        <f>'Reference Score Calculation'!A62</f>
        <v>JS1220</v>
      </c>
      <c r="C71" s="2" t="str">
        <f>'Reference Score Calculation'!D62</f>
        <v>法律學學士與理學士(計算數學)</v>
      </c>
      <c r="D71" s="16">
        <f>'Reference Score Calculation'!T62</f>
        <v>9</v>
      </c>
      <c r="E71" s="16">
        <v>3</v>
      </c>
      <c r="F71" s="16">
        <v>5</v>
      </c>
      <c r="G71" s="16">
        <v>3</v>
      </c>
      <c r="H71" s="16">
        <v>2</v>
      </c>
      <c r="I71" s="16">
        <v>3</v>
      </c>
      <c r="J71" s="16">
        <v>3</v>
      </c>
      <c r="L71" s="92">
        <v>3</v>
      </c>
      <c r="M71" s="92">
        <v>5</v>
      </c>
      <c r="N71" s="92">
        <v>3</v>
      </c>
      <c r="O71" s="92">
        <v>1</v>
      </c>
      <c r="P71" s="92">
        <v>3</v>
      </c>
      <c r="Q71" s="92">
        <v>3</v>
      </c>
      <c r="S71" s="16">
        <f t="shared" si="28"/>
        <v>0</v>
      </c>
      <c r="T71" s="16">
        <f t="shared" si="29"/>
        <v>0</v>
      </c>
      <c r="U71" s="16">
        <f t="shared" si="31"/>
        <v>0</v>
      </c>
      <c r="V71" s="16">
        <f t="shared" si="30"/>
        <v>0</v>
      </c>
      <c r="W71" s="73">
        <f>IF(AQ57=0,0,IF(P71&gt;AQ57,0,1))</f>
        <v>0</v>
      </c>
      <c r="X71" s="16">
        <f>IF(Q71&gt;LARGE(P$3:U$3,2),0,1)</f>
        <v>0</v>
      </c>
      <c r="Z71" s="16">
        <f t="shared" si="8"/>
        <v>0</v>
      </c>
      <c r="AB71" s="16" t="s">
        <v>432</v>
      </c>
      <c r="AC71" s="16" t="s">
        <v>433</v>
      </c>
      <c r="AD71" s="16" t="s">
        <v>434</v>
      </c>
      <c r="AF71" s="21" t="s">
        <v>454</v>
      </c>
      <c r="AG71" s="2" t="s">
        <v>435</v>
      </c>
      <c r="AH71" s="21" t="s">
        <v>430</v>
      </c>
      <c r="AI71" s="118" t="s">
        <v>302</v>
      </c>
      <c r="AJ71" s="119">
        <f>IF(OR(Q2="物理",Q2="化學",Q2="生物"),Q3,0)</f>
        <v>0</v>
      </c>
      <c r="AK71" s="119">
        <f t="shared" ref="AK71:AM71" si="35">IF(OR(R2="物理",R2="化學",R2="生物"),R3,0)</f>
        <v>0</v>
      </c>
      <c r="AL71" s="119">
        <f t="shared" si="35"/>
        <v>0</v>
      </c>
      <c r="AM71" s="119">
        <f t="shared" si="35"/>
        <v>0</v>
      </c>
      <c r="AN71" s="118"/>
      <c r="AO71" s="118"/>
      <c r="AP71" s="119" t="str">
        <f>IF(AQ71&gt;0,INDEX(AJ70:AM70,MATCH(LARGE(AJ71:AM71,1),AJ71:AM71,0)),"無")</f>
        <v>無</v>
      </c>
      <c r="AQ71" s="119">
        <f>LARGE((AJ71:AM71),1)</f>
        <v>0</v>
      </c>
      <c r="AR71" s="118"/>
      <c r="AS71" s="117"/>
      <c r="AT71" s="117"/>
      <c r="AU71" s="117"/>
      <c r="AV71" s="118"/>
      <c r="AW71" s="117"/>
      <c r="AX71" s="117"/>
      <c r="AY71" s="117"/>
      <c r="AZ71" s="117"/>
      <c r="BA71" s="117"/>
      <c r="BB71" s="117"/>
      <c r="BC71" s="117"/>
      <c r="BD71" s="117"/>
      <c r="BE71" s="117"/>
      <c r="BF71" s="117"/>
      <c r="BG71" s="117"/>
      <c r="BH71" s="117"/>
      <c r="BI71" s="117"/>
    </row>
    <row r="72" spans="1:61">
      <c r="A72" s="2" t="str">
        <f>'Reference Score Calculation'!A63</f>
        <v>JS1221</v>
      </c>
      <c r="B72" s="364" t="str">
        <f>'Reference Score Calculation'!A63</f>
        <v>JS1221</v>
      </c>
      <c r="C72" s="2" t="str">
        <f>'Reference Score Calculation'!D63</f>
        <v>理學士(電腦科學)與理學士(計算金融及金融科技)</v>
      </c>
      <c r="D72" s="16">
        <f>'Reference Score Calculation'!T63</f>
        <v>10</v>
      </c>
      <c r="E72" s="16">
        <v>3</v>
      </c>
      <c r="F72" s="16">
        <v>3</v>
      </c>
      <c r="G72" s="16">
        <v>4</v>
      </c>
      <c r="H72" s="16">
        <v>2</v>
      </c>
      <c r="I72" s="16">
        <v>3</v>
      </c>
      <c r="J72" s="16">
        <v>3</v>
      </c>
      <c r="L72" s="92">
        <v>3</v>
      </c>
      <c r="M72" s="92">
        <v>3</v>
      </c>
      <c r="N72" s="92">
        <v>4</v>
      </c>
      <c r="O72" s="92">
        <v>1</v>
      </c>
      <c r="P72" s="92">
        <v>3</v>
      </c>
      <c r="Q72" s="92">
        <v>3</v>
      </c>
      <c r="S72" s="16">
        <f t="shared" si="28"/>
        <v>0</v>
      </c>
      <c r="T72" s="16">
        <f t="shared" si="29"/>
        <v>0</v>
      </c>
      <c r="U72" s="16">
        <f t="shared" si="31"/>
        <v>0</v>
      </c>
      <c r="V72" s="16">
        <f t="shared" si="30"/>
        <v>0</v>
      </c>
      <c r="W72" s="73">
        <f>IF(AQ42=0,0,IF(P72&gt;AQ42,0,1))</f>
        <v>0</v>
      </c>
      <c r="X72" s="16">
        <f>IF(Q72&gt;LARGE(P$3:U$3,2),0,1)</f>
        <v>0</v>
      </c>
      <c r="Z72" s="16">
        <f t="shared" si="8"/>
        <v>0</v>
      </c>
      <c r="AB72" s="16" t="s">
        <v>432</v>
      </c>
      <c r="AC72" s="16" t="s">
        <v>433</v>
      </c>
      <c r="AD72" s="16" t="s">
        <v>434</v>
      </c>
      <c r="AF72" s="21" t="s">
        <v>2875</v>
      </c>
      <c r="AG72" s="2" t="s">
        <v>435</v>
      </c>
      <c r="AH72" s="21" t="s">
        <v>430</v>
      </c>
      <c r="AI72" s="118" t="s">
        <v>2533</v>
      </c>
      <c r="AJ72" s="118"/>
      <c r="AK72" s="118"/>
      <c r="AL72" s="118"/>
      <c r="AM72" s="118"/>
      <c r="AN72" s="118"/>
      <c r="AO72" s="118"/>
      <c r="AP72" s="118"/>
      <c r="AQ72" s="118"/>
      <c r="AR72" s="118"/>
      <c r="AS72" s="118"/>
      <c r="AT72" s="118"/>
      <c r="AU72" s="118"/>
      <c r="AV72" s="118"/>
      <c r="AW72" s="117"/>
      <c r="AX72" s="117"/>
      <c r="AY72" s="117"/>
      <c r="AZ72" s="117"/>
      <c r="BA72" s="117"/>
      <c r="BB72" s="117"/>
      <c r="BC72" s="117"/>
      <c r="BD72" s="117"/>
      <c r="BE72" s="117"/>
      <c r="BF72" s="117"/>
      <c r="BG72" s="117"/>
      <c r="BH72" s="117"/>
      <c r="BI72" s="117"/>
    </row>
    <row r="73" spans="1:61">
      <c r="A73" s="2" t="str">
        <f>'Reference Score Calculation'!A64</f>
        <v>JS1801</v>
      </c>
      <c r="B73" s="364" t="str">
        <f>'Reference Score Calculation'!A64</f>
        <v>JS1801</v>
      </c>
      <c r="C73" s="2" t="str">
        <f>'Reference Score Calculation'!D64</f>
        <v>獸醫學學士</v>
      </c>
      <c r="D73" s="16">
        <f>'Reference Score Calculation'!T64</f>
        <v>30</v>
      </c>
      <c r="E73" s="16">
        <v>3</v>
      </c>
      <c r="F73" s="16">
        <v>5</v>
      </c>
      <c r="G73" s="16">
        <v>3</v>
      </c>
      <c r="H73" s="16">
        <v>3</v>
      </c>
      <c r="I73" s="16">
        <v>3</v>
      </c>
      <c r="J73" s="16">
        <v>3</v>
      </c>
      <c r="L73" s="92">
        <v>3</v>
      </c>
      <c r="M73" s="92">
        <v>5</v>
      </c>
      <c r="N73" s="92">
        <v>3</v>
      </c>
      <c r="O73" s="92">
        <v>1</v>
      </c>
      <c r="P73" s="92">
        <v>3</v>
      </c>
      <c r="Q73" s="92">
        <v>3</v>
      </c>
      <c r="S73" s="16">
        <f t="shared" si="28"/>
        <v>0</v>
      </c>
      <c r="T73" s="16">
        <f t="shared" si="29"/>
        <v>0</v>
      </c>
      <c r="U73" s="16">
        <f t="shared" si="31"/>
        <v>0</v>
      </c>
      <c r="V73" s="16">
        <f t="shared" si="30"/>
        <v>0</v>
      </c>
      <c r="W73" s="73">
        <f>IF(AQ63=0,0,IF(P73&gt;AQ63,0,1))</f>
        <v>0</v>
      </c>
      <c r="X73" s="73">
        <f>IF(AS63=0,0,IF(Q73&gt;AS63,0,1))</f>
        <v>0</v>
      </c>
      <c r="Z73" s="16">
        <f t="shared" si="8"/>
        <v>0</v>
      </c>
      <c r="AA73" s="2"/>
      <c r="AB73" s="16" t="s">
        <v>434</v>
      </c>
      <c r="AC73" s="16" t="s">
        <v>434</v>
      </c>
      <c r="AD73" s="16" t="s">
        <v>434</v>
      </c>
      <c r="AF73" s="21" t="s">
        <v>455</v>
      </c>
      <c r="AG73" s="2" t="s">
        <v>435</v>
      </c>
      <c r="AH73" s="21" t="s">
        <v>430</v>
      </c>
      <c r="AI73" s="118"/>
      <c r="AJ73" s="118"/>
      <c r="AK73" s="118"/>
      <c r="AL73" s="118"/>
      <c r="AM73" s="118"/>
      <c r="AN73" s="118"/>
      <c r="AO73" s="118"/>
      <c r="AP73" s="118"/>
      <c r="AQ73" s="118"/>
      <c r="AR73" s="118"/>
      <c r="AS73" s="118"/>
      <c r="AT73" s="118"/>
      <c r="AU73" s="118"/>
      <c r="AV73" s="118"/>
      <c r="AW73" s="117"/>
      <c r="AX73" s="117"/>
      <c r="AY73" s="117"/>
      <c r="AZ73" s="117"/>
      <c r="BA73" s="117"/>
      <c r="BB73" s="117"/>
      <c r="BC73" s="117"/>
      <c r="BD73" s="117"/>
      <c r="BE73" s="117"/>
      <c r="BF73" s="117"/>
      <c r="BG73" s="117"/>
      <c r="BH73" s="117"/>
      <c r="BI73" s="117"/>
    </row>
    <row r="74" spans="1:61">
      <c r="A74" s="2" t="str">
        <f>'Reference Score Calculation'!A65</f>
        <v>JS1805</v>
      </c>
      <c r="B74" s="364" t="str">
        <f>'Reference Score Calculation'!A65</f>
        <v>JS1805</v>
      </c>
      <c r="C74" s="2" t="str">
        <f>'Reference Score Calculation'!D65</f>
        <v>生物醫學系 [選項: 理學士(生物科學)、理學士(生物醫學)]</v>
      </c>
      <c r="D74" s="16">
        <f>'Reference Score Calculation'!T65</f>
        <v>24</v>
      </c>
      <c r="E74" s="16">
        <v>3</v>
      </c>
      <c r="F74" s="16">
        <v>3</v>
      </c>
      <c r="G74" s="16">
        <v>3</v>
      </c>
      <c r="H74" s="16">
        <v>2</v>
      </c>
      <c r="I74" s="16">
        <v>3</v>
      </c>
      <c r="J74" s="16">
        <v>3</v>
      </c>
      <c r="L74" s="92">
        <v>3</v>
      </c>
      <c r="M74" s="92">
        <v>3</v>
      </c>
      <c r="N74" s="92">
        <v>3</v>
      </c>
      <c r="O74" s="92">
        <v>1</v>
      </c>
      <c r="P74" s="92">
        <v>3</v>
      </c>
      <c r="Q74" s="92">
        <v>3</v>
      </c>
      <c r="S74" s="16">
        <f t="shared" si="28"/>
        <v>0</v>
      </c>
      <c r="T74" s="16">
        <f t="shared" si="29"/>
        <v>0</v>
      </c>
      <c r="U74" s="16">
        <f t="shared" si="31"/>
        <v>0</v>
      </c>
      <c r="V74" s="16">
        <f t="shared" si="30"/>
        <v>0</v>
      </c>
      <c r="W74" s="73">
        <f>IF(AQ65=0,0,IF(P74&gt;AQ65,0,1))</f>
        <v>0</v>
      </c>
      <c r="X74" s="73">
        <f>IF(AZ65=0,0,IF(Q74&gt;AZ65,0,1))</f>
        <v>0</v>
      </c>
      <c r="Z74" s="16">
        <f t="shared" si="8"/>
        <v>0</v>
      </c>
      <c r="AA74" s="2"/>
      <c r="AB74" s="16" t="s">
        <v>432</v>
      </c>
      <c r="AC74" s="16" t="s">
        <v>434</v>
      </c>
      <c r="AD74" s="123" t="s">
        <v>432</v>
      </c>
      <c r="AF74" s="21" t="s">
        <v>2882</v>
      </c>
      <c r="AG74" s="21" t="s">
        <v>2876</v>
      </c>
      <c r="AH74" s="21" t="s">
        <v>430</v>
      </c>
      <c r="AI74" s="118"/>
      <c r="AJ74" s="118"/>
      <c r="AK74" s="118"/>
      <c r="AL74" s="118"/>
      <c r="AM74" s="118"/>
      <c r="AN74" s="118"/>
      <c r="AO74" s="118"/>
      <c r="AP74" s="118"/>
      <c r="AQ74" s="118"/>
      <c r="AR74" s="118"/>
      <c r="AS74" s="118"/>
      <c r="AT74" s="118"/>
      <c r="AU74" s="118"/>
      <c r="AV74" s="118"/>
      <c r="AW74" s="117"/>
      <c r="AX74" s="117"/>
      <c r="AY74" s="117"/>
      <c r="AZ74" s="117"/>
      <c r="BA74" s="117"/>
      <c r="BB74" s="117"/>
      <c r="BC74" s="117"/>
      <c r="BD74" s="117"/>
      <c r="BE74" s="117"/>
      <c r="BF74" s="117"/>
      <c r="BG74" s="117"/>
      <c r="BH74" s="117"/>
      <c r="BI74" s="117"/>
    </row>
    <row r="75" spans="1:61">
      <c r="A75" s="2" t="str">
        <f>'Reference Score Calculation'!A66</f>
        <v>JS1806</v>
      </c>
      <c r="B75" s="364" t="str">
        <f>'Reference Score Calculation'!A66</f>
        <v>JS1806</v>
      </c>
      <c r="C75" s="2" t="str">
        <f>'Reference Score Calculation'!D66</f>
        <v>理學士(生物科學)</v>
      </c>
      <c r="D75" s="16">
        <f>'Reference Score Calculation'!T66</f>
        <v>28</v>
      </c>
      <c r="E75" s="16">
        <v>3</v>
      </c>
      <c r="F75" s="16">
        <v>3</v>
      </c>
      <c r="G75" s="16">
        <v>3</v>
      </c>
      <c r="H75" s="16">
        <v>2</v>
      </c>
      <c r="I75" s="16">
        <v>3</v>
      </c>
      <c r="J75" s="16">
        <v>3</v>
      </c>
      <c r="L75" s="92">
        <v>3</v>
      </c>
      <c r="M75" s="92">
        <v>3</v>
      </c>
      <c r="N75" s="92">
        <v>3</v>
      </c>
      <c r="O75" s="92">
        <v>1</v>
      </c>
      <c r="P75" s="92">
        <v>3</v>
      </c>
      <c r="Q75" s="92">
        <v>3</v>
      </c>
      <c r="S75" s="16">
        <f t="shared" si="28"/>
        <v>0</v>
      </c>
      <c r="T75" s="16">
        <f t="shared" si="29"/>
        <v>0</v>
      </c>
      <c r="U75" s="16">
        <f t="shared" si="31"/>
        <v>0</v>
      </c>
      <c r="V75" s="16">
        <f t="shared" si="30"/>
        <v>0</v>
      </c>
      <c r="W75" s="73">
        <f>IF(AQ65=0,0,IF(P75&gt;AQ65,0,1))</f>
        <v>0</v>
      </c>
      <c r="X75" s="73">
        <f>IF(AZ65=0,0,IF(Q75&gt;AZ65,0,1))</f>
        <v>0</v>
      </c>
      <c r="Z75" s="16">
        <f t="shared" si="8"/>
        <v>0</v>
      </c>
      <c r="AA75" s="2"/>
      <c r="AB75" s="16" t="s">
        <v>432</v>
      </c>
      <c r="AC75" s="16" t="s">
        <v>434</v>
      </c>
      <c r="AD75" s="123" t="s">
        <v>432</v>
      </c>
      <c r="AF75" s="21" t="s">
        <v>2882</v>
      </c>
      <c r="AG75" s="21" t="s">
        <v>2876</v>
      </c>
      <c r="AH75" s="21" t="s">
        <v>430</v>
      </c>
      <c r="AI75" s="104"/>
      <c r="AJ75" s="117"/>
      <c r="AK75" s="117"/>
      <c r="AL75" s="117"/>
      <c r="AM75" s="117"/>
      <c r="AN75" s="117"/>
      <c r="AO75" s="117"/>
      <c r="AP75" s="117"/>
      <c r="AQ75" s="117"/>
      <c r="AR75" s="117"/>
      <c r="AS75" s="117"/>
      <c r="AT75" s="117"/>
      <c r="AU75" s="117"/>
      <c r="AV75" s="117"/>
      <c r="AW75" s="117"/>
      <c r="AX75" s="117"/>
      <c r="AY75" s="117"/>
      <c r="AZ75" s="117"/>
      <c r="BA75" s="117"/>
      <c r="BB75" s="117"/>
      <c r="BC75" s="117"/>
      <c r="BD75" s="117"/>
      <c r="BE75" s="117"/>
      <c r="BF75" s="117"/>
      <c r="BG75" s="117"/>
      <c r="BH75" s="117"/>
      <c r="BI75" s="117"/>
    </row>
    <row r="76" spans="1:61">
      <c r="A76" s="2" t="str">
        <f>'Reference Score Calculation'!A67</f>
        <v>JS1807</v>
      </c>
      <c r="B76" s="364" t="str">
        <f>'Reference Score Calculation'!A67</f>
        <v>JS1807</v>
      </c>
      <c r="C76" s="2" t="str">
        <f>'Reference Score Calculation'!D67</f>
        <v>理學士(生物醫學)</v>
      </c>
      <c r="D76" s="16">
        <f>'Reference Score Calculation'!T67</f>
        <v>28</v>
      </c>
      <c r="E76" s="16">
        <v>3</v>
      </c>
      <c r="F76" s="16">
        <v>3</v>
      </c>
      <c r="G76" s="16">
        <v>3</v>
      </c>
      <c r="H76" s="16">
        <v>2</v>
      </c>
      <c r="I76" s="16">
        <v>3</v>
      </c>
      <c r="J76" s="16">
        <v>3</v>
      </c>
      <c r="L76" s="92">
        <v>3</v>
      </c>
      <c r="M76" s="92">
        <v>3</v>
      </c>
      <c r="N76" s="92">
        <v>3</v>
      </c>
      <c r="O76" s="92">
        <v>1</v>
      </c>
      <c r="P76" s="92">
        <v>3</v>
      </c>
      <c r="Q76" s="92">
        <v>3</v>
      </c>
      <c r="S76" s="16">
        <f t="shared" si="28"/>
        <v>0</v>
      </c>
      <c r="T76" s="16">
        <f t="shared" si="29"/>
        <v>0</v>
      </c>
      <c r="U76" s="16">
        <f t="shared" si="31"/>
        <v>0</v>
      </c>
      <c r="V76" s="16">
        <f t="shared" si="30"/>
        <v>0</v>
      </c>
      <c r="W76" s="73">
        <f>IF(AQ65=0,0,IF(P76&gt;AQ65,0,1))</f>
        <v>0</v>
      </c>
      <c r="X76" s="73">
        <f>IF(AZ65=0,0,IF(Q76&gt;AZ65,0,1))</f>
        <v>0</v>
      </c>
      <c r="Z76" s="16">
        <f t="shared" si="8"/>
        <v>0</v>
      </c>
      <c r="AA76" s="2"/>
      <c r="AB76" s="16" t="s">
        <v>432</v>
      </c>
      <c r="AC76" s="16" t="s">
        <v>434</v>
      </c>
      <c r="AD76" s="123" t="s">
        <v>432</v>
      </c>
      <c r="AF76" s="21" t="s">
        <v>2882</v>
      </c>
      <c r="AG76" s="21" t="s">
        <v>2876</v>
      </c>
      <c r="AH76" s="21" t="s">
        <v>430</v>
      </c>
      <c r="AS76" s="2"/>
      <c r="AT76" s="2"/>
      <c r="AU76" s="2"/>
      <c r="AV76" s="2"/>
    </row>
    <row r="77" spans="1:61">
      <c r="B77" s="60" t="s">
        <v>250</v>
      </c>
      <c r="C77" s="401" t="s">
        <v>2895</v>
      </c>
      <c r="L77" s="2"/>
      <c r="M77" s="2"/>
      <c r="N77" s="2"/>
      <c r="O77" s="2"/>
      <c r="P77" s="2"/>
      <c r="Q77" s="2"/>
      <c r="Z77" s="2"/>
      <c r="AA77" s="2"/>
      <c r="AB77" s="2"/>
      <c r="AC77" s="2"/>
      <c r="AD77" s="2"/>
      <c r="AE77" s="2"/>
      <c r="AF77" s="2"/>
      <c r="AG77" s="2"/>
      <c r="AH77" s="2"/>
    </row>
    <row r="78" spans="1:61">
      <c r="B78" s="11" t="s">
        <v>110</v>
      </c>
      <c r="C78" s="11" t="s">
        <v>112</v>
      </c>
      <c r="D78" s="19" t="s">
        <v>38</v>
      </c>
      <c r="E78" s="19"/>
      <c r="F78" s="19"/>
      <c r="G78" s="19"/>
      <c r="H78" s="19"/>
      <c r="I78" s="19"/>
      <c r="J78" s="19"/>
      <c r="K78" s="19"/>
      <c r="L78" s="94" t="s">
        <v>117</v>
      </c>
      <c r="M78" s="94" t="s">
        <v>118</v>
      </c>
      <c r="N78" s="94" t="s">
        <v>119</v>
      </c>
      <c r="O78" s="19" t="s">
        <v>2807</v>
      </c>
      <c r="P78" s="94" t="s">
        <v>121</v>
      </c>
      <c r="Q78" s="94" t="s">
        <v>122</v>
      </c>
      <c r="R78" s="11"/>
      <c r="S78" s="19" t="s">
        <v>117</v>
      </c>
      <c r="T78" s="19" t="s">
        <v>118</v>
      </c>
      <c r="U78" s="19" t="s">
        <v>119</v>
      </c>
      <c r="V78" s="19" t="s">
        <v>2807</v>
      </c>
      <c r="W78" s="19" t="s">
        <v>121</v>
      </c>
      <c r="X78" s="19" t="s">
        <v>122</v>
      </c>
      <c r="Y78" s="51"/>
      <c r="Z78" s="19" t="s">
        <v>116</v>
      </c>
      <c r="AA78" s="2"/>
      <c r="AB78" s="19" t="s">
        <v>297</v>
      </c>
      <c r="AC78" s="19" t="s">
        <v>298</v>
      </c>
      <c r="AD78" s="19" t="s">
        <v>299</v>
      </c>
      <c r="AI78" s="124" t="s">
        <v>318</v>
      </c>
      <c r="AJ78" s="124" t="s">
        <v>431</v>
      </c>
      <c r="AK78" s="104"/>
      <c r="AL78" s="117"/>
      <c r="AM78" s="117"/>
      <c r="AN78" s="117"/>
      <c r="AO78" s="117"/>
      <c r="AP78" s="117"/>
      <c r="AQ78" s="117"/>
      <c r="AR78" s="117"/>
    </row>
    <row r="79" spans="1:61">
      <c r="A79" s="2" t="str">
        <f>'Reference Score Calculation'!A70</f>
        <v>JS2020</v>
      </c>
      <c r="B79" s="364" t="str">
        <f>'Reference Score Calculation'!A70</f>
        <v>JS2020</v>
      </c>
      <c r="C79" s="2" t="str">
        <f>'Reference Score Calculation'!D70</f>
        <v>文學士(榮譽) (中國語言文學 / 創意及專業寫作 / 英國語言文學 / 人文學 / 翻譯學)</v>
      </c>
      <c r="D79" s="16">
        <f>'Reference Score Calculation'!T70</f>
        <v>105</v>
      </c>
      <c r="E79" s="16">
        <v>3</v>
      </c>
      <c r="F79" s="16">
        <v>3</v>
      </c>
      <c r="G79" s="16">
        <v>2</v>
      </c>
      <c r="H79" s="16">
        <v>2</v>
      </c>
      <c r="I79" s="16">
        <v>3</v>
      </c>
      <c r="J79" s="16">
        <v>3</v>
      </c>
      <c r="L79" s="92">
        <v>3</v>
      </c>
      <c r="M79" s="92">
        <v>3</v>
      </c>
      <c r="N79" s="92">
        <v>2</v>
      </c>
      <c r="O79" s="92">
        <v>1</v>
      </c>
      <c r="P79" s="92">
        <v>3</v>
      </c>
      <c r="Q79" s="92">
        <v>3</v>
      </c>
      <c r="S79" s="16">
        <f>IF(L79&gt;L$3,0,1)</f>
        <v>0</v>
      </c>
      <c r="T79" s="16">
        <f t="shared" ref="T79:V79" si="36">IF(M79&gt;M$3,0,1)</f>
        <v>0</v>
      </c>
      <c r="U79" s="16">
        <f t="shared" si="36"/>
        <v>0</v>
      </c>
      <c r="V79" s="16">
        <f t="shared" si="36"/>
        <v>0</v>
      </c>
      <c r="W79" s="16">
        <f>IF(P79&gt;LARGE($P$3:$U$3,1),0,1)</f>
        <v>0</v>
      </c>
      <c r="X79" s="16">
        <f>IF(Q79&gt;LARGE($P$3:$U$3,2),0,1)</f>
        <v>0</v>
      </c>
      <c r="Z79" s="16">
        <f>S79*T79*U79*V79*W79*X79</f>
        <v>0</v>
      </c>
      <c r="AA79" s="2"/>
      <c r="AB79" s="16" t="s">
        <v>432</v>
      </c>
      <c r="AC79" s="16" t="s">
        <v>2892</v>
      </c>
      <c r="AD79" s="16" t="s">
        <v>463</v>
      </c>
      <c r="AF79" s="2" t="s">
        <v>435</v>
      </c>
      <c r="AG79" s="2" t="s">
        <v>435</v>
      </c>
      <c r="AI79" s="118"/>
      <c r="AJ79" s="118"/>
      <c r="AK79" s="118"/>
      <c r="AL79" s="118"/>
      <c r="AM79" s="118"/>
      <c r="AN79" s="118"/>
      <c r="AO79" s="104"/>
      <c r="AP79" s="104"/>
      <c r="AQ79" s="104"/>
      <c r="AR79" s="104"/>
    </row>
    <row r="80" spans="1:61">
      <c r="A80" s="2" t="str">
        <f>'Reference Score Calculation'!A71</f>
        <v>JS2025</v>
      </c>
      <c r="B80" s="364" t="str">
        <f>'Reference Score Calculation'!A71</f>
        <v>JS2025</v>
      </c>
      <c r="C80" s="2" t="str">
        <f>'Reference Score Calculation'!D71</f>
        <v>宗教、哲學及倫理文學士(榮譽)</v>
      </c>
      <c r="D80" s="16">
        <f>'Reference Score Calculation'!T71</f>
        <v>15</v>
      </c>
      <c r="E80" s="16">
        <v>3</v>
      </c>
      <c r="F80" s="16">
        <v>3</v>
      </c>
      <c r="G80" s="16">
        <v>2</v>
      </c>
      <c r="H80" s="16">
        <v>2</v>
      </c>
      <c r="I80" s="16">
        <v>3</v>
      </c>
      <c r="J80" s="16">
        <v>3</v>
      </c>
      <c r="L80" s="92">
        <v>3</v>
      </c>
      <c r="M80" s="92">
        <v>3</v>
      </c>
      <c r="N80" s="92">
        <v>2</v>
      </c>
      <c r="O80" s="92">
        <v>1</v>
      </c>
      <c r="P80" s="92">
        <v>3</v>
      </c>
      <c r="Q80" s="92">
        <v>3</v>
      </c>
      <c r="S80" s="16">
        <f t="shared" ref="S80:S93" si="37">IF(L80&gt;L$3,0,1)</f>
        <v>0</v>
      </c>
      <c r="T80" s="16">
        <f t="shared" ref="T80:T93" si="38">IF(M80&gt;M$3,0,1)</f>
        <v>0</v>
      </c>
      <c r="U80" s="16">
        <f t="shared" ref="U80:U93" si="39">IF(N80&gt;N$3,0,1)</f>
        <v>0</v>
      </c>
      <c r="V80" s="16">
        <f t="shared" ref="V80:V93" si="40">IF(O80&gt;O$3,0,1)</f>
        <v>0</v>
      </c>
      <c r="W80" s="16">
        <f>IF(P80&gt;LARGE($P$3:$T$3,1),0,1)</f>
        <v>0</v>
      </c>
      <c r="X80" s="16">
        <f t="shared" ref="X80:X93" si="41">IF(Q80&gt;LARGE($P$3:$U$3,2),0,1)</f>
        <v>0</v>
      </c>
      <c r="Z80" s="16">
        <f t="shared" ref="Z80:Z99" si="42">S80*T80*U80*V80*W80*X80</f>
        <v>0</v>
      </c>
      <c r="AA80" s="2"/>
      <c r="AB80" s="16" t="s">
        <v>432</v>
      </c>
      <c r="AC80" s="16" t="s">
        <v>2892</v>
      </c>
      <c r="AD80" s="16" t="s">
        <v>463</v>
      </c>
      <c r="AF80" s="2" t="s">
        <v>435</v>
      </c>
      <c r="AG80" s="2" t="s">
        <v>435</v>
      </c>
      <c r="AI80" s="118"/>
      <c r="AJ80" s="118" t="str">
        <f>Q2</f>
        <v>請選擇第一選修科</v>
      </c>
      <c r="AK80" s="118" t="str">
        <f>R2</f>
        <v>請選擇第二選修科</v>
      </c>
      <c r="AL80" s="118" t="str">
        <f>S2</f>
        <v>請選擇第三選修科</v>
      </c>
      <c r="AM80" s="118" t="str">
        <f>T2</f>
        <v>請選擇第四選修科</v>
      </c>
      <c r="AN80" s="118"/>
      <c r="AO80" s="104"/>
      <c r="AP80" s="118" t="s">
        <v>457</v>
      </c>
      <c r="AQ80" s="118"/>
      <c r="AR80" s="104"/>
    </row>
    <row r="81" spans="1:44">
      <c r="A81" s="2" t="str">
        <f>'Reference Score Calculation'!A72</f>
        <v>JS2060</v>
      </c>
      <c r="B81" s="364" t="str">
        <f>'Reference Score Calculation'!A72</f>
        <v>JS2060</v>
      </c>
      <c r="C81" s="2" t="str">
        <f>'Reference Score Calculation'!D72</f>
        <v>文學士(榮譽) / 音樂學士(榮譽) (音樂 / 創意產業)</v>
      </c>
      <c r="D81" s="16">
        <f>'Reference Score Calculation'!T72</f>
        <v>43</v>
      </c>
      <c r="E81" s="16">
        <v>3</v>
      </c>
      <c r="F81" s="16">
        <v>3</v>
      </c>
      <c r="G81" s="16">
        <v>2</v>
      </c>
      <c r="H81" s="16">
        <v>2</v>
      </c>
      <c r="I81" s="16">
        <v>3</v>
      </c>
      <c r="J81" s="16">
        <v>3</v>
      </c>
      <c r="L81" s="92">
        <v>3</v>
      </c>
      <c r="M81" s="92">
        <v>3</v>
      </c>
      <c r="N81" s="92">
        <v>2</v>
      </c>
      <c r="O81" s="92">
        <v>1</v>
      </c>
      <c r="P81" s="92">
        <v>3</v>
      </c>
      <c r="Q81" s="92">
        <v>3</v>
      </c>
      <c r="S81" s="16">
        <f t="shared" si="37"/>
        <v>0</v>
      </c>
      <c r="T81" s="16">
        <f t="shared" si="38"/>
        <v>0</v>
      </c>
      <c r="U81" s="16">
        <f t="shared" si="39"/>
        <v>0</v>
      </c>
      <c r="V81" s="16">
        <f t="shared" si="40"/>
        <v>0</v>
      </c>
      <c r="W81" s="16">
        <f>IF(P81&gt;LARGE($P$3:$T$3,1),0,1)</f>
        <v>0</v>
      </c>
      <c r="X81" s="16">
        <f t="shared" si="41"/>
        <v>0</v>
      </c>
      <c r="Z81" s="16">
        <f t="shared" si="42"/>
        <v>0</v>
      </c>
      <c r="AB81" s="16" t="s">
        <v>432</v>
      </c>
      <c r="AC81" s="16" t="s">
        <v>2892</v>
      </c>
      <c r="AD81" s="16" t="s">
        <v>432</v>
      </c>
      <c r="AF81" s="2" t="s">
        <v>435</v>
      </c>
      <c r="AG81" s="2" t="s">
        <v>435</v>
      </c>
      <c r="AI81" s="118" t="s">
        <v>458</v>
      </c>
      <c r="AJ81" s="119">
        <f>IF(OR(Q2="化學",Q2="生物"),Q3,0)</f>
        <v>0</v>
      </c>
      <c r="AK81" s="119">
        <f>IF(OR(R2="化學",R2="生物"),R3,0)</f>
        <v>0</v>
      </c>
      <c r="AL81" s="119">
        <f>IF(OR(S2="化學",S2="生物"),S3,0)</f>
        <v>0</v>
      </c>
      <c r="AM81" s="119">
        <f>IF(OR(T2="化學",T2="生物"),T3,0)</f>
        <v>0</v>
      </c>
      <c r="AN81" s="118"/>
      <c r="AO81" s="118"/>
      <c r="AP81" s="119" t="str">
        <f>IF(AQ81&gt;0,INDEX(AJ80:AN80,MATCH(LARGE(AJ81:AN81,1),AJ81:AN81,0)),"無")</f>
        <v>無</v>
      </c>
      <c r="AQ81" s="119">
        <f>LARGE((AJ81:AN81),1)</f>
        <v>0</v>
      </c>
      <c r="AR81" s="104"/>
    </row>
    <row r="82" spans="1:44">
      <c r="A82" s="2" t="str">
        <f>'Reference Score Calculation'!A73</f>
        <v>JS2110</v>
      </c>
      <c r="B82" s="364" t="str">
        <f>'Reference Score Calculation'!A73</f>
        <v>JS2110</v>
      </c>
      <c r="C82" s="2" t="str">
        <f>'Reference Score Calculation'!D73</f>
        <v>工商管理學士(榮譽) - 會計學專修</v>
      </c>
      <c r="D82" s="16">
        <f>'Reference Score Calculation'!T73</f>
        <v>47</v>
      </c>
      <c r="E82" s="16">
        <v>3</v>
      </c>
      <c r="F82" s="16">
        <v>3</v>
      </c>
      <c r="G82" s="16">
        <v>2</v>
      </c>
      <c r="H82" s="16">
        <v>2</v>
      </c>
      <c r="I82" s="16">
        <v>3</v>
      </c>
      <c r="J82" s="16">
        <v>3</v>
      </c>
      <c r="L82" s="92">
        <v>3</v>
      </c>
      <c r="M82" s="92">
        <v>3</v>
      </c>
      <c r="N82" s="92">
        <v>2</v>
      </c>
      <c r="O82" s="92">
        <v>1</v>
      </c>
      <c r="P82" s="92">
        <v>3</v>
      </c>
      <c r="Q82" s="92">
        <v>3</v>
      </c>
      <c r="S82" s="16">
        <f t="shared" si="37"/>
        <v>0</v>
      </c>
      <c r="T82" s="16">
        <f t="shared" si="38"/>
        <v>0</v>
      </c>
      <c r="U82" s="16">
        <f t="shared" si="39"/>
        <v>0</v>
      </c>
      <c r="V82" s="16">
        <f t="shared" si="40"/>
        <v>0</v>
      </c>
      <c r="W82" s="16">
        <f>IF(P82&gt;LARGE($P$3:$T$3,1),0,1)</f>
        <v>0</v>
      </c>
      <c r="X82" s="16">
        <f t="shared" si="41"/>
        <v>0</v>
      </c>
      <c r="Z82" s="16">
        <f t="shared" si="42"/>
        <v>0</v>
      </c>
      <c r="AB82" s="16" t="s">
        <v>432</v>
      </c>
      <c r="AC82" s="16" t="s">
        <v>434</v>
      </c>
      <c r="AD82" s="16" t="s">
        <v>432</v>
      </c>
      <c r="AF82" s="2" t="s">
        <v>435</v>
      </c>
      <c r="AG82" s="2" t="s">
        <v>435</v>
      </c>
      <c r="AI82" s="118"/>
      <c r="AJ82" s="118"/>
      <c r="AK82" s="118"/>
      <c r="AL82" s="118"/>
      <c r="AM82" s="118"/>
      <c r="AN82" s="118"/>
      <c r="AO82" s="118"/>
      <c r="AP82" s="104"/>
      <c r="AQ82" s="104"/>
      <c r="AR82" s="104"/>
    </row>
    <row r="83" spans="1:44">
      <c r="A83" s="2" t="str">
        <f>'Reference Score Calculation'!A74</f>
        <v>JS2120</v>
      </c>
      <c r="B83" s="364" t="str">
        <f>'Reference Score Calculation'!A74</f>
        <v>JS2120</v>
      </c>
      <c r="C83" s="2" t="str">
        <f>'Reference Score Calculation'!D74</f>
        <v>工商管理學士(榮譽)</v>
      </c>
      <c r="D83" s="16">
        <f>'Reference Score Calculation'!T74</f>
        <v>187</v>
      </c>
      <c r="E83" s="16">
        <v>3</v>
      </c>
      <c r="F83" s="16">
        <v>3</v>
      </c>
      <c r="G83" s="16">
        <v>2</v>
      </c>
      <c r="H83" s="16">
        <v>2</v>
      </c>
      <c r="I83" s="16">
        <v>3</v>
      </c>
      <c r="J83" s="16">
        <v>3</v>
      </c>
      <c r="L83" s="92">
        <v>3</v>
      </c>
      <c r="M83" s="92">
        <v>3</v>
      </c>
      <c r="N83" s="92">
        <v>2</v>
      </c>
      <c r="O83" s="92">
        <v>1</v>
      </c>
      <c r="P83" s="92">
        <v>3</v>
      </c>
      <c r="Q83" s="92">
        <v>3</v>
      </c>
      <c r="S83" s="16">
        <f t="shared" si="37"/>
        <v>0</v>
      </c>
      <c r="T83" s="16">
        <f t="shared" si="38"/>
        <v>0</v>
      </c>
      <c r="U83" s="16">
        <f t="shared" si="39"/>
        <v>0</v>
      </c>
      <c r="V83" s="16">
        <f t="shared" si="40"/>
        <v>0</v>
      </c>
      <c r="W83" s="16">
        <f>IF(P83&gt;LARGE($P$3:$T$3,1),0,1)</f>
        <v>0</v>
      </c>
      <c r="X83" s="16">
        <f t="shared" si="41"/>
        <v>0</v>
      </c>
      <c r="Z83" s="16">
        <f t="shared" si="42"/>
        <v>0</v>
      </c>
      <c r="AB83" s="16" t="s">
        <v>432</v>
      </c>
      <c r="AC83" s="16" t="s">
        <v>434</v>
      </c>
      <c r="AD83" s="16" t="s">
        <v>432</v>
      </c>
      <c r="AF83" s="2" t="s">
        <v>435</v>
      </c>
      <c r="AG83" s="2" t="s">
        <v>435</v>
      </c>
      <c r="AI83" s="118"/>
      <c r="AJ83" s="118" t="str">
        <f>Q2</f>
        <v>請選擇第一選修科</v>
      </c>
      <c r="AK83" s="118" t="str">
        <f>R2</f>
        <v>請選擇第二選修科</v>
      </c>
      <c r="AL83" s="118" t="str">
        <f>S2</f>
        <v>請選擇第三選修科</v>
      </c>
      <c r="AM83" s="118" t="str">
        <f>T2</f>
        <v>請選擇第四選修科</v>
      </c>
      <c r="AN83" s="118"/>
      <c r="AO83" s="104"/>
      <c r="AP83" s="118" t="s">
        <v>459</v>
      </c>
      <c r="AQ83" s="118"/>
      <c r="AR83" s="104"/>
    </row>
    <row r="84" spans="1:44">
      <c r="A84" s="2" t="str">
        <f>'Reference Score Calculation'!A75</f>
        <v>JS2310</v>
      </c>
      <c r="B84" s="364" t="str">
        <f>'Reference Score Calculation'!A75</f>
        <v>JS2310</v>
      </c>
      <c r="C84" s="2" t="str">
        <f>'Reference Score Calculation'!D75</f>
        <v>傳理學學士(榮譽) (新聞與數碼媒體 / 公關及廣告)</v>
      </c>
      <c r="D84" s="16">
        <f>'Reference Score Calculation'!T75</f>
        <v>77</v>
      </c>
      <c r="E84" s="16">
        <v>3</v>
      </c>
      <c r="F84" s="16">
        <v>3</v>
      </c>
      <c r="G84" s="16">
        <v>2</v>
      </c>
      <c r="H84" s="16">
        <v>2</v>
      </c>
      <c r="I84" s="16">
        <v>3</v>
      </c>
      <c r="J84" s="16">
        <v>3</v>
      </c>
      <c r="L84" s="92">
        <v>3</v>
      </c>
      <c r="M84" s="92">
        <v>3</v>
      </c>
      <c r="N84" s="92">
        <v>2</v>
      </c>
      <c r="O84" s="92">
        <v>1</v>
      </c>
      <c r="P84" s="92">
        <v>3</v>
      </c>
      <c r="Q84" s="92">
        <v>3</v>
      </c>
      <c r="S84" s="16">
        <f t="shared" si="37"/>
        <v>0</v>
      </c>
      <c r="T84" s="16">
        <f t="shared" si="38"/>
        <v>0</v>
      </c>
      <c r="U84" s="16">
        <f t="shared" si="39"/>
        <v>0</v>
      </c>
      <c r="V84" s="16">
        <f t="shared" si="40"/>
        <v>0</v>
      </c>
      <c r="W84" s="16">
        <f t="shared" ref="W84:W93" si="43">IF(P84&gt;LARGE($P$3:$U$3,1),0,1)</f>
        <v>0</v>
      </c>
      <c r="X84" s="16">
        <f t="shared" si="41"/>
        <v>0</v>
      </c>
      <c r="Z84" s="16">
        <f t="shared" si="42"/>
        <v>0</v>
      </c>
      <c r="AB84" s="16" t="s">
        <v>432</v>
      </c>
      <c r="AC84" s="16" t="s">
        <v>2892</v>
      </c>
      <c r="AD84" s="16" t="s">
        <v>432</v>
      </c>
      <c r="AF84" s="2" t="s">
        <v>435</v>
      </c>
      <c r="AG84" s="2" t="s">
        <v>435</v>
      </c>
      <c r="AI84" s="118" t="s">
        <v>460</v>
      </c>
      <c r="AJ84" s="119">
        <f>IF(Q2="化學",Q3,0)</f>
        <v>0</v>
      </c>
      <c r="AK84" s="119">
        <f>IF(R2="化學",R3,0)</f>
        <v>0</v>
      </c>
      <c r="AL84" s="119">
        <f>IF(S2="化學",S3,0)</f>
        <v>0</v>
      </c>
      <c r="AM84" s="119">
        <f>IF(T2="化學",T3,0)</f>
        <v>0</v>
      </c>
      <c r="AN84" s="118"/>
      <c r="AO84" s="118"/>
      <c r="AP84" s="119" t="str">
        <f>IF(AQ84&gt;0,INDEX(AJ83:AN83,MATCH(LARGE(AJ84:AN84,1),AJ84:AN84,0)),"無")</f>
        <v>無</v>
      </c>
      <c r="AQ84" s="119">
        <f>LARGE((AJ84:AN84),1)</f>
        <v>0</v>
      </c>
      <c r="AR84" s="104"/>
    </row>
    <row r="85" spans="1:44">
      <c r="A85" s="2" t="str">
        <f>'Reference Score Calculation'!A76</f>
        <v>JS2330</v>
      </c>
      <c r="B85" s="364" t="str">
        <f>'Reference Score Calculation'!A76</f>
        <v>JS2330</v>
      </c>
      <c r="C85" s="2" t="str">
        <f>'Reference Score Calculation'!D76</f>
        <v>電影電視文學士(榮譽)</v>
      </c>
      <c r="D85" s="16">
        <f>'Reference Score Calculation'!T76</f>
        <v>18</v>
      </c>
      <c r="E85" s="16">
        <v>3</v>
      </c>
      <c r="F85" s="16">
        <v>3</v>
      </c>
      <c r="G85" s="16">
        <v>2</v>
      </c>
      <c r="H85" s="16">
        <v>2</v>
      </c>
      <c r="I85" s="16">
        <v>3</v>
      </c>
      <c r="J85" s="16">
        <v>3</v>
      </c>
      <c r="L85" s="92">
        <v>3</v>
      </c>
      <c r="M85" s="92">
        <v>3</v>
      </c>
      <c r="N85" s="92">
        <v>2</v>
      </c>
      <c r="O85" s="92">
        <v>1</v>
      </c>
      <c r="P85" s="92">
        <v>3</v>
      </c>
      <c r="Q85" s="92">
        <v>3</v>
      </c>
      <c r="S85" s="16">
        <f t="shared" si="37"/>
        <v>0</v>
      </c>
      <c r="T85" s="16">
        <f t="shared" si="38"/>
        <v>0</v>
      </c>
      <c r="U85" s="16">
        <f t="shared" si="39"/>
        <v>0</v>
      </c>
      <c r="V85" s="16">
        <f t="shared" si="40"/>
        <v>0</v>
      </c>
      <c r="W85" s="16">
        <f t="shared" si="43"/>
        <v>0</v>
      </c>
      <c r="X85" s="16">
        <f t="shared" si="41"/>
        <v>0</v>
      </c>
      <c r="Z85" s="16">
        <f t="shared" si="42"/>
        <v>0</v>
      </c>
      <c r="AB85" s="16" t="s">
        <v>432</v>
      </c>
      <c r="AC85" s="16" t="s">
        <v>2892</v>
      </c>
      <c r="AD85" s="16" t="s">
        <v>432</v>
      </c>
      <c r="AF85" s="2" t="s">
        <v>435</v>
      </c>
      <c r="AG85" s="2" t="s">
        <v>435</v>
      </c>
      <c r="AI85" s="118"/>
      <c r="AJ85" s="118"/>
      <c r="AK85" s="118"/>
      <c r="AL85" s="118"/>
      <c r="AM85" s="118"/>
      <c r="AN85" s="118"/>
      <c r="AO85" s="118"/>
      <c r="AP85" s="104"/>
      <c r="AQ85" s="104"/>
      <c r="AR85" s="104"/>
    </row>
    <row r="86" spans="1:44">
      <c r="A86" s="2" t="str">
        <f>'Reference Score Calculation'!A77</f>
        <v>JS2340</v>
      </c>
      <c r="B86" s="364" t="str">
        <f>'Reference Score Calculation'!A77</f>
        <v>JS2340</v>
      </c>
      <c r="C86" s="2" t="str">
        <f>'Reference Score Calculation'!D77</f>
        <v>環球螢幕演技藝術學士(榮譽)</v>
      </c>
      <c r="D86" s="16">
        <f>'Reference Score Calculation'!T77</f>
        <v>8</v>
      </c>
      <c r="E86" s="16">
        <v>3</v>
      </c>
      <c r="F86" s="16">
        <v>3</v>
      </c>
      <c r="G86" s="16">
        <v>2</v>
      </c>
      <c r="H86" s="16">
        <v>2</v>
      </c>
      <c r="I86" s="16">
        <v>3</v>
      </c>
      <c r="J86" s="16">
        <v>3</v>
      </c>
      <c r="L86" s="92">
        <v>3</v>
      </c>
      <c r="M86" s="92">
        <v>3</v>
      </c>
      <c r="N86" s="92">
        <v>2</v>
      </c>
      <c r="O86" s="92">
        <v>1</v>
      </c>
      <c r="P86" s="92">
        <v>3</v>
      </c>
      <c r="Q86" s="92">
        <v>3</v>
      </c>
      <c r="S86" s="16">
        <f t="shared" si="37"/>
        <v>0</v>
      </c>
      <c r="T86" s="16">
        <f t="shared" si="38"/>
        <v>0</v>
      </c>
      <c r="U86" s="16">
        <f t="shared" si="39"/>
        <v>0</v>
      </c>
      <c r="V86" s="16">
        <f t="shared" si="40"/>
        <v>0</v>
      </c>
      <c r="W86" s="16">
        <f t="shared" si="43"/>
        <v>0</v>
      </c>
      <c r="X86" s="16">
        <f t="shared" si="41"/>
        <v>0</v>
      </c>
      <c r="Z86" s="16">
        <f t="shared" si="42"/>
        <v>0</v>
      </c>
      <c r="AB86" s="16" t="s">
        <v>432</v>
      </c>
      <c r="AC86" s="16" t="s">
        <v>2892</v>
      </c>
      <c r="AD86" s="16" t="s">
        <v>432</v>
      </c>
      <c r="AF86" s="2" t="s">
        <v>435</v>
      </c>
      <c r="AG86" s="2" t="s">
        <v>435</v>
      </c>
    </row>
    <row r="87" spans="1:44">
      <c r="A87" s="2" t="str">
        <f>'Reference Score Calculation'!A78</f>
        <v>JS2370</v>
      </c>
      <c r="B87" s="364" t="str">
        <f>'Reference Score Calculation'!A78</f>
        <v>JS2370</v>
      </c>
      <c r="C87" s="2" t="str">
        <f>'Reference Score Calculation'!D78</f>
        <v>傳理學學士(榮譽) - 遊戲設計與動畫主修</v>
      </c>
      <c r="D87" s="16">
        <f>'Reference Score Calculation'!T78</f>
        <v>20</v>
      </c>
      <c r="E87" s="16">
        <v>3</v>
      </c>
      <c r="F87" s="16">
        <v>3</v>
      </c>
      <c r="G87" s="16">
        <v>2</v>
      </c>
      <c r="H87" s="16">
        <v>2</v>
      </c>
      <c r="I87" s="16">
        <v>3</v>
      </c>
      <c r="J87" s="16">
        <v>3</v>
      </c>
      <c r="L87" s="92">
        <v>3</v>
      </c>
      <c r="M87" s="92">
        <v>3</v>
      </c>
      <c r="N87" s="92">
        <v>2</v>
      </c>
      <c r="O87" s="92">
        <v>1</v>
      </c>
      <c r="P87" s="92">
        <v>3</v>
      </c>
      <c r="Q87" s="92">
        <v>3</v>
      </c>
      <c r="S87" s="16">
        <f t="shared" si="37"/>
        <v>0</v>
      </c>
      <c r="T87" s="16">
        <f t="shared" si="38"/>
        <v>0</v>
      </c>
      <c r="U87" s="16">
        <f t="shared" si="39"/>
        <v>0</v>
      </c>
      <c r="V87" s="16">
        <f t="shared" si="40"/>
        <v>0</v>
      </c>
      <c r="W87" s="16">
        <f t="shared" si="43"/>
        <v>0</v>
      </c>
      <c r="X87" s="16">
        <f>IF(Q87&gt;LARGE($P$3:$U$3,2),0,1)</f>
        <v>0</v>
      </c>
      <c r="Z87" s="16">
        <f t="shared" si="42"/>
        <v>0</v>
      </c>
      <c r="AB87" s="16" t="s">
        <v>432</v>
      </c>
      <c r="AC87" s="16" t="s">
        <v>2892</v>
      </c>
      <c r="AD87" s="16" t="s">
        <v>432</v>
      </c>
      <c r="AF87" s="2" t="s">
        <v>435</v>
      </c>
      <c r="AG87" s="2" t="s">
        <v>435</v>
      </c>
    </row>
    <row r="88" spans="1:44">
      <c r="A88" s="2" t="str">
        <f>'Reference Score Calculation'!A79</f>
        <v>JS2410</v>
      </c>
      <c r="B88" s="364" t="str">
        <f>'Reference Score Calculation'!A79</f>
        <v>JS2410</v>
      </c>
      <c r="C88" s="2" t="str">
        <f>'Reference Score Calculation'!D79</f>
        <v>中醫學學士及生物醫學理學士(榮譽)</v>
      </c>
      <c r="D88" s="16">
        <f>'Reference Score Calculation'!T79</f>
        <v>40</v>
      </c>
      <c r="E88" s="16">
        <v>3</v>
      </c>
      <c r="F88" s="16">
        <v>3</v>
      </c>
      <c r="G88" s="16">
        <v>2</v>
      </c>
      <c r="H88" s="16">
        <v>2</v>
      </c>
      <c r="I88" s="16">
        <v>3</v>
      </c>
      <c r="J88" s="16">
        <v>3</v>
      </c>
      <c r="L88" s="92">
        <v>3</v>
      </c>
      <c r="M88" s="92">
        <v>3</v>
      </c>
      <c r="N88" s="92">
        <v>2</v>
      </c>
      <c r="O88" s="92">
        <v>1</v>
      </c>
      <c r="P88" s="92">
        <v>3</v>
      </c>
      <c r="Q88" s="92">
        <v>3</v>
      </c>
      <c r="S88" s="16">
        <f t="shared" si="37"/>
        <v>0</v>
      </c>
      <c r="T88" s="16">
        <f t="shared" si="38"/>
        <v>0</v>
      </c>
      <c r="U88" s="16">
        <f t="shared" si="39"/>
        <v>0</v>
      </c>
      <c r="V88" s="16">
        <f t="shared" si="40"/>
        <v>0</v>
      </c>
      <c r="W88" s="73">
        <f>IF(AQ81=0,0,IF(P88&gt;AQ81,0,1))</f>
        <v>0</v>
      </c>
      <c r="X88" s="16">
        <f>IF(Q88&gt;LARGE($P$3:$T$3,2),0,1)</f>
        <v>0</v>
      </c>
      <c r="Z88" s="16">
        <f t="shared" si="42"/>
        <v>0</v>
      </c>
      <c r="AB88" s="16" t="s">
        <v>432</v>
      </c>
      <c r="AC88" s="16" t="s">
        <v>434</v>
      </c>
      <c r="AD88" s="16" t="s">
        <v>434</v>
      </c>
      <c r="AF88" s="21" t="s">
        <v>461</v>
      </c>
      <c r="AG88" s="2" t="s">
        <v>435</v>
      </c>
    </row>
    <row r="89" spans="1:44">
      <c r="A89" s="2" t="str">
        <f>'Reference Score Calculation'!A80</f>
        <v>JS2420</v>
      </c>
      <c r="B89" s="364" t="str">
        <f>'Reference Score Calculation'!A80</f>
        <v>JS2420</v>
      </c>
      <c r="C89" s="2" t="str">
        <f>'Reference Score Calculation'!D80</f>
        <v>中藥學學士(榮譽)</v>
      </c>
      <c r="D89" s="16">
        <f>'Reference Score Calculation'!T80</f>
        <v>20</v>
      </c>
      <c r="E89" s="16">
        <v>3</v>
      </c>
      <c r="F89" s="16">
        <v>3</v>
      </c>
      <c r="G89" s="16">
        <v>2</v>
      </c>
      <c r="H89" s="16">
        <v>2</v>
      </c>
      <c r="I89" s="16">
        <v>3</v>
      </c>
      <c r="J89" s="16">
        <v>3</v>
      </c>
      <c r="L89" s="92">
        <v>3</v>
      </c>
      <c r="M89" s="92">
        <v>3</v>
      </c>
      <c r="N89" s="92">
        <v>2</v>
      </c>
      <c r="O89" s="92">
        <v>1</v>
      </c>
      <c r="P89" s="92">
        <v>3</v>
      </c>
      <c r="Q89" s="92">
        <v>3</v>
      </c>
      <c r="S89" s="16">
        <f t="shared" si="37"/>
        <v>0</v>
      </c>
      <c r="T89" s="16">
        <f t="shared" si="38"/>
        <v>0</v>
      </c>
      <c r="U89" s="16">
        <f t="shared" si="39"/>
        <v>0</v>
      </c>
      <c r="V89" s="16">
        <f t="shared" si="40"/>
        <v>0</v>
      </c>
      <c r="W89" s="73">
        <f>IF(AQ84=0,0,IF(P89&gt;AQ84,0,1))</f>
        <v>0</v>
      </c>
      <c r="X89" s="16">
        <f>IF(Q89&gt;LARGE($P$3:$T$3,2),0,1)</f>
        <v>0</v>
      </c>
      <c r="Z89" s="16">
        <f t="shared" si="42"/>
        <v>0</v>
      </c>
      <c r="AB89" s="16" t="s">
        <v>432</v>
      </c>
      <c r="AC89" s="16" t="s">
        <v>434</v>
      </c>
      <c r="AD89" s="16" t="s">
        <v>434</v>
      </c>
      <c r="AF89" s="21" t="s">
        <v>462</v>
      </c>
      <c r="AG89" s="2" t="s">
        <v>435</v>
      </c>
    </row>
    <row r="90" spans="1:44">
      <c r="A90" s="2" t="str">
        <f>'Reference Score Calculation'!A81</f>
        <v>JS2510</v>
      </c>
      <c r="B90" s="364" t="str">
        <f>'Reference Score Calculation'!A81</f>
        <v>JS2510</v>
      </c>
      <c r="C90" s="2" t="str">
        <f>'Reference Score Calculation'!D81</f>
        <v>理學士(榮譽)</v>
      </c>
      <c r="D90" s="16">
        <f>'Reference Score Calculation'!T81</f>
        <v>195</v>
      </c>
      <c r="E90" s="16">
        <v>3</v>
      </c>
      <c r="F90" s="16">
        <v>3</v>
      </c>
      <c r="G90" s="16">
        <v>2</v>
      </c>
      <c r="H90" s="16">
        <v>2</v>
      </c>
      <c r="I90" s="16">
        <v>3</v>
      </c>
      <c r="J90" s="16">
        <v>3</v>
      </c>
      <c r="L90" s="92">
        <v>3</v>
      </c>
      <c r="M90" s="92">
        <v>3</v>
      </c>
      <c r="N90" s="92">
        <v>2</v>
      </c>
      <c r="O90" s="92">
        <v>1</v>
      </c>
      <c r="P90" s="92">
        <v>3</v>
      </c>
      <c r="Q90" s="92">
        <v>3</v>
      </c>
      <c r="S90" s="16">
        <f t="shared" si="37"/>
        <v>0</v>
      </c>
      <c r="T90" s="16">
        <f t="shared" si="38"/>
        <v>0</v>
      </c>
      <c r="U90" s="16">
        <f t="shared" si="39"/>
        <v>0</v>
      </c>
      <c r="V90" s="16">
        <f t="shared" si="40"/>
        <v>0</v>
      </c>
      <c r="W90" s="16">
        <f t="shared" si="43"/>
        <v>0</v>
      </c>
      <c r="X90" s="16">
        <f>IF(Q90&gt;LARGE($P$3:$U$3,2),0,1)</f>
        <v>0</v>
      </c>
      <c r="Z90" s="16">
        <f t="shared" si="42"/>
        <v>0</v>
      </c>
      <c r="AB90" s="16" t="s">
        <v>432</v>
      </c>
      <c r="AC90" s="16" t="s">
        <v>2892</v>
      </c>
      <c r="AD90" s="16" t="s">
        <v>432</v>
      </c>
      <c r="AF90" s="2" t="s">
        <v>435</v>
      </c>
      <c r="AG90" s="2" t="s">
        <v>435</v>
      </c>
    </row>
    <row r="91" spans="1:44">
      <c r="A91" s="2" t="str">
        <f>'Reference Score Calculation'!A82</f>
        <v>JS2610</v>
      </c>
      <c r="B91" s="364" t="str">
        <f>'Reference Score Calculation'!A82</f>
        <v>JS2610</v>
      </c>
      <c r="C91" s="2" t="str">
        <f>'Reference Score Calculation'!D82</f>
        <v>文學士(榮譽) / 社會科學學士(榮譽) (歐洲研究 [法文/德文] / 地理 / 全球及中國研究 / 政治及國際關係學 / 歷史 / 社會學)</v>
      </c>
      <c r="D91" s="16">
        <f>'Reference Score Calculation'!T82</f>
        <v>135</v>
      </c>
      <c r="E91" s="16">
        <v>3</v>
      </c>
      <c r="F91" s="16">
        <v>3</v>
      </c>
      <c r="G91" s="16">
        <v>2</v>
      </c>
      <c r="H91" s="16">
        <v>2</v>
      </c>
      <c r="I91" s="16">
        <v>3</v>
      </c>
      <c r="J91" s="16">
        <v>3</v>
      </c>
      <c r="L91" s="92">
        <v>3</v>
      </c>
      <c r="M91" s="92">
        <v>3</v>
      </c>
      <c r="N91" s="92">
        <v>2</v>
      </c>
      <c r="O91" s="92">
        <v>1</v>
      </c>
      <c r="P91" s="92">
        <v>3</v>
      </c>
      <c r="Q91" s="92">
        <v>3</v>
      </c>
      <c r="S91" s="16">
        <f t="shared" si="37"/>
        <v>0</v>
      </c>
      <c r="T91" s="16">
        <f t="shared" si="38"/>
        <v>0</v>
      </c>
      <c r="U91" s="16">
        <f t="shared" si="39"/>
        <v>0</v>
      </c>
      <c r="V91" s="16">
        <f t="shared" si="40"/>
        <v>0</v>
      </c>
      <c r="W91" s="16">
        <f t="shared" si="43"/>
        <v>0</v>
      </c>
      <c r="X91" s="16">
        <f t="shared" si="41"/>
        <v>0</v>
      </c>
      <c r="Z91" s="16">
        <f t="shared" si="42"/>
        <v>0</v>
      </c>
      <c r="AB91" s="16" t="s">
        <v>432</v>
      </c>
      <c r="AC91" s="16" t="s">
        <v>2892</v>
      </c>
      <c r="AD91" s="16" t="s">
        <v>434</v>
      </c>
      <c r="AF91" s="2" t="s">
        <v>435</v>
      </c>
      <c r="AG91" s="2" t="s">
        <v>435</v>
      </c>
    </row>
    <row r="92" spans="1:44">
      <c r="A92" s="2" t="str">
        <f>'Reference Score Calculation'!A83</f>
        <v>JS2620</v>
      </c>
      <c r="B92" s="364" t="str">
        <f>'Reference Score Calculation'!A83</f>
        <v>JS2620</v>
      </c>
      <c r="C92" s="2" t="str">
        <f>'Reference Score Calculation'!D83</f>
        <v>體育及康樂管理文學士(榮譽)</v>
      </c>
      <c r="D92" s="16">
        <f>'Reference Score Calculation'!T83</f>
        <v>22</v>
      </c>
      <c r="E92" s="16">
        <v>3</v>
      </c>
      <c r="F92" s="16">
        <v>3</v>
      </c>
      <c r="G92" s="16">
        <v>2</v>
      </c>
      <c r="H92" s="16">
        <v>2</v>
      </c>
      <c r="I92" s="16">
        <v>3</v>
      </c>
      <c r="J92" s="16">
        <v>3</v>
      </c>
      <c r="L92" s="92">
        <v>3</v>
      </c>
      <c r="M92" s="92">
        <v>3</v>
      </c>
      <c r="N92" s="92">
        <v>2</v>
      </c>
      <c r="O92" s="92">
        <v>1</v>
      </c>
      <c r="P92" s="92">
        <v>3</v>
      </c>
      <c r="Q92" s="92">
        <v>3</v>
      </c>
      <c r="S92" s="16">
        <f t="shared" si="37"/>
        <v>0</v>
      </c>
      <c r="T92" s="16">
        <f t="shared" si="38"/>
        <v>0</v>
      </c>
      <c r="U92" s="16">
        <f t="shared" si="39"/>
        <v>0</v>
      </c>
      <c r="V92" s="16">
        <f t="shared" si="40"/>
        <v>0</v>
      </c>
      <c r="W92" s="16">
        <f t="shared" si="43"/>
        <v>0</v>
      </c>
      <c r="X92" s="16">
        <f t="shared" si="41"/>
        <v>0</v>
      </c>
      <c r="Z92" s="16">
        <f t="shared" si="42"/>
        <v>0</v>
      </c>
      <c r="AB92" s="16" t="s">
        <v>432</v>
      </c>
      <c r="AC92" s="16" t="s">
        <v>465</v>
      </c>
      <c r="AD92" s="16" t="s">
        <v>432</v>
      </c>
      <c r="AF92" s="2" t="s">
        <v>435</v>
      </c>
      <c r="AG92" s="2" t="s">
        <v>435</v>
      </c>
    </row>
    <row r="93" spans="1:44">
      <c r="A93" s="2" t="str">
        <f>'Reference Score Calculation'!A84</f>
        <v>JS2660</v>
      </c>
      <c r="B93" s="364" t="str">
        <f>'Reference Score Calculation'!A84</f>
        <v>JS2660</v>
      </c>
      <c r="C93" s="2" t="str">
        <f>'Reference Score Calculation'!D84</f>
        <v>社會工作學士(榮譽)</v>
      </c>
      <c r="D93" s="16">
        <f>'Reference Score Calculation'!T84</f>
        <v>30</v>
      </c>
      <c r="E93" s="16">
        <v>3</v>
      </c>
      <c r="F93" s="16">
        <v>3</v>
      </c>
      <c r="G93" s="16">
        <v>2</v>
      </c>
      <c r="H93" s="16">
        <v>2</v>
      </c>
      <c r="I93" s="16">
        <v>3</v>
      </c>
      <c r="J93" s="16">
        <v>3</v>
      </c>
      <c r="L93" s="92">
        <v>3</v>
      </c>
      <c r="M93" s="92">
        <v>3</v>
      </c>
      <c r="N93" s="92">
        <v>2</v>
      </c>
      <c r="O93" s="92">
        <v>1</v>
      </c>
      <c r="P93" s="92">
        <v>3</v>
      </c>
      <c r="Q93" s="92">
        <v>3</v>
      </c>
      <c r="S93" s="16">
        <f t="shared" si="37"/>
        <v>0</v>
      </c>
      <c r="T93" s="16">
        <f t="shared" si="38"/>
        <v>0</v>
      </c>
      <c r="U93" s="16">
        <f t="shared" si="39"/>
        <v>0</v>
      </c>
      <c r="V93" s="16">
        <f t="shared" si="40"/>
        <v>0</v>
      </c>
      <c r="W93" s="16">
        <f t="shared" si="43"/>
        <v>0</v>
      </c>
      <c r="X93" s="16">
        <f t="shared" si="41"/>
        <v>0</v>
      </c>
      <c r="Z93" s="16">
        <f t="shared" si="42"/>
        <v>0</v>
      </c>
      <c r="AB93" s="16" t="s">
        <v>432</v>
      </c>
      <c r="AC93" s="16" t="s">
        <v>2892</v>
      </c>
      <c r="AD93" s="16" t="s">
        <v>432</v>
      </c>
      <c r="AF93" s="2" t="s">
        <v>435</v>
      </c>
      <c r="AG93" s="2" t="s">
        <v>435</v>
      </c>
    </row>
    <row r="94" spans="1:44">
      <c r="A94" s="2" t="str">
        <f>'Reference Score Calculation'!A85</f>
        <v>JS2810</v>
      </c>
      <c r="B94" s="364" t="str">
        <f>'Reference Score Calculation'!A85</f>
        <v>JS2810</v>
      </c>
      <c r="C94" s="2" t="str">
        <f>'Reference Score Calculation'!D85</f>
        <v>視覺藝術文學士(榮譽)</v>
      </c>
      <c r="D94" s="16">
        <f>'Reference Score Calculation'!T85</f>
        <v>40</v>
      </c>
      <c r="E94" s="16">
        <v>3</v>
      </c>
      <c r="F94" s="16">
        <v>3</v>
      </c>
      <c r="G94" s="16">
        <v>2</v>
      </c>
      <c r="H94" s="16">
        <v>2</v>
      </c>
      <c r="I94" s="16">
        <v>3</v>
      </c>
      <c r="J94" s="16">
        <v>3</v>
      </c>
      <c r="L94" s="92">
        <v>3</v>
      </c>
      <c r="M94" s="92">
        <v>3</v>
      </c>
      <c r="N94" s="92">
        <v>2</v>
      </c>
      <c r="O94" s="92">
        <v>1</v>
      </c>
      <c r="P94" s="92">
        <v>3</v>
      </c>
      <c r="Q94" s="92">
        <v>3</v>
      </c>
      <c r="S94" s="16">
        <f t="shared" ref="S94:S99" si="44">IF(L94&gt;L$3,0,1)</f>
        <v>0</v>
      </c>
      <c r="T94" s="16">
        <f t="shared" ref="T94:T99" si="45">IF(M94&gt;M$3,0,1)</f>
        <v>0</v>
      </c>
      <c r="U94" s="16">
        <f t="shared" ref="U94:U99" si="46">IF(N94&gt;N$3,0,1)</f>
        <v>0</v>
      </c>
      <c r="V94" s="16">
        <f t="shared" ref="V94:V99" si="47">IF(O94&gt;O$3,0,1)</f>
        <v>0</v>
      </c>
      <c r="W94" s="16">
        <f t="shared" ref="W94:W98" si="48">IF(P94&gt;LARGE($P$3:$U$3,1),0,1)</f>
        <v>0</v>
      </c>
      <c r="X94" s="16">
        <f t="shared" ref="X94:X99" si="49">IF(Q94&gt;LARGE($P$3:$U$3,2),0,1)</f>
        <v>0</v>
      </c>
      <c r="Z94" s="16">
        <f t="shared" si="42"/>
        <v>0</v>
      </c>
      <c r="AB94" s="16" t="s">
        <v>432</v>
      </c>
      <c r="AC94" s="16" t="s">
        <v>2892</v>
      </c>
      <c r="AD94" s="16" t="s">
        <v>432</v>
      </c>
      <c r="AF94" s="2" t="s">
        <v>435</v>
      </c>
      <c r="AG94" s="2" t="s">
        <v>435</v>
      </c>
    </row>
    <row r="95" spans="1:44">
      <c r="A95" s="2" t="str">
        <f>'Reference Score Calculation'!A86</f>
        <v>JS2910</v>
      </c>
      <c r="B95" s="364" t="str">
        <f>'Reference Score Calculation'!A86</f>
        <v>JS2910</v>
      </c>
      <c r="C95" s="2" t="str">
        <f>'Reference Score Calculation'!D86</f>
        <v>商業計算及數據分析理學士(榮譽)</v>
      </c>
      <c r="D95" s="16">
        <f>'Reference Score Calculation'!T86</f>
        <v>15</v>
      </c>
      <c r="E95" s="16">
        <v>3</v>
      </c>
      <c r="F95" s="16">
        <v>3</v>
      </c>
      <c r="G95" s="16">
        <v>2</v>
      </c>
      <c r="H95" s="16">
        <v>2</v>
      </c>
      <c r="I95" s="16">
        <v>3</v>
      </c>
      <c r="J95" s="16">
        <v>3</v>
      </c>
      <c r="L95" s="92">
        <v>3</v>
      </c>
      <c r="M95" s="92">
        <v>3</v>
      </c>
      <c r="N95" s="92">
        <v>2</v>
      </c>
      <c r="O95" s="92">
        <v>1</v>
      </c>
      <c r="P95" s="92">
        <v>3</v>
      </c>
      <c r="Q95" s="92">
        <v>3</v>
      </c>
      <c r="S95" s="16">
        <f t="shared" si="44"/>
        <v>0</v>
      </c>
      <c r="T95" s="16">
        <f t="shared" si="45"/>
        <v>0</v>
      </c>
      <c r="U95" s="16">
        <f t="shared" si="46"/>
        <v>0</v>
      </c>
      <c r="V95" s="16">
        <f t="shared" si="47"/>
        <v>0</v>
      </c>
      <c r="W95" s="16">
        <f>IF(P95&gt;LARGE($P$3:$T$3,1),0,1)</f>
        <v>0</v>
      </c>
      <c r="X95" s="16">
        <f>IF(Q95&gt;LARGE($P$3:$T$3,2),0,1)</f>
        <v>0</v>
      </c>
      <c r="Z95" s="16">
        <f t="shared" si="42"/>
        <v>0</v>
      </c>
      <c r="AB95" s="16" t="s">
        <v>432</v>
      </c>
      <c r="AC95" s="16" t="s">
        <v>2892</v>
      </c>
      <c r="AD95" s="16" t="s">
        <v>432</v>
      </c>
      <c r="AF95" s="2" t="s">
        <v>435</v>
      </c>
      <c r="AG95" s="2" t="s">
        <v>435</v>
      </c>
    </row>
    <row r="96" spans="1:44">
      <c r="A96" s="2" t="str">
        <f>'Reference Score Calculation'!A87</f>
        <v>JS2920</v>
      </c>
      <c r="B96" s="364" t="str">
        <f>'Reference Score Calculation'!A87</f>
        <v>JS2920</v>
      </c>
      <c r="C96" s="2" t="str">
        <f>'Reference Score Calculation'!D87</f>
        <v>藝術及科技文理學士(榮譽)</v>
      </c>
      <c r="D96" s="16">
        <f>'Reference Score Calculation'!T87</f>
        <v>40</v>
      </c>
      <c r="E96" s="16">
        <v>3</v>
      </c>
      <c r="F96" s="16">
        <v>3</v>
      </c>
      <c r="G96" s="16">
        <v>2</v>
      </c>
      <c r="H96" s="16">
        <v>2</v>
      </c>
      <c r="I96" s="16">
        <v>3</v>
      </c>
      <c r="J96" s="16">
        <v>3</v>
      </c>
      <c r="L96" s="92">
        <v>3</v>
      </c>
      <c r="M96" s="92">
        <v>3</v>
      </c>
      <c r="N96" s="92">
        <v>2</v>
      </c>
      <c r="O96" s="92">
        <v>1</v>
      </c>
      <c r="P96" s="92">
        <v>3</v>
      </c>
      <c r="Q96" s="92">
        <v>3</v>
      </c>
      <c r="S96" s="16">
        <f t="shared" si="44"/>
        <v>0</v>
      </c>
      <c r="T96" s="16">
        <f t="shared" si="45"/>
        <v>0</v>
      </c>
      <c r="U96" s="16">
        <f t="shared" si="46"/>
        <v>0</v>
      </c>
      <c r="V96" s="16">
        <f t="shared" si="47"/>
        <v>0</v>
      </c>
      <c r="W96" s="16">
        <f t="shared" si="48"/>
        <v>0</v>
      </c>
      <c r="X96" s="16">
        <f t="shared" si="49"/>
        <v>0</v>
      </c>
      <c r="Z96" s="16">
        <f t="shared" si="42"/>
        <v>0</v>
      </c>
      <c r="AB96" s="16" t="s">
        <v>432</v>
      </c>
      <c r="AC96" s="16" t="s">
        <v>2892</v>
      </c>
      <c r="AD96" s="16" t="s">
        <v>432</v>
      </c>
      <c r="AF96" s="2" t="s">
        <v>435</v>
      </c>
      <c r="AG96" s="2" t="s">
        <v>435</v>
      </c>
    </row>
    <row r="97" spans="1:40">
      <c r="A97" s="2" t="str">
        <f>'Reference Score Calculation'!A88</f>
        <v>JS2930</v>
      </c>
      <c r="B97" s="364" t="str">
        <f>'Reference Score Calculation'!A88</f>
        <v>JS2930</v>
      </c>
      <c r="C97" s="2" t="str">
        <f>'Reference Score Calculation'!D88</f>
        <v>工商管理文學士(榮譽)(全球娛樂)</v>
      </c>
      <c r="D97" s="16">
        <f>'Reference Score Calculation'!T88</f>
        <v>15</v>
      </c>
      <c r="E97" s="16">
        <v>3</v>
      </c>
      <c r="F97" s="16">
        <v>3</v>
      </c>
      <c r="G97" s="16">
        <v>2</v>
      </c>
      <c r="H97" s="16">
        <v>2</v>
      </c>
      <c r="I97" s="16">
        <v>3</v>
      </c>
      <c r="J97" s="16">
        <v>3</v>
      </c>
      <c r="L97" s="92">
        <v>3</v>
      </c>
      <c r="M97" s="92">
        <v>3</v>
      </c>
      <c r="N97" s="92">
        <v>2</v>
      </c>
      <c r="O97" s="92">
        <v>1</v>
      </c>
      <c r="P97" s="92">
        <v>3</v>
      </c>
      <c r="Q97" s="92">
        <v>3</v>
      </c>
      <c r="S97" s="16">
        <f t="shared" si="44"/>
        <v>0</v>
      </c>
      <c r="T97" s="16">
        <f t="shared" si="45"/>
        <v>0</v>
      </c>
      <c r="U97" s="16">
        <f t="shared" si="46"/>
        <v>0</v>
      </c>
      <c r="V97" s="16">
        <f t="shared" si="47"/>
        <v>0</v>
      </c>
      <c r="W97" s="16">
        <f t="shared" si="48"/>
        <v>0</v>
      </c>
      <c r="X97" s="16">
        <f t="shared" si="49"/>
        <v>0</v>
      </c>
      <c r="Z97" s="16">
        <f t="shared" si="42"/>
        <v>0</v>
      </c>
      <c r="AB97" s="16" t="s">
        <v>432</v>
      </c>
      <c r="AC97" s="16" t="s">
        <v>2892</v>
      </c>
      <c r="AD97" s="16" t="s">
        <v>432</v>
      </c>
      <c r="AF97" s="2" t="s">
        <v>435</v>
      </c>
      <c r="AG97" s="2" t="s">
        <v>435</v>
      </c>
    </row>
    <row r="98" spans="1:40">
      <c r="A98" s="2" t="str">
        <f>'Reference Score Calculation'!A89</f>
        <v>JS2940</v>
      </c>
      <c r="B98" s="364" t="str">
        <f>'Reference Score Calculation'!A89</f>
        <v>JS2940</v>
      </c>
      <c r="C98" s="2" t="str">
        <f>'Reference Score Calculation'!D89</f>
        <v>創新醫療及社會健康社會科學學士(榮譽) / 理學士(榮譽)</v>
      </c>
      <c r="D98" s="16">
        <f>'Reference Score Calculation'!T89</f>
        <v>35</v>
      </c>
      <c r="E98" s="16">
        <v>3</v>
      </c>
      <c r="F98" s="16">
        <v>3</v>
      </c>
      <c r="G98" s="16">
        <v>2</v>
      </c>
      <c r="H98" s="16">
        <v>2</v>
      </c>
      <c r="I98" s="16">
        <v>3</v>
      </c>
      <c r="J98" s="16">
        <v>3</v>
      </c>
      <c r="L98" s="92">
        <v>3</v>
      </c>
      <c r="M98" s="92">
        <v>3</v>
      </c>
      <c r="N98" s="92">
        <v>2</v>
      </c>
      <c r="O98" s="92">
        <v>1</v>
      </c>
      <c r="P98" s="92">
        <v>3</v>
      </c>
      <c r="Q98" s="92">
        <v>3</v>
      </c>
      <c r="S98" s="16">
        <f t="shared" si="44"/>
        <v>0</v>
      </c>
      <c r="T98" s="16">
        <f t="shared" si="45"/>
        <v>0</v>
      </c>
      <c r="U98" s="16">
        <f t="shared" si="46"/>
        <v>0</v>
      </c>
      <c r="V98" s="16">
        <f t="shared" si="47"/>
        <v>0</v>
      </c>
      <c r="W98" s="16">
        <f t="shared" si="48"/>
        <v>0</v>
      </c>
      <c r="X98" s="16">
        <f t="shared" si="49"/>
        <v>0</v>
      </c>
      <c r="Z98" s="16">
        <f t="shared" si="42"/>
        <v>0</v>
      </c>
      <c r="AB98" s="16" t="s">
        <v>432</v>
      </c>
      <c r="AC98" s="16" t="s">
        <v>2892</v>
      </c>
      <c r="AD98" s="16" t="s">
        <v>432</v>
      </c>
      <c r="AF98" s="2" t="s">
        <v>435</v>
      </c>
      <c r="AG98" s="2" t="s">
        <v>435</v>
      </c>
    </row>
    <row r="99" spans="1:40">
      <c r="A99" s="2" t="str">
        <f>'Reference Score Calculation'!A90</f>
        <v>JS2950</v>
      </c>
      <c r="B99" s="364" t="str">
        <f>'Reference Score Calculation'!A90</f>
        <v>JS2950</v>
      </c>
      <c r="C99" s="2" t="str">
        <f>'Reference Score Calculation'!D90</f>
        <v>文理及科技學士(榮譽)自訂主修</v>
      </c>
      <c r="D99" s="16">
        <f>'Reference Score Calculation'!T90</f>
        <v>15</v>
      </c>
      <c r="E99" s="16">
        <v>3</v>
      </c>
      <c r="F99" s="16">
        <v>3</v>
      </c>
      <c r="G99" s="16">
        <v>2</v>
      </c>
      <c r="H99" s="16">
        <v>2</v>
      </c>
      <c r="I99" s="16">
        <v>3</v>
      </c>
      <c r="J99" s="16">
        <v>3</v>
      </c>
      <c r="L99" s="92">
        <v>3</v>
      </c>
      <c r="M99" s="92">
        <v>3</v>
      </c>
      <c r="N99" s="92">
        <v>2</v>
      </c>
      <c r="O99" s="92">
        <v>1</v>
      </c>
      <c r="P99" s="92">
        <v>3</v>
      </c>
      <c r="Q99" s="92">
        <v>3</v>
      </c>
      <c r="S99" s="16">
        <f t="shared" si="44"/>
        <v>0</v>
      </c>
      <c r="T99" s="16">
        <f t="shared" si="45"/>
        <v>0</v>
      </c>
      <c r="U99" s="16">
        <f t="shared" si="46"/>
        <v>0</v>
      </c>
      <c r="V99" s="16">
        <f t="shared" si="47"/>
        <v>0</v>
      </c>
      <c r="W99" s="16">
        <f>IF(P99&gt;LARGE($P$3:$U$3,1),0,1)</f>
        <v>0</v>
      </c>
      <c r="X99" s="16">
        <f t="shared" si="49"/>
        <v>0</v>
      </c>
      <c r="Z99" s="16">
        <f t="shared" si="42"/>
        <v>0</v>
      </c>
      <c r="AB99" s="16" t="s">
        <v>432</v>
      </c>
      <c r="AC99" s="16" t="s">
        <v>2892</v>
      </c>
      <c r="AD99" s="16" t="s">
        <v>432</v>
      </c>
      <c r="AF99" s="2" t="s">
        <v>435</v>
      </c>
      <c r="AG99" s="2" t="s">
        <v>435</v>
      </c>
    </row>
    <row r="100" spans="1:40">
      <c r="B100" s="11" t="s">
        <v>253</v>
      </c>
      <c r="C100" s="401" t="s">
        <v>2983</v>
      </c>
      <c r="L100" s="2"/>
      <c r="M100" s="2"/>
      <c r="N100" s="2"/>
      <c r="O100" s="2"/>
      <c r="P100" s="2"/>
      <c r="Q100" s="2"/>
      <c r="Z100" s="2"/>
      <c r="AA100" s="2"/>
      <c r="AB100" s="2"/>
      <c r="AC100" s="2"/>
      <c r="AD100" s="2"/>
      <c r="AE100" s="2"/>
      <c r="AF100" s="2"/>
      <c r="AG100" s="2"/>
      <c r="AH100" s="2"/>
    </row>
    <row r="101" spans="1:40">
      <c r="B101" s="11" t="s">
        <v>110</v>
      </c>
      <c r="C101" s="11" t="s">
        <v>112</v>
      </c>
      <c r="D101" s="19" t="s">
        <v>38</v>
      </c>
      <c r="E101" s="19"/>
      <c r="F101" s="19"/>
      <c r="G101" s="19"/>
      <c r="H101" s="19"/>
      <c r="I101" s="19"/>
      <c r="J101" s="19"/>
      <c r="K101" s="19"/>
      <c r="L101" s="94" t="s">
        <v>117</v>
      </c>
      <c r="M101" s="94" t="s">
        <v>118</v>
      </c>
      <c r="N101" s="94" t="s">
        <v>119</v>
      </c>
      <c r="O101" s="19" t="s">
        <v>2807</v>
      </c>
      <c r="P101" s="94" t="s">
        <v>121</v>
      </c>
      <c r="Q101" s="94" t="s">
        <v>122</v>
      </c>
      <c r="R101" s="11"/>
      <c r="S101" s="19" t="s">
        <v>117</v>
      </c>
      <c r="T101" s="19" t="s">
        <v>118</v>
      </c>
      <c r="U101" s="19" t="s">
        <v>119</v>
      </c>
      <c r="V101" s="19" t="s">
        <v>2807</v>
      </c>
      <c r="W101" s="19" t="s">
        <v>121</v>
      </c>
      <c r="X101" s="19" t="s">
        <v>122</v>
      </c>
      <c r="Y101" s="16"/>
      <c r="Z101" s="19" t="s">
        <v>116</v>
      </c>
      <c r="AB101" s="19" t="s">
        <v>297</v>
      </c>
      <c r="AC101" s="19" t="s">
        <v>298</v>
      </c>
      <c r="AD101" s="19" t="s">
        <v>299</v>
      </c>
      <c r="AE101" s="2"/>
      <c r="AF101" s="2"/>
      <c r="AG101" s="2"/>
      <c r="AH101" s="2"/>
      <c r="AN101" s="19"/>
    </row>
    <row r="102" spans="1:40">
      <c r="A102" s="2" t="str">
        <f>'Reference Score Calculation'!A93</f>
        <v>JS3011</v>
      </c>
      <c r="B102" s="364" t="str">
        <f>'Reference Score Calculation'!A93</f>
        <v>JS3011</v>
      </c>
      <c r="C102" s="2" t="str">
        <f>'Reference Score Calculation'!D93</f>
        <v>生物科技及化學科技(榮譽)理學士組合課程</v>
      </c>
      <c r="D102" s="16">
        <f>'Reference Score Calculation'!T93</f>
        <v>63</v>
      </c>
      <c r="E102" s="16">
        <v>3</v>
      </c>
      <c r="F102" s="16">
        <v>3</v>
      </c>
      <c r="G102" s="16">
        <v>2</v>
      </c>
      <c r="H102" s="16">
        <v>2</v>
      </c>
      <c r="I102" s="16">
        <v>3</v>
      </c>
      <c r="J102" s="16">
        <v>3</v>
      </c>
      <c r="L102" s="92">
        <v>3</v>
      </c>
      <c r="M102" s="92">
        <v>3</v>
      </c>
      <c r="N102" s="92">
        <v>2</v>
      </c>
      <c r="O102" s="92">
        <v>1</v>
      </c>
      <c r="P102" s="92">
        <v>3</v>
      </c>
      <c r="Q102" s="92">
        <v>3</v>
      </c>
      <c r="S102" s="16">
        <f t="shared" ref="S102:S130" si="50">IF(L102&gt;L$3,0,1)</f>
        <v>0</v>
      </c>
      <c r="T102" s="16">
        <f t="shared" ref="T102:V102" si="51">IF(M102&gt;M$3,0,1)</f>
        <v>0</v>
      </c>
      <c r="U102" s="16">
        <f t="shared" si="51"/>
        <v>0</v>
      </c>
      <c r="V102" s="16">
        <f t="shared" si="51"/>
        <v>0</v>
      </c>
      <c r="W102" s="16">
        <f t="shared" ref="W102:W130" si="52">IF(P102&gt;LARGE($P$3:$U$3,1),0,1)</f>
        <v>0</v>
      </c>
      <c r="X102" s="16">
        <f t="shared" ref="X102:X130" si="53">IF(Q102&gt;LARGE($P$3:$U$3,2),0,1)</f>
        <v>0</v>
      </c>
      <c r="Z102" s="16">
        <f t="shared" ref="Z102" si="54">S102*T102*U102*V102*W102*X102</f>
        <v>0</v>
      </c>
      <c r="AB102" s="16" t="s">
        <v>463</v>
      </c>
      <c r="AC102" s="16" t="s">
        <v>464</v>
      </c>
      <c r="AD102" s="16" t="s">
        <v>463</v>
      </c>
      <c r="AF102" s="2" t="s">
        <v>435</v>
      </c>
      <c r="AG102" s="2" t="s">
        <v>435</v>
      </c>
    </row>
    <row r="103" spans="1:40">
      <c r="A103" s="2" t="str">
        <f>'Reference Score Calculation'!A94</f>
        <v>JS3020</v>
      </c>
      <c r="B103" s="364" t="str">
        <f>'Reference Score Calculation'!A94</f>
        <v>JS3020</v>
      </c>
      <c r="C103" s="2" t="str">
        <f>'Reference Score Calculation'!D94</f>
        <v>數據科學(榮譽)理學士組合課程 (數據科學及分析 / 投資科學及金融分析)</v>
      </c>
      <c r="D103" s="16">
        <f>'Reference Score Calculation'!T94</f>
        <v>21</v>
      </c>
      <c r="E103" s="16">
        <v>3</v>
      </c>
      <c r="F103" s="16">
        <v>3</v>
      </c>
      <c r="G103" s="16">
        <v>2</v>
      </c>
      <c r="H103" s="16">
        <v>2</v>
      </c>
      <c r="I103" s="16">
        <v>3</v>
      </c>
      <c r="J103" s="16">
        <v>3</v>
      </c>
      <c r="L103" s="92">
        <v>3</v>
      </c>
      <c r="M103" s="92">
        <v>3</v>
      </c>
      <c r="N103" s="92">
        <v>2</v>
      </c>
      <c r="O103" s="92">
        <v>1</v>
      </c>
      <c r="P103" s="92">
        <v>3</v>
      </c>
      <c r="Q103" s="92">
        <v>3</v>
      </c>
      <c r="S103" s="16">
        <f t="shared" si="50"/>
        <v>0</v>
      </c>
      <c r="T103" s="16">
        <f t="shared" ref="T103:T130" si="55">IF(M103&gt;M$3,0,1)</f>
        <v>0</v>
      </c>
      <c r="U103" s="16">
        <f t="shared" ref="U103:U130" si="56">IF(N103&gt;N$3,0,1)</f>
        <v>0</v>
      </c>
      <c r="V103" s="16">
        <f t="shared" ref="V103:V130" si="57">IF(O103&gt;O$3,0,1)</f>
        <v>0</v>
      </c>
      <c r="W103" s="16">
        <f t="shared" si="52"/>
        <v>0</v>
      </c>
      <c r="X103" s="16">
        <f t="shared" si="53"/>
        <v>0</v>
      </c>
      <c r="Z103" s="16">
        <f t="shared" ref="Z103:Z130" si="58">S103*T103*U103*V103*W103*X103</f>
        <v>0</v>
      </c>
      <c r="AB103" s="16" t="s">
        <v>463</v>
      </c>
      <c r="AC103" s="16" t="s">
        <v>464</v>
      </c>
      <c r="AD103" s="16" t="s">
        <v>465</v>
      </c>
      <c r="AF103" s="2" t="s">
        <v>435</v>
      </c>
      <c r="AG103" s="2" t="s">
        <v>435</v>
      </c>
    </row>
    <row r="104" spans="1:40">
      <c r="A104" s="2" t="str">
        <f>'Reference Score Calculation'!A95</f>
        <v>JS3030</v>
      </c>
      <c r="B104" s="364" t="str">
        <f>'Reference Score Calculation'!A95</f>
        <v>JS3030</v>
      </c>
      <c r="C104" s="2" t="str">
        <f>'Reference Score Calculation'!D95</f>
        <v>物理學(榮譽)理學士 副主修人工智能及數據分析 / 創新及創業</v>
      </c>
      <c r="D104" s="16">
        <f>'Reference Score Calculation'!T95</f>
        <v>25</v>
      </c>
      <c r="E104" s="16">
        <v>3</v>
      </c>
      <c r="F104" s="16">
        <v>3</v>
      </c>
      <c r="G104" s="16">
        <v>2</v>
      </c>
      <c r="H104" s="16">
        <v>2</v>
      </c>
      <c r="I104" s="16">
        <v>3</v>
      </c>
      <c r="J104" s="16">
        <v>3</v>
      </c>
      <c r="L104" s="92">
        <v>3</v>
      </c>
      <c r="M104" s="92">
        <v>3</v>
      </c>
      <c r="N104" s="92">
        <v>2</v>
      </c>
      <c r="O104" s="92">
        <v>1</v>
      </c>
      <c r="P104" s="92">
        <v>3</v>
      </c>
      <c r="Q104" s="92">
        <v>3</v>
      </c>
      <c r="S104" s="16">
        <f t="shared" si="50"/>
        <v>0</v>
      </c>
      <c r="T104" s="16">
        <f t="shared" si="55"/>
        <v>0</v>
      </c>
      <c r="U104" s="16">
        <f t="shared" si="56"/>
        <v>0</v>
      </c>
      <c r="V104" s="16">
        <f t="shared" si="57"/>
        <v>0</v>
      </c>
      <c r="W104" s="16">
        <f t="shared" si="52"/>
        <v>0</v>
      </c>
      <c r="X104" s="16">
        <f t="shared" si="53"/>
        <v>0</v>
      </c>
      <c r="Z104" s="16">
        <f t="shared" si="58"/>
        <v>0</v>
      </c>
      <c r="AB104" s="16" t="s">
        <v>463</v>
      </c>
      <c r="AC104" s="16" t="s">
        <v>464</v>
      </c>
      <c r="AD104" s="16" t="s">
        <v>465</v>
      </c>
      <c r="AF104" s="2" t="s">
        <v>435</v>
      </c>
      <c r="AG104" s="2" t="s">
        <v>435</v>
      </c>
    </row>
    <row r="105" spans="1:40">
      <c r="A105" s="2" t="str">
        <f>'Reference Score Calculation'!A96</f>
        <v>JS3050</v>
      </c>
      <c r="B105" s="364" t="str">
        <f>'Reference Score Calculation'!A96</f>
        <v>JS3050</v>
      </c>
      <c r="C105" s="2" t="str">
        <f>'Reference Score Calculation'!D96</f>
        <v>時裝(榮譽)文學士組合課程 (時裝設計 / 針織時裝設計 / 內衣及運動服裝 / 時裝商務 / 時裝創新及科技)</v>
      </c>
      <c r="D105" s="16">
        <f>'Reference Score Calculation'!T96</f>
        <v>110</v>
      </c>
      <c r="E105" s="16">
        <v>3</v>
      </c>
      <c r="F105" s="16">
        <v>3</v>
      </c>
      <c r="G105" s="16">
        <v>2</v>
      </c>
      <c r="H105" s="16">
        <v>2</v>
      </c>
      <c r="I105" s="16">
        <v>3</v>
      </c>
      <c r="J105" s="16">
        <v>3</v>
      </c>
      <c r="L105" s="92">
        <v>3</v>
      </c>
      <c r="M105" s="92">
        <v>3</v>
      </c>
      <c r="N105" s="92">
        <v>2</v>
      </c>
      <c r="O105" s="92">
        <v>1</v>
      </c>
      <c r="P105" s="92">
        <v>3</v>
      </c>
      <c r="Q105" s="92">
        <v>3</v>
      </c>
      <c r="S105" s="16">
        <f t="shared" si="50"/>
        <v>0</v>
      </c>
      <c r="T105" s="16">
        <f t="shared" si="55"/>
        <v>0</v>
      </c>
      <c r="U105" s="16">
        <f t="shared" si="56"/>
        <v>0</v>
      </c>
      <c r="V105" s="16">
        <f t="shared" si="57"/>
        <v>0</v>
      </c>
      <c r="W105" s="16">
        <f t="shared" si="52"/>
        <v>0</v>
      </c>
      <c r="X105" s="16">
        <f t="shared" si="53"/>
        <v>0</v>
      </c>
      <c r="Z105" s="16">
        <f t="shared" si="58"/>
        <v>0</v>
      </c>
      <c r="AB105" s="16" t="s">
        <v>463</v>
      </c>
      <c r="AC105" s="16" t="s">
        <v>464</v>
      </c>
      <c r="AD105" s="16" t="s">
        <v>463</v>
      </c>
      <c r="AF105" s="2" t="s">
        <v>435</v>
      </c>
      <c r="AG105" s="2" t="s">
        <v>435</v>
      </c>
    </row>
    <row r="106" spans="1:40">
      <c r="A106" s="2" t="str">
        <f>'Reference Score Calculation'!A97</f>
        <v>JS3060</v>
      </c>
      <c r="B106" s="364" t="str">
        <f>'Reference Score Calculation'!A97</f>
        <v>JS3060</v>
      </c>
      <c r="C106" s="2" t="str">
        <f>'Reference Score Calculation'!D97</f>
        <v>會計及金融(榮譽)工商管理學士組合課程 (會計學 / 會計及金融 / 數碼金融及投資學)</v>
      </c>
      <c r="D106" s="16">
        <f>'Reference Score Calculation'!T97</f>
        <v>126</v>
      </c>
      <c r="E106" s="16">
        <v>3</v>
      </c>
      <c r="F106" s="16">
        <v>3</v>
      </c>
      <c r="G106" s="16">
        <v>2</v>
      </c>
      <c r="H106" s="16">
        <v>2</v>
      </c>
      <c r="I106" s="16">
        <v>3</v>
      </c>
      <c r="J106" s="16">
        <v>3</v>
      </c>
      <c r="L106" s="92">
        <v>3</v>
      </c>
      <c r="M106" s="92">
        <v>3</v>
      </c>
      <c r="N106" s="92">
        <v>2</v>
      </c>
      <c r="O106" s="92">
        <v>1</v>
      </c>
      <c r="P106" s="92">
        <v>3</v>
      </c>
      <c r="Q106" s="92">
        <v>3</v>
      </c>
      <c r="S106" s="16">
        <f t="shared" si="50"/>
        <v>0</v>
      </c>
      <c r="T106" s="16">
        <f t="shared" si="55"/>
        <v>0</v>
      </c>
      <c r="U106" s="16">
        <f t="shared" si="56"/>
        <v>0</v>
      </c>
      <c r="V106" s="16">
        <f t="shared" si="57"/>
        <v>0</v>
      </c>
      <c r="W106" s="16">
        <f t="shared" si="52"/>
        <v>0</v>
      </c>
      <c r="X106" s="16">
        <f t="shared" si="53"/>
        <v>0</v>
      </c>
      <c r="Z106" s="16">
        <f t="shared" si="58"/>
        <v>0</v>
      </c>
      <c r="AB106" s="16" t="s">
        <v>463</v>
      </c>
      <c r="AC106" s="16" t="s">
        <v>464</v>
      </c>
      <c r="AD106" s="16" t="s">
        <v>465</v>
      </c>
      <c r="AF106" s="21" t="s">
        <v>356</v>
      </c>
      <c r="AG106" s="21" t="s">
        <v>356</v>
      </c>
    </row>
    <row r="107" spans="1:40">
      <c r="A107" s="2" t="str">
        <f>'Reference Score Calculation'!A98</f>
        <v>JS3070</v>
      </c>
      <c r="B107" s="364" t="str">
        <f>'Reference Score Calculation'!A98</f>
        <v>JS3070</v>
      </c>
      <c r="C107" s="2" t="str">
        <f>'Reference Score Calculation'!D98</f>
        <v>航空、航運及供應鏈管理(榮譽)工商管理學士組合課程 (航空管理及金融 / 國際航運及物流管理 / 供應鏈管理及分析)</v>
      </c>
      <c r="D107" s="16">
        <f>'Reference Score Calculation'!T98</f>
        <v>54</v>
      </c>
      <c r="E107" s="16">
        <v>3</v>
      </c>
      <c r="F107" s="16">
        <v>3</v>
      </c>
      <c r="G107" s="16">
        <v>2</v>
      </c>
      <c r="H107" s="16">
        <v>2</v>
      </c>
      <c r="I107" s="16">
        <v>3</v>
      </c>
      <c r="J107" s="16">
        <v>3</v>
      </c>
      <c r="L107" s="92">
        <v>3</v>
      </c>
      <c r="M107" s="92">
        <v>3</v>
      </c>
      <c r="N107" s="92">
        <v>2</v>
      </c>
      <c r="O107" s="92">
        <v>1</v>
      </c>
      <c r="P107" s="92">
        <v>3</v>
      </c>
      <c r="Q107" s="92">
        <v>3</v>
      </c>
      <c r="S107" s="16">
        <f t="shared" si="50"/>
        <v>0</v>
      </c>
      <c r="T107" s="16">
        <f t="shared" si="55"/>
        <v>0</v>
      </c>
      <c r="U107" s="16">
        <f t="shared" si="56"/>
        <v>0</v>
      </c>
      <c r="V107" s="16">
        <f t="shared" si="57"/>
        <v>0</v>
      </c>
      <c r="W107" s="16">
        <f t="shared" si="52"/>
        <v>0</v>
      </c>
      <c r="X107" s="16">
        <f t="shared" si="53"/>
        <v>0</v>
      </c>
      <c r="Z107" s="16">
        <f t="shared" si="58"/>
        <v>0</v>
      </c>
      <c r="AB107" s="16" t="s">
        <v>463</v>
      </c>
      <c r="AC107" s="16" t="s">
        <v>464</v>
      </c>
      <c r="AD107" s="16" t="s">
        <v>465</v>
      </c>
      <c r="AF107" s="2" t="s">
        <v>435</v>
      </c>
      <c r="AG107" s="2" t="s">
        <v>435</v>
      </c>
    </row>
    <row r="108" spans="1:40">
      <c r="A108" s="2" t="str">
        <f>'Reference Score Calculation'!A99</f>
        <v>JS3080</v>
      </c>
      <c r="B108" s="364" t="str">
        <f>'Reference Score Calculation'!A99</f>
        <v>JS3080</v>
      </c>
      <c r="C108" s="2" t="str">
        <f>'Reference Score Calculation'!D99</f>
        <v>管理及市場學(榮譽)工商管理學士組合課程 (管理學 / 市場學)</v>
      </c>
      <c r="D108" s="16">
        <f>'Reference Score Calculation'!T99</f>
        <v>87</v>
      </c>
      <c r="E108" s="16">
        <v>3</v>
      </c>
      <c r="F108" s="16">
        <v>3</v>
      </c>
      <c r="G108" s="16">
        <v>2</v>
      </c>
      <c r="H108" s="16">
        <v>2</v>
      </c>
      <c r="I108" s="16">
        <v>3</v>
      </c>
      <c r="J108" s="16">
        <v>3</v>
      </c>
      <c r="L108" s="92">
        <v>3</v>
      </c>
      <c r="M108" s="92">
        <v>3</v>
      </c>
      <c r="N108" s="92">
        <v>2</v>
      </c>
      <c r="O108" s="92">
        <v>1</v>
      </c>
      <c r="P108" s="92">
        <v>3</v>
      </c>
      <c r="Q108" s="92">
        <v>3</v>
      </c>
      <c r="S108" s="16">
        <f t="shared" si="50"/>
        <v>0</v>
      </c>
      <c r="T108" s="16">
        <f t="shared" si="55"/>
        <v>0</v>
      </c>
      <c r="U108" s="16">
        <f t="shared" si="56"/>
        <v>0</v>
      </c>
      <c r="V108" s="16">
        <f t="shared" si="57"/>
        <v>0</v>
      </c>
      <c r="W108" s="16">
        <f t="shared" si="52"/>
        <v>0</v>
      </c>
      <c r="X108" s="16">
        <f t="shared" si="53"/>
        <v>0</v>
      </c>
      <c r="Z108" s="16">
        <f t="shared" si="58"/>
        <v>0</v>
      </c>
      <c r="AB108" s="16" t="s">
        <v>463</v>
      </c>
      <c r="AC108" s="16" t="s">
        <v>464</v>
      </c>
      <c r="AD108" s="16" t="s">
        <v>465</v>
      </c>
      <c r="AF108" s="2" t="s">
        <v>435</v>
      </c>
      <c r="AG108" s="2" t="s">
        <v>435</v>
      </c>
    </row>
    <row r="109" spans="1:40">
      <c r="A109" s="2" t="str">
        <f>'Reference Score Calculation'!A100</f>
        <v>JS3100</v>
      </c>
      <c r="B109" s="364" t="str">
        <f>'Reference Score Calculation'!A100</f>
        <v>JS3100</v>
      </c>
      <c r="C109" s="2" t="str">
        <f>'Reference Score Calculation'!D100</f>
        <v>建築及房地產(榮譽)理學士組合課程 (建築工程及管理學 / 物業管理學 / 地產及建設測量學)</v>
      </c>
      <c r="D109" s="16">
        <f>'Reference Score Calculation'!T100</f>
        <v>101</v>
      </c>
      <c r="E109" s="16">
        <v>3</v>
      </c>
      <c r="F109" s="16">
        <v>3</v>
      </c>
      <c r="G109" s="16">
        <v>2</v>
      </c>
      <c r="H109" s="16">
        <v>2</v>
      </c>
      <c r="I109" s="16">
        <v>3</v>
      </c>
      <c r="J109" s="16">
        <v>3</v>
      </c>
      <c r="L109" s="92">
        <v>3</v>
      </c>
      <c r="M109" s="92">
        <v>3</v>
      </c>
      <c r="N109" s="92">
        <v>2</v>
      </c>
      <c r="O109" s="92">
        <v>1</v>
      </c>
      <c r="P109" s="92">
        <v>3</v>
      </c>
      <c r="Q109" s="92">
        <v>3</v>
      </c>
      <c r="S109" s="16">
        <f t="shared" si="50"/>
        <v>0</v>
      </c>
      <c r="T109" s="16">
        <f t="shared" si="55"/>
        <v>0</v>
      </c>
      <c r="U109" s="16">
        <f t="shared" si="56"/>
        <v>0</v>
      </c>
      <c r="V109" s="16">
        <f t="shared" si="57"/>
        <v>0</v>
      </c>
      <c r="W109" s="16">
        <f t="shared" si="52"/>
        <v>0</v>
      </c>
      <c r="X109" s="16">
        <f t="shared" si="53"/>
        <v>0</v>
      </c>
      <c r="Z109" s="16">
        <f t="shared" si="58"/>
        <v>0</v>
      </c>
      <c r="AB109" s="16" t="s">
        <v>463</v>
      </c>
      <c r="AC109" s="16" t="s">
        <v>464</v>
      </c>
      <c r="AD109" s="16" t="s">
        <v>465</v>
      </c>
      <c r="AF109" s="2" t="s">
        <v>435</v>
      </c>
      <c r="AG109" s="2" t="s">
        <v>435</v>
      </c>
    </row>
    <row r="110" spans="1:40">
      <c r="A110" s="2" t="str">
        <f>'Reference Score Calculation'!A101</f>
        <v>JS3110</v>
      </c>
      <c r="B110" s="364" t="str">
        <f>'Reference Score Calculation'!A101</f>
        <v>JS3110</v>
      </c>
      <c r="C110" s="2" t="str">
        <f>'Reference Score Calculation'!D101</f>
        <v>建築科學及工程學(榮譽)工學士組合課程 (建築科學及工程學 / 建築科學及工程學(屋宇設備工程學))</v>
      </c>
      <c r="D110" s="16">
        <f>'Reference Score Calculation'!T101</f>
        <v>42</v>
      </c>
      <c r="E110" s="16">
        <v>3</v>
      </c>
      <c r="F110" s="16">
        <v>3</v>
      </c>
      <c r="G110" s="16">
        <v>2</v>
      </c>
      <c r="H110" s="16">
        <v>2</v>
      </c>
      <c r="I110" s="16">
        <v>3</v>
      </c>
      <c r="J110" s="16">
        <v>3</v>
      </c>
      <c r="L110" s="92">
        <v>3</v>
      </c>
      <c r="M110" s="92">
        <v>3</v>
      </c>
      <c r="N110" s="92">
        <v>2</v>
      </c>
      <c r="O110" s="92">
        <v>1</v>
      </c>
      <c r="P110" s="92">
        <v>3</v>
      </c>
      <c r="Q110" s="92">
        <v>3</v>
      </c>
      <c r="S110" s="16">
        <f t="shared" si="50"/>
        <v>0</v>
      </c>
      <c r="T110" s="16">
        <f t="shared" si="55"/>
        <v>0</v>
      </c>
      <c r="U110" s="16">
        <f t="shared" si="56"/>
        <v>0</v>
      </c>
      <c r="V110" s="16">
        <f t="shared" si="57"/>
        <v>0</v>
      </c>
      <c r="W110" s="16">
        <f t="shared" si="52"/>
        <v>0</v>
      </c>
      <c r="X110" s="16">
        <f t="shared" si="53"/>
        <v>0</v>
      </c>
      <c r="Z110" s="16">
        <f t="shared" si="58"/>
        <v>0</v>
      </c>
      <c r="AB110" s="16" t="s">
        <v>463</v>
      </c>
      <c r="AC110" s="16" t="s">
        <v>464</v>
      </c>
      <c r="AD110" s="16" t="s">
        <v>463</v>
      </c>
      <c r="AF110" s="2" t="s">
        <v>435</v>
      </c>
      <c r="AG110" s="2" t="s">
        <v>435</v>
      </c>
    </row>
    <row r="111" spans="1:40">
      <c r="A111" s="2" t="str">
        <f>'Reference Score Calculation'!A102</f>
        <v>JS3120</v>
      </c>
      <c r="B111" s="364" t="str">
        <f>'Reference Score Calculation'!A102</f>
        <v>JS3120</v>
      </c>
      <c r="C111" s="2" t="str">
        <f>'Reference Score Calculation'!D102</f>
        <v>土木工程及可持續發展學(榮譽)工學士組合課程</v>
      </c>
      <c r="D111" s="16">
        <f>'Reference Score Calculation'!T102</f>
        <v>123</v>
      </c>
      <c r="E111" s="16">
        <v>3</v>
      </c>
      <c r="F111" s="16">
        <v>3</v>
      </c>
      <c r="G111" s="16">
        <v>2</v>
      </c>
      <c r="H111" s="16">
        <v>2</v>
      </c>
      <c r="I111" s="16">
        <v>3</v>
      </c>
      <c r="J111" s="16">
        <v>3</v>
      </c>
      <c r="L111" s="92">
        <v>3</v>
      </c>
      <c r="M111" s="92">
        <v>3</v>
      </c>
      <c r="N111" s="92">
        <v>2</v>
      </c>
      <c r="O111" s="92">
        <v>1</v>
      </c>
      <c r="P111" s="92">
        <v>3</v>
      </c>
      <c r="Q111" s="92">
        <v>3</v>
      </c>
      <c r="S111" s="16">
        <f t="shared" si="50"/>
        <v>0</v>
      </c>
      <c r="T111" s="16">
        <f t="shared" si="55"/>
        <v>0</v>
      </c>
      <c r="U111" s="16">
        <f t="shared" si="56"/>
        <v>0</v>
      </c>
      <c r="V111" s="16">
        <f t="shared" si="57"/>
        <v>0</v>
      </c>
      <c r="W111" s="16">
        <f t="shared" si="52"/>
        <v>0</v>
      </c>
      <c r="X111" s="16">
        <f t="shared" si="53"/>
        <v>0</v>
      </c>
      <c r="Z111" s="16">
        <f t="shared" si="58"/>
        <v>0</v>
      </c>
      <c r="AB111" s="16" t="s">
        <v>463</v>
      </c>
      <c r="AC111" s="16" t="s">
        <v>464</v>
      </c>
      <c r="AD111" s="16" t="s">
        <v>463</v>
      </c>
      <c r="AF111" s="2" t="s">
        <v>435</v>
      </c>
      <c r="AG111" s="2" t="s">
        <v>435</v>
      </c>
    </row>
    <row r="112" spans="1:40">
      <c r="A112" s="2" t="str">
        <f>'Reference Score Calculation'!A103</f>
        <v>JS3130</v>
      </c>
      <c r="B112" s="364" t="str">
        <f>'Reference Score Calculation'!A103</f>
        <v>JS3130</v>
      </c>
      <c r="C112" s="2" t="str">
        <f>'Reference Score Calculation'!D103</f>
        <v>空間數據科學及智慧城市(榮譽)理學士組合課程 (土地測量及地理資訊學)</v>
      </c>
      <c r="D112" s="16">
        <f>'Reference Score Calculation'!T103</f>
        <v>40</v>
      </c>
      <c r="E112" s="16">
        <v>3</v>
      </c>
      <c r="F112" s="16">
        <v>3</v>
      </c>
      <c r="G112" s="16">
        <v>2</v>
      </c>
      <c r="H112" s="16">
        <v>2</v>
      </c>
      <c r="I112" s="16">
        <v>3</v>
      </c>
      <c r="J112" s="16">
        <v>3</v>
      </c>
      <c r="L112" s="92">
        <v>3</v>
      </c>
      <c r="M112" s="92">
        <v>3</v>
      </c>
      <c r="N112" s="92">
        <v>2</v>
      </c>
      <c r="O112" s="92">
        <v>1</v>
      </c>
      <c r="P112" s="92">
        <v>3</v>
      </c>
      <c r="Q112" s="92">
        <v>3</v>
      </c>
      <c r="S112" s="16">
        <f t="shared" si="50"/>
        <v>0</v>
      </c>
      <c r="T112" s="16">
        <f t="shared" si="55"/>
        <v>0</v>
      </c>
      <c r="U112" s="16">
        <f t="shared" si="56"/>
        <v>0</v>
      </c>
      <c r="V112" s="16">
        <f t="shared" si="57"/>
        <v>0</v>
      </c>
      <c r="W112" s="16">
        <f t="shared" si="52"/>
        <v>0</v>
      </c>
      <c r="X112" s="16">
        <f t="shared" si="53"/>
        <v>0</v>
      </c>
      <c r="Z112" s="16">
        <f t="shared" si="58"/>
        <v>0</v>
      </c>
      <c r="AB112" s="16" t="s">
        <v>463</v>
      </c>
      <c r="AC112" s="16" t="s">
        <v>464</v>
      </c>
      <c r="AD112" s="16" t="s">
        <v>465</v>
      </c>
      <c r="AF112" s="2" t="s">
        <v>435</v>
      </c>
      <c r="AG112" s="2" t="s">
        <v>435</v>
      </c>
    </row>
    <row r="113" spans="1:33">
      <c r="A113" s="2" t="str">
        <f>'Reference Score Calculation'!A104</f>
        <v>JS3140</v>
      </c>
      <c r="B113" s="364" t="str">
        <f>'Reference Score Calculation'!A104</f>
        <v>JS3140</v>
      </c>
      <c r="C113" s="2" t="str">
        <f>'Reference Score Calculation'!D104</f>
        <v>航空工程學(榮譽)工學士組合課程 (航空工程學 / 民航工程學)</v>
      </c>
      <c r="D113" s="16">
        <f>'Reference Score Calculation'!T104</f>
        <v>56</v>
      </c>
      <c r="E113" s="16">
        <v>3</v>
      </c>
      <c r="F113" s="16">
        <v>3</v>
      </c>
      <c r="G113" s="16">
        <v>2</v>
      </c>
      <c r="H113" s="16">
        <v>2</v>
      </c>
      <c r="I113" s="16">
        <v>3</v>
      </c>
      <c r="J113" s="16">
        <v>3</v>
      </c>
      <c r="L113" s="92">
        <v>3</v>
      </c>
      <c r="M113" s="92">
        <v>3</v>
      </c>
      <c r="N113" s="92">
        <v>2</v>
      </c>
      <c r="O113" s="92">
        <v>1</v>
      </c>
      <c r="P113" s="92">
        <v>3</v>
      </c>
      <c r="Q113" s="92">
        <v>3</v>
      </c>
      <c r="S113" s="16">
        <f t="shared" si="50"/>
        <v>0</v>
      </c>
      <c r="T113" s="16">
        <f t="shared" si="55"/>
        <v>0</v>
      </c>
      <c r="U113" s="16">
        <f t="shared" si="56"/>
        <v>0</v>
      </c>
      <c r="V113" s="16">
        <f t="shared" si="57"/>
        <v>0</v>
      </c>
      <c r="W113" s="16">
        <f t="shared" si="52"/>
        <v>0</v>
      </c>
      <c r="X113" s="16">
        <f t="shared" si="53"/>
        <v>0</v>
      </c>
      <c r="Z113" s="16">
        <f t="shared" si="58"/>
        <v>0</v>
      </c>
      <c r="AA113" s="2"/>
      <c r="AB113" s="16" t="s">
        <v>463</v>
      </c>
      <c r="AC113" s="16" t="s">
        <v>464</v>
      </c>
      <c r="AD113" s="16" t="s">
        <v>465</v>
      </c>
      <c r="AF113" s="2" t="s">
        <v>435</v>
      </c>
      <c r="AG113" s="2" t="s">
        <v>435</v>
      </c>
    </row>
    <row r="114" spans="1:33">
      <c r="A114" s="2" t="str">
        <f>'Reference Score Calculation'!A105</f>
        <v>JS3150</v>
      </c>
      <c r="B114" s="364" t="str">
        <f>'Reference Score Calculation'!A105</f>
        <v>JS3150</v>
      </c>
      <c r="C114" s="2" t="str">
        <f>'Reference Score Calculation'!D105</f>
        <v>生物醫學工程(榮譽)理學士組合課程</v>
      </c>
      <c r="D114" s="16">
        <f>'Reference Score Calculation'!T105</f>
        <v>24</v>
      </c>
      <c r="E114" s="16">
        <v>3</v>
      </c>
      <c r="F114" s="16">
        <v>3</v>
      </c>
      <c r="G114" s="16">
        <v>2</v>
      </c>
      <c r="H114" s="16">
        <v>2</v>
      </c>
      <c r="I114" s="16">
        <v>3</v>
      </c>
      <c r="J114" s="16">
        <v>3</v>
      </c>
      <c r="L114" s="92">
        <v>3</v>
      </c>
      <c r="M114" s="92">
        <v>3</v>
      </c>
      <c r="N114" s="92">
        <v>2</v>
      </c>
      <c r="O114" s="92">
        <v>1</v>
      </c>
      <c r="P114" s="92">
        <v>3</v>
      </c>
      <c r="Q114" s="92">
        <v>3</v>
      </c>
      <c r="S114" s="16">
        <f t="shared" si="50"/>
        <v>0</v>
      </c>
      <c r="T114" s="16">
        <f t="shared" si="55"/>
        <v>0</v>
      </c>
      <c r="U114" s="16">
        <f t="shared" si="56"/>
        <v>0</v>
      </c>
      <c r="V114" s="16">
        <f t="shared" si="57"/>
        <v>0</v>
      </c>
      <c r="W114" s="16">
        <f t="shared" si="52"/>
        <v>0</v>
      </c>
      <c r="X114" s="16">
        <f t="shared" si="53"/>
        <v>0</v>
      </c>
      <c r="Z114" s="16">
        <f t="shared" si="58"/>
        <v>0</v>
      </c>
      <c r="AA114" s="2"/>
      <c r="AB114" s="16" t="s">
        <v>463</v>
      </c>
      <c r="AC114" s="16" t="s">
        <v>464</v>
      </c>
      <c r="AD114" s="16" t="s">
        <v>465</v>
      </c>
      <c r="AF114" s="2" t="s">
        <v>435</v>
      </c>
      <c r="AG114" s="2" t="s">
        <v>435</v>
      </c>
    </row>
    <row r="115" spans="1:33">
      <c r="A115" s="2" t="str">
        <f>'Reference Score Calculation'!A106</f>
        <v>JS3170</v>
      </c>
      <c r="B115" s="364" t="str">
        <f>'Reference Score Calculation'!A106</f>
        <v>JS3170</v>
      </c>
      <c r="C115" s="2" t="str">
        <f>'Reference Score Calculation'!D106</f>
        <v>電機工程學(榮譽)工學士組合課程 (電機工程學 / 運輸系統工程學)</v>
      </c>
      <c r="D115" s="16">
        <f>'Reference Score Calculation'!T106</f>
        <v>60</v>
      </c>
      <c r="E115" s="16">
        <v>3</v>
      </c>
      <c r="F115" s="16">
        <v>3</v>
      </c>
      <c r="G115" s="16">
        <v>2</v>
      </c>
      <c r="H115" s="16">
        <v>2</v>
      </c>
      <c r="I115" s="16">
        <v>3</v>
      </c>
      <c r="J115" s="16">
        <v>3</v>
      </c>
      <c r="L115" s="92">
        <v>3</v>
      </c>
      <c r="M115" s="92">
        <v>3</v>
      </c>
      <c r="N115" s="92">
        <v>2</v>
      </c>
      <c r="O115" s="92">
        <v>1</v>
      </c>
      <c r="P115" s="92">
        <v>3</v>
      </c>
      <c r="Q115" s="92">
        <v>3</v>
      </c>
      <c r="S115" s="16">
        <f t="shared" si="50"/>
        <v>0</v>
      </c>
      <c r="T115" s="16">
        <f t="shared" si="55"/>
        <v>0</v>
      </c>
      <c r="U115" s="16">
        <f t="shared" si="56"/>
        <v>0</v>
      </c>
      <c r="V115" s="16">
        <f t="shared" si="57"/>
        <v>0</v>
      </c>
      <c r="W115" s="16">
        <f t="shared" si="52"/>
        <v>0</v>
      </c>
      <c r="X115" s="16">
        <f t="shared" si="53"/>
        <v>0</v>
      </c>
      <c r="Z115" s="16">
        <f t="shared" si="58"/>
        <v>0</v>
      </c>
      <c r="AB115" s="16" t="s">
        <v>463</v>
      </c>
      <c r="AC115" s="16" t="s">
        <v>464</v>
      </c>
      <c r="AD115" s="16" t="s">
        <v>465</v>
      </c>
      <c r="AF115" s="2" t="s">
        <v>435</v>
      </c>
      <c r="AG115" s="2" t="s">
        <v>435</v>
      </c>
    </row>
    <row r="116" spans="1:33">
      <c r="A116" s="2" t="str">
        <f>'Reference Score Calculation'!A107</f>
        <v>JS3180</v>
      </c>
      <c r="B116" s="364" t="str">
        <f>'Reference Score Calculation'!A107</f>
        <v>JS3180</v>
      </c>
      <c r="C116" s="2" t="str">
        <f>'Reference Score Calculation'!D107</f>
        <v>資訊及人工智能工程學(榮譽)工學士 / 理學士組合課程 (物聯網 / 人工智能 / 資訊安全)</v>
      </c>
      <c r="D116" s="16">
        <f>'Reference Score Calculation'!T107</f>
        <v>67</v>
      </c>
      <c r="E116" s="16">
        <v>3</v>
      </c>
      <c r="F116" s="16">
        <v>3</v>
      </c>
      <c r="G116" s="16">
        <v>2</v>
      </c>
      <c r="H116" s="16">
        <v>2</v>
      </c>
      <c r="I116" s="16">
        <v>3</v>
      </c>
      <c r="J116" s="16">
        <v>3</v>
      </c>
      <c r="L116" s="92">
        <v>3</v>
      </c>
      <c r="M116" s="92">
        <v>3</v>
      </c>
      <c r="N116" s="92">
        <v>2</v>
      </c>
      <c r="O116" s="92">
        <v>1</v>
      </c>
      <c r="P116" s="92">
        <v>3</v>
      </c>
      <c r="Q116" s="92">
        <v>3</v>
      </c>
      <c r="S116" s="16">
        <f t="shared" si="50"/>
        <v>0</v>
      </c>
      <c r="T116" s="16">
        <f t="shared" si="55"/>
        <v>0</v>
      </c>
      <c r="U116" s="16">
        <f t="shared" si="56"/>
        <v>0</v>
      </c>
      <c r="V116" s="16">
        <f t="shared" si="57"/>
        <v>0</v>
      </c>
      <c r="W116" s="16">
        <f t="shared" si="52"/>
        <v>0</v>
      </c>
      <c r="X116" s="16">
        <f t="shared" si="53"/>
        <v>0</v>
      </c>
      <c r="Z116" s="16">
        <f t="shared" si="58"/>
        <v>0</v>
      </c>
      <c r="AB116" s="16" t="s">
        <v>463</v>
      </c>
      <c r="AC116" s="16" t="s">
        <v>464</v>
      </c>
      <c r="AD116" s="16" t="s">
        <v>463</v>
      </c>
      <c r="AF116" s="2" t="s">
        <v>435</v>
      </c>
      <c r="AG116" s="2" t="s">
        <v>435</v>
      </c>
    </row>
    <row r="117" spans="1:33">
      <c r="A117" s="2" t="str">
        <f>'Reference Score Calculation'!A108</f>
        <v>JS3240</v>
      </c>
      <c r="B117" s="364" t="str">
        <f>'Reference Score Calculation'!A108</f>
        <v>JS3240</v>
      </c>
      <c r="C117" s="2" t="str">
        <f>'Reference Score Calculation'!D108</f>
        <v>英文及應用語言學(榮譽)文學士組合課程</v>
      </c>
      <c r="D117" s="16">
        <f>'Reference Score Calculation'!T108</f>
        <v>39</v>
      </c>
      <c r="E117" s="16">
        <v>3</v>
      </c>
      <c r="F117" s="16">
        <v>3</v>
      </c>
      <c r="G117" s="16">
        <v>2</v>
      </c>
      <c r="H117" s="16">
        <v>2</v>
      </c>
      <c r="I117" s="16">
        <v>3</v>
      </c>
      <c r="J117" s="16">
        <v>3</v>
      </c>
      <c r="L117" s="92">
        <v>3</v>
      </c>
      <c r="M117" s="92">
        <v>3</v>
      </c>
      <c r="N117" s="92">
        <v>2</v>
      </c>
      <c r="O117" s="92">
        <v>1</v>
      </c>
      <c r="P117" s="92">
        <v>3</v>
      </c>
      <c r="Q117" s="92">
        <v>3</v>
      </c>
      <c r="S117" s="16">
        <f t="shared" si="50"/>
        <v>0</v>
      </c>
      <c r="T117" s="16">
        <f t="shared" si="55"/>
        <v>0</v>
      </c>
      <c r="U117" s="16">
        <f t="shared" si="56"/>
        <v>0</v>
      </c>
      <c r="V117" s="16">
        <f t="shared" si="57"/>
        <v>0</v>
      </c>
      <c r="W117" s="16">
        <f t="shared" si="52"/>
        <v>0</v>
      </c>
      <c r="X117" s="16">
        <f t="shared" si="53"/>
        <v>0</v>
      </c>
      <c r="Z117" s="16">
        <f t="shared" si="58"/>
        <v>0</v>
      </c>
      <c r="AB117" s="16" t="s">
        <v>463</v>
      </c>
      <c r="AC117" s="16" t="s">
        <v>464</v>
      </c>
      <c r="AD117" s="16" t="s">
        <v>463</v>
      </c>
      <c r="AF117" s="2" t="s">
        <v>435</v>
      </c>
      <c r="AG117" s="2" t="s">
        <v>435</v>
      </c>
    </row>
    <row r="118" spans="1:33">
      <c r="A118" s="2" t="str">
        <f>'Reference Score Calculation'!A109</f>
        <v>JS3250</v>
      </c>
      <c r="B118" s="364" t="str">
        <f>'Reference Score Calculation'!A109</f>
        <v>JS3250</v>
      </c>
      <c r="C118" s="2" t="str">
        <f>'Reference Score Calculation'!D109</f>
        <v>應用社會科學(榮譽)文學士組合課程 (社會工作 / 社會政策及社會創業)</v>
      </c>
      <c r="D118" s="16">
        <f>'Reference Score Calculation'!T109</f>
        <v>46</v>
      </c>
      <c r="E118" s="16">
        <v>3</v>
      </c>
      <c r="F118" s="16">
        <v>3</v>
      </c>
      <c r="G118" s="16">
        <v>2</v>
      </c>
      <c r="H118" s="16">
        <v>2</v>
      </c>
      <c r="I118" s="16">
        <v>3</v>
      </c>
      <c r="J118" s="16">
        <v>3</v>
      </c>
      <c r="L118" s="92">
        <v>3</v>
      </c>
      <c r="M118" s="92">
        <v>3</v>
      </c>
      <c r="N118" s="92">
        <v>2</v>
      </c>
      <c r="O118" s="92">
        <v>1</v>
      </c>
      <c r="P118" s="92">
        <v>3</v>
      </c>
      <c r="Q118" s="92">
        <v>3</v>
      </c>
      <c r="S118" s="16">
        <f t="shared" si="50"/>
        <v>0</v>
      </c>
      <c r="T118" s="16">
        <f t="shared" si="55"/>
        <v>0</v>
      </c>
      <c r="U118" s="16">
        <f t="shared" si="56"/>
        <v>0</v>
      </c>
      <c r="V118" s="16">
        <f t="shared" si="57"/>
        <v>0</v>
      </c>
      <c r="W118" s="16">
        <f t="shared" si="52"/>
        <v>0</v>
      </c>
      <c r="X118" s="16">
        <f t="shared" si="53"/>
        <v>0</v>
      </c>
      <c r="Z118" s="16">
        <f t="shared" si="58"/>
        <v>0</v>
      </c>
      <c r="AB118" s="16" t="s">
        <v>463</v>
      </c>
      <c r="AC118" s="16" t="s">
        <v>464</v>
      </c>
      <c r="AD118" s="16" t="s">
        <v>465</v>
      </c>
      <c r="AF118" s="2" t="s">
        <v>435</v>
      </c>
      <c r="AG118" s="2" t="s">
        <v>435</v>
      </c>
    </row>
    <row r="119" spans="1:33">
      <c r="A119" s="2" t="str">
        <f>'Reference Score Calculation'!A110</f>
        <v>JS3290</v>
      </c>
      <c r="B119" s="364" t="str">
        <f>'Reference Score Calculation'!A110</f>
        <v>JS3290</v>
      </c>
      <c r="C119" s="2" t="str">
        <f>'Reference Score Calculation'!D110</f>
        <v>眼科視光學(榮譽)理學士組合課程</v>
      </c>
      <c r="D119" s="16">
        <f>'Reference Score Calculation'!T110</f>
        <v>51</v>
      </c>
      <c r="E119" s="16">
        <v>3</v>
      </c>
      <c r="F119" s="16">
        <v>3</v>
      </c>
      <c r="G119" s="16">
        <v>2</v>
      </c>
      <c r="H119" s="16">
        <v>2</v>
      </c>
      <c r="I119" s="16">
        <v>3</v>
      </c>
      <c r="J119" s="16">
        <v>3</v>
      </c>
      <c r="L119" s="92">
        <v>3</v>
      </c>
      <c r="M119" s="92">
        <v>3</v>
      </c>
      <c r="N119" s="92">
        <v>2</v>
      </c>
      <c r="O119" s="92">
        <v>1</v>
      </c>
      <c r="P119" s="92">
        <v>3</v>
      </c>
      <c r="Q119" s="92">
        <v>3</v>
      </c>
      <c r="S119" s="16">
        <f t="shared" si="50"/>
        <v>0</v>
      </c>
      <c r="T119" s="16">
        <f t="shared" si="55"/>
        <v>0</v>
      </c>
      <c r="U119" s="16">
        <f t="shared" si="56"/>
        <v>0</v>
      </c>
      <c r="V119" s="16">
        <f t="shared" si="57"/>
        <v>0</v>
      </c>
      <c r="W119" s="16">
        <f t="shared" si="52"/>
        <v>0</v>
      </c>
      <c r="X119" s="16">
        <f t="shared" si="53"/>
        <v>0</v>
      </c>
      <c r="Z119" s="16">
        <f t="shared" si="58"/>
        <v>0</v>
      </c>
      <c r="AB119" s="16" t="s">
        <v>463</v>
      </c>
      <c r="AC119" s="16" t="s">
        <v>464</v>
      </c>
      <c r="AD119" s="16" t="s">
        <v>463</v>
      </c>
      <c r="AF119" s="2" t="s">
        <v>435</v>
      </c>
      <c r="AG119" s="2" t="s">
        <v>435</v>
      </c>
    </row>
    <row r="120" spans="1:33">
      <c r="A120" s="2" t="str">
        <f>'Reference Score Calculation'!A111</f>
        <v>JS3310</v>
      </c>
      <c r="B120" s="364" t="str">
        <f>'Reference Score Calculation'!A111</f>
        <v>JS3310</v>
      </c>
      <c r="C120" s="2" t="str">
        <f>'Reference Score Calculation'!D111</f>
        <v>酒店及旅遊管理(榮譽)理學士組合課程 (酒店管理 / 智慧旅遊及酒店產業 / 會展及體驗管理)</v>
      </c>
      <c r="D120" s="16">
        <f>'Reference Score Calculation'!T111</f>
        <v>81</v>
      </c>
      <c r="E120" s="16">
        <v>3</v>
      </c>
      <c r="F120" s="16">
        <v>3</v>
      </c>
      <c r="G120" s="16">
        <v>2</v>
      </c>
      <c r="H120" s="16">
        <v>2</v>
      </c>
      <c r="I120" s="16">
        <v>3</v>
      </c>
      <c r="J120" s="16">
        <v>3</v>
      </c>
      <c r="L120" s="92">
        <v>3</v>
      </c>
      <c r="M120" s="92">
        <v>3</v>
      </c>
      <c r="N120" s="92">
        <v>2</v>
      </c>
      <c r="O120" s="92">
        <v>1</v>
      </c>
      <c r="P120" s="92">
        <v>3</v>
      </c>
      <c r="Q120" s="92">
        <v>3</v>
      </c>
      <c r="S120" s="16">
        <f t="shared" si="50"/>
        <v>0</v>
      </c>
      <c r="T120" s="16">
        <f t="shared" si="55"/>
        <v>0</v>
      </c>
      <c r="U120" s="16">
        <f t="shared" si="56"/>
        <v>0</v>
      </c>
      <c r="V120" s="16">
        <f t="shared" si="57"/>
        <v>0</v>
      </c>
      <c r="W120" s="16">
        <f t="shared" si="52"/>
        <v>0</v>
      </c>
      <c r="X120" s="16">
        <f t="shared" si="53"/>
        <v>0</v>
      </c>
      <c r="Z120" s="16">
        <f t="shared" si="58"/>
        <v>0</v>
      </c>
      <c r="AB120" s="16" t="s">
        <v>463</v>
      </c>
      <c r="AC120" s="16" t="s">
        <v>464</v>
      </c>
      <c r="AD120" s="16" t="s">
        <v>463</v>
      </c>
      <c r="AF120" s="2" t="s">
        <v>435</v>
      </c>
      <c r="AG120" s="2" t="s">
        <v>435</v>
      </c>
    </row>
    <row r="121" spans="1:33">
      <c r="A121" s="2" t="str">
        <f>'Reference Score Calculation'!A112</f>
        <v>JS3320</v>
      </c>
      <c r="B121" s="364" t="str">
        <f>'Reference Score Calculation'!A112</f>
        <v>JS3320</v>
      </c>
      <c r="C121" s="2" t="str">
        <f>'Reference Score Calculation'!D112</f>
        <v>中國歷史及文化(榮譽)文學士組合課程</v>
      </c>
      <c r="D121" s="16">
        <f>'Reference Score Calculation'!T112</f>
        <v>20</v>
      </c>
      <c r="E121" s="16">
        <v>3</v>
      </c>
      <c r="F121" s="16">
        <v>3</v>
      </c>
      <c r="G121" s="16">
        <v>2</v>
      </c>
      <c r="H121" s="16">
        <v>2</v>
      </c>
      <c r="I121" s="16">
        <v>3</v>
      </c>
      <c r="J121" s="16">
        <v>3</v>
      </c>
      <c r="L121" s="92">
        <v>3</v>
      </c>
      <c r="M121" s="92">
        <v>3</v>
      </c>
      <c r="N121" s="92">
        <v>2</v>
      </c>
      <c r="O121" s="92">
        <v>1</v>
      </c>
      <c r="P121" s="92">
        <v>3</v>
      </c>
      <c r="Q121" s="92">
        <v>3</v>
      </c>
      <c r="S121" s="16">
        <f t="shared" si="50"/>
        <v>0</v>
      </c>
      <c r="T121" s="16">
        <f t="shared" si="55"/>
        <v>0</v>
      </c>
      <c r="U121" s="16">
        <f t="shared" si="56"/>
        <v>0</v>
      </c>
      <c r="V121" s="16">
        <f t="shared" si="57"/>
        <v>0</v>
      </c>
      <c r="W121" s="16">
        <f t="shared" si="52"/>
        <v>0</v>
      </c>
      <c r="X121" s="16">
        <f t="shared" si="53"/>
        <v>0</v>
      </c>
      <c r="Z121" s="16">
        <f t="shared" si="58"/>
        <v>0</v>
      </c>
      <c r="AB121" s="16" t="s">
        <v>463</v>
      </c>
      <c r="AC121" s="16" t="s">
        <v>464</v>
      </c>
      <c r="AD121" s="16" t="s">
        <v>465</v>
      </c>
      <c r="AF121" s="2" t="s">
        <v>435</v>
      </c>
      <c r="AG121" s="2" t="s">
        <v>435</v>
      </c>
    </row>
    <row r="122" spans="1:33">
      <c r="A122" s="2" t="str">
        <f>'Reference Score Calculation'!A113</f>
        <v>JS3330</v>
      </c>
      <c r="B122" s="364" t="str">
        <f>'Reference Score Calculation'!A113</f>
        <v>JS3330</v>
      </c>
      <c r="C122" s="2" t="str">
        <f>'Reference Score Calculation'!D113</f>
        <v>語言科學、翻譯學及言語治療(榮譽)文學士/理學士組合課程 (語言學及翻譯學 / 語言科學與語言數據分析 / 言語治療)</v>
      </c>
      <c r="D122" s="16">
        <f>'Reference Score Calculation'!T113</f>
        <v>37</v>
      </c>
      <c r="E122" s="16">
        <v>3</v>
      </c>
      <c r="F122" s="16">
        <v>3</v>
      </c>
      <c r="G122" s="16">
        <v>2</v>
      </c>
      <c r="H122" s="16">
        <v>2</v>
      </c>
      <c r="I122" s="16">
        <v>3</v>
      </c>
      <c r="J122" s="16">
        <v>3</v>
      </c>
      <c r="L122" s="92">
        <v>3</v>
      </c>
      <c r="M122" s="92">
        <v>3</v>
      </c>
      <c r="N122" s="92">
        <v>2</v>
      </c>
      <c r="O122" s="92">
        <v>1</v>
      </c>
      <c r="P122" s="92">
        <v>3</v>
      </c>
      <c r="Q122" s="92">
        <v>3</v>
      </c>
      <c r="S122" s="16">
        <f t="shared" si="50"/>
        <v>0</v>
      </c>
      <c r="T122" s="16">
        <f t="shared" si="55"/>
        <v>0</v>
      </c>
      <c r="U122" s="16">
        <f t="shared" si="56"/>
        <v>0</v>
      </c>
      <c r="V122" s="16">
        <f t="shared" si="57"/>
        <v>0</v>
      </c>
      <c r="W122" s="16">
        <f t="shared" si="52"/>
        <v>0</v>
      </c>
      <c r="X122" s="16">
        <f t="shared" si="53"/>
        <v>0</v>
      </c>
      <c r="Z122" s="16">
        <f t="shared" si="58"/>
        <v>0</v>
      </c>
      <c r="AB122" s="16" t="s">
        <v>463</v>
      </c>
      <c r="AC122" s="16" t="s">
        <v>464</v>
      </c>
      <c r="AD122" s="16" t="s">
        <v>465</v>
      </c>
      <c r="AF122" s="2" t="s">
        <v>435</v>
      </c>
      <c r="AG122" s="2" t="s">
        <v>435</v>
      </c>
    </row>
    <row r="123" spans="1:33">
      <c r="A123" s="2" t="str">
        <f>'Reference Score Calculation'!A114</f>
        <v>JS3337</v>
      </c>
      <c r="B123" s="364" t="str">
        <f>'Reference Score Calculation'!A114</f>
        <v>JS3337</v>
      </c>
      <c r="C123" s="2" t="str">
        <f>'Reference Score Calculation'!D114</f>
        <v>護理學(榮譽)理學士組合課程 - 精神健康護理學(榮譽)理學士</v>
      </c>
      <c r="D123" s="16">
        <f>'Reference Score Calculation'!T114</f>
        <v>70</v>
      </c>
      <c r="E123" s="16">
        <v>3</v>
      </c>
      <c r="F123" s="16">
        <v>3</v>
      </c>
      <c r="G123" s="16">
        <v>2</v>
      </c>
      <c r="H123" s="16">
        <v>2</v>
      </c>
      <c r="I123" s="16">
        <v>3</v>
      </c>
      <c r="J123" s="16">
        <v>3</v>
      </c>
      <c r="L123" s="92">
        <v>3</v>
      </c>
      <c r="M123" s="92">
        <v>3</v>
      </c>
      <c r="N123" s="92">
        <v>2</v>
      </c>
      <c r="O123" s="92">
        <v>1</v>
      </c>
      <c r="P123" s="92">
        <v>3</v>
      </c>
      <c r="Q123" s="92">
        <v>3</v>
      </c>
      <c r="S123" s="16">
        <f t="shared" si="50"/>
        <v>0</v>
      </c>
      <c r="T123" s="16">
        <f t="shared" si="55"/>
        <v>0</v>
      </c>
      <c r="U123" s="16">
        <f t="shared" si="56"/>
        <v>0</v>
      </c>
      <c r="V123" s="16">
        <f t="shared" si="57"/>
        <v>0</v>
      </c>
      <c r="W123" s="16">
        <f t="shared" si="52"/>
        <v>0</v>
      </c>
      <c r="X123" s="16">
        <f t="shared" si="53"/>
        <v>0</v>
      </c>
      <c r="Z123" s="16">
        <f t="shared" si="58"/>
        <v>0</v>
      </c>
      <c r="AB123" s="16" t="s">
        <v>463</v>
      </c>
      <c r="AC123" s="16" t="s">
        <v>465</v>
      </c>
      <c r="AD123" s="16" t="s">
        <v>465</v>
      </c>
      <c r="AF123" s="2" t="s">
        <v>435</v>
      </c>
      <c r="AG123" s="2" t="s">
        <v>435</v>
      </c>
    </row>
    <row r="124" spans="1:33">
      <c r="A124" s="2" t="str">
        <f>'Reference Score Calculation'!A115</f>
        <v>JS3478</v>
      </c>
      <c r="B124" s="364" t="str">
        <f>'Reference Score Calculation'!A115</f>
        <v>JS3478</v>
      </c>
      <c r="C124" s="2" t="str">
        <f>'Reference Score Calculation'!D115</f>
        <v>醫療化驗科學及放射學(榮譽)理學士組合課程 - 醫療化驗科學(榮譽)理學士</v>
      </c>
      <c r="D124" s="16">
        <f>'Reference Score Calculation'!T115</f>
        <v>60</v>
      </c>
      <c r="E124" s="16">
        <v>3</v>
      </c>
      <c r="F124" s="16">
        <v>3</v>
      </c>
      <c r="G124" s="16">
        <v>2</v>
      </c>
      <c r="H124" s="16">
        <v>2</v>
      </c>
      <c r="I124" s="16">
        <v>3</v>
      </c>
      <c r="J124" s="16">
        <v>3</v>
      </c>
      <c r="L124" s="92">
        <v>3</v>
      </c>
      <c r="M124" s="92">
        <v>3</v>
      </c>
      <c r="N124" s="92">
        <v>2</v>
      </c>
      <c r="O124" s="92">
        <v>1</v>
      </c>
      <c r="P124" s="92">
        <v>3</v>
      </c>
      <c r="Q124" s="92">
        <v>3</v>
      </c>
      <c r="S124" s="16">
        <f t="shared" si="50"/>
        <v>0</v>
      </c>
      <c r="T124" s="16">
        <f t="shared" si="55"/>
        <v>0</v>
      </c>
      <c r="U124" s="16">
        <f t="shared" si="56"/>
        <v>0</v>
      </c>
      <c r="V124" s="16">
        <f t="shared" si="57"/>
        <v>0</v>
      </c>
      <c r="W124" s="16">
        <f t="shared" si="52"/>
        <v>0</v>
      </c>
      <c r="X124" s="16">
        <f t="shared" si="53"/>
        <v>0</v>
      </c>
      <c r="Z124" s="16">
        <f t="shared" si="58"/>
        <v>0</v>
      </c>
      <c r="AB124" s="16" t="s">
        <v>463</v>
      </c>
      <c r="AC124" s="16" t="s">
        <v>464</v>
      </c>
      <c r="AD124" s="16" t="s">
        <v>465</v>
      </c>
      <c r="AF124" s="2" t="s">
        <v>435</v>
      </c>
      <c r="AG124" s="2" t="s">
        <v>435</v>
      </c>
    </row>
    <row r="125" spans="1:33">
      <c r="A125" s="2" t="str">
        <f>'Reference Score Calculation'!A116</f>
        <v>JS3557</v>
      </c>
      <c r="B125" s="364" t="str">
        <f>'Reference Score Calculation'!A116</f>
        <v>JS3557</v>
      </c>
      <c r="C125" s="2" t="str">
        <f>'Reference Score Calculation'!D116</f>
        <v>產品及工業工程(榮譽)工學士組合課程 (產品工程兼市場學 / 工業及系統工程學)</v>
      </c>
      <c r="D125" s="16">
        <f>'Reference Score Calculation'!T116</f>
        <v>52</v>
      </c>
      <c r="E125" s="16">
        <v>3</v>
      </c>
      <c r="F125" s="16">
        <v>3</v>
      </c>
      <c r="G125" s="16">
        <v>2</v>
      </c>
      <c r="H125" s="16">
        <v>2</v>
      </c>
      <c r="I125" s="16">
        <v>3</v>
      </c>
      <c r="J125" s="16">
        <v>3</v>
      </c>
      <c r="L125" s="92">
        <v>3</v>
      </c>
      <c r="M125" s="92">
        <v>3</v>
      </c>
      <c r="N125" s="92">
        <v>2</v>
      </c>
      <c r="O125" s="92">
        <v>1</v>
      </c>
      <c r="P125" s="92">
        <v>3</v>
      </c>
      <c r="Q125" s="92">
        <v>3</v>
      </c>
      <c r="S125" s="16">
        <f t="shared" si="50"/>
        <v>0</v>
      </c>
      <c r="T125" s="16">
        <f t="shared" si="55"/>
        <v>0</v>
      </c>
      <c r="U125" s="16">
        <f t="shared" si="56"/>
        <v>0</v>
      </c>
      <c r="V125" s="16">
        <f t="shared" si="57"/>
        <v>0</v>
      </c>
      <c r="W125" s="16">
        <f t="shared" si="52"/>
        <v>0</v>
      </c>
      <c r="X125" s="16">
        <f t="shared" si="53"/>
        <v>0</v>
      </c>
      <c r="Z125" s="16">
        <f t="shared" si="58"/>
        <v>0</v>
      </c>
      <c r="AB125" s="16" t="s">
        <v>463</v>
      </c>
      <c r="AC125" s="16" t="s">
        <v>464</v>
      </c>
      <c r="AD125" s="16" t="s">
        <v>463</v>
      </c>
      <c r="AF125" s="2" t="s">
        <v>435</v>
      </c>
      <c r="AG125" s="2" t="s">
        <v>435</v>
      </c>
    </row>
    <row r="126" spans="1:33">
      <c r="A126" s="2" t="str">
        <f>'Reference Score Calculation'!A117</f>
        <v>JS3569</v>
      </c>
      <c r="B126" s="364" t="str">
        <f>'Reference Score Calculation'!A117</f>
        <v>JS3569</v>
      </c>
      <c r="C126" s="2" t="str">
        <f>'Reference Score Calculation'!D117</f>
        <v>設計學(榮譽)文學士組合課程 (廣告設計/環境設計/信息設計/交互設計/室内設計/媒體設計/產品設計/服務創新設計/社會創新設計)</v>
      </c>
      <c r="D126" s="16">
        <f>'Reference Score Calculation'!T117</f>
        <v>80</v>
      </c>
      <c r="E126" s="16">
        <v>3</v>
      </c>
      <c r="F126" s="16">
        <v>3</v>
      </c>
      <c r="G126" s="16">
        <v>2</v>
      </c>
      <c r="H126" s="16">
        <v>2</v>
      </c>
      <c r="I126" s="16">
        <v>3</v>
      </c>
      <c r="J126" s="16">
        <v>3</v>
      </c>
      <c r="L126" s="92">
        <v>3</v>
      </c>
      <c r="M126" s="92">
        <v>3</v>
      </c>
      <c r="N126" s="92">
        <v>2</v>
      </c>
      <c r="O126" s="92">
        <v>1</v>
      </c>
      <c r="P126" s="92">
        <v>3</v>
      </c>
      <c r="Q126" s="92">
        <v>3</v>
      </c>
      <c r="S126" s="16">
        <f t="shared" si="50"/>
        <v>0</v>
      </c>
      <c r="T126" s="16">
        <f t="shared" si="55"/>
        <v>0</v>
      </c>
      <c r="U126" s="16">
        <f t="shared" si="56"/>
        <v>0</v>
      </c>
      <c r="V126" s="16">
        <f t="shared" si="57"/>
        <v>0</v>
      </c>
      <c r="W126" s="16">
        <f t="shared" si="52"/>
        <v>0</v>
      </c>
      <c r="X126" s="16">
        <f t="shared" si="53"/>
        <v>0</v>
      </c>
      <c r="Z126" s="16">
        <f t="shared" si="58"/>
        <v>0</v>
      </c>
      <c r="AB126" s="16" t="s">
        <v>463</v>
      </c>
      <c r="AC126" s="16" t="s">
        <v>464</v>
      </c>
      <c r="AD126" s="16" t="s">
        <v>463</v>
      </c>
      <c r="AF126" s="2" t="s">
        <v>435</v>
      </c>
      <c r="AG126" s="2" t="s">
        <v>435</v>
      </c>
    </row>
    <row r="127" spans="1:33">
      <c r="A127" s="2" t="str">
        <f>'Reference Score Calculation'!A118</f>
        <v>JS3571</v>
      </c>
      <c r="B127" s="364" t="str">
        <f>'Reference Score Calculation'!A118</f>
        <v>JS3571</v>
      </c>
      <c r="C127" s="2" t="str">
        <f>'Reference Score Calculation'!D118</f>
        <v>物流及企業工程(榮譽)理學士組合課程 (物流工程兼管理學 / 企業工程兼管理學)</v>
      </c>
      <c r="D127" s="16">
        <f>'Reference Score Calculation'!T118</f>
        <v>49</v>
      </c>
      <c r="E127" s="16">
        <v>3</v>
      </c>
      <c r="F127" s="16">
        <v>3</v>
      </c>
      <c r="G127" s="16">
        <v>2</v>
      </c>
      <c r="H127" s="16">
        <v>2</v>
      </c>
      <c r="I127" s="16">
        <v>3</v>
      </c>
      <c r="J127" s="16">
        <v>3</v>
      </c>
      <c r="L127" s="92">
        <v>3</v>
      </c>
      <c r="M127" s="92">
        <v>3</v>
      </c>
      <c r="N127" s="92">
        <v>2</v>
      </c>
      <c r="O127" s="92">
        <v>1</v>
      </c>
      <c r="P127" s="92">
        <v>3</v>
      </c>
      <c r="Q127" s="92">
        <v>3</v>
      </c>
      <c r="S127" s="16">
        <f t="shared" si="50"/>
        <v>0</v>
      </c>
      <c r="T127" s="16">
        <f t="shared" si="55"/>
        <v>0</v>
      </c>
      <c r="U127" s="16">
        <f t="shared" si="56"/>
        <v>0</v>
      </c>
      <c r="V127" s="16">
        <f t="shared" si="57"/>
        <v>0</v>
      </c>
      <c r="W127" s="16">
        <f t="shared" si="52"/>
        <v>0</v>
      </c>
      <c r="X127" s="16">
        <f t="shared" si="53"/>
        <v>0</v>
      </c>
      <c r="Z127" s="16">
        <f t="shared" si="58"/>
        <v>0</v>
      </c>
      <c r="AB127" s="16" t="s">
        <v>463</v>
      </c>
      <c r="AC127" s="16" t="s">
        <v>464</v>
      </c>
      <c r="AD127" s="16" t="s">
        <v>463</v>
      </c>
      <c r="AF127" s="2" t="s">
        <v>435</v>
      </c>
      <c r="AG127" s="2" t="s">
        <v>435</v>
      </c>
    </row>
    <row r="128" spans="1:33">
      <c r="A128" s="2" t="str">
        <f>'Reference Score Calculation'!A119</f>
        <v>JS3612</v>
      </c>
      <c r="B128" s="364" t="str">
        <f>'Reference Score Calculation'!A119</f>
        <v>JS3612</v>
      </c>
      <c r="C128" s="2" t="str">
        <f>'Reference Score Calculation'!D119</f>
        <v>醫療化驗科學及放射學(榮譽)理學士組合課程 - 放射學(榮譽)理學士</v>
      </c>
      <c r="D128" s="16">
        <f>'Reference Score Calculation'!T119</f>
        <v>115</v>
      </c>
      <c r="E128" s="16">
        <v>3</v>
      </c>
      <c r="F128" s="16">
        <v>3</v>
      </c>
      <c r="G128" s="16">
        <v>2</v>
      </c>
      <c r="H128" s="16">
        <v>2</v>
      </c>
      <c r="I128" s="16">
        <v>3</v>
      </c>
      <c r="J128" s="16">
        <v>3</v>
      </c>
      <c r="L128" s="92">
        <v>3</v>
      </c>
      <c r="M128" s="92">
        <v>3</v>
      </c>
      <c r="N128" s="92">
        <v>2</v>
      </c>
      <c r="O128" s="92">
        <v>1</v>
      </c>
      <c r="P128" s="92">
        <v>3</v>
      </c>
      <c r="Q128" s="92">
        <v>3</v>
      </c>
      <c r="S128" s="16">
        <f t="shared" si="50"/>
        <v>0</v>
      </c>
      <c r="T128" s="16">
        <f t="shared" si="55"/>
        <v>0</v>
      </c>
      <c r="U128" s="16">
        <f t="shared" si="56"/>
        <v>0</v>
      </c>
      <c r="V128" s="16">
        <f t="shared" si="57"/>
        <v>0</v>
      </c>
      <c r="W128" s="16">
        <f t="shared" si="52"/>
        <v>0</v>
      </c>
      <c r="X128" s="16">
        <f t="shared" si="53"/>
        <v>0</v>
      </c>
      <c r="Z128" s="16">
        <f t="shared" si="58"/>
        <v>0</v>
      </c>
      <c r="AB128" s="16" t="s">
        <v>463</v>
      </c>
      <c r="AC128" s="16" t="s">
        <v>464</v>
      </c>
      <c r="AD128" s="16" t="s">
        <v>465</v>
      </c>
      <c r="AF128" s="2" t="s">
        <v>435</v>
      </c>
      <c r="AG128" s="2" t="s">
        <v>435</v>
      </c>
    </row>
    <row r="129" spans="1:47">
      <c r="A129" s="2" t="str">
        <f>'Reference Score Calculation'!A120</f>
        <v>JS3624</v>
      </c>
      <c r="B129" s="364" t="str">
        <f>'Reference Score Calculation'!A120</f>
        <v>JS3624</v>
      </c>
      <c r="C129" s="2" t="str">
        <f>'Reference Score Calculation'!D120</f>
        <v>康復治療科學(榮譽)理學士組合課程 - 職業治療學(榮譽)理學士</v>
      </c>
      <c r="D129" s="16">
        <f>'Reference Score Calculation'!T120</f>
        <v>100</v>
      </c>
      <c r="E129" s="16">
        <v>3</v>
      </c>
      <c r="F129" s="16">
        <v>3</v>
      </c>
      <c r="G129" s="16">
        <v>2</v>
      </c>
      <c r="H129" s="16">
        <v>2</v>
      </c>
      <c r="I129" s="16">
        <v>3</v>
      </c>
      <c r="J129" s="16">
        <v>3</v>
      </c>
      <c r="L129" s="92">
        <v>3</v>
      </c>
      <c r="M129" s="92">
        <v>3</v>
      </c>
      <c r="N129" s="92">
        <v>2</v>
      </c>
      <c r="O129" s="92">
        <v>1</v>
      </c>
      <c r="P129" s="92">
        <v>3</v>
      </c>
      <c r="Q129" s="92">
        <v>3</v>
      </c>
      <c r="S129" s="16">
        <f t="shared" si="50"/>
        <v>0</v>
      </c>
      <c r="T129" s="16">
        <f t="shared" si="55"/>
        <v>0</v>
      </c>
      <c r="U129" s="16">
        <f t="shared" si="56"/>
        <v>0</v>
      </c>
      <c r="V129" s="16">
        <f t="shared" si="57"/>
        <v>0</v>
      </c>
      <c r="W129" s="16">
        <f t="shared" si="52"/>
        <v>0</v>
      </c>
      <c r="X129" s="16">
        <f t="shared" si="53"/>
        <v>0</v>
      </c>
      <c r="Z129" s="16">
        <f t="shared" si="58"/>
        <v>0</v>
      </c>
      <c r="AB129" s="16" t="s">
        <v>463</v>
      </c>
      <c r="AC129" s="16" t="s">
        <v>464</v>
      </c>
      <c r="AD129" s="16" t="s">
        <v>465</v>
      </c>
      <c r="AF129" s="2" t="s">
        <v>435</v>
      </c>
      <c r="AG129" s="2" t="s">
        <v>435</v>
      </c>
    </row>
    <row r="130" spans="1:47">
      <c r="A130" s="2" t="str">
        <f>'Reference Score Calculation'!A121</f>
        <v>JS3636</v>
      </c>
      <c r="B130" s="364" t="str">
        <f>'Reference Score Calculation'!A121</f>
        <v>JS3636</v>
      </c>
      <c r="C130" s="2" t="str">
        <f>'Reference Score Calculation'!D121</f>
        <v>康復治療科學(榮譽)理學士組合課程 - 物理治療學(榮譽)理學士</v>
      </c>
      <c r="D130" s="16">
        <f>'Reference Score Calculation'!T121</f>
        <v>150</v>
      </c>
      <c r="E130" s="16">
        <v>3</v>
      </c>
      <c r="F130" s="16">
        <v>3</v>
      </c>
      <c r="G130" s="16">
        <v>2</v>
      </c>
      <c r="H130" s="16">
        <v>2</v>
      </c>
      <c r="I130" s="16">
        <v>3</v>
      </c>
      <c r="J130" s="16">
        <v>3</v>
      </c>
      <c r="L130" s="92">
        <v>3</v>
      </c>
      <c r="M130" s="92">
        <v>3</v>
      </c>
      <c r="N130" s="92">
        <v>2</v>
      </c>
      <c r="O130" s="92">
        <v>1</v>
      </c>
      <c r="P130" s="92">
        <v>3</v>
      </c>
      <c r="Q130" s="92">
        <v>3</v>
      </c>
      <c r="S130" s="16">
        <f t="shared" si="50"/>
        <v>0</v>
      </c>
      <c r="T130" s="16">
        <f t="shared" si="55"/>
        <v>0</v>
      </c>
      <c r="U130" s="16">
        <f t="shared" si="56"/>
        <v>0</v>
      </c>
      <c r="V130" s="16">
        <f t="shared" si="57"/>
        <v>0</v>
      </c>
      <c r="W130" s="16">
        <f t="shared" si="52"/>
        <v>0</v>
      </c>
      <c r="X130" s="16">
        <f t="shared" si="53"/>
        <v>0</v>
      </c>
      <c r="Z130" s="16">
        <f t="shared" si="58"/>
        <v>0</v>
      </c>
      <c r="AB130" s="16" t="s">
        <v>463</v>
      </c>
      <c r="AC130" s="16" t="s">
        <v>464</v>
      </c>
      <c r="AD130" s="16" t="s">
        <v>465</v>
      </c>
      <c r="AF130" s="2" t="s">
        <v>435</v>
      </c>
      <c r="AG130" s="2" t="s">
        <v>435</v>
      </c>
    </row>
    <row r="131" spans="1:47">
      <c r="A131" s="2" t="str">
        <f>'Reference Score Calculation'!A122</f>
        <v>JS3648</v>
      </c>
      <c r="B131" s="364" t="str">
        <f>'Reference Score Calculation'!A122</f>
        <v>JS3648</v>
      </c>
      <c r="C131" s="2" t="str">
        <f>'Reference Score Calculation'!D122</f>
        <v>護理學(榮譽)理學士組合課程 - 護理學(榮譽)理學士</v>
      </c>
      <c r="D131" s="16">
        <f>'Reference Score Calculation'!T122</f>
        <v>193</v>
      </c>
      <c r="E131" s="16">
        <v>3</v>
      </c>
      <c r="F131" s="16">
        <v>3</v>
      </c>
      <c r="G131" s="16">
        <v>2</v>
      </c>
      <c r="H131" s="16">
        <v>2</v>
      </c>
      <c r="I131" s="16">
        <v>3</v>
      </c>
      <c r="J131" s="16">
        <v>3</v>
      </c>
      <c r="L131" s="92">
        <v>3</v>
      </c>
      <c r="M131" s="92">
        <v>3</v>
      </c>
      <c r="N131" s="92">
        <v>2</v>
      </c>
      <c r="O131" s="92">
        <v>1</v>
      </c>
      <c r="P131" s="92">
        <v>3</v>
      </c>
      <c r="Q131" s="92">
        <v>3</v>
      </c>
      <c r="S131" s="16">
        <f t="shared" ref="S131:S133" si="59">IF(L131&gt;L$3,0,1)</f>
        <v>0</v>
      </c>
      <c r="T131" s="16">
        <f t="shared" ref="T131:T133" si="60">IF(M131&gt;M$3,0,1)</f>
        <v>0</v>
      </c>
      <c r="U131" s="16">
        <f t="shared" ref="U131:U133" si="61">IF(N131&gt;N$3,0,1)</f>
        <v>0</v>
      </c>
      <c r="V131" s="16">
        <f t="shared" ref="V131:V133" si="62">IF(O131&gt;O$3,0,1)</f>
        <v>0</v>
      </c>
      <c r="W131" s="16">
        <f t="shared" ref="W131:W133" si="63">IF(P131&gt;LARGE($P$3:$U$3,1),0,1)</f>
        <v>0</v>
      </c>
      <c r="X131" s="16">
        <f t="shared" ref="X131:X133" si="64">IF(Q131&gt;LARGE($P$3:$U$3,2),0,1)</f>
        <v>0</v>
      </c>
      <c r="Z131" s="16">
        <f t="shared" ref="Z131:Z133" si="65">S131*T131*U131*V131*W131*X131</f>
        <v>0</v>
      </c>
      <c r="AB131" s="16" t="s">
        <v>463</v>
      </c>
      <c r="AC131" s="16" t="s">
        <v>465</v>
      </c>
      <c r="AD131" s="16" t="s">
        <v>465</v>
      </c>
      <c r="AF131" s="2" t="s">
        <v>435</v>
      </c>
      <c r="AG131" s="2" t="s">
        <v>435</v>
      </c>
    </row>
    <row r="132" spans="1:47">
      <c r="A132" s="2" t="str">
        <f>'Reference Score Calculation'!A123</f>
        <v>JS3741</v>
      </c>
      <c r="B132" s="364" t="str">
        <f>'Reference Score Calculation'!A123</f>
        <v>JS3741</v>
      </c>
      <c r="C132" s="2" t="str">
        <f>'Reference Score Calculation'!D123</f>
        <v>機械工程學(榮譽)工學士組合課程 (機械工程學 / 產品分析及工程設計學)</v>
      </c>
      <c r="D132" s="16">
        <f>'Reference Score Calculation'!T123</f>
        <v>59</v>
      </c>
      <c r="E132" s="16">
        <v>3</v>
      </c>
      <c r="F132" s="16">
        <v>3</v>
      </c>
      <c r="G132" s="16">
        <v>2</v>
      </c>
      <c r="H132" s="16">
        <v>2</v>
      </c>
      <c r="I132" s="16">
        <v>3</v>
      </c>
      <c r="J132" s="16">
        <v>3</v>
      </c>
      <c r="L132" s="92">
        <v>3</v>
      </c>
      <c r="M132" s="92">
        <v>3</v>
      </c>
      <c r="N132" s="92">
        <v>2</v>
      </c>
      <c r="O132" s="92">
        <v>1</v>
      </c>
      <c r="P132" s="92">
        <v>3</v>
      </c>
      <c r="Q132" s="92">
        <v>3</v>
      </c>
      <c r="S132" s="16">
        <f t="shared" si="59"/>
        <v>0</v>
      </c>
      <c r="T132" s="16">
        <f t="shared" si="60"/>
        <v>0</v>
      </c>
      <c r="U132" s="16">
        <f t="shared" si="61"/>
        <v>0</v>
      </c>
      <c r="V132" s="16">
        <f t="shared" si="62"/>
        <v>0</v>
      </c>
      <c r="W132" s="16">
        <f t="shared" si="63"/>
        <v>0</v>
      </c>
      <c r="X132" s="16">
        <f t="shared" si="64"/>
        <v>0</v>
      </c>
      <c r="Z132" s="16">
        <f t="shared" si="65"/>
        <v>0</v>
      </c>
      <c r="AB132" s="16" t="s">
        <v>463</v>
      </c>
      <c r="AC132" s="16" t="s">
        <v>464</v>
      </c>
      <c r="AD132" s="16" t="s">
        <v>465</v>
      </c>
      <c r="AF132" s="2" t="s">
        <v>435</v>
      </c>
      <c r="AG132" s="2" t="s">
        <v>435</v>
      </c>
    </row>
    <row r="133" spans="1:47">
      <c r="A133" s="2" t="str">
        <f>'Reference Score Calculation'!A124</f>
        <v>JS3868</v>
      </c>
      <c r="B133" s="364" t="str">
        <f>'Reference Score Calculation'!A124</f>
        <v>JS3868</v>
      </c>
      <c r="C133" s="2" t="str">
        <f>'Reference Score Calculation'!D124</f>
        <v>電子計算及人工智能(榮譽)理學士組合課程 (計算機科學 / 金融科技及人工智能 / 企業信息管理)</v>
      </c>
      <c r="D133" s="16">
        <f>'Reference Score Calculation'!T124</f>
        <v>113</v>
      </c>
      <c r="E133" s="16">
        <v>3</v>
      </c>
      <c r="F133" s="16">
        <v>3</v>
      </c>
      <c r="G133" s="16">
        <v>2</v>
      </c>
      <c r="H133" s="16">
        <v>2</v>
      </c>
      <c r="I133" s="16">
        <v>3</v>
      </c>
      <c r="J133" s="16">
        <v>3</v>
      </c>
      <c r="L133" s="92">
        <v>3</v>
      </c>
      <c r="M133" s="92">
        <v>3</v>
      </c>
      <c r="N133" s="92">
        <v>2</v>
      </c>
      <c r="O133" s="92">
        <v>1</v>
      </c>
      <c r="P133" s="92">
        <v>3</v>
      </c>
      <c r="Q133" s="92">
        <v>3</v>
      </c>
      <c r="S133" s="16">
        <f t="shared" si="59"/>
        <v>0</v>
      </c>
      <c r="T133" s="16">
        <f t="shared" si="60"/>
        <v>0</v>
      </c>
      <c r="U133" s="16">
        <f t="shared" si="61"/>
        <v>0</v>
      </c>
      <c r="V133" s="16">
        <f t="shared" si="62"/>
        <v>0</v>
      </c>
      <c r="W133" s="16">
        <f t="shared" si="63"/>
        <v>0</v>
      </c>
      <c r="X133" s="16">
        <f t="shared" si="64"/>
        <v>0</v>
      </c>
      <c r="Z133" s="16">
        <f t="shared" si="65"/>
        <v>0</v>
      </c>
      <c r="AB133" s="16" t="s">
        <v>463</v>
      </c>
      <c r="AC133" s="16" t="s">
        <v>464</v>
      </c>
      <c r="AD133" s="16" t="s">
        <v>465</v>
      </c>
      <c r="AF133" s="2" t="s">
        <v>435</v>
      </c>
      <c r="AG133" s="2" t="s">
        <v>435</v>
      </c>
    </row>
    <row r="134" spans="1:47">
      <c r="B134" s="364" t="str">
        <f>'Reference Score Calculation'!A125</f>
        <v>JS3910</v>
      </c>
      <c r="C134" s="2" t="str">
        <f>'Reference Score Calculation'!D125</f>
        <v>食品科技與食物安全(榮譽)理學士組合課程</v>
      </c>
      <c r="D134" s="16">
        <f>'Reference Score Calculation'!T125</f>
        <v>37</v>
      </c>
      <c r="E134" s="16">
        <v>3</v>
      </c>
      <c r="F134" s="16">
        <v>3</v>
      </c>
      <c r="G134" s="16">
        <v>2</v>
      </c>
      <c r="H134" s="16">
        <v>2</v>
      </c>
      <c r="I134" s="16">
        <v>3</v>
      </c>
      <c r="J134" s="16">
        <v>3</v>
      </c>
      <c r="L134" s="92">
        <v>3</v>
      </c>
      <c r="M134" s="92">
        <v>3</v>
      </c>
      <c r="N134" s="92">
        <v>2</v>
      </c>
      <c r="O134" s="92">
        <v>1</v>
      </c>
      <c r="P134" s="92">
        <v>3</v>
      </c>
      <c r="Q134" s="92">
        <v>3</v>
      </c>
      <c r="S134" s="16">
        <f t="shared" ref="S134" si="66">IF(L134&gt;L$3,0,1)</f>
        <v>0</v>
      </c>
      <c r="T134" s="16">
        <f t="shared" ref="T134" si="67">IF(M134&gt;M$3,0,1)</f>
        <v>0</v>
      </c>
      <c r="U134" s="16">
        <f t="shared" ref="U134" si="68">IF(N134&gt;N$3,0,1)</f>
        <v>0</v>
      </c>
      <c r="V134" s="16">
        <f t="shared" ref="V134" si="69">IF(O134&gt;O$3,0,1)</f>
        <v>0</v>
      </c>
      <c r="W134" s="16">
        <f t="shared" ref="W134" si="70">IF(P134&gt;LARGE($P$3:$U$3,1),0,1)</f>
        <v>0</v>
      </c>
      <c r="X134" s="16">
        <f t="shared" ref="X134" si="71">IF(Q134&gt;LARGE($P$3:$U$3,2),0,1)</f>
        <v>0</v>
      </c>
      <c r="Z134" s="16">
        <f t="shared" ref="Z134" si="72">S134*T134*U134*V134*W134*X134</f>
        <v>0</v>
      </c>
      <c r="AB134" s="16" t="s">
        <v>463</v>
      </c>
      <c r="AC134" s="16" t="s">
        <v>464</v>
      </c>
      <c r="AD134" s="16" t="s">
        <v>2982</v>
      </c>
      <c r="AF134" s="2" t="s">
        <v>435</v>
      </c>
      <c r="AG134" s="2" t="s">
        <v>435</v>
      </c>
    </row>
    <row r="135" spans="1:47">
      <c r="B135" s="386" t="s">
        <v>2141</v>
      </c>
      <c r="C135" s="401" t="s">
        <v>3034</v>
      </c>
      <c r="L135" s="92"/>
      <c r="M135" s="92"/>
      <c r="N135" s="92"/>
      <c r="O135" s="92"/>
      <c r="P135" s="92"/>
      <c r="Q135" s="92"/>
      <c r="S135" s="16"/>
      <c r="T135" s="16"/>
      <c r="U135" s="16"/>
      <c r="V135" s="16"/>
      <c r="W135" s="16"/>
      <c r="X135" s="16"/>
      <c r="AF135" s="2"/>
      <c r="AG135" s="2"/>
    </row>
    <row r="136" spans="1:47">
      <c r="B136" s="11" t="s">
        <v>110</v>
      </c>
      <c r="C136" s="11" t="s">
        <v>112</v>
      </c>
      <c r="D136" s="19" t="s">
        <v>38</v>
      </c>
      <c r="E136" s="19"/>
      <c r="F136" s="19"/>
      <c r="G136" s="19"/>
      <c r="H136" s="19"/>
      <c r="I136" s="19"/>
      <c r="J136" s="19"/>
      <c r="K136" s="19"/>
      <c r="L136" s="94" t="s">
        <v>117</v>
      </c>
      <c r="M136" s="94" t="s">
        <v>118</v>
      </c>
      <c r="N136" s="94" t="s">
        <v>119</v>
      </c>
      <c r="O136" s="94" t="s">
        <v>120</v>
      </c>
      <c r="P136" s="94" t="s">
        <v>121</v>
      </c>
      <c r="Q136" s="94" t="s">
        <v>122</v>
      </c>
      <c r="R136" s="11"/>
      <c r="S136" s="19" t="s">
        <v>117</v>
      </c>
      <c r="T136" s="19" t="s">
        <v>118</v>
      </c>
      <c r="U136" s="19" t="s">
        <v>119</v>
      </c>
      <c r="V136" s="19" t="s">
        <v>120</v>
      </c>
      <c r="W136" s="19" t="s">
        <v>121</v>
      </c>
      <c r="X136" s="19" t="s">
        <v>122</v>
      </c>
      <c r="Y136" s="16"/>
      <c r="AA136" s="2"/>
      <c r="AB136" s="16" t="s">
        <v>297</v>
      </c>
      <c r="AC136" s="16" t="s">
        <v>298</v>
      </c>
      <c r="AD136" s="16" t="s">
        <v>299</v>
      </c>
      <c r="AE136" s="16" t="s">
        <v>466</v>
      </c>
      <c r="AF136" s="2"/>
      <c r="AG136" s="2"/>
      <c r="AH136" s="2"/>
      <c r="AI136" s="124" t="s">
        <v>255</v>
      </c>
      <c r="AJ136" s="124" t="s">
        <v>431</v>
      </c>
      <c r="AK136" s="104"/>
      <c r="AL136" s="117"/>
      <c r="AM136" s="117"/>
      <c r="AN136" s="117"/>
      <c r="AO136" s="117"/>
      <c r="AP136" s="117"/>
      <c r="AQ136" s="117"/>
      <c r="AR136" s="117"/>
      <c r="AS136" s="104"/>
      <c r="AT136" s="104"/>
      <c r="AU136" s="104"/>
    </row>
    <row r="137" spans="1:47">
      <c r="A137" s="2" t="str">
        <f>'Reference Score Calculation'!A128</f>
        <v>JS4006</v>
      </c>
      <c r="B137" s="364" t="str">
        <f>'Reference Score Calculation'!A128</f>
        <v>JS4006</v>
      </c>
      <c r="C137" s="2" t="str">
        <f>'Reference Score Calculation'!D128</f>
        <v>人類學</v>
      </c>
      <c r="D137" s="16">
        <f>'Reference Score Calculation'!T128</f>
        <v>18</v>
      </c>
      <c r="E137" s="16">
        <v>3</v>
      </c>
      <c r="F137" s="16">
        <v>3</v>
      </c>
      <c r="G137" s="16">
        <v>2</v>
      </c>
      <c r="H137" s="16">
        <v>2</v>
      </c>
      <c r="I137" s="16">
        <v>3</v>
      </c>
      <c r="J137" s="16">
        <v>3</v>
      </c>
      <c r="L137" s="92">
        <v>3</v>
      </c>
      <c r="M137" s="92">
        <v>3</v>
      </c>
      <c r="N137" s="92">
        <v>2</v>
      </c>
      <c r="O137" s="92">
        <v>1</v>
      </c>
      <c r="P137" s="92">
        <v>3</v>
      </c>
      <c r="Q137" s="92">
        <v>3</v>
      </c>
      <c r="S137" s="16">
        <f t="shared" ref="S137" si="73">IF(L137&gt;L$3,0,1)</f>
        <v>0</v>
      </c>
      <c r="T137" s="16">
        <f t="shared" ref="T137" si="74">IF(M137&gt;M$3,0,1)</f>
        <v>0</v>
      </c>
      <c r="U137" s="16">
        <f t="shared" ref="U137" si="75">IF(N137&gt;N$3,0,1)</f>
        <v>0</v>
      </c>
      <c r="V137" s="16">
        <f t="shared" ref="V137" si="76">IF(O137&gt;O$3,0,1)</f>
        <v>0</v>
      </c>
      <c r="W137" s="16">
        <f>IF(P137&gt;LARGE($P$3:$U$3,1),0,1)</f>
        <v>0</v>
      </c>
      <c r="X137" s="16">
        <f>IF(Q137&gt;LARGE($P$3:$U$3,2),0,1)</f>
        <v>0</v>
      </c>
      <c r="Y137" s="16"/>
      <c r="Z137" s="16">
        <f t="shared" ref="Z137:Z185" si="77">S137*T137*U137*V137*W137*X137</f>
        <v>0</v>
      </c>
      <c r="AA137" s="2"/>
      <c r="AB137" s="16" t="s">
        <v>432</v>
      </c>
      <c r="AC137" s="16" t="s">
        <v>433</v>
      </c>
      <c r="AD137" s="16" t="s">
        <v>434</v>
      </c>
      <c r="AE137" s="16" t="s">
        <v>432</v>
      </c>
      <c r="AF137" s="2" t="s">
        <v>435</v>
      </c>
      <c r="AG137" s="2" t="s">
        <v>435</v>
      </c>
      <c r="AH137" s="2"/>
      <c r="AI137" s="118"/>
      <c r="AJ137" s="118"/>
      <c r="AK137" s="118"/>
      <c r="AL137" s="118"/>
      <c r="AM137" s="118"/>
      <c r="AN137" s="118" t="s">
        <v>467</v>
      </c>
      <c r="AO137" s="104"/>
      <c r="AP137" s="104"/>
      <c r="AQ137" s="104"/>
      <c r="AR137" s="104"/>
      <c r="AS137" s="104"/>
      <c r="AT137" s="104"/>
      <c r="AU137" s="104"/>
    </row>
    <row r="138" spans="1:47">
      <c r="A138" s="2" t="str">
        <f>'Reference Score Calculation'!A129</f>
        <v>JS4018</v>
      </c>
      <c r="B138" s="364" t="str">
        <f>'Reference Score Calculation'!A129</f>
        <v>JS4018</v>
      </c>
      <c r="C138" s="2" t="str">
        <f>'Reference Score Calculation'!D129</f>
        <v>中國語言及文學</v>
      </c>
      <c r="D138" s="16">
        <f>'Reference Score Calculation'!T129</f>
        <v>79</v>
      </c>
      <c r="E138" s="16">
        <v>3</v>
      </c>
      <c r="F138" s="16">
        <v>3</v>
      </c>
      <c r="G138" s="16">
        <v>2</v>
      </c>
      <c r="H138" s="16">
        <v>2</v>
      </c>
      <c r="I138" s="16">
        <v>3</v>
      </c>
      <c r="J138" s="16">
        <v>3</v>
      </c>
      <c r="L138" s="92">
        <v>3</v>
      </c>
      <c r="M138" s="92">
        <v>3</v>
      </c>
      <c r="N138" s="92">
        <v>2</v>
      </c>
      <c r="O138" s="92">
        <v>1</v>
      </c>
      <c r="P138" s="92">
        <v>3</v>
      </c>
      <c r="Q138" s="92">
        <v>3</v>
      </c>
      <c r="S138" s="16">
        <f t="shared" ref="S138:S190" si="78">IF(L138&gt;L$3,0,1)</f>
        <v>0</v>
      </c>
      <c r="T138" s="16">
        <f t="shared" ref="T138:T190" si="79">IF(M138&gt;M$3,0,1)</f>
        <v>0</v>
      </c>
      <c r="U138" s="16">
        <f t="shared" ref="U138:U190" si="80">IF(N138&gt;N$3,0,1)</f>
        <v>0</v>
      </c>
      <c r="V138" s="16">
        <f t="shared" ref="V138:V190" si="81">IF(O138&gt;O$3,0,1)</f>
        <v>0</v>
      </c>
      <c r="W138" s="16">
        <f t="shared" ref="W138:W182" si="82">IF(P138&gt;LARGE($P$3:$U$3,1),0,1)</f>
        <v>0</v>
      </c>
      <c r="X138" s="16">
        <f t="shared" ref="X138:X154" si="83">IF(Q138&gt;LARGE($P$3:$U$3,2),0,1)</f>
        <v>0</v>
      </c>
      <c r="Y138" s="16"/>
      <c r="Z138" s="16">
        <f t="shared" si="77"/>
        <v>0</v>
      </c>
      <c r="AA138" s="2"/>
      <c r="AB138" s="16" t="s">
        <v>432</v>
      </c>
      <c r="AC138" s="16" t="s">
        <v>433</v>
      </c>
      <c r="AD138" s="16" t="s">
        <v>434</v>
      </c>
      <c r="AE138" s="16" t="s">
        <v>463</v>
      </c>
      <c r="AF138" s="2" t="s">
        <v>435</v>
      </c>
      <c r="AG138" s="2" t="s">
        <v>435</v>
      </c>
      <c r="AH138" s="2"/>
      <c r="AI138" s="118"/>
      <c r="AJ138" s="118" t="s">
        <v>468</v>
      </c>
      <c r="AK138" s="118"/>
      <c r="AL138" s="118" t="s">
        <v>469</v>
      </c>
      <c r="AM138" s="118"/>
      <c r="AN138" s="118" t="s">
        <v>19</v>
      </c>
      <c r="AO138" s="118" t="s">
        <v>23</v>
      </c>
      <c r="AP138" s="104"/>
      <c r="AQ138" s="104"/>
      <c r="AR138" s="104"/>
      <c r="AS138" s="104"/>
      <c r="AT138" s="104"/>
      <c r="AU138" s="104"/>
    </row>
    <row r="139" spans="1:47">
      <c r="A139" s="2" t="str">
        <f>'Reference Score Calculation'!A130</f>
        <v>JS4020</v>
      </c>
      <c r="B139" s="364" t="str">
        <f>'Reference Score Calculation'!A130</f>
        <v>JS4020</v>
      </c>
      <c r="C139" s="2" t="str">
        <f>'Reference Score Calculation'!D130</f>
        <v>文化研究</v>
      </c>
      <c r="D139" s="16">
        <f>'Reference Score Calculation'!T130</f>
        <v>17</v>
      </c>
      <c r="E139" s="16">
        <v>3</v>
      </c>
      <c r="F139" s="16">
        <v>3</v>
      </c>
      <c r="G139" s="16">
        <v>2</v>
      </c>
      <c r="H139" s="16">
        <v>2</v>
      </c>
      <c r="I139" s="16">
        <v>3</v>
      </c>
      <c r="J139" s="16">
        <v>3</v>
      </c>
      <c r="L139" s="92">
        <v>3</v>
      </c>
      <c r="M139" s="92">
        <v>3</v>
      </c>
      <c r="N139" s="92">
        <v>2</v>
      </c>
      <c r="O139" s="92">
        <v>1</v>
      </c>
      <c r="P139" s="92">
        <v>3</v>
      </c>
      <c r="Q139" s="92">
        <v>3</v>
      </c>
      <c r="S139" s="16">
        <f t="shared" si="78"/>
        <v>0</v>
      </c>
      <c r="T139" s="16">
        <f t="shared" si="79"/>
        <v>0</v>
      </c>
      <c r="U139" s="16">
        <f t="shared" si="80"/>
        <v>0</v>
      </c>
      <c r="V139" s="16">
        <f t="shared" si="81"/>
        <v>0</v>
      </c>
      <c r="W139" s="16">
        <f t="shared" si="82"/>
        <v>0</v>
      </c>
      <c r="X139" s="16">
        <f t="shared" si="83"/>
        <v>0</v>
      </c>
      <c r="Y139" s="16"/>
      <c r="Z139" s="16">
        <f t="shared" si="77"/>
        <v>0</v>
      </c>
      <c r="AA139" s="2"/>
      <c r="AB139" s="16" t="s">
        <v>432</v>
      </c>
      <c r="AC139" s="16" t="s">
        <v>433</v>
      </c>
      <c r="AD139" s="16" t="s">
        <v>434</v>
      </c>
      <c r="AE139" s="16" t="s">
        <v>463</v>
      </c>
      <c r="AF139" s="2" t="s">
        <v>435</v>
      </c>
      <c r="AG139" s="2" t="s">
        <v>435</v>
      </c>
      <c r="AH139" s="2"/>
      <c r="AI139" s="118" t="s">
        <v>349</v>
      </c>
      <c r="AJ139" s="119">
        <f>N3</f>
        <v>3E-10</v>
      </c>
      <c r="AK139" s="118"/>
      <c r="AL139" s="119">
        <f>P3</f>
        <v>5.0000000000000003E-10</v>
      </c>
      <c r="AM139" s="118"/>
      <c r="AN139" s="16">
        <f>IF(AJ139&lt;5,IF(AJ139&lt;4,0,2),1)</f>
        <v>0</v>
      </c>
      <c r="AO139" s="119">
        <f>IF(AND(AJ139&lt;5,AL139&lt;5),0,1)</f>
        <v>0</v>
      </c>
      <c r="AP139" s="104"/>
      <c r="AQ139" s="104"/>
      <c r="AR139" s="104"/>
      <c r="AS139" s="104"/>
      <c r="AT139" s="104"/>
      <c r="AU139" s="104"/>
    </row>
    <row r="140" spans="1:47">
      <c r="A140" s="2" t="str">
        <f>'Reference Score Calculation'!A131</f>
        <v>JS4022</v>
      </c>
      <c r="B140" s="364" t="str">
        <f>'Reference Score Calculation'!A131</f>
        <v>JS4022</v>
      </c>
      <c r="C140" s="2" t="str">
        <f>'Reference Score Calculation'!D131</f>
        <v>文化管理</v>
      </c>
      <c r="D140" s="16">
        <f>'Reference Score Calculation'!T131</f>
        <v>20</v>
      </c>
      <c r="E140" s="16">
        <v>3</v>
      </c>
      <c r="F140" s="16">
        <v>3</v>
      </c>
      <c r="G140" s="16">
        <v>2</v>
      </c>
      <c r="H140" s="16">
        <v>2</v>
      </c>
      <c r="I140" s="16">
        <v>3</v>
      </c>
      <c r="J140" s="16">
        <v>3</v>
      </c>
      <c r="L140" s="92">
        <v>3</v>
      </c>
      <c r="M140" s="92">
        <v>3</v>
      </c>
      <c r="N140" s="92">
        <v>2</v>
      </c>
      <c r="O140" s="92">
        <v>1</v>
      </c>
      <c r="P140" s="92">
        <v>3</v>
      </c>
      <c r="Q140" s="92">
        <v>3</v>
      </c>
      <c r="S140" s="16">
        <f t="shared" si="78"/>
        <v>0</v>
      </c>
      <c r="T140" s="16">
        <f t="shared" si="79"/>
        <v>0</v>
      </c>
      <c r="U140" s="16">
        <f t="shared" si="80"/>
        <v>0</v>
      </c>
      <c r="V140" s="16">
        <f t="shared" si="81"/>
        <v>0</v>
      </c>
      <c r="W140" s="16">
        <f t="shared" si="82"/>
        <v>0</v>
      </c>
      <c r="X140" s="16">
        <f t="shared" si="83"/>
        <v>0</v>
      </c>
      <c r="Y140" s="16"/>
      <c r="Z140" s="16">
        <f t="shared" si="77"/>
        <v>0</v>
      </c>
      <c r="AA140" s="2"/>
      <c r="AB140" s="16" t="s">
        <v>432</v>
      </c>
      <c r="AC140" s="16" t="s">
        <v>433</v>
      </c>
      <c r="AD140" s="16" t="s">
        <v>434</v>
      </c>
      <c r="AE140" s="16" t="s">
        <v>434</v>
      </c>
      <c r="AF140" s="2" t="s">
        <v>435</v>
      </c>
      <c r="AG140" s="2" t="s">
        <v>435</v>
      </c>
      <c r="AH140" s="2"/>
      <c r="AI140" s="118"/>
      <c r="AJ140" s="118"/>
      <c r="AK140" s="118"/>
      <c r="AL140" s="118"/>
      <c r="AM140" s="118"/>
      <c r="AN140" s="118"/>
      <c r="AO140" s="118"/>
      <c r="AP140" s="104"/>
      <c r="AQ140" s="104"/>
      <c r="AR140" s="104"/>
      <c r="AS140" s="104"/>
      <c r="AT140" s="104"/>
      <c r="AU140" s="104"/>
    </row>
    <row r="141" spans="1:47">
      <c r="A141" s="2" t="str">
        <f>'Reference Score Calculation'!A132</f>
        <v>JS4032</v>
      </c>
      <c r="B141" s="364" t="str">
        <f>'Reference Score Calculation'!A132</f>
        <v>JS4032</v>
      </c>
      <c r="C141" s="2" t="str">
        <f>'Reference Score Calculation'!D132</f>
        <v>英文</v>
      </c>
      <c r="D141" s="16">
        <f>'Reference Score Calculation'!T132</f>
        <v>55</v>
      </c>
      <c r="E141" s="16">
        <v>3</v>
      </c>
      <c r="F141" s="16">
        <v>3</v>
      </c>
      <c r="G141" s="16">
        <v>2</v>
      </c>
      <c r="H141" s="16">
        <v>2</v>
      </c>
      <c r="I141" s="16">
        <v>3</v>
      </c>
      <c r="J141" s="16">
        <v>3</v>
      </c>
      <c r="L141" s="92">
        <v>3</v>
      </c>
      <c r="M141" s="92">
        <v>3</v>
      </c>
      <c r="N141" s="92">
        <v>2</v>
      </c>
      <c r="O141" s="92">
        <v>1</v>
      </c>
      <c r="P141" s="92">
        <v>3</v>
      </c>
      <c r="Q141" s="92">
        <v>3</v>
      </c>
      <c r="S141" s="16">
        <f t="shared" si="78"/>
        <v>0</v>
      </c>
      <c r="T141" s="16">
        <f t="shared" si="79"/>
        <v>0</v>
      </c>
      <c r="U141" s="16">
        <f t="shared" si="80"/>
        <v>0</v>
      </c>
      <c r="V141" s="16">
        <f t="shared" si="81"/>
        <v>0</v>
      </c>
      <c r="W141" s="16">
        <f t="shared" si="82"/>
        <v>0</v>
      </c>
      <c r="X141" s="16">
        <f t="shared" si="83"/>
        <v>0</v>
      </c>
      <c r="Y141" s="16"/>
      <c r="Z141" s="16">
        <f t="shared" si="77"/>
        <v>0</v>
      </c>
      <c r="AA141" s="2"/>
      <c r="AB141" s="16" t="s">
        <v>432</v>
      </c>
      <c r="AC141" s="16" t="s">
        <v>433</v>
      </c>
      <c r="AD141" s="16" t="s">
        <v>434</v>
      </c>
      <c r="AE141" s="16" t="s">
        <v>432</v>
      </c>
      <c r="AF141" s="2" t="s">
        <v>435</v>
      </c>
      <c r="AG141" s="2" t="s">
        <v>435</v>
      </c>
      <c r="AH141" s="2"/>
      <c r="AI141" s="118"/>
      <c r="AJ141" s="118" t="str">
        <f>Q2</f>
        <v>請選擇第一選修科</v>
      </c>
      <c r="AK141" s="118" t="str">
        <f>R2</f>
        <v>請選擇第二選修科</v>
      </c>
      <c r="AL141" s="118" t="str">
        <f>S2</f>
        <v>請選擇第三選修科</v>
      </c>
      <c r="AM141" s="118" t="str">
        <f>T2</f>
        <v>請選擇第四選修科</v>
      </c>
      <c r="AN141" s="118" t="str">
        <f>P2</f>
        <v>數學延伸</v>
      </c>
      <c r="AO141" s="104"/>
      <c r="AP141" s="118" t="s">
        <v>471</v>
      </c>
      <c r="AQ141" s="118"/>
      <c r="AR141" s="104"/>
      <c r="AS141" s="104"/>
      <c r="AT141" s="104"/>
      <c r="AU141" s="104"/>
    </row>
    <row r="142" spans="1:47">
      <c r="A142" s="2" t="str">
        <f>'Reference Score Calculation'!A133</f>
        <v>JS4044</v>
      </c>
      <c r="B142" s="364" t="str">
        <f>'Reference Score Calculation'!A133</f>
        <v>JS4044</v>
      </c>
      <c r="C142" s="2" t="str">
        <f>'Reference Score Calculation'!D133</f>
        <v>藝術</v>
      </c>
      <c r="D142" s="16">
        <f>'Reference Score Calculation'!T133</f>
        <v>19</v>
      </c>
      <c r="E142" s="16">
        <v>3</v>
      </c>
      <c r="F142" s="16">
        <v>3</v>
      </c>
      <c r="G142" s="16">
        <v>2</v>
      </c>
      <c r="H142" s="16">
        <v>2</v>
      </c>
      <c r="I142" s="16">
        <v>3</v>
      </c>
      <c r="J142" s="16">
        <v>3</v>
      </c>
      <c r="L142" s="92">
        <v>3</v>
      </c>
      <c r="M142" s="92">
        <v>3</v>
      </c>
      <c r="N142" s="92">
        <v>2</v>
      </c>
      <c r="O142" s="92">
        <v>1</v>
      </c>
      <c r="P142" s="92">
        <v>3</v>
      </c>
      <c r="Q142" s="92">
        <v>3</v>
      </c>
      <c r="S142" s="16">
        <f t="shared" si="78"/>
        <v>0</v>
      </c>
      <c r="T142" s="16">
        <f t="shared" si="79"/>
        <v>0</v>
      </c>
      <c r="U142" s="16">
        <f t="shared" si="80"/>
        <v>0</v>
      </c>
      <c r="V142" s="16">
        <f t="shared" si="81"/>
        <v>0</v>
      </c>
      <c r="W142" s="16">
        <f t="shared" si="82"/>
        <v>0</v>
      </c>
      <c r="X142" s="16">
        <f t="shared" si="83"/>
        <v>0</v>
      </c>
      <c r="Y142" s="16"/>
      <c r="Z142" s="16">
        <f t="shared" si="77"/>
        <v>0</v>
      </c>
      <c r="AA142" s="2"/>
      <c r="AB142" s="16" t="s">
        <v>432</v>
      </c>
      <c r="AC142" s="16" t="s">
        <v>433</v>
      </c>
      <c r="AD142" s="16" t="s">
        <v>434</v>
      </c>
      <c r="AE142" s="16" t="s">
        <v>432</v>
      </c>
      <c r="AF142" s="2" t="s">
        <v>435</v>
      </c>
      <c r="AG142" s="2" t="s">
        <v>435</v>
      </c>
      <c r="AH142" s="2"/>
      <c r="AI142" s="118" t="s">
        <v>470</v>
      </c>
      <c r="AJ142" s="119">
        <f>IF(OR(Q2="物理",Q2="化學",Q2="生物",Q2="地理",Q2="經濟",,Q2="資訊及通訊科技",Q2="科技與生活",Q2="企業、會計與財務概論",Q2="設計與應用科技"),Q3,0)</f>
        <v>0</v>
      </c>
      <c r="AK142" s="119">
        <f t="shared" ref="AK142:AM142" si="84">IF(OR(R2="物理",R2="化學",R2="生物",R2="地理",R2="經濟",,R2="資訊及通訊科技",R2="科技與生活",R2="企業、會計與財務概論",R2="設計與應用科技"),R3,0)</f>
        <v>0</v>
      </c>
      <c r="AL142" s="119">
        <f t="shared" si="84"/>
        <v>0</v>
      </c>
      <c r="AM142" s="119">
        <f t="shared" si="84"/>
        <v>0</v>
      </c>
      <c r="AN142" s="119">
        <f>P3</f>
        <v>5.0000000000000003E-10</v>
      </c>
      <c r="AO142" s="118"/>
      <c r="AP142" s="119" t="str">
        <f>IF(AQ142&gt;0,INDEX(AJ141:AN141,MATCH(LARGE(AJ142:AN142,1),AJ142:AN142,0)),"無")</f>
        <v>數學延伸</v>
      </c>
      <c r="AQ142" s="119">
        <f>LARGE((AJ142:AN142),1)</f>
        <v>5.0000000000000003E-10</v>
      </c>
      <c r="AR142" s="104"/>
      <c r="AS142" s="104"/>
      <c r="AT142" s="104"/>
      <c r="AU142" s="104"/>
    </row>
    <row r="143" spans="1:47">
      <c r="A143" s="2" t="str">
        <f>'Reference Score Calculation'!A134</f>
        <v>JS4056</v>
      </c>
      <c r="B143" s="364" t="str">
        <f>'Reference Score Calculation'!A134</f>
        <v>JS4056</v>
      </c>
      <c r="C143" s="2" t="str">
        <f>'Reference Score Calculation'!D134</f>
        <v>歷史</v>
      </c>
      <c r="D143" s="16">
        <f>'Reference Score Calculation'!T134</f>
        <v>48</v>
      </c>
      <c r="E143" s="16">
        <v>3</v>
      </c>
      <c r="F143" s="16">
        <v>3</v>
      </c>
      <c r="G143" s="16">
        <v>2</v>
      </c>
      <c r="H143" s="16">
        <v>2</v>
      </c>
      <c r="I143" s="16">
        <v>3</v>
      </c>
      <c r="J143" s="16">
        <v>3</v>
      </c>
      <c r="L143" s="92">
        <v>3</v>
      </c>
      <c r="M143" s="92">
        <v>3</v>
      </c>
      <c r="N143" s="92">
        <v>2</v>
      </c>
      <c r="O143" s="92">
        <v>1</v>
      </c>
      <c r="P143" s="92">
        <v>3</v>
      </c>
      <c r="Q143" s="92">
        <v>3</v>
      </c>
      <c r="S143" s="16">
        <f t="shared" si="78"/>
        <v>0</v>
      </c>
      <c r="T143" s="16">
        <f t="shared" si="79"/>
        <v>0</v>
      </c>
      <c r="U143" s="16">
        <f t="shared" si="80"/>
        <v>0</v>
      </c>
      <c r="V143" s="16">
        <f t="shared" si="81"/>
        <v>0</v>
      </c>
      <c r="W143" s="16">
        <f t="shared" si="82"/>
        <v>0</v>
      </c>
      <c r="X143" s="16">
        <f t="shared" si="83"/>
        <v>0</v>
      </c>
      <c r="Y143" s="16"/>
      <c r="Z143" s="16">
        <f t="shared" si="77"/>
        <v>0</v>
      </c>
      <c r="AA143" s="2"/>
      <c r="AB143" s="16" t="s">
        <v>432</v>
      </c>
      <c r="AC143" s="16" t="s">
        <v>433</v>
      </c>
      <c r="AD143" s="16" t="s">
        <v>434</v>
      </c>
      <c r="AE143" s="16" t="s">
        <v>463</v>
      </c>
      <c r="AF143" s="2" t="s">
        <v>435</v>
      </c>
      <c r="AG143" s="2" t="s">
        <v>435</v>
      </c>
      <c r="AH143" s="2"/>
      <c r="AI143" s="118"/>
      <c r="AJ143" s="163" t="s">
        <v>2995</v>
      </c>
      <c r="AK143" s="118"/>
      <c r="AL143" s="118"/>
      <c r="AM143" s="118"/>
      <c r="AN143" s="118"/>
      <c r="AO143" s="118"/>
      <c r="AP143" s="104"/>
      <c r="AQ143" s="104"/>
      <c r="AR143" s="104"/>
      <c r="AS143" s="104"/>
      <c r="AT143" s="104"/>
      <c r="AU143" s="104"/>
    </row>
    <row r="144" spans="1:47">
      <c r="A144" s="2" t="str">
        <f>'Reference Score Calculation'!A135</f>
        <v>JS4068</v>
      </c>
      <c r="B144" s="364" t="str">
        <f>'Reference Score Calculation'!A135</f>
        <v>JS4068</v>
      </c>
      <c r="C144" s="2" t="str">
        <f>'Reference Score Calculation'!D135</f>
        <v>日本研究</v>
      </c>
      <c r="D144" s="16">
        <f>'Reference Score Calculation'!T135</f>
        <v>22</v>
      </c>
      <c r="E144" s="16">
        <v>3</v>
      </c>
      <c r="F144" s="16">
        <v>3</v>
      </c>
      <c r="G144" s="16">
        <v>2</v>
      </c>
      <c r="H144" s="16">
        <v>2</v>
      </c>
      <c r="I144" s="16">
        <v>3</v>
      </c>
      <c r="J144" s="16">
        <v>3</v>
      </c>
      <c r="L144" s="92">
        <v>3</v>
      </c>
      <c r="M144" s="92">
        <v>3</v>
      </c>
      <c r="N144" s="92">
        <v>2</v>
      </c>
      <c r="O144" s="92">
        <v>1</v>
      </c>
      <c r="P144" s="92">
        <v>3</v>
      </c>
      <c r="Q144" s="92">
        <v>3</v>
      </c>
      <c r="S144" s="16">
        <f t="shared" si="78"/>
        <v>0</v>
      </c>
      <c r="T144" s="16">
        <f t="shared" si="79"/>
        <v>0</v>
      </c>
      <c r="U144" s="16">
        <f t="shared" si="80"/>
        <v>0</v>
      </c>
      <c r="V144" s="16">
        <f t="shared" si="81"/>
        <v>0</v>
      </c>
      <c r="W144" s="16">
        <f t="shared" si="82"/>
        <v>0</v>
      </c>
      <c r="X144" s="16">
        <f t="shared" si="83"/>
        <v>0</v>
      </c>
      <c r="Y144" s="16"/>
      <c r="Z144" s="16">
        <f t="shared" si="77"/>
        <v>0</v>
      </c>
      <c r="AA144" s="2"/>
      <c r="AB144" s="16" t="s">
        <v>432</v>
      </c>
      <c r="AC144" s="16" t="s">
        <v>433</v>
      </c>
      <c r="AD144" s="16" t="s">
        <v>434</v>
      </c>
      <c r="AE144" s="16" t="s">
        <v>432</v>
      </c>
      <c r="AF144" s="2" t="s">
        <v>435</v>
      </c>
      <c r="AG144" s="2" t="s">
        <v>435</v>
      </c>
      <c r="AH144" s="2"/>
      <c r="AI144" s="104"/>
      <c r="AJ144" s="104"/>
      <c r="AK144" s="104"/>
      <c r="AL144" s="104"/>
      <c r="AM144" s="104"/>
      <c r="AN144" s="104"/>
      <c r="AO144" s="104"/>
      <c r="AP144" s="104"/>
      <c r="AQ144" s="104"/>
      <c r="AR144" s="104"/>
      <c r="AS144" s="104"/>
      <c r="AT144" s="104"/>
      <c r="AU144" s="104"/>
    </row>
    <row r="145" spans="1:47">
      <c r="A145" s="2" t="str">
        <f>'Reference Score Calculation'!A136</f>
        <v>JS4070</v>
      </c>
      <c r="B145" s="364" t="str">
        <f>'Reference Score Calculation'!A136</f>
        <v>JS4070</v>
      </c>
      <c r="C145" s="2" t="str">
        <f>'Reference Score Calculation'!D136</f>
        <v>語言學</v>
      </c>
      <c r="D145" s="16">
        <f>'Reference Score Calculation'!T136</f>
        <v>22</v>
      </c>
      <c r="E145" s="16">
        <v>3</v>
      </c>
      <c r="F145" s="16">
        <v>3</v>
      </c>
      <c r="G145" s="16">
        <v>2</v>
      </c>
      <c r="H145" s="16">
        <v>2</v>
      </c>
      <c r="I145" s="16">
        <v>3</v>
      </c>
      <c r="J145" s="16">
        <v>3</v>
      </c>
      <c r="L145" s="92">
        <v>3</v>
      </c>
      <c r="M145" s="92">
        <v>3</v>
      </c>
      <c r="N145" s="92">
        <v>2</v>
      </c>
      <c r="O145" s="92">
        <v>1</v>
      </c>
      <c r="P145" s="92">
        <v>3</v>
      </c>
      <c r="Q145" s="92">
        <v>3</v>
      </c>
      <c r="S145" s="16">
        <f t="shared" si="78"/>
        <v>0</v>
      </c>
      <c r="T145" s="16">
        <f t="shared" si="79"/>
        <v>0</v>
      </c>
      <c r="U145" s="16">
        <f t="shared" si="80"/>
        <v>0</v>
      </c>
      <c r="V145" s="16">
        <f t="shared" si="81"/>
        <v>0</v>
      </c>
      <c r="W145" s="16">
        <f t="shared" si="82"/>
        <v>0</v>
      </c>
      <c r="X145" s="16">
        <f t="shared" si="83"/>
        <v>0</v>
      </c>
      <c r="Y145" s="16"/>
      <c r="Z145" s="16">
        <f t="shared" si="77"/>
        <v>0</v>
      </c>
      <c r="AA145" s="2"/>
      <c r="AB145" s="16" t="s">
        <v>432</v>
      </c>
      <c r="AC145" s="16" t="s">
        <v>433</v>
      </c>
      <c r="AD145" s="16" t="s">
        <v>434</v>
      </c>
      <c r="AE145" s="16" t="s">
        <v>434</v>
      </c>
      <c r="AF145" s="2" t="s">
        <v>435</v>
      </c>
      <c r="AG145" s="2" t="s">
        <v>435</v>
      </c>
      <c r="AH145" s="2"/>
      <c r="AI145" s="118" t="s">
        <v>1473</v>
      </c>
      <c r="AJ145" s="118" t="str">
        <f>Q2</f>
        <v>請選擇第一選修科</v>
      </c>
      <c r="AK145" s="118" t="str">
        <f>R2</f>
        <v>請選擇第二選修科</v>
      </c>
      <c r="AL145" s="118" t="str">
        <f>S2</f>
        <v>請選擇第三選修科</v>
      </c>
      <c r="AM145" s="118" t="str">
        <f>T2</f>
        <v>請選擇第四選修科</v>
      </c>
      <c r="AN145" s="118" t="str">
        <f>P2</f>
        <v>數學延伸</v>
      </c>
      <c r="AO145" s="104"/>
      <c r="AP145" s="118" t="s">
        <v>471</v>
      </c>
      <c r="AQ145" s="118"/>
      <c r="AR145" s="104"/>
      <c r="AS145" s="103" t="s">
        <v>3040</v>
      </c>
      <c r="AT145" s="104"/>
      <c r="AU145" s="104"/>
    </row>
    <row r="146" spans="1:47">
      <c r="A146" s="2" t="str">
        <f>'Reference Score Calculation'!A137</f>
        <v>JS4082</v>
      </c>
      <c r="B146" s="364" t="str">
        <f>'Reference Score Calculation'!A137</f>
        <v>JS4082</v>
      </c>
      <c r="C146" s="2" t="str">
        <f>'Reference Score Calculation'!D137</f>
        <v>音樂</v>
      </c>
      <c r="D146" s="16">
        <f>'Reference Score Calculation'!T137</f>
        <v>27</v>
      </c>
      <c r="E146" s="16">
        <v>3</v>
      </c>
      <c r="F146" s="16">
        <v>3</v>
      </c>
      <c r="G146" s="16">
        <v>2</v>
      </c>
      <c r="H146" s="16">
        <v>2</v>
      </c>
      <c r="I146" s="16">
        <v>3</v>
      </c>
      <c r="J146" s="16">
        <v>3</v>
      </c>
      <c r="L146" s="92">
        <v>3</v>
      </c>
      <c r="M146" s="92">
        <v>3</v>
      </c>
      <c r="N146" s="92">
        <v>2</v>
      </c>
      <c r="O146" s="92">
        <v>1</v>
      </c>
      <c r="P146" s="92">
        <v>3</v>
      </c>
      <c r="Q146" s="92">
        <v>3</v>
      </c>
      <c r="S146" s="16">
        <f t="shared" si="78"/>
        <v>0</v>
      </c>
      <c r="T146" s="16">
        <f t="shared" si="79"/>
        <v>0</v>
      </c>
      <c r="U146" s="16">
        <f t="shared" si="80"/>
        <v>0</v>
      </c>
      <c r="V146" s="16">
        <f t="shared" si="81"/>
        <v>0</v>
      </c>
      <c r="W146" s="16">
        <f t="shared" si="82"/>
        <v>0</v>
      </c>
      <c r="X146" s="16">
        <f t="shared" si="83"/>
        <v>0</v>
      </c>
      <c r="Y146" s="16"/>
      <c r="Z146" s="16">
        <f>IF(S146*T146*U146*V146*W146*X146=0,0,2)</f>
        <v>0</v>
      </c>
      <c r="AA146" s="2"/>
      <c r="AB146" s="16" t="s">
        <v>432</v>
      </c>
      <c r="AC146" s="16" t="s">
        <v>433</v>
      </c>
      <c r="AD146" s="16" t="s">
        <v>434</v>
      </c>
      <c r="AE146" s="16" t="s">
        <v>434</v>
      </c>
      <c r="AF146" s="2" t="s">
        <v>475</v>
      </c>
      <c r="AG146" s="2" t="s">
        <v>435</v>
      </c>
      <c r="AH146" s="2"/>
      <c r="AI146" s="118" t="s">
        <v>473</v>
      </c>
      <c r="AJ146" s="119">
        <f>IF(OR(Q2="物理",Q2="化學",Q2="生物"),Q3,0)</f>
        <v>0</v>
      </c>
      <c r="AK146" s="119">
        <f>IF(OR(R2="物理",R2="化學",R2="生物"),R3,0)</f>
        <v>0</v>
      </c>
      <c r="AL146" s="119">
        <f>IF(OR(S2="物理",S2="化學",S2="生物"),S3,0)</f>
        <v>0</v>
      </c>
      <c r="AM146" s="119">
        <f>IF(OR(T2="物理",T2="化學",T2="生物"),T3,0)</f>
        <v>0</v>
      </c>
      <c r="AN146" s="119">
        <f>P3</f>
        <v>5.0000000000000003E-10</v>
      </c>
      <c r="AO146" s="118"/>
      <c r="AP146" s="119" t="str">
        <f>IF(AQ146&gt;0,INDEX(AJ145:AN145,MATCH(LARGE(AJ146:AN146,1),AJ146:AN146,0)),"無")</f>
        <v>數學延伸</v>
      </c>
      <c r="AQ146" s="119">
        <f>LARGE((AJ146:AN146),1)</f>
        <v>5.0000000000000003E-10</v>
      </c>
      <c r="AR146" s="104"/>
      <c r="AS146" s="21" t="str">
        <f>IF(AT146&gt;0,INDEX(AJ150:AN150,MATCH(AT146,AJ151:AN151,0)),"無")</f>
        <v>無</v>
      </c>
      <c r="AT146" s="121">
        <f>IF(AP151=AP146,LARGE((AJ151:AN151),2),LARGE((AJ151:AN151),1))</f>
        <v>0</v>
      </c>
      <c r="AU146" s="104"/>
    </row>
    <row r="147" spans="1:47">
      <c r="A147" s="2" t="str">
        <f>'Reference Score Calculation'!A138</f>
        <v>JS4094</v>
      </c>
      <c r="B147" s="364" t="str">
        <f>'Reference Score Calculation'!A138</f>
        <v>JS4094</v>
      </c>
      <c r="C147" s="2" t="str">
        <f>'Reference Score Calculation'!D138</f>
        <v>哲學</v>
      </c>
      <c r="D147" s="16">
        <f>'Reference Score Calculation'!T138</f>
        <v>19</v>
      </c>
      <c r="E147" s="16">
        <v>3</v>
      </c>
      <c r="F147" s="16">
        <v>3</v>
      </c>
      <c r="G147" s="16">
        <v>2</v>
      </c>
      <c r="H147" s="16">
        <v>2</v>
      </c>
      <c r="I147" s="16">
        <v>3</v>
      </c>
      <c r="J147" s="16">
        <v>3</v>
      </c>
      <c r="L147" s="92">
        <v>3</v>
      </c>
      <c r="M147" s="92">
        <v>3</v>
      </c>
      <c r="N147" s="92">
        <v>2</v>
      </c>
      <c r="O147" s="92">
        <v>1</v>
      </c>
      <c r="P147" s="92">
        <v>3</v>
      </c>
      <c r="Q147" s="92">
        <v>3</v>
      </c>
      <c r="S147" s="16">
        <f t="shared" si="78"/>
        <v>0</v>
      </c>
      <c r="T147" s="16">
        <f t="shared" si="79"/>
        <v>0</v>
      </c>
      <c r="U147" s="16">
        <f t="shared" si="80"/>
        <v>0</v>
      </c>
      <c r="V147" s="16">
        <f t="shared" si="81"/>
        <v>0</v>
      </c>
      <c r="W147" s="16">
        <f t="shared" si="82"/>
        <v>0</v>
      </c>
      <c r="X147" s="16">
        <f t="shared" si="83"/>
        <v>0</v>
      </c>
      <c r="Y147" s="16"/>
      <c r="Z147" s="16">
        <f t="shared" si="77"/>
        <v>0</v>
      </c>
      <c r="AA147" s="2"/>
      <c r="AB147" s="16" t="s">
        <v>432</v>
      </c>
      <c r="AC147" s="16" t="s">
        <v>433</v>
      </c>
      <c r="AD147" s="16" t="s">
        <v>434</v>
      </c>
      <c r="AE147" s="16" t="s">
        <v>434</v>
      </c>
      <c r="AF147" s="2" t="s">
        <v>435</v>
      </c>
      <c r="AG147" s="2" t="s">
        <v>435</v>
      </c>
      <c r="AH147" s="2"/>
      <c r="AI147" s="118" t="s">
        <v>474</v>
      </c>
      <c r="AJ147" s="163" t="s">
        <v>3036</v>
      </c>
      <c r="AK147" s="118"/>
      <c r="AL147" s="118"/>
      <c r="AM147" s="118"/>
      <c r="AN147" s="118"/>
      <c r="AO147" s="118"/>
      <c r="AP147" s="104"/>
      <c r="AQ147" s="104"/>
      <c r="AR147" s="104"/>
      <c r="AS147" s="104"/>
      <c r="AT147" s="104"/>
      <c r="AU147" s="104"/>
    </row>
    <row r="148" spans="1:47">
      <c r="A148" s="2" t="str">
        <f>'Reference Score Calculation'!A139</f>
        <v>JS4109</v>
      </c>
      <c r="B148" s="364" t="str">
        <f>'Reference Score Calculation'!A139</f>
        <v>JS4109</v>
      </c>
      <c r="C148" s="2" t="str">
        <f>'Reference Score Calculation'!D139</f>
        <v>宗教研究</v>
      </c>
      <c r="D148" s="16" t="str">
        <f>'Reference Score Calculation'!T139</f>
        <v>18*</v>
      </c>
      <c r="E148" s="16">
        <v>3</v>
      </c>
      <c r="F148" s="16">
        <v>3</v>
      </c>
      <c r="G148" s="16">
        <v>2</v>
      </c>
      <c r="H148" s="16">
        <v>2</v>
      </c>
      <c r="I148" s="16">
        <v>3</v>
      </c>
      <c r="J148" s="16">
        <v>3</v>
      </c>
      <c r="L148" s="92">
        <v>3</v>
      </c>
      <c r="M148" s="92">
        <v>3</v>
      </c>
      <c r="N148" s="92">
        <v>2</v>
      </c>
      <c r="O148" s="92">
        <v>1</v>
      </c>
      <c r="P148" s="92">
        <v>3</v>
      </c>
      <c r="Q148" s="92">
        <v>3</v>
      </c>
      <c r="S148" s="16">
        <f t="shared" si="78"/>
        <v>0</v>
      </c>
      <c r="T148" s="16">
        <f t="shared" si="79"/>
        <v>0</v>
      </c>
      <c r="U148" s="16">
        <f t="shared" si="80"/>
        <v>0</v>
      </c>
      <c r="V148" s="16">
        <f t="shared" si="81"/>
        <v>0</v>
      </c>
      <c r="W148" s="16">
        <f t="shared" si="82"/>
        <v>0</v>
      </c>
      <c r="X148" s="16">
        <f t="shared" si="83"/>
        <v>0</v>
      </c>
      <c r="Y148" s="16"/>
      <c r="Z148" s="16">
        <f t="shared" si="77"/>
        <v>0</v>
      </c>
      <c r="AA148" s="2"/>
      <c r="AB148" s="16" t="s">
        <v>432</v>
      </c>
      <c r="AC148" s="16" t="s">
        <v>433</v>
      </c>
      <c r="AD148" s="16" t="s">
        <v>434</v>
      </c>
      <c r="AE148" s="16" t="s">
        <v>463</v>
      </c>
      <c r="AF148" s="2" t="s">
        <v>435</v>
      </c>
      <c r="AG148" s="2" t="s">
        <v>435</v>
      </c>
      <c r="AH148" s="2"/>
      <c r="AI148" s="118"/>
      <c r="AJ148" s="118"/>
      <c r="AK148" s="118"/>
      <c r="AL148" s="118"/>
      <c r="AM148" s="118"/>
      <c r="AN148" s="118"/>
      <c r="AO148" s="118"/>
      <c r="AP148" s="104"/>
      <c r="AQ148" s="104"/>
      <c r="AR148" s="104"/>
      <c r="AS148" s="104"/>
      <c r="AT148" s="104"/>
      <c r="AU148" s="104"/>
    </row>
    <row r="149" spans="1:47">
      <c r="A149" s="2" t="str">
        <f>'Reference Score Calculation'!A140</f>
        <v>JS4111</v>
      </c>
      <c r="B149" s="364" t="str">
        <f>'Reference Score Calculation'!A140</f>
        <v>JS4111</v>
      </c>
      <c r="C149" s="2" t="str">
        <f>'Reference Score Calculation'!D140</f>
        <v>神學</v>
      </c>
      <c r="D149" s="16" t="str">
        <f>'Reference Score Calculation'!T140</f>
        <v>18*</v>
      </c>
      <c r="E149" s="16">
        <v>3</v>
      </c>
      <c r="F149" s="16">
        <v>3</v>
      </c>
      <c r="G149" s="16">
        <v>2</v>
      </c>
      <c r="H149" s="16">
        <v>2</v>
      </c>
      <c r="I149" s="16">
        <v>3</v>
      </c>
      <c r="J149" s="16">
        <v>3</v>
      </c>
      <c r="L149" s="92">
        <v>3</v>
      </c>
      <c r="M149" s="92">
        <v>3</v>
      </c>
      <c r="N149" s="92">
        <v>2</v>
      </c>
      <c r="O149" s="92">
        <v>1</v>
      </c>
      <c r="P149" s="92">
        <v>3</v>
      </c>
      <c r="Q149" s="92">
        <v>3</v>
      </c>
      <c r="S149" s="16">
        <f t="shared" si="78"/>
        <v>0</v>
      </c>
      <c r="T149" s="16">
        <f t="shared" si="79"/>
        <v>0</v>
      </c>
      <c r="U149" s="16">
        <f t="shared" si="80"/>
        <v>0</v>
      </c>
      <c r="V149" s="16">
        <f t="shared" si="81"/>
        <v>0</v>
      </c>
      <c r="W149" s="16">
        <f t="shared" si="82"/>
        <v>0</v>
      </c>
      <c r="X149" s="16">
        <f t="shared" si="83"/>
        <v>0</v>
      </c>
      <c r="Y149" s="16"/>
      <c r="Z149" s="16">
        <f t="shared" si="77"/>
        <v>0</v>
      </c>
      <c r="AA149" s="2"/>
      <c r="AB149" s="16" t="s">
        <v>432</v>
      </c>
      <c r="AC149" s="16" t="s">
        <v>433</v>
      </c>
      <c r="AD149" s="16" t="s">
        <v>434</v>
      </c>
      <c r="AE149" s="16" t="s">
        <v>432</v>
      </c>
      <c r="AF149" s="2" t="s">
        <v>435</v>
      </c>
      <c r="AG149" s="2" t="s">
        <v>435</v>
      </c>
      <c r="AH149" s="2"/>
      <c r="AI149" s="118"/>
      <c r="AJ149" s="118"/>
      <c r="AK149" s="118"/>
      <c r="AL149" s="118"/>
      <c r="AM149" s="118"/>
      <c r="AN149" s="118"/>
      <c r="AO149" s="118"/>
      <c r="AP149" s="104"/>
      <c r="AQ149" s="104"/>
      <c r="AR149" s="104"/>
      <c r="AS149" s="104"/>
      <c r="AT149" s="104"/>
      <c r="AU149" s="104"/>
    </row>
    <row r="150" spans="1:47">
      <c r="A150" s="2" t="str">
        <f>'Reference Score Calculation'!A141</f>
        <v>JS4123</v>
      </c>
      <c r="B150" s="364" t="str">
        <f>'Reference Score Calculation'!A141</f>
        <v>JS4123</v>
      </c>
      <c r="C150" s="2" t="str">
        <f>'Reference Score Calculation'!D141</f>
        <v>翻譯</v>
      </c>
      <c r="D150" s="16">
        <f>'Reference Score Calculation'!T141</f>
        <v>32</v>
      </c>
      <c r="E150" s="16">
        <v>3</v>
      </c>
      <c r="F150" s="16">
        <v>3</v>
      </c>
      <c r="G150" s="16">
        <v>2</v>
      </c>
      <c r="H150" s="16">
        <v>2</v>
      </c>
      <c r="I150" s="16">
        <v>3</v>
      </c>
      <c r="J150" s="16">
        <v>3</v>
      </c>
      <c r="L150" s="92">
        <v>3</v>
      </c>
      <c r="M150" s="92">
        <v>3</v>
      </c>
      <c r="N150" s="92">
        <v>2</v>
      </c>
      <c r="O150" s="92">
        <v>1</v>
      </c>
      <c r="P150" s="92">
        <v>3</v>
      </c>
      <c r="Q150" s="92">
        <v>3</v>
      </c>
      <c r="S150" s="16">
        <f t="shared" si="78"/>
        <v>0</v>
      </c>
      <c r="T150" s="16">
        <f t="shared" si="79"/>
        <v>0</v>
      </c>
      <c r="U150" s="16">
        <f t="shared" si="80"/>
        <v>0</v>
      </c>
      <c r="V150" s="16">
        <f t="shared" si="81"/>
        <v>0</v>
      </c>
      <c r="W150" s="16">
        <f t="shared" si="82"/>
        <v>0</v>
      </c>
      <c r="X150" s="16">
        <f t="shared" si="83"/>
        <v>0</v>
      </c>
      <c r="Y150" s="16"/>
      <c r="Z150" s="16">
        <f t="shared" si="77"/>
        <v>0</v>
      </c>
      <c r="AA150" s="2"/>
      <c r="AB150" s="16" t="s">
        <v>432</v>
      </c>
      <c r="AC150" s="16" t="s">
        <v>433</v>
      </c>
      <c r="AD150" s="16" t="s">
        <v>434</v>
      </c>
      <c r="AE150" s="16" t="s">
        <v>434</v>
      </c>
      <c r="AF150" s="2" t="s">
        <v>435</v>
      </c>
      <c r="AG150" s="2" t="s">
        <v>435</v>
      </c>
      <c r="AH150" s="2"/>
      <c r="AI150" s="118"/>
      <c r="AJ150" s="118" t="str">
        <f>Q2</f>
        <v>請選擇第一選修科</v>
      </c>
      <c r="AK150" s="118" t="str">
        <f>R2</f>
        <v>請選擇第二選修科</v>
      </c>
      <c r="AL150" s="118" t="str">
        <f>S2</f>
        <v>請選擇第三選修科</v>
      </c>
      <c r="AM150" s="118" t="str">
        <f>T2</f>
        <v>請選擇第四選修科</v>
      </c>
      <c r="AN150" s="118" t="str">
        <f>P2</f>
        <v>數學延伸</v>
      </c>
      <c r="AO150" s="104"/>
      <c r="AP150" s="118" t="s">
        <v>471</v>
      </c>
      <c r="AQ150" s="118"/>
      <c r="AR150" s="104"/>
      <c r="AS150" s="103" t="s">
        <v>3038</v>
      </c>
      <c r="AT150" s="104"/>
      <c r="AU150" s="104"/>
    </row>
    <row r="151" spans="1:47">
      <c r="A151" s="2" t="str">
        <f>'Reference Score Calculation'!A142</f>
        <v>JS4136</v>
      </c>
      <c r="B151" s="364" t="str">
        <f>'Reference Score Calculation'!A142</f>
        <v>JS4136</v>
      </c>
      <c r="C151" s="2" t="str">
        <f>'Reference Score Calculation'!D142</f>
        <v>中國研究</v>
      </c>
      <c r="D151" s="16">
        <f>'Reference Score Calculation'!T142</f>
        <v>10</v>
      </c>
      <c r="E151" s="16">
        <v>3</v>
      </c>
      <c r="F151" s="16">
        <v>3</v>
      </c>
      <c r="G151" s="16">
        <v>2</v>
      </c>
      <c r="H151" s="16">
        <v>2</v>
      </c>
      <c r="I151" s="16">
        <v>3</v>
      </c>
      <c r="J151" s="16">
        <v>3</v>
      </c>
      <c r="L151" s="92">
        <v>3</v>
      </c>
      <c r="M151" s="92">
        <v>3</v>
      </c>
      <c r="N151" s="92">
        <v>2</v>
      </c>
      <c r="O151" s="92">
        <v>1</v>
      </c>
      <c r="P151" s="92">
        <v>3</v>
      </c>
      <c r="Q151" s="92">
        <v>3</v>
      </c>
      <c r="S151" s="16">
        <f t="shared" si="78"/>
        <v>0</v>
      </c>
      <c r="T151" s="16">
        <f t="shared" si="79"/>
        <v>0</v>
      </c>
      <c r="U151" s="16">
        <f t="shared" si="80"/>
        <v>0</v>
      </c>
      <c r="V151" s="16">
        <f t="shared" si="81"/>
        <v>0</v>
      </c>
      <c r="W151" s="16">
        <f t="shared" si="82"/>
        <v>0</v>
      </c>
      <c r="X151" s="16">
        <f t="shared" si="83"/>
        <v>0</v>
      </c>
      <c r="Y151" s="16"/>
      <c r="Z151" s="16">
        <f t="shared" si="77"/>
        <v>0</v>
      </c>
      <c r="AA151" s="2"/>
      <c r="AB151" s="16" t="s">
        <v>432</v>
      </c>
      <c r="AC151" s="16" t="s">
        <v>433</v>
      </c>
      <c r="AD151" s="16" t="s">
        <v>434</v>
      </c>
      <c r="AE151" s="16" t="s">
        <v>463</v>
      </c>
      <c r="AF151" s="2" t="s">
        <v>435</v>
      </c>
      <c r="AG151" s="2" t="s">
        <v>435</v>
      </c>
      <c r="AH151" s="2"/>
      <c r="AI151" s="118" t="s">
        <v>476</v>
      </c>
      <c r="AJ151" s="119">
        <f>IF(OR(Q2="物理",Q2="化學",Q2="生物",Q2="資訊及通訊科技",Q2="設計與應用科技"),Q3,0)</f>
        <v>0</v>
      </c>
      <c r="AK151" s="119">
        <f>IF(OR(R2="物理",R2="化學",R2="生物",R2="資訊及通訊科技",R2="設計與應用科技"),R3,0)</f>
        <v>0</v>
      </c>
      <c r="AL151" s="119">
        <f>IF(OR(S2="物理",S2="化學",S2="生物",S2="資訊及通訊科技",S2="設計與應用科技"),S3,0)</f>
        <v>0</v>
      </c>
      <c r="AM151" s="119">
        <f>IF(OR(T2="物理",T2="化學",T2="生物",T2="資訊及通訊科技",T2="設計與應用科技"),T3,0)</f>
        <v>0</v>
      </c>
      <c r="AN151" s="119">
        <f>P3</f>
        <v>5.0000000000000003E-10</v>
      </c>
      <c r="AO151" s="118"/>
      <c r="AP151" s="119" t="str">
        <f>IF(AQ151&gt;0,INDEX(AJ150:AN150,MATCH(LARGE(AJ151:AN151,1),AJ151:AN151,0)),"無")</f>
        <v>數學延伸</v>
      </c>
      <c r="AQ151" s="119">
        <f>LARGE((AJ151:AN151),1)</f>
        <v>5.0000000000000003E-10</v>
      </c>
      <c r="AR151" s="104"/>
      <c r="AS151" s="119" t="str">
        <f>IF(AT151&gt;0,INDEX(AJ150:AN150,MATCH(AT151,AJ151:AN151,0)),"無")</f>
        <v>無</v>
      </c>
      <c r="AT151" s="119">
        <f>IF(AP151=AP155,LARGE((AJ151:AN151),2),LARGE((AJ151:AN151),1))</f>
        <v>0</v>
      </c>
      <c r="AU151" s="104"/>
    </row>
    <row r="152" spans="1:47">
      <c r="A152" s="2" t="str">
        <f>'Reference Score Calculation'!A143</f>
        <v>JS4202</v>
      </c>
      <c r="B152" s="364" t="str">
        <f>'Reference Score Calculation'!A143</f>
        <v>JS4202</v>
      </c>
      <c r="C152" s="2" t="str">
        <f>'Reference Score Calculation'!D143</f>
        <v>工商管理學士綜合課程</v>
      </c>
      <c r="D152" s="16">
        <f>'Reference Score Calculation'!T143</f>
        <v>222</v>
      </c>
      <c r="E152" s="16">
        <v>3</v>
      </c>
      <c r="F152" s="16">
        <v>3</v>
      </c>
      <c r="G152" s="16">
        <v>2</v>
      </c>
      <c r="H152" s="16">
        <v>2</v>
      </c>
      <c r="I152" s="16">
        <v>3</v>
      </c>
      <c r="J152" s="16">
        <v>3</v>
      </c>
      <c r="L152" s="92">
        <v>3</v>
      </c>
      <c r="M152" s="92">
        <v>3</v>
      </c>
      <c r="N152" s="92">
        <v>2</v>
      </c>
      <c r="O152" s="92">
        <v>1</v>
      </c>
      <c r="P152" s="92">
        <v>3</v>
      </c>
      <c r="Q152" s="92">
        <v>3</v>
      </c>
      <c r="S152" s="16">
        <f t="shared" si="78"/>
        <v>0</v>
      </c>
      <c r="T152" s="16">
        <f t="shared" si="79"/>
        <v>0</v>
      </c>
      <c r="U152" s="16">
        <f t="shared" si="80"/>
        <v>0</v>
      </c>
      <c r="V152" s="16">
        <f t="shared" si="81"/>
        <v>0</v>
      </c>
      <c r="W152" s="16">
        <f t="shared" si="82"/>
        <v>0</v>
      </c>
      <c r="X152" s="16">
        <f t="shared" si="83"/>
        <v>0</v>
      </c>
      <c r="Y152" s="16"/>
      <c r="Z152" s="16">
        <f t="shared" si="77"/>
        <v>0</v>
      </c>
      <c r="AA152" s="2"/>
      <c r="AB152" s="16" t="s">
        <v>432</v>
      </c>
      <c r="AC152" s="16" t="s">
        <v>433</v>
      </c>
      <c r="AD152" s="16" t="s">
        <v>434</v>
      </c>
      <c r="AE152" s="16" t="s">
        <v>434</v>
      </c>
      <c r="AF152" s="2" t="s">
        <v>435</v>
      </c>
      <c r="AG152" s="2" t="s">
        <v>435</v>
      </c>
      <c r="AH152" s="2"/>
      <c r="AI152" s="118" t="s">
        <v>477</v>
      </c>
      <c r="AJ152" s="163" t="s">
        <v>2998</v>
      </c>
      <c r="AK152" s="118"/>
      <c r="AL152" s="118"/>
      <c r="AM152" s="118"/>
      <c r="AN152" s="118"/>
      <c r="AO152" s="118"/>
      <c r="AP152" s="104"/>
      <c r="AQ152" s="104"/>
      <c r="AR152" s="104"/>
      <c r="AS152" s="104"/>
      <c r="AT152" s="104"/>
      <c r="AU152" s="104"/>
    </row>
    <row r="153" spans="1:47">
      <c r="A153" s="2" t="str">
        <f>'Reference Score Calculation'!A144</f>
        <v>JS4214</v>
      </c>
      <c r="B153" s="364" t="str">
        <f>'Reference Score Calculation'!A144</f>
        <v>JS4214</v>
      </c>
      <c r="C153" s="2" t="str">
        <f>'Reference Score Calculation'!D144</f>
        <v>環球商業學</v>
      </c>
      <c r="D153" s="16">
        <f>'Reference Score Calculation'!T144</f>
        <v>15</v>
      </c>
      <c r="E153" s="16">
        <v>4</v>
      </c>
      <c r="F153" s="16">
        <v>5</v>
      </c>
      <c r="G153" s="16">
        <v>3</v>
      </c>
      <c r="H153" s="16">
        <v>3</v>
      </c>
      <c r="I153" s="16">
        <v>3</v>
      </c>
      <c r="J153" s="16">
        <v>3</v>
      </c>
      <c r="L153" s="92">
        <v>4</v>
      </c>
      <c r="M153" s="92">
        <v>5</v>
      </c>
      <c r="N153" s="92">
        <v>3</v>
      </c>
      <c r="O153" s="92">
        <v>1</v>
      </c>
      <c r="P153" s="92">
        <v>3</v>
      </c>
      <c r="Q153" s="92">
        <v>3</v>
      </c>
      <c r="S153" s="16">
        <f t="shared" si="78"/>
        <v>0</v>
      </c>
      <c r="T153" s="16">
        <f t="shared" si="79"/>
        <v>0</v>
      </c>
      <c r="U153" s="16">
        <f t="shared" si="80"/>
        <v>0</v>
      </c>
      <c r="V153" s="16">
        <f t="shared" si="81"/>
        <v>0</v>
      </c>
      <c r="W153" s="16">
        <f>IF(P153&gt;LARGE($P$3:$U$3,1),0,1)</f>
        <v>0</v>
      </c>
      <c r="X153" s="16">
        <f t="shared" si="83"/>
        <v>0</v>
      </c>
      <c r="Y153" s="16"/>
      <c r="Z153" s="16">
        <f>IF(S153*T153*U153*V153*W153*X153=0,0,2)</f>
        <v>0</v>
      </c>
      <c r="AA153" s="2"/>
      <c r="AB153" s="16" t="s">
        <v>432</v>
      </c>
      <c r="AC153" s="16" t="s">
        <v>433</v>
      </c>
      <c r="AD153" s="16" t="s">
        <v>434</v>
      </c>
      <c r="AE153" s="16" t="s">
        <v>434</v>
      </c>
      <c r="AF153" s="2" t="s">
        <v>481</v>
      </c>
      <c r="AG153" s="2" t="s">
        <v>482</v>
      </c>
      <c r="AH153" s="2" t="s">
        <v>435</v>
      </c>
      <c r="AI153" s="118"/>
      <c r="AJ153" s="118"/>
      <c r="AK153" s="118"/>
      <c r="AL153" s="118"/>
      <c r="AM153" s="118"/>
      <c r="AN153" s="118"/>
      <c r="AO153" s="118"/>
      <c r="AP153" s="104"/>
      <c r="AQ153" s="104"/>
      <c r="AR153" s="104"/>
      <c r="AS153" s="104"/>
      <c r="AT153" s="104"/>
      <c r="AU153" s="104"/>
    </row>
    <row r="154" spans="1:47">
      <c r="A154" s="2" t="str">
        <f>'Reference Score Calculation'!A145</f>
        <v>JS4226</v>
      </c>
      <c r="B154" s="364" t="str">
        <f>'Reference Score Calculation'!A145</f>
        <v>JS4226</v>
      </c>
      <c r="C154" s="2" t="str">
        <f>'Reference Score Calculation'!D145</f>
        <v>酒店旅遊及房地產</v>
      </c>
      <c r="D154" s="16">
        <f>'Reference Score Calculation'!T145</f>
        <v>60</v>
      </c>
      <c r="E154" s="16">
        <v>3</v>
      </c>
      <c r="F154" s="16">
        <v>3</v>
      </c>
      <c r="G154" s="16">
        <v>2</v>
      </c>
      <c r="H154" s="16">
        <v>2</v>
      </c>
      <c r="I154" s="16">
        <v>3</v>
      </c>
      <c r="J154" s="16">
        <v>3</v>
      </c>
      <c r="L154" s="92">
        <v>3</v>
      </c>
      <c r="M154" s="92">
        <v>3</v>
      </c>
      <c r="N154" s="92">
        <v>2</v>
      </c>
      <c r="O154" s="92">
        <v>1</v>
      </c>
      <c r="P154" s="92">
        <v>3</v>
      </c>
      <c r="Q154" s="92">
        <v>3</v>
      </c>
      <c r="S154" s="16">
        <f t="shared" si="78"/>
        <v>0</v>
      </c>
      <c r="T154" s="16">
        <f t="shared" si="79"/>
        <v>0</v>
      </c>
      <c r="U154" s="16">
        <f t="shared" si="80"/>
        <v>0</v>
      </c>
      <c r="V154" s="16">
        <f t="shared" si="81"/>
        <v>0</v>
      </c>
      <c r="W154" s="16">
        <f t="shared" si="82"/>
        <v>0</v>
      </c>
      <c r="X154" s="16">
        <f t="shared" si="83"/>
        <v>0</v>
      </c>
      <c r="Y154" s="16"/>
      <c r="Z154" s="16">
        <f t="shared" si="77"/>
        <v>0</v>
      </c>
      <c r="AA154" s="2"/>
      <c r="AB154" s="16" t="s">
        <v>432</v>
      </c>
      <c r="AC154" s="16" t="s">
        <v>433</v>
      </c>
      <c r="AD154" s="16" t="s">
        <v>434</v>
      </c>
      <c r="AE154" s="16" t="s">
        <v>432</v>
      </c>
      <c r="AF154" s="2" t="s">
        <v>435</v>
      </c>
      <c r="AG154" s="2" t="s">
        <v>435</v>
      </c>
      <c r="AH154" s="2"/>
      <c r="AI154" s="118"/>
      <c r="AJ154" s="118" t="str">
        <f>Q2</f>
        <v>請選擇第一選修科</v>
      </c>
      <c r="AK154" s="118" t="str">
        <f>R2</f>
        <v>請選擇第二選修科</v>
      </c>
      <c r="AL154" s="118" t="str">
        <f>S2</f>
        <v>請選擇第三選修科</v>
      </c>
      <c r="AM154" s="118" t="str">
        <f>T2</f>
        <v>請選擇第四選修科</v>
      </c>
      <c r="AN154" s="118" t="str">
        <f>P2</f>
        <v>數學延伸</v>
      </c>
      <c r="AO154" s="104"/>
      <c r="AP154" s="118" t="s">
        <v>471</v>
      </c>
      <c r="AQ154" s="118"/>
      <c r="AR154" s="104"/>
      <c r="AS154" s="103" t="s">
        <v>3043</v>
      </c>
      <c r="AT154" s="104"/>
      <c r="AU154" s="104"/>
    </row>
    <row r="155" spans="1:47">
      <c r="A155" s="2" t="str">
        <f>'Reference Score Calculation'!A146</f>
        <v>JS4238</v>
      </c>
      <c r="B155" s="364" t="str">
        <f>'Reference Score Calculation'!A146</f>
        <v>JS4238</v>
      </c>
      <c r="C155" s="2" t="str">
        <f>'Reference Score Calculation'!D146</f>
        <v>保險、金融與精算學</v>
      </c>
      <c r="D155" s="16">
        <f>'Reference Score Calculation'!T146</f>
        <v>45</v>
      </c>
      <c r="E155" s="16">
        <v>3</v>
      </c>
      <c r="F155" s="16">
        <v>3</v>
      </c>
      <c r="G155" s="16">
        <v>5</v>
      </c>
      <c r="H155" s="16">
        <v>2</v>
      </c>
      <c r="I155" s="16">
        <v>3</v>
      </c>
      <c r="J155" s="16">
        <v>3</v>
      </c>
      <c r="L155" s="92">
        <v>3</v>
      </c>
      <c r="M155" s="92">
        <v>3</v>
      </c>
      <c r="N155" s="92">
        <v>5</v>
      </c>
      <c r="O155" s="92">
        <v>1</v>
      </c>
      <c r="P155" s="92">
        <v>3</v>
      </c>
      <c r="Q155" s="92">
        <v>3</v>
      </c>
      <c r="S155" s="16">
        <f t="shared" si="78"/>
        <v>0</v>
      </c>
      <c r="T155" s="16">
        <f t="shared" si="79"/>
        <v>0</v>
      </c>
      <c r="U155" s="73">
        <f>AN139</f>
        <v>0</v>
      </c>
      <c r="V155" s="16">
        <f t="shared" si="81"/>
        <v>0</v>
      </c>
      <c r="W155" s="16">
        <f>IF(P155&gt;LARGE($P$3:$U$3,1),0,1)</f>
        <v>0</v>
      </c>
      <c r="X155" s="73">
        <f>IF(AN139=2,AO139,IF(Q155&gt;LARGE($P$3:$U$3,2),0,1))</f>
        <v>0</v>
      </c>
      <c r="Y155" s="16"/>
      <c r="Z155" s="16">
        <f t="shared" si="77"/>
        <v>0</v>
      </c>
      <c r="AA155" s="2"/>
      <c r="AB155" s="16" t="s">
        <v>432</v>
      </c>
      <c r="AC155" s="16" t="s">
        <v>433</v>
      </c>
      <c r="AD155" s="16" t="s">
        <v>434</v>
      </c>
      <c r="AE155" s="16" t="s">
        <v>432</v>
      </c>
      <c r="AF155" s="2" t="s">
        <v>483</v>
      </c>
      <c r="AG155" s="2" t="s">
        <v>435</v>
      </c>
      <c r="AH155" s="2"/>
      <c r="AI155" s="118" t="s">
        <v>479</v>
      </c>
      <c r="AJ155" s="119">
        <f>IF(OR(Q2="物理",Q2="化學",Q2="生物",Q2="資訊及通訊科技"),Q3,0)</f>
        <v>0</v>
      </c>
      <c r="AK155" s="119">
        <f>IF(OR(R2="物理",R2="化學",R2="生物",R2="資訊及通訊科技"),R3,0)</f>
        <v>0</v>
      </c>
      <c r="AL155" s="119">
        <f>IF(OR(S2="物理",S2="化學",S2="生物",S2="資訊及通訊科技"),S3,0)</f>
        <v>0</v>
      </c>
      <c r="AM155" s="119">
        <f>IF(OR(T2="物理",T2="化學",T2="生物",T2="資訊及通訊科技"),T3,0)</f>
        <v>0</v>
      </c>
      <c r="AN155" s="119">
        <f>P3</f>
        <v>5.0000000000000003E-10</v>
      </c>
      <c r="AO155" s="118"/>
      <c r="AP155" s="119" t="str">
        <f>IF(AQ155&gt;0,INDEX(AJ154:AN154,MATCH(LARGE(AJ155:AN155,1),AJ155:AN155,0)),"無")</f>
        <v>數學延伸</v>
      </c>
      <c r="AQ155" s="119">
        <f>LARGE((AJ155:AN155),1)</f>
        <v>5.0000000000000003E-10</v>
      </c>
      <c r="AR155" s="104"/>
      <c r="AS155" s="21" t="str">
        <f>IF(AT155&gt;0,INDEX(AJ154:AM154,MATCH(AT155,AJ155:AM155,0)),"無")</f>
        <v>無</v>
      </c>
      <c r="AT155" s="121">
        <f>LARGE((AJ155:AM155),1)</f>
        <v>0</v>
      </c>
      <c r="AU155" s="104"/>
    </row>
    <row r="156" spans="1:47">
      <c r="A156" s="2" t="str">
        <f>'Reference Score Calculation'!A147</f>
        <v>JS4240</v>
      </c>
      <c r="B156" s="364" t="str">
        <f>'Reference Score Calculation'!A147</f>
        <v>JS4240</v>
      </c>
      <c r="C156" s="2" t="str">
        <f>'Reference Score Calculation'!D147</f>
        <v>專業會計學</v>
      </c>
      <c r="D156" s="16">
        <f>'Reference Score Calculation'!T147</f>
        <v>126</v>
      </c>
      <c r="E156" s="16">
        <v>3</v>
      </c>
      <c r="F156" s="16">
        <v>3</v>
      </c>
      <c r="G156" s="16">
        <v>3</v>
      </c>
      <c r="H156" s="16">
        <v>2</v>
      </c>
      <c r="I156" s="16">
        <v>3</v>
      </c>
      <c r="J156" s="16">
        <v>3</v>
      </c>
      <c r="L156" s="92">
        <v>3</v>
      </c>
      <c r="M156" s="92">
        <v>3</v>
      </c>
      <c r="N156" s="92">
        <v>3</v>
      </c>
      <c r="O156" s="92">
        <v>1</v>
      </c>
      <c r="P156" s="92">
        <v>3</v>
      </c>
      <c r="Q156" s="92">
        <v>3</v>
      </c>
      <c r="S156" s="16">
        <f t="shared" si="78"/>
        <v>0</v>
      </c>
      <c r="T156" s="16">
        <f t="shared" si="79"/>
        <v>0</v>
      </c>
      <c r="U156" s="16">
        <f t="shared" si="80"/>
        <v>0</v>
      </c>
      <c r="V156" s="16">
        <f t="shared" si="81"/>
        <v>0</v>
      </c>
      <c r="W156" s="16">
        <f t="shared" si="82"/>
        <v>0</v>
      </c>
      <c r="X156" s="16">
        <f>IF(Q156&gt;LARGE($P$3:$U$3,2),0,1)</f>
        <v>0</v>
      </c>
      <c r="Y156" s="16"/>
      <c r="Z156" s="16">
        <f t="shared" si="77"/>
        <v>0</v>
      </c>
      <c r="AA156" s="2"/>
      <c r="AB156" s="16" t="s">
        <v>432</v>
      </c>
      <c r="AC156" s="16" t="s">
        <v>433</v>
      </c>
      <c r="AD156" s="16" t="s">
        <v>434</v>
      </c>
      <c r="AE156" s="16" t="s">
        <v>432</v>
      </c>
      <c r="AF156" s="2" t="s">
        <v>435</v>
      </c>
      <c r="AG156" s="2" t="s">
        <v>435</v>
      </c>
      <c r="AH156" s="2"/>
      <c r="AI156" s="118" t="s">
        <v>472</v>
      </c>
      <c r="AJ156" s="163" t="s">
        <v>3010</v>
      </c>
      <c r="AK156" s="118"/>
      <c r="AL156" s="118"/>
      <c r="AM156" s="118"/>
      <c r="AN156" s="118"/>
      <c r="AO156" s="118"/>
      <c r="AP156" s="104"/>
      <c r="AQ156" s="104"/>
      <c r="AR156" s="104"/>
      <c r="AS156" s="103" t="s">
        <v>3044</v>
      </c>
      <c r="AT156" s="104"/>
      <c r="AU156" s="104"/>
    </row>
    <row r="157" spans="1:47">
      <c r="A157" s="2" t="str">
        <f>'Reference Score Calculation'!A148</f>
        <v>JS4252</v>
      </c>
      <c r="B157" s="364" t="str">
        <f>'Reference Score Calculation'!A148</f>
        <v>JS4252</v>
      </c>
      <c r="C157" s="2" t="str">
        <f>'Reference Score Calculation'!D148</f>
        <v>計量金融學</v>
      </c>
      <c r="D157" s="16">
        <f>'Reference Score Calculation'!T148</f>
        <v>37</v>
      </c>
      <c r="E157" s="16">
        <v>3</v>
      </c>
      <c r="F157" s="16">
        <v>3</v>
      </c>
      <c r="G157" s="16">
        <v>3</v>
      </c>
      <c r="H157" s="16">
        <v>2</v>
      </c>
      <c r="I157" s="16">
        <v>3</v>
      </c>
      <c r="J157" s="16">
        <v>3</v>
      </c>
      <c r="L157" s="92">
        <v>3</v>
      </c>
      <c r="M157" s="92">
        <v>3</v>
      </c>
      <c r="N157" s="92">
        <v>3</v>
      </c>
      <c r="O157" s="92">
        <v>1</v>
      </c>
      <c r="P157" s="92">
        <v>3</v>
      </c>
      <c r="Q157" s="92">
        <v>3</v>
      </c>
      <c r="S157" s="16">
        <f t="shared" si="78"/>
        <v>0</v>
      </c>
      <c r="T157" s="16">
        <f t="shared" si="79"/>
        <v>0</v>
      </c>
      <c r="U157" s="16">
        <f t="shared" si="80"/>
        <v>0</v>
      </c>
      <c r="V157" s="16">
        <f t="shared" si="81"/>
        <v>0</v>
      </c>
      <c r="W157" s="16">
        <f t="shared" si="82"/>
        <v>0</v>
      </c>
      <c r="X157" s="16">
        <f t="shared" ref="X157:X163" si="85">IF(Q157&gt;LARGE($P$3:$U$3,2),0,1)</f>
        <v>0</v>
      </c>
      <c r="Y157" s="16"/>
      <c r="Z157" s="16">
        <f t="shared" si="77"/>
        <v>0</v>
      </c>
      <c r="AA157" s="2"/>
      <c r="AB157" s="16" t="s">
        <v>432</v>
      </c>
      <c r="AC157" s="16" t="s">
        <v>433</v>
      </c>
      <c r="AD157" s="16" t="s">
        <v>434</v>
      </c>
      <c r="AE157" s="16" t="s">
        <v>432</v>
      </c>
      <c r="AF157" s="2" t="s">
        <v>435</v>
      </c>
      <c r="AG157" s="2" t="s">
        <v>435</v>
      </c>
      <c r="AH157" s="2"/>
      <c r="AI157" s="118"/>
      <c r="AJ157" s="118"/>
      <c r="AK157" s="118"/>
      <c r="AL157" s="118" t="s">
        <v>467</v>
      </c>
      <c r="AM157" s="104"/>
      <c r="AN157" s="104"/>
      <c r="AO157" s="104"/>
      <c r="AP157" s="104"/>
      <c r="AQ157" s="104"/>
      <c r="AR157" s="104"/>
      <c r="AS157" s="104"/>
      <c r="AT157" s="104"/>
      <c r="AU157" s="104"/>
    </row>
    <row r="158" spans="1:47">
      <c r="A158" s="2" t="str">
        <f>'Reference Score Calculation'!A149</f>
        <v>JS4254</v>
      </c>
      <c r="B158" s="364" t="str">
        <f>'Reference Score Calculation'!A149</f>
        <v>JS4254</v>
      </c>
      <c r="C158" s="2" t="str">
        <f>'Reference Score Calculation'!D149</f>
        <v>環球經濟與金融跨學科主修課程</v>
      </c>
      <c r="D158" s="16">
        <f>'Reference Score Calculation'!T149</f>
        <v>24</v>
      </c>
      <c r="E158" s="16">
        <v>4</v>
      </c>
      <c r="F158" s="16">
        <v>5</v>
      </c>
      <c r="G158" s="16">
        <v>3</v>
      </c>
      <c r="H158" s="16">
        <v>2</v>
      </c>
      <c r="I158" s="16">
        <v>3</v>
      </c>
      <c r="J158" s="16">
        <v>3</v>
      </c>
      <c r="L158" s="92">
        <v>4</v>
      </c>
      <c r="M158" s="92">
        <v>5</v>
      </c>
      <c r="N158" s="92">
        <v>3</v>
      </c>
      <c r="O158" s="92">
        <v>1</v>
      </c>
      <c r="P158" s="92">
        <v>3</v>
      </c>
      <c r="Q158" s="92">
        <v>3</v>
      </c>
      <c r="S158" s="16">
        <f t="shared" si="78"/>
        <v>0</v>
      </c>
      <c r="T158" s="16">
        <f t="shared" si="79"/>
        <v>0</v>
      </c>
      <c r="U158" s="16">
        <f t="shared" si="80"/>
        <v>0</v>
      </c>
      <c r="V158" s="16">
        <f t="shared" si="81"/>
        <v>0</v>
      </c>
      <c r="W158" s="16">
        <f t="shared" si="82"/>
        <v>0</v>
      </c>
      <c r="X158" s="16">
        <f t="shared" si="85"/>
        <v>0</v>
      </c>
      <c r="Y158" s="16"/>
      <c r="Z158" s="16">
        <f t="shared" si="77"/>
        <v>0</v>
      </c>
      <c r="AA158" s="2"/>
      <c r="AB158" s="16" t="s">
        <v>432</v>
      </c>
      <c r="AC158" s="16" t="s">
        <v>433</v>
      </c>
      <c r="AD158" s="16" t="s">
        <v>434</v>
      </c>
      <c r="AE158" s="16" t="s">
        <v>434</v>
      </c>
      <c r="AF158" s="2" t="s">
        <v>435</v>
      </c>
      <c r="AG158" s="2" t="s">
        <v>435</v>
      </c>
      <c r="AH158" s="2"/>
      <c r="AI158" s="118"/>
      <c r="AJ158" s="118" t="s">
        <v>468</v>
      </c>
      <c r="AK158" s="118"/>
      <c r="AL158" s="118" t="s">
        <v>19</v>
      </c>
      <c r="AM158" s="104"/>
      <c r="AN158" s="104"/>
      <c r="AO158" s="104"/>
      <c r="AP158" s="104"/>
      <c r="AQ158" s="104"/>
      <c r="AR158" s="104"/>
      <c r="AS158" s="104"/>
      <c r="AT158" s="104"/>
      <c r="AU158" s="104"/>
    </row>
    <row r="159" spans="1:47">
      <c r="A159" s="2" t="str">
        <f>'Reference Score Calculation'!A150</f>
        <v>JS4264</v>
      </c>
      <c r="B159" s="364" t="str">
        <f>'Reference Score Calculation'!A150</f>
        <v>JS4264</v>
      </c>
      <c r="C159" s="2" t="str">
        <f>'Reference Score Calculation'!D150</f>
        <v>工商管理學士（工商管理學士綜合課程）及法律博士雙學位課程</v>
      </c>
      <c r="D159" s="16">
        <f>'Reference Score Calculation'!T150</f>
        <v>25</v>
      </c>
      <c r="E159" s="16">
        <v>4</v>
      </c>
      <c r="F159" s="16">
        <v>5</v>
      </c>
      <c r="G159" s="16">
        <v>3</v>
      </c>
      <c r="H159" s="16">
        <v>3</v>
      </c>
      <c r="I159" s="16">
        <v>3</v>
      </c>
      <c r="J159" s="16">
        <v>3</v>
      </c>
      <c r="L159" s="92">
        <v>4</v>
      </c>
      <c r="M159" s="92">
        <v>5</v>
      </c>
      <c r="N159" s="92">
        <v>3</v>
      </c>
      <c r="O159" s="92">
        <v>1</v>
      </c>
      <c r="P159" s="92">
        <v>3</v>
      </c>
      <c r="Q159" s="92">
        <v>3</v>
      </c>
      <c r="S159" s="16">
        <f t="shared" si="78"/>
        <v>0</v>
      </c>
      <c r="T159" s="16">
        <f t="shared" si="79"/>
        <v>0</v>
      </c>
      <c r="U159" s="16">
        <f t="shared" si="80"/>
        <v>0</v>
      </c>
      <c r="V159" s="16">
        <f t="shared" si="81"/>
        <v>0</v>
      </c>
      <c r="W159" s="16">
        <f t="shared" si="82"/>
        <v>0</v>
      </c>
      <c r="X159" s="16">
        <f t="shared" si="85"/>
        <v>0</v>
      </c>
      <c r="Y159" s="16"/>
      <c r="Z159" s="16">
        <f t="shared" si="77"/>
        <v>0</v>
      </c>
      <c r="AA159" s="2"/>
      <c r="AB159" s="16" t="s">
        <v>432</v>
      </c>
      <c r="AC159" s="16" t="s">
        <v>433</v>
      </c>
      <c r="AD159" s="16" t="s">
        <v>434</v>
      </c>
      <c r="AE159" s="16" t="s">
        <v>434</v>
      </c>
      <c r="AF159" s="2" t="s">
        <v>435</v>
      </c>
      <c r="AG159" s="2" t="s">
        <v>435</v>
      </c>
      <c r="AH159" s="2"/>
      <c r="AI159" s="118" t="s">
        <v>484</v>
      </c>
      <c r="AJ159" s="119">
        <f>N3</f>
        <v>3E-10</v>
      </c>
      <c r="AK159" s="118"/>
      <c r="AL159" s="16">
        <f>IF(AJ159&lt;5,IF(AJ159&lt;4,0,2),1)</f>
        <v>0</v>
      </c>
      <c r="AM159" s="104"/>
      <c r="AN159" s="104"/>
      <c r="AO159" s="104"/>
      <c r="AP159" s="104"/>
      <c r="AQ159" s="104"/>
      <c r="AR159" s="104"/>
      <c r="AS159" s="104"/>
      <c r="AT159" s="104"/>
      <c r="AU159" s="104"/>
    </row>
    <row r="160" spans="1:47">
      <c r="A160" s="2" t="str">
        <f>'Reference Score Calculation'!A151</f>
        <v>JS4276</v>
      </c>
      <c r="B160" s="364" t="str">
        <f>'Reference Score Calculation'!A151</f>
        <v>JS4276</v>
      </c>
      <c r="C160" s="2" t="str">
        <f>'Reference Score Calculation'!D151</f>
        <v>計量金融學及風險管理科學</v>
      </c>
      <c r="D160" s="16">
        <f>'Reference Score Calculation'!T151</f>
        <v>20</v>
      </c>
      <c r="E160" s="16">
        <v>3</v>
      </c>
      <c r="F160" s="16">
        <v>3</v>
      </c>
      <c r="G160" s="16">
        <v>3</v>
      </c>
      <c r="H160" s="16">
        <v>2</v>
      </c>
      <c r="I160" s="16">
        <v>3</v>
      </c>
      <c r="J160" s="16">
        <v>3</v>
      </c>
      <c r="L160" s="92">
        <v>3</v>
      </c>
      <c r="M160" s="92">
        <v>3</v>
      </c>
      <c r="N160" s="92">
        <v>3</v>
      </c>
      <c r="O160" s="92">
        <v>1</v>
      </c>
      <c r="P160" s="92">
        <v>3</v>
      </c>
      <c r="Q160" s="92">
        <v>3</v>
      </c>
      <c r="S160" s="16">
        <f t="shared" si="78"/>
        <v>0</v>
      </c>
      <c r="T160" s="16">
        <f t="shared" si="79"/>
        <v>0</v>
      </c>
      <c r="U160" s="16">
        <f t="shared" si="80"/>
        <v>0</v>
      </c>
      <c r="V160" s="16">
        <f t="shared" si="81"/>
        <v>0</v>
      </c>
      <c r="W160" s="16">
        <f t="shared" si="82"/>
        <v>0</v>
      </c>
      <c r="X160" s="16">
        <f t="shared" si="85"/>
        <v>0</v>
      </c>
      <c r="Y160" s="16"/>
      <c r="Z160" s="16">
        <f t="shared" si="77"/>
        <v>0</v>
      </c>
      <c r="AA160" s="2"/>
      <c r="AB160" s="16" t="s">
        <v>432</v>
      </c>
      <c r="AC160" s="16" t="s">
        <v>433</v>
      </c>
      <c r="AD160" s="16" t="s">
        <v>434</v>
      </c>
      <c r="AE160" s="16" t="s">
        <v>432</v>
      </c>
      <c r="AF160" s="2" t="s">
        <v>435</v>
      </c>
      <c r="AG160" s="2" t="s">
        <v>435</v>
      </c>
      <c r="AH160" s="2"/>
      <c r="AI160" s="118"/>
      <c r="AJ160" s="118"/>
      <c r="AK160" s="118"/>
      <c r="AL160" s="118"/>
      <c r="AM160" s="118"/>
      <c r="AN160" s="118"/>
      <c r="AO160" s="104"/>
      <c r="AP160" s="104"/>
      <c r="AQ160" s="104"/>
      <c r="AR160" s="104"/>
      <c r="AS160" s="104"/>
      <c r="AT160" s="104"/>
      <c r="AU160" s="104"/>
    </row>
    <row r="161" spans="1:47">
      <c r="A161" s="2" t="str">
        <f>'Reference Score Calculation'!A152</f>
        <v>JS4329</v>
      </c>
      <c r="B161" s="364" t="str">
        <f>'Reference Score Calculation'!A152</f>
        <v>JS4329</v>
      </c>
      <c r="C161" s="2" t="str">
        <f>'Reference Score Calculation'!D152</f>
        <v>健康與體育運動科學</v>
      </c>
      <c r="D161" s="16">
        <f>'Reference Score Calculation'!T152</f>
        <v>17</v>
      </c>
      <c r="E161" s="16">
        <v>3</v>
      </c>
      <c r="F161" s="16">
        <v>3</v>
      </c>
      <c r="G161" s="16">
        <v>2</v>
      </c>
      <c r="H161" s="16">
        <v>2</v>
      </c>
      <c r="I161" s="16">
        <v>3</v>
      </c>
      <c r="J161" s="16">
        <v>3</v>
      </c>
      <c r="L161" s="92">
        <v>3</v>
      </c>
      <c r="M161" s="92">
        <v>3</v>
      </c>
      <c r="N161" s="92">
        <v>2</v>
      </c>
      <c r="O161" s="92">
        <v>1</v>
      </c>
      <c r="P161" s="92">
        <v>3</v>
      </c>
      <c r="Q161" s="92">
        <v>3</v>
      </c>
      <c r="S161" s="16">
        <f t="shared" si="78"/>
        <v>0</v>
      </c>
      <c r="T161" s="16">
        <f t="shared" si="79"/>
        <v>0</v>
      </c>
      <c r="U161" s="16">
        <f t="shared" si="80"/>
        <v>0</v>
      </c>
      <c r="V161" s="16">
        <f t="shared" si="81"/>
        <v>0</v>
      </c>
      <c r="W161" s="16">
        <f t="shared" si="82"/>
        <v>0</v>
      </c>
      <c r="X161" s="16">
        <f t="shared" si="85"/>
        <v>0</v>
      </c>
      <c r="Y161" s="16"/>
      <c r="Z161" s="16">
        <f t="shared" si="77"/>
        <v>0</v>
      </c>
      <c r="AA161" s="2"/>
      <c r="AB161" s="16" t="s">
        <v>432</v>
      </c>
      <c r="AC161" s="16" t="s">
        <v>433</v>
      </c>
      <c r="AD161" s="16" t="s">
        <v>434</v>
      </c>
      <c r="AE161" s="16" t="s">
        <v>434</v>
      </c>
      <c r="AF161" s="2" t="s">
        <v>435</v>
      </c>
      <c r="AG161" s="2" t="s">
        <v>435</v>
      </c>
      <c r="AH161" s="2"/>
      <c r="AI161" s="118" t="s">
        <v>485</v>
      </c>
      <c r="AJ161" s="118" t="str">
        <f>Q2</f>
        <v>請選擇第一選修科</v>
      </c>
      <c r="AK161" s="118" t="str">
        <f>R2</f>
        <v>請選擇第二選修科</v>
      </c>
      <c r="AL161" s="118" t="str">
        <f>S2</f>
        <v>請選擇第三選修科</v>
      </c>
      <c r="AM161" s="118" t="str">
        <f>T2</f>
        <v>請選擇第四選修科</v>
      </c>
      <c r="AN161" s="104"/>
      <c r="AO161" s="104"/>
      <c r="AP161" s="118" t="s">
        <v>486</v>
      </c>
      <c r="AQ161" s="118"/>
      <c r="AR161" s="104"/>
      <c r="AS161" s="104"/>
      <c r="AT161" s="104"/>
      <c r="AU161" s="104"/>
    </row>
    <row r="162" spans="1:47">
      <c r="A162" s="2" t="str">
        <f>'Reference Score Calculation'!A153</f>
        <v>JS4331</v>
      </c>
      <c r="B162" s="364" t="str">
        <f>'Reference Score Calculation'!A153</f>
        <v>JS4331</v>
      </c>
      <c r="C162" s="2" t="str">
        <f>'Reference Score Calculation'!D153</f>
        <v>文學士 (中國語文研究) 及教育學士 (中國語文教育)</v>
      </c>
      <c r="D162" s="16">
        <f>'Reference Score Calculation'!T153</f>
        <v>12</v>
      </c>
      <c r="E162" s="16">
        <v>4</v>
      </c>
      <c r="F162" s="16">
        <v>3</v>
      </c>
      <c r="G162" s="16">
        <v>2</v>
      </c>
      <c r="H162" s="16">
        <v>2</v>
      </c>
      <c r="I162" s="16">
        <v>3</v>
      </c>
      <c r="J162" s="16">
        <v>3</v>
      </c>
      <c r="L162" s="92">
        <v>4</v>
      </c>
      <c r="M162" s="92">
        <v>3</v>
      </c>
      <c r="N162" s="92">
        <v>2</v>
      </c>
      <c r="O162" s="92">
        <v>1</v>
      </c>
      <c r="P162" s="92">
        <v>3</v>
      </c>
      <c r="Q162" s="92">
        <v>3</v>
      </c>
      <c r="S162" s="16">
        <f t="shared" si="78"/>
        <v>0</v>
      </c>
      <c r="T162" s="16">
        <f t="shared" si="79"/>
        <v>0</v>
      </c>
      <c r="U162" s="16">
        <f t="shared" si="80"/>
        <v>0</v>
      </c>
      <c r="V162" s="16">
        <f t="shared" si="81"/>
        <v>0</v>
      </c>
      <c r="W162" s="16">
        <f t="shared" si="82"/>
        <v>0</v>
      </c>
      <c r="X162" s="16">
        <f t="shared" si="85"/>
        <v>0</v>
      </c>
      <c r="Y162" s="16"/>
      <c r="Z162" s="16">
        <f t="shared" si="77"/>
        <v>0</v>
      </c>
      <c r="AA162" s="2"/>
      <c r="AB162" s="16" t="s">
        <v>432</v>
      </c>
      <c r="AC162" s="16" t="s">
        <v>433</v>
      </c>
      <c r="AD162" s="16" t="s">
        <v>434</v>
      </c>
      <c r="AE162" s="16" t="s">
        <v>434</v>
      </c>
      <c r="AF162" s="2" t="s">
        <v>435</v>
      </c>
      <c r="AG162" s="2" t="s">
        <v>435</v>
      </c>
      <c r="AH162" s="2"/>
      <c r="AI162" s="118" t="s">
        <v>487</v>
      </c>
      <c r="AJ162" s="119">
        <f>IF(OR(Q2="化學",Q2="生物"),Q3,0)</f>
        <v>0</v>
      </c>
      <c r="AK162" s="119">
        <f>IF(OR(R2="化學",R2="生物"),R3,0)</f>
        <v>0</v>
      </c>
      <c r="AL162" s="119">
        <f>IF(OR(S2="化學",S2="生物"),S3,0)</f>
        <v>0</v>
      </c>
      <c r="AM162" s="119">
        <f>IF(OR(T2="化學",T2="生物"),T3,0)</f>
        <v>0</v>
      </c>
      <c r="AN162" s="118"/>
      <c r="AO162" s="118"/>
      <c r="AP162" s="119" t="str">
        <f>IF(AQ162&gt;0,INDEX(AJ161:AM161,MATCH(LARGE(AJ162:AM162,1),AJ162:AM162,0)),"無")</f>
        <v>無</v>
      </c>
      <c r="AQ162" s="119">
        <f>LARGE((AJ162:AM162),1)</f>
        <v>0</v>
      </c>
      <c r="AR162" s="104"/>
      <c r="AS162" s="104"/>
      <c r="AT162" s="104"/>
      <c r="AU162" s="104"/>
    </row>
    <row r="163" spans="1:47">
      <c r="A163" s="2" t="str">
        <f>'Reference Score Calculation'!A154</f>
        <v>JS4343</v>
      </c>
      <c r="B163" s="364" t="str">
        <f>'Reference Score Calculation'!A154</f>
        <v>JS4343</v>
      </c>
      <c r="C163" s="2" t="str">
        <f>'Reference Score Calculation'!D154</f>
        <v>文學士(英國語文研究)及教育學士(英國語文教育)</v>
      </c>
      <c r="D163" s="16">
        <f>'Reference Score Calculation'!T154</f>
        <v>12</v>
      </c>
      <c r="E163" s="16">
        <v>3</v>
      </c>
      <c r="F163" s="16">
        <v>4</v>
      </c>
      <c r="G163" s="16">
        <v>2</v>
      </c>
      <c r="H163" s="16">
        <v>2</v>
      </c>
      <c r="I163" s="16">
        <v>3</v>
      </c>
      <c r="J163" s="16">
        <v>3</v>
      </c>
      <c r="L163" s="92">
        <v>3</v>
      </c>
      <c r="M163" s="92">
        <v>4</v>
      </c>
      <c r="N163" s="92">
        <v>2</v>
      </c>
      <c r="O163" s="92">
        <v>1</v>
      </c>
      <c r="P163" s="92">
        <v>3</v>
      </c>
      <c r="Q163" s="92">
        <v>3</v>
      </c>
      <c r="S163" s="16">
        <f t="shared" si="78"/>
        <v>0</v>
      </c>
      <c r="T163" s="16">
        <f t="shared" si="79"/>
        <v>0</v>
      </c>
      <c r="U163" s="16">
        <f t="shared" si="80"/>
        <v>0</v>
      </c>
      <c r="V163" s="16">
        <f t="shared" si="81"/>
        <v>0</v>
      </c>
      <c r="W163" s="16">
        <f t="shared" si="82"/>
        <v>0</v>
      </c>
      <c r="X163" s="16">
        <f t="shared" si="85"/>
        <v>0</v>
      </c>
      <c r="Y163" s="16"/>
      <c r="Z163" s="16">
        <f t="shared" si="77"/>
        <v>0</v>
      </c>
      <c r="AA163" s="2"/>
      <c r="AB163" s="16" t="s">
        <v>432</v>
      </c>
      <c r="AC163" s="16" t="s">
        <v>433</v>
      </c>
      <c r="AD163" s="16" t="s">
        <v>434</v>
      </c>
      <c r="AE163" s="16" t="s">
        <v>432</v>
      </c>
      <c r="AF163" s="2" t="s">
        <v>435</v>
      </c>
      <c r="AG163" s="2" t="s">
        <v>435</v>
      </c>
      <c r="AH163" s="2"/>
      <c r="AI163" s="118" t="s">
        <v>488</v>
      </c>
      <c r="AJ163" s="118"/>
      <c r="AK163" s="118"/>
      <c r="AL163" s="118"/>
      <c r="AM163" s="118"/>
      <c r="AN163" s="118"/>
      <c r="AO163" s="118"/>
      <c r="AP163" s="104"/>
      <c r="AQ163" s="104"/>
      <c r="AR163" s="104"/>
      <c r="AS163" s="104"/>
      <c r="AT163" s="104"/>
      <c r="AU163" s="104"/>
    </row>
    <row r="164" spans="1:47">
      <c r="A164" s="2" t="str">
        <f>'Reference Score Calculation'!A155</f>
        <v>JS4361</v>
      </c>
      <c r="B164" s="364" t="str">
        <f>'Reference Score Calculation'!A155</f>
        <v>JS4361</v>
      </c>
      <c r="C164" s="2" t="str">
        <f>'Reference Score Calculation'!D155</f>
        <v>教育學士(數學及數學教育)</v>
      </c>
      <c r="D164" s="16">
        <f>'Reference Score Calculation'!T155</f>
        <v>12</v>
      </c>
      <c r="E164" s="16">
        <v>3</v>
      </c>
      <c r="F164" s="16">
        <v>3</v>
      </c>
      <c r="G164" s="16">
        <v>4</v>
      </c>
      <c r="H164" s="16">
        <v>2</v>
      </c>
      <c r="I164" s="16">
        <v>3</v>
      </c>
      <c r="J164" s="16">
        <v>3</v>
      </c>
      <c r="L164" s="92">
        <v>3</v>
      </c>
      <c r="M164" s="92">
        <v>3</v>
      </c>
      <c r="N164" s="92">
        <v>4</v>
      </c>
      <c r="O164" s="92">
        <v>1</v>
      </c>
      <c r="P164" s="92">
        <v>3</v>
      </c>
      <c r="Q164" s="92">
        <v>3</v>
      </c>
      <c r="S164" s="16">
        <f t="shared" si="78"/>
        <v>0</v>
      </c>
      <c r="T164" s="16">
        <f t="shared" si="79"/>
        <v>0</v>
      </c>
      <c r="U164" s="16">
        <f t="shared" si="80"/>
        <v>0</v>
      </c>
      <c r="V164" s="16">
        <f t="shared" si="81"/>
        <v>0</v>
      </c>
      <c r="W164" s="16">
        <f>IF(P164&gt;LARGE($Q$3:$U$3,1),0,1)</f>
        <v>0</v>
      </c>
      <c r="X164" s="73">
        <f>IF(Q164&gt;$P$3,0,1)</f>
        <v>0</v>
      </c>
      <c r="Y164" s="16"/>
      <c r="Z164" s="16">
        <f t="shared" si="77"/>
        <v>0</v>
      </c>
      <c r="AA164" s="2"/>
      <c r="AB164" s="16" t="s">
        <v>432</v>
      </c>
      <c r="AC164" s="16" t="s">
        <v>433</v>
      </c>
      <c r="AD164" s="16" t="s">
        <v>434</v>
      </c>
      <c r="AE164" s="16" t="s">
        <v>434</v>
      </c>
      <c r="AF164" s="2" t="s">
        <v>489</v>
      </c>
      <c r="AG164" s="2" t="s">
        <v>435</v>
      </c>
      <c r="AH164" s="2"/>
      <c r="AI164" s="118"/>
      <c r="AJ164" s="118"/>
      <c r="AK164" s="118"/>
      <c r="AL164" s="118"/>
      <c r="AM164" s="118"/>
      <c r="AN164" s="118"/>
      <c r="AO164" s="118"/>
      <c r="AP164" s="104"/>
      <c r="AQ164" s="104"/>
      <c r="AR164" s="104"/>
      <c r="AS164" s="104"/>
      <c r="AT164" s="104"/>
      <c r="AU164" s="104"/>
    </row>
    <row r="165" spans="1:47">
      <c r="A165" s="2" t="str">
        <f>'Reference Score Calculation'!A156</f>
        <v>JS4372</v>
      </c>
      <c r="B165" s="364" t="str">
        <f>'Reference Score Calculation'!A156</f>
        <v>JS4372</v>
      </c>
      <c r="C165" s="2" t="str">
        <f>'Reference Score Calculation'!D156</f>
        <v>教育學士(幼兒教育)</v>
      </c>
      <c r="D165" s="16">
        <f>'Reference Score Calculation'!T156</f>
        <v>21</v>
      </c>
      <c r="E165" s="16">
        <v>3</v>
      </c>
      <c r="F165" s="16">
        <v>3</v>
      </c>
      <c r="G165" s="16">
        <v>2</v>
      </c>
      <c r="H165" s="16">
        <v>2</v>
      </c>
      <c r="I165" s="16">
        <v>3</v>
      </c>
      <c r="J165" s="16">
        <v>3</v>
      </c>
      <c r="L165" s="92">
        <v>3</v>
      </c>
      <c r="M165" s="92">
        <v>3</v>
      </c>
      <c r="N165" s="92">
        <v>2</v>
      </c>
      <c r="O165" s="92">
        <v>1</v>
      </c>
      <c r="P165" s="92">
        <v>3</v>
      </c>
      <c r="Q165" s="92">
        <v>3</v>
      </c>
      <c r="S165" s="16">
        <f t="shared" si="78"/>
        <v>0</v>
      </c>
      <c r="T165" s="16">
        <f t="shared" si="79"/>
        <v>0</v>
      </c>
      <c r="U165" s="16">
        <f t="shared" si="80"/>
        <v>0</v>
      </c>
      <c r="V165" s="16">
        <f t="shared" si="81"/>
        <v>0</v>
      </c>
      <c r="W165" s="16">
        <f t="shared" si="82"/>
        <v>0</v>
      </c>
      <c r="X165" s="16">
        <f>IF(Q165&gt;LARGE($P$3:$U$3,2),0,1)</f>
        <v>0</v>
      </c>
      <c r="Y165" s="16"/>
      <c r="Z165" s="16">
        <f t="shared" si="77"/>
        <v>0</v>
      </c>
      <c r="AA165" s="2"/>
      <c r="AB165" s="16" t="s">
        <v>432</v>
      </c>
      <c r="AC165" s="16" t="s">
        <v>433</v>
      </c>
      <c r="AD165" s="16" t="s">
        <v>434</v>
      </c>
      <c r="AE165" s="16" t="s">
        <v>432</v>
      </c>
      <c r="AF165" s="2" t="s">
        <v>435</v>
      </c>
      <c r="AG165" s="2" t="s">
        <v>435</v>
      </c>
      <c r="AH165" s="2"/>
      <c r="AI165" s="118"/>
      <c r="AJ165" s="118" t="str">
        <f>Q2</f>
        <v>請選擇第一選修科</v>
      </c>
      <c r="AK165" s="118" t="str">
        <f>R2</f>
        <v>請選擇第二選修科</v>
      </c>
      <c r="AL165" s="118" t="str">
        <f>S2</f>
        <v>請選擇第三選修科</v>
      </c>
      <c r="AM165" s="118" t="str">
        <f>T2</f>
        <v>請選擇第四選修科</v>
      </c>
      <c r="AN165" s="118" t="str">
        <f>P2</f>
        <v>數學延伸</v>
      </c>
      <c r="AO165" s="104"/>
      <c r="AP165" s="118" t="s">
        <v>471</v>
      </c>
      <c r="AQ165" s="118"/>
      <c r="AR165" s="104"/>
      <c r="AS165" s="104"/>
      <c r="AT165" s="104"/>
      <c r="AU165" s="104"/>
    </row>
    <row r="166" spans="1:47">
      <c r="A166" s="2" t="str">
        <f>'Reference Score Calculation'!A157</f>
        <v>JS4386</v>
      </c>
      <c r="B166" s="364" t="str">
        <f>'Reference Score Calculation'!A157</f>
        <v>JS4386</v>
      </c>
      <c r="C166" s="2" t="str">
        <f>'Reference Score Calculation'!D157</f>
        <v>理學士（學習設計與科技）</v>
      </c>
      <c r="D166" s="16">
        <f>'Reference Score Calculation'!T157</f>
        <v>20</v>
      </c>
      <c r="E166" s="16">
        <v>3</v>
      </c>
      <c r="F166" s="16">
        <v>3</v>
      </c>
      <c r="G166" s="16">
        <v>3</v>
      </c>
      <c r="H166" s="16">
        <v>2</v>
      </c>
      <c r="I166" s="16">
        <v>3</v>
      </c>
      <c r="J166" s="16">
        <v>3</v>
      </c>
      <c r="L166" s="92">
        <v>3</v>
      </c>
      <c r="M166" s="92">
        <v>3</v>
      </c>
      <c r="N166" s="92">
        <v>3</v>
      </c>
      <c r="O166" s="92">
        <v>1</v>
      </c>
      <c r="P166" s="92">
        <v>3</v>
      </c>
      <c r="Q166" s="92">
        <v>3</v>
      </c>
      <c r="S166" s="16">
        <f t="shared" si="78"/>
        <v>0</v>
      </c>
      <c r="T166" s="16">
        <f t="shared" si="79"/>
        <v>0</v>
      </c>
      <c r="U166" s="16">
        <f t="shared" si="80"/>
        <v>0</v>
      </c>
      <c r="V166" s="16">
        <f t="shared" si="81"/>
        <v>0</v>
      </c>
      <c r="W166" s="73">
        <f>IF(Q3&lt;3,0,IF(P166&gt;$AQ$142,2,1))</f>
        <v>0</v>
      </c>
      <c r="X166" s="16">
        <f>IF(Q166&gt;LARGE($P$3:$U$3,2),0,1)</f>
        <v>0</v>
      </c>
      <c r="Y166" s="16"/>
      <c r="Z166" s="16">
        <f t="shared" si="77"/>
        <v>0</v>
      </c>
      <c r="AA166" s="2"/>
      <c r="AB166" s="16" t="s">
        <v>432</v>
      </c>
      <c r="AC166" s="16" t="s">
        <v>433</v>
      </c>
      <c r="AD166" s="16" t="s">
        <v>434</v>
      </c>
      <c r="AE166" s="16" t="s">
        <v>432</v>
      </c>
      <c r="AF166" s="21" t="s">
        <v>3019</v>
      </c>
      <c r="AG166" s="2" t="s">
        <v>2995</v>
      </c>
      <c r="AH166" s="2"/>
      <c r="AI166" s="118" t="s">
        <v>491</v>
      </c>
      <c r="AJ166" s="119">
        <f>IF(OR(Q2="物理",Q2="化學",Q2="生物",Q2="地理"),Q3,0)</f>
        <v>0</v>
      </c>
      <c r="AK166" s="119">
        <f t="shared" ref="AK166:AM166" si="86">IF(OR(R2="物理",R2="化學",R2="生物",R2="地理"),R3,0)</f>
        <v>0</v>
      </c>
      <c r="AL166" s="119">
        <f t="shared" si="86"/>
        <v>0</v>
      </c>
      <c r="AM166" s="119">
        <f t="shared" si="86"/>
        <v>0</v>
      </c>
      <c r="AN166" s="119">
        <f>P3</f>
        <v>5.0000000000000003E-10</v>
      </c>
      <c r="AO166" s="118"/>
      <c r="AP166" s="119" t="str">
        <f>IF(AQ166&gt;0,INDEX(AJ165:AN165,MATCH(LARGE(AJ166:AN166,1),AJ166:AN166,0)),"無")</f>
        <v>數學延伸</v>
      </c>
      <c r="AQ166" s="119">
        <f>LARGE((AJ166:AN166),1)</f>
        <v>5.0000000000000003E-10</v>
      </c>
      <c r="AR166" s="104"/>
      <c r="AS166" s="104"/>
      <c r="AT166" s="104"/>
      <c r="AU166" s="104"/>
    </row>
    <row r="167" spans="1:47">
      <c r="A167" s="2" t="str">
        <f>'Reference Score Calculation'!A158</f>
        <v>JS4408</v>
      </c>
      <c r="B167" s="364" t="str">
        <f>'Reference Score Calculation'!A158</f>
        <v>JS4408</v>
      </c>
      <c r="C167" s="2" t="str">
        <f>'Reference Score Calculation'!D158</f>
        <v>機械與自動化工程學</v>
      </c>
      <c r="D167" s="16">
        <f>'Reference Score Calculation'!T158</f>
        <v>53</v>
      </c>
      <c r="E167" s="16">
        <v>3</v>
      </c>
      <c r="F167" s="16">
        <v>3</v>
      </c>
      <c r="G167" s="16">
        <v>3</v>
      </c>
      <c r="H167" s="16">
        <v>2</v>
      </c>
      <c r="I167" s="16">
        <v>3</v>
      </c>
      <c r="J167" s="16">
        <v>3</v>
      </c>
      <c r="L167" s="92">
        <v>3</v>
      </c>
      <c r="M167" s="92">
        <v>3</v>
      </c>
      <c r="N167" s="92">
        <v>3</v>
      </c>
      <c r="O167" s="92">
        <v>1</v>
      </c>
      <c r="P167" s="92">
        <v>3</v>
      </c>
      <c r="Q167" s="92">
        <v>3</v>
      </c>
      <c r="S167" s="16">
        <f t="shared" si="78"/>
        <v>0</v>
      </c>
      <c r="T167" s="16">
        <f t="shared" si="79"/>
        <v>0</v>
      </c>
      <c r="U167" s="16">
        <f t="shared" si="80"/>
        <v>0</v>
      </c>
      <c r="V167" s="16">
        <f t="shared" si="81"/>
        <v>0</v>
      </c>
      <c r="W167" s="73">
        <f>IF(P167&gt;$AQ$151,0,1)</f>
        <v>0</v>
      </c>
      <c r="X167" s="16">
        <f t="shared" ref="X167:X182" si="87">IF(Q167&gt;LARGE($P$3:$U$3,2),0,1)</f>
        <v>0</v>
      </c>
      <c r="Y167" s="16"/>
      <c r="Z167" s="16">
        <f t="shared" si="77"/>
        <v>0</v>
      </c>
      <c r="AA167" s="2"/>
      <c r="AB167" s="16" t="s">
        <v>432</v>
      </c>
      <c r="AC167" s="16" t="s">
        <v>433</v>
      </c>
      <c r="AD167" s="16" t="s">
        <v>434</v>
      </c>
      <c r="AE167" s="16" t="s">
        <v>432</v>
      </c>
      <c r="AF167" s="21" t="s">
        <v>492</v>
      </c>
      <c r="AG167" s="2" t="s">
        <v>435</v>
      </c>
      <c r="AH167" s="2"/>
      <c r="AI167" s="118"/>
      <c r="AJ167" s="163" t="s">
        <v>3046</v>
      </c>
      <c r="AK167" s="118"/>
      <c r="AL167" s="118"/>
      <c r="AM167" s="118"/>
      <c r="AN167" s="118"/>
      <c r="AO167" s="118"/>
      <c r="AP167" s="104"/>
      <c r="AQ167" s="104"/>
      <c r="AR167" s="104"/>
      <c r="AS167" s="104"/>
      <c r="AT167" s="104"/>
      <c r="AU167" s="104"/>
    </row>
    <row r="168" spans="1:47">
      <c r="A168" s="2" t="str">
        <f>'Reference Score Calculation'!A159</f>
        <v>JS4412</v>
      </c>
      <c r="B168" s="364" t="str">
        <f>'Reference Score Calculation'!A159</f>
        <v>JS4412</v>
      </c>
      <c r="C168" s="2" t="str">
        <f>'Reference Score Calculation'!D159</f>
        <v>計算機科學與工程</v>
      </c>
      <c r="D168" s="16">
        <f>'Reference Score Calculation'!T159</f>
        <v>107</v>
      </c>
      <c r="E168" s="16">
        <v>3</v>
      </c>
      <c r="F168" s="16">
        <v>3</v>
      </c>
      <c r="G168" s="16">
        <v>4</v>
      </c>
      <c r="H168" s="16">
        <v>2</v>
      </c>
      <c r="I168" s="16">
        <v>3</v>
      </c>
      <c r="J168" s="16">
        <v>3</v>
      </c>
      <c r="L168" s="92">
        <v>3</v>
      </c>
      <c r="M168" s="92">
        <v>3</v>
      </c>
      <c r="N168" s="92">
        <v>4</v>
      </c>
      <c r="O168" s="92">
        <v>1</v>
      </c>
      <c r="P168" s="92">
        <v>3</v>
      </c>
      <c r="Q168" s="92">
        <v>3</v>
      </c>
      <c r="S168" s="16">
        <f t="shared" si="78"/>
        <v>0</v>
      </c>
      <c r="T168" s="16">
        <f t="shared" si="79"/>
        <v>0</v>
      </c>
      <c r="U168" s="16">
        <f t="shared" si="80"/>
        <v>0</v>
      </c>
      <c r="V168" s="16">
        <f t="shared" si="81"/>
        <v>0</v>
      </c>
      <c r="W168" s="73">
        <f>IF(P168&gt;$AQ$155,0,1)</f>
        <v>0</v>
      </c>
      <c r="X168" s="16">
        <f>IF(LARGE($P$3:$U$3,2)&lt;3,0,IF(Q168&gt;$AT$151,2,1))</f>
        <v>0</v>
      </c>
      <c r="Y168" s="16"/>
      <c r="Z168" s="16">
        <f t="shared" si="77"/>
        <v>0</v>
      </c>
      <c r="AA168" s="2"/>
      <c r="AB168" s="16" t="s">
        <v>432</v>
      </c>
      <c r="AC168" s="16" t="s">
        <v>433</v>
      </c>
      <c r="AD168" s="16" t="s">
        <v>434</v>
      </c>
      <c r="AE168" s="16" t="s">
        <v>432</v>
      </c>
      <c r="AF168" s="21" t="s">
        <v>490</v>
      </c>
      <c r="AG168" s="21" t="s">
        <v>3039</v>
      </c>
      <c r="AH168" s="2" t="s">
        <v>356</v>
      </c>
      <c r="AI168" s="118"/>
      <c r="AJ168" s="118"/>
      <c r="AK168" s="118"/>
      <c r="AL168" s="118"/>
      <c r="AM168" s="118"/>
      <c r="AN168" s="118"/>
      <c r="AO168" s="118"/>
      <c r="AP168" s="104"/>
      <c r="AQ168" s="104"/>
      <c r="AR168" s="104"/>
      <c r="AS168" s="104"/>
      <c r="AT168" s="104"/>
      <c r="AU168" s="104"/>
    </row>
    <row r="169" spans="1:47">
      <c r="A169" s="2" t="str">
        <f>'Reference Score Calculation'!A160</f>
        <v>JS4416</v>
      </c>
      <c r="B169" s="364" t="str">
        <f>'Reference Score Calculation'!A160</f>
        <v>JS4416</v>
      </c>
      <c r="C169" s="2" t="str">
        <f>'Reference Score Calculation'!D160</f>
        <v>計算數據科學</v>
      </c>
      <c r="D169" s="16">
        <f>'Reference Score Calculation'!T160</f>
        <v>20</v>
      </c>
      <c r="E169" s="16">
        <v>3</v>
      </c>
      <c r="F169" s="16">
        <v>4</v>
      </c>
      <c r="G169" s="16">
        <v>4</v>
      </c>
      <c r="H169" s="16">
        <v>2</v>
      </c>
      <c r="I169" s="16">
        <v>3</v>
      </c>
      <c r="J169" s="16">
        <v>3</v>
      </c>
      <c r="L169" s="92">
        <v>3</v>
      </c>
      <c r="M169" s="92">
        <v>4</v>
      </c>
      <c r="N169" s="92">
        <v>4</v>
      </c>
      <c r="O169" s="92">
        <v>1</v>
      </c>
      <c r="P169" s="92">
        <v>3</v>
      </c>
      <c r="Q169" s="92">
        <v>3</v>
      </c>
      <c r="S169" s="16">
        <f t="shared" si="78"/>
        <v>0</v>
      </c>
      <c r="T169" s="16">
        <f t="shared" si="79"/>
        <v>0</v>
      </c>
      <c r="U169" s="16">
        <f t="shared" si="80"/>
        <v>0</v>
      </c>
      <c r="V169" s="16">
        <f t="shared" si="81"/>
        <v>0</v>
      </c>
      <c r="W169" s="16">
        <f t="shared" si="82"/>
        <v>0</v>
      </c>
      <c r="X169" s="16">
        <f t="shared" si="87"/>
        <v>0</v>
      </c>
      <c r="Y169" s="16"/>
      <c r="Z169" s="16">
        <f t="shared" si="77"/>
        <v>0</v>
      </c>
      <c r="AA169" s="2"/>
      <c r="AB169" s="16" t="s">
        <v>432</v>
      </c>
      <c r="AC169" s="16" t="s">
        <v>433</v>
      </c>
      <c r="AD169" s="16" t="s">
        <v>434</v>
      </c>
      <c r="AE169" s="16" t="s">
        <v>434</v>
      </c>
      <c r="AF169" s="2" t="s">
        <v>435</v>
      </c>
      <c r="AG169" s="2" t="s">
        <v>435</v>
      </c>
      <c r="AH169" s="2" t="s">
        <v>356</v>
      </c>
      <c r="AI169" s="118"/>
      <c r="AJ169" s="118" t="str">
        <f>Q2</f>
        <v>請選擇第一選修科</v>
      </c>
      <c r="AK169" s="118" t="str">
        <f>R2</f>
        <v>請選擇第二選修科</v>
      </c>
      <c r="AL169" s="118" t="str">
        <f>S2</f>
        <v>請選擇第三選修科</v>
      </c>
      <c r="AM169" s="118" t="str">
        <f>T2</f>
        <v>請選擇第四選修科</v>
      </c>
      <c r="AN169" s="104"/>
      <c r="AO169" s="104"/>
      <c r="AP169" s="118" t="s">
        <v>471</v>
      </c>
      <c r="AQ169" s="118"/>
      <c r="AR169" s="104"/>
      <c r="AS169" s="118" t="s">
        <v>495</v>
      </c>
      <c r="AT169" s="118"/>
      <c r="AU169" s="104"/>
    </row>
    <row r="170" spans="1:47">
      <c r="A170" s="2" t="str">
        <f>'Reference Score Calculation'!A161</f>
        <v>JS4428</v>
      </c>
      <c r="B170" s="364" t="str">
        <f>'Reference Score Calculation'!A161</f>
        <v>JS4428</v>
      </c>
      <c r="C170" s="2" t="str">
        <f>'Reference Score Calculation'!D161</f>
        <v>金融科技學</v>
      </c>
      <c r="D170" s="16">
        <f>'Reference Score Calculation'!T161</f>
        <v>35</v>
      </c>
      <c r="E170" s="16">
        <v>3</v>
      </c>
      <c r="F170" s="16">
        <v>3</v>
      </c>
      <c r="G170" s="16">
        <v>4</v>
      </c>
      <c r="H170" s="16">
        <v>3</v>
      </c>
      <c r="I170" s="16">
        <v>3</v>
      </c>
      <c r="J170" s="16">
        <v>3</v>
      </c>
      <c r="L170" s="92">
        <v>3</v>
      </c>
      <c r="M170" s="92">
        <v>3</v>
      </c>
      <c r="N170" s="92">
        <v>4</v>
      </c>
      <c r="O170" s="92">
        <v>1</v>
      </c>
      <c r="P170" s="92">
        <v>3</v>
      </c>
      <c r="Q170" s="92">
        <v>3</v>
      </c>
      <c r="S170" s="16">
        <f t="shared" si="78"/>
        <v>0</v>
      </c>
      <c r="T170" s="16">
        <f t="shared" si="79"/>
        <v>0</v>
      </c>
      <c r="U170" s="16">
        <f t="shared" si="80"/>
        <v>0</v>
      </c>
      <c r="V170" s="16">
        <f t="shared" si="81"/>
        <v>0</v>
      </c>
      <c r="W170" s="16">
        <f t="shared" si="82"/>
        <v>0</v>
      </c>
      <c r="X170" s="16">
        <f t="shared" si="87"/>
        <v>0</v>
      </c>
      <c r="Y170" s="16"/>
      <c r="Z170" s="16">
        <f t="shared" si="77"/>
        <v>0</v>
      </c>
      <c r="AA170" s="2"/>
      <c r="AB170" s="16" t="s">
        <v>432</v>
      </c>
      <c r="AC170" s="16" t="s">
        <v>433</v>
      </c>
      <c r="AD170" s="16" t="s">
        <v>434</v>
      </c>
      <c r="AE170" s="16" t="s">
        <v>432</v>
      </c>
      <c r="AF170" s="2" t="s">
        <v>435</v>
      </c>
      <c r="AG170" s="2" t="s">
        <v>435</v>
      </c>
      <c r="AH170" s="2" t="s">
        <v>356</v>
      </c>
      <c r="AI170" s="118" t="s">
        <v>493</v>
      </c>
      <c r="AJ170" s="119">
        <f>IF(OR(Q2="物理",Q2="化學",Q2="生物",Q2="地理",Q2="經濟",,Q2="資訊及通訊科技",Q2="科技與生活"),Q3,0)</f>
        <v>0</v>
      </c>
      <c r="AK170" s="119">
        <f t="shared" ref="AK170:AM170" si="88">IF(OR(R2="物理",R2="化學",R2="生物",R2="地理",R2="經濟",,R2="資訊及通訊科技",R2="科技與生活"),R3,0)</f>
        <v>0</v>
      </c>
      <c r="AL170" s="119">
        <f t="shared" si="88"/>
        <v>0</v>
      </c>
      <c r="AM170" s="119">
        <f t="shared" si="88"/>
        <v>0</v>
      </c>
      <c r="AN170" s="118"/>
      <c r="AO170" s="118"/>
      <c r="AP170" s="119" t="str">
        <f>IF(AQ170&gt;0,INDEX(AJ169:AM169,MATCH(LARGE(AJ170:AM170,1),AJ170:AM170,0)),"無")</f>
        <v>無</v>
      </c>
      <c r="AQ170" s="119">
        <f>LARGE((AJ170:AM170),1)</f>
        <v>0</v>
      </c>
      <c r="AR170" s="104"/>
      <c r="AS170" s="119" t="str">
        <f>IF(AT170&gt;0,INDEX(AJ173:AM173,MATCH(LARGE(AJ172:AM172,1),AJ172:AM172,0)),"無")</f>
        <v>無</v>
      </c>
      <c r="AT170" s="119">
        <f>LARGE((AJ172:AM172),1)</f>
        <v>0</v>
      </c>
      <c r="AU170" s="104"/>
    </row>
    <row r="171" spans="1:47">
      <c r="A171" s="2" t="str">
        <f>'Reference Score Calculation'!A162</f>
        <v>JS4434</v>
      </c>
      <c r="B171" s="364" t="str">
        <f>'Reference Score Calculation'!A162</f>
        <v>JS4434</v>
      </c>
      <c r="C171" s="2" t="str">
        <f>'Reference Score Calculation'!D162</f>
        <v>電子工程學</v>
      </c>
      <c r="D171" s="16">
        <f>'Reference Score Calculation'!T162</f>
        <v>53</v>
      </c>
      <c r="E171" s="16">
        <v>3</v>
      </c>
      <c r="F171" s="16">
        <v>3</v>
      </c>
      <c r="G171" s="16">
        <v>3</v>
      </c>
      <c r="H171" s="16">
        <v>2</v>
      </c>
      <c r="I171" s="16">
        <v>3</v>
      </c>
      <c r="J171" s="16">
        <v>3</v>
      </c>
      <c r="L171" s="92">
        <v>3</v>
      </c>
      <c r="M171" s="92">
        <v>3</v>
      </c>
      <c r="N171" s="92">
        <v>3</v>
      </c>
      <c r="O171" s="92">
        <v>1</v>
      </c>
      <c r="P171" s="92">
        <v>3</v>
      </c>
      <c r="Q171" s="92">
        <v>3</v>
      </c>
      <c r="S171" s="16">
        <f t="shared" si="78"/>
        <v>0</v>
      </c>
      <c r="T171" s="16">
        <f t="shared" si="79"/>
        <v>0</v>
      </c>
      <c r="U171" s="16">
        <f t="shared" si="80"/>
        <v>0</v>
      </c>
      <c r="V171" s="16">
        <f t="shared" si="81"/>
        <v>0</v>
      </c>
      <c r="W171" s="73">
        <f>IF(P171&gt;$AQ$155,0,1)</f>
        <v>0</v>
      </c>
      <c r="X171" s="16">
        <f t="shared" si="87"/>
        <v>0</v>
      </c>
      <c r="Y171" s="16"/>
      <c r="Z171" s="16">
        <f t="shared" si="77"/>
        <v>0</v>
      </c>
      <c r="AA171" s="2"/>
      <c r="AB171" s="16" t="s">
        <v>432</v>
      </c>
      <c r="AC171" s="16" t="s">
        <v>433</v>
      </c>
      <c r="AD171" s="16" t="s">
        <v>434</v>
      </c>
      <c r="AE171" s="16" t="s">
        <v>432</v>
      </c>
      <c r="AF171" s="21" t="s">
        <v>494</v>
      </c>
      <c r="AG171" s="2" t="s">
        <v>435</v>
      </c>
      <c r="AH171" s="2" t="s">
        <v>356</v>
      </c>
      <c r="AI171" s="118"/>
      <c r="AJ171" s="163" t="s">
        <v>3048</v>
      </c>
      <c r="AK171" s="118"/>
      <c r="AL171" s="118"/>
      <c r="AM171" s="118"/>
      <c r="AN171" s="118"/>
      <c r="AO171" s="118"/>
      <c r="AP171" s="104"/>
      <c r="AQ171" s="104"/>
      <c r="AR171" s="104"/>
      <c r="AS171" s="104"/>
      <c r="AT171" s="104"/>
      <c r="AU171" s="104"/>
    </row>
    <row r="172" spans="1:47">
      <c r="A172" s="2" t="str">
        <f>'Reference Score Calculation'!A163</f>
        <v>JS4446</v>
      </c>
      <c r="B172" s="364" t="str">
        <f>'Reference Score Calculation'!A163</f>
        <v>JS4446</v>
      </c>
      <c r="C172" s="2" t="str">
        <f>'Reference Score Calculation'!D163</f>
        <v>信息工程學</v>
      </c>
      <c r="D172" s="16">
        <f>'Reference Score Calculation'!T163</f>
        <v>75</v>
      </c>
      <c r="E172" s="16">
        <v>3</v>
      </c>
      <c r="F172" s="16">
        <v>3</v>
      </c>
      <c r="G172" s="16">
        <v>4</v>
      </c>
      <c r="H172" s="16">
        <v>2</v>
      </c>
      <c r="I172" s="16">
        <v>3</v>
      </c>
      <c r="J172" s="16">
        <v>3</v>
      </c>
      <c r="L172" s="92">
        <v>3</v>
      </c>
      <c r="M172" s="92">
        <v>3</v>
      </c>
      <c r="N172" s="92">
        <v>4</v>
      </c>
      <c r="O172" s="92">
        <v>1</v>
      </c>
      <c r="P172" s="92">
        <v>3</v>
      </c>
      <c r="Q172" s="92">
        <v>3</v>
      </c>
      <c r="S172" s="16">
        <f t="shared" si="78"/>
        <v>0</v>
      </c>
      <c r="T172" s="16">
        <f t="shared" si="79"/>
        <v>0</v>
      </c>
      <c r="U172" s="16">
        <f t="shared" si="80"/>
        <v>0</v>
      </c>
      <c r="V172" s="16">
        <f t="shared" si="81"/>
        <v>0</v>
      </c>
      <c r="W172" s="73">
        <f>IF(P172&gt;$AQ$146,0,1)</f>
        <v>0</v>
      </c>
      <c r="X172" s="16">
        <f>IF(LARGE($P$3:$U$3,2)&lt;3,0,IF(Q172&gt;$AT$146,2,1))</f>
        <v>0</v>
      </c>
      <c r="Y172" s="16"/>
      <c r="Z172" s="16">
        <f t="shared" si="77"/>
        <v>0</v>
      </c>
      <c r="AA172" s="2"/>
      <c r="AB172" s="16" t="s">
        <v>432</v>
      </c>
      <c r="AC172" s="16" t="s">
        <v>433</v>
      </c>
      <c r="AD172" s="16" t="s">
        <v>434</v>
      </c>
      <c r="AE172" s="16" t="s">
        <v>432</v>
      </c>
      <c r="AF172" s="21" t="s">
        <v>490</v>
      </c>
      <c r="AG172" s="2" t="s">
        <v>435</v>
      </c>
      <c r="AH172" s="2" t="s">
        <v>356</v>
      </c>
      <c r="AI172" s="118" t="s">
        <v>496</v>
      </c>
      <c r="AJ172" s="121">
        <f>IF(Q2="物理",Q3,0)</f>
        <v>0</v>
      </c>
      <c r="AK172" s="121">
        <f>IF(R2="物理",R3,0)</f>
        <v>0</v>
      </c>
      <c r="AL172" s="121">
        <f>IF(S2="物理",S3,0)</f>
        <v>0</v>
      </c>
      <c r="AM172" s="121">
        <f>IF(T2="物理",T3,0)</f>
        <v>0</v>
      </c>
      <c r="AN172" s="118"/>
      <c r="AO172" s="118"/>
      <c r="AP172" s="104"/>
      <c r="AQ172" s="104"/>
      <c r="AR172" s="104"/>
      <c r="AS172" s="104"/>
      <c r="AT172" s="104"/>
      <c r="AU172" s="104"/>
    </row>
    <row r="173" spans="1:47">
      <c r="A173" s="2" t="str">
        <f>'Reference Score Calculation'!A164</f>
        <v>JS4458</v>
      </c>
      <c r="B173" s="364" t="str">
        <f>'Reference Score Calculation'!A164</f>
        <v>JS4458</v>
      </c>
      <c r="C173" s="2" t="str">
        <f>'Reference Score Calculation'!D164</f>
        <v>系統工程與工程管理</v>
      </c>
      <c r="D173" s="16">
        <f>'Reference Score Calculation'!T164</f>
        <v>53</v>
      </c>
      <c r="E173" s="16">
        <v>3</v>
      </c>
      <c r="F173" s="16">
        <v>3</v>
      </c>
      <c r="G173" s="16">
        <v>3</v>
      </c>
      <c r="H173" s="16">
        <v>2</v>
      </c>
      <c r="I173" s="16">
        <v>3</v>
      </c>
      <c r="J173" s="16">
        <v>3</v>
      </c>
      <c r="L173" s="92">
        <v>3</v>
      </c>
      <c r="M173" s="92">
        <v>3</v>
      </c>
      <c r="N173" s="92">
        <v>3</v>
      </c>
      <c r="O173" s="92">
        <v>1</v>
      </c>
      <c r="P173" s="92">
        <v>3</v>
      </c>
      <c r="Q173" s="92">
        <v>3</v>
      </c>
      <c r="S173" s="16">
        <f t="shared" si="78"/>
        <v>0</v>
      </c>
      <c r="T173" s="16">
        <f t="shared" si="79"/>
        <v>0</v>
      </c>
      <c r="U173" s="16">
        <f t="shared" si="80"/>
        <v>0</v>
      </c>
      <c r="V173" s="16">
        <f t="shared" si="81"/>
        <v>0</v>
      </c>
      <c r="W173" s="16">
        <f>IF(LARGE($P$3:$U$3,2)&lt;3,0,IF(P173&gt;$AQ$183,2,1))</f>
        <v>0</v>
      </c>
      <c r="X173" s="16">
        <f t="shared" si="87"/>
        <v>0</v>
      </c>
      <c r="Y173" s="16"/>
      <c r="Z173" s="16">
        <f t="shared" si="77"/>
        <v>0</v>
      </c>
      <c r="AA173" s="2"/>
      <c r="AB173" s="16" t="s">
        <v>432</v>
      </c>
      <c r="AC173" s="16" t="s">
        <v>433</v>
      </c>
      <c r="AD173" s="16" t="s">
        <v>434</v>
      </c>
      <c r="AE173" s="16" t="s">
        <v>432</v>
      </c>
      <c r="AF173" s="2" t="s">
        <v>435</v>
      </c>
      <c r="AG173" s="2" t="s">
        <v>435</v>
      </c>
      <c r="AH173" s="2" t="s">
        <v>356</v>
      </c>
      <c r="AI173" s="118"/>
      <c r="AJ173" s="118"/>
      <c r="AK173" s="118"/>
      <c r="AL173" s="118"/>
      <c r="AM173" s="118"/>
      <c r="AN173" s="118"/>
      <c r="AO173" s="118"/>
      <c r="AP173" s="118"/>
      <c r="AQ173" s="118"/>
      <c r="AR173" s="118"/>
      <c r="AS173" s="118"/>
      <c r="AT173" s="118"/>
      <c r="AU173" s="104"/>
    </row>
    <row r="174" spans="1:47">
      <c r="A174" s="2" t="str">
        <f>'Reference Score Calculation'!A165</f>
        <v>JS4460</v>
      </c>
      <c r="B174" s="364" t="str">
        <f>'Reference Score Calculation'!A165</f>
        <v>JS4460</v>
      </c>
      <c r="C174" s="2" t="str">
        <f>'Reference Score Calculation'!D165</f>
        <v>生物醫學工程學</v>
      </c>
      <c r="D174" s="16">
        <f>'Reference Score Calculation'!T165</f>
        <v>44</v>
      </c>
      <c r="E174" s="16">
        <v>3</v>
      </c>
      <c r="F174" s="16">
        <v>3</v>
      </c>
      <c r="G174" s="16">
        <v>3</v>
      </c>
      <c r="H174" s="16">
        <v>2</v>
      </c>
      <c r="I174" s="16">
        <v>3</v>
      </c>
      <c r="J174" s="16">
        <v>3</v>
      </c>
      <c r="L174" s="92">
        <v>3</v>
      </c>
      <c r="M174" s="92">
        <v>3</v>
      </c>
      <c r="N174" s="92">
        <v>3</v>
      </c>
      <c r="O174" s="92">
        <v>1</v>
      </c>
      <c r="P174" s="92">
        <v>3</v>
      </c>
      <c r="Q174" s="92">
        <v>3</v>
      </c>
      <c r="S174" s="16">
        <f t="shared" si="78"/>
        <v>0</v>
      </c>
      <c r="T174" s="16">
        <f t="shared" si="79"/>
        <v>0</v>
      </c>
      <c r="U174" s="16">
        <f t="shared" si="80"/>
        <v>0</v>
      </c>
      <c r="V174" s="16">
        <f t="shared" si="81"/>
        <v>0</v>
      </c>
      <c r="W174" s="73">
        <f>IF(P174&gt;$AQ$146,0,1)</f>
        <v>0</v>
      </c>
      <c r="X174" s="16">
        <f t="shared" si="87"/>
        <v>0</v>
      </c>
      <c r="Y174" s="16"/>
      <c r="Z174" s="16">
        <f t="shared" si="77"/>
        <v>0</v>
      </c>
      <c r="AA174" s="2"/>
      <c r="AB174" s="16" t="s">
        <v>432</v>
      </c>
      <c r="AC174" s="16" t="s">
        <v>433</v>
      </c>
      <c r="AD174" s="16" t="s">
        <v>434</v>
      </c>
      <c r="AE174" s="16" t="s">
        <v>432</v>
      </c>
      <c r="AF174" s="21" t="s">
        <v>490</v>
      </c>
      <c r="AG174" s="2" t="s">
        <v>435</v>
      </c>
      <c r="AH174" s="2" t="s">
        <v>356</v>
      </c>
      <c r="AI174" s="118"/>
      <c r="AJ174" s="118" t="str">
        <f t="shared" ref="AJ174:AS175" si="89">L2</f>
        <v>中國語文</v>
      </c>
      <c r="AK174" s="118" t="str">
        <f t="shared" si="89"/>
        <v>英國語文</v>
      </c>
      <c r="AL174" s="118" t="str">
        <f t="shared" si="89"/>
        <v>數學</v>
      </c>
      <c r="AM174" s="118" t="str">
        <f t="shared" si="89"/>
        <v>公社科</v>
      </c>
      <c r="AN174" s="118" t="str">
        <f t="shared" si="89"/>
        <v>數學延伸</v>
      </c>
      <c r="AO174" s="118" t="str">
        <f t="shared" si="89"/>
        <v>請選擇第一選修科</v>
      </c>
      <c r="AP174" s="118" t="str">
        <f t="shared" si="89"/>
        <v>請選擇第二選修科</v>
      </c>
      <c r="AQ174" s="118" t="str">
        <f t="shared" si="89"/>
        <v>請選擇第三選修科</v>
      </c>
      <c r="AR174" s="118" t="str">
        <f t="shared" si="89"/>
        <v>請選擇第四選修科</v>
      </c>
      <c r="AS174" s="118" t="str">
        <f t="shared" si="89"/>
        <v>請選擇語言科目</v>
      </c>
      <c r="AT174" s="104"/>
      <c r="AU174" s="104"/>
    </row>
    <row r="175" spans="1:47">
      <c r="A175" s="2" t="str">
        <f>'Reference Score Calculation'!A166</f>
        <v>JS4462</v>
      </c>
      <c r="B175" s="364" t="str">
        <f>'Reference Score Calculation'!A166</f>
        <v>JS4462</v>
      </c>
      <c r="C175" s="2" t="str">
        <f>'Reference Score Calculation'!D166</f>
        <v>能源與環境工程學</v>
      </c>
      <c r="D175" s="16">
        <f>'Reference Score Calculation'!T166</f>
        <v>28</v>
      </c>
      <c r="E175" s="16">
        <v>3</v>
      </c>
      <c r="F175" s="16">
        <v>3</v>
      </c>
      <c r="G175" s="16">
        <v>3</v>
      </c>
      <c r="H175" s="16">
        <v>2</v>
      </c>
      <c r="I175" s="16">
        <v>3</v>
      </c>
      <c r="J175" s="16">
        <v>3</v>
      </c>
      <c r="L175" s="92">
        <v>3</v>
      </c>
      <c r="M175" s="92">
        <v>3</v>
      </c>
      <c r="N175" s="92">
        <v>3</v>
      </c>
      <c r="O175" s="92">
        <v>1</v>
      </c>
      <c r="P175" s="92">
        <v>3</v>
      </c>
      <c r="Q175" s="92">
        <v>3</v>
      </c>
      <c r="S175" s="16">
        <f t="shared" si="78"/>
        <v>0</v>
      </c>
      <c r="T175" s="16">
        <f t="shared" si="79"/>
        <v>0</v>
      </c>
      <c r="U175" s="16">
        <f t="shared" si="80"/>
        <v>0</v>
      </c>
      <c r="V175" s="16">
        <f t="shared" si="81"/>
        <v>0</v>
      </c>
      <c r="W175" s="73">
        <f>IF(P175&gt;$AQ$151,0,1)</f>
        <v>0</v>
      </c>
      <c r="X175" s="16">
        <f t="shared" si="87"/>
        <v>0</v>
      </c>
      <c r="Y175" s="16"/>
      <c r="Z175" s="16">
        <f t="shared" si="77"/>
        <v>0</v>
      </c>
      <c r="AA175" s="2"/>
      <c r="AB175" s="16" t="s">
        <v>432</v>
      </c>
      <c r="AC175" s="16" t="s">
        <v>433</v>
      </c>
      <c r="AD175" s="16" t="s">
        <v>434</v>
      </c>
      <c r="AE175" s="16" t="s">
        <v>432</v>
      </c>
      <c r="AF175" s="21" t="s">
        <v>492</v>
      </c>
      <c r="AG175" s="2" t="s">
        <v>435</v>
      </c>
      <c r="AH175" s="2" t="s">
        <v>356</v>
      </c>
      <c r="AI175" s="118" t="s">
        <v>501</v>
      </c>
      <c r="AJ175" s="119">
        <f t="shared" si="89"/>
        <v>4.0000000000000001E-10</v>
      </c>
      <c r="AK175" s="119">
        <f t="shared" si="89"/>
        <v>2.0000000000000001E-10</v>
      </c>
      <c r="AL175" s="119">
        <f t="shared" si="89"/>
        <v>3E-10</v>
      </c>
      <c r="AM175" s="119">
        <f t="shared" si="89"/>
        <v>0</v>
      </c>
      <c r="AN175" s="119">
        <f t="shared" si="89"/>
        <v>5.0000000000000003E-10</v>
      </c>
      <c r="AO175" s="119">
        <f t="shared" si="89"/>
        <v>6E-10</v>
      </c>
      <c r="AP175" s="119">
        <f t="shared" si="89"/>
        <v>6.9999999999999996E-10</v>
      </c>
      <c r="AQ175" s="119">
        <f t="shared" si="89"/>
        <v>8.0000000000000003E-10</v>
      </c>
      <c r="AR175" s="119">
        <f t="shared" si="89"/>
        <v>8.9999999999999999E-10</v>
      </c>
      <c r="AS175" s="119">
        <f t="shared" si="89"/>
        <v>0</v>
      </c>
      <c r="AT175" s="104"/>
      <c r="AU175" s="104"/>
    </row>
    <row r="176" spans="1:47">
      <c r="A176" s="2" t="str">
        <f>'Reference Score Calculation'!A167</f>
        <v>JS4468</v>
      </c>
      <c r="B176" s="364" t="str">
        <f>'Reference Score Calculation'!A167</f>
        <v>JS4468</v>
      </c>
      <c r="C176" s="2" t="str">
        <f>'Reference Score Calculation'!D167</f>
        <v>人工智能：系統與科技</v>
      </c>
      <c r="D176" s="16">
        <f>'Reference Score Calculation'!T167</f>
        <v>30</v>
      </c>
      <c r="E176" s="16">
        <v>3</v>
      </c>
      <c r="F176" s="16">
        <v>4</v>
      </c>
      <c r="G176" s="16">
        <v>5</v>
      </c>
      <c r="H176" s="16">
        <v>3</v>
      </c>
      <c r="I176" s="16">
        <v>3</v>
      </c>
      <c r="J176" s="16">
        <v>3</v>
      </c>
      <c r="L176" s="92">
        <v>3</v>
      </c>
      <c r="M176" s="92">
        <v>4</v>
      </c>
      <c r="N176" s="92">
        <v>5</v>
      </c>
      <c r="O176" s="92">
        <v>1</v>
      </c>
      <c r="P176" s="92">
        <v>3</v>
      </c>
      <c r="Q176" s="92">
        <v>3</v>
      </c>
      <c r="S176" s="16">
        <f t="shared" si="78"/>
        <v>0</v>
      </c>
      <c r="T176" s="16">
        <f t="shared" si="79"/>
        <v>0</v>
      </c>
      <c r="U176" s="73">
        <f>AL159</f>
        <v>0</v>
      </c>
      <c r="V176" s="16">
        <f t="shared" si="81"/>
        <v>0</v>
      </c>
      <c r="W176" s="16">
        <f t="shared" si="82"/>
        <v>0</v>
      </c>
      <c r="X176" s="16">
        <f t="shared" si="87"/>
        <v>0</v>
      </c>
      <c r="Y176" s="16"/>
      <c r="Z176" s="16">
        <f t="shared" si="77"/>
        <v>0</v>
      </c>
      <c r="AA176" s="2"/>
      <c r="AB176" s="16" t="s">
        <v>432</v>
      </c>
      <c r="AC176" s="16" t="s">
        <v>433</v>
      </c>
      <c r="AD176" s="16" t="s">
        <v>434</v>
      </c>
      <c r="AE176" s="16" t="s">
        <v>434</v>
      </c>
      <c r="AF176" s="2" t="s">
        <v>497</v>
      </c>
      <c r="AG176" s="2" t="s">
        <v>3042</v>
      </c>
      <c r="AH176" s="2" t="s">
        <v>356</v>
      </c>
      <c r="AI176" s="129" t="s">
        <v>502</v>
      </c>
      <c r="AJ176" s="118" t="b">
        <f t="shared" ref="AJ176:AS176" si="90">IF(AJ175&gt;LARGE($AJ$175:$AS$175,8),TRUE)</f>
        <v>1</v>
      </c>
      <c r="AK176" s="118" t="b">
        <f t="shared" si="90"/>
        <v>0</v>
      </c>
      <c r="AL176" s="118" t="b">
        <f t="shared" si="90"/>
        <v>1</v>
      </c>
      <c r="AM176" s="118" t="b">
        <f t="shared" si="90"/>
        <v>0</v>
      </c>
      <c r="AN176" s="118" t="b">
        <f t="shared" si="90"/>
        <v>1</v>
      </c>
      <c r="AO176" s="118" t="b">
        <f t="shared" si="90"/>
        <v>1</v>
      </c>
      <c r="AP176" s="118" t="b">
        <f t="shared" si="90"/>
        <v>1</v>
      </c>
      <c r="AQ176" s="118" t="b">
        <f t="shared" si="90"/>
        <v>1</v>
      </c>
      <c r="AR176" s="118" t="b">
        <f t="shared" si="90"/>
        <v>1</v>
      </c>
      <c r="AS176" s="118" t="b">
        <f t="shared" si="90"/>
        <v>0</v>
      </c>
      <c r="AT176" s="104"/>
      <c r="AU176" s="104"/>
    </row>
    <row r="177" spans="1:47">
      <c r="A177" s="2" t="str">
        <f>'Reference Score Calculation'!A168</f>
        <v>JS4501</v>
      </c>
      <c r="B177" s="364" t="str">
        <f>'Reference Score Calculation'!A168</f>
        <v>JS4501</v>
      </c>
      <c r="C177" s="2" t="str">
        <f>'Reference Score Calculation'!D168</f>
        <v>內外全科醫學士課程</v>
      </c>
      <c r="D177" s="16">
        <f>'Reference Score Calculation'!T168</f>
        <v>295</v>
      </c>
      <c r="E177" s="16">
        <v>3</v>
      </c>
      <c r="F177" s="16">
        <v>4</v>
      </c>
      <c r="G177" s="16">
        <v>3</v>
      </c>
      <c r="H177" s="16">
        <v>3</v>
      </c>
      <c r="I177" s="16">
        <v>3</v>
      </c>
      <c r="J177" s="16">
        <v>3</v>
      </c>
      <c r="L177" s="92">
        <v>3</v>
      </c>
      <c r="M177" s="92">
        <v>4</v>
      </c>
      <c r="N177" s="92">
        <v>3</v>
      </c>
      <c r="O177" s="92">
        <v>1</v>
      </c>
      <c r="P177" s="92">
        <v>3</v>
      </c>
      <c r="Q177" s="92">
        <v>3</v>
      </c>
      <c r="S177" s="16">
        <f t="shared" si="78"/>
        <v>0</v>
      </c>
      <c r="T177" s="16">
        <f t="shared" si="79"/>
        <v>0</v>
      </c>
      <c r="U177" s="16">
        <f t="shared" si="80"/>
        <v>0</v>
      </c>
      <c r="V177" s="16">
        <f t="shared" si="81"/>
        <v>0</v>
      </c>
      <c r="W177" s="73">
        <f>IF(P177&gt;$AQ$162,0,1)</f>
        <v>0</v>
      </c>
      <c r="X177" s="16">
        <f t="shared" si="87"/>
        <v>0</v>
      </c>
      <c r="Y177" s="16"/>
      <c r="Z177" s="16">
        <f t="shared" si="77"/>
        <v>0</v>
      </c>
      <c r="AA177" s="2"/>
      <c r="AB177" s="16" t="s">
        <v>432</v>
      </c>
      <c r="AC177" s="16" t="s">
        <v>433</v>
      </c>
      <c r="AD177" s="16" t="s">
        <v>434</v>
      </c>
      <c r="AE177" s="16" t="s">
        <v>434</v>
      </c>
      <c r="AF177" s="21" t="s">
        <v>461</v>
      </c>
      <c r="AG177" s="2" t="s">
        <v>498</v>
      </c>
      <c r="AH177" s="2" t="s">
        <v>356</v>
      </c>
      <c r="AI177" s="129" t="s">
        <v>503</v>
      </c>
      <c r="AJ177" s="118" t="b">
        <f>IF(AJ175&gt;7,TRUE)</f>
        <v>0</v>
      </c>
      <c r="AK177" s="118" t="b">
        <f t="shared" ref="AK177:AS177" si="91">IF(AK175&gt;7,TRUE)</f>
        <v>0</v>
      </c>
      <c r="AL177" s="118" t="b">
        <f t="shared" si="91"/>
        <v>0</v>
      </c>
      <c r="AM177" s="118" t="b">
        <f t="shared" si="91"/>
        <v>0</v>
      </c>
      <c r="AN177" s="118" t="b">
        <f t="shared" si="91"/>
        <v>0</v>
      </c>
      <c r="AO177" s="118" t="b">
        <f t="shared" si="91"/>
        <v>0</v>
      </c>
      <c r="AP177" s="118" t="b">
        <f t="shared" si="91"/>
        <v>0</v>
      </c>
      <c r="AQ177" s="118" t="b">
        <f t="shared" si="91"/>
        <v>0</v>
      </c>
      <c r="AR177" s="118" t="b">
        <f t="shared" si="91"/>
        <v>0</v>
      </c>
      <c r="AS177" s="118" t="b">
        <f t="shared" si="91"/>
        <v>0</v>
      </c>
      <c r="AT177" s="104"/>
      <c r="AU177" s="104"/>
    </row>
    <row r="178" spans="1:47">
      <c r="A178" s="2" t="str">
        <f>'Reference Score Calculation'!A169</f>
        <v>JS4502</v>
      </c>
      <c r="B178" s="364" t="str">
        <f>'Reference Score Calculation'!A169</f>
        <v>JS4502</v>
      </c>
      <c r="C178" s="2" t="str">
        <f>'Reference Score Calculation'!D169</f>
        <v>內外全科醫學士課程環球醫學領袖培訓專修組別</v>
      </c>
      <c r="D178" s="16">
        <f>'Reference Score Calculation'!T169</f>
        <v>30</v>
      </c>
      <c r="E178" s="16">
        <v>3</v>
      </c>
      <c r="F178" s="16">
        <v>4</v>
      </c>
      <c r="G178" s="16">
        <v>3</v>
      </c>
      <c r="H178" s="16">
        <v>3</v>
      </c>
      <c r="I178" s="16">
        <v>3</v>
      </c>
      <c r="J178" s="16">
        <v>3</v>
      </c>
      <c r="L178" s="92">
        <v>3</v>
      </c>
      <c r="M178" s="92">
        <v>4</v>
      </c>
      <c r="N178" s="92">
        <v>3</v>
      </c>
      <c r="O178" s="92">
        <v>1</v>
      </c>
      <c r="P178" s="92">
        <v>3</v>
      </c>
      <c r="Q178" s="92">
        <v>3</v>
      </c>
      <c r="S178" s="16">
        <f t="shared" si="78"/>
        <v>0</v>
      </c>
      <c r="T178" s="16">
        <f t="shared" si="79"/>
        <v>0</v>
      </c>
      <c r="U178" s="16">
        <f t="shared" si="80"/>
        <v>0</v>
      </c>
      <c r="V178" s="16">
        <f t="shared" si="81"/>
        <v>0</v>
      </c>
      <c r="W178" s="73">
        <f>IF(P178&gt;$AQ$162,0,1)</f>
        <v>0</v>
      </c>
      <c r="X178" s="16">
        <f t="shared" si="87"/>
        <v>0</v>
      </c>
      <c r="Y178" s="16"/>
      <c r="Z178" s="16">
        <f>S178*T178*U178*V178*W178*X178</f>
        <v>0</v>
      </c>
      <c r="AA178" s="2"/>
      <c r="AB178" s="16" t="s">
        <v>432</v>
      </c>
      <c r="AC178" s="16" t="s">
        <v>433</v>
      </c>
      <c r="AD178" s="16" t="s">
        <v>434</v>
      </c>
      <c r="AE178" s="16" t="s">
        <v>434</v>
      </c>
      <c r="AF178" s="21" t="s">
        <v>499</v>
      </c>
      <c r="AG178" s="2" t="s">
        <v>500</v>
      </c>
      <c r="AH178" s="2" t="s">
        <v>356</v>
      </c>
      <c r="AI178" s="118"/>
      <c r="AJ178" s="118"/>
      <c r="AK178" s="118"/>
      <c r="AL178" s="118"/>
      <c r="AM178" s="118"/>
      <c r="AN178" s="118"/>
      <c r="AO178" s="118"/>
      <c r="AP178" s="104"/>
      <c r="AQ178" s="104"/>
      <c r="AR178" s="104"/>
      <c r="AS178" s="104"/>
      <c r="AT178" s="104"/>
      <c r="AU178" s="104"/>
    </row>
    <row r="179" spans="1:47">
      <c r="A179" s="2" t="str">
        <f>'Reference Score Calculation'!A170</f>
        <v>JS4513</v>
      </c>
      <c r="B179" s="364" t="str">
        <f>'Reference Score Calculation'!A170</f>
        <v>JS4513</v>
      </c>
      <c r="C179" s="2" t="str">
        <f>'Reference Score Calculation'!D170</f>
        <v>護理學</v>
      </c>
      <c r="D179" s="16">
        <f>'Reference Score Calculation'!T170</f>
        <v>217</v>
      </c>
      <c r="E179" s="16">
        <v>3</v>
      </c>
      <c r="F179" s="16">
        <v>3</v>
      </c>
      <c r="G179" s="16">
        <v>2</v>
      </c>
      <c r="H179" s="16">
        <v>2</v>
      </c>
      <c r="I179" s="16">
        <v>3</v>
      </c>
      <c r="J179" s="16">
        <v>3</v>
      </c>
      <c r="L179" s="92">
        <v>3</v>
      </c>
      <c r="M179" s="92">
        <v>3</v>
      </c>
      <c r="N179" s="92">
        <v>2</v>
      </c>
      <c r="O179" s="92">
        <v>1</v>
      </c>
      <c r="P179" s="92">
        <v>3</v>
      </c>
      <c r="Q179" s="92">
        <v>3</v>
      </c>
      <c r="S179" s="16">
        <f t="shared" si="78"/>
        <v>0</v>
      </c>
      <c r="T179" s="16">
        <f t="shared" si="79"/>
        <v>0</v>
      </c>
      <c r="U179" s="16">
        <f t="shared" si="80"/>
        <v>0</v>
      </c>
      <c r="V179" s="16">
        <f t="shared" si="81"/>
        <v>0</v>
      </c>
      <c r="W179" s="16">
        <f t="shared" si="82"/>
        <v>0</v>
      </c>
      <c r="X179" s="16">
        <f t="shared" si="87"/>
        <v>0</v>
      </c>
      <c r="Y179" s="16"/>
      <c r="Z179" s="16">
        <f t="shared" si="77"/>
        <v>0</v>
      </c>
      <c r="AA179" s="2"/>
      <c r="AB179" s="16" t="s">
        <v>432</v>
      </c>
      <c r="AC179" s="16" t="s">
        <v>433</v>
      </c>
      <c r="AD179" s="16" t="s">
        <v>434</v>
      </c>
      <c r="AE179" s="16" t="s">
        <v>432</v>
      </c>
      <c r="AF179" s="2" t="s">
        <v>435</v>
      </c>
      <c r="AG179" s="2" t="s">
        <v>435</v>
      </c>
      <c r="AH179" s="2" t="s">
        <v>356</v>
      </c>
      <c r="AI179" s="118"/>
      <c r="AJ179" s="118" t="s">
        <v>504</v>
      </c>
      <c r="AK179" s="119">
        <f>IF(SUMIF(AJ176:AS176,TRUE,AJ175:AS175)&lt;46,0,1)</f>
        <v>0</v>
      </c>
      <c r="AL179" s="118"/>
      <c r="AM179" s="118" t="s">
        <v>505</v>
      </c>
      <c r="AN179" s="119">
        <f>IF(COUNTIF(AJ177:AS177,TRUE)&lt;4,0,1)</f>
        <v>0</v>
      </c>
      <c r="AO179" s="118"/>
      <c r="AP179" s="104" t="s">
        <v>506</v>
      </c>
      <c r="AQ179" s="16">
        <f>AK179*AN179</f>
        <v>0</v>
      </c>
      <c r="AR179" s="104"/>
      <c r="AS179" s="104"/>
      <c r="AT179" s="104"/>
      <c r="AU179" s="104"/>
    </row>
    <row r="180" spans="1:47">
      <c r="A180" s="2" t="str">
        <f>'Reference Score Calculation'!A171</f>
        <v>JS4525</v>
      </c>
      <c r="B180" s="364" t="str">
        <f>'Reference Score Calculation'!A171</f>
        <v>JS4525</v>
      </c>
      <c r="C180" s="2" t="str">
        <f>'Reference Score Calculation'!D171</f>
        <v>藥劑學</v>
      </c>
      <c r="D180" s="16">
        <f>'Reference Score Calculation'!T171</f>
        <v>59</v>
      </c>
      <c r="E180" s="16">
        <v>3</v>
      </c>
      <c r="F180" s="16">
        <v>3</v>
      </c>
      <c r="G180" s="16">
        <v>3</v>
      </c>
      <c r="H180" s="16">
        <v>3</v>
      </c>
      <c r="I180" s="16">
        <v>3</v>
      </c>
      <c r="J180" s="16">
        <v>3</v>
      </c>
      <c r="L180" s="92">
        <v>3</v>
      </c>
      <c r="M180" s="92">
        <v>3</v>
      </c>
      <c r="N180" s="92">
        <v>3</v>
      </c>
      <c r="O180" s="92">
        <v>1</v>
      </c>
      <c r="P180" s="92">
        <v>3</v>
      </c>
      <c r="Q180" s="92">
        <v>3</v>
      </c>
      <c r="S180" s="16">
        <f t="shared" si="78"/>
        <v>0</v>
      </c>
      <c r="T180" s="16">
        <f t="shared" si="79"/>
        <v>0</v>
      </c>
      <c r="U180" s="16">
        <f t="shared" si="80"/>
        <v>0</v>
      </c>
      <c r="V180" s="16">
        <f t="shared" si="81"/>
        <v>0</v>
      </c>
      <c r="W180" s="16">
        <f>IF(LARGE($P$3:$U$3,1)&lt;3,0,IF(P180&gt;$AQ$187,2,1))</f>
        <v>0</v>
      </c>
      <c r="X180" s="16">
        <f t="shared" si="87"/>
        <v>0</v>
      </c>
      <c r="Y180" s="16"/>
      <c r="Z180" s="16">
        <f t="shared" si="77"/>
        <v>0</v>
      </c>
      <c r="AA180" s="2"/>
      <c r="AB180" s="16" t="s">
        <v>432</v>
      </c>
      <c r="AC180" s="16" t="s">
        <v>433</v>
      </c>
      <c r="AD180" s="16" t="s">
        <v>434</v>
      </c>
      <c r="AE180" s="16" t="s">
        <v>434</v>
      </c>
      <c r="AF180" s="2" t="s">
        <v>435</v>
      </c>
      <c r="AG180" s="2" t="s">
        <v>435</v>
      </c>
      <c r="AH180" s="2" t="s">
        <v>356</v>
      </c>
      <c r="AI180" s="118"/>
      <c r="AJ180" s="118"/>
      <c r="AK180" s="118"/>
      <c r="AL180" s="118"/>
      <c r="AM180" s="118"/>
      <c r="AN180" s="118"/>
      <c r="AO180" s="118"/>
      <c r="AP180" s="104"/>
      <c r="AQ180" s="104"/>
      <c r="AR180" s="104"/>
      <c r="AS180" s="104"/>
      <c r="AT180" s="104"/>
      <c r="AU180" s="104"/>
    </row>
    <row r="181" spans="1:47">
      <c r="A181" s="2" t="str">
        <f>'Reference Score Calculation'!A172</f>
        <v>JS4537</v>
      </c>
      <c r="B181" s="364" t="str">
        <f>'Reference Score Calculation'!A172</f>
        <v>JS4537</v>
      </c>
      <c r="C181" s="2" t="str">
        <f>'Reference Score Calculation'!D172</f>
        <v>公共衞生</v>
      </c>
      <c r="D181" s="16">
        <f>'Reference Score Calculation'!T172</f>
        <v>31</v>
      </c>
      <c r="E181" s="16">
        <v>3</v>
      </c>
      <c r="F181" s="16">
        <v>3</v>
      </c>
      <c r="G181" s="16">
        <v>2</v>
      </c>
      <c r="H181" s="16">
        <v>2</v>
      </c>
      <c r="I181" s="16">
        <v>3</v>
      </c>
      <c r="J181" s="16">
        <v>3</v>
      </c>
      <c r="L181" s="92">
        <v>3</v>
      </c>
      <c r="M181" s="92">
        <v>3</v>
      </c>
      <c r="N181" s="92">
        <v>2</v>
      </c>
      <c r="O181" s="92">
        <v>1</v>
      </c>
      <c r="P181" s="92">
        <v>3</v>
      </c>
      <c r="Q181" s="92">
        <v>3</v>
      </c>
      <c r="S181" s="16">
        <f t="shared" si="78"/>
        <v>0</v>
      </c>
      <c r="T181" s="16">
        <f t="shared" si="79"/>
        <v>0</v>
      </c>
      <c r="U181" s="16">
        <f t="shared" si="80"/>
        <v>0</v>
      </c>
      <c r="V181" s="16">
        <f t="shared" si="81"/>
        <v>0</v>
      </c>
      <c r="W181" s="16">
        <f t="shared" si="82"/>
        <v>0</v>
      </c>
      <c r="X181" s="16">
        <f t="shared" si="87"/>
        <v>0</v>
      </c>
      <c r="Y181" s="16"/>
      <c r="Z181" s="16">
        <f t="shared" si="77"/>
        <v>0</v>
      </c>
      <c r="AA181" s="2"/>
      <c r="AB181" s="16" t="s">
        <v>432</v>
      </c>
      <c r="AC181" s="16" t="s">
        <v>433</v>
      </c>
      <c r="AD181" s="16" t="s">
        <v>434</v>
      </c>
      <c r="AE181" s="16" t="s">
        <v>432</v>
      </c>
      <c r="AF181" s="2" t="s">
        <v>435</v>
      </c>
      <c r="AG181" s="2" t="s">
        <v>435</v>
      </c>
      <c r="AH181" s="2" t="s">
        <v>356</v>
      </c>
      <c r="AI181" s="118"/>
      <c r="AJ181" s="118"/>
      <c r="AK181" s="118"/>
      <c r="AL181" s="118"/>
      <c r="AM181" s="118"/>
      <c r="AN181" s="118"/>
      <c r="AO181" s="118"/>
      <c r="AP181" s="104"/>
      <c r="AQ181" s="104"/>
      <c r="AR181" s="104"/>
      <c r="AS181" s="104"/>
      <c r="AT181" s="104"/>
      <c r="AU181" s="104"/>
    </row>
    <row r="182" spans="1:47">
      <c r="A182" s="2" t="str">
        <f>'Reference Score Calculation'!A173</f>
        <v>JS4542</v>
      </c>
      <c r="B182" s="364" t="str">
        <f>'Reference Score Calculation'!A173</f>
        <v>JS4542</v>
      </c>
      <c r="C182" s="2" t="str">
        <f>'Reference Score Calculation'!D173</f>
        <v>中醫學</v>
      </c>
      <c r="D182" s="16">
        <f>'Reference Score Calculation'!T173</f>
        <v>20</v>
      </c>
      <c r="E182" s="16">
        <v>3</v>
      </c>
      <c r="F182" s="16">
        <v>3</v>
      </c>
      <c r="G182" s="16">
        <v>2</v>
      </c>
      <c r="H182" s="16">
        <v>2</v>
      </c>
      <c r="I182" s="16">
        <v>3</v>
      </c>
      <c r="J182" s="16">
        <v>3</v>
      </c>
      <c r="L182" s="92">
        <v>3</v>
      </c>
      <c r="M182" s="92">
        <v>3</v>
      </c>
      <c r="N182" s="92">
        <v>2</v>
      </c>
      <c r="O182" s="92">
        <v>1</v>
      </c>
      <c r="P182" s="92">
        <v>3</v>
      </c>
      <c r="Q182" s="92">
        <v>3</v>
      </c>
      <c r="S182" s="16">
        <f t="shared" si="78"/>
        <v>0</v>
      </c>
      <c r="T182" s="16">
        <f t="shared" si="79"/>
        <v>0</v>
      </c>
      <c r="U182" s="16">
        <f t="shared" si="80"/>
        <v>0</v>
      </c>
      <c r="V182" s="16">
        <f t="shared" si="81"/>
        <v>0</v>
      </c>
      <c r="W182" s="16">
        <f t="shared" si="82"/>
        <v>0</v>
      </c>
      <c r="X182" s="16">
        <f t="shared" si="87"/>
        <v>0</v>
      </c>
      <c r="Y182" s="16"/>
      <c r="Z182" s="16">
        <f t="shared" si="77"/>
        <v>0</v>
      </c>
      <c r="AA182" s="2"/>
      <c r="AB182" s="16" t="s">
        <v>432</v>
      </c>
      <c r="AC182" s="16" t="s">
        <v>433</v>
      </c>
      <c r="AD182" s="16" t="s">
        <v>434</v>
      </c>
      <c r="AE182" s="16" t="s">
        <v>432</v>
      </c>
      <c r="AF182" s="2" t="s">
        <v>435</v>
      </c>
      <c r="AG182" s="2" t="s">
        <v>435</v>
      </c>
      <c r="AH182" s="2" t="s">
        <v>356</v>
      </c>
      <c r="AI182" s="118"/>
      <c r="AJ182" s="118" t="str">
        <f>Q2</f>
        <v>請選擇第一選修科</v>
      </c>
      <c r="AK182" s="118" t="str">
        <f>R2</f>
        <v>請選擇第二選修科</v>
      </c>
      <c r="AL182" s="118" t="str">
        <f>S2</f>
        <v>請選擇第三選修科</v>
      </c>
      <c r="AM182" s="118" t="str">
        <f>T2</f>
        <v>請選擇第四選修科</v>
      </c>
      <c r="AN182" s="118" t="s">
        <v>325</v>
      </c>
      <c r="AO182" s="118"/>
      <c r="AP182" s="118" t="s">
        <v>471</v>
      </c>
      <c r="AQ182" s="104"/>
      <c r="AR182" s="104"/>
      <c r="AS182" s="104"/>
      <c r="AT182" s="104"/>
      <c r="AU182" s="104"/>
    </row>
    <row r="183" spans="1:47">
      <c r="A183" s="2" t="str">
        <f>'Reference Score Calculation'!A174</f>
        <v>JS4550</v>
      </c>
      <c r="B183" s="364" t="str">
        <f>'Reference Score Calculation'!A174</f>
        <v>JS4550</v>
      </c>
      <c r="C183" s="2" t="str">
        <f>'Reference Score Calculation'!D174</f>
        <v>生物醫學</v>
      </c>
      <c r="D183" s="16">
        <f>'Reference Score Calculation'!T174</f>
        <v>19</v>
      </c>
      <c r="E183" s="16">
        <v>3</v>
      </c>
      <c r="F183" s="16">
        <v>3</v>
      </c>
      <c r="G183" s="16">
        <v>3</v>
      </c>
      <c r="H183" s="16">
        <v>2</v>
      </c>
      <c r="I183" s="16">
        <v>3</v>
      </c>
      <c r="J183" s="16">
        <v>3</v>
      </c>
      <c r="L183" s="92">
        <v>3</v>
      </c>
      <c r="M183" s="92">
        <v>3</v>
      </c>
      <c r="N183" s="92">
        <v>3</v>
      </c>
      <c r="O183" s="92">
        <v>1</v>
      </c>
      <c r="P183" s="92">
        <v>3</v>
      </c>
      <c r="Q183" s="92">
        <v>3</v>
      </c>
      <c r="S183" s="16">
        <f t="shared" si="78"/>
        <v>0</v>
      </c>
      <c r="T183" s="16">
        <f t="shared" si="79"/>
        <v>0</v>
      </c>
      <c r="U183" s="16">
        <f t="shared" si="80"/>
        <v>0</v>
      </c>
      <c r="V183" s="16">
        <f t="shared" si="81"/>
        <v>0</v>
      </c>
      <c r="W183" s="73">
        <f>IF(P183&gt;$AQ$162,0,1)</f>
        <v>0</v>
      </c>
      <c r="X183" s="16">
        <f>IF(Q183&gt;LARGE($P$3:$T$3,2),0,1)</f>
        <v>0</v>
      </c>
      <c r="Y183" s="16"/>
      <c r="Z183" s="16">
        <f t="shared" si="77"/>
        <v>0</v>
      </c>
      <c r="AA183" s="2"/>
      <c r="AB183" s="16" t="s">
        <v>432</v>
      </c>
      <c r="AC183" s="16" t="s">
        <v>434</v>
      </c>
      <c r="AD183" s="16" t="s">
        <v>434</v>
      </c>
      <c r="AE183" s="16" t="s">
        <v>432</v>
      </c>
      <c r="AF183" s="21" t="s">
        <v>461</v>
      </c>
      <c r="AG183" s="2" t="s">
        <v>435</v>
      </c>
      <c r="AH183" s="2" t="s">
        <v>356</v>
      </c>
      <c r="AI183" s="118" t="s">
        <v>1432</v>
      </c>
      <c r="AJ183" s="119">
        <f>IF(OR(Q2="物理",Q2="化學",Q2="生物",Q2="經濟",Q2="資訊及通訊科技",Q2="企業、會計與財務概論"),Q3,0)</f>
        <v>0</v>
      </c>
      <c r="AK183" s="119">
        <f>IF(OR(R2="物理",R2="化學",R2="生物",R2="經濟",R2="資訊及通訊科技",R2="企業、會計與財務概論"),R3,0)</f>
        <v>0</v>
      </c>
      <c r="AL183" s="119">
        <f>IF(OR(S2="物理",S2="化學",S2="生物",S2="經濟",S2="資訊及通訊科技",S2="企業、會計與財務概論"),S3,0)</f>
        <v>0</v>
      </c>
      <c r="AM183" s="119">
        <f>IF(OR(T2="物理",T2="化學",T2="生物",T2="經濟",T2="資訊及通訊科技",T2="企業、會計與財務概論"),T3,0)</f>
        <v>0</v>
      </c>
      <c r="AN183" s="119">
        <f>P3</f>
        <v>5.0000000000000003E-10</v>
      </c>
      <c r="AO183" s="118"/>
      <c r="AP183" s="16" t="str">
        <f>IF(AQ183&gt;0,INDEX(AJ182:AN182,MATCH(LARGE(AJ183:AN183,1),AJ183:AN183,0)),"無")</f>
        <v>數學延伸</v>
      </c>
      <c r="AQ183" s="16">
        <f>LARGE((AJ183:AN183),1)</f>
        <v>5.0000000000000003E-10</v>
      </c>
      <c r="AR183" s="104"/>
      <c r="AS183" s="104"/>
      <c r="AT183" s="104"/>
      <c r="AU183" s="104"/>
    </row>
    <row r="184" spans="1:47">
      <c r="A184" s="2" t="str">
        <f>'Reference Score Calculation'!A175</f>
        <v>JS4601</v>
      </c>
      <c r="B184" s="364" t="str">
        <f>'Reference Score Calculation'!A175</f>
        <v>JS4601</v>
      </c>
      <c r="C184" s="2" t="str">
        <f>'Reference Score Calculation'!D175</f>
        <v>理學</v>
      </c>
      <c r="D184" s="16">
        <f>'Reference Score Calculation'!T175</f>
        <v>352</v>
      </c>
      <c r="E184" s="16">
        <v>3</v>
      </c>
      <c r="F184" s="16">
        <v>3</v>
      </c>
      <c r="G184" s="16">
        <v>2</v>
      </c>
      <c r="H184" s="16">
        <v>2</v>
      </c>
      <c r="I184" s="16">
        <v>3</v>
      </c>
      <c r="J184" s="16">
        <v>3</v>
      </c>
      <c r="L184" s="92">
        <v>3</v>
      </c>
      <c r="M184" s="92">
        <v>3</v>
      </c>
      <c r="N184" s="92">
        <v>2</v>
      </c>
      <c r="O184" s="92">
        <v>1</v>
      </c>
      <c r="P184" s="92">
        <v>3</v>
      </c>
      <c r="Q184" s="92">
        <v>3</v>
      </c>
      <c r="S184" s="16">
        <f t="shared" si="78"/>
        <v>0</v>
      </c>
      <c r="T184" s="16">
        <f t="shared" si="79"/>
        <v>0</v>
      </c>
      <c r="U184" s="16">
        <f t="shared" si="80"/>
        <v>0</v>
      </c>
      <c r="V184" s="16">
        <f t="shared" si="81"/>
        <v>0</v>
      </c>
      <c r="W184" s="73">
        <f>IF(P184&gt;$AQ$146,0,1)</f>
        <v>0</v>
      </c>
      <c r="X184" s="16">
        <f t="shared" ref="X184" si="92">IF(Q184&gt;LARGE($P$3:$T$3,2),0,1)</f>
        <v>0</v>
      </c>
      <c r="Y184" s="16"/>
      <c r="Z184" s="16">
        <f t="shared" si="77"/>
        <v>0</v>
      </c>
      <c r="AA184" s="2"/>
      <c r="AB184" s="16" t="s">
        <v>432</v>
      </c>
      <c r="AC184" s="16" t="s">
        <v>434</v>
      </c>
      <c r="AD184" s="16" t="s">
        <v>434</v>
      </c>
      <c r="AE184" s="16" t="s">
        <v>432</v>
      </c>
      <c r="AF184" s="21" t="s">
        <v>507</v>
      </c>
      <c r="AG184" s="2" t="s">
        <v>356</v>
      </c>
      <c r="AH184" s="2" t="s">
        <v>356</v>
      </c>
      <c r="AI184" s="118"/>
      <c r="AJ184" s="163" t="s">
        <v>3045</v>
      </c>
      <c r="AK184" s="118"/>
      <c r="AL184" s="118"/>
      <c r="AM184" s="118"/>
      <c r="AN184" s="118"/>
      <c r="AO184" s="118"/>
      <c r="AP184" s="104"/>
      <c r="AQ184" s="104"/>
      <c r="AR184" s="104"/>
      <c r="AS184" s="104"/>
      <c r="AT184" s="104"/>
      <c r="AU184" s="104"/>
    </row>
    <row r="185" spans="1:47">
      <c r="A185" s="2" t="str">
        <f>'Reference Score Calculation'!A176</f>
        <v>JS4648</v>
      </c>
      <c r="B185" s="364" t="str">
        <f>'Reference Score Calculation'!A176</f>
        <v>JS4648</v>
      </c>
      <c r="C185" s="2" t="str">
        <f>'Reference Score Calculation'!D176</f>
        <v>地球與環境科學</v>
      </c>
      <c r="D185" s="16">
        <f>'Reference Score Calculation'!T176</f>
        <v>35</v>
      </c>
      <c r="E185" s="16">
        <v>3</v>
      </c>
      <c r="F185" s="16">
        <v>3</v>
      </c>
      <c r="G185" s="16">
        <v>3</v>
      </c>
      <c r="H185" s="16">
        <v>2</v>
      </c>
      <c r="I185" s="16">
        <v>4</v>
      </c>
      <c r="J185" s="16">
        <v>3</v>
      </c>
      <c r="L185" s="92">
        <v>3</v>
      </c>
      <c r="M185" s="92">
        <v>3</v>
      </c>
      <c r="N185" s="92">
        <v>3</v>
      </c>
      <c r="O185" s="92">
        <v>1</v>
      </c>
      <c r="P185" s="92">
        <v>4</v>
      </c>
      <c r="Q185" s="92">
        <v>3</v>
      </c>
      <c r="S185" s="16">
        <f t="shared" si="78"/>
        <v>0</v>
      </c>
      <c r="T185" s="16">
        <f t="shared" si="79"/>
        <v>0</v>
      </c>
      <c r="U185" s="16">
        <f t="shared" si="80"/>
        <v>0</v>
      </c>
      <c r="V185" s="16">
        <f t="shared" si="81"/>
        <v>0</v>
      </c>
      <c r="W185" s="73">
        <f>IF(P185&gt;$AQ$166,0,1)</f>
        <v>0</v>
      </c>
      <c r="X185" s="16">
        <f>IF(Q185&gt;LARGE($P$3:$T$3,2),0,1)</f>
        <v>0</v>
      </c>
      <c r="Y185" s="16"/>
      <c r="Z185" s="16">
        <f t="shared" si="77"/>
        <v>0</v>
      </c>
      <c r="AA185" s="2"/>
      <c r="AB185" s="16" t="s">
        <v>432</v>
      </c>
      <c r="AC185" s="16" t="s">
        <v>434</v>
      </c>
      <c r="AD185" s="16" t="s">
        <v>434</v>
      </c>
      <c r="AE185" s="16" t="s">
        <v>434</v>
      </c>
      <c r="AF185" s="21" t="s">
        <v>508</v>
      </c>
      <c r="AG185" s="2" t="s">
        <v>435</v>
      </c>
      <c r="AH185" s="2" t="s">
        <v>356</v>
      </c>
      <c r="AI185" s="118"/>
      <c r="AJ185" s="118"/>
      <c r="AK185" s="118"/>
      <c r="AL185" s="118"/>
      <c r="AM185" s="118"/>
      <c r="AN185" s="118"/>
      <c r="AO185" s="118"/>
      <c r="AP185" s="104"/>
      <c r="AQ185" s="104"/>
      <c r="AR185" s="104"/>
      <c r="AS185" s="104"/>
      <c r="AT185" s="104"/>
      <c r="AU185" s="104"/>
    </row>
    <row r="186" spans="1:47">
      <c r="A186" s="2" t="str">
        <f>'Reference Score Calculation'!A177</f>
        <v>JS4682</v>
      </c>
      <c r="B186" s="364" t="str">
        <f>'Reference Score Calculation'!A177</f>
        <v>JS4682</v>
      </c>
      <c r="C186" s="2" t="str">
        <f>'Reference Score Calculation'!D177</f>
        <v>數學精研</v>
      </c>
      <c r="D186" s="16">
        <f>'Reference Score Calculation'!T177</f>
        <v>35</v>
      </c>
      <c r="E186" s="16">
        <v>3</v>
      </c>
      <c r="F186" s="16">
        <v>3</v>
      </c>
      <c r="G186" s="16">
        <v>4</v>
      </c>
      <c r="H186" s="16">
        <v>2</v>
      </c>
      <c r="I186" s="16">
        <v>3</v>
      </c>
      <c r="J186" s="16">
        <v>4</v>
      </c>
      <c r="L186" s="92">
        <v>3</v>
      </c>
      <c r="M186" s="92">
        <v>3</v>
      </c>
      <c r="N186" s="92">
        <v>4</v>
      </c>
      <c r="O186" s="92">
        <v>1</v>
      </c>
      <c r="P186" s="92">
        <v>3</v>
      </c>
      <c r="Q186" s="92">
        <v>4</v>
      </c>
      <c r="S186" s="16">
        <f t="shared" si="78"/>
        <v>0</v>
      </c>
      <c r="T186" s="16">
        <f t="shared" si="79"/>
        <v>0</v>
      </c>
      <c r="U186" s="16">
        <f t="shared" si="80"/>
        <v>0</v>
      </c>
      <c r="V186" s="16">
        <f t="shared" si="81"/>
        <v>0</v>
      </c>
      <c r="W186" s="73">
        <f>IF(P186&gt;$AQ$170,0,1)</f>
        <v>0</v>
      </c>
      <c r="X186" s="16">
        <f>IF(Q186&gt;P3,0,1)</f>
        <v>0</v>
      </c>
      <c r="Y186" s="16"/>
      <c r="Z186" s="16">
        <f t="shared" ref="Z186:Z197" si="93">S186*T186*U186*V186*W186*X186</f>
        <v>0</v>
      </c>
      <c r="AA186" s="2"/>
      <c r="AB186" s="16" t="s">
        <v>432</v>
      </c>
      <c r="AC186" s="16" t="s">
        <v>433</v>
      </c>
      <c r="AD186" s="16" t="s">
        <v>434</v>
      </c>
      <c r="AE186" s="16" t="s">
        <v>434</v>
      </c>
      <c r="AF186" s="21" t="s">
        <v>509</v>
      </c>
      <c r="AG186" s="2" t="s">
        <v>3041</v>
      </c>
      <c r="AH186" s="2" t="s">
        <v>356</v>
      </c>
      <c r="AI186" s="118"/>
      <c r="AJ186" s="118" t="str">
        <f>Q2</f>
        <v>請選擇第一選修科</v>
      </c>
      <c r="AK186" s="118" t="str">
        <f>R2</f>
        <v>請選擇第二選修科</v>
      </c>
      <c r="AL186" s="118" t="str">
        <f>S2</f>
        <v>請選擇第三選修科</v>
      </c>
      <c r="AM186" s="118" t="str">
        <f>T2</f>
        <v>請選擇第四選修科</v>
      </c>
      <c r="AN186" s="118"/>
      <c r="AO186" s="118"/>
      <c r="AP186" s="118" t="s">
        <v>3047</v>
      </c>
      <c r="AQ186" s="104"/>
      <c r="AR186" s="104"/>
      <c r="AS186" s="104"/>
      <c r="AT186" s="104"/>
      <c r="AU186" s="104"/>
    </row>
    <row r="187" spans="1:47">
      <c r="A187" s="2" t="str">
        <f>'Reference Score Calculation'!A178</f>
        <v>JS4690</v>
      </c>
      <c r="B187" s="364" t="str">
        <f>'Reference Score Calculation'!A178</f>
        <v>JS4690</v>
      </c>
      <c r="C187" s="2" t="str">
        <f>'Reference Score Calculation'!D178</f>
        <v>理論物理精研</v>
      </c>
      <c r="D187" s="16">
        <f>'Reference Score Calculation'!T178</f>
        <v>20</v>
      </c>
      <c r="E187" s="16">
        <v>3</v>
      </c>
      <c r="F187" s="16">
        <v>3</v>
      </c>
      <c r="G187" s="16">
        <v>4</v>
      </c>
      <c r="H187" s="16">
        <v>2</v>
      </c>
      <c r="I187" s="16">
        <v>4</v>
      </c>
      <c r="J187" s="16">
        <v>3</v>
      </c>
      <c r="L187" s="92">
        <v>3</v>
      </c>
      <c r="M187" s="92">
        <v>3</v>
      </c>
      <c r="N187" s="92">
        <v>4</v>
      </c>
      <c r="O187" s="92">
        <v>1</v>
      </c>
      <c r="P187" s="92">
        <v>4</v>
      </c>
      <c r="Q187" s="92">
        <v>3</v>
      </c>
      <c r="S187" s="16">
        <f t="shared" si="78"/>
        <v>0</v>
      </c>
      <c r="T187" s="16">
        <f t="shared" si="79"/>
        <v>0</v>
      </c>
      <c r="U187" s="16">
        <f t="shared" si="80"/>
        <v>0</v>
      </c>
      <c r="V187" s="16">
        <f t="shared" si="81"/>
        <v>0</v>
      </c>
      <c r="W187" s="16">
        <f>IF(P187&gt;$AT$170,0,1)</f>
        <v>0</v>
      </c>
      <c r="X187" s="16">
        <f>IF(Q187&gt;AQ170,0,1)</f>
        <v>0</v>
      </c>
      <c r="Y187" s="16"/>
      <c r="Z187" s="16">
        <f t="shared" si="93"/>
        <v>0</v>
      </c>
      <c r="AA187" s="2"/>
      <c r="AB187" s="16" t="s">
        <v>432</v>
      </c>
      <c r="AC187" s="16" t="s">
        <v>433</v>
      </c>
      <c r="AD187" s="16" t="s">
        <v>434</v>
      </c>
      <c r="AE187" s="16" t="s">
        <v>434</v>
      </c>
      <c r="AF187" s="2" t="s">
        <v>510</v>
      </c>
      <c r="AG187" s="21" t="s">
        <v>511</v>
      </c>
      <c r="AH187" s="2" t="s">
        <v>356</v>
      </c>
      <c r="AI187" s="118" t="s">
        <v>1461</v>
      </c>
      <c r="AJ187" s="119">
        <f>IF(Q2="化學",Q3,0)</f>
        <v>0</v>
      </c>
      <c r="AK187" s="119">
        <f>IF(R2="化學",R3,0)</f>
        <v>0</v>
      </c>
      <c r="AL187" s="119">
        <f>IF(S2="化學",S3,0)</f>
        <v>0</v>
      </c>
      <c r="AM187" s="119">
        <f>IF(T2="化學",T3,0)</f>
        <v>0</v>
      </c>
      <c r="AN187" s="118"/>
      <c r="AO187" s="118"/>
      <c r="AP187" s="16" t="str">
        <f>IF(AQ187&gt;0,INDEX(AJ186:AM186,MATCH(LARGE(AJ187:AM187,1),AJ187:AM187,0)),"無")</f>
        <v>無</v>
      </c>
      <c r="AQ187" s="16">
        <f>LARGE((AJ187:AM187),1)</f>
        <v>0</v>
      </c>
      <c r="AR187" s="104"/>
      <c r="AS187" s="104"/>
      <c r="AT187" s="104"/>
      <c r="AU187" s="104"/>
    </row>
    <row r="188" spans="1:47">
      <c r="A188" s="2" t="str">
        <f>'Reference Score Calculation'!A179</f>
        <v>JS4719</v>
      </c>
      <c r="B188" s="364" t="str">
        <f>'Reference Score Calculation'!A179</f>
        <v>JS4719</v>
      </c>
      <c r="C188" s="2" t="str">
        <f>'Reference Score Calculation'!D179</f>
        <v>風險管理科學</v>
      </c>
      <c r="D188" s="16">
        <f>'Reference Score Calculation'!T179</f>
        <v>25</v>
      </c>
      <c r="E188" s="16">
        <v>3</v>
      </c>
      <c r="F188" s="16">
        <v>3</v>
      </c>
      <c r="G188" s="16">
        <v>3</v>
      </c>
      <c r="H188" s="16">
        <v>2</v>
      </c>
      <c r="I188" s="16">
        <v>3</v>
      </c>
      <c r="J188" s="16">
        <v>3</v>
      </c>
      <c r="L188" s="92">
        <v>3</v>
      </c>
      <c r="M188" s="92">
        <v>3</v>
      </c>
      <c r="N188" s="92">
        <v>3</v>
      </c>
      <c r="O188" s="92">
        <v>1</v>
      </c>
      <c r="P188" s="92">
        <v>3</v>
      </c>
      <c r="Q188" s="92">
        <v>3</v>
      </c>
      <c r="S188" s="16">
        <f t="shared" si="78"/>
        <v>0</v>
      </c>
      <c r="T188" s="16">
        <f t="shared" si="79"/>
        <v>0</v>
      </c>
      <c r="U188" s="16">
        <f t="shared" si="80"/>
        <v>0</v>
      </c>
      <c r="V188" s="16">
        <f t="shared" si="81"/>
        <v>0</v>
      </c>
      <c r="W188" s="16">
        <f>IF(P188&gt;LARGE($Q$3:$T$3,1),0,1)</f>
        <v>0</v>
      </c>
      <c r="X188" s="16">
        <f>IF(Q188&gt;P3,0,1)</f>
        <v>0</v>
      </c>
      <c r="Y188" s="16"/>
      <c r="Z188" s="16">
        <f t="shared" si="93"/>
        <v>0</v>
      </c>
      <c r="AA188" s="2"/>
      <c r="AB188" s="16" t="s">
        <v>432</v>
      </c>
      <c r="AC188" s="16" t="s">
        <v>433</v>
      </c>
      <c r="AD188" s="16" t="s">
        <v>434</v>
      </c>
      <c r="AE188" s="16" t="s">
        <v>432</v>
      </c>
      <c r="AF188" s="2" t="s">
        <v>489</v>
      </c>
      <c r="AG188" s="2" t="s">
        <v>435</v>
      </c>
      <c r="AH188" s="2" t="s">
        <v>356</v>
      </c>
      <c r="AI188" s="118"/>
      <c r="AJ188" s="118"/>
      <c r="AK188" s="118"/>
      <c r="AL188" s="118"/>
      <c r="AM188" s="118"/>
      <c r="AN188" s="118"/>
      <c r="AO188" s="118"/>
      <c r="AP188" s="104"/>
      <c r="AQ188" s="104"/>
      <c r="AR188" s="104"/>
      <c r="AS188" s="104"/>
      <c r="AT188" s="104"/>
      <c r="AU188" s="104"/>
    </row>
    <row r="189" spans="1:47">
      <c r="A189" s="2" t="str">
        <f>'Reference Score Calculation'!A180</f>
        <v>JS4725</v>
      </c>
      <c r="B189" s="364" t="str">
        <f>'Reference Score Calculation'!A180</f>
        <v>JS4725</v>
      </c>
      <c r="C189" s="2" t="str">
        <f>'Reference Score Calculation'!D180</f>
        <v>生物科技、創業與醫療管理</v>
      </c>
      <c r="D189" s="16">
        <f>'Reference Score Calculation'!T180</f>
        <v>15</v>
      </c>
      <c r="E189" s="16">
        <v>3</v>
      </c>
      <c r="F189" s="16">
        <v>4</v>
      </c>
      <c r="G189" s="16">
        <v>3</v>
      </c>
      <c r="H189" s="16">
        <v>2</v>
      </c>
      <c r="I189" s="16">
        <v>3</v>
      </c>
      <c r="J189" s="16">
        <v>3</v>
      </c>
      <c r="L189" s="92">
        <v>3</v>
      </c>
      <c r="M189" s="92">
        <v>4</v>
      </c>
      <c r="N189" s="92">
        <v>3</v>
      </c>
      <c r="O189" s="92">
        <v>1</v>
      </c>
      <c r="P189" s="92">
        <v>3</v>
      </c>
      <c r="Q189" s="92">
        <v>3</v>
      </c>
      <c r="S189" s="16">
        <f t="shared" si="78"/>
        <v>0</v>
      </c>
      <c r="T189" s="16">
        <f t="shared" si="79"/>
        <v>0</v>
      </c>
      <c r="U189" s="16">
        <f t="shared" si="80"/>
        <v>0</v>
      </c>
      <c r="V189" s="16">
        <f t="shared" si="81"/>
        <v>0</v>
      </c>
      <c r="W189" s="16">
        <f>IF(P189&gt;AQ162,0,1)</f>
        <v>0</v>
      </c>
      <c r="X189" s="16">
        <f>IF(Q189&gt;LARGE($P$3:$U$3,2),0,1)</f>
        <v>0</v>
      </c>
      <c r="Y189" s="16"/>
      <c r="Z189" s="16">
        <f t="shared" si="93"/>
        <v>0</v>
      </c>
      <c r="AA189" s="2"/>
      <c r="AB189" s="16" t="s">
        <v>432</v>
      </c>
      <c r="AC189" s="16" t="s">
        <v>433</v>
      </c>
      <c r="AD189" s="16" t="s">
        <v>434</v>
      </c>
      <c r="AE189" s="16" t="s">
        <v>432</v>
      </c>
      <c r="AF189" s="21" t="s">
        <v>461</v>
      </c>
      <c r="AG189" s="2" t="s">
        <v>435</v>
      </c>
      <c r="AH189" s="2" t="s">
        <v>356</v>
      </c>
      <c r="AI189" s="118"/>
      <c r="AJ189" s="118"/>
      <c r="AK189" s="118"/>
      <c r="AL189" s="118"/>
      <c r="AM189" s="118"/>
      <c r="AN189" s="118"/>
      <c r="AO189" s="118"/>
      <c r="AP189" s="104"/>
      <c r="AQ189" s="104"/>
      <c r="AR189" s="104"/>
      <c r="AS189" s="104"/>
      <c r="AT189" s="104"/>
      <c r="AU189" s="104"/>
    </row>
    <row r="190" spans="1:47">
      <c r="A190" s="2" t="str">
        <f>'Reference Score Calculation'!A181</f>
        <v>JS4733</v>
      </c>
      <c r="B190" s="364" t="str">
        <f>'Reference Score Calculation'!A181</f>
        <v>JS4733</v>
      </c>
      <c r="C190" s="2" t="str">
        <f>'Reference Score Calculation'!D181</f>
        <v>數學與信息工程學</v>
      </c>
      <c r="D190" s="16">
        <f>'Reference Score Calculation'!T181</f>
        <v>13</v>
      </c>
      <c r="E190" s="16">
        <v>3</v>
      </c>
      <c r="F190" s="16">
        <v>4</v>
      </c>
      <c r="G190" s="16">
        <v>5</v>
      </c>
      <c r="H190" s="16">
        <v>3</v>
      </c>
      <c r="I190" s="16">
        <v>5</v>
      </c>
      <c r="J190" s="16">
        <v>4</v>
      </c>
      <c r="L190" s="92">
        <v>3</v>
      </c>
      <c r="M190" s="92">
        <v>4</v>
      </c>
      <c r="N190" s="92">
        <v>5</v>
      </c>
      <c r="O190" s="92">
        <v>1</v>
      </c>
      <c r="P190" s="92">
        <v>5</v>
      </c>
      <c r="Q190" s="92">
        <v>4</v>
      </c>
      <c r="S190" s="16">
        <f t="shared" si="78"/>
        <v>0</v>
      </c>
      <c r="T190" s="16">
        <f t="shared" si="79"/>
        <v>0</v>
      </c>
      <c r="U190" s="16">
        <f t="shared" si="80"/>
        <v>0</v>
      </c>
      <c r="V190" s="16">
        <f t="shared" si="81"/>
        <v>0</v>
      </c>
      <c r="W190" s="16">
        <f>IF(P190&gt;P3,0,1)</f>
        <v>0</v>
      </c>
      <c r="X190" s="16">
        <f>IF(LARGE($P$3:$U$3,2)&lt;3,0,IF(Q190&gt;$AT$155,2,1))</f>
        <v>0</v>
      </c>
      <c r="Y190" s="16"/>
      <c r="Z190" s="16">
        <f t="shared" si="93"/>
        <v>0</v>
      </c>
      <c r="AA190" s="2"/>
      <c r="AB190" s="16" t="s">
        <v>432</v>
      </c>
      <c r="AC190" s="16" t="s">
        <v>433</v>
      </c>
      <c r="AD190" s="16" t="s">
        <v>434</v>
      </c>
      <c r="AE190" s="16" t="s">
        <v>434</v>
      </c>
      <c r="AF190" s="2" t="s">
        <v>512</v>
      </c>
      <c r="AG190" s="2" t="s">
        <v>435</v>
      </c>
      <c r="AH190" s="2" t="s">
        <v>356</v>
      </c>
      <c r="AI190" s="118"/>
      <c r="AJ190" s="118"/>
      <c r="AK190" s="118"/>
      <c r="AL190" s="118"/>
      <c r="AM190" s="118"/>
      <c r="AN190" s="118"/>
      <c r="AO190" s="118"/>
      <c r="AP190" s="104"/>
      <c r="AQ190" s="104"/>
      <c r="AR190" s="104"/>
      <c r="AS190" s="104"/>
      <c r="AT190" s="104"/>
      <c r="AU190" s="104"/>
    </row>
    <row r="191" spans="1:47">
      <c r="A191" s="2" t="str">
        <f>'Reference Score Calculation'!A182</f>
        <v>JS4750</v>
      </c>
      <c r="B191" s="364" t="str">
        <f>'Reference Score Calculation'!A182</f>
        <v>JS4750</v>
      </c>
      <c r="C191" s="2" t="str">
        <f>'Reference Score Calculation'!D182</f>
        <v>航天科學與地球信息學＋Ｘ雙主修課程</v>
      </c>
      <c r="D191" s="16">
        <f>'Reference Score Calculation'!T182</f>
        <v>20</v>
      </c>
      <c r="L191" s="92">
        <v>3</v>
      </c>
      <c r="M191" s="92">
        <v>3</v>
      </c>
      <c r="N191" s="92">
        <v>2</v>
      </c>
      <c r="O191" s="92">
        <v>1</v>
      </c>
      <c r="P191" s="92">
        <v>3</v>
      </c>
      <c r="Q191" s="92">
        <v>3</v>
      </c>
      <c r="S191" s="16">
        <f t="shared" ref="S191:S206" si="94">IF(L191&gt;L$3,0,1)</f>
        <v>0</v>
      </c>
      <c r="T191" s="16">
        <f t="shared" ref="T191:T206" si="95">IF(M191&gt;M$3,0,1)</f>
        <v>0</v>
      </c>
      <c r="U191" s="16">
        <f t="shared" ref="U191:U206" si="96">IF(N191&gt;N$3,0,1)</f>
        <v>0</v>
      </c>
      <c r="V191" s="16">
        <f t="shared" ref="V191:V206" si="97">IF(O191&gt;O$3,0,1)</f>
        <v>0</v>
      </c>
      <c r="W191" s="16">
        <f t="shared" ref="W191:W203" si="98">IF(P191&gt;LARGE($P$3:$U$3,1),0,1)</f>
        <v>0</v>
      </c>
      <c r="X191" s="16">
        <f t="shared" ref="X191:X206" si="99">IF(Q191&gt;LARGE($P$3:$U$3,2),0,1)</f>
        <v>0</v>
      </c>
      <c r="Y191" s="16"/>
      <c r="Z191" s="16">
        <f t="shared" si="93"/>
        <v>0</v>
      </c>
      <c r="AA191" s="2"/>
      <c r="AB191" s="16" t="s">
        <v>463</v>
      </c>
      <c r="AC191" s="16" t="s">
        <v>464</v>
      </c>
      <c r="AD191" s="16" t="s">
        <v>465</v>
      </c>
      <c r="AE191" s="16" t="s">
        <v>465</v>
      </c>
      <c r="AF191" s="21" t="s">
        <v>3019</v>
      </c>
      <c r="AG191" s="2" t="s">
        <v>3012</v>
      </c>
      <c r="AH191" s="2" t="s">
        <v>356</v>
      </c>
      <c r="AI191" s="118"/>
      <c r="AJ191" s="118"/>
      <c r="AK191" s="118"/>
      <c r="AL191" s="118"/>
      <c r="AM191" s="118"/>
      <c r="AN191" s="118"/>
      <c r="AO191" s="118"/>
      <c r="AP191" s="104"/>
      <c r="AQ191" s="104"/>
      <c r="AR191" s="104"/>
      <c r="AS191" s="104"/>
      <c r="AT191" s="104"/>
      <c r="AU191" s="104"/>
    </row>
    <row r="192" spans="1:47">
      <c r="A192" s="2" t="str">
        <f>'Reference Score Calculation'!A183</f>
        <v>JS4760</v>
      </c>
      <c r="B192" s="364" t="str">
        <f>'Reference Score Calculation'!A183</f>
        <v>JS4760</v>
      </c>
      <c r="C192" s="2" t="str">
        <f>'Reference Score Calculation'!D183</f>
        <v>跨學科數據分析及Ｘ 理學士雙主修課程</v>
      </c>
      <c r="D192" s="16">
        <f>'Reference Score Calculation'!T183</f>
        <v>20</v>
      </c>
      <c r="E192" s="16">
        <v>3</v>
      </c>
      <c r="F192" s="16">
        <v>3</v>
      </c>
      <c r="G192" s="16">
        <v>2</v>
      </c>
      <c r="H192" s="16">
        <v>2</v>
      </c>
      <c r="I192" s="16">
        <v>3</v>
      </c>
      <c r="J192" s="16">
        <v>3</v>
      </c>
      <c r="L192" s="92">
        <v>3</v>
      </c>
      <c r="M192" s="92">
        <v>3</v>
      </c>
      <c r="N192" s="92">
        <v>3</v>
      </c>
      <c r="O192" s="92">
        <v>1</v>
      </c>
      <c r="P192" s="92">
        <v>3</v>
      </c>
      <c r="Q192" s="92">
        <v>3</v>
      </c>
      <c r="S192" s="16">
        <f t="shared" si="94"/>
        <v>0</v>
      </c>
      <c r="T192" s="16">
        <f t="shared" si="95"/>
        <v>0</v>
      </c>
      <c r="U192" s="16">
        <f t="shared" si="96"/>
        <v>0</v>
      </c>
      <c r="V192" s="16">
        <f t="shared" si="97"/>
        <v>0</v>
      </c>
      <c r="W192" s="16">
        <f t="shared" si="98"/>
        <v>0</v>
      </c>
      <c r="X192" s="16">
        <f t="shared" si="99"/>
        <v>0</v>
      </c>
      <c r="Y192" s="16"/>
      <c r="Z192" s="16">
        <f t="shared" si="93"/>
        <v>0</v>
      </c>
      <c r="AA192" s="2"/>
      <c r="AB192" s="16" t="s">
        <v>463</v>
      </c>
      <c r="AC192" s="16" t="s">
        <v>464</v>
      </c>
      <c r="AD192" s="16" t="s">
        <v>465</v>
      </c>
      <c r="AE192" s="16" t="s">
        <v>465</v>
      </c>
      <c r="AF192" s="2" t="s">
        <v>356</v>
      </c>
      <c r="AG192" s="2" t="s">
        <v>356</v>
      </c>
      <c r="AH192" s="2" t="s">
        <v>356</v>
      </c>
      <c r="AI192" s="118"/>
      <c r="AJ192" s="118"/>
      <c r="AK192" s="118"/>
      <c r="AL192" s="118"/>
      <c r="AM192" s="118"/>
      <c r="AN192" s="118"/>
      <c r="AO192" s="118"/>
      <c r="AP192" s="104"/>
      <c r="AQ192" s="104"/>
      <c r="AR192" s="104"/>
      <c r="AS192" s="104"/>
      <c r="AT192" s="104"/>
      <c r="AU192" s="104"/>
    </row>
    <row r="193" spans="1:47">
      <c r="A193" s="2" t="str">
        <f>'Reference Score Calculation'!A184</f>
        <v>JS4801</v>
      </c>
      <c r="B193" s="364" t="str">
        <f>'Reference Score Calculation'!A184</f>
        <v>JS4801</v>
      </c>
      <c r="C193" s="2" t="str">
        <f>'Reference Score Calculation'!D184</f>
        <v>社會科學</v>
      </c>
      <c r="D193" s="16">
        <f>'Reference Score Calculation'!T184</f>
        <v>63</v>
      </c>
      <c r="E193" s="16">
        <v>3</v>
      </c>
      <c r="F193" s="16">
        <v>3</v>
      </c>
      <c r="G193" s="16">
        <v>2</v>
      </c>
      <c r="H193" s="16">
        <v>2</v>
      </c>
      <c r="I193" s="16">
        <v>3</v>
      </c>
      <c r="J193" s="16">
        <v>3</v>
      </c>
      <c r="L193" s="92">
        <v>3</v>
      </c>
      <c r="M193" s="92">
        <v>3</v>
      </c>
      <c r="N193" s="92">
        <v>2</v>
      </c>
      <c r="O193" s="92">
        <v>1</v>
      </c>
      <c r="P193" s="92">
        <v>3</v>
      </c>
      <c r="Q193" s="92">
        <v>3</v>
      </c>
      <c r="S193" s="16">
        <f t="shared" si="94"/>
        <v>0</v>
      </c>
      <c r="T193" s="16">
        <f t="shared" si="95"/>
        <v>0</v>
      </c>
      <c r="U193" s="16">
        <f t="shared" si="96"/>
        <v>0</v>
      </c>
      <c r="V193" s="16">
        <f t="shared" si="97"/>
        <v>0</v>
      </c>
      <c r="W193" s="16">
        <f t="shared" si="98"/>
        <v>0</v>
      </c>
      <c r="X193" s="16">
        <f t="shared" si="99"/>
        <v>0</v>
      </c>
      <c r="Y193" s="16"/>
      <c r="Z193" s="16">
        <f t="shared" si="93"/>
        <v>0</v>
      </c>
      <c r="AA193" s="2"/>
      <c r="AB193" s="16" t="s">
        <v>432</v>
      </c>
      <c r="AC193" s="16" t="s">
        <v>433</v>
      </c>
      <c r="AD193" s="16" t="s">
        <v>434</v>
      </c>
      <c r="AE193" s="16" t="s">
        <v>432</v>
      </c>
      <c r="AF193" s="2" t="s">
        <v>435</v>
      </c>
      <c r="AG193" s="2" t="s">
        <v>435</v>
      </c>
      <c r="AH193" s="2" t="s">
        <v>356</v>
      </c>
      <c r="AI193" s="118"/>
      <c r="AJ193" s="118"/>
      <c r="AK193" s="118"/>
      <c r="AL193" s="118"/>
      <c r="AM193" s="118"/>
      <c r="AN193" s="118"/>
      <c r="AO193" s="118"/>
      <c r="AP193" s="104"/>
      <c r="AQ193" s="104"/>
      <c r="AR193" s="104"/>
      <c r="AS193" s="104"/>
      <c r="AT193" s="104"/>
      <c r="AU193" s="104"/>
    </row>
    <row r="194" spans="1:47">
      <c r="A194" s="2" t="str">
        <f>'Reference Score Calculation'!A185</f>
        <v>JS4812</v>
      </c>
      <c r="B194" s="364" t="str">
        <f>'Reference Score Calculation'!A185</f>
        <v>JS4812</v>
      </c>
      <c r="C194" s="2" t="str">
        <f>'Reference Score Calculation'!D185</f>
        <v>建築學</v>
      </c>
      <c r="D194" s="16">
        <f>'Reference Score Calculation'!T185</f>
        <v>31</v>
      </c>
      <c r="E194" s="16">
        <v>3</v>
      </c>
      <c r="F194" s="16">
        <v>3</v>
      </c>
      <c r="G194" s="16">
        <v>3</v>
      </c>
      <c r="H194" s="16">
        <v>3</v>
      </c>
      <c r="I194" s="16">
        <v>3</v>
      </c>
      <c r="J194" s="16">
        <v>3</v>
      </c>
      <c r="L194" s="92">
        <v>3</v>
      </c>
      <c r="M194" s="92">
        <v>3</v>
      </c>
      <c r="N194" s="92">
        <v>3</v>
      </c>
      <c r="O194" s="92">
        <v>1</v>
      </c>
      <c r="P194" s="92">
        <v>3</v>
      </c>
      <c r="Q194" s="92">
        <v>3</v>
      </c>
      <c r="S194" s="16">
        <f t="shared" si="94"/>
        <v>0</v>
      </c>
      <c r="T194" s="16">
        <f t="shared" si="95"/>
        <v>0</v>
      </c>
      <c r="U194" s="16">
        <f t="shared" si="96"/>
        <v>0</v>
      </c>
      <c r="V194" s="16">
        <f t="shared" si="97"/>
        <v>0</v>
      </c>
      <c r="W194" s="16">
        <f t="shared" si="98"/>
        <v>0</v>
      </c>
      <c r="X194" s="16">
        <f t="shared" si="99"/>
        <v>0</v>
      </c>
      <c r="Y194" s="16"/>
      <c r="Z194" s="16">
        <f t="shared" si="93"/>
        <v>0</v>
      </c>
      <c r="AA194" s="2"/>
      <c r="AB194" s="16" t="s">
        <v>432</v>
      </c>
      <c r="AC194" s="16" t="s">
        <v>433</v>
      </c>
      <c r="AD194" s="16" t="s">
        <v>434</v>
      </c>
      <c r="AE194" s="16" t="s">
        <v>432</v>
      </c>
      <c r="AF194" s="2" t="s">
        <v>435</v>
      </c>
      <c r="AG194" s="2" t="s">
        <v>435</v>
      </c>
      <c r="AH194" s="2" t="s">
        <v>356</v>
      </c>
      <c r="AI194" s="118"/>
      <c r="AJ194" s="118"/>
      <c r="AK194" s="118"/>
      <c r="AL194" s="118"/>
      <c r="AM194" s="118"/>
      <c r="AN194" s="118"/>
      <c r="AO194" s="118"/>
      <c r="AP194" s="104"/>
      <c r="AQ194" s="104"/>
      <c r="AR194" s="104"/>
      <c r="AS194" s="104"/>
      <c r="AT194" s="104"/>
      <c r="AU194" s="104"/>
    </row>
    <row r="195" spans="1:47">
      <c r="A195" s="2" t="str">
        <f>'Reference Score Calculation'!A186</f>
        <v>JS4824</v>
      </c>
      <c r="B195" s="364" t="str">
        <f>'Reference Score Calculation'!A186</f>
        <v>JS4824</v>
      </c>
      <c r="C195" s="2" t="str">
        <f>'Reference Score Calculation'!D186</f>
        <v>經濟學</v>
      </c>
      <c r="D195" s="16">
        <f>'Reference Score Calculation'!T186</f>
        <v>65</v>
      </c>
      <c r="E195" s="16">
        <v>3</v>
      </c>
      <c r="F195" s="16">
        <v>3</v>
      </c>
      <c r="G195" s="16">
        <v>3</v>
      </c>
      <c r="H195" s="16">
        <v>2</v>
      </c>
      <c r="I195" s="16">
        <v>3</v>
      </c>
      <c r="J195" s="16">
        <v>3</v>
      </c>
      <c r="L195" s="92">
        <v>3</v>
      </c>
      <c r="M195" s="92">
        <v>3</v>
      </c>
      <c r="N195" s="92">
        <v>3</v>
      </c>
      <c r="O195" s="92">
        <v>1</v>
      </c>
      <c r="P195" s="92">
        <v>3</v>
      </c>
      <c r="Q195" s="92">
        <v>3</v>
      </c>
      <c r="S195" s="16">
        <f t="shared" si="94"/>
        <v>0</v>
      </c>
      <c r="T195" s="16">
        <f t="shared" si="95"/>
        <v>0</v>
      </c>
      <c r="U195" s="16">
        <f t="shared" si="96"/>
        <v>0</v>
      </c>
      <c r="V195" s="16">
        <f t="shared" si="97"/>
        <v>0</v>
      </c>
      <c r="W195" s="16">
        <f t="shared" si="98"/>
        <v>0</v>
      </c>
      <c r="X195" s="16">
        <f t="shared" si="99"/>
        <v>0</v>
      </c>
      <c r="Y195" s="16"/>
      <c r="Z195" s="16">
        <f t="shared" si="93"/>
        <v>0</v>
      </c>
      <c r="AA195" s="2"/>
      <c r="AB195" s="16" t="s">
        <v>432</v>
      </c>
      <c r="AC195" s="16" t="s">
        <v>433</v>
      </c>
      <c r="AD195" s="16" t="s">
        <v>434</v>
      </c>
      <c r="AE195" s="16" t="s">
        <v>434</v>
      </c>
      <c r="AF195" s="2" t="s">
        <v>435</v>
      </c>
      <c r="AG195" s="2" t="s">
        <v>435</v>
      </c>
      <c r="AH195" s="2" t="s">
        <v>356</v>
      </c>
      <c r="AI195" s="118"/>
      <c r="AJ195" s="118"/>
      <c r="AK195" s="118"/>
      <c r="AL195" s="118"/>
      <c r="AM195" s="118"/>
      <c r="AN195" s="118"/>
      <c r="AO195" s="118"/>
      <c r="AP195" s="104"/>
      <c r="AQ195" s="104"/>
      <c r="AR195" s="104"/>
      <c r="AS195" s="104"/>
      <c r="AT195" s="104"/>
      <c r="AU195" s="104"/>
    </row>
    <row r="196" spans="1:47">
      <c r="A196" s="2" t="str">
        <f>'Reference Score Calculation'!A187</f>
        <v>JS4836</v>
      </c>
      <c r="B196" s="364" t="str">
        <f>'Reference Score Calculation'!A187</f>
        <v>JS4836</v>
      </c>
      <c r="C196" s="2" t="str">
        <f>'Reference Score Calculation'!D187</f>
        <v>地理與資源管理學</v>
      </c>
      <c r="D196" s="16">
        <f>'Reference Score Calculation'!T187</f>
        <v>39</v>
      </c>
      <c r="E196" s="16">
        <v>3</v>
      </c>
      <c r="F196" s="16">
        <v>3</v>
      </c>
      <c r="G196" s="16">
        <v>2</v>
      </c>
      <c r="H196" s="16">
        <v>2</v>
      </c>
      <c r="I196" s="16">
        <v>3</v>
      </c>
      <c r="J196" s="16">
        <v>3</v>
      </c>
      <c r="L196" s="92">
        <v>3</v>
      </c>
      <c r="M196" s="92">
        <v>3</v>
      </c>
      <c r="N196" s="92">
        <v>2</v>
      </c>
      <c r="O196" s="92">
        <v>1</v>
      </c>
      <c r="P196" s="92">
        <v>3</v>
      </c>
      <c r="Q196" s="92">
        <v>3</v>
      </c>
      <c r="S196" s="16">
        <f t="shared" si="94"/>
        <v>0</v>
      </c>
      <c r="T196" s="16">
        <f t="shared" si="95"/>
        <v>0</v>
      </c>
      <c r="U196" s="16">
        <f t="shared" si="96"/>
        <v>0</v>
      </c>
      <c r="V196" s="16">
        <f t="shared" si="97"/>
        <v>0</v>
      </c>
      <c r="W196" s="16">
        <f t="shared" si="98"/>
        <v>0</v>
      </c>
      <c r="X196" s="16">
        <f t="shared" si="99"/>
        <v>0</v>
      </c>
      <c r="Y196" s="16"/>
      <c r="Z196" s="16">
        <f t="shared" si="93"/>
        <v>0</v>
      </c>
      <c r="AA196" s="2"/>
      <c r="AB196" s="16" t="s">
        <v>432</v>
      </c>
      <c r="AC196" s="16" t="s">
        <v>433</v>
      </c>
      <c r="AD196" s="16" t="s">
        <v>434</v>
      </c>
      <c r="AE196" s="16" t="s">
        <v>434</v>
      </c>
      <c r="AF196" s="2" t="s">
        <v>435</v>
      </c>
      <c r="AG196" s="2" t="s">
        <v>435</v>
      </c>
      <c r="AH196" s="2" t="s">
        <v>356</v>
      </c>
      <c r="AI196" s="118"/>
      <c r="AJ196" s="118"/>
      <c r="AK196" s="118"/>
      <c r="AL196" s="118"/>
      <c r="AM196" s="118"/>
      <c r="AN196" s="118"/>
      <c r="AO196" s="118"/>
      <c r="AP196" s="104"/>
      <c r="AQ196" s="104"/>
      <c r="AR196" s="104"/>
      <c r="AS196" s="104"/>
      <c r="AT196" s="104"/>
      <c r="AU196" s="104"/>
    </row>
    <row r="197" spans="1:47">
      <c r="A197" s="2" t="str">
        <f>'Reference Score Calculation'!A188</f>
        <v>JS4838</v>
      </c>
      <c r="B197" s="364" t="str">
        <f>'Reference Score Calculation'!A188</f>
        <v>JS4838</v>
      </c>
      <c r="C197" s="2" t="str">
        <f>'Reference Score Calculation'!D188</f>
        <v>城市研究</v>
      </c>
      <c r="D197" s="16">
        <f>'Reference Score Calculation'!T188</f>
        <v>19</v>
      </c>
      <c r="E197" s="16">
        <v>3</v>
      </c>
      <c r="F197" s="16">
        <v>3</v>
      </c>
      <c r="G197" s="16">
        <v>2</v>
      </c>
      <c r="H197" s="16">
        <v>2</v>
      </c>
      <c r="I197" s="16">
        <v>3</v>
      </c>
      <c r="J197" s="16">
        <v>3</v>
      </c>
      <c r="L197" s="92">
        <v>3</v>
      </c>
      <c r="M197" s="92">
        <v>3</v>
      </c>
      <c r="N197" s="92">
        <v>2</v>
      </c>
      <c r="O197" s="92">
        <v>1</v>
      </c>
      <c r="P197" s="92">
        <v>3</v>
      </c>
      <c r="Q197" s="92">
        <v>3</v>
      </c>
      <c r="S197" s="16">
        <f t="shared" si="94"/>
        <v>0</v>
      </c>
      <c r="T197" s="16">
        <f t="shared" si="95"/>
        <v>0</v>
      </c>
      <c r="U197" s="16">
        <f t="shared" si="96"/>
        <v>0</v>
      </c>
      <c r="V197" s="16">
        <f t="shared" si="97"/>
        <v>0</v>
      </c>
      <c r="W197" s="16">
        <f t="shared" si="98"/>
        <v>0</v>
      </c>
      <c r="X197" s="16">
        <f t="shared" si="99"/>
        <v>0</v>
      </c>
      <c r="Y197" s="16"/>
      <c r="Z197" s="16">
        <f t="shared" si="93"/>
        <v>0</v>
      </c>
      <c r="AA197" s="2"/>
      <c r="AB197" s="16" t="s">
        <v>432</v>
      </c>
      <c r="AC197" s="16" t="s">
        <v>433</v>
      </c>
      <c r="AD197" s="16" t="s">
        <v>434</v>
      </c>
      <c r="AE197" s="16" t="s">
        <v>432</v>
      </c>
      <c r="AF197" s="2" t="s">
        <v>435</v>
      </c>
      <c r="AG197" s="2" t="s">
        <v>435</v>
      </c>
      <c r="AH197" s="2"/>
      <c r="AI197" s="118"/>
      <c r="AJ197" s="118"/>
      <c r="AK197" s="118"/>
      <c r="AL197" s="118"/>
      <c r="AM197" s="118"/>
      <c r="AN197" s="118"/>
      <c r="AO197" s="118"/>
      <c r="AP197" s="104"/>
      <c r="AQ197" s="104"/>
      <c r="AR197" s="104"/>
      <c r="AS197" s="104"/>
      <c r="AT197" s="104"/>
      <c r="AU197" s="104"/>
    </row>
    <row r="198" spans="1:47">
      <c r="A198" s="2" t="str">
        <f>'Reference Score Calculation'!A189</f>
        <v>JS4848</v>
      </c>
      <c r="B198" s="364" t="str">
        <f>'Reference Score Calculation'!A189</f>
        <v>JS4848</v>
      </c>
      <c r="C198" s="2" t="str">
        <f>'Reference Score Calculation'!D189</f>
        <v>政治與行政學</v>
      </c>
      <c r="D198" s="16">
        <f>'Reference Score Calculation'!T189</f>
        <v>37</v>
      </c>
      <c r="E198" s="16">
        <v>3</v>
      </c>
      <c r="F198" s="16">
        <v>3</v>
      </c>
      <c r="G198" s="16">
        <v>2</v>
      </c>
      <c r="H198" s="16">
        <v>3</v>
      </c>
      <c r="I198" s="16">
        <v>3</v>
      </c>
      <c r="J198" s="16">
        <v>3</v>
      </c>
      <c r="L198" s="92">
        <v>3</v>
      </c>
      <c r="M198" s="92">
        <v>3</v>
      </c>
      <c r="N198" s="92">
        <v>2</v>
      </c>
      <c r="O198" s="92">
        <v>1</v>
      </c>
      <c r="P198" s="92">
        <v>3</v>
      </c>
      <c r="Q198" s="92">
        <v>3</v>
      </c>
      <c r="S198" s="16">
        <f t="shared" si="94"/>
        <v>0</v>
      </c>
      <c r="T198" s="16">
        <f t="shared" si="95"/>
        <v>0</v>
      </c>
      <c r="U198" s="16">
        <f t="shared" si="96"/>
        <v>0</v>
      </c>
      <c r="V198" s="16">
        <f t="shared" si="97"/>
        <v>0</v>
      </c>
      <c r="W198" s="16">
        <f t="shared" si="98"/>
        <v>0</v>
      </c>
      <c r="X198" s="16">
        <f t="shared" si="99"/>
        <v>0</v>
      </c>
      <c r="Y198" s="16"/>
      <c r="Z198" s="16">
        <f t="shared" ref="Z198:Z206" si="100">S198*T198*U198*V198*W198*X198</f>
        <v>0</v>
      </c>
      <c r="AA198" s="2"/>
      <c r="AB198" s="16" t="s">
        <v>432</v>
      </c>
      <c r="AC198" s="16" t="s">
        <v>433</v>
      </c>
      <c r="AD198" s="16" t="s">
        <v>434</v>
      </c>
      <c r="AE198" s="16" t="s">
        <v>432</v>
      </c>
      <c r="AF198" s="2" t="s">
        <v>435</v>
      </c>
      <c r="AG198" s="2" t="s">
        <v>435</v>
      </c>
      <c r="AH198" s="2"/>
      <c r="AI198" s="118"/>
      <c r="AJ198" s="118"/>
      <c r="AK198" s="118"/>
      <c r="AL198" s="118"/>
      <c r="AM198" s="118"/>
      <c r="AN198" s="118"/>
      <c r="AO198" s="118"/>
      <c r="AP198" s="104"/>
      <c r="AQ198" s="104"/>
      <c r="AR198" s="104"/>
      <c r="AS198" s="104"/>
      <c r="AT198" s="104"/>
      <c r="AU198" s="104"/>
    </row>
    <row r="199" spans="1:47">
      <c r="A199" s="2" t="str">
        <f>'Reference Score Calculation'!A190</f>
        <v>JS4850</v>
      </c>
      <c r="B199" s="364" t="str">
        <f>'Reference Score Calculation'!A190</f>
        <v>JS4850</v>
      </c>
      <c r="C199" s="2" t="str">
        <f>'Reference Score Calculation'!D190</f>
        <v>新聞與傳播學</v>
      </c>
      <c r="D199" s="16">
        <f>'Reference Score Calculation'!T190</f>
        <v>43</v>
      </c>
      <c r="E199" s="16">
        <v>3</v>
      </c>
      <c r="F199" s="16">
        <v>3</v>
      </c>
      <c r="G199" s="16">
        <v>2</v>
      </c>
      <c r="H199" s="16">
        <v>2</v>
      </c>
      <c r="I199" s="16">
        <v>3</v>
      </c>
      <c r="J199" s="16">
        <v>3</v>
      </c>
      <c r="L199" s="92">
        <v>3</v>
      </c>
      <c r="M199" s="92">
        <v>3</v>
      </c>
      <c r="N199" s="92">
        <v>2</v>
      </c>
      <c r="O199" s="92">
        <v>1</v>
      </c>
      <c r="P199" s="92">
        <v>3</v>
      </c>
      <c r="Q199" s="92">
        <v>3</v>
      </c>
      <c r="S199" s="16">
        <f t="shared" si="94"/>
        <v>0</v>
      </c>
      <c r="T199" s="16">
        <f t="shared" si="95"/>
        <v>0</v>
      </c>
      <c r="U199" s="16">
        <f t="shared" si="96"/>
        <v>0</v>
      </c>
      <c r="V199" s="16">
        <f t="shared" si="97"/>
        <v>0</v>
      </c>
      <c r="W199" s="16">
        <f t="shared" si="98"/>
        <v>0</v>
      </c>
      <c r="X199" s="16">
        <f t="shared" si="99"/>
        <v>0</v>
      </c>
      <c r="Y199" s="16"/>
      <c r="Z199" s="16">
        <f t="shared" si="100"/>
        <v>0</v>
      </c>
      <c r="AA199" s="2"/>
      <c r="AB199" s="16" t="s">
        <v>432</v>
      </c>
      <c r="AC199" s="16" t="s">
        <v>433</v>
      </c>
      <c r="AD199" s="16" t="s">
        <v>434</v>
      </c>
      <c r="AE199" s="16" t="s">
        <v>434</v>
      </c>
      <c r="AF199" s="2" t="s">
        <v>435</v>
      </c>
      <c r="AG199" s="2" t="s">
        <v>435</v>
      </c>
      <c r="AH199" s="2"/>
      <c r="AI199" s="118"/>
      <c r="AJ199" s="118"/>
      <c r="AK199" s="118"/>
      <c r="AL199" s="118"/>
      <c r="AM199" s="118"/>
      <c r="AN199" s="118"/>
      <c r="AO199" s="118"/>
      <c r="AP199" s="104"/>
      <c r="AQ199" s="104"/>
      <c r="AR199" s="104"/>
      <c r="AS199" s="104"/>
      <c r="AT199" s="104"/>
      <c r="AU199" s="104"/>
    </row>
    <row r="200" spans="1:47">
      <c r="A200" s="2" t="str">
        <f>'Reference Score Calculation'!A191</f>
        <v>JS4858</v>
      </c>
      <c r="B200" s="364" t="str">
        <f>'Reference Score Calculation'!A191</f>
        <v>JS4858</v>
      </c>
      <c r="C200" s="2" t="str">
        <f>'Reference Score Calculation'!D191</f>
        <v>全球傳播</v>
      </c>
      <c r="D200" s="16">
        <f>'Reference Score Calculation'!T191</f>
        <v>9</v>
      </c>
      <c r="E200" s="16">
        <v>3</v>
      </c>
      <c r="F200" s="16">
        <v>4</v>
      </c>
      <c r="G200" s="16">
        <v>2</v>
      </c>
      <c r="H200" s="16">
        <v>2</v>
      </c>
      <c r="I200" s="16">
        <v>3</v>
      </c>
      <c r="J200" s="16">
        <v>3</v>
      </c>
      <c r="L200" s="92">
        <v>3</v>
      </c>
      <c r="M200" s="92">
        <v>4</v>
      </c>
      <c r="N200" s="92">
        <v>2</v>
      </c>
      <c r="O200" s="92">
        <v>1</v>
      </c>
      <c r="P200" s="92">
        <v>3</v>
      </c>
      <c r="Q200" s="92">
        <v>3</v>
      </c>
      <c r="S200" s="16">
        <f t="shared" si="94"/>
        <v>0</v>
      </c>
      <c r="T200" s="16">
        <f t="shared" si="95"/>
        <v>0</v>
      </c>
      <c r="U200" s="16">
        <f t="shared" si="96"/>
        <v>0</v>
      </c>
      <c r="V200" s="16">
        <f t="shared" si="97"/>
        <v>0</v>
      </c>
      <c r="W200" s="16">
        <f t="shared" si="98"/>
        <v>0</v>
      </c>
      <c r="X200" s="16">
        <f t="shared" si="99"/>
        <v>0</v>
      </c>
      <c r="Y200" s="16"/>
      <c r="Z200" s="16">
        <f t="shared" si="100"/>
        <v>0</v>
      </c>
      <c r="AA200" s="2"/>
      <c r="AB200" s="16" t="s">
        <v>432</v>
      </c>
      <c r="AC200" s="16" t="s">
        <v>433</v>
      </c>
      <c r="AD200" s="16" t="s">
        <v>434</v>
      </c>
      <c r="AE200" s="16" t="s">
        <v>434</v>
      </c>
      <c r="AF200" s="2" t="s">
        <v>435</v>
      </c>
      <c r="AG200" s="2" t="s">
        <v>435</v>
      </c>
      <c r="AH200" s="2"/>
      <c r="AI200" s="118"/>
      <c r="AJ200" s="118"/>
      <c r="AK200" s="118"/>
      <c r="AL200" s="118"/>
      <c r="AM200" s="118"/>
      <c r="AN200" s="118"/>
      <c r="AO200" s="118"/>
      <c r="AP200" s="104"/>
      <c r="AQ200" s="104"/>
      <c r="AR200" s="104"/>
      <c r="AS200" s="104"/>
      <c r="AT200" s="104"/>
      <c r="AU200" s="104"/>
    </row>
    <row r="201" spans="1:47">
      <c r="A201" s="2" t="str">
        <f>'Reference Score Calculation'!A192</f>
        <v>JS4862</v>
      </c>
      <c r="B201" s="364" t="str">
        <f>'Reference Score Calculation'!A192</f>
        <v>JS4862</v>
      </c>
      <c r="C201" s="2" t="str">
        <f>'Reference Score Calculation'!D192</f>
        <v>心理學</v>
      </c>
      <c r="D201" s="16">
        <f>'Reference Score Calculation'!T192</f>
        <v>56</v>
      </c>
      <c r="E201" s="16">
        <v>3</v>
      </c>
      <c r="F201" s="16">
        <v>3</v>
      </c>
      <c r="G201" s="16">
        <v>2</v>
      </c>
      <c r="H201" s="16">
        <v>2</v>
      </c>
      <c r="I201" s="16">
        <v>3</v>
      </c>
      <c r="J201" s="16">
        <v>3</v>
      </c>
      <c r="L201" s="92">
        <v>3</v>
      </c>
      <c r="M201" s="92">
        <v>3</v>
      </c>
      <c r="N201" s="92">
        <v>2</v>
      </c>
      <c r="O201" s="92">
        <v>1</v>
      </c>
      <c r="P201" s="92">
        <v>3</v>
      </c>
      <c r="Q201" s="92">
        <v>3</v>
      </c>
      <c r="S201" s="16">
        <f t="shared" si="94"/>
        <v>0</v>
      </c>
      <c r="T201" s="16">
        <f t="shared" si="95"/>
        <v>0</v>
      </c>
      <c r="U201" s="16">
        <f t="shared" si="96"/>
        <v>0</v>
      </c>
      <c r="V201" s="16">
        <f t="shared" si="97"/>
        <v>0</v>
      </c>
      <c r="W201" s="16">
        <f t="shared" si="98"/>
        <v>0</v>
      </c>
      <c r="X201" s="16">
        <f t="shared" si="99"/>
        <v>0</v>
      </c>
      <c r="Y201" s="16"/>
      <c r="Z201" s="16">
        <f t="shared" si="100"/>
        <v>0</v>
      </c>
      <c r="AA201" s="2"/>
      <c r="AB201" s="16" t="s">
        <v>432</v>
      </c>
      <c r="AC201" s="16" t="s">
        <v>433</v>
      </c>
      <c r="AD201" s="16" t="s">
        <v>434</v>
      </c>
      <c r="AE201" s="16" t="s">
        <v>432</v>
      </c>
      <c r="AF201" s="2" t="s">
        <v>435</v>
      </c>
      <c r="AG201" s="2" t="s">
        <v>435</v>
      </c>
      <c r="AH201" s="2"/>
      <c r="AI201" s="118"/>
      <c r="AJ201" s="118"/>
      <c r="AK201" s="118"/>
      <c r="AL201" s="118"/>
      <c r="AM201" s="118"/>
      <c r="AN201" s="118"/>
      <c r="AO201" s="118"/>
      <c r="AP201" s="104"/>
      <c r="AQ201" s="104"/>
      <c r="AR201" s="104"/>
      <c r="AS201" s="104"/>
      <c r="AT201" s="104"/>
      <c r="AU201" s="104"/>
    </row>
    <row r="202" spans="1:47">
      <c r="A202" s="2" t="str">
        <f>'Reference Score Calculation'!A193</f>
        <v>JS4874</v>
      </c>
      <c r="B202" s="364" t="str">
        <f>'Reference Score Calculation'!A193</f>
        <v>JS4874</v>
      </c>
      <c r="C202" s="2" t="str">
        <f>'Reference Score Calculation'!D193</f>
        <v>社會工作</v>
      </c>
      <c r="D202" s="16">
        <f>'Reference Score Calculation'!T193</f>
        <v>45</v>
      </c>
      <c r="E202" s="16">
        <v>3</v>
      </c>
      <c r="F202" s="16">
        <v>3</v>
      </c>
      <c r="G202" s="16">
        <v>2</v>
      </c>
      <c r="H202" s="16">
        <v>3</v>
      </c>
      <c r="I202" s="16">
        <v>3</v>
      </c>
      <c r="J202" s="16">
        <v>3</v>
      </c>
      <c r="L202" s="92">
        <v>3</v>
      </c>
      <c r="M202" s="92">
        <v>3</v>
      </c>
      <c r="N202" s="92">
        <v>2</v>
      </c>
      <c r="O202" s="92">
        <v>1</v>
      </c>
      <c r="P202" s="92">
        <v>3</v>
      </c>
      <c r="Q202" s="92">
        <v>3</v>
      </c>
      <c r="S202" s="16">
        <f t="shared" si="94"/>
        <v>0</v>
      </c>
      <c r="T202" s="16">
        <f t="shared" si="95"/>
        <v>0</v>
      </c>
      <c r="U202" s="16">
        <f t="shared" si="96"/>
        <v>0</v>
      </c>
      <c r="V202" s="16">
        <f t="shared" si="97"/>
        <v>0</v>
      </c>
      <c r="W202" s="16">
        <f t="shared" si="98"/>
        <v>0</v>
      </c>
      <c r="X202" s="16">
        <f t="shared" si="99"/>
        <v>0</v>
      </c>
      <c r="Y202" s="16"/>
      <c r="Z202" s="16">
        <f t="shared" si="100"/>
        <v>0</v>
      </c>
      <c r="AA202" s="2"/>
      <c r="AB202" s="16" t="s">
        <v>432</v>
      </c>
      <c r="AC202" s="16" t="s">
        <v>433</v>
      </c>
      <c r="AD202" s="16" t="s">
        <v>434</v>
      </c>
      <c r="AE202" s="16" t="s">
        <v>432</v>
      </c>
      <c r="AF202" s="2" t="s">
        <v>435</v>
      </c>
      <c r="AG202" s="2" t="s">
        <v>435</v>
      </c>
      <c r="AH202" s="2"/>
      <c r="AI202" s="118"/>
      <c r="AJ202" s="118"/>
      <c r="AK202" s="118"/>
      <c r="AL202" s="118"/>
      <c r="AM202" s="118"/>
      <c r="AN202" s="118"/>
      <c r="AO202" s="118"/>
      <c r="AP202" s="104"/>
      <c r="AQ202" s="104"/>
      <c r="AR202" s="104"/>
      <c r="AS202" s="104"/>
      <c r="AT202" s="104"/>
      <c r="AU202" s="104"/>
    </row>
    <row r="203" spans="1:47">
      <c r="A203" s="2" t="str">
        <f>'Reference Score Calculation'!A194</f>
        <v>JS4886</v>
      </c>
      <c r="B203" s="364" t="str">
        <f>'Reference Score Calculation'!A194</f>
        <v>JS4886</v>
      </c>
      <c r="C203" s="2" t="str">
        <f>'Reference Score Calculation'!D194</f>
        <v>社會學</v>
      </c>
      <c r="D203" s="16">
        <f>'Reference Score Calculation'!T194</f>
        <v>38</v>
      </c>
      <c r="E203" s="16">
        <v>3</v>
      </c>
      <c r="F203" s="16">
        <v>3</v>
      </c>
      <c r="G203" s="16">
        <v>2</v>
      </c>
      <c r="H203" s="16">
        <v>2</v>
      </c>
      <c r="I203" s="16">
        <v>3</v>
      </c>
      <c r="J203" s="16">
        <v>3</v>
      </c>
      <c r="L203" s="92">
        <v>3</v>
      </c>
      <c r="M203" s="92">
        <v>3</v>
      </c>
      <c r="N203" s="92">
        <v>2</v>
      </c>
      <c r="O203" s="92">
        <v>1</v>
      </c>
      <c r="P203" s="92">
        <v>3</v>
      </c>
      <c r="Q203" s="92">
        <v>3</v>
      </c>
      <c r="S203" s="16">
        <f t="shared" si="94"/>
        <v>0</v>
      </c>
      <c r="T203" s="16">
        <f t="shared" si="95"/>
        <v>0</v>
      </c>
      <c r="U203" s="16">
        <f t="shared" si="96"/>
        <v>0</v>
      </c>
      <c r="V203" s="16">
        <f t="shared" si="97"/>
        <v>0</v>
      </c>
      <c r="W203" s="16">
        <f t="shared" si="98"/>
        <v>0</v>
      </c>
      <c r="X203" s="16">
        <f t="shared" si="99"/>
        <v>0</v>
      </c>
      <c r="Y203" s="16"/>
      <c r="Z203" s="16">
        <f t="shared" si="100"/>
        <v>0</v>
      </c>
      <c r="AA203" s="2"/>
      <c r="AB203" s="16" t="s">
        <v>432</v>
      </c>
      <c r="AC203" s="16" t="s">
        <v>433</v>
      </c>
      <c r="AD203" s="16" t="s">
        <v>434</v>
      </c>
      <c r="AE203" s="16" t="s">
        <v>432</v>
      </c>
      <c r="AF203" s="2" t="s">
        <v>435</v>
      </c>
      <c r="AG203" s="2" t="s">
        <v>435</v>
      </c>
      <c r="AH203" s="2"/>
      <c r="AI203" s="118"/>
      <c r="AJ203" s="118"/>
      <c r="AK203" s="118"/>
      <c r="AL203" s="118"/>
      <c r="AM203" s="118"/>
      <c r="AN203" s="118"/>
      <c r="AO203" s="118"/>
      <c r="AP203" s="104"/>
      <c r="AQ203" s="104"/>
      <c r="AR203" s="104"/>
      <c r="AS203" s="104"/>
      <c r="AT203" s="104"/>
      <c r="AU203" s="104"/>
    </row>
    <row r="204" spans="1:47">
      <c r="A204" s="2" t="str">
        <f>'Reference Score Calculation'!A195</f>
        <v>JS4892</v>
      </c>
      <c r="B204" s="364" t="str">
        <f>'Reference Score Calculation'!A195</f>
        <v>JS4892</v>
      </c>
      <c r="C204" s="2" t="str">
        <f>'Reference Score Calculation'!D195</f>
        <v>全球研究</v>
      </c>
      <c r="D204" s="16">
        <f>'Reference Score Calculation'!T195</f>
        <v>19</v>
      </c>
      <c r="E204" s="16">
        <v>3</v>
      </c>
      <c r="F204" s="16">
        <v>3</v>
      </c>
      <c r="G204" s="16">
        <v>2</v>
      </c>
      <c r="H204" s="16">
        <v>2</v>
      </c>
      <c r="I204" s="16">
        <v>3</v>
      </c>
      <c r="J204" s="16">
        <v>3</v>
      </c>
      <c r="L204" s="92">
        <v>3</v>
      </c>
      <c r="M204" s="92">
        <v>3</v>
      </c>
      <c r="N204" s="92">
        <v>2</v>
      </c>
      <c r="O204" s="92">
        <v>1</v>
      </c>
      <c r="P204" s="92">
        <v>3</v>
      </c>
      <c r="Q204" s="92">
        <v>3</v>
      </c>
      <c r="S204" s="16">
        <f t="shared" si="94"/>
        <v>0</v>
      </c>
      <c r="T204" s="16">
        <f t="shared" si="95"/>
        <v>0</v>
      </c>
      <c r="U204" s="16">
        <f t="shared" si="96"/>
        <v>0</v>
      </c>
      <c r="V204" s="16">
        <f t="shared" si="97"/>
        <v>0</v>
      </c>
      <c r="W204" s="16">
        <f t="shared" ref="W204:W206" si="101">IF(P204&gt;LARGE($P$3:$U$3,1),0,1)</f>
        <v>0</v>
      </c>
      <c r="X204" s="16">
        <f t="shared" si="99"/>
        <v>0</v>
      </c>
      <c r="Y204" s="16"/>
      <c r="Z204" s="16">
        <f t="shared" si="100"/>
        <v>0</v>
      </c>
      <c r="AA204" s="2"/>
      <c r="AB204" s="16" t="s">
        <v>432</v>
      </c>
      <c r="AC204" s="16" t="s">
        <v>433</v>
      </c>
      <c r="AD204" s="16" t="s">
        <v>434</v>
      </c>
      <c r="AE204" s="16" t="s">
        <v>434</v>
      </c>
      <c r="AF204" s="2" t="s">
        <v>435</v>
      </c>
      <c r="AG204" s="2" t="s">
        <v>435</v>
      </c>
      <c r="AH204" s="2"/>
      <c r="AI204" s="118"/>
      <c r="AJ204" s="118"/>
      <c r="AK204" s="118"/>
      <c r="AL204" s="118"/>
      <c r="AM204" s="118"/>
      <c r="AN204" s="118"/>
      <c r="AO204" s="118"/>
      <c r="AP204" s="104"/>
      <c r="AQ204" s="104"/>
      <c r="AR204" s="104"/>
      <c r="AS204" s="104"/>
      <c r="AT204" s="104"/>
      <c r="AU204" s="104"/>
    </row>
    <row r="205" spans="1:47">
      <c r="A205" s="2" t="str">
        <f>'Reference Score Calculation'!A196</f>
        <v>JS4893</v>
      </c>
      <c r="B205" s="364" t="str">
        <f>'Reference Score Calculation'!A196</f>
        <v>JS4893</v>
      </c>
      <c r="C205" s="2" t="str">
        <f>'Reference Score Calculation'!D196</f>
        <v>數據科學與政策研究</v>
      </c>
      <c r="D205" s="16">
        <f>'Reference Score Calculation'!T196</f>
        <v>19</v>
      </c>
      <c r="E205" s="16">
        <v>3</v>
      </c>
      <c r="F205" s="16">
        <v>3</v>
      </c>
      <c r="G205" s="16">
        <v>3</v>
      </c>
      <c r="H205" s="16">
        <v>2</v>
      </c>
      <c r="I205" s="16">
        <v>3</v>
      </c>
      <c r="J205" s="16">
        <v>3</v>
      </c>
      <c r="L205" s="92">
        <v>3</v>
      </c>
      <c r="M205" s="92">
        <v>3</v>
      </c>
      <c r="N205" s="92">
        <v>3</v>
      </c>
      <c r="O205" s="92">
        <v>1</v>
      </c>
      <c r="P205" s="92">
        <v>3</v>
      </c>
      <c r="Q205" s="92">
        <v>3</v>
      </c>
      <c r="S205" s="16">
        <f t="shared" si="94"/>
        <v>0</v>
      </c>
      <c r="T205" s="16">
        <f t="shared" si="95"/>
        <v>0</v>
      </c>
      <c r="U205" s="16">
        <f t="shared" si="96"/>
        <v>0</v>
      </c>
      <c r="V205" s="16">
        <f t="shared" si="97"/>
        <v>0</v>
      </c>
      <c r="W205" s="16">
        <f t="shared" si="101"/>
        <v>0</v>
      </c>
      <c r="X205" s="16">
        <f t="shared" si="99"/>
        <v>0</v>
      </c>
      <c r="Y205" s="16"/>
      <c r="Z205" s="16">
        <f t="shared" si="100"/>
        <v>0</v>
      </c>
      <c r="AA205" s="2"/>
      <c r="AB205" s="16" t="s">
        <v>432</v>
      </c>
      <c r="AC205" s="16" t="s">
        <v>433</v>
      </c>
      <c r="AD205" s="16" t="s">
        <v>434</v>
      </c>
      <c r="AE205" s="16" t="s">
        <v>432</v>
      </c>
      <c r="AF205" s="2" t="s">
        <v>435</v>
      </c>
      <c r="AG205" s="2" t="s">
        <v>435</v>
      </c>
      <c r="AH205" s="2"/>
      <c r="AI205" s="118"/>
      <c r="AJ205" s="118"/>
      <c r="AK205" s="118"/>
      <c r="AL205" s="118"/>
      <c r="AM205" s="118"/>
      <c r="AN205" s="118"/>
      <c r="AO205" s="118"/>
      <c r="AP205" s="104"/>
      <c r="AQ205" s="104"/>
      <c r="AR205" s="104"/>
      <c r="AS205" s="104"/>
      <c r="AT205" s="104"/>
      <c r="AU205" s="104"/>
    </row>
    <row r="206" spans="1:47">
      <c r="A206" s="2" t="str">
        <f>'Reference Score Calculation'!A197</f>
        <v>JS4903</v>
      </c>
      <c r="B206" s="364" t="str">
        <f>'Reference Score Calculation'!A197</f>
        <v>JS4903</v>
      </c>
      <c r="C206" s="2" t="str">
        <f>'Reference Score Calculation'!D197</f>
        <v>法學士</v>
      </c>
      <c r="D206" s="16">
        <f>'Reference Score Calculation'!T197</f>
        <v>73</v>
      </c>
      <c r="E206" s="16">
        <v>4</v>
      </c>
      <c r="F206" s="16">
        <v>5</v>
      </c>
      <c r="G206" s="16">
        <v>3</v>
      </c>
      <c r="H206" s="16">
        <v>3</v>
      </c>
      <c r="I206" s="16">
        <v>3</v>
      </c>
      <c r="J206" s="16">
        <v>3</v>
      </c>
      <c r="L206" s="92">
        <v>4</v>
      </c>
      <c r="M206" s="92">
        <v>5</v>
      </c>
      <c r="N206" s="92">
        <v>3</v>
      </c>
      <c r="O206" s="92">
        <v>1</v>
      </c>
      <c r="P206" s="92">
        <v>3</v>
      </c>
      <c r="Q206" s="92">
        <v>3</v>
      </c>
      <c r="S206" s="16">
        <f t="shared" si="94"/>
        <v>0</v>
      </c>
      <c r="T206" s="16">
        <f t="shared" si="95"/>
        <v>0</v>
      </c>
      <c r="U206" s="16">
        <f t="shared" si="96"/>
        <v>0</v>
      </c>
      <c r="V206" s="16">
        <f t="shared" si="97"/>
        <v>0</v>
      </c>
      <c r="W206" s="16">
        <f t="shared" si="101"/>
        <v>0</v>
      </c>
      <c r="X206" s="16">
        <f t="shared" si="99"/>
        <v>0</v>
      </c>
      <c r="Y206" s="16"/>
      <c r="Z206" s="16">
        <f t="shared" si="100"/>
        <v>0</v>
      </c>
      <c r="AA206" s="2"/>
      <c r="AB206" s="16" t="s">
        <v>432</v>
      </c>
      <c r="AC206" s="16" t="s">
        <v>433</v>
      </c>
      <c r="AD206" s="16" t="s">
        <v>434</v>
      </c>
      <c r="AE206" s="16" t="s">
        <v>434</v>
      </c>
      <c r="AF206" s="2" t="s">
        <v>435</v>
      </c>
      <c r="AG206" s="2" t="s">
        <v>435</v>
      </c>
      <c r="AH206" s="2"/>
      <c r="AI206" s="117"/>
      <c r="AJ206" s="117"/>
      <c r="AK206" s="117"/>
      <c r="AL206" s="117"/>
      <c r="AM206" s="117"/>
      <c r="AN206" s="117"/>
      <c r="AO206" s="117"/>
      <c r="AP206" s="104"/>
      <c r="AQ206" s="104"/>
      <c r="AR206" s="104"/>
      <c r="AS206" s="104"/>
      <c r="AT206" s="104"/>
      <c r="AU206" s="104"/>
    </row>
    <row r="207" spans="1:47">
      <c r="B207" s="11" t="s">
        <v>513</v>
      </c>
      <c r="C207" s="401" t="s">
        <v>3072</v>
      </c>
      <c r="L207" s="92"/>
      <c r="M207" s="92"/>
      <c r="N207" s="92"/>
      <c r="O207" s="92"/>
      <c r="P207" s="92"/>
      <c r="Q207" s="92"/>
    </row>
    <row r="208" spans="1:47">
      <c r="B208" s="11" t="s">
        <v>110</v>
      </c>
      <c r="C208" s="11" t="s">
        <v>112</v>
      </c>
      <c r="D208" s="19" t="s">
        <v>38</v>
      </c>
      <c r="E208" s="19"/>
      <c r="F208" s="19"/>
      <c r="G208" s="19"/>
      <c r="H208" s="19"/>
      <c r="I208" s="19"/>
      <c r="J208" s="19"/>
      <c r="K208" s="19"/>
      <c r="L208" s="94" t="s">
        <v>117</v>
      </c>
      <c r="M208" s="94" t="s">
        <v>118</v>
      </c>
      <c r="N208" s="94" t="s">
        <v>119</v>
      </c>
      <c r="O208" s="94" t="s">
        <v>120</v>
      </c>
      <c r="P208" s="94" t="s">
        <v>121</v>
      </c>
      <c r="Q208" s="94" t="s">
        <v>122</v>
      </c>
      <c r="R208" s="11"/>
      <c r="S208" s="19" t="s">
        <v>117</v>
      </c>
      <c r="T208" s="19" t="s">
        <v>118</v>
      </c>
      <c r="U208" s="19" t="s">
        <v>119</v>
      </c>
      <c r="V208" s="19" t="s">
        <v>120</v>
      </c>
      <c r="W208" s="19" t="s">
        <v>121</v>
      </c>
      <c r="X208" s="19" t="s">
        <v>122</v>
      </c>
      <c r="Y208" s="16"/>
      <c r="AA208" s="21"/>
      <c r="AB208" s="16" t="s">
        <v>297</v>
      </c>
      <c r="AC208" s="16" t="s">
        <v>298</v>
      </c>
      <c r="AD208" s="16" t="s">
        <v>299</v>
      </c>
      <c r="AI208" s="124" t="s">
        <v>257</v>
      </c>
      <c r="AJ208" s="124" t="s">
        <v>431</v>
      </c>
      <c r="AK208" s="104"/>
      <c r="AL208" s="117"/>
      <c r="AM208" s="117"/>
      <c r="AN208" s="117"/>
      <c r="AO208" s="117"/>
      <c r="AP208" s="117"/>
      <c r="AQ208" s="117"/>
      <c r="AR208" s="117"/>
      <c r="AS208" s="104"/>
      <c r="AT208" s="104"/>
    </row>
    <row r="209" spans="1:46">
      <c r="A209" s="2" t="str">
        <f>'Reference Score Calculation'!A200</f>
        <v>JS5101</v>
      </c>
      <c r="B209" s="364" t="str">
        <f>'Reference Score Calculation'!A200</f>
        <v>JS5101</v>
      </c>
      <c r="C209" s="2" t="str">
        <f>'Reference Score Calculation'!D200</f>
        <v>國際科研</v>
      </c>
      <c r="D209" s="16">
        <f>'Reference Score Calculation'!T200</f>
        <v>21</v>
      </c>
      <c r="E209" s="16">
        <v>3</v>
      </c>
      <c r="F209" s="16">
        <v>3</v>
      </c>
      <c r="G209" s="16">
        <v>2</v>
      </c>
      <c r="H209" s="16">
        <v>2</v>
      </c>
      <c r="I209" s="16">
        <v>3</v>
      </c>
      <c r="J209" s="16">
        <v>3</v>
      </c>
      <c r="L209" s="92">
        <v>3</v>
      </c>
      <c r="M209" s="92">
        <v>3</v>
      </c>
      <c r="N209" s="92">
        <v>2</v>
      </c>
      <c r="O209" s="92">
        <v>1</v>
      </c>
      <c r="P209" s="92">
        <v>3</v>
      </c>
      <c r="Q209" s="92">
        <v>3</v>
      </c>
      <c r="S209" s="16">
        <f>IF(L209&gt;L$3,0,1)</f>
        <v>0</v>
      </c>
      <c r="T209" s="16">
        <f t="shared" ref="T209:V209" si="102">IF(M209&gt;M$3,0,1)</f>
        <v>0</v>
      </c>
      <c r="U209" s="16">
        <f t="shared" si="102"/>
        <v>0</v>
      </c>
      <c r="V209" s="16">
        <f t="shared" si="102"/>
        <v>0</v>
      </c>
      <c r="W209" s="16">
        <f>IF(P209&gt;$AQ$211,0,1)</f>
        <v>0</v>
      </c>
      <c r="X209" s="16">
        <f t="shared" ref="X209:X234" si="103">IF(Q209&gt;LARGE($P$3:$T$3,2),0,1)</f>
        <v>0</v>
      </c>
      <c r="Z209" s="16">
        <f>S209*T209*U209*V209*W209*X209</f>
        <v>0</v>
      </c>
      <c r="AA209" s="21"/>
      <c r="AB209" s="16" t="s">
        <v>432</v>
      </c>
      <c r="AC209" s="16" t="s">
        <v>434</v>
      </c>
      <c r="AD209" s="16" t="s">
        <v>434</v>
      </c>
      <c r="AF209" s="21" t="s">
        <v>490</v>
      </c>
      <c r="AG209" s="2" t="s">
        <v>514</v>
      </c>
      <c r="AH209" s="21" t="s">
        <v>435</v>
      </c>
      <c r="AI209" s="118"/>
      <c r="AJ209" s="118"/>
      <c r="AK209" s="118"/>
      <c r="AL209" s="118"/>
      <c r="AM209" s="118"/>
      <c r="AN209" s="104"/>
      <c r="AO209" s="104"/>
      <c r="AP209" s="104"/>
      <c r="AQ209" s="104"/>
      <c r="AR209" s="104"/>
      <c r="AS209" s="104"/>
      <c r="AT209" s="104"/>
    </row>
    <row r="210" spans="1:46">
      <c r="A210" s="2" t="str">
        <f>'Reference Score Calculation'!A201</f>
        <v>JS5102</v>
      </c>
      <c r="B210" s="364" t="str">
        <f>'Reference Score Calculation'!A201</f>
        <v>JS5102</v>
      </c>
      <c r="C210" s="2" t="str">
        <f>'Reference Score Calculation'!D201</f>
        <v>理學Ａ組</v>
      </c>
      <c r="D210" s="16" t="str">
        <f>'Reference Score Calculation'!T201</f>
        <v>431*</v>
      </c>
      <c r="E210" s="16">
        <v>3</v>
      </c>
      <c r="F210" s="16">
        <v>3</v>
      </c>
      <c r="G210" s="16">
        <v>2</v>
      </c>
      <c r="H210" s="16">
        <v>2</v>
      </c>
      <c r="I210" s="16">
        <v>3</v>
      </c>
      <c r="J210" s="16">
        <v>3</v>
      </c>
      <c r="L210" s="92">
        <v>3</v>
      </c>
      <c r="M210" s="92">
        <v>3</v>
      </c>
      <c r="N210" s="92">
        <v>2</v>
      </c>
      <c r="O210" s="92">
        <v>1</v>
      </c>
      <c r="P210" s="92">
        <v>3</v>
      </c>
      <c r="Q210" s="92">
        <v>3</v>
      </c>
      <c r="S210" s="16">
        <f t="shared" ref="S210:S234" si="104">IF(L210&gt;L$3,0,1)</f>
        <v>0</v>
      </c>
      <c r="T210" s="16">
        <f t="shared" ref="T210:T234" si="105">IF(M210&gt;M$3,0,1)</f>
        <v>0</v>
      </c>
      <c r="U210" s="16">
        <f t="shared" ref="U210:U234" si="106">IF(N210&gt;N$3,0,1)</f>
        <v>0</v>
      </c>
      <c r="V210" s="16">
        <f t="shared" ref="V210:V234" si="107">IF(O210&gt;O$3,0,1)</f>
        <v>0</v>
      </c>
      <c r="W210" s="16">
        <f>IF(P210&gt;$AQ$211,0,1)</f>
        <v>0</v>
      </c>
      <c r="X210" s="16">
        <f t="shared" si="103"/>
        <v>0</v>
      </c>
      <c r="Z210" s="16">
        <f t="shared" ref="Z210:Z234" si="108">S210*T210*U210*V210*W210*X210</f>
        <v>0</v>
      </c>
      <c r="AA210" s="21"/>
      <c r="AB210" s="16" t="s">
        <v>432</v>
      </c>
      <c r="AC210" s="16" t="s">
        <v>434</v>
      </c>
      <c r="AD210" s="16" t="s">
        <v>434</v>
      </c>
      <c r="AF210" s="21" t="s">
        <v>490</v>
      </c>
      <c r="AG210" s="2" t="s">
        <v>435</v>
      </c>
      <c r="AH210" s="21" t="s">
        <v>435</v>
      </c>
      <c r="AI210" s="118" t="s">
        <v>515</v>
      </c>
      <c r="AJ210" s="118" t="str">
        <f>Q2</f>
        <v>請選擇第一選修科</v>
      </c>
      <c r="AK210" s="118" t="str">
        <f>R2</f>
        <v>請選擇第二選修科</v>
      </c>
      <c r="AL210" s="118" t="str">
        <f>S2</f>
        <v>請選擇第三選修科</v>
      </c>
      <c r="AM210" s="118" t="str">
        <f>T2</f>
        <v>請選擇第四選修科</v>
      </c>
      <c r="AN210" s="118" t="str">
        <f>P$2</f>
        <v>數學延伸</v>
      </c>
      <c r="AO210" s="104"/>
      <c r="AP210" s="118" t="s">
        <v>364</v>
      </c>
      <c r="AQ210" s="118"/>
      <c r="AR210" s="118" t="s">
        <v>365</v>
      </c>
      <c r="AS210" s="118"/>
      <c r="AT210" s="104"/>
    </row>
    <row r="211" spans="1:46">
      <c r="A211" s="2" t="str">
        <f>'Reference Score Calculation'!A202</f>
        <v>JS5103</v>
      </c>
      <c r="B211" s="364" t="str">
        <f>'Reference Score Calculation'!A202</f>
        <v>JS5103</v>
      </c>
      <c r="C211" s="2" t="str">
        <f>'Reference Score Calculation'!D202</f>
        <v>理學Ｂ組</v>
      </c>
      <c r="D211" s="16" t="str">
        <f>'Reference Score Calculation'!T202</f>
        <v>431*</v>
      </c>
      <c r="E211" s="16">
        <v>3</v>
      </c>
      <c r="F211" s="16">
        <v>3</v>
      </c>
      <c r="G211" s="16">
        <v>2</v>
      </c>
      <c r="H211" s="16">
        <v>2</v>
      </c>
      <c r="I211" s="16">
        <v>3</v>
      </c>
      <c r="J211" s="16">
        <v>3</v>
      </c>
      <c r="L211" s="92">
        <v>3</v>
      </c>
      <c r="M211" s="92">
        <v>3</v>
      </c>
      <c r="N211" s="92">
        <v>2</v>
      </c>
      <c r="O211" s="92">
        <v>1</v>
      </c>
      <c r="P211" s="92">
        <v>3</v>
      </c>
      <c r="Q211" s="92">
        <v>3</v>
      </c>
      <c r="S211" s="16">
        <f t="shared" si="104"/>
        <v>0</v>
      </c>
      <c r="T211" s="16">
        <f t="shared" si="105"/>
        <v>0</v>
      </c>
      <c r="U211" s="16">
        <f t="shared" si="106"/>
        <v>0</v>
      </c>
      <c r="V211" s="16">
        <f t="shared" si="107"/>
        <v>0</v>
      </c>
      <c r="W211" s="16">
        <f>IF(P211&gt;$AQ$211,0,1)</f>
        <v>0</v>
      </c>
      <c r="X211" s="16">
        <f t="shared" si="103"/>
        <v>0</v>
      </c>
      <c r="Z211" s="16">
        <f t="shared" si="108"/>
        <v>0</v>
      </c>
      <c r="AA211" s="21"/>
      <c r="AB211" s="16" t="s">
        <v>432</v>
      </c>
      <c r="AC211" s="16" t="s">
        <v>434</v>
      </c>
      <c r="AD211" s="16" t="s">
        <v>434</v>
      </c>
      <c r="AF211" s="21" t="s">
        <v>490</v>
      </c>
      <c r="AG211" s="2" t="s">
        <v>435</v>
      </c>
      <c r="AH211" s="21" t="s">
        <v>435</v>
      </c>
      <c r="AI211" s="118" t="s">
        <v>516</v>
      </c>
      <c r="AJ211" s="119">
        <f>IF(OR(Q2="物理",Q2="化學",Q2="生物"),Q3,0)</f>
        <v>0</v>
      </c>
      <c r="AK211" s="119">
        <f t="shared" ref="AK211:AM211" si="109">IF(OR(R2="物理",R2="化學",R2="生物"),R3,0)</f>
        <v>0</v>
      </c>
      <c r="AL211" s="119">
        <f t="shared" si="109"/>
        <v>0</v>
      </c>
      <c r="AM211" s="119">
        <f t="shared" si="109"/>
        <v>0</v>
      </c>
      <c r="AN211" s="119">
        <f>P$3</f>
        <v>5.0000000000000003E-10</v>
      </c>
      <c r="AO211" s="118"/>
      <c r="AP211" s="119" t="str">
        <f>IF(AQ211&gt;0.1,INDEX(AJ210:AN210,MATCH(LARGE(AJ211:AN211,1),AJ211:AN211,0)),"無")</f>
        <v>無</v>
      </c>
      <c r="AQ211" s="119">
        <f>LARGE((AJ211:AN211),1)</f>
        <v>5.0000000000000003E-10</v>
      </c>
      <c r="AR211" s="119" t="str">
        <f>IF(AS211&gt;0.1,INDEX(AJ210:AN210,MATCH(LARGE(AJ211:AN211,2),AJ211:AN211,0)),"無")</f>
        <v>無</v>
      </c>
      <c r="AS211" s="119">
        <f>LARGE((AJ211:AN211),2)</f>
        <v>0</v>
      </c>
      <c r="AT211" s="104"/>
    </row>
    <row r="212" spans="1:46">
      <c r="A212" s="2" t="str">
        <f>'Reference Score Calculation'!A203</f>
        <v>JS5181</v>
      </c>
      <c r="B212" s="364" t="str">
        <f>'Reference Score Calculation'!A203</f>
        <v>JS5181</v>
      </c>
      <c r="C212" s="2" t="str">
        <f>'Reference Score Calculation'!D203</f>
        <v>理學Ａ組– 延伸主修人工智能</v>
      </c>
      <c r="D212" s="16">
        <f>'Reference Score Calculation'!T203</f>
        <v>41</v>
      </c>
      <c r="E212" s="16">
        <v>3</v>
      </c>
      <c r="F212" s="16">
        <v>3</v>
      </c>
      <c r="G212" s="16">
        <v>3</v>
      </c>
      <c r="H212" s="16">
        <v>2</v>
      </c>
      <c r="I212" s="16">
        <v>3</v>
      </c>
      <c r="J212" s="16">
        <v>3</v>
      </c>
      <c r="L212" s="92">
        <v>3</v>
      </c>
      <c r="M212" s="92">
        <v>3</v>
      </c>
      <c r="N212" s="92">
        <v>3</v>
      </c>
      <c r="O212" s="92">
        <v>1</v>
      </c>
      <c r="P212" s="92">
        <v>3</v>
      </c>
      <c r="Q212" s="92">
        <v>3</v>
      </c>
      <c r="S212" s="16">
        <f t="shared" si="104"/>
        <v>0</v>
      </c>
      <c r="T212" s="16">
        <f t="shared" si="105"/>
        <v>0</v>
      </c>
      <c r="U212" s="16">
        <f t="shared" si="106"/>
        <v>0</v>
      </c>
      <c r="V212" s="16">
        <f t="shared" si="107"/>
        <v>0</v>
      </c>
      <c r="W212" s="16">
        <f>IF(P212&gt;$AQ$211,0,1)</f>
        <v>0</v>
      </c>
      <c r="X212" s="16">
        <f t="shared" si="103"/>
        <v>0</v>
      </c>
      <c r="Z212" s="16">
        <f t="shared" si="108"/>
        <v>0</v>
      </c>
      <c r="AA212" s="21"/>
      <c r="AB212" s="16" t="s">
        <v>432</v>
      </c>
      <c r="AC212" s="16" t="s">
        <v>434</v>
      </c>
      <c r="AD212" s="16" t="s">
        <v>434</v>
      </c>
      <c r="AF212" s="21" t="s">
        <v>490</v>
      </c>
      <c r="AG212" s="2" t="s">
        <v>435</v>
      </c>
      <c r="AH212" s="21" t="s">
        <v>435</v>
      </c>
      <c r="AI212" s="118" t="s">
        <v>517</v>
      </c>
      <c r="AJ212" s="163" t="s">
        <v>3036</v>
      </c>
      <c r="AK212" s="118"/>
      <c r="AL212" s="118"/>
      <c r="AM212" s="118"/>
      <c r="AN212" s="118"/>
      <c r="AO212" s="118"/>
      <c r="AP212" s="104"/>
      <c r="AQ212" s="104"/>
      <c r="AR212" s="104"/>
      <c r="AS212" s="104"/>
      <c r="AT212" s="104"/>
    </row>
    <row r="213" spans="1:46">
      <c r="A213" s="2" t="str">
        <f>'Reference Score Calculation'!A204</f>
        <v>JS5200</v>
      </c>
      <c r="B213" s="364" t="str">
        <f>'Reference Score Calculation'!A204</f>
        <v>JS5200</v>
      </c>
      <c r="C213" s="2" t="str">
        <f>'Reference Score Calculation'!D204</f>
        <v>工程學</v>
      </c>
      <c r="D213" s="16">
        <f>'Reference Score Calculation'!T204</f>
        <v>532</v>
      </c>
      <c r="E213" s="16">
        <v>3</v>
      </c>
      <c r="F213" s="16">
        <v>3</v>
      </c>
      <c r="G213" s="16">
        <v>3</v>
      </c>
      <c r="H213" s="16">
        <v>2</v>
      </c>
      <c r="I213" s="16">
        <v>3</v>
      </c>
      <c r="J213" s="16">
        <v>3</v>
      </c>
      <c r="L213" s="92">
        <v>3</v>
      </c>
      <c r="M213" s="92">
        <v>3</v>
      </c>
      <c r="N213" s="92">
        <v>3</v>
      </c>
      <c r="O213" s="92">
        <v>1</v>
      </c>
      <c r="P213" s="92">
        <v>3</v>
      </c>
      <c r="Q213" s="92">
        <v>3</v>
      </c>
      <c r="S213" s="16">
        <f t="shared" si="104"/>
        <v>0</v>
      </c>
      <c r="T213" s="16">
        <f t="shared" si="105"/>
        <v>0</v>
      </c>
      <c r="U213" s="16">
        <f t="shared" si="106"/>
        <v>0</v>
      </c>
      <c r="V213" s="16">
        <f t="shared" si="107"/>
        <v>0</v>
      </c>
      <c r="W213" s="16">
        <f>IF(P213&gt;$AQ$216,0,1)</f>
        <v>0</v>
      </c>
      <c r="X213" s="16">
        <f>IF(Q213&gt;LARGE($P$3:$T$3,2),0,1)</f>
        <v>0</v>
      </c>
      <c r="Z213" s="16">
        <f t="shared" si="108"/>
        <v>0</v>
      </c>
      <c r="AA213" s="21"/>
      <c r="AB213" s="16" t="s">
        <v>432</v>
      </c>
      <c r="AC213" s="16" t="s">
        <v>434</v>
      </c>
      <c r="AD213" s="16" t="s">
        <v>434</v>
      </c>
      <c r="AF213" s="21" t="s">
        <v>518</v>
      </c>
      <c r="AG213" s="2" t="s">
        <v>435</v>
      </c>
      <c r="AH213" s="21" t="s">
        <v>435</v>
      </c>
      <c r="AI213" s="118" t="s">
        <v>519</v>
      </c>
      <c r="AJ213" s="118"/>
      <c r="AK213" s="118"/>
      <c r="AL213" s="118"/>
      <c r="AM213" s="118"/>
      <c r="AN213" s="118"/>
      <c r="AO213" s="118"/>
      <c r="AP213" s="104"/>
      <c r="AQ213" s="104"/>
      <c r="AR213" s="104"/>
      <c r="AS213" s="104"/>
      <c r="AT213" s="104"/>
    </row>
    <row r="214" spans="1:46">
      <c r="A214" s="2" t="str">
        <f>'Reference Score Calculation'!A205</f>
        <v>JS5282</v>
      </c>
      <c r="B214" s="364" t="str">
        <f>'Reference Score Calculation'!A205</f>
        <v>JS5282</v>
      </c>
      <c r="C214" s="2" t="str">
        <f>'Reference Score Calculation'!D205</f>
        <v>工程學– 延伸主修人工智能</v>
      </c>
      <c r="D214" s="16">
        <f>'Reference Score Calculation'!T205</f>
        <v>152</v>
      </c>
      <c r="E214" s="16">
        <v>3</v>
      </c>
      <c r="F214" s="16">
        <v>3</v>
      </c>
      <c r="G214" s="16">
        <v>3</v>
      </c>
      <c r="H214" s="16">
        <v>2</v>
      </c>
      <c r="I214" s="16">
        <v>3</v>
      </c>
      <c r="J214" s="16">
        <v>3</v>
      </c>
      <c r="L214" s="92">
        <v>3</v>
      </c>
      <c r="M214" s="92">
        <v>3</v>
      </c>
      <c r="N214" s="92">
        <v>3</v>
      </c>
      <c r="O214" s="92">
        <v>1</v>
      </c>
      <c r="P214" s="92">
        <v>3</v>
      </c>
      <c r="Q214" s="92">
        <v>3</v>
      </c>
      <c r="S214" s="16">
        <f t="shared" si="104"/>
        <v>0</v>
      </c>
      <c r="T214" s="16">
        <f t="shared" si="105"/>
        <v>0</v>
      </c>
      <c r="U214" s="16">
        <f t="shared" si="106"/>
        <v>0</v>
      </c>
      <c r="V214" s="16">
        <f t="shared" si="107"/>
        <v>0</v>
      </c>
      <c r="W214" s="16">
        <f>IF(P214&gt;$AQ$216,0,1)</f>
        <v>0</v>
      </c>
      <c r="X214" s="16">
        <f>IF(Q214&gt;LARGE($P$3:$T$3,2),0,1)</f>
        <v>0</v>
      </c>
      <c r="Z214" s="16">
        <f t="shared" si="108"/>
        <v>0</v>
      </c>
      <c r="AA214" s="21"/>
      <c r="AB214" s="16" t="s">
        <v>432</v>
      </c>
      <c r="AC214" s="16" t="s">
        <v>434</v>
      </c>
      <c r="AD214" s="16" t="s">
        <v>434</v>
      </c>
      <c r="AF214" s="21" t="s">
        <v>518</v>
      </c>
      <c r="AG214" s="21" t="s">
        <v>435</v>
      </c>
      <c r="AH214" s="21" t="s">
        <v>435</v>
      </c>
      <c r="AI214" s="118"/>
      <c r="AJ214" s="118"/>
      <c r="AK214" s="118"/>
      <c r="AL214" s="118"/>
      <c r="AM214" s="118"/>
      <c r="AN214" s="118"/>
      <c r="AO214" s="118"/>
      <c r="AP214" s="104"/>
      <c r="AQ214" s="104"/>
      <c r="AR214" s="104"/>
      <c r="AS214" s="104"/>
      <c r="AT214" s="104"/>
    </row>
    <row r="215" spans="1:46">
      <c r="A215" s="2" t="str">
        <f>'Reference Score Calculation'!A206</f>
        <v>JS5300</v>
      </c>
      <c r="B215" s="364" t="str">
        <f>'Reference Score Calculation'!A206</f>
        <v>JS5300</v>
      </c>
      <c r="C215" s="2" t="str">
        <f>'Reference Score Calculation'!D206</f>
        <v>工商管理</v>
      </c>
      <c r="D215" s="16">
        <f>'Reference Score Calculation'!T206</f>
        <v>377</v>
      </c>
      <c r="E215" s="16">
        <v>3</v>
      </c>
      <c r="F215" s="16">
        <v>4</v>
      </c>
      <c r="G215" s="16">
        <v>3</v>
      </c>
      <c r="H215" s="16">
        <v>2</v>
      </c>
      <c r="I215" s="16">
        <v>3</v>
      </c>
      <c r="J215" s="16">
        <v>3</v>
      </c>
      <c r="L215" s="92">
        <v>3</v>
      </c>
      <c r="M215" s="92">
        <v>4</v>
      </c>
      <c r="N215" s="92">
        <v>3</v>
      </c>
      <c r="O215" s="92">
        <v>1</v>
      </c>
      <c r="P215" s="92">
        <v>3</v>
      </c>
      <c r="Q215" s="92">
        <v>3</v>
      </c>
      <c r="S215" s="16">
        <f t="shared" si="104"/>
        <v>0</v>
      </c>
      <c r="T215" s="16">
        <f t="shared" si="105"/>
        <v>0</v>
      </c>
      <c r="U215" s="16">
        <f t="shared" si="106"/>
        <v>0</v>
      </c>
      <c r="V215" s="16">
        <f t="shared" si="107"/>
        <v>0</v>
      </c>
      <c r="W215" s="16">
        <f t="shared" ref="W215:W233" si="110">IF(P215&gt;LARGE($P$3:$T$3,1),0,1)</f>
        <v>0</v>
      </c>
      <c r="X215" s="16">
        <f>IF(Q215&gt;LARGE($P$3:$T$3,2),0,1)</f>
        <v>0</v>
      </c>
      <c r="Z215" s="16">
        <f t="shared" si="108"/>
        <v>0</v>
      </c>
      <c r="AA215" s="21"/>
      <c r="AB215" s="16" t="s">
        <v>432</v>
      </c>
      <c r="AC215" s="16" t="s">
        <v>434</v>
      </c>
      <c r="AD215" s="16" t="s">
        <v>434</v>
      </c>
      <c r="AF215" s="21" t="s">
        <v>435</v>
      </c>
      <c r="AG215" s="21" t="s">
        <v>435</v>
      </c>
      <c r="AH215" s="21" t="s">
        <v>435</v>
      </c>
      <c r="AI215" s="118" t="s">
        <v>370</v>
      </c>
      <c r="AJ215" s="118" t="str">
        <f>Q$2</f>
        <v>請選擇第一選修科</v>
      </c>
      <c r="AK215" s="118" t="str">
        <f t="shared" ref="AK215:AM215" si="111">R$2</f>
        <v>請選擇第二選修科</v>
      </c>
      <c r="AL215" s="118" t="str">
        <f t="shared" si="111"/>
        <v>請選擇第三選修科</v>
      </c>
      <c r="AM215" s="118" t="str">
        <f t="shared" si="111"/>
        <v>請選擇第四選修科</v>
      </c>
      <c r="AN215" s="104"/>
      <c r="AO215" s="104"/>
      <c r="AP215" s="118" t="s">
        <v>522</v>
      </c>
      <c r="AQ215" s="118"/>
      <c r="AR215" s="104"/>
      <c r="AS215" s="104"/>
      <c r="AT215" s="104"/>
    </row>
    <row r="216" spans="1:46">
      <c r="A216" s="2" t="str">
        <f>'Reference Score Calculation'!A207</f>
        <v>JS5311</v>
      </c>
      <c r="B216" s="364" t="str">
        <f>'Reference Score Calculation'!A207</f>
        <v>JS5311</v>
      </c>
      <c r="C216" s="2" t="str">
        <f>'Reference Score Calculation'!D207</f>
        <v>工商管理學士（經濟學）</v>
      </c>
      <c r="D216" s="16" t="str">
        <f>'Reference Score Calculation'!T207</f>
        <v>125*</v>
      </c>
      <c r="E216" s="16">
        <v>3</v>
      </c>
      <c r="F216" s="16">
        <v>4</v>
      </c>
      <c r="G216" s="16">
        <v>3</v>
      </c>
      <c r="H216" s="16">
        <v>2</v>
      </c>
      <c r="I216" s="16">
        <v>3</v>
      </c>
      <c r="J216" s="16">
        <v>3</v>
      </c>
      <c r="L216" s="92">
        <v>3</v>
      </c>
      <c r="M216" s="92">
        <v>4</v>
      </c>
      <c r="N216" s="92">
        <v>3</v>
      </c>
      <c r="O216" s="92">
        <v>1</v>
      </c>
      <c r="P216" s="92">
        <v>3</v>
      </c>
      <c r="Q216" s="92">
        <v>3</v>
      </c>
      <c r="S216" s="16">
        <f t="shared" si="104"/>
        <v>0</v>
      </c>
      <c r="T216" s="16">
        <f t="shared" si="105"/>
        <v>0</v>
      </c>
      <c r="U216" s="16">
        <f t="shared" si="106"/>
        <v>0</v>
      </c>
      <c r="V216" s="16">
        <f t="shared" si="107"/>
        <v>0</v>
      </c>
      <c r="W216" s="16">
        <f t="shared" si="110"/>
        <v>0</v>
      </c>
      <c r="X216" s="16">
        <f t="shared" si="103"/>
        <v>0</v>
      </c>
      <c r="Z216" s="16">
        <f t="shared" si="108"/>
        <v>0</v>
      </c>
      <c r="AA216" s="21"/>
      <c r="AB216" s="16" t="s">
        <v>432</v>
      </c>
      <c r="AC216" s="16" t="s">
        <v>434</v>
      </c>
      <c r="AD216" s="16" t="s">
        <v>434</v>
      </c>
      <c r="AF216" s="21" t="s">
        <v>435</v>
      </c>
      <c r="AG216" s="21" t="s">
        <v>435</v>
      </c>
      <c r="AH216" s="21" t="s">
        <v>435</v>
      </c>
      <c r="AI216" s="118" t="s">
        <v>371</v>
      </c>
      <c r="AJ216" s="119">
        <f>IF(OR(Q$2="物理",Q$2="化學",Q$2="生物",Q$2="資訊及通訊科技",Q$2="組合科學(物理、化學)",Q$2="組合科學(生物、化學)",Q$2="組合科學(物理、生物)"),Q$3,0)</f>
        <v>0</v>
      </c>
      <c r="AK216" s="119">
        <f t="shared" ref="AK216:AL216" si="112">IF(OR(R$2="物理",R$2="化學",R$2="生物",R$2="資訊及通訊科技",R$2="組合科學(物理、化學)",R$2="組合科學(生物、化學)",R$2="組合科學(物理、生物)"),R$3,0)</f>
        <v>0</v>
      </c>
      <c r="AL216" s="119">
        <f t="shared" si="112"/>
        <v>0</v>
      </c>
      <c r="AM216" s="119">
        <f>IF(OR(T$2="物理",T$2="化學",T$2="生物",T$2="資訊及通訊科技",T$2="組合科學(物理、化學)",T$2="組合科學(生物、化學)",T$2="組合科學(物理、生物)"),T$3,0)</f>
        <v>0</v>
      </c>
      <c r="AN216" s="118"/>
      <c r="AO216" s="118"/>
      <c r="AP216" s="119" t="str">
        <f>IF(AQ216&gt;0.1,INDEX(AJ215:AM215,MATCH(LARGE(AJ216:AM216,1),AJ216:AM216,0)),"無")</f>
        <v>無</v>
      </c>
      <c r="AQ216" s="119">
        <f>LARGE((AJ216:AM216),1)</f>
        <v>0</v>
      </c>
      <c r="AR216" s="104"/>
      <c r="AS216" s="104"/>
      <c r="AT216" s="104"/>
    </row>
    <row r="217" spans="1:46">
      <c r="A217" s="2" t="str">
        <f>'Reference Score Calculation'!A208</f>
        <v>JS5312</v>
      </c>
      <c r="B217" s="364" t="str">
        <f>'Reference Score Calculation'!A208</f>
        <v>JS5312</v>
      </c>
      <c r="C217" s="2" t="str">
        <f>'Reference Score Calculation'!D208</f>
        <v>工商管理學士（金融學）</v>
      </c>
      <c r="D217" s="16">
        <f>'Reference Score Calculation'!T208</f>
        <v>30</v>
      </c>
      <c r="E217" s="16">
        <v>3</v>
      </c>
      <c r="F217" s="16">
        <v>4</v>
      </c>
      <c r="G217" s="16">
        <v>3</v>
      </c>
      <c r="H217" s="16">
        <v>2</v>
      </c>
      <c r="I217" s="16">
        <v>3</v>
      </c>
      <c r="J217" s="16">
        <v>3</v>
      </c>
      <c r="L217" s="92">
        <v>3</v>
      </c>
      <c r="M217" s="92">
        <v>4</v>
      </c>
      <c r="N217" s="92">
        <v>3</v>
      </c>
      <c r="O217" s="92">
        <v>1</v>
      </c>
      <c r="P217" s="92">
        <v>3</v>
      </c>
      <c r="Q217" s="92">
        <v>3</v>
      </c>
      <c r="S217" s="16">
        <f t="shared" si="104"/>
        <v>0</v>
      </c>
      <c r="T217" s="16">
        <f t="shared" si="105"/>
        <v>0</v>
      </c>
      <c r="U217" s="16">
        <f t="shared" si="106"/>
        <v>0</v>
      </c>
      <c r="V217" s="16">
        <f t="shared" si="107"/>
        <v>0</v>
      </c>
      <c r="W217" s="16">
        <f t="shared" si="110"/>
        <v>0</v>
      </c>
      <c r="X217" s="16">
        <f t="shared" si="103"/>
        <v>0</v>
      </c>
      <c r="Z217" s="16">
        <f t="shared" si="108"/>
        <v>0</v>
      </c>
      <c r="AA217" s="21"/>
      <c r="AB217" s="16" t="s">
        <v>432</v>
      </c>
      <c r="AC217" s="16" t="s">
        <v>434</v>
      </c>
      <c r="AD217" s="16" t="s">
        <v>434</v>
      </c>
      <c r="AF217" s="21" t="s">
        <v>435</v>
      </c>
      <c r="AG217" s="21" t="s">
        <v>435</v>
      </c>
      <c r="AH217" s="21" t="s">
        <v>435</v>
      </c>
      <c r="AI217" s="118" t="s">
        <v>1661</v>
      </c>
      <c r="AJ217" s="163" t="s">
        <v>3070</v>
      </c>
      <c r="AK217" s="118"/>
      <c r="AL217" s="118"/>
      <c r="AM217" s="118"/>
      <c r="AN217" s="118"/>
      <c r="AO217" s="118"/>
      <c r="AP217" s="104"/>
      <c r="AQ217" s="104"/>
      <c r="AR217" s="104"/>
      <c r="AS217" s="104"/>
      <c r="AT217" s="104"/>
    </row>
    <row r="218" spans="1:46">
      <c r="A218" s="2" t="str">
        <f>'Reference Score Calculation'!A209</f>
        <v>JS5313</v>
      </c>
      <c r="B218" s="364" t="str">
        <f>'Reference Score Calculation'!A209</f>
        <v>JS5313</v>
      </c>
      <c r="C218" s="2" t="str">
        <f>'Reference Score Calculation'!D209</f>
        <v>工商管理學士（環球商業管理）</v>
      </c>
      <c r="D218" s="16">
        <f>'Reference Score Calculation'!T209</f>
        <v>26</v>
      </c>
      <c r="E218" s="16">
        <v>3</v>
      </c>
      <c r="F218" s="16">
        <v>4</v>
      </c>
      <c r="G218" s="16">
        <v>3</v>
      </c>
      <c r="H218" s="16">
        <v>2</v>
      </c>
      <c r="I218" s="16">
        <v>3</v>
      </c>
      <c r="J218" s="16">
        <v>3</v>
      </c>
      <c r="L218" s="92">
        <v>3</v>
      </c>
      <c r="M218" s="92">
        <v>4</v>
      </c>
      <c r="N218" s="92">
        <v>3</v>
      </c>
      <c r="O218" s="92">
        <v>1</v>
      </c>
      <c r="P218" s="92">
        <v>3</v>
      </c>
      <c r="Q218" s="92">
        <v>3</v>
      </c>
      <c r="S218" s="16">
        <f t="shared" si="104"/>
        <v>0</v>
      </c>
      <c r="T218" s="16">
        <f>IF(M218&gt;M$3,0,IF(M$3&lt;5,2,1))</f>
        <v>0</v>
      </c>
      <c r="U218" s="16">
        <f t="shared" si="106"/>
        <v>0</v>
      </c>
      <c r="V218" s="16">
        <f t="shared" si="107"/>
        <v>0</v>
      </c>
      <c r="W218" s="16">
        <f t="shared" si="110"/>
        <v>0</v>
      </c>
      <c r="X218" s="16">
        <f t="shared" si="103"/>
        <v>0</v>
      </c>
      <c r="Z218" s="16">
        <f t="shared" si="108"/>
        <v>0</v>
      </c>
      <c r="AA218" s="21"/>
      <c r="AB218" s="16" t="s">
        <v>432</v>
      </c>
      <c r="AC218" s="16" t="s">
        <v>434</v>
      </c>
      <c r="AD218" s="16" t="s">
        <v>434</v>
      </c>
      <c r="AF218" s="21" t="s">
        <v>523</v>
      </c>
      <c r="AG218" s="2" t="s">
        <v>514</v>
      </c>
      <c r="AH218" s="21" t="s">
        <v>435</v>
      </c>
      <c r="AI218" s="118"/>
      <c r="AJ218" s="118"/>
      <c r="AK218" s="118"/>
      <c r="AL218" s="118"/>
      <c r="AM218" s="118"/>
      <c r="AN218" s="118"/>
      <c r="AO218" s="118"/>
      <c r="AP218" s="104"/>
      <c r="AQ218" s="104"/>
      <c r="AR218" s="104"/>
      <c r="AS218" s="104"/>
      <c r="AT218" s="104"/>
    </row>
    <row r="219" spans="1:46">
      <c r="A219" s="2" t="str">
        <f>'Reference Score Calculation'!A210</f>
        <v>JS5314</v>
      </c>
      <c r="B219" s="364" t="str">
        <f>'Reference Score Calculation'!A210</f>
        <v>JS5314</v>
      </c>
      <c r="C219" s="2" t="str">
        <f>'Reference Score Calculation'!D210</f>
        <v>工商管理學士（資訊系統學）</v>
      </c>
      <c r="D219" s="16" t="str">
        <f>'Reference Score Calculation'!T210</f>
        <v>125*</v>
      </c>
      <c r="E219" s="16">
        <v>3</v>
      </c>
      <c r="F219" s="16">
        <v>4</v>
      </c>
      <c r="G219" s="16">
        <v>3</v>
      </c>
      <c r="H219" s="16">
        <v>2</v>
      </c>
      <c r="I219" s="16">
        <v>3</v>
      </c>
      <c r="J219" s="16">
        <v>3</v>
      </c>
      <c r="L219" s="92">
        <v>3</v>
      </c>
      <c r="M219" s="92">
        <v>4</v>
      </c>
      <c r="N219" s="92">
        <v>3</v>
      </c>
      <c r="O219" s="92">
        <v>1</v>
      </c>
      <c r="P219" s="92">
        <v>3</v>
      </c>
      <c r="Q219" s="92">
        <v>3</v>
      </c>
      <c r="S219" s="16">
        <f t="shared" si="104"/>
        <v>0</v>
      </c>
      <c r="T219" s="16">
        <f t="shared" si="105"/>
        <v>0</v>
      </c>
      <c r="U219" s="16">
        <f t="shared" si="106"/>
        <v>0</v>
      </c>
      <c r="V219" s="16">
        <f t="shared" si="107"/>
        <v>0</v>
      </c>
      <c r="W219" s="16">
        <f t="shared" si="110"/>
        <v>0</v>
      </c>
      <c r="X219" s="16">
        <f t="shared" si="103"/>
        <v>0</v>
      </c>
      <c r="Z219" s="16">
        <f t="shared" si="108"/>
        <v>0</v>
      </c>
      <c r="AA219" s="21"/>
      <c r="AB219" s="16" t="s">
        <v>432</v>
      </c>
      <c r="AC219" s="16" t="s">
        <v>434</v>
      </c>
      <c r="AD219" s="16" t="s">
        <v>434</v>
      </c>
      <c r="AF219" s="21" t="s">
        <v>435</v>
      </c>
      <c r="AG219" s="21" t="s">
        <v>435</v>
      </c>
      <c r="AH219" s="21" t="s">
        <v>435</v>
      </c>
      <c r="AI219" s="118" t="s">
        <v>2568</v>
      </c>
      <c r="AJ219" s="118" t="str">
        <f>Q$2</f>
        <v>請選擇第一選修科</v>
      </c>
      <c r="AK219" s="118" t="str">
        <f t="shared" ref="AK219" si="113">R$2</f>
        <v>請選擇第二選修科</v>
      </c>
      <c r="AL219" s="118" t="str">
        <f t="shared" ref="AL219" si="114">S$2</f>
        <v>請選擇第三選修科</v>
      </c>
      <c r="AM219" s="118" t="str">
        <f t="shared" ref="AM219" si="115">T$2</f>
        <v>請選擇第四選修科</v>
      </c>
      <c r="AN219" s="104"/>
      <c r="AO219" s="104"/>
      <c r="AP219" s="118" t="s">
        <v>522</v>
      </c>
      <c r="AQ219" s="118"/>
      <c r="AR219" s="104"/>
      <c r="AS219" s="104"/>
      <c r="AT219" s="104"/>
    </row>
    <row r="220" spans="1:46">
      <c r="A220" s="2" t="str">
        <f>'Reference Score Calculation'!A211</f>
        <v>JS5315</v>
      </c>
      <c r="B220" s="364" t="str">
        <f>'Reference Score Calculation'!A211</f>
        <v>JS5315</v>
      </c>
      <c r="C220" s="2" t="str">
        <f>'Reference Score Calculation'!D211</f>
        <v>工商管理學士（管理學）</v>
      </c>
      <c r="D220" s="16" t="str">
        <f>'Reference Score Calculation'!T211</f>
        <v>125*</v>
      </c>
      <c r="E220" s="16">
        <v>3</v>
      </c>
      <c r="F220" s="16">
        <v>4</v>
      </c>
      <c r="G220" s="16">
        <v>3</v>
      </c>
      <c r="H220" s="16">
        <v>2</v>
      </c>
      <c r="I220" s="16">
        <v>3</v>
      </c>
      <c r="J220" s="16">
        <v>3</v>
      </c>
      <c r="L220" s="92">
        <v>3</v>
      </c>
      <c r="M220" s="92">
        <v>4</v>
      </c>
      <c r="N220" s="92">
        <v>3</v>
      </c>
      <c r="O220" s="92">
        <v>1</v>
      </c>
      <c r="P220" s="92">
        <v>3</v>
      </c>
      <c r="Q220" s="92">
        <v>3</v>
      </c>
      <c r="S220" s="16">
        <f t="shared" si="104"/>
        <v>0</v>
      </c>
      <c r="T220" s="16">
        <f t="shared" si="105"/>
        <v>0</v>
      </c>
      <c r="U220" s="16">
        <f t="shared" si="106"/>
        <v>0</v>
      </c>
      <c r="V220" s="16">
        <f t="shared" si="107"/>
        <v>0</v>
      </c>
      <c r="W220" s="16">
        <f t="shared" si="110"/>
        <v>0</v>
      </c>
      <c r="X220" s="16">
        <f t="shared" si="103"/>
        <v>0</v>
      </c>
      <c r="Z220" s="16">
        <f t="shared" si="108"/>
        <v>0</v>
      </c>
      <c r="AA220" s="21"/>
      <c r="AB220" s="16" t="s">
        <v>432</v>
      </c>
      <c r="AC220" s="16" t="s">
        <v>434</v>
      </c>
      <c r="AD220" s="16" t="s">
        <v>434</v>
      </c>
      <c r="AF220" s="21" t="s">
        <v>435</v>
      </c>
      <c r="AG220" s="21" t="s">
        <v>435</v>
      </c>
      <c r="AH220" s="21" t="s">
        <v>435</v>
      </c>
      <c r="AI220" s="118"/>
      <c r="AJ220" s="119">
        <f>IF(OR(Q$2="物理",Q$2="化學",Q$2="生物",Q$2="資訊及通訊科技",Q$2="設計與應用科技",Q$2="組合科學(物理、化學)",Q$2="組合科學(生物、化學)",Q$2="組合科學(物理、生物)"),Q$3,0)</f>
        <v>0</v>
      </c>
      <c r="AK220" s="119">
        <f t="shared" ref="AK220:AM220" si="116">IF(OR(R$2="物理",R$2="化學",R$2="生物",R$2="資訊及通訊科技",R$2="設計與應用科技",R$2="組合科學(物理、化學)",R$2="組合科學(生物、化學)",R$2="組合科學(物理、生物)"),R$3,0)</f>
        <v>0</v>
      </c>
      <c r="AL220" s="119">
        <f t="shared" si="116"/>
        <v>0</v>
      </c>
      <c r="AM220" s="119">
        <f t="shared" si="116"/>
        <v>0</v>
      </c>
      <c r="AN220" s="118"/>
      <c r="AO220" s="118"/>
      <c r="AP220" s="119" t="str">
        <f>IF(AQ220&gt;0.1,INDEX(AJ219:AM219,MATCH(LARGE(AJ220:AM220,1),AJ220:AM220,0)),"無")</f>
        <v>無</v>
      </c>
      <c r="AQ220" s="119">
        <f>LARGE((AJ220:AM220),1)</f>
        <v>0</v>
      </c>
      <c r="AR220" s="104"/>
      <c r="AS220" s="104"/>
      <c r="AT220" s="104"/>
    </row>
    <row r="221" spans="1:46">
      <c r="A221" s="2" t="str">
        <f>'Reference Score Calculation'!A212</f>
        <v>JS5316</v>
      </c>
      <c r="B221" s="364" t="str">
        <f>'Reference Score Calculation'!A212</f>
        <v>JS5316</v>
      </c>
      <c r="C221" s="2" t="str">
        <f>'Reference Score Calculation'!D212</f>
        <v>工商管理學士（市場學）</v>
      </c>
      <c r="D221" s="16" t="str">
        <f>'Reference Score Calculation'!T212</f>
        <v>125*</v>
      </c>
      <c r="E221" s="16">
        <v>3</v>
      </c>
      <c r="F221" s="16">
        <v>4</v>
      </c>
      <c r="G221" s="16">
        <v>3</v>
      </c>
      <c r="H221" s="16">
        <v>2</v>
      </c>
      <c r="I221" s="16">
        <v>3</v>
      </c>
      <c r="J221" s="16">
        <v>3</v>
      </c>
      <c r="L221" s="92">
        <v>3</v>
      </c>
      <c r="M221" s="92">
        <v>4</v>
      </c>
      <c r="N221" s="92">
        <v>3</v>
      </c>
      <c r="O221" s="92">
        <v>1</v>
      </c>
      <c r="P221" s="92">
        <v>3</v>
      </c>
      <c r="Q221" s="92">
        <v>3</v>
      </c>
      <c r="S221" s="16">
        <f t="shared" si="104"/>
        <v>0</v>
      </c>
      <c r="T221" s="16">
        <f t="shared" si="105"/>
        <v>0</v>
      </c>
      <c r="U221" s="16">
        <f t="shared" si="106"/>
        <v>0</v>
      </c>
      <c r="V221" s="16">
        <f t="shared" si="107"/>
        <v>0</v>
      </c>
      <c r="W221" s="16">
        <f t="shared" si="110"/>
        <v>0</v>
      </c>
      <c r="X221" s="16">
        <f t="shared" si="103"/>
        <v>0</v>
      </c>
      <c r="Z221" s="16">
        <f t="shared" si="108"/>
        <v>0</v>
      </c>
      <c r="AA221" s="21"/>
      <c r="AB221" s="16" t="s">
        <v>432</v>
      </c>
      <c r="AC221" s="16" t="s">
        <v>434</v>
      </c>
      <c r="AD221" s="16" t="s">
        <v>434</v>
      </c>
      <c r="AF221" s="21" t="s">
        <v>435</v>
      </c>
      <c r="AG221" s="21" t="s">
        <v>435</v>
      </c>
      <c r="AH221" s="21" t="s">
        <v>435</v>
      </c>
      <c r="AI221" s="118"/>
      <c r="AJ221" s="163" t="s">
        <v>3071</v>
      </c>
      <c r="AK221" s="118"/>
      <c r="AL221" s="118"/>
      <c r="AM221" s="118"/>
      <c r="AN221" s="118"/>
      <c r="AO221" s="118"/>
      <c r="AP221" s="104"/>
      <c r="AQ221" s="104"/>
      <c r="AR221" s="104"/>
      <c r="AS221" s="104"/>
      <c r="AT221" s="104"/>
    </row>
    <row r="222" spans="1:46">
      <c r="A222" s="2" t="str">
        <f>'Reference Score Calculation'!A213</f>
        <v>JS5317</v>
      </c>
      <c r="B222" s="364" t="str">
        <f>'Reference Score Calculation'!A213</f>
        <v>JS5317</v>
      </c>
      <c r="C222" s="2" t="str">
        <f>'Reference Score Calculation'!D213</f>
        <v>工商管理學士（營運管理學）</v>
      </c>
      <c r="D222" s="16" t="str">
        <f>'Reference Score Calculation'!T213</f>
        <v>125*</v>
      </c>
      <c r="E222" s="16">
        <v>3</v>
      </c>
      <c r="F222" s="16">
        <v>4</v>
      </c>
      <c r="G222" s="16">
        <v>3</v>
      </c>
      <c r="H222" s="16">
        <v>2</v>
      </c>
      <c r="I222" s="16">
        <v>3</v>
      </c>
      <c r="J222" s="16">
        <v>3</v>
      </c>
      <c r="L222" s="92">
        <v>3</v>
      </c>
      <c r="M222" s="92">
        <v>4</v>
      </c>
      <c r="N222" s="92">
        <v>3</v>
      </c>
      <c r="O222" s="92">
        <v>1</v>
      </c>
      <c r="P222" s="92">
        <v>3</v>
      </c>
      <c r="Q222" s="92">
        <v>3</v>
      </c>
      <c r="S222" s="16">
        <f t="shared" si="104"/>
        <v>0</v>
      </c>
      <c r="T222" s="16">
        <f t="shared" si="105"/>
        <v>0</v>
      </c>
      <c r="U222" s="16">
        <f t="shared" si="106"/>
        <v>0</v>
      </c>
      <c r="V222" s="16">
        <f t="shared" si="107"/>
        <v>0</v>
      </c>
      <c r="W222" s="16">
        <f t="shared" si="110"/>
        <v>0</v>
      </c>
      <c r="X222" s="16">
        <f t="shared" si="103"/>
        <v>0</v>
      </c>
      <c r="Z222" s="16">
        <f t="shared" si="108"/>
        <v>0</v>
      </c>
      <c r="AB222" s="16" t="s">
        <v>432</v>
      </c>
      <c r="AC222" s="16" t="s">
        <v>434</v>
      </c>
      <c r="AD222" s="16" t="s">
        <v>434</v>
      </c>
      <c r="AF222" s="21" t="s">
        <v>435</v>
      </c>
      <c r="AG222" s="21" t="s">
        <v>435</v>
      </c>
      <c r="AH222" s="21" t="s">
        <v>435</v>
      </c>
      <c r="AI222" s="118"/>
      <c r="AJ222" s="118"/>
      <c r="AK222" s="118"/>
      <c r="AL222" s="118"/>
      <c r="AM222" s="118"/>
      <c r="AN222" s="118"/>
      <c r="AO222" s="118"/>
      <c r="AP222" s="104"/>
      <c r="AQ222" s="104"/>
      <c r="AR222" s="104"/>
      <c r="AS222" s="104"/>
      <c r="AT222" s="104"/>
    </row>
    <row r="223" spans="1:46">
      <c r="A223" s="2" t="str">
        <f>'Reference Score Calculation'!A214</f>
        <v>JS5318</v>
      </c>
      <c r="B223" s="364" t="str">
        <f>'Reference Score Calculation'!A214</f>
        <v>JS5318</v>
      </c>
      <c r="C223" s="2" t="str">
        <f>'Reference Score Calculation'!D214</f>
        <v>工商管理學士（專業會計學）</v>
      </c>
      <c r="D223" s="16">
        <f>'Reference Score Calculation'!T214</f>
        <v>60</v>
      </c>
      <c r="E223" s="16">
        <v>3</v>
      </c>
      <c r="F223" s="16">
        <v>4</v>
      </c>
      <c r="G223" s="16">
        <v>3</v>
      </c>
      <c r="H223" s="16">
        <v>2</v>
      </c>
      <c r="I223" s="16">
        <v>3</v>
      </c>
      <c r="J223" s="16">
        <v>3</v>
      </c>
      <c r="L223" s="92">
        <v>3</v>
      </c>
      <c r="M223" s="92">
        <v>4</v>
      </c>
      <c r="N223" s="92">
        <v>3</v>
      </c>
      <c r="O223" s="92">
        <v>1</v>
      </c>
      <c r="P223" s="92">
        <v>3</v>
      </c>
      <c r="Q223" s="92">
        <v>3</v>
      </c>
      <c r="S223" s="16">
        <f t="shared" si="104"/>
        <v>0</v>
      </c>
      <c r="T223" s="16">
        <f t="shared" si="105"/>
        <v>0</v>
      </c>
      <c r="U223" s="16">
        <f t="shared" si="106"/>
        <v>0</v>
      </c>
      <c r="V223" s="16">
        <f t="shared" si="107"/>
        <v>0</v>
      </c>
      <c r="W223" s="16">
        <f t="shared" si="110"/>
        <v>0</v>
      </c>
      <c r="X223" s="16">
        <f t="shared" si="103"/>
        <v>0</v>
      </c>
      <c r="Z223" s="16">
        <f t="shared" si="108"/>
        <v>0</v>
      </c>
      <c r="AB223" s="16" t="s">
        <v>432</v>
      </c>
      <c r="AC223" s="16" t="s">
        <v>434</v>
      </c>
      <c r="AD223" s="16" t="s">
        <v>434</v>
      </c>
      <c r="AF223" s="21" t="s">
        <v>435</v>
      </c>
      <c r="AG223" s="21" t="s">
        <v>435</v>
      </c>
      <c r="AH223" s="21" t="s">
        <v>435</v>
      </c>
      <c r="AI223" s="118" t="s">
        <v>383</v>
      </c>
      <c r="AJ223" s="118" t="str">
        <f>Q$2</f>
        <v>請選擇第一選修科</v>
      </c>
      <c r="AK223" s="118" t="str">
        <f t="shared" ref="AK223" si="117">R$2</f>
        <v>請選擇第二選修科</v>
      </c>
      <c r="AL223" s="118" t="str">
        <f t="shared" ref="AL223" si="118">S$2</f>
        <v>請選擇第三選修科</v>
      </c>
      <c r="AM223" s="118" t="str">
        <f t="shared" ref="AM223" si="119">T$2</f>
        <v>請選擇第四選修科</v>
      </c>
      <c r="AN223" s="104"/>
      <c r="AO223" s="104"/>
      <c r="AP223" s="118" t="s">
        <v>524</v>
      </c>
      <c r="AQ223" s="118"/>
      <c r="AR223" s="104"/>
      <c r="AS223" s="104"/>
      <c r="AT223" s="104"/>
    </row>
    <row r="224" spans="1:46">
      <c r="A224" s="2" t="str">
        <f>'Reference Score Calculation'!A215</f>
        <v>JS5331</v>
      </c>
      <c r="B224" s="364" t="str">
        <f>'Reference Score Calculation'!A215</f>
        <v>JS5331</v>
      </c>
      <c r="C224" s="2" t="str">
        <f>'Reference Score Calculation'!D215</f>
        <v>理學士（經濟及金融學）</v>
      </c>
      <c r="D224" s="16">
        <f>'Reference Score Calculation'!T215</f>
        <v>26</v>
      </c>
      <c r="E224" s="16">
        <v>3</v>
      </c>
      <c r="F224" s="16">
        <v>4</v>
      </c>
      <c r="G224" s="16">
        <v>3</v>
      </c>
      <c r="H224" s="16">
        <v>2</v>
      </c>
      <c r="I224" s="16">
        <v>3</v>
      </c>
      <c r="J224" s="16">
        <v>3</v>
      </c>
      <c r="L224" s="92">
        <v>3</v>
      </c>
      <c r="M224" s="92">
        <v>4</v>
      </c>
      <c r="N224" s="92">
        <v>3</v>
      </c>
      <c r="O224" s="92">
        <v>1</v>
      </c>
      <c r="P224" s="92">
        <v>3</v>
      </c>
      <c r="Q224" s="92">
        <v>3</v>
      </c>
      <c r="S224" s="16">
        <f t="shared" si="104"/>
        <v>0</v>
      </c>
      <c r="T224" s="16">
        <f t="shared" si="105"/>
        <v>0</v>
      </c>
      <c r="U224" s="16">
        <f t="shared" si="106"/>
        <v>0</v>
      </c>
      <c r="V224" s="16">
        <f t="shared" si="107"/>
        <v>0</v>
      </c>
      <c r="W224" s="16">
        <f>IF(P224&gt;LARGE($P$3:$T$3,1),0,1)</f>
        <v>0</v>
      </c>
      <c r="X224" s="16">
        <f t="shared" si="103"/>
        <v>0</v>
      </c>
      <c r="Z224" s="16">
        <f t="shared" si="108"/>
        <v>0</v>
      </c>
      <c r="AB224" s="16" t="s">
        <v>432</v>
      </c>
      <c r="AC224" s="16" t="s">
        <v>434</v>
      </c>
      <c r="AD224" s="16" t="s">
        <v>434</v>
      </c>
      <c r="AF224" s="2" t="s">
        <v>514</v>
      </c>
      <c r="AG224" s="21" t="s">
        <v>435</v>
      </c>
      <c r="AH224" s="21" t="s">
        <v>435</v>
      </c>
      <c r="AI224" s="118"/>
      <c r="AJ224" s="119">
        <f>IF(OR(Q$2="化學",Q$2="生物"),Q$3,0)</f>
        <v>0</v>
      </c>
      <c r="AK224" s="119">
        <f t="shared" ref="AK224:AL224" si="120">IF(OR(R$2="化學",R$2="生物"),R$3,0)</f>
        <v>0</v>
      </c>
      <c r="AL224" s="119">
        <f t="shared" si="120"/>
        <v>0</v>
      </c>
      <c r="AM224" s="119">
        <f>IF(OR(T$2="化學",T$2="生物"),T$3,0)</f>
        <v>0</v>
      </c>
      <c r="AN224" s="118"/>
      <c r="AO224" s="118"/>
      <c r="AP224" s="119" t="str">
        <f>IF(AQ224&gt;0.1,INDEX(AJ223:AM223,MATCH(LARGE(AJ224:AM224,1),AJ224:AM224,0)),"無")</f>
        <v>無</v>
      </c>
      <c r="AQ224" s="119">
        <f>LARGE((AJ224:AM224),1)</f>
        <v>0</v>
      </c>
      <c r="AR224" s="104"/>
      <c r="AS224" s="104"/>
      <c r="AT224" s="104"/>
    </row>
    <row r="225" spans="1:53">
      <c r="A225" s="2" t="str">
        <f>'Reference Score Calculation'!A216</f>
        <v>JS5332</v>
      </c>
      <c r="B225" s="364" t="str">
        <f>'Reference Score Calculation'!A216</f>
        <v>JS5332</v>
      </c>
      <c r="C225" s="2" t="str">
        <f>'Reference Score Calculation'!D216</f>
        <v>理學士（量化金融學）</v>
      </c>
      <c r="D225" s="16">
        <f>'Reference Score Calculation'!T216</f>
        <v>20</v>
      </c>
      <c r="E225" s="16">
        <v>3</v>
      </c>
      <c r="F225" s="16">
        <v>4</v>
      </c>
      <c r="G225" s="16">
        <v>3</v>
      </c>
      <c r="H225" s="16">
        <v>2</v>
      </c>
      <c r="I225" s="16">
        <v>3</v>
      </c>
      <c r="J225" s="16">
        <v>3</v>
      </c>
      <c r="L225" s="92">
        <v>3</v>
      </c>
      <c r="M225" s="92">
        <v>4</v>
      </c>
      <c r="N225" s="92">
        <v>3</v>
      </c>
      <c r="O225" s="92">
        <v>1</v>
      </c>
      <c r="P225" s="92">
        <v>3</v>
      </c>
      <c r="Q225" s="92">
        <v>3</v>
      </c>
      <c r="S225" s="16">
        <f t="shared" si="104"/>
        <v>0</v>
      </c>
      <c r="T225" s="16">
        <f t="shared" si="105"/>
        <v>0</v>
      </c>
      <c r="U225" s="16">
        <f t="shared" si="106"/>
        <v>0</v>
      </c>
      <c r="V225" s="16">
        <f t="shared" si="107"/>
        <v>0</v>
      </c>
      <c r="W225" s="16">
        <f t="shared" si="110"/>
        <v>0</v>
      </c>
      <c r="X225" s="16">
        <f t="shared" si="103"/>
        <v>0</v>
      </c>
      <c r="Z225" s="16">
        <f t="shared" si="108"/>
        <v>0</v>
      </c>
      <c r="AB225" s="16" t="s">
        <v>432</v>
      </c>
      <c r="AC225" s="16" t="s">
        <v>434</v>
      </c>
      <c r="AD225" s="16" t="s">
        <v>434</v>
      </c>
      <c r="AF225" s="2" t="s">
        <v>514</v>
      </c>
      <c r="AG225" s="21" t="s">
        <v>435</v>
      </c>
      <c r="AH225" s="21" t="s">
        <v>435</v>
      </c>
      <c r="AI225" s="118"/>
      <c r="AJ225" s="163" t="s">
        <v>525</v>
      </c>
      <c r="AK225" s="118"/>
      <c r="AL225" s="118"/>
      <c r="AM225" s="118"/>
      <c r="AN225" s="118"/>
      <c r="AO225" s="118"/>
      <c r="AP225" s="104"/>
      <c r="AQ225" s="104"/>
      <c r="AR225" s="104"/>
      <c r="AS225" s="104"/>
      <c r="AT225" s="104"/>
    </row>
    <row r="226" spans="1:53">
      <c r="A226" s="2" t="str">
        <f>'Reference Score Calculation'!A217</f>
        <v>JS5411</v>
      </c>
      <c r="B226" s="364" t="str">
        <f>'Reference Score Calculation'!A217</f>
        <v>JS5411</v>
      </c>
      <c r="C226" s="2" t="str">
        <f>'Reference Score Calculation'!D217</f>
        <v>理學士（環球中國研究）</v>
      </c>
      <c r="D226" s="16">
        <f>'Reference Score Calculation'!T217</f>
        <v>50</v>
      </c>
      <c r="E226" s="16">
        <v>3</v>
      </c>
      <c r="F226" s="16">
        <v>3</v>
      </c>
      <c r="G226" s="16">
        <v>2</v>
      </c>
      <c r="H226" s="16">
        <v>2</v>
      </c>
      <c r="I226" s="16">
        <v>3</v>
      </c>
      <c r="J226" s="16">
        <v>3</v>
      </c>
      <c r="L226" s="92">
        <v>3</v>
      </c>
      <c r="M226" s="92">
        <v>3</v>
      </c>
      <c r="N226" s="92">
        <v>2</v>
      </c>
      <c r="O226" s="92">
        <v>1</v>
      </c>
      <c r="P226" s="92">
        <v>3</v>
      </c>
      <c r="Q226" s="92">
        <v>3</v>
      </c>
      <c r="S226" s="16">
        <f t="shared" si="104"/>
        <v>0</v>
      </c>
      <c r="T226" s="16">
        <f t="shared" si="105"/>
        <v>0</v>
      </c>
      <c r="U226" s="16">
        <f t="shared" si="106"/>
        <v>0</v>
      </c>
      <c r="V226" s="16">
        <f t="shared" si="107"/>
        <v>0</v>
      </c>
      <c r="W226" s="16">
        <f>IF(P226&gt;LARGE($P$3:$T$3,1),0,1)</f>
        <v>0</v>
      </c>
      <c r="X226" s="16">
        <f>IF(OR(OR($V$3="A",$V$3="B",$V$3="C"),Q226&lt;LARGE($P$3:$T$3,2)),1,0)</f>
        <v>0</v>
      </c>
      <c r="Z226" s="16">
        <f t="shared" si="108"/>
        <v>0</v>
      </c>
      <c r="AB226" s="16" t="s">
        <v>432</v>
      </c>
      <c r="AC226" s="16" t="s">
        <v>2892</v>
      </c>
      <c r="AD226" s="16" t="s">
        <v>434</v>
      </c>
      <c r="AF226" s="21" t="s">
        <v>435</v>
      </c>
      <c r="AG226" s="21" t="s">
        <v>435</v>
      </c>
      <c r="AH226" s="21" t="s">
        <v>435</v>
      </c>
      <c r="AI226" s="118"/>
      <c r="AJ226" s="118"/>
      <c r="AK226" s="118"/>
      <c r="AL226" s="118"/>
      <c r="AM226" s="118"/>
      <c r="AN226" s="118"/>
      <c r="AO226" s="118"/>
      <c r="AP226" s="104"/>
      <c r="AQ226" s="104"/>
      <c r="AR226" s="104"/>
      <c r="AS226" s="104"/>
      <c r="AT226" s="104"/>
    </row>
    <row r="227" spans="1:53">
      <c r="A227" s="2" t="str">
        <f>'Reference Score Calculation'!A218</f>
        <v>JS5412</v>
      </c>
      <c r="B227" s="364" t="str">
        <f>'Reference Score Calculation'!A218</f>
        <v>JS5412</v>
      </c>
      <c r="C227" s="2" t="str">
        <f>'Reference Score Calculation'!D218</f>
        <v>理學士（定量社會數據分析）</v>
      </c>
      <c r="D227" s="16">
        <f>'Reference Score Calculation'!T218</f>
        <v>28</v>
      </c>
      <c r="E227" s="16">
        <v>3</v>
      </c>
      <c r="F227" s="16">
        <v>3</v>
      </c>
      <c r="G227" s="16">
        <v>3</v>
      </c>
      <c r="H227" s="16">
        <v>2</v>
      </c>
      <c r="I227" s="16">
        <v>3</v>
      </c>
      <c r="J227" s="16">
        <v>3</v>
      </c>
      <c r="L227" s="92">
        <v>3</v>
      </c>
      <c r="M227" s="92">
        <v>3</v>
      </c>
      <c r="N227" s="92">
        <v>3</v>
      </c>
      <c r="O227" s="92">
        <v>1</v>
      </c>
      <c r="P227" s="92">
        <v>3</v>
      </c>
      <c r="Q227" s="92">
        <v>3</v>
      </c>
      <c r="S227" s="16">
        <f t="shared" si="104"/>
        <v>0</v>
      </c>
      <c r="T227" s="16">
        <f t="shared" si="105"/>
        <v>0</v>
      </c>
      <c r="U227" s="16">
        <f>IF(N227&gt;N$3,0,IF(N$3&lt;4,2,1))</f>
        <v>0</v>
      </c>
      <c r="V227" s="16">
        <f t="shared" si="107"/>
        <v>0</v>
      </c>
      <c r="W227" s="16">
        <f t="shared" si="110"/>
        <v>0</v>
      </c>
      <c r="X227" s="16">
        <f t="shared" si="103"/>
        <v>0</v>
      </c>
      <c r="Z227" s="16">
        <f t="shared" si="108"/>
        <v>0</v>
      </c>
      <c r="AB227" s="16" t="s">
        <v>432</v>
      </c>
      <c r="AC227" s="16" t="s">
        <v>434</v>
      </c>
      <c r="AD227" s="16" t="s">
        <v>434</v>
      </c>
      <c r="AF227" s="21" t="s">
        <v>526</v>
      </c>
      <c r="AG227" s="21" t="s">
        <v>435</v>
      </c>
      <c r="AH227" s="21" t="s">
        <v>435</v>
      </c>
      <c r="AI227" s="118" t="s">
        <v>385</v>
      </c>
      <c r="AJ227" s="118" t="str">
        <f>Q$2</f>
        <v>請選擇第一選修科</v>
      </c>
      <c r="AK227" s="118" t="str">
        <f t="shared" ref="AK227" si="121">R$2</f>
        <v>請選擇第二選修科</v>
      </c>
      <c r="AL227" s="118" t="str">
        <f t="shared" ref="AL227" si="122">S$2</f>
        <v>請選擇第三選修科</v>
      </c>
      <c r="AM227" s="118" t="str">
        <f t="shared" ref="AM227" si="123">T$2</f>
        <v>請選擇第四選修科</v>
      </c>
      <c r="AN227" s="118" t="str">
        <f>P$2</f>
        <v>數學延伸</v>
      </c>
      <c r="AO227" s="104"/>
      <c r="AP227" s="118" t="s">
        <v>522</v>
      </c>
      <c r="AQ227" s="118"/>
      <c r="AR227" s="104"/>
      <c r="AS227" s="104"/>
      <c r="AT227" s="104"/>
    </row>
    <row r="228" spans="1:53">
      <c r="A228" s="2" t="str">
        <f>'Reference Score Calculation'!A219</f>
        <v>JS5711</v>
      </c>
      <c r="B228" s="364" t="str">
        <f>'Reference Score Calculation'!A219</f>
        <v>JS5711</v>
      </c>
      <c r="C228" s="2" t="str">
        <f>'Reference Score Calculation'!D219</f>
        <v>理學士（綜合系統與設計）</v>
      </c>
      <c r="D228" s="16">
        <f>'Reference Score Calculation'!T219</f>
        <v>25</v>
      </c>
      <c r="E228" s="16">
        <v>3</v>
      </c>
      <c r="F228" s="16">
        <v>3</v>
      </c>
      <c r="G228" s="16">
        <v>3</v>
      </c>
      <c r="H228" s="16">
        <v>2</v>
      </c>
      <c r="I228" s="16">
        <v>3</v>
      </c>
      <c r="J228" s="16">
        <v>3</v>
      </c>
      <c r="L228" s="92">
        <v>3</v>
      </c>
      <c r="M228" s="92">
        <v>3</v>
      </c>
      <c r="N228" s="92">
        <v>3</v>
      </c>
      <c r="O228" s="92">
        <v>1</v>
      </c>
      <c r="P228" s="92">
        <v>3</v>
      </c>
      <c r="Q228" s="92">
        <v>3</v>
      </c>
      <c r="S228" s="16">
        <f>IF(L228&gt;L$3,0,1)</f>
        <v>0</v>
      </c>
      <c r="T228" s="16">
        <f>IF(M228&gt;M$3,0,1)</f>
        <v>0</v>
      </c>
      <c r="U228" s="16">
        <f>IF(N228&gt;N$3,0,1)</f>
        <v>0</v>
      </c>
      <c r="V228" s="16">
        <f>IF(O228&gt;O$3,0,1)</f>
        <v>0</v>
      </c>
      <c r="W228" s="16">
        <f>IF(P228&gt;$AQ$220,0,1)</f>
        <v>0</v>
      </c>
      <c r="X228" s="16">
        <f>IF(Q228&gt;LARGE($P$3:$T$3,2),0,1)</f>
        <v>0</v>
      </c>
      <c r="Z228" s="16">
        <f>IF(S228*T228*U228*V228*W228*X228=0,0,2)</f>
        <v>0</v>
      </c>
      <c r="AB228" s="16" t="s">
        <v>432</v>
      </c>
      <c r="AC228" s="16" t="s">
        <v>434</v>
      </c>
      <c r="AD228" s="16" t="s">
        <v>434</v>
      </c>
      <c r="AF228" s="21" t="s">
        <v>520</v>
      </c>
      <c r="AG228" s="2" t="s">
        <v>521</v>
      </c>
      <c r="AH228" s="21" t="s">
        <v>435</v>
      </c>
      <c r="AI228" s="118"/>
      <c r="AJ228" s="119">
        <f>IF(OR(Q$2="物理",Q$2="化學",Q$2="生物",Q$2="經濟"),Q$3,0)</f>
        <v>0</v>
      </c>
      <c r="AK228" s="119">
        <f t="shared" ref="AK228:AM228" si="124">IF(OR(R$2="物理",R$2="化學",R$2="生物",R$2="經濟"),R$3,0)</f>
        <v>0</v>
      </c>
      <c r="AL228" s="119">
        <f t="shared" si="124"/>
        <v>0</v>
      </c>
      <c r="AM228" s="119">
        <f t="shared" si="124"/>
        <v>0</v>
      </c>
      <c r="AN228" s="119">
        <f>P$3</f>
        <v>5.0000000000000003E-10</v>
      </c>
      <c r="AO228" s="118"/>
      <c r="AP228" s="119" t="str">
        <f>IF(AQ228&gt;0.1,INDEX(AJ227:AN227,MATCH(LARGE(AJ228:AN228,1),AJ228:AN228,0)),"無")</f>
        <v>無</v>
      </c>
      <c r="AQ228" s="119">
        <f>LARGE((AJ228:AN228),1)</f>
        <v>5.0000000000000003E-10</v>
      </c>
      <c r="AR228" s="104"/>
      <c r="AS228" s="104"/>
      <c r="AT228" s="104"/>
    </row>
    <row r="229" spans="1:53">
      <c r="A229" s="2" t="str">
        <f>'Reference Score Calculation'!A220</f>
        <v>JS5811</v>
      </c>
      <c r="B229" s="364" t="str">
        <f>'Reference Score Calculation'!A220</f>
        <v>JS5811</v>
      </c>
      <c r="C229" s="2" t="str">
        <f>'Reference Score Calculation'!D220</f>
        <v>理學士（生物科技及商學）</v>
      </c>
      <c r="D229" s="16">
        <f>'Reference Score Calculation'!T220</f>
        <v>26</v>
      </c>
      <c r="E229" s="16">
        <v>3</v>
      </c>
      <c r="F229" s="16">
        <v>4</v>
      </c>
      <c r="G229" s="16">
        <v>3</v>
      </c>
      <c r="H229" s="16">
        <v>2</v>
      </c>
      <c r="I229" s="16">
        <v>3</v>
      </c>
      <c r="J229" s="16">
        <v>3</v>
      </c>
      <c r="L229" s="92">
        <v>3</v>
      </c>
      <c r="M229" s="92">
        <v>4</v>
      </c>
      <c r="N229" s="92">
        <v>3</v>
      </c>
      <c r="O229" s="92">
        <v>1</v>
      </c>
      <c r="P229" s="92">
        <v>3</v>
      </c>
      <c r="Q229" s="92">
        <v>3</v>
      </c>
      <c r="S229" s="16">
        <f t="shared" si="104"/>
        <v>0</v>
      </c>
      <c r="T229" s="16">
        <f t="shared" si="105"/>
        <v>0</v>
      </c>
      <c r="U229" s="16">
        <f t="shared" si="106"/>
        <v>0</v>
      </c>
      <c r="V229" s="16">
        <f t="shared" si="107"/>
        <v>0</v>
      </c>
      <c r="W229" s="16">
        <f>IF(P229&gt;$AQ$224,0,1)</f>
        <v>0</v>
      </c>
      <c r="X229" s="16">
        <f t="shared" si="103"/>
        <v>0</v>
      </c>
      <c r="Z229" s="16">
        <f t="shared" si="108"/>
        <v>0</v>
      </c>
      <c r="AB229" s="16" t="s">
        <v>432</v>
      </c>
      <c r="AC229" s="16" t="s">
        <v>434</v>
      </c>
      <c r="AD229" s="16" t="s">
        <v>434</v>
      </c>
      <c r="AF229" s="21" t="s">
        <v>461</v>
      </c>
      <c r="AG229" s="21" t="s">
        <v>435</v>
      </c>
      <c r="AH229" s="21" t="s">
        <v>435</v>
      </c>
      <c r="AI229" s="118"/>
      <c r="AJ229" s="163" t="s">
        <v>3069</v>
      </c>
      <c r="AK229" s="118"/>
      <c r="AL229" s="118"/>
      <c r="AM229" s="118"/>
      <c r="AN229" s="118"/>
      <c r="AO229" s="118"/>
      <c r="AP229" s="104"/>
      <c r="AQ229" s="104"/>
      <c r="AR229" s="104"/>
      <c r="AS229" s="104"/>
      <c r="AT229" s="104"/>
    </row>
    <row r="230" spans="1:53">
      <c r="A230" s="2" t="str">
        <f>'Reference Score Calculation'!A221</f>
        <v>JS5812</v>
      </c>
      <c r="B230" s="364" t="str">
        <f>'Reference Score Calculation'!A221</f>
        <v>JS5812</v>
      </c>
      <c r="C230" s="2" t="str">
        <f>'Reference Score Calculation'!D221</f>
        <v>理學士（環境管理及科技）</v>
      </c>
      <c r="D230" s="16">
        <f>'Reference Score Calculation'!T221</f>
        <v>16</v>
      </c>
      <c r="E230" s="16">
        <v>3</v>
      </c>
      <c r="F230" s="16">
        <v>4</v>
      </c>
      <c r="G230" s="16">
        <v>3</v>
      </c>
      <c r="H230" s="16">
        <v>2</v>
      </c>
      <c r="I230" s="16">
        <v>3</v>
      </c>
      <c r="J230" s="16">
        <v>3</v>
      </c>
      <c r="L230" s="92">
        <v>3</v>
      </c>
      <c r="M230" s="92">
        <v>4</v>
      </c>
      <c r="N230" s="92">
        <v>3</v>
      </c>
      <c r="O230" s="92">
        <v>1</v>
      </c>
      <c r="P230" s="92">
        <v>3</v>
      </c>
      <c r="Q230" s="92">
        <v>3</v>
      </c>
      <c r="S230" s="16">
        <f t="shared" si="104"/>
        <v>0</v>
      </c>
      <c r="T230" s="16">
        <f t="shared" si="105"/>
        <v>0</v>
      </c>
      <c r="U230" s="16">
        <f t="shared" si="106"/>
        <v>0</v>
      </c>
      <c r="V230" s="16">
        <f t="shared" si="107"/>
        <v>0</v>
      </c>
      <c r="W230" s="16">
        <f>IF(P230&gt;LARGE($P$3:$T$3,1),0,1)</f>
        <v>0</v>
      </c>
      <c r="X230" s="16">
        <f>IF(OR(OR($V$3="A",$V$3="B",$V$3="C"),Q230&lt;LARGE($P$3:$T$3,2)),1,0)</f>
        <v>0</v>
      </c>
      <c r="Z230" s="16">
        <f t="shared" si="108"/>
        <v>0</v>
      </c>
      <c r="AB230" s="16" t="s">
        <v>432</v>
      </c>
      <c r="AC230" s="16" t="s">
        <v>2892</v>
      </c>
      <c r="AD230" s="16" t="s">
        <v>434</v>
      </c>
      <c r="AF230" s="21" t="s">
        <v>435</v>
      </c>
      <c r="AG230" s="21" t="s">
        <v>435</v>
      </c>
      <c r="AH230" s="21" t="s">
        <v>435</v>
      </c>
      <c r="AI230" s="118"/>
      <c r="AJ230" s="118"/>
      <c r="AK230" s="118"/>
      <c r="AL230" s="118"/>
      <c r="AM230" s="118"/>
      <c r="AN230" s="118"/>
      <c r="AO230" s="118"/>
      <c r="AP230" s="118"/>
      <c r="AQ230" s="118"/>
      <c r="AR230" s="118"/>
      <c r="AS230" s="104"/>
      <c r="AT230" s="104"/>
    </row>
    <row r="231" spans="1:53">
      <c r="A231" s="2" t="str">
        <f>'Reference Score Calculation'!A222</f>
        <v>JS5813</v>
      </c>
      <c r="B231" s="364" t="str">
        <f>'Reference Score Calculation'!A222</f>
        <v>JS5813</v>
      </c>
      <c r="C231" s="2" t="str">
        <f>'Reference Score Calculation'!D222</f>
        <v>理學士（數學與經濟學）</v>
      </c>
      <c r="D231" s="16">
        <f>'Reference Score Calculation'!T222</f>
        <v>16</v>
      </c>
      <c r="E231" s="16">
        <v>3</v>
      </c>
      <c r="F231" s="16">
        <v>4</v>
      </c>
      <c r="G231" s="16">
        <v>3</v>
      </c>
      <c r="H231" s="16">
        <v>2</v>
      </c>
      <c r="I231" s="16">
        <v>3</v>
      </c>
      <c r="J231" s="16">
        <v>3</v>
      </c>
      <c r="L231" s="92">
        <v>3</v>
      </c>
      <c r="M231" s="92">
        <v>4</v>
      </c>
      <c r="N231" s="92">
        <v>3</v>
      </c>
      <c r="O231" s="92">
        <v>1</v>
      </c>
      <c r="P231" s="92">
        <v>3</v>
      </c>
      <c r="Q231" s="92">
        <v>3</v>
      </c>
      <c r="S231" s="16">
        <f t="shared" si="104"/>
        <v>0</v>
      </c>
      <c r="T231" s="16">
        <f t="shared" si="105"/>
        <v>0</v>
      </c>
      <c r="U231" s="16">
        <f t="shared" si="106"/>
        <v>0</v>
      </c>
      <c r="V231" s="16">
        <f t="shared" si="107"/>
        <v>0</v>
      </c>
      <c r="W231" s="16">
        <f>IF(P231&gt;$AQ$228,0,1)</f>
        <v>0</v>
      </c>
      <c r="X231" s="16">
        <f t="shared" si="103"/>
        <v>0</v>
      </c>
      <c r="Z231" s="16">
        <f t="shared" si="108"/>
        <v>0</v>
      </c>
      <c r="AB231" s="16" t="s">
        <v>432</v>
      </c>
      <c r="AC231" s="16" t="s">
        <v>434</v>
      </c>
      <c r="AD231" s="16" t="s">
        <v>434</v>
      </c>
      <c r="AF231" s="21" t="s">
        <v>527</v>
      </c>
      <c r="AG231" s="21" t="s">
        <v>435</v>
      </c>
      <c r="AH231" s="21" t="s">
        <v>435</v>
      </c>
      <c r="AI231" s="118"/>
      <c r="AJ231" s="118"/>
      <c r="AK231" s="118"/>
      <c r="AL231" s="118"/>
      <c r="AM231" s="118"/>
      <c r="AN231" s="118"/>
      <c r="AO231" s="118"/>
      <c r="AP231" s="118"/>
      <c r="AQ231" s="118"/>
      <c r="AR231" s="118"/>
      <c r="AS231" s="104"/>
      <c r="AT231" s="104"/>
    </row>
    <row r="232" spans="1:53">
      <c r="A232" s="2" t="str">
        <f>'Reference Score Calculation'!A223</f>
        <v>JS5814</v>
      </c>
      <c r="B232" s="364" t="str">
        <f>'Reference Score Calculation'!A223</f>
        <v>JS5814</v>
      </c>
      <c r="C232" s="2" t="str">
        <f>'Reference Score Calculation'!D223</f>
        <v>理學士（風險管理及商業智能學）</v>
      </c>
      <c r="D232" s="16">
        <f>'Reference Score Calculation'!T223</f>
        <v>23</v>
      </c>
      <c r="E232" s="16">
        <v>3</v>
      </c>
      <c r="F232" s="16">
        <v>4</v>
      </c>
      <c r="G232" s="16">
        <v>3</v>
      </c>
      <c r="H232" s="16">
        <v>2</v>
      </c>
      <c r="I232" s="16">
        <v>3</v>
      </c>
      <c r="J232" s="16">
        <v>3</v>
      </c>
      <c r="L232" s="92">
        <v>3</v>
      </c>
      <c r="M232" s="92">
        <v>4</v>
      </c>
      <c r="N232" s="92">
        <v>3</v>
      </c>
      <c r="O232" s="92">
        <v>1</v>
      </c>
      <c r="P232" s="92">
        <v>3</v>
      </c>
      <c r="Q232" s="92">
        <v>3</v>
      </c>
      <c r="S232" s="16">
        <f t="shared" si="104"/>
        <v>0</v>
      </c>
      <c r="T232" s="16">
        <f t="shared" si="105"/>
        <v>0</v>
      </c>
      <c r="U232" s="16">
        <f t="shared" si="106"/>
        <v>0</v>
      </c>
      <c r="V232" s="16">
        <f t="shared" si="107"/>
        <v>0</v>
      </c>
      <c r="W232" s="16">
        <f t="shared" si="110"/>
        <v>0</v>
      </c>
      <c r="X232" s="16">
        <f t="shared" si="103"/>
        <v>0</v>
      </c>
      <c r="Z232" s="16">
        <f t="shared" si="108"/>
        <v>0</v>
      </c>
      <c r="AB232" s="16" t="s">
        <v>432</v>
      </c>
      <c r="AC232" s="16" t="s">
        <v>434</v>
      </c>
      <c r="AD232" s="16" t="s">
        <v>434</v>
      </c>
      <c r="AF232" s="2" t="s">
        <v>514</v>
      </c>
      <c r="AG232" s="21" t="s">
        <v>435</v>
      </c>
      <c r="AH232" s="21" t="s">
        <v>435</v>
      </c>
      <c r="AI232" s="118"/>
      <c r="AJ232" s="118"/>
      <c r="AK232" s="118"/>
      <c r="AL232" s="118"/>
      <c r="AM232" s="118"/>
      <c r="AN232" s="118"/>
      <c r="AO232" s="118"/>
      <c r="AP232" s="118"/>
      <c r="AQ232" s="118"/>
      <c r="AR232" s="118"/>
      <c r="AS232" s="104"/>
      <c r="AT232" s="104"/>
    </row>
    <row r="233" spans="1:53">
      <c r="A233" s="2" t="str">
        <f>'Reference Score Calculation'!A224</f>
        <v>JS5822</v>
      </c>
      <c r="B233" s="364" t="str">
        <f>'Reference Score Calculation'!A224</f>
        <v>JS5822</v>
      </c>
      <c r="C233" s="2" t="str">
        <f>'Reference Score Calculation'!D224</f>
        <v>理學士（可持續發展及綠色金融）</v>
      </c>
      <c r="D233" s="16">
        <f>'Reference Score Calculation'!T224</f>
        <v>18</v>
      </c>
      <c r="E233" s="16">
        <v>3</v>
      </c>
      <c r="F233" s="16">
        <v>4</v>
      </c>
      <c r="G233" s="16">
        <v>3</v>
      </c>
      <c r="H233" s="16">
        <v>2</v>
      </c>
      <c r="I233" s="16">
        <v>3</v>
      </c>
      <c r="J233" s="16">
        <v>3</v>
      </c>
      <c r="L233" s="92">
        <v>3</v>
      </c>
      <c r="M233" s="92">
        <v>4</v>
      </c>
      <c r="N233" s="92">
        <v>3</v>
      </c>
      <c r="O233" s="92">
        <v>1</v>
      </c>
      <c r="P233" s="92">
        <v>3</v>
      </c>
      <c r="Q233" s="92">
        <v>3</v>
      </c>
      <c r="S233" s="16">
        <f t="shared" si="104"/>
        <v>0</v>
      </c>
      <c r="T233" s="16">
        <f t="shared" si="105"/>
        <v>0</v>
      </c>
      <c r="U233" s="16">
        <f t="shared" si="106"/>
        <v>0</v>
      </c>
      <c r="V233" s="16">
        <f t="shared" si="107"/>
        <v>0</v>
      </c>
      <c r="W233" s="16">
        <f t="shared" si="110"/>
        <v>0</v>
      </c>
      <c r="X233" s="16">
        <f t="shared" si="103"/>
        <v>0</v>
      </c>
      <c r="Z233" s="16">
        <f t="shared" si="108"/>
        <v>0</v>
      </c>
      <c r="AB233" s="16" t="s">
        <v>432</v>
      </c>
      <c r="AC233" s="16" t="s">
        <v>434</v>
      </c>
      <c r="AD233" s="16" t="s">
        <v>434</v>
      </c>
      <c r="AF233" s="2" t="s">
        <v>514</v>
      </c>
      <c r="AG233" s="21" t="s">
        <v>435</v>
      </c>
      <c r="AH233" s="21" t="s">
        <v>435</v>
      </c>
      <c r="AO233" s="2"/>
      <c r="AP233" s="2"/>
      <c r="AQ233" s="2"/>
    </row>
    <row r="234" spans="1:53">
      <c r="A234" s="2" t="str">
        <f>'Reference Score Calculation'!A225</f>
        <v>JS5901</v>
      </c>
      <c r="B234" s="364" t="str">
        <f>'Reference Score Calculation'!A225</f>
        <v>JS5901</v>
      </c>
      <c r="C234" s="2" t="str">
        <f>'Reference Score Calculation'!D225</f>
        <v>科技及管理學雙學位課程</v>
      </c>
      <c r="D234" s="16">
        <f>'Reference Score Calculation'!T225</f>
        <v>22</v>
      </c>
      <c r="E234" s="16">
        <v>3</v>
      </c>
      <c r="F234" s="16">
        <v>4</v>
      </c>
      <c r="G234" s="16">
        <v>3</v>
      </c>
      <c r="H234" s="16">
        <v>2</v>
      </c>
      <c r="I234" s="16">
        <v>3</v>
      </c>
      <c r="J234" s="16">
        <v>3</v>
      </c>
      <c r="L234" s="92">
        <v>3</v>
      </c>
      <c r="M234" s="92">
        <v>4</v>
      </c>
      <c r="N234" s="92">
        <v>3</v>
      </c>
      <c r="O234" s="92">
        <v>1</v>
      </c>
      <c r="P234" s="92">
        <v>3</v>
      </c>
      <c r="Q234" s="92">
        <v>3</v>
      </c>
      <c r="S234" s="16">
        <f t="shared" si="104"/>
        <v>0</v>
      </c>
      <c r="T234" s="16">
        <f t="shared" si="105"/>
        <v>0</v>
      </c>
      <c r="U234" s="16">
        <f t="shared" si="106"/>
        <v>0</v>
      </c>
      <c r="V234" s="16">
        <f t="shared" si="107"/>
        <v>0</v>
      </c>
      <c r="W234" s="16">
        <f>IF(P234&gt;$AQ$216,0,1)</f>
        <v>0</v>
      </c>
      <c r="X234" s="16">
        <f t="shared" si="103"/>
        <v>0</v>
      </c>
      <c r="Z234" s="16">
        <f t="shared" si="108"/>
        <v>0</v>
      </c>
      <c r="AB234" s="16" t="s">
        <v>432</v>
      </c>
      <c r="AC234" s="16" t="s">
        <v>434</v>
      </c>
      <c r="AD234" s="16" t="s">
        <v>434</v>
      </c>
      <c r="AF234" s="21" t="s">
        <v>518</v>
      </c>
      <c r="AG234" s="21" t="s">
        <v>435</v>
      </c>
      <c r="AH234" s="21" t="s">
        <v>435</v>
      </c>
    </row>
    <row r="235" spans="1:53">
      <c r="B235" s="11" t="s">
        <v>259</v>
      </c>
      <c r="C235" s="360"/>
      <c r="L235" s="92"/>
      <c r="M235" s="92"/>
      <c r="N235" s="92"/>
      <c r="O235" s="92"/>
      <c r="P235" s="92"/>
      <c r="Q235" s="92"/>
    </row>
    <row r="236" spans="1:53">
      <c r="B236" s="11" t="s">
        <v>110</v>
      </c>
      <c r="C236" s="11" t="s">
        <v>112</v>
      </c>
      <c r="D236" s="19" t="s">
        <v>38</v>
      </c>
      <c r="E236" s="19"/>
      <c r="F236" s="19"/>
      <c r="G236" s="19"/>
      <c r="H236" s="19"/>
      <c r="I236" s="19"/>
      <c r="J236" s="19"/>
      <c r="K236" s="19"/>
      <c r="L236" s="94" t="s">
        <v>117</v>
      </c>
      <c r="M236" s="94" t="s">
        <v>118</v>
      </c>
      <c r="N236" s="94" t="s">
        <v>119</v>
      </c>
      <c r="O236" s="94" t="s">
        <v>120</v>
      </c>
      <c r="P236" s="94" t="s">
        <v>121</v>
      </c>
      <c r="Q236" s="94" t="s">
        <v>122</v>
      </c>
      <c r="R236" s="16"/>
      <c r="S236" s="19" t="s">
        <v>117</v>
      </c>
      <c r="T236" s="19" t="s">
        <v>118</v>
      </c>
      <c r="U236" s="19" t="s">
        <v>119</v>
      </c>
      <c r="V236" s="19" t="s">
        <v>120</v>
      </c>
      <c r="W236" s="19" t="s">
        <v>121</v>
      </c>
      <c r="X236" s="19" t="s">
        <v>122</v>
      </c>
      <c r="Z236" s="2"/>
      <c r="AB236" s="16" t="s">
        <v>297</v>
      </c>
      <c r="AC236" s="16" t="s">
        <v>298</v>
      </c>
      <c r="AD236" s="16" t="s">
        <v>299</v>
      </c>
      <c r="AI236" s="124" t="s">
        <v>259</v>
      </c>
      <c r="AJ236" s="124" t="s">
        <v>431</v>
      </c>
      <c r="AK236" s="104"/>
      <c r="AL236" s="117"/>
      <c r="AM236" s="117"/>
      <c r="AN236" s="117"/>
      <c r="AO236" s="117"/>
      <c r="AP236" s="117"/>
      <c r="AQ236" s="117"/>
      <c r="AR236" s="117"/>
      <c r="AS236" s="104"/>
      <c r="AT236" s="104"/>
    </row>
    <row r="237" spans="1:53">
      <c r="A237" s="2" t="str">
        <f>'Reference Score Calculation'!A228</f>
        <v>JS6004</v>
      </c>
      <c r="B237" s="364" t="str">
        <f>'Reference Score Calculation'!A228</f>
        <v>JS6004</v>
      </c>
      <c r="C237" s="2" t="str">
        <f>'Reference Score Calculation'!D228</f>
        <v>建築學文學士</v>
      </c>
      <c r="D237" s="16">
        <f>'Reference Score Calculation'!T228</f>
        <v>54</v>
      </c>
      <c r="E237" s="16">
        <v>3</v>
      </c>
      <c r="F237" s="16">
        <v>3</v>
      </c>
      <c r="G237" s="16">
        <v>2</v>
      </c>
      <c r="H237" s="16">
        <v>2</v>
      </c>
      <c r="I237" s="16">
        <v>3</v>
      </c>
      <c r="J237" s="16">
        <v>3</v>
      </c>
      <c r="L237" s="467">
        <v>3</v>
      </c>
      <c r="M237" s="467">
        <v>3</v>
      </c>
      <c r="N237" s="467">
        <v>2</v>
      </c>
      <c r="O237" s="467">
        <v>1</v>
      </c>
      <c r="P237" s="467">
        <v>3</v>
      </c>
      <c r="Q237" s="467">
        <v>3</v>
      </c>
      <c r="R237" s="16"/>
      <c r="S237" s="16">
        <f>IF(L237&gt;L$3,0,1)</f>
        <v>0</v>
      </c>
      <c r="T237" s="16">
        <f t="shared" ref="T237:V237" si="125">IF(M237&gt;M$3,0,1)</f>
        <v>0</v>
      </c>
      <c r="U237" s="16">
        <f t="shared" si="125"/>
        <v>0</v>
      </c>
      <c r="V237" s="16">
        <f t="shared" si="125"/>
        <v>0</v>
      </c>
      <c r="W237" s="16">
        <f t="shared" ref="W237:W243" si="126">IF(P237&gt;LARGE($Q$3:$T$3,1),0,1)</f>
        <v>0</v>
      </c>
      <c r="X237" s="16">
        <f>IF(OR($P$3&gt;Q237,$U$3&gt;Q237),1,IF(Q237&gt;LARGE($Q$3:$T$3,2),0,1))</f>
        <v>0</v>
      </c>
      <c r="Z237" s="16">
        <f>IF(S237*T237*U237*V237*W237*X237=0,0,2)</f>
        <v>0</v>
      </c>
      <c r="AB237" s="16" t="s">
        <v>432</v>
      </c>
      <c r="AC237" s="16" t="s">
        <v>464</v>
      </c>
      <c r="AD237" s="16" t="s">
        <v>434</v>
      </c>
      <c r="AF237" s="21" t="s">
        <v>528</v>
      </c>
      <c r="AG237" s="21" t="s">
        <v>529</v>
      </c>
      <c r="AH237" s="21" t="s">
        <v>435</v>
      </c>
      <c r="AI237" s="118"/>
      <c r="AJ237" s="118"/>
      <c r="AK237" s="118"/>
      <c r="AL237" s="118"/>
      <c r="AM237" s="118"/>
      <c r="AN237" s="104"/>
      <c r="AO237" s="104"/>
      <c r="AP237" s="104"/>
      <c r="AQ237" s="104"/>
      <c r="AR237" s="104"/>
      <c r="AS237" s="104"/>
      <c r="AT237" s="104"/>
      <c r="AZ237" s="2" t="s">
        <v>530</v>
      </c>
      <c r="BA237" s="2" t="s">
        <v>531</v>
      </c>
    </row>
    <row r="238" spans="1:53">
      <c r="A238" s="2" t="str">
        <f>'Reference Score Calculation'!A229</f>
        <v>JS6016</v>
      </c>
      <c r="B238" s="364" t="str">
        <f>'Reference Score Calculation'!A229</f>
        <v>JS6016</v>
      </c>
      <c r="C238" s="2" t="str">
        <f>'Reference Score Calculation'!D229</f>
        <v>理學士(測量學)</v>
      </c>
      <c r="D238" s="16">
        <f>'Reference Score Calculation'!T229</f>
        <v>42</v>
      </c>
      <c r="E238" s="16">
        <v>3</v>
      </c>
      <c r="F238" s="16">
        <v>3</v>
      </c>
      <c r="G238" s="16">
        <v>2</v>
      </c>
      <c r="H238" s="16">
        <v>2</v>
      </c>
      <c r="I238" s="16">
        <v>3</v>
      </c>
      <c r="J238" s="16">
        <v>3</v>
      </c>
      <c r="L238" s="467">
        <v>3</v>
      </c>
      <c r="M238" s="467">
        <v>3</v>
      </c>
      <c r="N238" s="467">
        <v>2</v>
      </c>
      <c r="O238" s="467">
        <v>1</v>
      </c>
      <c r="P238" s="467">
        <v>3</v>
      </c>
      <c r="Q238" s="467">
        <v>3</v>
      </c>
      <c r="R238" s="16"/>
      <c r="S238" s="16">
        <f t="shared" ref="S238:S285" si="127">IF(L238&gt;L$3,0,1)</f>
        <v>0</v>
      </c>
      <c r="T238" s="16">
        <f t="shared" ref="T238:T285" si="128">IF(M238&gt;M$3,0,1)</f>
        <v>0</v>
      </c>
      <c r="U238" s="16">
        <f t="shared" ref="U238:U285" si="129">IF(N238&gt;N$3,0,1)</f>
        <v>0</v>
      </c>
      <c r="V238" s="16">
        <f t="shared" ref="V238:V285" si="130">IF(O238&gt;O$3,0,1)</f>
        <v>0</v>
      </c>
      <c r="W238" s="16">
        <f t="shared" si="126"/>
        <v>0</v>
      </c>
      <c r="X238" s="16">
        <f t="shared" ref="X238:X240" si="131">IF(OR($P$3&gt;Q238,$U$3&gt;Q238),1,IF(Q238&gt;LARGE($Q$3:$T$3,2),0,1))</f>
        <v>0</v>
      </c>
      <c r="Z238" s="16">
        <f t="shared" ref="Z238:Z285" si="132">S238*T238*U238*V238*W238*X238</f>
        <v>0</v>
      </c>
      <c r="AB238" s="16" t="s">
        <v>432</v>
      </c>
      <c r="AC238" s="16" t="s">
        <v>464</v>
      </c>
      <c r="AD238" s="16" t="s">
        <v>434</v>
      </c>
      <c r="AF238" s="21" t="s">
        <v>435</v>
      </c>
      <c r="AG238" s="21" t="s">
        <v>435</v>
      </c>
      <c r="AH238" s="21" t="s">
        <v>435</v>
      </c>
      <c r="AI238" s="118"/>
      <c r="AJ238" s="118" t="str">
        <f>Q$2</f>
        <v>請選擇第一選修科</v>
      </c>
      <c r="AK238" s="118" t="str">
        <f t="shared" ref="AK238:AM238" si="133">R$2</f>
        <v>請選擇第二選修科</v>
      </c>
      <c r="AL238" s="118" t="str">
        <f t="shared" si="133"/>
        <v>請選擇第三選修科</v>
      </c>
      <c r="AM238" s="118" t="str">
        <f t="shared" si="133"/>
        <v>請選擇第四選修科</v>
      </c>
      <c r="AN238" s="118"/>
      <c r="AO238" s="104"/>
      <c r="AP238" s="118" t="s">
        <v>522</v>
      </c>
      <c r="AQ238" s="118"/>
      <c r="AR238" s="104"/>
      <c r="AS238" s="104"/>
      <c r="AT238" s="104"/>
      <c r="AZ238" s="2" t="s">
        <v>532</v>
      </c>
      <c r="BA238" s="2" t="s">
        <v>533</v>
      </c>
    </row>
    <row r="239" spans="1:53">
      <c r="A239" s="2" t="str">
        <f>'Reference Score Calculation'!A230</f>
        <v>JS6028</v>
      </c>
      <c r="B239" s="364" t="str">
        <f>'Reference Score Calculation'!A230</f>
        <v>JS6028</v>
      </c>
      <c r="C239" s="2" t="str">
        <f>'Reference Score Calculation'!D230</f>
        <v>園境學文學士</v>
      </c>
      <c r="D239" s="16">
        <f>'Reference Score Calculation'!T230</f>
        <v>12</v>
      </c>
      <c r="E239" s="16">
        <v>3</v>
      </c>
      <c r="F239" s="16">
        <v>3</v>
      </c>
      <c r="G239" s="16">
        <v>2</v>
      </c>
      <c r="H239" s="16">
        <v>2</v>
      </c>
      <c r="I239" s="16">
        <v>3</v>
      </c>
      <c r="J239" s="16">
        <v>3</v>
      </c>
      <c r="L239" s="467">
        <v>3</v>
      </c>
      <c r="M239" s="467">
        <v>3</v>
      </c>
      <c r="N239" s="467">
        <v>2</v>
      </c>
      <c r="O239" s="467">
        <v>1</v>
      </c>
      <c r="P239" s="467">
        <v>3</v>
      </c>
      <c r="Q239" s="467">
        <v>3</v>
      </c>
      <c r="R239" s="16"/>
      <c r="S239" s="16">
        <f t="shared" si="127"/>
        <v>0</v>
      </c>
      <c r="T239" s="16">
        <f t="shared" si="128"/>
        <v>0</v>
      </c>
      <c r="U239" s="16">
        <f t="shared" si="129"/>
        <v>0</v>
      </c>
      <c r="V239" s="16">
        <f t="shared" si="130"/>
        <v>0</v>
      </c>
      <c r="W239" s="16">
        <f t="shared" si="126"/>
        <v>0</v>
      </c>
      <c r="X239" s="16">
        <f t="shared" si="131"/>
        <v>0</v>
      </c>
      <c r="Z239" s="16">
        <f>IF(S239*T239*U239*V239*W239*X239=0,0,2)</f>
        <v>0</v>
      </c>
      <c r="AB239" s="16" t="s">
        <v>432</v>
      </c>
      <c r="AC239" s="16" t="s">
        <v>464</v>
      </c>
      <c r="AD239" s="16" t="s">
        <v>434</v>
      </c>
      <c r="AF239" s="21" t="s">
        <v>534</v>
      </c>
      <c r="AG239" s="21" t="s">
        <v>529</v>
      </c>
      <c r="AH239" s="21" t="s">
        <v>435</v>
      </c>
      <c r="AI239" s="118" t="s">
        <v>393</v>
      </c>
      <c r="AJ239" s="119">
        <f>IF(OR(Q$2="物理",Q$2="化學",Q$2="生物",Q$2="組合科學(物理、化學)",Q$2="組合科學(生物、化學)",Q$2="組合科學(物理、生物)",Q$2="資訊及通訊科技",Q$2="綜合科學"),Q$3,0)</f>
        <v>0</v>
      </c>
      <c r="AK239" s="119">
        <f t="shared" ref="AK239:AM239" si="134">IF(OR(R$2="物理",R$2="化學",R$2="生物",R$2="組合科學(物理、化學)",R$2="組合科學(生物、化學)",R$2="組合科學(物理、生物)",R$2="資訊及通訊科技",R$2="綜合科學"),R$3,0)</f>
        <v>0</v>
      </c>
      <c r="AL239" s="119">
        <f t="shared" si="134"/>
        <v>0</v>
      </c>
      <c r="AM239" s="119">
        <f t="shared" si="134"/>
        <v>0</v>
      </c>
      <c r="AN239" s="118"/>
      <c r="AO239" s="118"/>
      <c r="AP239" s="119" t="str">
        <f>IF(AQ239&gt;0.1,INDEX(AJ238:AM238,MATCH(LARGE(AJ239:AM239,1),AJ239:AM239,0)),"無")</f>
        <v>無</v>
      </c>
      <c r="AQ239" s="119">
        <f>LARGE((AJ239:AM239),1)</f>
        <v>0</v>
      </c>
      <c r="AR239" s="104"/>
      <c r="AS239" s="104"/>
      <c r="AT239" s="104"/>
      <c r="AZ239" s="2" t="s">
        <v>535</v>
      </c>
      <c r="BA239" s="2" t="s">
        <v>536</v>
      </c>
    </row>
    <row r="240" spans="1:53">
      <c r="A240" s="2" t="str">
        <f>'Reference Score Calculation'!A231</f>
        <v>JS6042</v>
      </c>
      <c r="B240" s="364" t="str">
        <f>'Reference Score Calculation'!A231</f>
        <v>JS6042</v>
      </c>
      <c r="C240" s="2" t="str">
        <f>'Reference Score Calculation'!D231</f>
        <v>文學士(城市研究)</v>
      </c>
      <c r="D240" s="16">
        <f>'Reference Score Calculation'!T231</f>
        <v>17</v>
      </c>
      <c r="E240" s="16">
        <v>3</v>
      </c>
      <c r="F240" s="16">
        <v>3</v>
      </c>
      <c r="G240" s="16">
        <v>2</v>
      </c>
      <c r="H240" s="16">
        <v>2</v>
      </c>
      <c r="I240" s="16">
        <v>3</v>
      </c>
      <c r="J240" s="16">
        <v>3</v>
      </c>
      <c r="L240" s="467">
        <v>3</v>
      </c>
      <c r="M240" s="467">
        <v>3</v>
      </c>
      <c r="N240" s="467">
        <v>2</v>
      </c>
      <c r="O240" s="467">
        <v>1</v>
      </c>
      <c r="P240" s="467">
        <v>3</v>
      </c>
      <c r="Q240" s="467">
        <v>3</v>
      </c>
      <c r="R240" s="16"/>
      <c r="S240" s="16">
        <f t="shared" si="127"/>
        <v>0</v>
      </c>
      <c r="T240" s="16">
        <f t="shared" si="128"/>
        <v>0</v>
      </c>
      <c r="U240" s="16">
        <f t="shared" si="129"/>
        <v>0</v>
      </c>
      <c r="V240" s="16">
        <f t="shared" si="130"/>
        <v>0</v>
      </c>
      <c r="W240" s="16">
        <f t="shared" si="126"/>
        <v>0</v>
      </c>
      <c r="X240" s="16">
        <f t="shared" si="131"/>
        <v>0</v>
      </c>
      <c r="Z240" s="16">
        <f t="shared" si="132"/>
        <v>0</v>
      </c>
      <c r="AB240" s="16" t="s">
        <v>432</v>
      </c>
      <c r="AC240" s="16" t="s">
        <v>464</v>
      </c>
      <c r="AD240" s="16" t="s">
        <v>434</v>
      </c>
      <c r="AF240" s="21" t="s">
        <v>435</v>
      </c>
      <c r="AG240" s="21" t="s">
        <v>435</v>
      </c>
      <c r="AH240" s="21" t="s">
        <v>435</v>
      </c>
      <c r="AI240" s="118"/>
      <c r="AJ240" s="163" t="s">
        <v>537</v>
      </c>
      <c r="AK240" s="118"/>
      <c r="AL240" s="118"/>
      <c r="AM240" s="118"/>
      <c r="AN240" s="118"/>
      <c r="AO240" s="118"/>
      <c r="AP240" s="104"/>
      <c r="AQ240" s="104"/>
      <c r="AR240" s="104"/>
      <c r="AS240" s="104"/>
      <c r="AT240" s="104"/>
      <c r="AZ240" s="2" t="s">
        <v>538</v>
      </c>
      <c r="BA240" s="2" t="s">
        <v>539</v>
      </c>
    </row>
    <row r="241" spans="1:53">
      <c r="A241" s="2" t="str">
        <f>'Reference Score Calculation'!A232</f>
        <v>JS6054</v>
      </c>
      <c r="B241" s="364" t="str">
        <f>'Reference Score Calculation'!A232</f>
        <v>JS6054</v>
      </c>
      <c r="C241" s="2" t="str">
        <f>'Reference Score Calculation'!D232</f>
        <v>文學士</v>
      </c>
      <c r="D241" s="16">
        <f>'Reference Score Calculation'!T232</f>
        <v>289</v>
      </c>
      <c r="E241" s="16">
        <v>3</v>
      </c>
      <c r="F241" s="16">
        <v>3</v>
      </c>
      <c r="G241" s="16">
        <v>2</v>
      </c>
      <c r="H241" s="16">
        <v>2</v>
      </c>
      <c r="I241" s="16">
        <v>3</v>
      </c>
      <c r="J241" s="16">
        <v>3</v>
      </c>
      <c r="L241" s="92">
        <v>3</v>
      </c>
      <c r="M241" s="92">
        <v>3</v>
      </c>
      <c r="N241" s="92">
        <v>2</v>
      </c>
      <c r="O241" s="92">
        <v>1</v>
      </c>
      <c r="P241" s="92">
        <v>3</v>
      </c>
      <c r="Q241" s="92">
        <v>3</v>
      </c>
      <c r="R241" s="16"/>
      <c r="S241" s="16">
        <f t="shared" si="127"/>
        <v>0</v>
      </c>
      <c r="T241" s="16">
        <f t="shared" si="128"/>
        <v>0</v>
      </c>
      <c r="U241" s="16">
        <f t="shared" si="129"/>
        <v>0</v>
      </c>
      <c r="V241" s="16">
        <f t="shared" si="130"/>
        <v>0</v>
      </c>
      <c r="W241" s="16">
        <f t="shared" si="126"/>
        <v>0</v>
      </c>
      <c r="X241" s="16">
        <f t="shared" ref="X241" si="135">IF(OR($P$3&gt;Q241,$U$3&gt;Q241),1,IF(Q241&gt;LARGE($Q$3:$T$3,2),0,1))</f>
        <v>0</v>
      </c>
      <c r="Z241" s="16">
        <f t="shared" si="132"/>
        <v>0</v>
      </c>
      <c r="AB241" s="16" t="s">
        <v>432</v>
      </c>
      <c r="AC241" s="16" t="s">
        <v>464</v>
      </c>
      <c r="AD241" s="16" t="s">
        <v>434</v>
      </c>
      <c r="AF241" s="21" t="s">
        <v>435</v>
      </c>
      <c r="AG241" s="21" t="s">
        <v>435</v>
      </c>
      <c r="AH241" s="21" t="s">
        <v>435</v>
      </c>
      <c r="AI241" s="118"/>
      <c r="AJ241" s="118"/>
      <c r="AK241" s="118"/>
      <c r="AL241" s="118"/>
      <c r="AM241" s="118"/>
      <c r="AN241" s="118"/>
      <c r="AO241" s="118"/>
      <c r="AP241" s="104"/>
      <c r="AQ241" s="104"/>
      <c r="AR241" s="104"/>
      <c r="AS241" s="104"/>
      <c r="AT241" s="104"/>
      <c r="AZ241" s="2" t="s">
        <v>540</v>
      </c>
      <c r="BA241" s="2" t="s">
        <v>541</v>
      </c>
    </row>
    <row r="242" spans="1:53">
      <c r="A242" s="2" t="str">
        <f>'Reference Score Calculation'!A233</f>
        <v>JS6286</v>
      </c>
      <c r="B242" s="364" t="str">
        <f>'Reference Score Calculation'!A233</f>
        <v>JS6286</v>
      </c>
      <c r="C242" s="2" t="str">
        <f>'Reference Score Calculation'!D233</f>
        <v>文學士(人文及數碼科技)</v>
      </c>
      <c r="D242" s="16">
        <f>'Reference Score Calculation'!T233</f>
        <v>50</v>
      </c>
      <c r="E242" s="16">
        <v>3</v>
      </c>
      <c r="F242" s="16">
        <v>3</v>
      </c>
      <c r="G242" s="16">
        <v>3</v>
      </c>
      <c r="H242" s="16">
        <v>2</v>
      </c>
      <c r="I242" s="16">
        <v>3</v>
      </c>
      <c r="J242" s="16">
        <v>3</v>
      </c>
      <c r="L242" s="92">
        <v>3</v>
      </c>
      <c r="M242" s="92">
        <v>3</v>
      </c>
      <c r="N242" s="92">
        <v>3</v>
      </c>
      <c r="O242" s="92">
        <v>1</v>
      </c>
      <c r="P242" s="92">
        <v>3</v>
      </c>
      <c r="Q242" s="92">
        <v>3</v>
      </c>
      <c r="R242" s="16"/>
      <c r="S242" s="16">
        <f t="shared" si="127"/>
        <v>0</v>
      </c>
      <c r="T242" s="16">
        <f t="shared" si="128"/>
        <v>0</v>
      </c>
      <c r="U242" s="16">
        <f t="shared" si="129"/>
        <v>0</v>
      </c>
      <c r="V242" s="16">
        <f t="shared" si="130"/>
        <v>0</v>
      </c>
      <c r="W242" s="16">
        <f t="shared" si="126"/>
        <v>0</v>
      </c>
      <c r="X242" s="16">
        <f t="shared" ref="X242:X243" si="136">IF(OR($P$3&gt;Q242,$U$3&gt;Q242),1,IF(Q242&gt;LARGE($Q$3:$T$3,2),0,1))</f>
        <v>0</v>
      </c>
      <c r="Z242" s="16">
        <f t="shared" si="132"/>
        <v>0</v>
      </c>
      <c r="AB242" s="16" t="s">
        <v>432</v>
      </c>
      <c r="AC242" s="16" t="s">
        <v>464</v>
      </c>
      <c r="AD242" s="16" t="s">
        <v>434</v>
      </c>
      <c r="AF242" s="21" t="s">
        <v>435</v>
      </c>
      <c r="AG242" s="21" t="s">
        <v>435</v>
      </c>
      <c r="AH242" s="21" t="s">
        <v>435</v>
      </c>
      <c r="AI242" s="118" t="s">
        <v>399</v>
      </c>
      <c r="AJ242" s="118" t="str">
        <f>Q$2</f>
        <v>請選擇第一選修科</v>
      </c>
      <c r="AK242" s="118" t="str">
        <f t="shared" ref="AK242" si="137">R$2</f>
        <v>請選擇第二選修科</v>
      </c>
      <c r="AL242" s="118" t="str">
        <f t="shared" ref="AL242" si="138">S$2</f>
        <v>請選擇第三選修科</v>
      </c>
      <c r="AM242" s="118" t="str">
        <f t="shared" ref="AM242" si="139">T$2</f>
        <v>請選擇第四選修科</v>
      </c>
      <c r="AN242" s="118"/>
      <c r="AO242" s="104"/>
      <c r="AP242" s="118" t="s">
        <v>522</v>
      </c>
      <c r="AQ242" s="118"/>
      <c r="AR242" s="104"/>
      <c r="AS242" s="104"/>
      <c r="AT242" s="104"/>
      <c r="AZ242" s="2" t="s">
        <v>542</v>
      </c>
      <c r="BA242" s="2" t="s">
        <v>543</v>
      </c>
    </row>
    <row r="243" spans="1:53">
      <c r="A243" s="2" t="str">
        <f>'Reference Score Calculation'!A234</f>
        <v>JS6755</v>
      </c>
      <c r="B243" s="364" t="str">
        <f>'Reference Score Calculation'!A234</f>
        <v>JS6755</v>
      </c>
      <c r="C243" s="2" t="str">
        <f>'Reference Score Calculation'!D234</f>
        <v>工商管理學學士</v>
      </c>
      <c r="D243" s="16" t="str">
        <f>'Reference Score Calculation'!T234</f>
        <v>220*</v>
      </c>
      <c r="E243" s="16">
        <v>3</v>
      </c>
      <c r="F243" s="16">
        <v>4</v>
      </c>
      <c r="G243" s="16">
        <v>3</v>
      </c>
      <c r="H243" s="16">
        <v>2</v>
      </c>
      <c r="I243" s="16">
        <v>3</v>
      </c>
      <c r="J243" s="16">
        <v>3</v>
      </c>
      <c r="L243" s="92">
        <v>3</v>
      </c>
      <c r="M243" s="92">
        <v>4</v>
      </c>
      <c r="N243" s="92">
        <v>3</v>
      </c>
      <c r="O243" s="92">
        <v>1</v>
      </c>
      <c r="P243" s="92">
        <v>3</v>
      </c>
      <c r="Q243" s="92">
        <v>3</v>
      </c>
      <c r="R243" s="16"/>
      <c r="S243" s="16">
        <f t="shared" si="127"/>
        <v>0</v>
      </c>
      <c r="T243" s="16">
        <f t="shared" si="128"/>
        <v>0</v>
      </c>
      <c r="U243" s="16">
        <f t="shared" si="129"/>
        <v>0</v>
      </c>
      <c r="V243" s="16">
        <f t="shared" si="130"/>
        <v>0</v>
      </c>
      <c r="W243" s="16">
        <f t="shared" si="126"/>
        <v>0</v>
      </c>
      <c r="X243" s="16">
        <f t="shared" si="136"/>
        <v>0</v>
      </c>
      <c r="Z243" s="16">
        <f t="shared" si="132"/>
        <v>0</v>
      </c>
      <c r="AB243" s="16" t="s">
        <v>432</v>
      </c>
      <c r="AC243" s="16" t="s">
        <v>434</v>
      </c>
      <c r="AD243" s="16" t="s">
        <v>434</v>
      </c>
      <c r="AF243" s="21" t="s">
        <v>356</v>
      </c>
      <c r="AG243" s="21" t="s">
        <v>356</v>
      </c>
      <c r="AH243" s="21" t="s">
        <v>356</v>
      </c>
      <c r="AI243" s="118" t="s">
        <v>545</v>
      </c>
      <c r="AJ243" s="118"/>
      <c r="AK243" s="118"/>
      <c r="AL243" s="118"/>
      <c r="AM243" s="118"/>
      <c r="AN243" s="118"/>
      <c r="AO243" s="104"/>
      <c r="AP243" s="118"/>
      <c r="AQ243" s="118"/>
      <c r="AR243" s="104"/>
      <c r="AS243" s="104"/>
      <c r="AT243" s="104"/>
    </row>
    <row r="244" spans="1:53">
      <c r="A244" s="2" t="str">
        <f>'Reference Score Calculation'!A235</f>
        <v>JS6767</v>
      </c>
      <c r="B244" s="364" t="str">
        <f>'Reference Score Calculation'!A235</f>
        <v>JS6767</v>
      </c>
      <c r="C244" s="2" t="str">
        <f>'Reference Score Calculation'!D235</f>
        <v>經濟學學士 / 經濟金融學學士</v>
      </c>
      <c r="D244" s="16" t="str">
        <f>'Reference Score Calculation'!T235</f>
        <v>220*</v>
      </c>
      <c r="E244" s="16">
        <v>3</v>
      </c>
      <c r="F244" s="16">
        <v>4</v>
      </c>
      <c r="G244" s="16">
        <v>3</v>
      </c>
      <c r="H244" s="16">
        <v>2</v>
      </c>
      <c r="I244" s="16">
        <v>3</v>
      </c>
      <c r="J244" s="16">
        <v>3</v>
      </c>
      <c r="L244" s="92">
        <v>3</v>
      </c>
      <c r="M244" s="92">
        <v>4</v>
      </c>
      <c r="N244" s="92">
        <v>3</v>
      </c>
      <c r="O244" s="92">
        <v>1</v>
      </c>
      <c r="P244" s="92">
        <v>3</v>
      </c>
      <c r="Q244" s="92">
        <v>3</v>
      </c>
      <c r="R244" s="16"/>
      <c r="S244" s="16">
        <f t="shared" si="127"/>
        <v>0</v>
      </c>
      <c r="T244" s="16">
        <f t="shared" si="128"/>
        <v>0</v>
      </c>
      <c r="U244" s="16">
        <f t="shared" si="129"/>
        <v>0</v>
      </c>
      <c r="V244" s="16">
        <f t="shared" si="130"/>
        <v>0</v>
      </c>
      <c r="W244" s="16">
        <f t="shared" ref="W244" si="140">IF(P244&gt;LARGE($P$3:$T$3,1),0,1)</f>
        <v>0</v>
      </c>
      <c r="X244" s="16">
        <f>IF(Q244&gt;LARGE($P$3:$T$3,2),0,1)</f>
        <v>0</v>
      </c>
      <c r="Z244" s="16">
        <f t="shared" si="132"/>
        <v>0</v>
      </c>
      <c r="AB244" s="16" t="s">
        <v>432</v>
      </c>
      <c r="AC244" s="16" t="s">
        <v>434</v>
      </c>
      <c r="AD244" s="16" t="s">
        <v>434</v>
      </c>
      <c r="AF244" s="21" t="s">
        <v>435</v>
      </c>
      <c r="AG244" s="21" t="s">
        <v>435</v>
      </c>
      <c r="AH244" s="21" t="s">
        <v>435</v>
      </c>
      <c r="AI244" s="118" t="s">
        <v>548</v>
      </c>
      <c r="AJ244" s="119">
        <f>IF(OR(Q$2="物理",Q$2="化學",Q$2="生物",Q$2="組合科學(物理、化學)",Q$2="組合科學(生物、化學)",Q$2="組合科學(物理、生物)",Q$2="綜合科學"),Q$3,0)</f>
        <v>0</v>
      </c>
      <c r="AK244" s="119">
        <f t="shared" ref="AK244:AM244" si="141">IF(OR(R$2="物理",R$2="化學",R$2="生物",R$2="組合科學(物理、化學)",R$2="組合科學(生物、化學)",R$2="組合科學(物理、生物)",R$2="綜合科學"),R$3,0)</f>
        <v>0</v>
      </c>
      <c r="AL244" s="119">
        <f t="shared" si="141"/>
        <v>0</v>
      </c>
      <c r="AM244" s="119">
        <f t="shared" si="141"/>
        <v>0</v>
      </c>
      <c r="AN244" s="118"/>
      <c r="AO244" s="118"/>
      <c r="AP244" s="119" t="str">
        <f>IF(AQ244&gt;0.1,INDEX(AJ242:AM242,MATCH(LARGE(AJ244:AM244,1),AJ244:AM244,0)),"無")</f>
        <v>無</v>
      </c>
      <c r="AQ244" s="119">
        <f>LARGE((AJ244:AM244),1)</f>
        <v>0</v>
      </c>
      <c r="AR244" s="104"/>
      <c r="AS244" s="104"/>
      <c r="AT244" s="104"/>
      <c r="AZ244" s="2" t="s">
        <v>389</v>
      </c>
      <c r="BA244" s="2" t="s">
        <v>544</v>
      </c>
    </row>
    <row r="245" spans="1:53">
      <c r="A245" s="2" t="str">
        <f>'Reference Score Calculation'!A236</f>
        <v>JS6781</v>
      </c>
      <c r="B245" s="364" t="str">
        <f>'Reference Score Calculation'!A236</f>
        <v>JS6781</v>
      </c>
      <c r="C245" s="2" t="str">
        <f>'Reference Score Calculation'!D236</f>
        <v>工商管理學學士 / 工商管理學學士(會計及財務)</v>
      </c>
      <c r="D245" s="16" t="str">
        <f>'Reference Score Calculation'!T236</f>
        <v>220*</v>
      </c>
      <c r="E245" s="16">
        <v>3</v>
      </c>
      <c r="F245" s="16">
        <v>4</v>
      </c>
      <c r="G245" s="16">
        <v>3</v>
      </c>
      <c r="H245" s="16">
        <v>2</v>
      </c>
      <c r="I245" s="16">
        <v>3</v>
      </c>
      <c r="J245" s="16">
        <v>3</v>
      </c>
      <c r="L245" s="92">
        <v>3</v>
      </c>
      <c r="M245" s="92">
        <v>4</v>
      </c>
      <c r="N245" s="92">
        <v>3</v>
      </c>
      <c r="O245" s="92">
        <v>1</v>
      </c>
      <c r="P245" s="92">
        <v>3</v>
      </c>
      <c r="Q245" s="92">
        <v>3</v>
      </c>
      <c r="R245" s="16"/>
      <c r="S245" s="16">
        <f t="shared" si="127"/>
        <v>0</v>
      </c>
      <c r="T245" s="16">
        <f t="shared" si="128"/>
        <v>0</v>
      </c>
      <c r="U245" s="16">
        <f t="shared" si="129"/>
        <v>0</v>
      </c>
      <c r="V245" s="16">
        <f t="shared" si="130"/>
        <v>0</v>
      </c>
      <c r="W245" s="16">
        <f t="shared" ref="W245:W246" si="142">IF(P245&gt;LARGE($P$3:$T$3,1),0,1)</f>
        <v>0</v>
      </c>
      <c r="X245" s="16">
        <f>IF(Q245&gt;LARGE($P$3:$T$3,2),0,1)</f>
        <v>0</v>
      </c>
      <c r="Z245" s="16">
        <f t="shared" si="132"/>
        <v>0</v>
      </c>
      <c r="AB245" s="16" t="s">
        <v>432</v>
      </c>
      <c r="AC245" s="16" t="s">
        <v>434</v>
      </c>
      <c r="AD245" s="16" t="s">
        <v>434</v>
      </c>
      <c r="AF245" s="21" t="s">
        <v>435</v>
      </c>
      <c r="AG245" s="21" t="s">
        <v>435</v>
      </c>
      <c r="AH245" s="21" t="s">
        <v>435</v>
      </c>
      <c r="AI245" s="118" t="s">
        <v>549</v>
      </c>
      <c r="AJ245" s="163" t="s">
        <v>546</v>
      </c>
      <c r="AK245" s="118"/>
      <c r="AL245" s="118"/>
      <c r="AM245" s="118"/>
      <c r="AN245" s="118"/>
      <c r="AO245" s="118"/>
      <c r="AP245" s="104"/>
      <c r="AQ245" s="104"/>
      <c r="AR245" s="104"/>
      <c r="AS245" s="104"/>
      <c r="AT245" s="104"/>
      <c r="AZ245" s="2" t="s">
        <v>390</v>
      </c>
      <c r="BA245" s="2" t="s">
        <v>547</v>
      </c>
    </row>
    <row r="246" spans="1:53">
      <c r="A246" s="2" t="str">
        <f>'Reference Score Calculation'!A237</f>
        <v>JS6860</v>
      </c>
      <c r="B246" s="364" t="str">
        <f>'Reference Score Calculation'!A237</f>
        <v>JS6860</v>
      </c>
      <c r="C246" s="2" t="str">
        <f>'Reference Score Calculation'!D237</f>
        <v>金融學學士(資產管理及私人銀行)</v>
      </c>
      <c r="D246" s="16">
        <f>'Reference Score Calculation'!T237</f>
        <v>30</v>
      </c>
      <c r="E246" s="16">
        <v>3</v>
      </c>
      <c r="F246" s="16">
        <v>4</v>
      </c>
      <c r="G246" s="16">
        <v>3</v>
      </c>
      <c r="H246" s="16">
        <v>2</v>
      </c>
      <c r="I246" s="16">
        <v>3</v>
      </c>
      <c r="J246" s="16">
        <v>3</v>
      </c>
      <c r="L246" s="92">
        <v>3</v>
      </c>
      <c r="M246" s="92">
        <v>4</v>
      </c>
      <c r="N246" s="92">
        <v>3</v>
      </c>
      <c r="O246" s="92">
        <v>1</v>
      </c>
      <c r="P246" s="92">
        <v>3</v>
      </c>
      <c r="Q246" s="92">
        <v>3</v>
      </c>
      <c r="R246" s="16"/>
      <c r="S246" s="16">
        <f t="shared" si="127"/>
        <v>0</v>
      </c>
      <c r="T246" s="16">
        <f t="shared" si="128"/>
        <v>0</v>
      </c>
      <c r="U246" s="16">
        <f t="shared" si="129"/>
        <v>0</v>
      </c>
      <c r="V246" s="16">
        <f t="shared" si="130"/>
        <v>0</v>
      </c>
      <c r="W246" s="16">
        <f t="shared" si="142"/>
        <v>0</v>
      </c>
      <c r="X246" s="16">
        <f t="shared" ref="X246" si="143">IF(Q246&gt;LARGE($P$3:$T$3,2),0,1)</f>
        <v>0</v>
      </c>
      <c r="Z246" s="16">
        <f t="shared" si="132"/>
        <v>0</v>
      </c>
      <c r="AB246" s="16" t="s">
        <v>432</v>
      </c>
      <c r="AC246" s="16" t="s">
        <v>434</v>
      </c>
      <c r="AD246" s="16" t="s">
        <v>434</v>
      </c>
      <c r="AF246" s="21" t="s">
        <v>435</v>
      </c>
      <c r="AG246" s="21" t="s">
        <v>435</v>
      </c>
      <c r="AH246" s="21" t="s">
        <v>435</v>
      </c>
      <c r="AI246" s="118" t="s">
        <v>405</v>
      </c>
      <c r="AJ246" s="118"/>
      <c r="AK246" s="118"/>
      <c r="AL246" s="118"/>
      <c r="AM246" s="118"/>
      <c r="AN246" s="118"/>
      <c r="AO246" s="118"/>
      <c r="AP246" s="104"/>
      <c r="AQ246" s="104"/>
      <c r="AR246" s="104"/>
      <c r="AS246" s="104"/>
      <c r="AT246" s="104"/>
      <c r="AZ246" s="2" t="s">
        <v>391</v>
      </c>
      <c r="BA246" s="2" t="s">
        <v>550</v>
      </c>
    </row>
    <row r="247" spans="1:53">
      <c r="A247" s="2" t="str">
        <f>'Reference Score Calculation'!A238</f>
        <v>JS6793</v>
      </c>
      <c r="B247" s="364" t="str">
        <f>'Reference Score Calculation'!A238</f>
        <v>JS6793</v>
      </c>
      <c r="C247" s="2" t="str">
        <f>'Reference Score Calculation'!D238</f>
        <v>工商管理學學士(資訊系統)</v>
      </c>
      <c r="D247" s="16">
        <f>'Reference Score Calculation'!T238</f>
        <v>15</v>
      </c>
      <c r="E247" s="16">
        <v>3</v>
      </c>
      <c r="F247" s="16">
        <v>4</v>
      </c>
      <c r="G247" s="16">
        <v>3</v>
      </c>
      <c r="H247" s="16">
        <v>2</v>
      </c>
      <c r="I247" s="16">
        <v>3</v>
      </c>
      <c r="J247" s="16">
        <v>3</v>
      </c>
      <c r="L247" s="92">
        <v>3</v>
      </c>
      <c r="M247" s="92">
        <v>4</v>
      </c>
      <c r="N247" s="92">
        <v>3</v>
      </c>
      <c r="O247" s="92">
        <v>1</v>
      </c>
      <c r="P247" s="92">
        <v>3</v>
      </c>
      <c r="Q247" s="92">
        <v>3</v>
      </c>
      <c r="R247" s="16"/>
      <c r="S247" s="16">
        <f t="shared" si="127"/>
        <v>0</v>
      </c>
      <c r="T247" s="16">
        <f t="shared" si="128"/>
        <v>0</v>
      </c>
      <c r="U247" s="16">
        <f t="shared" si="129"/>
        <v>0</v>
      </c>
      <c r="V247" s="16">
        <f t="shared" si="130"/>
        <v>0</v>
      </c>
      <c r="W247" s="16">
        <f>IF(P247&gt;AQ239,0,1)</f>
        <v>0</v>
      </c>
      <c r="X247" s="16">
        <f>IF(Q247&gt;LARGE($P$3:$T$3,2),0,IF($P$3&lt;3,2,1))</f>
        <v>0</v>
      </c>
      <c r="Z247" s="16">
        <f>S247*T247*U247*V247*W247*X247</f>
        <v>0</v>
      </c>
      <c r="AB247" s="16" t="s">
        <v>432</v>
      </c>
      <c r="AC247" s="16" t="s">
        <v>434</v>
      </c>
      <c r="AD247" s="16" t="s">
        <v>434</v>
      </c>
      <c r="AF247" s="21" t="s">
        <v>551</v>
      </c>
      <c r="AG247" s="21" t="s">
        <v>552</v>
      </c>
      <c r="AH247" s="21" t="s">
        <v>435</v>
      </c>
      <c r="AI247" s="104"/>
      <c r="AJ247" s="104"/>
      <c r="AK247" s="104"/>
      <c r="AL247" s="104"/>
      <c r="AM247" s="104"/>
      <c r="AN247" s="104"/>
      <c r="AO247" s="104"/>
      <c r="AP247" s="104"/>
      <c r="AQ247" s="104"/>
      <c r="AR247" s="104"/>
      <c r="AS247" s="104"/>
      <c r="AT247" s="104"/>
      <c r="AZ247" s="2" t="s">
        <v>393</v>
      </c>
      <c r="BA247" s="2" t="s">
        <v>553</v>
      </c>
    </row>
    <row r="248" spans="1:53">
      <c r="A248" s="2" t="str">
        <f>'Reference Score Calculation'!A239</f>
        <v>JS6808</v>
      </c>
      <c r="B248" s="364" t="str">
        <f>'Reference Score Calculation'!A239</f>
        <v>JS6808</v>
      </c>
      <c r="C248" s="2" t="str">
        <f>'Reference Score Calculation'!D239</f>
        <v>工商管理學學士(法學)及法學士 (雙學位課程)</v>
      </c>
      <c r="D248" s="16">
        <f>'Reference Score Calculation'!T239</f>
        <v>80</v>
      </c>
      <c r="E248" s="16">
        <v>4</v>
      </c>
      <c r="F248" s="16">
        <v>5</v>
      </c>
      <c r="G248" s="16">
        <v>4</v>
      </c>
      <c r="H248" s="16">
        <v>2</v>
      </c>
      <c r="I248" s="16">
        <v>3</v>
      </c>
      <c r="J248" s="16">
        <v>3</v>
      </c>
      <c r="L248" s="92">
        <v>4</v>
      </c>
      <c r="M248" s="92">
        <v>5</v>
      </c>
      <c r="N248" s="92">
        <v>4</v>
      </c>
      <c r="O248" s="92">
        <v>1</v>
      </c>
      <c r="P248" s="92">
        <v>3</v>
      </c>
      <c r="Q248" s="92">
        <v>3</v>
      </c>
      <c r="R248" s="16"/>
      <c r="S248" s="16">
        <f t="shared" si="127"/>
        <v>0</v>
      </c>
      <c r="T248" s="16">
        <f t="shared" si="128"/>
        <v>0</v>
      </c>
      <c r="U248" s="16">
        <f t="shared" si="129"/>
        <v>0</v>
      </c>
      <c r="V248" s="16">
        <f t="shared" si="130"/>
        <v>0</v>
      </c>
      <c r="W248" s="16">
        <f>IF(P248&gt;LARGE($P$3:$T$3,1),0,1)</f>
        <v>0</v>
      </c>
      <c r="X248" s="16">
        <f>IF(Q248&gt;LARGE($P$3:$T$3,2),0,1)</f>
        <v>0</v>
      </c>
      <c r="Z248" s="16">
        <f t="shared" si="132"/>
        <v>0</v>
      </c>
      <c r="AB248" s="16" t="s">
        <v>432</v>
      </c>
      <c r="AC248" s="16" t="s">
        <v>434</v>
      </c>
      <c r="AD248" s="16" t="s">
        <v>434</v>
      </c>
      <c r="AF248" s="21" t="s">
        <v>435</v>
      </c>
      <c r="AG248" s="21" t="s">
        <v>435</v>
      </c>
      <c r="AH248" s="21" t="s">
        <v>435</v>
      </c>
      <c r="AI248" s="118" t="s">
        <v>406</v>
      </c>
      <c r="AJ248" s="118" t="str">
        <f>Q$2</f>
        <v>請選擇第一選修科</v>
      </c>
      <c r="AK248" s="118" t="str">
        <f t="shared" ref="AK248" si="144">R$2</f>
        <v>請選擇第二選修科</v>
      </c>
      <c r="AL248" s="118" t="str">
        <f t="shared" ref="AL248" si="145">S$2</f>
        <v>請選擇第三選修科</v>
      </c>
      <c r="AM248" s="118" t="str">
        <f t="shared" ref="AM248" si="146">T$2</f>
        <v>請選擇第四選修科</v>
      </c>
      <c r="AN248" s="118"/>
      <c r="AO248" s="104"/>
      <c r="AP248" s="118" t="s">
        <v>522</v>
      </c>
      <c r="AQ248" s="118"/>
      <c r="AR248" s="104"/>
      <c r="AS248" s="104"/>
      <c r="AT248" s="104"/>
      <c r="AZ248" s="2" t="s">
        <v>392</v>
      </c>
      <c r="BA248" s="2" t="s">
        <v>555</v>
      </c>
    </row>
    <row r="249" spans="1:53">
      <c r="A249" s="2" t="str">
        <f>'Reference Score Calculation'!A240</f>
        <v>JS6846</v>
      </c>
      <c r="B249" s="364" t="str">
        <f>'Reference Score Calculation'!A240</f>
        <v>JS6846</v>
      </c>
      <c r="C249" s="2" t="str">
        <f>'Reference Score Calculation'!D240</f>
        <v>理學士(營銷分析及科技)</v>
      </c>
      <c r="D249" s="16">
        <f>'Reference Score Calculation'!T240</f>
        <v>25</v>
      </c>
      <c r="E249" s="16">
        <v>3</v>
      </c>
      <c r="F249" s="16">
        <v>4</v>
      </c>
      <c r="G249" s="16">
        <v>3</v>
      </c>
      <c r="H249" s="16">
        <v>2</v>
      </c>
      <c r="I249" s="16">
        <v>3</v>
      </c>
      <c r="J249" s="16">
        <v>3</v>
      </c>
      <c r="L249" s="92">
        <v>3</v>
      </c>
      <c r="M249" s="92">
        <v>4</v>
      </c>
      <c r="N249" s="92">
        <v>3</v>
      </c>
      <c r="O249" s="92">
        <v>1</v>
      </c>
      <c r="P249" s="92">
        <v>3</v>
      </c>
      <c r="Q249" s="92">
        <v>3</v>
      </c>
      <c r="R249" s="16"/>
      <c r="S249" s="16">
        <f t="shared" si="127"/>
        <v>0</v>
      </c>
      <c r="T249" s="16">
        <f t="shared" si="128"/>
        <v>0</v>
      </c>
      <c r="U249" s="16">
        <f t="shared" si="129"/>
        <v>0</v>
      </c>
      <c r="V249" s="16">
        <f t="shared" si="130"/>
        <v>0</v>
      </c>
      <c r="W249" s="16">
        <f>IF(P249&gt;$AQ$267,0,1)</f>
        <v>0</v>
      </c>
      <c r="X249" s="16">
        <f>IF($P$3&gt;Q249,1,IF(Q249&gt;LARGE($Q$3:$T$3,2),0,IF($P$3&lt;3,2,1)))</f>
        <v>0</v>
      </c>
      <c r="Z249" s="16">
        <f t="shared" si="132"/>
        <v>0</v>
      </c>
      <c r="AB249" s="16" t="s">
        <v>432</v>
      </c>
      <c r="AC249" s="16" t="s">
        <v>434</v>
      </c>
      <c r="AD249" s="16" t="s">
        <v>434</v>
      </c>
      <c r="AF249" s="21" t="s">
        <v>556</v>
      </c>
      <c r="AG249" s="21" t="s">
        <v>552</v>
      </c>
      <c r="AH249" s="21" t="s">
        <v>435</v>
      </c>
      <c r="AI249" s="118" t="s">
        <v>564</v>
      </c>
      <c r="AJ249" s="119">
        <f>IF(OR(Q$2="化學",Q$2="組合科學(物理、化學)",Q$2="組合科學(生物、化學)"),Q$3,0)</f>
        <v>0</v>
      </c>
      <c r="AK249" s="119">
        <f t="shared" ref="AK249:AM249" si="147">IF(OR(R$2="化學",R$2="組合科學(物理、化學)",R$2="組合科學(生物、化學)"),R$3,0)</f>
        <v>0</v>
      </c>
      <c r="AL249" s="119">
        <f t="shared" si="147"/>
        <v>0</v>
      </c>
      <c r="AM249" s="119">
        <f t="shared" si="147"/>
        <v>0</v>
      </c>
      <c r="AN249" s="118"/>
      <c r="AO249" s="118"/>
      <c r="AP249" s="119" t="str">
        <f>IF(AQ249&gt;0.1,INDEX(AJ248:AM248,MATCH(LARGE(AJ249:AM249,1),AJ249:AM249,0)),"無")</f>
        <v>無</v>
      </c>
      <c r="AQ249" s="119">
        <f>LARGE((AJ249:AM249),1)</f>
        <v>0</v>
      </c>
      <c r="AR249" s="104"/>
      <c r="AS249" s="104"/>
      <c r="AT249" s="104"/>
      <c r="AZ249" s="2" t="s">
        <v>395</v>
      </c>
      <c r="BA249" s="2" t="s">
        <v>557</v>
      </c>
    </row>
    <row r="250" spans="1:53">
      <c r="A250" s="2" t="str">
        <f>'Reference Score Calculation'!A241</f>
        <v>JS6884</v>
      </c>
      <c r="B250" s="364" t="str">
        <f>'Reference Score Calculation'!A241</f>
        <v>JS6884</v>
      </c>
      <c r="C250" s="2" t="str">
        <f>'Reference Score Calculation'!D241</f>
        <v>理學士(計量金融)</v>
      </c>
      <c r="D250" s="16">
        <f>'Reference Score Calculation'!T241</f>
        <v>25</v>
      </c>
      <c r="E250" s="16">
        <v>3</v>
      </c>
      <c r="F250" s="16">
        <v>4</v>
      </c>
      <c r="G250" s="16">
        <v>3</v>
      </c>
      <c r="H250" s="16">
        <v>2</v>
      </c>
      <c r="I250" s="16">
        <v>3</v>
      </c>
      <c r="J250" s="16">
        <v>3</v>
      </c>
      <c r="L250" s="92">
        <v>3</v>
      </c>
      <c r="M250" s="92">
        <v>4</v>
      </c>
      <c r="N250" s="92">
        <v>3</v>
      </c>
      <c r="O250" s="92">
        <v>1</v>
      </c>
      <c r="P250" s="92">
        <v>3</v>
      </c>
      <c r="Q250" s="92">
        <v>3</v>
      </c>
      <c r="R250" s="16"/>
      <c r="S250" s="16">
        <f t="shared" si="127"/>
        <v>0</v>
      </c>
      <c r="T250" s="16">
        <f t="shared" si="128"/>
        <v>0</v>
      </c>
      <c r="U250" s="16">
        <f t="shared" si="129"/>
        <v>0</v>
      </c>
      <c r="V250" s="16">
        <f t="shared" si="130"/>
        <v>0</v>
      </c>
      <c r="W250" s="16">
        <f>IF(P250&gt;LARGE($P$3:$T$3,1),0,1)</f>
        <v>0</v>
      </c>
      <c r="X250" s="16">
        <f>IF(Q244&gt;LARGE($P$3:$T$3,2),0,IF($P$3&lt;3,0,1))</f>
        <v>0</v>
      </c>
      <c r="Z250" s="16">
        <f t="shared" si="132"/>
        <v>0</v>
      </c>
      <c r="AB250" s="16" t="s">
        <v>432</v>
      </c>
      <c r="AC250" s="16" t="s">
        <v>434</v>
      </c>
      <c r="AD250" s="16" t="s">
        <v>434</v>
      </c>
      <c r="AF250" s="21" t="s">
        <v>558</v>
      </c>
      <c r="AG250" s="21" t="s">
        <v>435</v>
      </c>
      <c r="AH250" s="21" t="s">
        <v>435</v>
      </c>
      <c r="AI250" s="118" t="s">
        <v>567</v>
      </c>
      <c r="AJ250" s="163" t="s">
        <v>568</v>
      </c>
      <c r="AK250" s="118"/>
      <c r="AL250" s="118"/>
      <c r="AM250" s="118"/>
      <c r="AN250" s="118"/>
      <c r="AO250" s="118"/>
      <c r="AP250" s="104"/>
      <c r="AQ250" s="104"/>
      <c r="AR250" s="104"/>
      <c r="AS250" s="104"/>
      <c r="AT250" s="104"/>
      <c r="AZ250" s="2" t="s">
        <v>549</v>
      </c>
      <c r="BA250" s="2" t="s">
        <v>560</v>
      </c>
    </row>
    <row r="251" spans="1:53">
      <c r="A251" s="2" t="str">
        <f>'Reference Score Calculation'!A242</f>
        <v>JS6896</v>
      </c>
      <c r="B251" s="364" t="str">
        <f>'Reference Score Calculation'!A242</f>
        <v>JS6896</v>
      </c>
      <c r="C251" s="2" t="str">
        <f>'Reference Score Calculation'!D242</f>
        <v>工商管理學學士(國際商業及環球管理)</v>
      </c>
      <c r="D251" s="16">
        <f>'Reference Score Calculation'!T242</f>
        <v>31</v>
      </c>
      <c r="E251" s="16">
        <v>3</v>
      </c>
      <c r="F251" s="16">
        <v>5</v>
      </c>
      <c r="G251" s="16">
        <v>4</v>
      </c>
      <c r="H251" s="16">
        <v>2</v>
      </c>
      <c r="I251" s="16">
        <v>3</v>
      </c>
      <c r="J251" s="16">
        <v>3</v>
      </c>
      <c r="L251" s="92">
        <v>3</v>
      </c>
      <c r="M251" s="92">
        <v>5</v>
      </c>
      <c r="N251" s="92">
        <v>4</v>
      </c>
      <c r="O251" s="92">
        <v>1</v>
      </c>
      <c r="P251" s="92">
        <v>3</v>
      </c>
      <c r="Q251" s="92">
        <v>3</v>
      </c>
      <c r="R251" s="16"/>
      <c r="S251" s="16">
        <f t="shared" si="127"/>
        <v>0</v>
      </c>
      <c r="T251" s="16">
        <f t="shared" si="128"/>
        <v>0</v>
      </c>
      <c r="U251" s="16">
        <f t="shared" si="129"/>
        <v>0</v>
      </c>
      <c r="V251" s="16">
        <f t="shared" si="130"/>
        <v>0</v>
      </c>
      <c r="W251" s="16">
        <f>IF(P251&gt;LARGE($P$3:$T$3,1),0,1)</f>
        <v>0</v>
      </c>
      <c r="X251" s="16">
        <f t="shared" ref="X251:X257" si="148">IF(Q251&gt;LARGE($P$3:$T$3,2),0,1)</f>
        <v>0</v>
      </c>
      <c r="Z251" s="16">
        <f t="shared" si="132"/>
        <v>0</v>
      </c>
      <c r="AB251" s="16" t="s">
        <v>432</v>
      </c>
      <c r="AC251" s="16" t="s">
        <v>434</v>
      </c>
      <c r="AD251" s="16" t="s">
        <v>434</v>
      </c>
      <c r="AF251" s="21" t="s">
        <v>435</v>
      </c>
      <c r="AG251" s="21" t="s">
        <v>435</v>
      </c>
      <c r="AH251" s="21" t="s">
        <v>435</v>
      </c>
      <c r="AI251" s="118"/>
      <c r="AJ251" s="163"/>
      <c r="AK251" s="118"/>
      <c r="AL251" s="118"/>
      <c r="AM251" s="118"/>
      <c r="AN251" s="118"/>
      <c r="AO251" s="118"/>
      <c r="AP251" s="104"/>
      <c r="AQ251" s="104"/>
      <c r="AR251" s="104"/>
      <c r="AS251" s="104"/>
      <c r="AT251" s="104"/>
      <c r="AZ251" s="2" t="s">
        <v>396</v>
      </c>
      <c r="BA251" s="2" t="s">
        <v>561</v>
      </c>
    </row>
    <row r="252" spans="1:53">
      <c r="A252" s="2" t="str">
        <f>'Reference Score Calculation'!A243</f>
        <v>JS6107</v>
      </c>
      <c r="B252" s="364" t="str">
        <f>'Reference Score Calculation'!A243</f>
        <v>JS6107</v>
      </c>
      <c r="C252" s="2" t="str">
        <f>'Reference Score Calculation'!D243</f>
        <v>牙醫學士</v>
      </c>
      <c r="D252" s="16">
        <f>'Reference Score Calculation'!T243</f>
        <v>90</v>
      </c>
      <c r="E252" s="16">
        <v>3</v>
      </c>
      <c r="F252" s="16">
        <v>4</v>
      </c>
      <c r="G252" s="16">
        <v>3</v>
      </c>
      <c r="H252" s="16">
        <v>3</v>
      </c>
      <c r="I252" s="16">
        <v>3</v>
      </c>
      <c r="J252" s="16">
        <v>3</v>
      </c>
      <c r="L252" s="92">
        <v>3</v>
      </c>
      <c r="M252" s="92">
        <v>4</v>
      </c>
      <c r="N252" s="92">
        <v>3</v>
      </c>
      <c r="O252" s="92">
        <v>1</v>
      </c>
      <c r="P252" s="92">
        <v>3</v>
      </c>
      <c r="Q252" s="92">
        <v>3</v>
      </c>
      <c r="R252" s="16"/>
      <c r="S252" s="16">
        <f t="shared" si="127"/>
        <v>0</v>
      </c>
      <c r="T252" s="16">
        <f t="shared" si="128"/>
        <v>0</v>
      </c>
      <c r="U252" s="16">
        <f t="shared" si="129"/>
        <v>0</v>
      </c>
      <c r="V252" s="16">
        <f t="shared" si="130"/>
        <v>0</v>
      </c>
      <c r="W252" s="16">
        <f>IF(P252&gt;$AQ$253,0,1)</f>
        <v>0</v>
      </c>
      <c r="X252" s="16">
        <f t="shared" si="148"/>
        <v>0</v>
      </c>
      <c r="Z252" s="16">
        <f t="shared" si="132"/>
        <v>0</v>
      </c>
      <c r="AB252" s="16" t="s">
        <v>432</v>
      </c>
      <c r="AC252" s="16" t="s">
        <v>434</v>
      </c>
      <c r="AD252" s="16" t="s">
        <v>434</v>
      </c>
      <c r="AF252" s="21" t="s">
        <v>3211</v>
      </c>
      <c r="AG252" s="21" t="s">
        <v>435</v>
      </c>
      <c r="AH252" s="21" t="s">
        <v>435</v>
      </c>
      <c r="AI252" s="118" t="s">
        <v>573</v>
      </c>
      <c r="AJ252" s="118" t="str">
        <f>Q$2</f>
        <v>請選擇第一選修科</v>
      </c>
      <c r="AK252" s="118" t="str">
        <f t="shared" ref="AK252" si="149">R$2</f>
        <v>請選擇第二選修科</v>
      </c>
      <c r="AL252" s="118" t="str">
        <f t="shared" ref="AL252" si="150">S$2</f>
        <v>請選擇第三選修科</v>
      </c>
      <c r="AM252" s="118" t="str">
        <f t="shared" ref="AM252" si="151">T$2</f>
        <v>請選擇第四選修科</v>
      </c>
      <c r="AN252" s="118"/>
      <c r="AO252" s="104"/>
      <c r="AP252" s="118" t="s">
        <v>522</v>
      </c>
      <c r="AQ252" s="118"/>
      <c r="AR252" s="104"/>
      <c r="AS252" s="104"/>
      <c r="AT252" s="104"/>
      <c r="AZ252" s="2" t="s">
        <v>394</v>
      </c>
      <c r="BA252" s="2" t="s">
        <v>563</v>
      </c>
    </row>
    <row r="253" spans="1:53">
      <c r="A253" s="2" t="str">
        <f>'Reference Score Calculation'!A244</f>
        <v>JS6066</v>
      </c>
      <c r="B253" s="364" t="str">
        <f>'Reference Score Calculation'!A244</f>
        <v>JS6066</v>
      </c>
      <c r="C253" s="2" t="str">
        <f>'Reference Score Calculation'!D244</f>
        <v>文學士及教育學士(語文教育) - 英文教育 (雙學位課程)</v>
      </c>
      <c r="D253" s="16">
        <f>'Reference Score Calculation'!T244</f>
        <v>17</v>
      </c>
      <c r="E253" s="16">
        <v>3</v>
      </c>
      <c r="F253" s="16">
        <v>3</v>
      </c>
      <c r="G253" s="16">
        <v>2</v>
      </c>
      <c r="H253" s="16">
        <v>2</v>
      </c>
      <c r="I253" s="16">
        <v>3</v>
      </c>
      <c r="J253" s="16">
        <v>3</v>
      </c>
      <c r="L253" s="92">
        <v>3</v>
      </c>
      <c r="M253" s="92">
        <v>3</v>
      </c>
      <c r="N253" s="92">
        <v>2</v>
      </c>
      <c r="O253" s="92">
        <v>1</v>
      </c>
      <c r="P253" s="92">
        <v>3</v>
      </c>
      <c r="Q253" s="92">
        <v>3</v>
      </c>
      <c r="R253" s="16"/>
      <c r="S253" s="16">
        <f t="shared" si="127"/>
        <v>0</v>
      </c>
      <c r="T253" s="16">
        <f t="shared" si="128"/>
        <v>0</v>
      </c>
      <c r="U253" s="16">
        <f t="shared" si="129"/>
        <v>0</v>
      </c>
      <c r="V253" s="16">
        <f t="shared" si="130"/>
        <v>0</v>
      </c>
      <c r="W253" s="16">
        <f>IF(P253&gt;LARGE($P$3:$T$3,1),0,1)</f>
        <v>0</v>
      </c>
      <c r="X253" s="16">
        <f t="shared" si="148"/>
        <v>0</v>
      </c>
      <c r="Z253" s="16">
        <f t="shared" si="132"/>
        <v>0</v>
      </c>
      <c r="AB253" s="16" t="s">
        <v>432</v>
      </c>
      <c r="AC253" s="16" t="s">
        <v>434</v>
      </c>
      <c r="AD253" s="16" t="s">
        <v>434</v>
      </c>
      <c r="AF253" s="21" t="s">
        <v>3212</v>
      </c>
      <c r="AG253" s="21" t="s">
        <v>3213</v>
      </c>
      <c r="AH253" s="21" t="s">
        <v>435</v>
      </c>
      <c r="AI253" s="118" t="s">
        <v>577</v>
      </c>
      <c r="AJ253" s="119">
        <f>IF(OR(Q$2="化學",Q$2="生物",Q$2="組合科學(物理、化學)",Q$2="組合科學(生物、化學)",Q$2="組合科學(物理、生物)"),Q$3,0)</f>
        <v>0</v>
      </c>
      <c r="AK253" s="119">
        <f t="shared" ref="AK253:AM253" si="152">IF(OR(R$2="化學",R$2="生物",R$2="組合科學(物理、化學)",R$2="組合科學(生物、化學)",R$2="組合科學(物理、生物)"),R$3,0)</f>
        <v>0</v>
      </c>
      <c r="AL253" s="119">
        <f t="shared" si="152"/>
        <v>0</v>
      </c>
      <c r="AM253" s="119">
        <f t="shared" si="152"/>
        <v>0</v>
      </c>
      <c r="AN253" s="118"/>
      <c r="AO253" s="118"/>
      <c r="AP253" s="119" t="str">
        <f>IF(AQ253&gt;0.1,INDEX(AJ252:AM252,MATCH(LARGE(AJ253:AM253,1),AJ253:AM253,0)),"無")</f>
        <v>無</v>
      </c>
      <c r="AQ253" s="119">
        <f>LARGE((AJ253:AM253),1)</f>
        <v>0</v>
      </c>
      <c r="AR253" s="104"/>
      <c r="AS253" s="104"/>
      <c r="AT253" s="104"/>
      <c r="AZ253" s="2" t="s">
        <v>565</v>
      </c>
      <c r="BA253" s="2" t="s">
        <v>566</v>
      </c>
    </row>
    <row r="254" spans="1:53">
      <c r="A254" s="2" t="str">
        <f>'Reference Score Calculation'!A245</f>
        <v>JS6080</v>
      </c>
      <c r="B254" s="364" t="str">
        <f>'Reference Score Calculation'!A245</f>
        <v>JS6080</v>
      </c>
      <c r="C254" s="2" t="str">
        <f>'Reference Score Calculation'!D245</f>
        <v>文學士及教育學士(語文教育) - 中文教育 (雙學位課程)</v>
      </c>
      <c r="D254" s="16">
        <f>'Reference Score Calculation'!T245</f>
        <v>17</v>
      </c>
      <c r="E254" s="16">
        <v>3</v>
      </c>
      <c r="F254" s="16">
        <v>3</v>
      </c>
      <c r="G254" s="16">
        <v>2</v>
      </c>
      <c r="H254" s="16">
        <v>2</v>
      </c>
      <c r="I254" s="16">
        <v>3</v>
      </c>
      <c r="J254" s="16">
        <v>3</v>
      </c>
      <c r="L254" s="92">
        <v>3</v>
      </c>
      <c r="M254" s="92">
        <v>3</v>
      </c>
      <c r="N254" s="92">
        <v>2</v>
      </c>
      <c r="O254" s="92">
        <v>1</v>
      </c>
      <c r="P254" s="92">
        <v>3</v>
      </c>
      <c r="Q254" s="92">
        <v>3</v>
      </c>
      <c r="R254" s="16"/>
      <c r="S254" s="16">
        <f t="shared" si="127"/>
        <v>0</v>
      </c>
      <c r="T254" s="16">
        <f t="shared" si="128"/>
        <v>0</v>
      </c>
      <c r="U254" s="16">
        <f t="shared" si="129"/>
        <v>0</v>
      </c>
      <c r="V254" s="16">
        <f t="shared" si="130"/>
        <v>0</v>
      </c>
      <c r="W254" s="16">
        <f t="shared" ref="W254:W257" si="153">IF(P254&gt;LARGE($P$3:$T$3,1),0,1)</f>
        <v>0</v>
      </c>
      <c r="X254" s="16">
        <f t="shared" si="148"/>
        <v>0</v>
      </c>
      <c r="Z254" s="16">
        <f t="shared" si="132"/>
        <v>0</v>
      </c>
      <c r="AB254" s="16" t="s">
        <v>432</v>
      </c>
      <c r="AC254" s="16" t="s">
        <v>434</v>
      </c>
      <c r="AD254" s="16" t="s">
        <v>434</v>
      </c>
      <c r="AF254" s="21" t="s">
        <v>435</v>
      </c>
      <c r="AG254" s="21" t="s">
        <v>435</v>
      </c>
      <c r="AH254" s="21" t="s">
        <v>435</v>
      </c>
      <c r="AI254" s="118" t="s">
        <v>397</v>
      </c>
      <c r="AJ254" s="163" t="s">
        <v>580</v>
      </c>
      <c r="AK254" s="118"/>
      <c r="AL254" s="118"/>
      <c r="AM254" s="118"/>
      <c r="AN254" s="118"/>
      <c r="AO254" s="118"/>
      <c r="AP254" s="104"/>
      <c r="AQ254" s="104"/>
      <c r="AR254" s="104"/>
      <c r="AS254" s="104"/>
      <c r="AT254" s="104"/>
      <c r="AZ254" s="2" t="s">
        <v>569</v>
      </c>
      <c r="BA254" s="2" t="s">
        <v>570</v>
      </c>
    </row>
    <row r="255" spans="1:53">
      <c r="A255" s="2" t="str">
        <f>'Reference Score Calculation'!A246</f>
        <v>JS6092</v>
      </c>
      <c r="B255" s="364" t="str">
        <f>'Reference Score Calculation'!A246</f>
        <v>JS6092</v>
      </c>
      <c r="C255" s="2" t="str">
        <f>'Reference Score Calculation'!D246</f>
        <v>教育學士(幼兒教育及特殊教育)</v>
      </c>
      <c r="D255" s="16">
        <f>'Reference Score Calculation'!T246</f>
        <v>18</v>
      </c>
      <c r="E255" s="16">
        <v>3</v>
      </c>
      <c r="F255" s="16">
        <v>3</v>
      </c>
      <c r="G255" s="16">
        <v>2</v>
      </c>
      <c r="H255" s="16">
        <v>2</v>
      </c>
      <c r="I255" s="16">
        <v>3</v>
      </c>
      <c r="J255" s="16">
        <v>3</v>
      </c>
      <c r="L255" s="92">
        <v>3</v>
      </c>
      <c r="M255" s="92">
        <v>3</v>
      </c>
      <c r="N255" s="92">
        <v>2</v>
      </c>
      <c r="O255" s="92">
        <v>1</v>
      </c>
      <c r="P255" s="92">
        <v>3</v>
      </c>
      <c r="Q255" s="92">
        <v>3</v>
      </c>
      <c r="R255" s="16"/>
      <c r="S255" s="16">
        <f t="shared" si="127"/>
        <v>0</v>
      </c>
      <c r="T255" s="16">
        <f t="shared" si="128"/>
        <v>0</v>
      </c>
      <c r="U255" s="16">
        <f t="shared" si="129"/>
        <v>0</v>
      </c>
      <c r="V255" s="16">
        <f t="shared" si="130"/>
        <v>0</v>
      </c>
      <c r="W255" s="16">
        <f t="shared" si="153"/>
        <v>0</v>
      </c>
      <c r="X255" s="16">
        <f t="shared" si="148"/>
        <v>0</v>
      </c>
      <c r="Z255" s="16">
        <f t="shared" si="132"/>
        <v>0</v>
      </c>
      <c r="AB255" s="16" t="s">
        <v>432</v>
      </c>
      <c r="AC255" s="16" t="s">
        <v>434</v>
      </c>
      <c r="AD255" s="16" t="s">
        <v>434</v>
      </c>
      <c r="AF255" s="21" t="s">
        <v>435</v>
      </c>
      <c r="AG255" s="21" t="s">
        <v>435</v>
      </c>
      <c r="AH255" s="21" t="s">
        <v>435</v>
      </c>
      <c r="AI255" s="118"/>
      <c r="AJ255" s="163"/>
      <c r="AK255" s="118"/>
      <c r="AL255" s="118"/>
      <c r="AM255" s="118"/>
      <c r="AN255" s="118"/>
      <c r="AO255" s="118"/>
      <c r="AP255" s="104"/>
      <c r="AQ255" s="104"/>
      <c r="AR255" s="104"/>
      <c r="AS255" s="104"/>
      <c r="AT255" s="104"/>
      <c r="AZ255" s="2" t="s">
        <v>571</v>
      </c>
      <c r="BA255" s="2" t="s">
        <v>572</v>
      </c>
    </row>
    <row r="256" spans="1:53">
      <c r="A256" s="2" t="str">
        <f>'Reference Score Calculation'!A247</f>
        <v>JS6119</v>
      </c>
      <c r="B256" s="364" t="str">
        <f>'Reference Score Calculation'!A247</f>
        <v>JS6119</v>
      </c>
      <c r="C256" s="2" t="str">
        <f>'Reference Score Calculation'!D247</f>
        <v>教育學士及理學士 (雙學位課程)</v>
      </c>
      <c r="D256" s="16">
        <f>'Reference Score Calculation'!T247</f>
        <v>16</v>
      </c>
      <c r="E256" s="16">
        <v>3</v>
      </c>
      <c r="F256" s="16">
        <v>3</v>
      </c>
      <c r="G256" s="16">
        <v>2</v>
      </c>
      <c r="H256" s="16">
        <v>2</v>
      </c>
      <c r="I256" s="16">
        <v>3</v>
      </c>
      <c r="J256" s="16">
        <v>3</v>
      </c>
      <c r="L256" s="92">
        <v>3</v>
      </c>
      <c r="M256" s="92">
        <v>3</v>
      </c>
      <c r="N256" s="92">
        <v>2</v>
      </c>
      <c r="O256" s="92">
        <v>1</v>
      </c>
      <c r="P256" s="92">
        <v>3</v>
      </c>
      <c r="Q256" s="92">
        <v>3</v>
      </c>
      <c r="R256" s="16"/>
      <c r="S256" s="16">
        <f t="shared" si="127"/>
        <v>0</v>
      </c>
      <c r="T256" s="16">
        <f t="shared" si="128"/>
        <v>0</v>
      </c>
      <c r="U256" s="16">
        <f t="shared" si="129"/>
        <v>0</v>
      </c>
      <c r="V256" s="16">
        <f t="shared" si="130"/>
        <v>0</v>
      </c>
      <c r="W256" s="16">
        <f>IF(P256&gt;$AQ$244,0,1)</f>
        <v>0</v>
      </c>
      <c r="X256" s="16">
        <f t="shared" si="148"/>
        <v>0</v>
      </c>
      <c r="Z256" s="16">
        <f t="shared" si="132"/>
        <v>0</v>
      </c>
      <c r="AB256" s="16" t="s">
        <v>432</v>
      </c>
      <c r="AC256" s="16" t="s">
        <v>434</v>
      </c>
      <c r="AD256" s="16" t="s">
        <v>434</v>
      </c>
      <c r="AF256" s="21" t="s">
        <v>562</v>
      </c>
      <c r="AG256" s="21" t="s">
        <v>435</v>
      </c>
      <c r="AH256" s="21" t="s">
        <v>435</v>
      </c>
      <c r="AI256" s="118"/>
      <c r="AJ256" s="118" t="str">
        <f>Q$2</f>
        <v>請選擇第一選修科</v>
      </c>
      <c r="AK256" s="118" t="str">
        <f t="shared" ref="AK256" si="154">R$2</f>
        <v>請選擇第二選修科</v>
      </c>
      <c r="AL256" s="118" t="str">
        <f t="shared" ref="AL256" si="155">S$2</f>
        <v>請選擇第三選修科</v>
      </c>
      <c r="AM256" s="118" t="str">
        <f t="shared" ref="AM256" si="156">T$2</f>
        <v>請選擇第四選修科</v>
      </c>
      <c r="AN256" s="118" t="str">
        <f>P$2</f>
        <v>數學延伸</v>
      </c>
      <c r="AO256" s="118"/>
      <c r="AP256" s="118" t="s">
        <v>364</v>
      </c>
      <c r="AQ256" s="118"/>
      <c r="AR256" s="118" t="s">
        <v>365</v>
      </c>
      <c r="AS256" s="118"/>
      <c r="AT256" s="104"/>
      <c r="AZ256" s="2" t="s">
        <v>574</v>
      </c>
      <c r="BA256" s="2" t="s">
        <v>575</v>
      </c>
    </row>
    <row r="257" spans="1:53">
      <c r="A257" s="2" t="str">
        <f>'Reference Score Calculation'!A248</f>
        <v>JS6157</v>
      </c>
      <c r="B257" s="364" t="str">
        <f>'Reference Score Calculation'!A248</f>
        <v>JS6157</v>
      </c>
      <c r="C257" s="2" t="str">
        <f>'Reference Score Calculation'!D248</f>
        <v>理學士(言語及聽覺科學)</v>
      </c>
      <c r="D257" s="16">
        <f>'Reference Score Calculation'!T248</f>
        <v>48</v>
      </c>
      <c r="E257" s="16">
        <v>3</v>
      </c>
      <c r="F257" s="16">
        <v>4</v>
      </c>
      <c r="G257" s="16">
        <v>2</v>
      </c>
      <c r="H257" s="16">
        <v>2</v>
      </c>
      <c r="I257" s="16">
        <v>3</v>
      </c>
      <c r="J257" s="16">
        <v>3</v>
      </c>
      <c r="L257" s="92">
        <v>3</v>
      </c>
      <c r="M257" s="92">
        <v>4</v>
      </c>
      <c r="N257" s="92">
        <v>2</v>
      </c>
      <c r="O257" s="92">
        <v>1</v>
      </c>
      <c r="P257" s="92">
        <v>3</v>
      </c>
      <c r="Q257" s="92">
        <v>3</v>
      </c>
      <c r="R257" s="16"/>
      <c r="S257" s="16">
        <f t="shared" si="127"/>
        <v>0</v>
      </c>
      <c r="T257" s="16">
        <f t="shared" si="128"/>
        <v>0</v>
      </c>
      <c r="U257" s="16">
        <f t="shared" si="129"/>
        <v>0</v>
      </c>
      <c r="V257" s="16">
        <f t="shared" si="130"/>
        <v>0</v>
      </c>
      <c r="W257" s="16">
        <f t="shared" si="153"/>
        <v>0</v>
      </c>
      <c r="X257" s="16">
        <f t="shared" si="148"/>
        <v>0</v>
      </c>
      <c r="Z257" s="16">
        <f t="shared" si="132"/>
        <v>0</v>
      </c>
      <c r="AB257" s="16" t="s">
        <v>432</v>
      </c>
      <c r="AC257" s="16" t="s">
        <v>434</v>
      </c>
      <c r="AD257" s="16" t="s">
        <v>434</v>
      </c>
      <c r="AF257" s="21" t="s">
        <v>576</v>
      </c>
      <c r="AG257" s="21" t="s">
        <v>435</v>
      </c>
      <c r="AH257" s="21" t="s">
        <v>435</v>
      </c>
      <c r="AI257" s="118" t="s">
        <v>401</v>
      </c>
      <c r="AJ257" s="119">
        <f>IF(OR(Q$2="物理",Q$2="化學",Q$2="生物",Q$2="組合科學(物理、化學)",Q$2="組合科學(生物、化學)",Q$2="組合科學(物理、生物)"),Q$3,0)</f>
        <v>0</v>
      </c>
      <c r="AK257" s="119">
        <f t="shared" ref="AK257:AM257" si="157">IF(OR(R$2="物理",R$2="化學",R$2="生物",R$2="組合科學(物理、化學)",R$2="組合科學(生物、化學)",R$2="組合科學(物理、生物)"),R$3,0)</f>
        <v>0</v>
      </c>
      <c r="AL257" s="119">
        <f t="shared" si="157"/>
        <v>0</v>
      </c>
      <c r="AM257" s="119">
        <f t="shared" si="157"/>
        <v>0</v>
      </c>
      <c r="AN257" s="119">
        <f>P$3</f>
        <v>5.0000000000000003E-10</v>
      </c>
      <c r="AO257" s="118"/>
      <c r="AP257" s="119" t="str">
        <f>IF(AQ257&gt;0.1,INDEX(AJ256:AN256,MATCH(LARGE(AJ257:AN257,1),AJ257:AN257,0)),"無")</f>
        <v>無</v>
      </c>
      <c r="AQ257" s="119">
        <f>LARGE((AJ257:AN257),1)</f>
        <v>5.0000000000000003E-10</v>
      </c>
      <c r="AR257" s="119" t="str">
        <f>IF(AS257&gt;0.1,INDEX(AJ256:AN256,MATCH(LARGE(AJ257:AN257,2),AJ257:AN257,0)),"無")</f>
        <v>無</v>
      </c>
      <c r="AS257" s="119">
        <f>LARGE((AJ257:AN257),2)</f>
        <v>0</v>
      </c>
      <c r="AT257" s="104"/>
      <c r="AZ257" s="2" t="s">
        <v>578</v>
      </c>
      <c r="BA257" s="2" t="s">
        <v>579</v>
      </c>
    </row>
    <row r="258" spans="1:53">
      <c r="A258" s="2" t="str">
        <f>'Reference Score Calculation'!A249</f>
        <v>JS6262</v>
      </c>
      <c r="B258" s="364" t="str">
        <f>'Reference Score Calculation'!A249</f>
        <v>JS6262</v>
      </c>
      <c r="C258" s="2" t="str">
        <f>'Reference Score Calculation'!D249</f>
        <v>工學學士(數據科學及工程)</v>
      </c>
      <c r="D258" s="16">
        <f>'Reference Score Calculation'!T249</f>
        <v>30</v>
      </c>
      <c r="E258" s="16">
        <v>3</v>
      </c>
      <c r="F258" s="16">
        <v>3</v>
      </c>
      <c r="G258" s="16">
        <v>3</v>
      </c>
      <c r="H258" s="16">
        <v>2</v>
      </c>
      <c r="I258" s="16">
        <v>3</v>
      </c>
      <c r="J258" s="16">
        <v>3</v>
      </c>
      <c r="L258" s="92">
        <v>3</v>
      </c>
      <c r="M258" s="92">
        <v>3</v>
      </c>
      <c r="N258" s="92">
        <v>3</v>
      </c>
      <c r="O258" s="92">
        <v>1</v>
      </c>
      <c r="P258" s="92">
        <v>3</v>
      </c>
      <c r="Q258" s="92">
        <v>3</v>
      </c>
      <c r="R258" s="16"/>
      <c r="S258" s="16">
        <f t="shared" ref="S258" si="158">IF(L258&gt;L$3,0,1)</f>
        <v>0</v>
      </c>
      <c r="T258" s="16">
        <f t="shared" ref="T258" si="159">IF(M258&gt;M$3,0,1)</f>
        <v>0</v>
      </c>
      <c r="U258" s="16">
        <f t="shared" ref="U258" si="160">IF(N258&gt;N$3,0,1)</f>
        <v>0</v>
      </c>
      <c r="V258" s="16">
        <f t="shared" ref="V258" si="161">IF(O258&gt;O$3,0,1)</f>
        <v>0</v>
      </c>
      <c r="W258" s="16">
        <f>IF(P258&gt;LARGE($Q$3:$T$3,1),0,1)</f>
        <v>0</v>
      </c>
      <c r="X258" s="16">
        <f>IF($P$3&lt;3,0,1)</f>
        <v>0</v>
      </c>
      <c r="Z258" s="16">
        <f t="shared" si="132"/>
        <v>0</v>
      </c>
      <c r="AB258" s="16" t="s">
        <v>432</v>
      </c>
      <c r="AC258" s="16" t="s">
        <v>464</v>
      </c>
      <c r="AD258" s="16" t="s">
        <v>434</v>
      </c>
      <c r="AF258" s="21" t="s">
        <v>558</v>
      </c>
      <c r="AG258" s="21" t="s">
        <v>435</v>
      </c>
      <c r="AH258" s="21" t="s">
        <v>435</v>
      </c>
      <c r="AI258" s="118"/>
      <c r="AJ258" s="163" t="s">
        <v>587</v>
      </c>
      <c r="AK258" s="118"/>
      <c r="AL258" s="118"/>
      <c r="AM258" s="118"/>
      <c r="AN258" s="118"/>
      <c r="AO258" s="118"/>
      <c r="AP258" s="118"/>
      <c r="AQ258" s="104"/>
      <c r="AR258" s="104"/>
      <c r="AS258" s="104"/>
      <c r="AT258" s="104"/>
    </row>
    <row r="259" spans="1:53">
      <c r="A259" s="2" t="str">
        <f>'Reference Score Calculation'!A250</f>
        <v>JS6925</v>
      </c>
      <c r="B259" s="364" t="str">
        <f>'Reference Score Calculation'!A250</f>
        <v>JS6925</v>
      </c>
      <c r="C259" s="2" t="str">
        <f>'Reference Score Calculation'!D250</f>
        <v>工學學士(生物醫學工程)</v>
      </c>
      <c r="D259" s="16">
        <f>'Reference Score Calculation'!T250</f>
        <v>35</v>
      </c>
      <c r="E259" s="16">
        <v>3</v>
      </c>
      <c r="F259" s="16">
        <v>3</v>
      </c>
      <c r="G259" s="16">
        <v>3</v>
      </c>
      <c r="H259" s="16">
        <v>2</v>
      </c>
      <c r="I259" s="16">
        <v>3</v>
      </c>
      <c r="J259" s="16">
        <v>3</v>
      </c>
      <c r="L259" s="92">
        <v>3</v>
      </c>
      <c r="M259" s="92">
        <v>3</v>
      </c>
      <c r="N259" s="92">
        <v>3</v>
      </c>
      <c r="O259" s="92">
        <v>1</v>
      </c>
      <c r="P259" s="92">
        <v>3</v>
      </c>
      <c r="Q259" s="92">
        <v>3</v>
      </c>
      <c r="R259" s="16"/>
      <c r="S259" s="16">
        <f t="shared" si="127"/>
        <v>0</v>
      </c>
      <c r="T259" s="16">
        <f t="shared" si="128"/>
        <v>0</v>
      </c>
      <c r="U259" s="16">
        <f t="shared" si="129"/>
        <v>0</v>
      </c>
      <c r="V259" s="16">
        <f t="shared" si="130"/>
        <v>0</v>
      </c>
      <c r="W259" s="16">
        <f>IF(P259&gt;AQ262,0,1)</f>
        <v>0</v>
      </c>
      <c r="X259" s="16">
        <f>IF(OR($P$3&gt;Q259,$U$3&gt;Q259),1,IF(Q259&gt;LARGE($Q$3:$T$3,2),0,IF($P$3&lt;3,2,1)))</f>
        <v>0</v>
      </c>
      <c r="Z259" s="16">
        <f t="shared" si="132"/>
        <v>0</v>
      </c>
      <c r="AB259" s="16" t="s">
        <v>432</v>
      </c>
      <c r="AC259" s="16" t="s">
        <v>464</v>
      </c>
      <c r="AD259" s="16" t="s">
        <v>434</v>
      </c>
      <c r="AF259" s="21" t="s">
        <v>581</v>
      </c>
      <c r="AG259" s="21" t="s">
        <v>552</v>
      </c>
      <c r="AH259" s="21" t="s">
        <v>435</v>
      </c>
      <c r="AI259" s="118"/>
      <c r="AJ259" s="163"/>
      <c r="AK259" s="118"/>
      <c r="AL259" s="118"/>
      <c r="AM259" s="118"/>
      <c r="AN259" s="118"/>
      <c r="AO259" s="118"/>
      <c r="AP259" s="118"/>
      <c r="AQ259" s="118"/>
      <c r="AR259" s="118"/>
      <c r="AS259" s="104"/>
      <c r="AT259" s="104"/>
      <c r="AZ259" s="2" t="s">
        <v>582</v>
      </c>
      <c r="BA259" s="2" t="s">
        <v>583</v>
      </c>
    </row>
    <row r="260" spans="1:53">
      <c r="A260" s="2" t="str">
        <f>'Reference Score Calculation'!A251</f>
        <v>JS6937</v>
      </c>
      <c r="B260" s="364" t="str">
        <f>'Reference Score Calculation'!A251</f>
        <v>JS6937</v>
      </c>
      <c r="C260" s="2" t="str">
        <f>'Reference Score Calculation'!D251</f>
        <v>環球工程與商業課程</v>
      </c>
      <c r="D260" s="16" t="str">
        <f>'Reference Score Calculation'!T251</f>
        <v>355*</v>
      </c>
      <c r="E260" s="16">
        <v>3</v>
      </c>
      <c r="F260" s="16">
        <v>4</v>
      </c>
      <c r="G260" s="16">
        <v>4</v>
      </c>
      <c r="H260" s="16">
        <v>2</v>
      </c>
      <c r="I260" s="16">
        <v>3</v>
      </c>
      <c r="J260" s="16">
        <v>3</v>
      </c>
      <c r="L260" s="92">
        <v>3</v>
      </c>
      <c r="M260" s="92">
        <v>4</v>
      </c>
      <c r="N260" s="92">
        <v>4</v>
      </c>
      <c r="O260" s="92">
        <v>1</v>
      </c>
      <c r="P260" s="92">
        <v>3</v>
      </c>
      <c r="Q260" s="92">
        <v>3</v>
      </c>
      <c r="R260" s="16"/>
      <c r="S260" s="16">
        <f t="shared" si="127"/>
        <v>0</v>
      </c>
      <c r="T260" s="16">
        <f t="shared" si="128"/>
        <v>0</v>
      </c>
      <c r="U260" s="16">
        <f t="shared" si="129"/>
        <v>0</v>
      </c>
      <c r="V260" s="16">
        <f t="shared" si="130"/>
        <v>0</v>
      </c>
      <c r="W260" s="16">
        <f>IF(P260&gt;AQ262,0,1)</f>
        <v>0</v>
      </c>
      <c r="X260" s="16">
        <f t="shared" ref="X260:X262" si="162">IF(OR($P$3&gt;Q260,$U$3&gt;Q260),1,IF(Q260&gt;LARGE($Q$3:$T$3,2),0,IF($P$3&lt;3,2,1)))</f>
        <v>0</v>
      </c>
      <c r="Z260" s="16">
        <f t="shared" si="132"/>
        <v>0</v>
      </c>
      <c r="AB260" s="16" t="s">
        <v>432</v>
      </c>
      <c r="AC260" s="16" t="s">
        <v>464</v>
      </c>
      <c r="AD260" s="16" t="s">
        <v>434</v>
      </c>
      <c r="AF260" s="21" t="s">
        <v>581</v>
      </c>
      <c r="AG260" s="21" t="s">
        <v>552</v>
      </c>
      <c r="AH260" s="21" t="s">
        <v>435</v>
      </c>
      <c r="AI260" s="118"/>
      <c r="AJ260" s="163"/>
      <c r="AK260" s="118"/>
      <c r="AL260" s="118"/>
      <c r="AM260" s="118"/>
      <c r="AN260" s="118"/>
      <c r="AO260" s="118"/>
      <c r="AP260" s="118"/>
      <c r="AQ260" s="118"/>
      <c r="AR260" s="118"/>
      <c r="AS260" s="104"/>
      <c r="AT260" s="104"/>
      <c r="AZ260" s="2" t="s">
        <v>554</v>
      </c>
      <c r="BA260" s="2" t="s">
        <v>584</v>
      </c>
    </row>
    <row r="261" spans="1:53">
      <c r="A261" s="2" t="str">
        <f>'Reference Score Calculation'!A252</f>
        <v>JS6951</v>
      </c>
      <c r="B261" s="364" t="str">
        <f>'Reference Score Calculation'!A252</f>
        <v>JS6951</v>
      </c>
      <c r="C261" s="2" t="str">
        <f>'Reference Score Calculation'!D252</f>
        <v>工學學士(工程科學)</v>
      </c>
      <c r="D261" s="16">
        <f>'Reference Score Calculation'!T252</f>
        <v>18</v>
      </c>
      <c r="E261" s="16">
        <v>3</v>
      </c>
      <c r="F261" s="16">
        <v>3</v>
      </c>
      <c r="G261" s="16">
        <v>3</v>
      </c>
      <c r="H261" s="16">
        <v>2</v>
      </c>
      <c r="I261" s="16">
        <v>3</v>
      </c>
      <c r="J261" s="16">
        <v>3</v>
      </c>
      <c r="L261" s="92">
        <v>3</v>
      </c>
      <c r="M261" s="92">
        <v>3</v>
      </c>
      <c r="N261" s="92">
        <v>3</v>
      </c>
      <c r="O261" s="92">
        <v>1</v>
      </c>
      <c r="P261" s="92">
        <v>3</v>
      </c>
      <c r="Q261" s="92">
        <v>3</v>
      </c>
      <c r="R261" s="16"/>
      <c r="S261" s="16">
        <f t="shared" si="127"/>
        <v>0</v>
      </c>
      <c r="T261" s="16">
        <f t="shared" si="128"/>
        <v>0</v>
      </c>
      <c r="U261" s="16">
        <f t="shared" si="129"/>
        <v>0</v>
      </c>
      <c r="V261" s="16">
        <f t="shared" si="130"/>
        <v>0</v>
      </c>
      <c r="W261" s="16">
        <f>IF(P261&gt;$AQ$244,0,1)</f>
        <v>0</v>
      </c>
      <c r="X261" s="16">
        <f>IF(OR($P$3&gt;Q261,$U$3&gt;Q261),1,IF(Q261&gt;LARGE($Q$3:$T$3,2),0,IF($P$3&lt;3,2,1)))</f>
        <v>0</v>
      </c>
      <c r="Z261" s="16">
        <f t="shared" si="132"/>
        <v>0</v>
      </c>
      <c r="AB261" s="16" t="s">
        <v>432</v>
      </c>
      <c r="AC261" s="16" t="s">
        <v>464</v>
      </c>
      <c r="AD261" s="16" t="s">
        <v>434</v>
      </c>
      <c r="AF261" s="21" t="s">
        <v>562</v>
      </c>
      <c r="AG261" s="21" t="s">
        <v>552</v>
      </c>
      <c r="AH261" s="21" t="s">
        <v>435</v>
      </c>
      <c r="AI261" s="118" t="s">
        <v>554</v>
      </c>
      <c r="AJ261" s="118" t="str">
        <f>Q$2</f>
        <v>請選擇第一選修科</v>
      </c>
      <c r="AK261" s="118" t="str">
        <f t="shared" ref="AK261" si="163">R$2</f>
        <v>請選擇第二選修科</v>
      </c>
      <c r="AL261" s="118" t="str">
        <f t="shared" ref="AL261" si="164">S$2</f>
        <v>請選擇第三選修科</v>
      </c>
      <c r="AM261" s="118" t="str">
        <f t="shared" ref="AM261" si="165">T$2</f>
        <v>請選擇第四選修科</v>
      </c>
      <c r="AN261" s="118"/>
      <c r="AO261" s="118"/>
      <c r="AP261" s="118" t="s">
        <v>522</v>
      </c>
      <c r="AQ261" s="118"/>
      <c r="AR261" s="104"/>
      <c r="AS261" s="104"/>
      <c r="AT261" s="104"/>
      <c r="AZ261" s="2" t="s">
        <v>585</v>
      </c>
      <c r="BA261" s="2" t="s">
        <v>586</v>
      </c>
    </row>
    <row r="262" spans="1:53">
      <c r="A262" s="2" t="str">
        <f>'Reference Score Calculation'!A253</f>
        <v>JS6963</v>
      </c>
      <c r="B262" s="364" t="str">
        <f>'Reference Score Calculation'!A253</f>
        <v>JS6963</v>
      </c>
      <c r="C262" s="2" t="str">
        <f>'Reference Score Calculation'!D253</f>
        <v>工學學士</v>
      </c>
      <c r="D262" s="16" t="str">
        <f>'Reference Score Calculation'!T253</f>
        <v>355*</v>
      </c>
      <c r="E262" s="16">
        <v>3</v>
      </c>
      <c r="F262" s="16">
        <v>3</v>
      </c>
      <c r="G262" s="16">
        <v>3</v>
      </c>
      <c r="H262" s="16">
        <v>2</v>
      </c>
      <c r="I262" s="16">
        <v>3</v>
      </c>
      <c r="J262" s="16">
        <v>3</v>
      </c>
      <c r="L262" s="92">
        <v>3</v>
      </c>
      <c r="M262" s="92">
        <v>3</v>
      </c>
      <c r="N262" s="92">
        <v>3</v>
      </c>
      <c r="O262" s="92">
        <v>1</v>
      </c>
      <c r="P262" s="92">
        <v>3</v>
      </c>
      <c r="Q262" s="92">
        <v>3</v>
      </c>
      <c r="R262" s="16"/>
      <c r="S262" s="16">
        <f t="shared" si="127"/>
        <v>0</v>
      </c>
      <c r="T262" s="16">
        <f t="shared" si="128"/>
        <v>0</v>
      </c>
      <c r="U262" s="16">
        <f t="shared" si="129"/>
        <v>0</v>
      </c>
      <c r="V262" s="16">
        <f t="shared" si="130"/>
        <v>0</v>
      </c>
      <c r="W262" s="16">
        <f>IF(P262&gt;AQ262,0,1)</f>
        <v>0</v>
      </c>
      <c r="X262" s="16">
        <f t="shared" si="162"/>
        <v>0</v>
      </c>
      <c r="Z262" s="16">
        <f t="shared" si="132"/>
        <v>0</v>
      </c>
      <c r="AB262" s="16" t="s">
        <v>432</v>
      </c>
      <c r="AC262" s="16" t="s">
        <v>464</v>
      </c>
      <c r="AD262" s="16" t="s">
        <v>434</v>
      </c>
      <c r="AF262" s="21" t="s">
        <v>581</v>
      </c>
      <c r="AG262" s="21" t="s">
        <v>552</v>
      </c>
      <c r="AH262" s="21" t="s">
        <v>435</v>
      </c>
      <c r="AI262" s="118" t="s">
        <v>585</v>
      </c>
      <c r="AJ262" s="119">
        <f>IF(OR(Q$2="物理",Q$2="化學",Q$2="生物",Q$2="組合科學(物理、化學)",Q$2="組合科學(生物、化學)",Q$2="組合科學(物理、生物)"),Q$3,0)</f>
        <v>0</v>
      </c>
      <c r="AK262" s="119">
        <f t="shared" ref="AK262" si="166">IF(OR(R$2="物理",R$2="化學",R$2="生物",R$2="組合科學(物理、化學)",R$2="組合科學(生物、化學)",R$2="組合科學(物理、生物)"),R$3,0)</f>
        <v>0</v>
      </c>
      <c r="AL262" s="119">
        <f t="shared" ref="AL262" si="167">IF(OR(S$2="物理",S$2="化學",S$2="生物",S$2="組合科學(物理、化學)",S$2="組合科學(生物、化學)",S$2="組合科學(物理、生物)"),S$3,0)</f>
        <v>0</v>
      </c>
      <c r="AM262" s="119">
        <f t="shared" ref="AM262" si="168">IF(OR(T$2="物理",T$2="化學",T$2="生物",T$2="組合科學(物理、化學)",T$2="組合科學(生物、化學)",T$2="組合科學(物理、生物)"),T$3,0)</f>
        <v>0</v>
      </c>
      <c r="AN262" s="118"/>
      <c r="AO262" s="118"/>
      <c r="AP262" s="119" t="str">
        <f>IF(AQ262&gt;0.1,INDEX(AJ261:AM261,MATCH(LARGE(AJ262:AM262,1),AJ262:AM262,0)),"無")</f>
        <v>無</v>
      </c>
      <c r="AQ262" s="119">
        <f>LARGE((AJ262:AM262),1)</f>
        <v>0</v>
      </c>
      <c r="AR262" s="104"/>
      <c r="AS262" s="104"/>
      <c r="AT262" s="104"/>
      <c r="AZ262" s="2" t="s">
        <v>588</v>
      </c>
      <c r="BA262" s="2" t="s">
        <v>589</v>
      </c>
    </row>
    <row r="263" spans="1:53">
      <c r="A263" s="2" t="str">
        <f>'Reference Score Calculation'!A254</f>
        <v>JS6078</v>
      </c>
      <c r="B263" s="364" t="str">
        <f>'Reference Score Calculation'!A254</f>
        <v>JS6078</v>
      </c>
      <c r="C263" s="2" t="str">
        <f>'Reference Score Calculation'!D254</f>
        <v>文學士及法學士 (雙學位課程)</v>
      </c>
      <c r="D263" s="16">
        <f>'Reference Score Calculation'!T254</f>
        <v>20</v>
      </c>
      <c r="E263" s="16">
        <v>4</v>
      </c>
      <c r="F263" s="16">
        <v>5</v>
      </c>
      <c r="G263" s="16">
        <v>3</v>
      </c>
      <c r="H263" s="16">
        <v>3</v>
      </c>
      <c r="I263" s="16">
        <v>3</v>
      </c>
      <c r="J263" s="16">
        <v>3</v>
      </c>
      <c r="L263" s="92">
        <v>4</v>
      </c>
      <c r="M263" s="92">
        <v>5</v>
      </c>
      <c r="N263" s="92">
        <v>3</v>
      </c>
      <c r="O263" s="92">
        <v>1</v>
      </c>
      <c r="P263" s="92">
        <v>3</v>
      </c>
      <c r="Q263" s="92">
        <v>3</v>
      </c>
      <c r="R263" s="16"/>
      <c r="S263" s="16">
        <f t="shared" si="127"/>
        <v>0</v>
      </c>
      <c r="T263" s="16">
        <f t="shared" si="128"/>
        <v>0</v>
      </c>
      <c r="U263" s="16">
        <f t="shared" si="129"/>
        <v>0</v>
      </c>
      <c r="V263" s="16">
        <f t="shared" si="130"/>
        <v>0</v>
      </c>
      <c r="W263" s="16">
        <f t="shared" ref="W263" si="169">IF(P263&gt;LARGE($P$3:$T$3,1),0,1)</f>
        <v>0</v>
      </c>
      <c r="X263" s="16">
        <f>IF(Q263&gt;LARGE($P$3:$T$3,2),0,1)</f>
        <v>0</v>
      </c>
      <c r="Z263" s="16">
        <f t="shared" si="132"/>
        <v>0</v>
      </c>
      <c r="AB263" s="16" t="s">
        <v>432</v>
      </c>
      <c r="AC263" s="16" t="s">
        <v>434</v>
      </c>
      <c r="AD263" s="16" t="s">
        <v>434</v>
      </c>
      <c r="AF263" s="21" t="s">
        <v>435</v>
      </c>
      <c r="AG263" s="21" t="s">
        <v>435</v>
      </c>
      <c r="AH263" s="21" t="s">
        <v>435</v>
      </c>
      <c r="AI263" s="118" t="s">
        <v>559</v>
      </c>
      <c r="AJ263" s="163" t="s">
        <v>3214</v>
      </c>
      <c r="AK263" s="118"/>
      <c r="AL263" s="118"/>
      <c r="AM263" s="118"/>
      <c r="AN263" s="118"/>
      <c r="AO263" s="118"/>
      <c r="AP263" s="104"/>
      <c r="AQ263" s="104"/>
      <c r="AR263" s="104"/>
      <c r="AS263" s="104"/>
      <c r="AT263" s="104"/>
      <c r="AZ263" s="2" t="s">
        <v>590</v>
      </c>
      <c r="BA263" s="2" t="s">
        <v>591</v>
      </c>
    </row>
    <row r="264" spans="1:53">
      <c r="A264" s="2" t="str">
        <f>'Reference Score Calculation'!A255</f>
        <v>JS6406</v>
      </c>
      <c r="B264" s="364" t="str">
        <f>'Reference Score Calculation'!A255</f>
        <v>JS6406</v>
      </c>
      <c r="C264" s="2" t="str">
        <f>'Reference Score Calculation'!D255</f>
        <v>法學士</v>
      </c>
      <c r="D264" s="16">
        <f>'Reference Score Calculation'!T255</f>
        <v>93</v>
      </c>
      <c r="E264" s="16">
        <v>4</v>
      </c>
      <c r="F264" s="16">
        <v>5</v>
      </c>
      <c r="G264" s="16">
        <v>3</v>
      </c>
      <c r="H264" s="16">
        <v>3</v>
      </c>
      <c r="I264" s="16">
        <v>3</v>
      </c>
      <c r="J264" s="16">
        <v>3</v>
      </c>
      <c r="L264" s="92">
        <v>4</v>
      </c>
      <c r="M264" s="92">
        <v>5</v>
      </c>
      <c r="N264" s="92">
        <v>3</v>
      </c>
      <c r="O264" s="92">
        <v>1</v>
      </c>
      <c r="P264" s="92">
        <v>3</v>
      </c>
      <c r="Q264" s="92">
        <v>3</v>
      </c>
      <c r="R264" s="16"/>
      <c r="S264" s="16">
        <f t="shared" si="127"/>
        <v>0</v>
      </c>
      <c r="T264" s="16">
        <f t="shared" si="128"/>
        <v>0</v>
      </c>
      <c r="U264" s="16">
        <f t="shared" si="129"/>
        <v>0</v>
      </c>
      <c r="V264" s="16">
        <f t="shared" si="130"/>
        <v>0</v>
      </c>
      <c r="W264" s="16">
        <f t="shared" ref="W264" si="170">IF(P264&gt;LARGE($P$3:$T$3,1),0,1)</f>
        <v>0</v>
      </c>
      <c r="X264" s="16">
        <f>IF(Q264&gt;LARGE($P$3:$T$3,2),0,1)</f>
        <v>0</v>
      </c>
      <c r="Z264" s="16">
        <f t="shared" si="132"/>
        <v>0</v>
      </c>
      <c r="AB264" s="16" t="s">
        <v>432</v>
      </c>
      <c r="AC264" s="16" t="s">
        <v>434</v>
      </c>
      <c r="AD264" s="16" t="s">
        <v>434</v>
      </c>
      <c r="AF264" s="21" t="s">
        <v>435</v>
      </c>
      <c r="AG264" s="21" t="s">
        <v>435</v>
      </c>
      <c r="AH264" s="21" t="s">
        <v>435</v>
      </c>
      <c r="AI264" s="118"/>
      <c r="AJ264" s="163"/>
      <c r="AK264" s="118"/>
      <c r="AL264" s="118"/>
      <c r="AM264" s="118"/>
      <c r="AN264" s="118"/>
      <c r="AO264" s="118"/>
      <c r="AP264" s="118"/>
      <c r="AQ264" s="118"/>
      <c r="AR264" s="118"/>
      <c r="AS264" s="104"/>
      <c r="AT264" s="104"/>
      <c r="AZ264" s="2" t="s">
        <v>592</v>
      </c>
      <c r="BA264" s="2" t="s">
        <v>593</v>
      </c>
    </row>
    <row r="265" spans="1:53">
      <c r="A265" s="2" t="str">
        <f>'Reference Score Calculation'!A256</f>
        <v>JS6418</v>
      </c>
      <c r="B265" s="364" t="str">
        <f>'Reference Score Calculation'!A256</f>
        <v>JS6418</v>
      </c>
      <c r="C265" s="2" t="str">
        <f>'Reference Score Calculation'!D256</f>
        <v>護理學學士菁英領袖培育專修組別</v>
      </c>
      <c r="D265" s="16" t="str">
        <f>'Reference Score Calculation'!T256</f>
        <v>210*</v>
      </c>
      <c r="E265" s="16">
        <v>3</v>
      </c>
      <c r="F265" s="16">
        <v>3</v>
      </c>
      <c r="G265" s="16">
        <v>2</v>
      </c>
      <c r="H265" s="16">
        <v>2</v>
      </c>
      <c r="I265" s="16">
        <v>3</v>
      </c>
      <c r="J265" s="16">
        <v>3</v>
      </c>
      <c r="L265" s="92">
        <v>3</v>
      </c>
      <c r="M265" s="92">
        <v>3</v>
      </c>
      <c r="N265" s="92">
        <v>2</v>
      </c>
      <c r="O265" s="92">
        <v>1</v>
      </c>
      <c r="P265" s="92">
        <v>3</v>
      </c>
      <c r="Q265" s="92">
        <v>3</v>
      </c>
      <c r="R265" s="16"/>
      <c r="S265" s="16">
        <f t="shared" si="127"/>
        <v>0</v>
      </c>
      <c r="T265" s="16">
        <f t="shared" si="128"/>
        <v>0</v>
      </c>
      <c r="U265" s="16">
        <f t="shared" si="129"/>
        <v>0</v>
      </c>
      <c r="V265" s="16">
        <f t="shared" si="130"/>
        <v>0</v>
      </c>
      <c r="W265" s="16">
        <f t="shared" ref="W265" si="171">IF(P265&gt;LARGE($P$3:$T$3,1),0,1)</f>
        <v>0</v>
      </c>
      <c r="X265" s="16">
        <f t="shared" ref="X265:X267" si="172">IF(OR($P$3&gt;Q265,$U$3&gt;Q265),1,IF(Q265&gt;LARGE($Q$3:$T$3,2),0,1))</f>
        <v>0</v>
      </c>
      <c r="Z265" s="16">
        <f t="shared" si="132"/>
        <v>0</v>
      </c>
      <c r="AB265" s="16" t="s">
        <v>432</v>
      </c>
      <c r="AC265" s="16" t="s">
        <v>464</v>
      </c>
      <c r="AD265" s="16" t="s">
        <v>434</v>
      </c>
      <c r="AF265" s="21" t="s">
        <v>594</v>
      </c>
      <c r="AG265" s="21" t="s">
        <v>435</v>
      </c>
      <c r="AH265" s="21" t="s">
        <v>435</v>
      </c>
      <c r="AI265" s="118"/>
      <c r="AJ265" s="163"/>
      <c r="AK265" s="118"/>
      <c r="AL265" s="118"/>
      <c r="AM265" s="118"/>
      <c r="AN265" s="118"/>
      <c r="AO265" s="118"/>
      <c r="AP265" s="104"/>
      <c r="AQ265" s="104"/>
      <c r="AR265" s="104"/>
      <c r="AS265" s="104"/>
      <c r="AT265" s="104"/>
      <c r="AZ265" s="2" t="s">
        <v>595</v>
      </c>
      <c r="BA265" s="2" t="s">
        <v>596</v>
      </c>
    </row>
    <row r="266" spans="1:53">
      <c r="A266" s="2" t="str">
        <f>'Reference Score Calculation'!A257</f>
        <v>JS6456</v>
      </c>
      <c r="B266" s="364" t="str">
        <f>'Reference Score Calculation'!A257</f>
        <v>JS6456</v>
      </c>
      <c r="C266" s="2" t="str">
        <f>'Reference Score Calculation'!D257</f>
        <v>內外全科醫學士</v>
      </c>
      <c r="D266" s="16">
        <f>'Reference Score Calculation'!T257</f>
        <v>295</v>
      </c>
      <c r="E266" s="16">
        <v>3</v>
      </c>
      <c r="F266" s="16">
        <v>4</v>
      </c>
      <c r="G266" s="16">
        <v>2</v>
      </c>
      <c r="H266" s="16">
        <v>2</v>
      </c>
      <c r="I266" s="16">
        <v>3</v>
      </c>
      <c r="J266" s="16">
        <v>3</v>
      </c>
      <c r="L266" s="92">
        <v>3</v>
      </c>
      <c r="M266" s="92">
        <v>4</v>
      </c>
      <c r="N266" s="92">
        <v>2</v>
      </c>
      <c r="O266" s="92">
        <v>1</v>
      </c>
      <c r="P266" s="92">
        <v>3</v>
      </c>
      <c r="Q266" s="92">
        <v>3</v>
      </c>
      <c r="R266" s="16"/>
      <c r="S266" s="16">
        <f t="shared" si="127"/>
        <v>0</v>
      </c>
      <c r="T266" s="16">
        <f t="shared" si="128"/>
        <v>0</v>
      </c>
      <c r="U266" s="16">
        <f t="shared" si="129"/>
        <v>0</v>
      </c>
      <c r="V266" s="16">
        <f t="shared" si="130"/>
        <v>0</v>
      </c>
      <c r="W266" s="16">
        <f>IF(P266&gt;$AQ$249,0,1)</f>
        <v>0</v>
      </c>
      <c r="X266" s="16">
        <f>IF(Q266&gt;LARGE($P$3:$T$3,2),0,1)</f>
        <v>0</v>
      </c>
      <c r="Z266" s="16">
        <f t="shared" si="132"/>
        <v>0</v>
      </c>
      <c r="AB266" s="16" t="s">
        <v>432</v>
      </c>
      <c r="AC266" s="16" t="s">
        <v>434</v>
      </c>
      <c r="AD266" s="16" t="s">
        <v>434</v>
      </c>
      <c r="AF266" s="21" t="s">
        <v>452</v>
      </c>
      <c r="AG266" s="21" t="s">
        <v>435</v>
      </c>
      <c r="AH266" s="21" t="s">
        <v>435</v>
      </c>
      <c r="AI266" s="118"/>
      <c r="AJ266" s="118" t="str">
        <f>Q$2</f>
        <v>請選擇第一選修科</v>
      </c>
      <c r="AK266" s="118" t="str">
        <f t="shared" ref="AK266" si="173">R$2</f>
        <v>請選擇第二選修科</v>
      </c>
      <c r="AL266" s="118" t="str">
        <f t="shared" ref="AL266" si="174">S$2</f>
        <v>請選擇第三選修科</v>
      </c>
      <c r="AM266" s="118" t="str">
        <f t="shared" ref="AM266" si="175">T$2</f>
        <v>請選擇第四選修科</v>
      </c>
      <c r="AN266" s="118"/>
      <c r="AO266" s="104"/>
      <c r="AP266" s="118" t="s">
        <v>522</v>
      </c>
      <c r="AQ266" s="118"/>
      <c r="AR266" s="104"/>
      <c r="AS266" s="104"/>
      <c r="AT266" s="104"/>
      <c r="AZ266" s="2" t="s">
        <v>406</v>
      </c>
      <c r="BA266" s="2" t="s">
        <v>598</v>
      </c>
    </row>
    <row r="267" spans="1:53">
      <c r="A267" s="2" t="str">
        <f>'Reference Score Calculation'!A258</f>
        <v>JS6468</v>
      </c>
      <c r="B267" s="364" t="str">
        <f>'Reference Score Calculation'!A258</f>
        <v>JS6468</v>
      </c>
      <c r="C267" s="2" t="str">
        <f>'Reference Score Calculation'!D258</f>
        <v>護理學學士</v>
      </c>
      <c r="D267" s="16" t="str">
        <f>'Reference Score Calculation'!T258</f>
        <v>210*</v>
      </c>
      <c r="E267" s="16">
        <v>3</v>
      </c>
      <c r="F267" s="16">
        <v>3</v>
      </c>
      <c r="G267" s="16">
        <v>2</v>
      </c>
      <c r="H267" s="16">
        <v>2</v>
      </c>
      <c r="I267" s="16">
        <v>3</v>
      </c>
      <c r="J267" s="16">
        <v>3</v>
      </c>
      <c r="L267" s="92">
        <v>3</v>
      </c>
      <c r="M267" s="92">
        <v>3</v>
      </c>
      <c r="N267" s="92">
        <v>2</v>
      </c>
      <c r="O267" s="92">
        <v>1</v>
      </c>
      <c r="P267" s="92">
        <v>3</v>
      </c>
      <c r="Q267" s="92">
        <v>3</v>
      </c>
      <c r="R267" s="16"/>
      <c r="S267" s="16">
        <f t="shared" si="127"/>
        <v>0</v>
      </c>
      <c r="T267" s="16">
        <f t="shared" si="128"/>
        <v>0</v>
      </c>
      <c r="U267" s="16">
        <f t="shared" si="129"/>
        <v>0</v>
      </c>
      <c r="V267" s="16">
        <f t="shared" si="130"/>
        <v>0</v>
      </c>
      <c r="W267" s="16">
        <f>IF(P267&gt;LARGE($Q$3:$T$3,1),0,1)</f>
        <v>0</v>
      </c>
      <c r="X267" s="16">
        <f t="shared" si="172"/>
        <v>0</v>
      </c>
      <c r="Z267" s="16">
        <f t="shared" si="132"/>
        <v>0</v>
      </c>
      <c r="AB267" s="16" t="s">
        <v>432</v>
      </c>
      <c r="AC267" s="16" t="s">
        <v>464</v>
      </c>
      <c r="AD267" s="16" t="s">
        <v>434</v>
      </c>
      <c r="AF267" s="21" t="s">
        <v>435</v>
      </c>
      <c r="AG267" s="21" t="s">
        <v>435</v>
      </c>
      <c r="AH267" s="21" t="s">
        <v>435</v>
      </c>
      <c r="AI267" s="118" t="s">
        <v>597</v>
      </c>
      <c r="AJ267" s="119">
        <f>IF(OR(Q$2="物理",Q$2="化學",Q$2="生物",Q$2="組合科學(物理、化學)",Q$2="組合科學(生物、化學)",Q$2="組合科學(物理、生物)",Q$2="資訊及通訊科技",Q$2="綜合科學",Q$2="經濟",Q$2="企業、會計與財務概論"),Q$3,0)</f>
        <v>0</v>
      </c>
      <c r="AK267" s="119">
        <f t="shared" ref="AK267:AM267" si="176">IF(OR(R$2="物理",R$2="化學",R$2="生物",R$2="組合科學(物理、化學)",R$2="組合科學(生物、化學)",R$2="組合科學(物理、生物)",R$2="資訊及通訊科技",R$2="綜合科學",R$2="經濟",R$2="企業、會計與財務概論"),R$3,0)</f>
        <v>0</v>
      </c>
      <c r="AL267" s="119">
        <f t="shared" si="176"/>
        <v>0</v>
      </c>
      <c r="AM267" s="119">
        <f t="shared" si="176"/>
        <v>0</v>
      </c>
      <c r="AN267" s="118"/>
      <c r="AO267" s="118"/>
      <c r="AP267" s="119" t="str">
        <f>IF(AQ267&gt;0.1,INDEX(AJ266:AM266,MATCH(LARGE(AJ267:AM267,1),AJ267:AM267,0)),"無")</f>
        <v>無</v>
      </c>
      <c r="AQ267" s="119">
        <f>LARGE((AJ267:AM267),1)</f>
        <v>0</v>
      </c>
      <c r="AR267" s="104"/>
      <c r="AS267" s="104"/>
      <c r="AT267" s="104"/>
      <c r="AZ267" s="2" t="s">
        <v>564</v>
      </c>
      <c r="BA267" s="2" t="s">
        <v>600</v>
      </c>
    </row>
    <row r="268" spans="1:53">
      <c r="A268" s="2" t="str">
        <f>'Reference Score Calculation'!A259</f>
        <v>JS6470</v>
      </c>
      <c r="B268" s="364" t="str">
        <f>'Reference Score Calculation'!A259</f>
        <v>JS6470</v>
      </c>
      <c r="C268" s="2" t="str">
        <f>'Reference Score Calculation'!D259</f>
        <v>理學士(生物訊息學)</v>
      </c>
      <c r="D268" s="16">
        <f>'Reference Score Calculation'!T259</f>
        <v>15</v>
      </c>
      <c r="E268" s="16">
        <v>3</v>
      </c>
      <c r="F268" s="16">
        <v>4</v>
      </c>
      <c r="G268" s="16">
        <v>4</v>
      </c>
      <c r="H268" s="16">
        <v>2</v>
      </c>
      <c r="I268" s="16">
        <v>3</v>
      </c>
      <c r="J268" s="16">
        <v>3</v>
      </c>
      <c r="L268" s="92">
        <v>3</v>
      </c>
      <c r="M268" s="92">
        <v>4</v>
      </c>
      <c r="N268" s="92">
        <v>4</v>
      </c>
      <c r="O268" s="92">
        <v>1</v>
      </c>
      <c r="P268" s="92">
        <v>3</v>
      </c>
      <c r="Q268" s="92">
        <v>3</v>
      </c>
      <c r="R268" s="16"/>
      <c r="S268" s="16">
        <f>IF(L268&gt;L$3,0,1)</f>
        <v>0</v>
      </c>
      <c r="T268" s="16">
        <f>IF(M268&gt;M$3,0,1)</f>
        <v>0</v>
      </c>
      <c r="U268" s="16">
        <f>IF(N268&gt;N$3,0,1)</f>
        <v>0</v>
      </c>
      <c r="V268" s="16">
        <f>IF(O268&gt;O$3,0,1)</f>
        <v>0</v>
      </c>
      <c r="W268" s="16">
        <f>IF(P268&gt;$AQ$253,0,1)</f>
        <v>0</v>
      </c>
      <c r="X268" s="16">
        <f>IF(Q268&gt;LARGE($P$3:$T$3,2),0,1)</f>
        <v>0</v>
      </c>
      <c r="Z268" s="16">
        <f t="shared" si="132"/>
        <v>0</v>
      </c>
      <c r="AB268" s="16" t="s">
        <v>432</v>
      </c>
      <c r="AC268" s="16" t="s">
        <v>434</v>
      </c>
      <c r="AD268" s="16" t="s">
        <v>434</v>
      </c>
      <c r="AF268" s="21" t="s">
        <v>456</v>
      </c>
      <c r="AG268" s="21" t="s">
        <v>435</v>
      </c>
      <c r="AH268" s="21" t="s">
        <v>435</v>
      </c>
      <c r="AI268" s="118"/>
      <c r="AJ268" s="163" t="s">
        <v>599</v>
      </c>
      <c r="AK268" s="118"/>
      <c r="AL268" s="118"/>
      <c r="AM268" s="118"/>
      <c r="AN268" s="118"/>
      <c r="AO268" s="118"/>
      <c r="AP268" s="104"/>
      <c r="AQ268" s="104"/>
      <c r="AR268" s="104"/>
      <c r="AS268" s="104"/>
      <c r="AT268" s="104"/>
      <c r="AZ268" s="2" t="s">
        <v>601</v>
      </c>
      <c r="BA268" s="2" t="s">
        <v>602</v>
      </c>
    </row>
    <row r="269" spans="1:53">
      <c r="A269" s="2" t="str">
        <f>'Reference Score Calculation'!A260</f>
        <v>JS6482</v>
      </c>
      <c r="B269" s="364" t="str">
        <f>'Reference Score Calculation'!A260</f>
        <v>JS6482</v>
      </c>
      <c r="C269" s="2" t="str">
        <f>'Reference Score Calculation'!D260</f>
        <v>中醫全科學士</v>
      </c>
      <c r="D269" s="16">
        <f>'Reference Score Calculation'!T260</f>
        <v>24</v>
      </c>
      <c r="E269" s="16">
        <v>3</v>
      </c>
      <c r="F269" s="16">
        <v>3</v>
      </c>
      <c r="G269" s="16">
        <v>2</v>
      </c>
      <c r="H269" s="16">
        <v>2</v>
      </c>
      <c r="I269" s="16">
        <v>3</v>
      </c>
      <c r="J269" s="16">
        <v>3</v>
      </c>
      <c r="L269" s="92">
        <v>3</v>
      </c>
      <c r="M269" s="92">
        <v>3</v>
      </c>
      <c r="N269" s="92">
        <v>2</v>
      </c>
      <c r="O269" s="92">
        <v>1</v>
      </c>
      <c r="P269" s="92">
        <v>3</v>
      </c>
      <c r="Q269" s="92">
        <v>3</v>
      </c>
      <c r="R269" s="16"/>
      <c r="S269" s="16">
        <f t="shared" si="127"/>
        <v>0</v>
      </c>
      <c r="T269" s="16">
        <f t="shared" si="128"/>
        <v>0</v>
      </c>
      <c r="U269" s="16">
        <f t="shared" si="129"/>
        <v>0</v>
      </c>
      <c r="V269" s="16">
        <f t="shared" si="130"/>
        <v>0</v>
      </c>
      <c r="W269" s="16">
        <f>IF(P269&gt;$AQ$244,0,1)</f>
        <v>0</v>
      </c>
      <c r="X269" s="16">
        <f>IF(OR($P$3&gt;Q269,$U$3&gt;Q269),1,IF(Q269&gt;LARGE($Q$3:$T$3,2),0,1))</f>
        <v>0</v>
      </c>
      <c r="Z269" s="16">
        <f t="shared" si="132"/>
        <v>0</v>
      </c>
      <c r="AB269" s="16" t="s">
        <v>432</v>
      </c>
      <c r="AC269" s="16" t="s">
        <v>464</v>
      </c>
      <c r="AD269" s="16" t="s">
        <v>434</v>
      </c>
      <c r="AF269" s="21" t="s">
        <v>562</v>
      </c>
      <c r="AG269" s="21" t="s">
        <v>435</v>
      </c>
      <c r="AH269" s="21" t="s">
        <v>435</v>
      </c>
      <c r="AI269" s="118"/>
      <c r="AJ269" s="163"/>
      <c r="AK269" s="118"/>
      <c r="AL269" s="118"/>
      <c r="AM269" s="118"/>
      <c r="AN269" s="118"/>
      <c r="AO269" s="118"/>
      <c r="AP269" s="104"/>
      <c r="AQ269" s="104"/>
      <c r="AR269" s="104"/>
      <c r="AS269" s="104"/>
      <c r="AT269" s="104"/>
      <c r="AZ269" s="2" t="s">
        <v>409</v>
      </c>
      <c r="BA269" s="2" t="s">
        <v>603</v>
      </c>
    </row>
    <row r="270" spans="1:53">
      <c r="A270" s="2" t="str">
        <f>'Reference Score Calculation'!A261</f>
        <v>JS6494</v>
      </c>
      <c r="B270" s="364" t="str">
        <f>'Reference Score Calculation'!A261</f>
        <v>JS6494</v>
      </c>
      <c r="C270" s="2" t="str">
        <f>'Reference Score Calculation'!D261</f>
        <v>藥劑學學士</v>
      </c>
      <c r="D270" s="16">
        <f>'Reference Score Calculation'!T261</f>
        <v>35</v>
      </c>
      <c r="E270" s="16">
        <v>3</v>
      </c>
      <c r="F270" s="16">
        <v>4</v>
      </c>
      <c r="G270" s="16">
        <v>2</v>
      </c>
      <c r="H270" s="16">
        <v>2</v>
      </c>
      <c r="I270" s="16">
        <v>3</v>
      </c>
      <c r="J270" s="16">
        <v>3</v>
      </c>
      <c r="L270" s="92">
        <v>3</v>
      </c>
      <c r="M270" s="92">
        <v>4</v>
      </c>
      <c r="N270" s="92">
        <v>2</v>
      </c>
      <c r="O270" s="92">
        <v>1</v>
      </c>
      <c r="P270" s="92">
        <v>3</v>
      </c>
      <c r="Q270" s="92">
        <v>3</v>
      </c>
      <c r="R270" s="16"/>
      <c r="S270" s="16">
        <f t="shared" si="127"/>
        <v>0</v>
      </c>
      <c r="T270" s="16">
        <f t="shared" si="128"/>
        <v>0</v>
      </c>
      <c r="U270" s="16">
        <f t="shared" si="129"/>
        <v>0</v>
      </c>
      <c r="V270" s="16">
        <f t="shared" si="130"/>
        <v>0</v>
      </c>
      <c r="W270" s="16">
        <f>IF(P270&gt;$AQ$249,0,1)</f>
        <v>0</v>
      </c>
      <c r="X270" s="16">
        <f>IF(Q270&gt;LARGE($P$3:$T$3,2),0,1)</f>
        <v>0</v>
      </c>
      <c r="Z270" s="16">
        <f t="shared" si="132"/>
        <v>0</v>
      </c>
      <c r="AB270" s="16" t="s">
        <v>432</v>
      </c>
      <c r="AC270" s="16" t="s">
        <v>434</v>
      </c>
      <c r="AD270" s="16" t="s">
        <v>434</v>
      </c>
      <c r="AF270" s="21" t="s">
        <v>452</v>
      </c>
      <c r="AG270" s="21" t="s">
        <v>435</v>
      </c>
      <c r="AH270" s="21" t="s">
        <v>435</v>
      </c>
      <c r="AZ270" s="2" t="s">
        <v>410</v>
      </c>
      <c r="BA270" s="2" t="s">
        <v>604</v>
      </c>
    </row>
    <row r="271" spans="1:53">
      <c r="A271" s="2" t="str">
        <f>'Reference Score Calculation'!A262</f>
        <v>JS6949</v>
      </c>
      <c r="B271" s="364" t="str">
        <f>'Reference Score Calculation'!A262</f>
        <v>JS6949</v>
      </c>
      <c r="C271" s="2" t="str">
        <f>'Reference Score Calculation'!D262</f>
        <v>生物醫學學士</v>
      </c>
      <c r="D271" s="16">
        <f>'Reference Score Calculation'!T262</f>
        <v>38</v>
      </c>
      <c r="E271" s="16">
        <v>3</v>
      </c>
      <c r="F271" s="16">
        <v>4</v>
      </c>
      <c r="G271" s="16">
        <v>2</v>
      </c>
      <c r="H271" s="16">
        <v>2</v>
      </c>
      <c r="I271" s="16">
        <v>3</v>
      </c>
      <c r="J271" s="16">
        <v>3</v>
      </c>
      <c r="L271" s="92">
        <v>3</v>
      </c>
      <c r="M271" s="92">
        <v>4</v>
      </c>
      <c r="N271" s="92">
        <v>2</v>
      </c>
      <c r="O271" s="92">
        <v>1</v>
      </c>
      <c r="P271" s="92">
        <v>3</v>
      </c>
      <c r="Q271" s="92">
        <v>3</v>
      </c>
      <c r="R271" s="16"/>
      <c r="S271" s="16">
        <f>IF(L271&gt;L$3,0,1)</f>
        <v>0</v>
      </c>
      <c r="T271" s="16">
        <f>IF(M271&gt;M$3,0,1)</f>
        <v>0</v>
      </c>
      <c r="U271" s="16">
        <f>IF(N271&gt;N$3,0,1)</f>
        <v>0</v>
      </c>
      <c r="V271" s="16">
        <f>IF(O271&gt;O$3,0,1)</f>
        <v>0</v>
      </c>
      <c r="W271" s="16">
        <f>IF(P271&gt;$AQ$253,0,1)</f>
        <v>0</v>
      </c>
      <c r="X271" s="16">
        <f>IF(Q271&gt;LARGE($P$3:$T$3,2),0,1)</f>
        <v>0</v>
      </c>
      <c r="Z271" s="16">
        <f t="shared" si="132"/>
        <v>0</v>
      </c>
      <c r="AB271" s="16" t="s">
        <v>432</v>
      </c>
      <c r="AC271" s="16" t="s">
        <v>434</v>
      </c>
      <c r="AD271" s="16" t="s">
        <v>434</v>
      </c>
      <c r="AF271" s="21" t="s">
        <v>456</v>
      </c>
      <c r="AG271" s="21" t="s">
        <v>435</v>
      </c>
      <c r="AH271" s="21" t="s">
        <v>435</v>
      </c>
      <c r="AZ271" s="2" t="s">
        <v>605</v>
      </c>
      <c r="BA271" s="2" t="s">
        <v>606</v>
      </c>
    </row>
    <row r="272" spans="1:53">
      <c r="A272" s="2" t="str">
        <f>'Reference Score Calculation'!A263</f>
        <v>JS6688</v>
      </c>
      <c r="B272" s="364" t="str">
        <f>'Reference Score Calculation'!A263</f>
        <v>JS6688</v>
      </c>
      <c r="C272" s="2" t="str">
        <f>'Reference Score Calculation'!D263</f>
        <v>科研專才啟導課程</v>
      </c>
      <c r="D272" s="16">
        <f>'Reference Score Calculation'!T263</f>
        <v>24</v>
      </c>
      <c r="E272" s="16">
        <v>3</v>
      </c>
      <c r="F272" s="16">
        <v>5</v>
      </c>
      <c r="G272" s="16">
        <v>4</v>
      </c>
      <c r="H272" s="16">
        <v>2</v>
      </c>
      <c r="I272" s="16">
        <v>3</v>
      </c>
      <c r="J272" s="16">
        <v>3</v>
      </c>
      <c r="L272" s="92">
        <v>3</v>
      </c>
      <c r="M272" s="92">
        <v>5</v>
      </c>
      <c r="N272" s="92">
        <v>4</v>
      </c>
      <c r="O272" s="92">
        <v>1</v>
      </c>
      <c r="P272" s="92">
        <v>3</v>
      </c>
      <c r="Q272" s="92">
        <v>3</v>
      </c>
      <c r="R272" s="16"/>
      <c r="S272" s="16">
        <f t="shared" si="127"/>
        <v>0</v>
      </c>
      <c r="T272" s="16">
        <f>IF($M$3&lt;3,0,IF($M$3&lt;5,2,1))</f>
        <v>0</v>
      </c>
      <c r="U272" s="16">
        <f t="shared" si="129"/>
        <v>0</v>
      </c>
      <c r="V272" s="16">
        <f t="shared" si="130"/>
        <v>0</v>
      </c>
      <c r="W272" s="16">
        <f>IF(AQ257&gt;3,1,0)</f>
        <v>0</v>
      </c>
      <c r="X272" s="16">
        <f>IF(AS257&gt;3,1,0)</f>
        <v>0</v>
      </c>
      <c r="Z272" s="16">
        <f t="shared" si="132"/>
        <v>0</v>
      </c>
      <c r="AB272" s="16" t="s">
        <v>432</v>
      </c>
      <c r="AC272" s="16" t="s">
        <v>434</v>
      </c>
      <c r="AD272" s="16" t="s">
        <v>434</v>
      </c>
      <c r="AF272" s="21" t="s">
        <v>607</v>
      </c>
      <c r="AG272" s="21" t="s">
        <v>356</v>
      </c>
      <c r="AH272" s="21" t="s">
        <v>435</v>
      </c>
      <c r="AZ272" s="2" t="s">
        <v>608</v>
      </c>
      <c r="BA272" s="2" t="s">
        <v>609</v>
      </c>
    </row>
    <row r="273" spans="1:53">
      <c r="A273" s="2" t="str">
        <f>'Reference Score Calculation'!A264</f>
        <v>JS6729</v>
      </c>
      <c r="B273" s="364" t="str">
        <f>'Reference Score Calculation'!A264</f>
        <v>JS6729</v>
      </c>
      <c r="C273" s="2" t="str">
        <f>'Reference Score Calculation'!D264</f>
        <v>理學士(精算學)</v>
      </c>
      <c r="D273" s="16">
        <f>'Reference Score Calculation'!T264</f>
        <v>50</v>
      </c>
      <c r="E273" s="16">
        <v>3</v>
      </c>
      <c r="F273" s="16">
        <v>3</v>
      </c>
      <c r="G273" s="16">
        <v>4</v>
      </c>
      <c r="H273" s="16">
        <v>2</v>
      </c>
      <c r="I273" s="16">
        <v>3</v>
      </c>
      <c r="J273" s="16">
        <v>4</v>
      </c>
      <c r="L273" s="92">
        <v>3</v>
      </c>
      <c r="M273" s="92">
        <v>3</v>
      </c>
      <c r="N273" s="92">
        <v>4</v>
      </c>
      <c r="O273" s="92">
        <v>1</v>
      </c>
      <c r="P273" s="92">
        <v>3</v>
      </c>
      <c r="Q273" s="92">
        <v>4</v>
      </c>
      <c r="R273" s="16"/>
      <c r="S273" s="16">
        <f t="shared" si="127"/>
        <v>0</v>
      </c>
      <c r="T273" s="16">
        <f t="shared" si="128"/>
        <v>0</v>
      </c>
      <c r="U273" s="16">
        <f t="shared" si="129"/>
        <v>0</v>
      </c>
      <c r="V273" s="16">
        <f t="shared" si="130"/>
        <v>0</v>
      </c>
      <c r="W273" s="16">
        <f>IF(P273&gt;LARGE($Q$3:$T$3,1),0,1)</f>
        <v>0</v>
      </c>
      <c r="X273" s="16">
        <f>IF($P$3&lt;4,0,1)</f>
        <v>0</v>
      </c>
      <c r="Z273" s="16">
        <f t="shared" si="132"/>
        <v>0</v>
      </c>
      <c r="AB273" s="16" t="s">
        <v>432</v>
      </c>
      <c r="AC273" s="16" t="s">
        <v>434</v>
      </c>
      <c r="AD273" s="16" t="s">
        <v>434</v>
      </c>
      <c r="AF273" s="21" t="s">
        <v>610</v>
      </c>
      <c r="AG273" s="21" t="s">
        <v>435</v>
      </c>
      <c r="AH273" s="21" t="s">
        <v>435</v>
      </c>
      <c r="AZ273" s="2" t="s">
        <v>611</v>
      </c>
      <c r="BA273" s="2" t="s">
        <v>612</v>
      </c>
    </row>
    <row r="274" spans="1:53">
      <c r="A274" s="2" t="str">
        <f>'Reference Score Calculation'!A265</f>
        <v>JS6858</v>
      </c>
      <c r="B274" s="364" t="str">
        <f>'Reference Score Calculation'!A265</f>
        <v>JS6858</v>
      </c>
      <c r="C274" s="2" t="str">
        <f>'Reference Score Calculation'!D265</f>
        <v>理學士及法學士(雙學位課程)</v>
      </c>
      <c r="D274" s="16">
        <f>'Reference Score Calculation'!T265</f>
        <v>20</v>
      </c>
      <c r="E274" s="16">
        <v>4</v>
      </c>
      <c r="F274" s="16">
        <v>5</v>
      </c>
      <c r="G274" s="16">
        <v>2</v>
      </c>
      <c r="H274" s="16">
        <v>2</v>
      </c>
      <c r="I274" s="16">
        <v>3</v>
      </c>
      <c r="J274" s="16">
        <v>3</v>
      </c>
      <c r="L274" s="92">
        <v>4</v>
      </c>
      <c r="M274" s="92">
        <v>5</v>
      </c>
      <c r="N274" s="92">
        <v>2</v>
      </c>
      <c r="O274" s="92">
        <v>1</v>
      </c>
      <c r="P274" s="92">
        <v>3</v>
      </c>
      <c r="Q274" s="92">
        <v>3</v>
      </c>
      <c r="R274" s="16"/>
      <c r="S274" s="16">
        <f>IF(L274&gt;L$3,0,1)</f>
        <v>0</v>
      </c>
      <c r="T274" s="16">
        <f>IF(M274&gt;M$3,0,1)</f>
        <v>0</v>
      </c>
      <c r="U274" s="16">
        <f>IF(N274&gt;N$3,0,1)</f>
        <v>0</v>
      </c>
      <c r="V274" s="16">
        <f>IF(O274&gt;O$3,0,1)</f>
        <v>0</v>
      </c>
      <c r="W274" s="16">
        <f>IF(P274&gt;$AQ$244,0,1)</f>
        <v>0</v>
      </c>
      <c r="X274" s="16">
        <f>IF(Q274&gt;LARGE($P$3:$T$3,2),0,1)</f>
        <v>0</v>
      </c>
      <c r="Z274" s="16">
        <f t="shared" si="132"/>
        <v>0</v>
      </c>
      <c r="AB274" s="16" t="s">
        <v>432</v>
      </c>
      <c r="AC274" s="16" t="s">
        <v>434</v>
      </c>
      <c r="AD274" s="16" t="s">
        <v>434</v>
      </c>
      <c r="AF274" s="21" t="s">
        <v>562</v>
      </c>
      <c r="AG274" s="21" t="s">
        <v>435</v>
      </c>
      <c r="AH274" s="21" t="s">
        <v>435</v>
      </c>
      <c r="AZ274" s="2" t="s">
        <v>613</v>
      </c>
      <c r="BA274" s="2" t="s">
        <v>614</v>
      </c>
    </row>
    <row r="275" spans="1:53">
      <c r="A275" s="2" t="str">
        <f>'Reference Score Calculation'!A266</f>
        <v>JS6901</v>
      </c>
      <c r="B275" s="364" t="str">
        <f>'Reference Score Calculation'!A266</f>
        <v>JS6901</v>
      </c>
      <c r="C275" s="2" t="str">
        <f>'Reference Score Calculation'!D266</f>
        <v>理學士</v>
      </c>
      <c r="D275" s="16">
        <f>'Reference Score Calculation'!T266</f>
        <v>305</v>
      </c>
      <c r="E275" s="16">
        <v>3</v>
      </c>
      <c r="F275" s="16">
        <v>3</v>
      </c>
      <c r="G275" s="16">
        <v>2</v>
      </c>
      <c r="H275" s="16">
        <v>2</v>
      </c>
      <c r="I275" s="16">
        <v>3</v>
      </c>
      <c r="J275" s="16">
        <v>3</v>
      </c>
      <c r="L275" s="92">
        <v>3</v>
      </c>
      <c r="M275" s="92">
        <v>3</v>
      </c>
      <c r="N275" s="92">
        <v>2</v>
      </c>
      <c r="O275" s="92">
        <v>1</v>
      </c>
      <c r="P275" s="92">
        <v>3</v>
      </c>
      <c r="Q275" s="92">
        <v>3</v>
      </c>
      <c r="R275" s="16"/>
      <c r="S275" s="16">
        <f t="shared" si="127"/>
        <v>0</v>
      </c>
      <c r="T275" s="16">
        <f t="shared" si="128"/>
        <v>0</v>
      </c>
      <c r="U275" s="16">
        <f t="shared" si="129"/>
        <v>0</v>
      </c>
      <c r="V275" s="16">
        <f t="shared" si="130"/>
        <v>0</v>
      </c>
      <c r="W275" s="16">
        <f>IF(P275&gt;$AQ$244,0,1)</f>
        <v>0</v>
      </c>
      <c r="X275" s="16">
        <f>IF(Q275&gt;LARGE($P$3:$T$3,2),0,1)</f>
        <v>0</v>
      </c>
      <c r="Z275" s="16">
        <f t="shared" si="132"/>
        <v>0</v>
      </c>
      <c r="AB275" s="16" t="s">
        <v>432</v>
      </c>
      <c r="AC275" s="16" t="s">
        <v>434</v>
      </c>
      <c r="AD275" s="16" t="s">
        <v>434</v>
      </c>
      <c r="AF275" s="21" t="s">
        <v>562</v>
      </c>
      <c r="AG275" s="21" t="s">
        <v>435</v>
      </c>
      <c r="AH275" s="21" t="s">
        <v>435</v>
      </c>
      <c r="AZ275" s="2" t="s">
        <v>613</v>
      </c>
      <c r="BA275" s="2" t="s">
        <v>614</v>
      </c>
    </row>
    <row r="276" spans="1:53">
      <c r="A276" s="2" t="str">
        <f>'Reference Score Calculation'!A267</f>
        <v>JS6705</v>
      </c>
      <c r="B276" s="364" t="str">
        <f>'Reference Score Calculation'!A267</f>
        <v>JS6705</v>
      </c>
      <c r="C276" s="2" t="str">
        <f>'Reference Score Calculation'!D267</f>
        <v>心理學學士</v>
      </c>
      <c r="D276" s="16">
        <f>'Reference Score Calculation'!T267</f>
        <v>70</v>
      </c>
      <c r="E276" s="16">
        <v>3</v>
      </c>
      <c r="F276" s="16">
        <v>3</v>
      </c>
      <c r="G276" s="16">
        <v>2</v>
      </c>
      <c r="H276" s="16">
        <v>2</v>
      </c>
      <c r="I276" s="16">
        <v>3</v>
      </c>
      <c r="J276" s="16">
        <v>3</v>
      </c>
      <c r="L276" s="92">
        <v>3</v>
      </c>
      <c r="M276" s="92">
        <v>3</v>
      </c>
      <c r="N276" s="92">
        <v>2</v>
      </c>
      <c r="O276" s="92">
        <v>1</v>
      </c>
      <c r="P276" s="92">
        <v>3</v>
      </c>
      <c r="Q276" s="92">
        <v>3</v>
      </c>
      <c r="R276" s="16"/>
      <c r="S276" s="16">
        <f t="shared" si="127"/>
        <v>0</v>
      </c>
      <c r="T276" s="16">
        <f t="shared" si="128"/>
        <v>0</v>
      </c>
      <c r="U276" s="16">
        <f t="shared" si="129"/>
        <v>0</v>
      </c>
      <c r="V276" s="16">
        <f t="shared" si="130"/>
        <v>0</v>
      </c>
      <c r="W276" s="16">
        <f>IF(P276&gt;LARGE($Q$3:$T$3,1),0,1)</f>
        <v>0</v>
      </c>
      <c r="X276" s="16">
        <f t="shared" ref="X276" si="177">IF(OR($P$3&gt;Q276,$U$3&gt;Q276),1,IF(Q276&gt;LARGE($Q$3:$T$3,2),0,1))</f>
        <v>0</v>
      </c>
      <c r="Z276" s="16">
        <f t="shared" si="132"/>
        <v>0</v>
      </c>
      <c r="AB276" s="16" t="s">
        <v>432</v>
      </c>
      <c r="AC276" s="16" t="s">
        <v>464</v>
      </c>
      <c r="AD276" s="16" t="s">
        <v>434</v>
      </c>
      <c r="AF276" s="21" t="s">
        <v>435</v>
      </c>
      <c r="AG276" s="21" t="s">
        <v>435</v>
      </c>
      <c r="AH276" s="21" t="s">
        <v>435</v>
      </c>
      <c r="AZ276" s="2" t="s">
        <v>615</v>
      </c>
      <c r="BA276" s="2" t="s">
        <v>616</v>
      </c>
    </row>
    <row r="277" spans="1:53">
      <c r="A277" s="2" t="str">
        <f>'Reference Score Calculation'!A268</f>
        <v>JS6717</v>
      </c>
      <c r="B277" s="364" t="str">
        <f>'Reference Score Calculation'!A268</f>
        <v>JS6717</v>
      </c>
      <c r="C277" s="2" t="str">
        <f>'Reference Score Calculation'!D268</f>
        <v>社會科學學士</v>
      </c>
      <c r="D277" s="16">
        <f>'Reference Score Calculation'!T268</f>
        <v>114</v>
      </c>
      <c r="E277" s="16">
        <v>3</v>
      </c>
      <c r="F277" s="16">
        <v>3</v>
      </c>
      <c r="G277" s="16">
        <v>2</v>
      </c>
      <c r="H277" s="16">
        <v>2</v>
      </c>
      <c r="I277" s="16">
        <v>3</v>
      </c>
      <c r="J277" s="16">
        <v>3</v>
      </c>
      <c r="L277" s="92">
        <v>3</v>
      </c>
      <c r="M277" s="92">
        <v>3</v>
      </c>
      <c r="N277" s="92">
        <v>2</v>
      </c>
      <c r="O277" s="92">
        <v>1</v>
      </c>
      <c r="P277" s="92">
        <v>3</v>
      </c>
      <c r="Q277" s="92">
        <v>3</v>
      </c>
      <c r="R277" s="16"/>
      <c r="S277" s="16">
        <f t="shared" si="127"/>
        <v>0</v>
      </c>
      <c r="T277" s="16">
        <f t="shared" si="128"/>
        <v>0</v>
      </c>
      <c r="U277" s="16">
        <f t="shared" si="129"/>
        <v>0</v>
      </c>
      <c r="V277" s="16">
        <f t="shared" si="130"/>
        <v>0</v>
      </c>
      <c r="W277" s="16">
        <f>IF(P277&gt;LARGE($Q$3:$T$3,1),0,1)</f>
        <v>0</v>
      </c>
      <c r="X277" s="16">
        <f t="shared" ref="X277" si="178">IF(OR($P$3&gt;Q277,$U$3&gt;Q277),1,IF(Q277&gt;LARGE($Q$3:$T$3,2),0,1))</f>
        <v>0</v>
      </c>
      <c r="Z277" s="16">
        <f t="shared" si="132"/>
        <v>0</v>
      </c>
      <c r="AB277" s="16" t="s">
        <v>432</v>
      </c>
      <c r="AC277" s="16" t="s">
        <v>464</v>
      </c>
      <c r="AD277" s="16" t="s">
        <v>434</v>
      </c>
      <c r="AF277" s="21" t="s">
        <v>435</v>
      </c>
      <c r="AG277" s="21" t="s">
        <v>435</v>
      </c>
      <c r="AH277" s="21" t="s">
        <v>435</v>
      </c>
      <c r="AZ277" s="2" t="s">
        <v>617</v>
      </c>
      <c r="BA277" s="2" t="s">
        <v>618</v>
      </c>
    </row>
    <row r="278" spans="1:53">
      <c r="A278" s="2" t="str">
        <f>'Reference Score Calculation'!A269</f>
        <v>JS6731</v>
      </c>
      <c r="B278" s="364" t="str">
        <f>'Reference Score Calculation'!A269</f>
        <v>JS6731</v>
      </c>
      <c r="C278" s="2" t="str">
        <f>'Reference Score Calculation'!D269</f>
        <v>社會工作學學士</v>
      </c>
      <c r="D278" s="16">
        <f>'Reference Score Calculation'!T269</f>
        <v>30</v>
      </c>
      <c r="E278" s="16">
        <v>3</v>
      </c>
      <c r="F278" s="16">
        <v>3</v>
      </c>
      <c r="G278" s="16">
        <v>2</v>
      </c>
      <c r="H278" s="16">
        <v>2</v>
      </c>
      <c r="I278" s="16">
        <v>3</v>
      </c>
      <c r="J278" s="16">
        <v>3</v>
      </c>
      <c r="L278" s="92">
        <v>3</v>
      </c>
      <c r="M278" s="92">
        <v>3</v>
      </c>
      <c r="N278" s="92">
        <v>2</v>
      </c>
      <c r="O278" s="92">
        <v>1</v>
      </c>
      <c r="P278" s="92">
        <v>3</v>
      </c>
      <c r="Q278" s="92">
        <v>3</v>
      </c>
      <c r="R278" s="16"/>
      <c r="S278" s="16">
        <f t="shared" si="127"/>
        <v>0</v>
      </c>
      <c r="T278" s="16">
        <f t="shared" si="128"/>
        <v>0</v>
      </c>
      <c r="U278" s="16">
        <f t="shared" si="129"/>
        <v>0</v>
      </c>
      <c r="V278" s="16">
        <f t="shared" si="130"/>
        <v>0</v>
      </c>
      <c r="W278" s="16">
        <f>IF(P278&gt;LARGE($Q$3:$T$3,1),0,1)</f>
        <v>0</v>
      </c>
      <c r="X278" s="16">
        <f t="shared" ref="X278:X280" si="179">IF(OR($P$3&gt;Q278,$U$3&gt;Q278),1,IF(Q278&gt;LARGE($Q$3:$T$3,2),0,1))</f>
        <v>0</v>
      </c>
      <c r="Z278" s="16">
        <f t="shared" si="132"/>
        <v>0</v>
      </c>
      <c r="AB278" s="16" t="s">
        <v>432</v>
      </c>
      <c r="AC278" s="16" t="s">
        <v>464</v>
      </c>
      <c r="AD278" s="16" t="s">
        <v>434</v>
      </c>
      <c r="AF278" s="21" t="s">
        <v>435</v>
      </c>
      <c r="AG278" s="21" t="s">
        <v>435</v>
      </c>
      <c r="AH278" s="21" t="s">
        <v>435</v>
      </c>
      <c r="AZ278" s="2" t="s">
        <v>619</v>
      </c>
      <c r="BA278" s="2" t="s">
        <v>620</v>
      </c>
    </row>
    <row r="279" spans="1:53">
      <c r="A279" s="2" t="str">
        <f>'Reference Score Calculation'!A270</f>
        <v>JS6810</v>
      </c>
      <c r="B279" s="364" t="str">
        <f>'Reference Score Calculation'!A270</f>
        <v>JS6810</v>
      </c>
      <c r="C279" s="2" t="str">
        <f>'Reference Score Calculation'!D270</f>
        <v>社會科學學士(政治學與法學)及法學士 (雙學位課程)</v>
      </c>
      <c r="D279" s="16">
        <f>'Reference Score Calculation'!T270</f>
        <v>50</v>
      </c>
      <c r="E279" s="16">
        <v>4</v>
      </c>
      <c r="F279" s="16">
        <v>5</v>
      </c>
      <c r="G279" s="16">
        <v>3</v>
      </c>
      <c r="H279" s="16">
        <v>3</v>
      </c>
      <c r="I279" s="16">
        <v>3</v>
      </c>
      <c r="J279" s="16">
        <v>3</v>
      </c>
      <c r="L279" s="92">
        <v>4</v>
      </c>
      <c r="M279" s="92">
        <v>5</v>
      </c>
      <c r="N279" s="92">
        <v>3</v>
      </c>
      <c r="O279" s="92">
        <v>1</v>
      </c>
      <c r="P279" s="92">
        <v>3</v>
      </c>
      <c r="Q279" s="92">
        <v>3</v>
      </c>
      <c r="R279" s="16"/>
      <c r="S279" s="16">
        <f t="shared" si="127"/>
        <v>0</v>
      </c>
      <c r="T279" s="16">
        <f t="shared" si="128"/>
        <v>0</v>
      </c>
      <c r="U279" s="16">
        <f t="shared" si="129"/>
        <v>0</v>
      </c>
      <c r="V279" s="16">
        <f t="shared" si="130"/>
        <v>0</v>
      </c>
      <c r="W279" s="16">
        <f>IF(P279&gt;LARGE($P$3:$T$3,1),0,1)</f>
        <v>0</v>
      </c>
      <c r="X279" s="16">
        <f>IF(Q279&gt;LARGE($P$3:$T$3,2),0,1)</f>
        <v>0</v>
      </c>
      <c r="Z279" s="16">
        <f t="shared" si="132"/>
        <v>0</v>
      </c>
      <c r="AB279" s="16" t="s">
        <v>432</v>
      </c>
      <c r="AC279" s="16" t="s">
        <v>434</v>
      </c>
      <c r="AD279" s="16" t="s">
        <v>434</v>
      </c>
      <c r="AF279" s="21" t="s">
        <v>435</v>
      </c>
      <c r="AG279" s="21" t="s">
        <v>435</v>
      </c>
      <c r="AH279" s="21" t="s">
        <v>435</v>
      </c>
      <c r="AZ279" s="2" t="s">
        <v>621</v>
      </c>
      <c r="BA279" s="2" t="s">
        <v>622</v>
      </c>
    </row>
    <row r="280" spans="1:53">
      <c r="A280" s="2" t="str">
        <f>'Reference Score Calculation'!A271</f>
        <v>JS6822</v>
      </c>
      <c r="B280" s="364" t="str">
        <f>'Reference Score Calculation'!A271</f>
        <v>JS6822</v>
      </c>
      <c r="C280" s="2" t="str">
        <f>'Reference Score Calculation'!D271</f>
        <v>新聞學學士</v>
      </c>
      <c r="D280" s="16">
        <f>'Reference Score Calculation'!T271</f>
        <v>19</v>
      </c>
      <c r="E280" s="16">
        <v>3</v>
      </c>
      <c r="F280" s="16">
        <v>3</v>
      </c>
      <c r="G280" s="16">
        <v>2</v>
      </c>
      <c r="H280" s="16">
        <v>2</v>
      </c>
      <c r="I280" s="16">
        <v>3</v>
      </c>
      <c r="J280" s="16">
        <v>3</v>
      </c>
      <c r="L280" s="92">
        <v>3</v>
      </c>
      <c r="M280" s="92">
        <v>3</v>
      </c>
      <c r="N280" s="92">
        <v>2</v>
      </c>
      <c r="O280" s="92">
        <v>1</v>
      </c>
      <c r="P280" s="92">
        <v>3</v>
      </c>
      <c r="Q280" s="92">
        <v>3</v>
      </c>
      <c r="R280" s="16"/>
      <c r="S280" s="16">
        <f t="shared" si="127"/>
        <v>0</v>
      </c>
      <c r="T280" s="16">
        <f t="shared" si="128"/>
        <v>0</v>
      </c>
      <c r="U280" s="16">
        <f t="shared" si="129"/>
        <v>0</v>
      </c>
      <c r="V280" s="16">
        <f t="shared" si="130"/>
        <v>0</v>
      </c>
      <c r="W280" s="16">
        <f t="shared" ref="W280:W285" si="180">IF(P280&gt;LARGE($Q$3:$T$3,1),0,1)</f>
        <v>0</v>
      </c>
      <c r="X280" s="16">
        <f t="shared" si="179"/>
        <v>0</v>
      </c>
      <c r="Z280" s="16">
        <f t="shared" si="132"/>
        <v>0</v>
      </c>
      <c r="AB280" s="16" t="s">
        <v>432</v>
      </c>
      <c r="AC280" s="16" t="s">
        <v>464</v>
      </c>
      <c r="AD280" s="16" t="s">
        <v>434</v>
      </c>
      <c r="AF280" s="21" t="s">
        <v>435</v>
      </c>
      <c r="AG280" s="21" t="s">
        <v>435</v>
      </c>
      <c r="AH280" s="21" t="s">
        <v>435</v>
      </c>
      <c r="AZ280" s="2" t="s">
        <v>623</v>
      </c>
      <c r="BA280" s="2" t="s">
        <v>624</v>
      </c>
    </row>
    <row r="281" spans="1:53">
      <c r="A281" s="2" t="str">
        <f>'Reference Score Calculation'!A272</f>
        <v>JS6212</v>
      </c>
      <c r="B281" s="364" t="str">
        <f>'Reference Score Calculation'!A272</f>
        <v>JS6212</v>
      </c>
      <c r="C281" s="2" t="str">
        <f>'Reference Score Calculation'!D272</f>
        <v>文理學士</v>
      </c>
      <c r="D281" s="16">
        <f>'Reference Score Calculation'!T272</f>
        <v>24</v>
      </c>
      <c r="E281" s="16">
        <v>3</v>
      </c>
      <c r="F281" s="16">
        <v>5</v>
      </c>
      <c r="G281" s="16">
        <v>2</v>
      </c>
      <c r="H281" s="16">
        <v>2</v>
      </c>
      <c r="I281" s="16">
        <v>3</v>
      </c>
      <c r="J281" s="16">
        <v>3</v>
      </c>
      <c r="L281" s="92">
        <v>3</v>
      </c>
      <c r="M281" s="92">
        <v>5</v>
      </c>
      <c r="N281" s="92">
        <v>2</v>
      </c>
      <c r="O281" s="92">
        <v>1</v>
      </c>
      <c r="P281" s="92">
        <v>3</v>
      </c>
      <c r="Q281" s="92">
        <v>3</v>
      </c>
      <c r="R281" s="16"/>
      <c r="S281" s="16">
        <f t="shared" si="127"/>
        <v>0</v>
      </c>
      <c r="T281" s="16">
        <f>IF($M$3&lt;3,0,IF($M$3&lt;5,2,1))</f>
        <v>0</v>
      </c>
      <c r="U281" s="16">
        <f t="shared" si="129"/>
        <v>0</v>
      </c>
      <c r="V281" s="16">
        <f t="shared" si="130"/>
        <v>0</v>
      </c>
      <c r="W281" s="16">
        <f t="shared" si="180"/>
        <v>0</v>
      </c>
      <c r="X281" s="16">
        <f>IF(OR($P$3&gt;Q281,$U$3&gt;Q281),1,IF(Q281&gt;LARGE($Q$3:$T$3,2),0,IF($P$3&lt;3,2,1)))</f>
        <v>0</v>
      </c>
      <c r="Z281" s="16">
        <f>IF(S281*T281*U281*V281*W281*X281&gt;2, 2,S281*T281*U281*V281*W281*X281)</f>
        <v>0</v>
      </c>
      <c r="AB281" s="16" t="s">
        <v>432</v>
      </c>
      <c r="AC281" s="16" t="s">
        <v>464</v>
      </c>
      <c r="AD281" s="16" t="s">
        <v>434</v>
      </c>
      <c r="AF281" s="21" t="s">
        <v>625</v>
      </c>
      <c r="AG281" s="21" t="s">
        <v>552</v>
      </c>
      <c r="AH281" s="21" t="s">
        <v>435</v>
      </c>
      <c r="AZ281" s="2" t="s">
        <v>626</v>
      </c>
      <c r="BA281" s="2" t="s">
        <v>627</v>
      </c>
    </row>
    <row r="282" spans="1:53">
      <c r="A282" s="2" t="str">
        <f>'Reference Score Calculation'!A273</f>
        <v>JS6224</v>
      </c>
      <c r="B282" s="364" t="str">
        <f>'Reference Score Calculation'!A273</f>
        <v>JS6224</v>
      </c>
      <c r="C282" s="2" t="str">
        <f>'Reference Score Calculation'!D273</f>
        <v>文理學士(應用人工智能)</v>
      </c>
      <c r="D282" s="16">
        <f>'Reference Score Calculation'!T273</f>
        <v>15</v>
      </c>
      <c r="E282" s="16">
        <v>3</v>
      </c>
      <c r="F282" s="16">
        <v>4</v>
      </c>
      <c r="G282" s="16">
        <v>4</v>
      </c>
      <c r="H282" s="16">
        <v>2</v>
      </c>
      <c r="I282" s="16">
        <v>3</v>
      </c>
      <c r="J282" s="16">
        <v>4</v>
      </c>
      <c r="L282" s="92">
        <v>3</v>
      </c>
      <c r="M282" s="92">
        <v>4</v>
      </c>
      <c r="N282" s="92">
        <v>4</v>
      </c>
      <c r="O282" s="92">
        <v>1</v>
      </c>
      <c r="P282" s="92">
        <v>3</v>
      </c>
      <c r="Q282" s="92">
        <v>4</v>
      </c>
      <c r="R282" s="16"/>
      <c r="S282" s="16">
        <f t="shared" si="127"/>
        <v>0</v>
      </c>
      <c r="T282" s="16">
        <f t="shared" si="128"/>
        <v>0</v>
      </c>
      <c r="U282" s="16">
        <f t="shared" si="129"/>
        <v>0</v>
      </c>
      <c r="V282" s="16">
        <f t="shared" si="130"/>
        <v>0</v>
      </c>
      <c r="W282" s="16">
        <f t="shared" si="180"/>
        <v>0</v>
      </c>
      <c r="X282" s="16">
        <f>IF($P$3&lt;4,0,1)</f>
        <v>0</v>
      </c>
      <c r="Z282" s="16">
        <f t="shared" si="132"/>
        <v>0</v>
      </c>
      <c r="AB282" s="16" t="s">
        <v>432</v>
      </c>
      <c r="AC282" s="16" t="s">
        <v>434</v>
      </c>
      <c r="AD282" s="16" t="s">
        <v>434</v>
      </c>
      <c r="AF282" s="21" t="s">
        <v>610</v>
      </c>
      <c r="AG282" s="21" t="s">
        <v>435</v>
      </c>
      <c r="AH282" s="21" t="s">
        <v>435</v>
      </c>
      <c r="AZ282" s="2" t="s">
        <v>628</v>
      </c>
      <c r="BA282" s="2" t="s">
        <v>629</v>
      </c>
    </row>
    <row r="283" spans="1:53">
      <c r="A283" s="2" t="str">
        <f>'Reference Score Calculation'!A274</f>
        <v>JS6236</v>
      </c>
      <c r="B283" s="364" t="str">
        <f>'Reference Score Calculation'!A274</f>
        <v>JS6236</v>
      </c>
      <c r="C283" s="2" t="str">
        <f>'Reference Score Calculation'!D274</f>
        <v>文理學士(設計＋)</v>
      </c>
      <c r="D283" s="16">
        <f>'Reference Score Calculation'!T274</f>
        <v>13</v>
      </c>
      <c r="E283" s="16">
        <v>3</v>
      </c>
      <c r="F283" s="16">
        <v>4</v>
      </c>
      <c r="G283" s="16">
        <v>2</v>
      </c>
      <c r="H283" s="16">
        <v>2</v>
      </c>
      <c r="I283" s="16">
        <v>3</v>
      </c>
      <c r="J283" s="16">
        <v>3</v>
      </c>
      <c r="L283" s="92">
        <v>3</v>
      </c>
      <c r="M283" s="92">
        <v>4</v>
      </c>
      <c r="N283" s="92">
        <v>2</v>
      </c>
      <c r="O283" s="92">
        <v>1</v>
      </c>
      <c r="P283" s="92">
        <v>3</v>
      </c>
      <c r="Q283" s="92">
        <v>3</v>
      </c>
      <c r="R283" s="16"/>
      <c r="S283" s="16">
        <f t="shared" si="127"/>
        <v>0</v>
      </c>
      <c r="T283" s="16">
        <f t="shared" si="128"/>
        <v>0</v>
      </c>
      <c r="U283" s="16">
        <f t="shared" si="129"/>
        <v>0</v>
      </c>
      <c r="V283" s="16">
        <f t="shared" si="130"/>
        <v>0</v>
      </c>
      <c r="W283" s="16">
        <f t="shared" si="180"/>
        <v>0</v>
      </c>
      <c r="X283" s="16">
        <f>IF(OR($P$3&gt;Q283,$U$3&gt;Q283),1,IF(Q283&gt;LARGE($Q$3:$T$3,2),0,1))</f>
        <v>0</v>
      </c>
      <c r="Z283" s="16">
        <f>IF(S283*T283*U283*V283*W283*X283=0,0,2)</f>
        <v>0</v>
      </c>
      <c r="AB283" s="16" t="s">
        <v>432</v>
      </c>
      <c r="AC283" s="16" t="s">
        <v>464</v>
      </c>
      <c r="AD283" s="16" t="s">
        <v>434</v>
      </c>
      <c r="AF283" s="21" t="s">
        <v>630</v>
      </c>
      <c r="AG283" s="21" t="s">
        <v>631</v>
      </c>
      <c r="AH283" s="21" t="s">
        <v>435</v>
      </c>
      <c r="AZ283" s="2" t="s">
        <v>632</v>
      </c>
      <c r="BA283" s="2" t="s">
        <v>633</v>
      </c>
    </row>
    <row r="284" spans="1:53">
      <c r="A284" s="2" t="str">
        <f>'Reference Score Calculation'!A275</f>
        <v>JS6248</v>
      </c>
      <c r="B284" s="364" t="str">
        <f>'Reference Score Calculation'!A275</f>
        <v>JS6248</v>
      </c>
      <c r="C284" s="2" t="str">
        <f>'Reference Score Calculation'!D275</f>
        <v>文理學士(金融科技)</v>
      </c>
      <c r="D284" s="16">
        <f>'Reference Score Calculation'!T275</f>
        <v>24</v>
      </c>
      <c r="E284" s="16">
        <v>3</v>
      </c>
      <c r="F284" s="16">
        <v>4</v>
      </c>
      <c r="G284" s="16">
        <v>3</v>
      </c>
      <c r="H284" s="16">
        <v>2</v>
      </c>
      <c r="I284" s="16">
        <v>3</v>
      </c>
      <c r="J284" s="16">
        <v>3</v>
      </c>
      <c r="L284" s="92">
        <v>3</v>
      </c>
      <c r="M284" s="92">
        <v>4</v>
      </c>
      <c r="N284" s="92">
        <v>3</v>
      </c>
      <c r="O284" s="92">
        <v>1</v>
      </c>
      <c r="P284" s="92">
        <v>3</v>
      </c>
      <c r="Q284" s="92">
        <v>3</v>
      </c>
      <c r="R284" s="16"/>
      <c r="S284" s="16">
        <f t="shared" si="127"/>
        <v>0</v>
      </c>
      <c r="T284" s="16">
        <f t="shared" si="128"/>
        <v>0</v>
      </c>
      <c r="U284" s="16">
        <f t="shared" si="129"/>
        <v>0</v>
      </c>
      <c r="V284" s="16">
        <f t="shared" si="130"/>
        <v>0</v>
      </c>
      <c r="W284" s="16">
        <f t="shared" si="180"/>
        <v>0</v>
      </c>
      <c r="X284" s="16">
        <f>IF(OR($P$3&gt;Q284,$U$3&gt;Q284),1,IF(Q284&gt;LARGE($Q$3:$T$3,2),0,1))</f>
        <v>0</v>
      </c>
      <c r="Z284" s="16">
        <f t="shared" si="132"/>
        <v>0</v>
      </c>
      <c r="AB284" s="16" t="s">
        <v>432</v>
      </c>
      <c r="AC284" s="16" t="s">
        <v>464</v>
      </c>
      <c r="AD284" s="16" t="s">
        <v>434</v>
      </c>
      <c r="AF284" s="21" t="s">
        <v>435</v>
      </c>
      <c r="AG284" s="21" t="s">
        <v>435</v>
      </c>
      <c r="AH284" s="21" t="s">
        <v>435</v>
      </c>
      <c r="AZ284" s="2" t="s">
        <v>634</v>
      </c>
      <c r="BA284" s="2" t="s">
        <v>635</v>
      </c>
    </row>
    <row r="285" spans="1:53">
      <c r="A285" s="2" t="str">
        <f>'Reference Score Calculation'!A276</f>
        <v>JS6250</v>
      </c>
      <c r="B285" s="364" t="str">
        <f>'Reference Score Calculation'!A276</f>
        <v>JS6250</v>
      </c>
      <c r="C285" s="2" t="str">
        <f>'Reference Score Calculation'!D276</f>
        <v>文理學士(環球衞生及發展)</v>
      </c>
      <c r="D285" s="16">
        <f>'Reference Score Calculation'!T276</f>
        <v>18</v>
      </c>
      <c r="E285" s="16">
        <v>3</v>
      </c>
      <c r="F285" s="16">
        <v>4</v>
      </c>
      <c r="G285" s="16">
        <v>2</v>
      </c>
      <c r="H285" s="16">
        <v>2</v>
      </c>
      <c r="I285" s="16">
        <v>3</v>
      </c>
      <c r="J285" s="16">
        <v>3</v>
      </c>
      <c r="L285" s="92">
        <v>3</v>
      </c>
      <c r="M285" s="92">
        <v>4</v>
      </c>
      <c r="N285" s="92">
        <v>2</v>
      </c>
      <c r="O285" s="92">
        <v>1</v>
      </c>
      <c r="P285" s="92">
        <v>3</v>
      </c>
      <c r="Q285" s="92">
        <v>3</v>
      </c>
      <c r="R285" s="16"/>
      <c r="S285" s="16">
        <f t="shared" si="127"/>
        <v>0</v>
      </c>
      <c r="T285" s="16">
        <f t="shared" si="128"/>
        <v>0</v>
      </c>
      <c r="U285" s="16">
        <f t="shared" si="129"/>
        <v>0</v>
      </c>
      <c r="V285" s="16">
        <f t="shared" si="130"/>
        <v>0</v>
      </c>
      <c r="W285" s="16">
        <f t="shared" si="180"/>
        <v>0</v>
      </c>
      <c r="X285" s="16">
        <f>IF(OR($P$3&gt;Q285,$U$3&gt;Q285),1,IF(Q285&gt;LARGE($Q$3:$T$3,2),0,1))</f>
        <v>0</v>
      </c>
      <c r="Z285" s="16">
        <f t="shared" si="132"/>
        <v>0</v>
      </c>
      <c r="AB285" s="16" t="s">
        <v>432</v>
      </c>
      <c r="AC285" s="16" t="s">
        <v>464</v>
      </c>
      <c r="AD285" s="16" t="s">
        <v>434</v>
      </c>
      <c r="AF285" s="21" t="s">
        <v>435</v>
      </c>
      <c r="AG285" s="21" t="s">
        <v>435</v>
      </c>
      <c r="AH285" s="21" t="s">
        <v>435</v>
      </c>
      <c r="AZ285" s="2" t="s">
        <v>636</v>
      </c>
      <c r="BA285" s="2" t="s">
        <v>637</v>
      </c>
    </row>
    <row r="286" spans="1:53">
      <c r="B286" s="11" t="s">
        <v>260</v>
      </c>
      <c r="L286" s="95"/>
      <c r="M286" s="95"/>
      <c r="N286" s="95"/>
      <c r="O286" s="95"/>
      <c r="P286" s="95"/>
      <c r="Q286" s="95"/>
      <c r="Z286" s="2"/>
    </row>
    <row r="287" spans="1:53">
      <c r="B287" s="11" t="s">
        <v>110</v>
      </c>
      <c r="C287" s="11" t="s">
        <v>112</v>
      </c>
      <c r="D287" s="19" t="s">
        <v>38</v>
      </c>
      <c r="E287" s="19"/>
      <c r="F287" s="19"/>
      <c r="G287" s="19"/>
      <c r="H287" s="19"/>
      <c r="I287" s="19"/>
      <c r="J287" s="19"/>
      <c r="K287" s="19"/>
      <c r="L287" s="94" t="s">
        <v>117</v>
      </c>
      <c r="M287" s="94" t="s">
        <v>118</v>
      </c>
      <c r="N287" s="94" t="s">
        <v>119</v>
      </c>
      <c r="O287" s="94" t="s">
        <v>120</v>
      </c>
      <c r="P287" s="94" t="s">
        <v>121</v>
      </c>
      <c r="Q287" s="94" t="s">
        <v>122</v>
      </c>
      <c r="R287" s="16"/>
      <c r="S287" s="19" t="s">
        <v>117</v>
      </c>
      <c r="T287" s="19" t="s">
        <v>118</v>
      </c>
      <c r="U287" s="19" t="s">
        <v>119</v>
      </c>
      <c r="V287" s="19" t="s">
        <v>120</v>
      </c>
      <c r="W287" s="19" t="s">
        <v>121</v>
      </c>
      <c r="X287" s="19" t="s">
        <v>122</v>
      </c>
      <c r="Y287" s="11"/>
      <c r="AB287" s="19" t="s">
        <v>297</v>
      </c>
      <c r="AC287" s="19" t="s">
        <v>298</v>
      </c>
      <c r="AD287" s="19" t="s">
        <v>299</v>
      </c>
    </row>
    <row r="288" spans="1:53">
      <c r="A288" s="2" t="str">
        <f>'Reference Score Calculation'!A279</f>
        <v>JS7101</v>
      </c>
      <c r="B288" s="364" t="str">
        <f>'Reference Score Calculation'!A279</f>
        <v>JS7101</v>
      </c>
      <c r="C288" s="2" t="str">
        <f>'Reference Score Calculation'!D279</f>
        <v>中文(榮譽)文學士</v>
      </c>
      <c r="D288" s="16">
        <f>'Reference Score Calculation'!T279</f>
        <v>47</v>
      </c>
      <c r="E288" s="16">
        <v>3</v>
      </c>
      <c r="F288" s="16">
        <v>3</v>
      </c>
      <c r="G288" s="16">
        <v>2</v>
      </c>
      <c r="H288" s="16">
        <v>2</v>
      </c>
      <c r="I288" s="16">
        <v>2</v>
      </c>
      <c r="L288" s="92">
        <v>3</v>
      </c>
      <c r="M288" s="92">
        <v>3</v>
      </c>
      <c r="N288" s="92">
        <v>2</v>
      </c>
      <c r="O288" s="92">
        <v>1</v>
      </c>
      <c r="P288" s="92">
        <v>2</v>
      </c>
      <c r="Q288" s="92">
        <v>2</v>
      </c>
      <c r="S288" s="16">
        <f>IF(L288&gt;L$3,0,1)</f>
        <v>0</v>
      </c>
      <c r="T288" s="16">
        <f t="shared" ref="T288:V288" si="181">IF(M288&gt;M$3,0,1)</f>
        <v>0</v>
      </c>
      <c r="U288" s="16">
        <f t="shared" si="181"/>
        <v>0</v>
      </c>
      <c r="V288" s="16">
        <f t="shared" si="181"/>
        <v>0</v>
      </c>
      <c r="W288" s="16">
        <f>IF(P288&gt;LARGE($P$3:$U$3,1),0,1)</f>
        <v>0</v>
      </c>
      <c r="X288" s="16">
        <f>IF(Q288&gt;LARGE($P$3:$U$3,2),0,1)</f>
        <v>0</v>
      </c>
      <c r="Y288" s="16"/>
      <c r="Z288" s="16">
        <f>S288*T288*U288*V288*W288*X288</f>
        <v>0</v>
      </c>
      <c r="AB288" s="16" t="s">
        <v>463</v>
      </c>
      <c r="AC288" s="16" t="s">
        <v>464</v>
      </c>
      <c r="AD288" s="16" t="s">
        <v>434</v>
      </c>
      <c r="AG288" s="21" t="s">
        <v>435</v>
      </c>
      <c r="AH288" s="21" t="s">
        <v>435</v>
      </c>
    </row>
    <row r="289" spans="1:34">
      <c r="A289" s="2" t="str">
        <f>'Reference Score Calculation'!A280</f>
        <v>JS7123</v>
      </c>
      <c r="B289" s="364" t="str">
        <f>'Reference Score Calculation'!A280</f>
        <v>JS7123</v>
      </c>
      <c r="C289" s="2" t="str">
        <f>'Reference Score Calculation'!D280</f>
        <v>環球可持續發展(榮譽)博雅學士</v>
      </c>
      <c r="D289" s="16">
        <f>'Reference Score Calculation'!T280</f>
        <v>20</v>
      </c>
      <c r="E289" s="16">
        <v>3</v>
      </c>
      <c r="F289" s="16">
        <v>3</v>
      </c>
      <c r="G289" s="16">
        <v>2</v>
      </c>
      <c r="H289" s="16">
        <v>2</v>
      </c>
      <c r="I289" s="16">
        <v>2</v>
      </c>
      <c r="L289" s="92">
        <v>3</v>
      </c>
      <c r="M289" s="92">
        <v>3</v>
      </c>
      <c r="N289" s="92">
        <v>2</v>
      </c>
      <c r="O289" s="92">
        <v>1</v>
      </c>
      <c r="P289" s="92">
        <v>2</v>
      </c>
      <c r="Q289" s="92">
        <v>2</v>
      </c>
      <c r="S289" s="16">
        <f t="shared" ref="S289:S305" si="182">IF(L289&gt;L$3,0,1)</f>
        <v>0</v>
      </c>
      <c r="T289" s="16">
        <f t="shared" ref="T289:T305" si="183">IF(M289&gt;M$3,0,1)</f>
        <v>0</v>
      </c>
      <c r="U289" s="16">
        <f t="shared" ref="U289:U305" si="184">IF(N289&gt;N$3,0,1)</f>
        <v>0</v>
      </c>
      <c r="V289" s="16">
        <f t="shared" ref="V289:V305" si="185">IF(O289&gt;O$3,0,1)</f>
        <v>0</v>
      </c>
      <c r="W289" s="16">
        <f t="shared" ref="W289:W305" si="186">IF(P289&gt;LARGE($P$3:$U$3,1),0,1)</f>
        <v>0</v>
      </c>
      <c r="X289" s="16">
        <f t="shared" ref="X289:X305" si="187">IF(Q289&gt;LARGE($P$3:$U$3,2),0,1)</f>
        <v>0</v>
      </c>
      <c r="Y289" s="16"/>
      <c r="Z289" s="16">
        <f t="shared" ref="Z289:Z305" si="188">S289*T289*U289*V289*W289*X289</f>
        <v>0</v>
      </c>
      <c r="AB289" s="16" t="s">
        <v>463</v>
      </c>
      <c r="AC289" s="16" t="s">
        <v>464</v>
      </c>
      <c r="AD289" s="16" t="s">
        <v>434</v>
      </c>
      <c r="AG289" s="21" t="s">
        <v>435</v>
      </c>
      <c r="AH289" s="21" t="s">
        <v>435</v>
      </c>
    </row>
    <row r="290" spans="1:34">
      <c r="A290" s="2" t="str">
        <f>'Reference Score Calculation'!A281</f>
        <v>JS7133</v>
      </c>
      <c r="B290" s="364" t="str">
        <f>'Reference Score Calculation'!A281</f>
        <v>JS7133</v>
      </c>
      <c r="C290" s="2" t="str">
        <f>'Reference Score Calculation'!D281</f>
        <v>動畫及數碼藝術(榮譽)文學士</v>
      </c>
      <c r="D290" s="16">
        <f>'Reference Score Calculation'!T281</f>
        <v>12</v>
      </c>
      <c r="E290" s="16">
        <v>3</v>
      </c>
      <c r="F290" s="16">
        <v>3</v>
      </c>
      <c r="G290" s="16">
        <v>2</v>
      </c>
      <c r="H290" s="16">
        <v>2</v>
      </c>
      <c r="I290" s="16">
        <v>2</v>
      </c>
      <c r="L290" s="92">
        <v>3</v>
      </c>
      <c r="M290" s="92">
        <v>3</v>
      </c>
      <c r="N290" s="92">
        <v>2</v>
      </c>
      <c r="O290" s="92">
        <v>1</v>
      </c>
      <c r="P290" s="92">
        <v>2</v>
      </c>
      <c r="Q290" s="92">
        <v>2</v>
      </c>
      <c r="S290" s="16">
        <f t="shared" si="182"/>
        <v>0</v>
      </c>
      <c r="T290" s="16">
        <f t="shared" si="183"/>
        <v>0</v>
      </c>
      <c r="U290" s="16">
        <f t="shared" si="184"/>
        <v>0</v>
      </c>
      <c r="V290" s="16">
        <f t="shared" si="185"/>
        <v>0</v>
      </c>
      <c r="W290" s="16">
        <f t="shared" si="186"/>
        <v>0</v>
      </c>
      <c r="X290" s="16">
        <f t="shared" si="187"/>
        <v>0</v>
      </c>
      <c r="Y290" s="16"/>
      <c r="Z290" s="16">
        <f t="shared" si="188"/>
        <v>0</v>
      </c>
      <c r="AB290" s="16" t="s">
        <v>463</v>
      </c>
      <c r="AC290" s="16" t="s">
        <v>464</v>
      </c>
      <c r="AD290" s="16" t="s">
        <v>434</v>
      </c>
      <c r="AG290" s="21" t="s">
        <v>435</v>
      </c>
      <c r="AH290" s="21" t="s">
        <v>435</v>
      </c>
    </row>
    <row r="291" spans="1:34">
      <c r="A291" s="2" t="str">
        <f>'Reference Score Calculation'!A282</f>
        <v>JS7200</v>
      </c>
      <c r="B291" s="364" t="str">
        <f>'Reference Score Calculation'!A282</f>
        <v>JS7200</v>
      </c>
      <c r="C291" s="2" t="str">
        <f>'Reference Score Calculation'!D282</f>
        <v>工商管理(榮譽)學士</v>
      </c>
      <c r="D291" s="16">
        <f>'Reference Score Calculation'!T282</f>
        <v>137</v>
      </c>
      <c r="E291" s="16">
        <v>3</v>
      </c>
      <c r="F291" s="16">
        <v>3</v>
      </c>
      <c r="G291" s="16">
        <v>2</v>
      </c>
      <c r="H291" s="16">
        <v>2</v>
      </c>
      <c r="I291" s="16">
        <v>2</v>
      </c>
      <c r="L291" s="92">
        <v>3</v>
      </c>
      <c r="M291" s="92">
        <v>3</v>
      </c>
      <c r="N291" s="92">
        <v>2</v>
      </c>
      <c r="O291" s="92">
        <v>1</v>
      </c>
      <c r="P291" s="92">
        <v>2</v>
      </c>
      <c r="Q291" s="92">
        <v>2</v>
      </c>
      <c r="S291" s="16">
        <f t="shared" si="182"/>
        <v>0</v>
      </c>
      <c r="T291" s="16">
        <f t="shared" si="183"/>
        <v>0</v>
      </c>
      <c r="U291" s="16">
        <f t="shared" si="184"/>
        <v>0</v>
      </c>
      <c r="V291" s="16">
        <f t="shared" si="185"/>
        <v>0</v>
      </c>
      <c r="W291" s="16">
        <f t="shared" si="186"/>
        <v>0</v>
      </c>
      <c r="X291" s="16">
        <f t="shared" si="187"/>
        <v>0</v>
      </c>
      <c r="Y291" s="16"/>
      <c r="Z291" s="16">
        <f t="shared" si="188"/>
        <v>0</v>
      </c>
      <c r="AB291" s="16" t="s">
        <v>463</v>
      </c>
      <c r="AC291" s="16" t="s">
        <v>464</v>
      </c>
      <c r="AD291" s="16" t="s">
        <v>434</v>
      </c>
      <c r="AG291" s="21" t="s">
        <v>435</v>
      </c>
      <c r="AH291" s="21" t="s">
        <v>435</v>
      </c>
    </row>
    <row r="292" spans="1:34">
      <c r="A292" s="2" t="str">
        <f>'Reference Score Calculation'!A283</f>
        <v>JS7204</v>
      </c>
      <c r="B292" s="364" t="str">
        <f>'Reference Score Calculation'!A283</f>
        <v>JS7204</v>
      </c>
      <c r="C292" s="2" t="str">
        <f>'Reference Score Calculation'!D283</f>
        <v>翻譯、跨文化研究及企業傳訊(榮譽)文學士</v>
      </c>
      <c r="D292" s="16">
        <f>'Reference Score Calculation'!T283</f>
        <v>37</v>
      </c>
      <c r="E292" s="16">
        <v>3</v>
      </c>
      <c r="F292" s="16">
        <v>3</v>
      </c>
      <c r="G292" s="16">
        <v>2</v>
      </c>
      <c r="H292" s="16">
        <v>2</v>
      </c>
      <c r="I292" s="16">
        <v>2</v>
      </c>
      <c r="L292" s="92">
        <v>3</v>
      </c>
      <c r="M292" s="92">
        <v>3</v>
      </c>
      <c r="N292" s="92">
        <v>2</v>
      </c>
      <c r="O292" s="92">
        <v>1</v>
      </c>
      <c r="P292" s="92">
        <v>2</v>
      </c>
      <c r="Q292" s="92">
        <v>2</v>
      </c>
      <c r="S292" s="16">
        <f t="shared" si="182"/>
        <v>0</v>
      </c>
      <c r="T292" s="16">
        <f t="shared" si="183"/>
        <v>0</v>
      </c>
      <c r="U292" s="16">
        <f t="shared" si="184"/>
        <v>0</v>
      </c>
      <c r="V292" s="16">
        <f t="shared" si="185"/>
        <v>0</v>
      </c>
      <c r="W292" s="16">
        <f t="shared" si="186"/>
        <v>0</v>
      </c>
      <c r="X292" s="16">
        <f t="shared" si="187"/>
        <v>0</v>
      </c>
      <c r="Y292" s="16"/>
      <c r="Z292" s="16">
        <f t="shared" si="188"/>
        <v>0</v>
      </c>
      <c r="AB292" s="16" t="s">
        <v>463</v>
      </c>
      <c r="AC292" s="16" t="s">
        <v>464</v>
      </c>
      <c r="AD292" s="16" t="s">
        <v>434</v>
      </c>
      <c r="AG292" s="21" t="s">
        <v>435</v>
      </c>
      <c r="AH292" s="21" t="s">
        <v>435</v>
      </c>
    </row>
    <row r="293" spans="1:34">
      <c r="A293" s="2" t="str">
        <f>'Reference Score Calculation'!A284</f>
        <v>JS7216</v>
      </c>
      <c r="B293" s="364" t="str">
        <f>'Reference Score Calculation'!A284</f>
        <v>JS7216</v>
      </c>
      <c r="C293" s="2" t="str">
        <f>'Reference Score Calculation'!D284</f>
        <v>工商管理(榮譽)學士 - 風險及保險管理</v>
      </c>
      <c r="D293" s="16">
        <f>'Reference Score Calculation'!T284</f>
        <v>25</v>
      </c>
      <c r="E293" s="16">
        <v>3</v>
      </c>
      <c r="F293" s="16">
        <v>3</v>
      </c>
      <c r="G293" s="16">
        <v>2</v>
      </c>
      <c r="H293" s="16">
        <v>2</v>
      </c>
      <c r="I293" s="16">
        <v>2</v>
      </c>
      <c r="L293" s="92">
        <v>3</v>
      </c>
      <c r="M293" s="92">
        <v>3</v>
      </c>
      <c r="N293" s="92">
        <v>2</v>
      </c>
      <c r="O293" s="92">
        <v>1</v>
      </c>
      <c r="P293" s="92">
        <v>2</v>
      </c>
      <c r="Q293" s="92">
        <v>2</v>
      </c>
      <c r="S293" s="16">
        <f t="shared" si="182"/>
        <v>0</v>
      </c>
      <c r="T293" s="16">
        <f t="shared" si="183"/>
        <v>0</v>
      </c>
      <c r="U293" s="16">
        <f t="shared" si="184"/>
        <v>0</v>
      </c>
      <c r="V293" s="16">
        <f t="shared" si="185"/>
        <v>0</v>
      </c>
      <c r="W293" s="16">
        <f t="shared" si="186"/>
        <v>0</v>
      </c>
      <c r="X293" s="16">
        <f t="shared" si="187"/>
        <v>0</v>
      </c>
      <c r="Y293" s="16"/>
      <c r="Z293" s="16">
        <f t="shared" si="188"/>
        <v>0</v>
      </c>
      <c r="AB293" s="16" t="s">
        <v>463</v>
      </c>
      <c r="AC293" s="16" t="s">
        <v>464</v>
      </c>
      <c r="AD293" s="16" t="s">
        <v>434</v>
      </c>
      <c r="AG293" s="21" t="s">
        <v>435</v>
      </c>
      <c r="AH293" s="21" t="s">
        <v>435</v>
      </c>
    </row>
    <row r="294" spans="1:34">
      <c r="A294" s="2" t="str">
        <f>'Reference Score Calculation'!A285</f>
        <v>JS7225</v>
      </c>
      <c r="B294" s="364" t="str">
        <f>'Reference Score Calculation'!A285</f>
        <v>JS7225</v>
      </c>
      <c r="C294" s="2" t="str">
        <f>'Reference Score Calculation'!D285</f>
        <v>數據科學(榮譽)理學士</v>
      </c>
      <c r="D294" s="16">
        <f>'Reference Score Calculation'!T285</f>
        <v>25</v>
      </c>
      <c r="E294" s="16">
        <v>3</v>
      </c>
      <c r="F294" s="16">
        <v>3</v>
      </c>
      <c r="G294" s="16">
        <v>3</v>
      </c>
      <c r="H294" s="16">
        <v>2</v>
      </c>
      <c r="I294" s="16">
        <v>2</v>
      </c>
      <c r="L294" s="92">
        <v>3</v>
      </c>
      <c r="M294" s="92">
        <v>3</v>
      </c>
      <c r="N294" s="92">
        <v>3</v>
      </c>
      <c r="O294" s="92">
        <v>1</v>
      </c>
      <c r="P294" s="92">
        <v>2</v>
      </c>
      <c r="Q294" s="92">
        <v>2</v>
      </c>
      <c r="S294" s="16">
        <f t="shared" si="182"/>
        <v>0</v>
      </c>
      <c r="T294" s="16">
        <f t="shared" si="183"/>
        <v>0</v>
      </c>
      <c r="U294" s="16">
        <f t="shared" si="184"/>
        <v>0</v>
      </c>
      <c r="V294" s="16">
        <f t="shared" si="185"/>
        <v>0</v>
      </c>
      <c r="W294" s="16">
        <f t="shared" si="186"/>
        <v>0</v>
      </c>
      <c r="X294" s="16">
        <f t="shared" si="187"/>
        <v>0</v>
      </c>
      <c r="Y294" s="16"/>
      <c r="Z294" s="16">
        <f t="shared" si="188"/>
        <v>0</v>
      </c>
      <c r="AB294" s="16" t="s">
        <v>463</v>
      </c>
      <c r="AC294" s="16" t="s">
        <v>464</v>
      </c>
      <c r="AD294" s="16" t="s">
        <v>434</v>
      </c>
      <c r="AG294" s="21" t="s">
        <v>435</v>
      </c>
      <c r="AH294" s="21" t="s">
        <v>435</v>
      </c>
    </row>
    <row r="295" spans="1:34">
      <c r="A295" s="2" t="str">
        <f>'Reference Score Calculation'!A286</f>
        <v>JS7301</v>
      </c>
      <c r="B295" s="364" t="str">
        <f>'Reference Score Calculation'!A286</f>
        <v>JS7301</v>
      </c>
      <c r="C295" s="2" t="str">
        <f>'Reference Score Calculation'!D286</f>
        <v>社會科學(榮譽)學士 - 經濟學</v>
      </c>
      <c r="D295" s="16">
        <f>'Reference Score Calculation'!T286</f>
        <v>15</v>
      </c>
      <c r="E295" s="16">
        <v>3</v>
      </c>
      <c r="F295" s="16">
        <v>3</v>
      </c>
      <c r="G295" s="16">
        <v>2</v>
      </c>
      <c r="H295" s="16">
        <v>2</v>
      </c>
      <c r="I295" s="16">
        <v>2</v>
      </c>
      <c r="L295" s="92">
        <v>3</v>
      </c>
      <c r="M295" s="92">
        <v>3</v>
      </c>
      <c r="N295" s="92">
        <v>2</v>
      </c>
      <c r="O295" s="92">
        <v>1</v>
      </c>
      <c r="P295" s="92">
        <v>2</v>
      </c>
      <c r="Q295" s="92">
        <v>2</v>
      </c>
      <c r="S295" s="16">
        <f t="shared" si="182"/>
        <v>0</v>
      </c>
      <c r="T295" s="16">
        <f t="shared" si="183"/>
        <v>0</v>
      </c>
      <c r="U295" s="16">
        <f t="shared" si="184"/>
        <v>0</v>
      </c>
      <c r="V295" s="16">
        <f t="shared" si="185"/>
        <v>0</v>
      </c>
      <c r="W295" s="16">
        <f t="shared" si="186"/>
        <v>0</v>
      </c>
      <c r="X295" s="16">
        <f t="shared" si="187"/>
        <v>0</v>
      </c>
      <c r="Y295" s="16"/>
      <c r="Z295" s="16">
        <f t="shared" si="188"/>
        <v>0</v>
      </c>
      <c r="AB295" s="16" t="s">
        <v>463</v>
      </c>
      <c r="AC295" s="16" t="s">
        <v>464</v>
      </c>
      <c r="AD295" s="16" t="s">
        <v>434</v>
      </c>
      <c r="AG295" s="21" t="s">
        <v>435</v>
      </c>
      <c r="AH295" s="21" t="s">
        <v>435</v>
      </c>
    </row>
    <row r="296" spans="1:34">
      <c r="A296" s="2" t="str">
        <f>'Reference Score Calculation'!A287</f>
        <v>JS7302</v>
      </c>
      <c r="B296" s="364" t="str">
        <f>'Reference Score Calculation'!A287</f>
        <v>JS7302</v>
      </c>
      <c r="C296" s="2" t="str">
        <f>'Reference Score Calculation'!D287</f>
        <v>社會科學(榮譽)學士 - 政府與國際事務學</v>
      </c>
      <c r="D296" s="16">
        <f>'Reference Score Calculation'!T287</f>
        <v>15</v>
      </c>
      <c r="E296" s="16">
        <v>3</v>
      </c>
      <c r="F296" s="16">
        <v>3</v>
      </c>
      <c r="G296" s="16">
        <v>2</v>
      </c>
      <c r="H296" s="16">
        <v>2</v>
      </c>
      <c r="I296" s="16">
        <v>2</v>
      </c>
      <c r="L296" s="92">
        <v>3</v>
      </c>
      <c r="M296" s="92">
        <v>3</v>
      </c>
      <c r="N296" s="92">
        <v>2</v>
      </c>
      <c r="O296" s="92">
        <v>1</v>
      </c>
      <c r="P296" s="92">
        <v>2</v>
      </c>
      <c r="Q296" s="92">
        <v>2</v>
      </c>
      <c r="S296" s="16">
        <f t="shared" si="182"/>
        <v>0</v>
      </c>
      <c r="T296" s="16">
        <f t="shared" si="183"/>
        <v>0</v>
      </c>
      <c r="U296" s="16">
        <f t="shared" si="184"/>
        <v>0</v>
      </c>
      <c r="V296" s="16">
        <f t="shared" si="185"/>
        <v>0</v>
      </c>
      <c r="W296" s="16">
        <f t="shared" si="186"/>
        <v>0</v>
      </c>
      <c r="X296" s="16">
        <f t="shared" si="187"/>
        <v>0</v>
      </c>
      <c r="Y296" s="16"/>
      <c r="Z296" s="16">
        <f t="shared" si="188"/>
        <v>0</v>
      </c>
      <c r="AB296" s="16" t="s">
        <v>463</v>
      </c>
      <c r="AC296" s="16" t="s">
        <v>464</v>
      </c>
      <c r="AD296" s="16" t="s">
        <v>434</v>
      </c>
      <c r="AG296" s="21" t="s">
        <v>435</v>
      </c>
      <c r="AH296" s="21" t="s">
        <v>435</v>
      </c>
    </row>
    <row r="297" spans="1:34">
      <c r="A297" s="2" t="str">
        <f>'Reference Score Calculation'!A288</f>
        <v>JS7303</v>
      </c>
      <c r="B297" s="364" t="str">
        <f>'Reference Score Calculation'!A288</f>
        <v>JS7303</v>
      </c>
      <c r="C297" s="2" t="str">
        <f>'Reference Score Calculation'!D288</f>
        <v>社會科學(榮譽)學士 - 心理學</v>
      </c>
      <c r="D297" s="16">
        <f>'Reference Score Calculation'!T288</f>
        <v>21</v>
      </c>
      <c r="E297" s="16">
        <v>3</v>
      </c>
      <c r="F297" s="16">
        <v>3</v>
      </c>
      <c r="G297" s="16">
        <v>2</v>
      </c>
      <c r="H297" s="16">
        <v>2</v>
      </c>
      <c r="I297" s="16">
        <v>2</v>
      </c>
      <c r="L297" s="92">
        <v>3</v>
      </c>
      <c r="M297" s="92">
        <v>3</v>
      </c>
      <c r="N297" s="92">
        <v>2</v>
      </c>
      <c r="O297" s="92">
        <v>1</v>
      </c>
      <c r="P297" s="92">
        <v>2</v>
      </c>
      <c r="Q297" s="92">
        <v>2</v>
      </c>
      <c r="S297" s="16">
        <f t="shared" si="182"/>
        <v>0</v>
      </c>
      <c r="T297" s="16">
        <f t="shared" si="183"/>
        <v>0</v>
      </c>
      <c r="U297" s="16">
        <f t="shared" si="184"/>
        <v>0</v>
      </c>
      <c r="V297" s="16">
        <f t="shared" si="185"/>
        <v>0</v>
      </c>
      <c r="W297" s="16">
        <f t="shared" si="186"/>
        <v>0</v>
      </c>
      <c r="X297" s="16">
        <f t="shared" si="187"/>
        <v>0</v>
      </c>
      <c r="Y297" s="16"/>
      <c r="Z297" s="16">
        <f t="shared" si="188"/>
        <v>0</v>
      </c>
      <c r="AB297" s="16" t="s">
        <v>463</v>
      </c>
      <c r="AC297" s="16" t="s">
        <v>464</v>
      </c>
      <c r="AD297" s="16" t="s">
        <v>434</v>
      </c>
      <c r="AG297" s="21" t="s">
        <v>435</v>
      </c>
      <c r="AH297" s="21" t="s">
        <v>435</v>
      </c>
    </row>
    <row r="298" spans="1:34">
      <c r="A298" s="2" t="str">
        <f>'Reference Score Calculation'!A289</f>
        <v>JS7304</v>
      </c>
      <c r="B298" s="364" t="str">
        <f>'Reference Score Calculation'!A289</f>
        <v>JS7304</v>
      </c>
      <c r="C298" s="2" t="str">
        <f>'Reference Score Calculation'!D289</f>
        <v>社會科學(榮譽)學士 - 社會學</v>
      </c>
      <c r="D298" s="16">
        <f>'Reference Score Calculation'!T289</f>
        <v>17</v>
      </c>
      <c r="E298" s="16">
        <v>3</v>
      </c>
      <c r="F298" s="16">
        <v>3</v>
      </c>
      <c r="G298" s="16">
        <v>2</v>
      </c>
      <c r="H298" s="16">
        <v>2</v>
      </c>
      <c r="I298" s="16">
        <v>2</v>
      </c>
      <c r="L298" s="92">
        <v>3</v>
      </c>
      <c r="M298" s="92">
        <v>3</v>
      </c>
      <c r="N298" s="92">
        <v>2</v>
      </c>
      <c r="O298" s="92">
        <v>1</v>
      </c>
      <c r="P298" s="92">
        <v>2</v>
      </c>
      <c r="Q298" s="92">
        <v>2</v>
      </c>
      <c r="S298" s="16">
        <f t="shared" si="182"/>
        <v>0</v>
      </c>
      <c r="T298" s="16">
        <f t="shared" si="183"/>
        <v>0</v>
      </c>
      <c r="U298" s="16">
        <f t="shared" si="184"/>
        <v>0</v>
      </c>
      <c r="V298" s="16">
        <f t="shared" si="185"/>
        <v>0</v>
      </c>
      <c r="W298" s="16">
        <f t="shared" si="186"/>
        <v>0</v>
      </c>
      <c r="X298" s="16">
        <f t="shared" si="187"/>
        <v>0</v>
      </c>
      <c r="Y298" s="16"/>
      <c r="Z298" s="16">
        <f t="shared" si="188"/>
        <v>0</v>
      </c>
      <c r="AB298" s="16" t="s">
        <v>463</v>
      </c>
      <c r="AC298" s="16" t="s">
        <v>464</v>
      </c>
      <c r="AD298" s="16" t="s">
        <v>434</v>
      </c>
      <c r="AG298" s="21" t="s">
        <v>435</v>
      </c>
      <c r="AH298" s="21" t="s">
        <v>435</v>
      </c>
    </row>
    <row r="299" spans="1:34">
      <c r="A299" s="2" t="str">
        <f>'Reference Score Calculation'!A290</f>
        <v>JS7305</v>
      </c>
      <c r="B299" s="364" t="str">
        <f>'Reference Score Calculation'!A290</f>
        <v>JS7305</v>
      </c>
      <c r="C299" s="2" t="str">
        <f>'Reference Score Calculation'!D290</f>
        <v>社會科學(榮譽)學士 - 健康及社會服務管理</v>
      </c>
      <c r="D299" s="16">
        <f>'Reference Score Calculation'!T290</f>
        <v>14</v>
      </c>
      <c r="E299" s="16">
        <v>3</v>
      </c>
      <c r="F299" s="16">
        <v>3</v>
      </c>
      <c r="G299" s="16">
        <v>2</v>
      </c>
      <c r="H299" s="16">
        <v>2</v>
      </c>
      <c r="I299" s="16">
        <v>2</v>
      </c>
      <c r="L299" s="92">
        <v>3</v>
      </c>
      <c r="M299" s="92">
        <v>3</v>
      </c>
      <c r="N299" s="92">
        <v>2</v>
      </c>
      <c r="O299" s="92">
        <v>1</v>
      </c>
      <c r="P299" s="92">
        <v>2</v>
      </c>
      <c r="Q299" s="92">
        <v>2</v>
      </c>
      <c r="S299" s="16">
        <f t="shared" si="182"/>
        <v>0</v>
      </c>
      <c r="T299" s="16">
        <f t="shared" si="183"/>
        <v>0</v>
      </c>
      <c r="U299" s="16">
        <f t="shared" si="184"/>
        <v>0</v>
      </c>
      <c r="V299" s="16">
        <f t="shared" si="185"/>
        <v>0</v>
      </c>
      <c r="W299" s="16">
        <f t="shared" si="186"/>
        <v>0</v>
      </c>
      <c r="X299" s="16">
        <f t="shared" si="187"/>
        <v>0</v>
      </c>
      <c r="Y299" s="16"/>
      <c r="Z299" s="16">
        <f t="shared" si="188"/>
        <v>0</v>
      </c>
      <c r="AB299" s="16" t="s">
        <v>463</v>
      </c>
      <c r="AC299" s="16" t="s">
        <v>464</v>
      </c>
      <c r="AD299" s="16" t="s">
        <v>434</v>
      </c>
      <c r="AG299" s="21" t="s">
        <v>435</v>
      </c>
      <c r="AH299" s="21" t="s">
        <v>435</v>
      </c>
    </row>
    <row r="300" spans="1:34">
      <c r="A300" s="2" t="str">
        <f>'Reference Score Calculation'!A291</f>
        <v>JS7306</v>
      </c>
      <c r="B300" s="364" t="str">
        <f>'Reference Score Calculation'!A291</f>
        <v>JS7306</v>
      </c>
      <c r="C300" s="2" t="str">
        <f>'Reference Score Calculation'!D291</f>
        <v>社會科學(榮譽)學士 - 社會與公共政策研究</v>
      </c>
      <c r="D300" s="16">
        <f>'Reference Score Calculation'!T291</f>
        <v>20</v>
      </c>
      <c r="E300" s="16">
        <v>3</v>
      </c>
      <c r="F300" s="16">
        <v>3</v>
      </c>
      <c r="G300" s="16">
        <v>2</v>
      </c>
      <c r="H300" s="16">
        <v>2</v>
      </c>
      <c r="I300" s="16">
        <v>2</v>
      </c>
      <c r="L300" s="92">
        <v>3</v>
      </c>
      <c r="M300" s="92">
        <v>3</v>
      </c>
      <c r="N300" s="92">
        <v>2</v>
      </c>
      <c r="O300" s="92">
        <v>1</v>
      </c>
      <c r="P300" s="92">
        <v>2</v>
      </c>
      <c r="Q300" s="92">
        <v>2</v>
      </c>
      <c r="S300" s="16">
        <f t="shared" si="182"/>
        <v>0</v>
      </c>
      <c r="T300" s="16">
        <f t="shared" si="183"/>
        <v>0</v>
      </c>
      <c r="U300" s="16">
        <f t="shared" si="184"/>
        <v>0</v>
      </c>
      <c r="V300" s="16">
        <f t="shared" si="185"/>
        <v>0</v>
      </c>
      <c r="W300" s="16">
        <f t="shared" si="186"/>
        <v>0</v>
      </c>
      <c r="X300" s="16">
        <f t="shared" si="187"/>
        <v>0</v>
      </c>
      <c r="Y300" s="16"/>
      <c r="Z300" s="16">
        <f t="shared" si="188"/>
        <v>0</v>
      </c>
      <c r="AB300" s="16" t="s">
        <v>463</v>
      </c>
      <c r="AC300" s="16" t="s">
        <v>464</v>
      </c>
      <c r="AD300" s="16" t="s">
        <v>434</v>
      </c>
      <c r="AG300" s="21" t="s">
        <v>435</v>
      </c>
      <c r="AH300" s="21" t="s">
        <v>435</v>
      </c>
    </row>
    <row r="301" spans="1:34">
      <c r="A301" s="2" t="str">
        <f>'Reference Score Calculation'!A292</f>
        <v>JS7503</v>
      </c>
      <c r="B301" s="364" t="str">
        <f>'Reference Score Calculation'!A292</f>
        <v>JS7503</v>
      </c>
      <c r="C301" s="2" t="str">
        <f>'Reference Score Calculation'!D292</f>
        <v>當代英語語言文學課程(榮譽)文學士</v>
      </c>
      <c r="D301" s="16">
        <f>'Reference Score Calculation'!T292</f>
        <v>18</v>
      </c>
      <c r="E301" s="16">
        <v>3</v>
      </c>
      <c r="F301" s="16">
        <v>3</v>
      </c>
      <c r="G301" s="16">
        <v>2</v>
      </c>
      <c r="H301" s="16">
        <v>2</v>
      </c>
      <c r="I301" s="16">
        <v>2</v>
      </c>
      <c r="L301" s="92">
        <v>3</v>
      </c>
      <c r="M301" s="92">
        <v>3</v>
      </c>
      <c r="N301" s="92">
        <v>2</v>
      </c>
      <c r="O301" s="92">
        <v>1</v>
      </c>
      <c r="P301" s="92">
        <v>2</v>
      </c>
      <c r="Q301" s="92">
        <v>2</v>
      </c>
      <c r="S301" s="16">
        <f t="shared" si="182"/>
        <v>0</v>
      </c>
      <c r="T301" s="16">
        <f t="shared" si="183"/>
        <v>0</v>
      </c>
      <c r="U301" s="16">
        <f t="shared" si="184"/>
        <v>0</v>
      </c>
      <c r="V301" s="16">
        <f t="shared" si="185"/>
        <v>0</v>
      </c>
      <c r="W301" s="16">
        <f t="shared" si="186"/>
        <v>0</v>
      </c>
      <c r="X301" s="16">
        <f t="shared" si="187"/>
        <v>0</v>
      </c>
      <c r="Y301" s="16"/>
      <c r="Z301" s="16">
        <f t="shared" si="188"/>
        <v>0</v>
      </c>
      <c r="AB301" s="16" t="s">
        <v>463</v>
      </c>
      <c r="AC301" s="16" t="s">
        <v>464</v>
      </c>
      <c r="AD301" s="16" t="s">
        <v>434</v>
      </c>
      <c r="AG301" s="21" t="s">
        <v>435</v>
      </c>
      <c r="AH301" s="21" t="s">
        <v>435</v>
      </c>
    </row>
    <row r="302" spans="1:34">
      <c r="A302" s="2" t="str">
        <f>'Reference Score Calculation'!A293</f>
        <v>JS7606</v>
      </c>
      <c r="B302" s="364" t="str">
        <f>'Reference Score Calculation'!A293</f>
        <v>JS7606</v>
      </c>
      <c r="C302" s="2" t="str">
        <f>'Reference Score Calculation'!D293</f>
        <v>文化研究(榮譽)文學士</v>
      </c>
      <c r="D302" s="16">
        <f>'Reference Score Calculation'!T293</f>
        <v>29</v>
      </c>
      <c r="E302" s="16">
        <v>3</v>
      </c>
      <c r="F302" s="16">
        <v>3</v>
      </c>
      <c r="G302" s="16">
        <v>2</v>
      </c>
      <c r="H302" s="16">
        <v>2</v>
      </c>
      <c r="I302" s="16">
        <v>2</v>
      </c>
      <c r="L302" s="92">
        <v>3</v>
      </c>
      <c r="M302" s="92">
        <v>3</v>
      </c>
      <c r="N302" s="92">
        <v>2</v>
      </c>
      <c r="O302" s="92">
        <v>1</v>
      </c>
      <c r="P302" s="92">
        <v>2</v>
      </c>
      <c r="Q302" s="92">
        <v>2</v>
      </c>
      <c r="S302" s="16">
        <f t="shared" si="182"/>
        <v>0</v>
      </c>
      <c r="T302" s="16">
        <f t="shared" si="183"/>
        <v>0</v>
      </c>
      <c r="U302" s="16">
        <f t="shared" si="184"/>
        <v>0</v>
      </c>
      <c r="V302" s="16">
        <f t="shared" si="185"/>
        <v>0</v>
      </c>
      <c r="W302" s="16">
        <f t="shared" si="186"/>
        <v>0</v>
      </c>
      <c r="X302" s="16">
        <f t="shared" si="187"/>
        <v>0</v>
      </c>
      <c r="Y302" s="16"/>
      <c r="Z302" s="16">
        <f t="shared" si="188"/>
        <v>0</v>
      </c>
      <c r="AB302" s="16" t="s">
        <v>463</v>
      </c>
      <c r="AC302" s="16" t="s">
        <v>464</v>
      </c>
      <c r="AD302" s="16" t="s">
        <v>434</v>
      </c>
      <c r="AG302" s="21" t="s">
        <v>435</v>
      </c>
      <c r="AH302" s="21" t="s">
        <v>435</v>
      </c>
    </row>
    <row r="303" spans="1:34">
      <c r="A303" s="2" t="str">
        <f>'Reference Score Calculation'!A294</f>
        <v>JS7709</v>
      </c>
      <c r="B303" s="364" t="str">
        <f>'Reference Score Calculation'!A294</f>
        <v>JS7709</v>
      </c>
      <c r="C303" s="2" t="str">
        <f>'Reference Score Calculation'!D294</f>
        <v>歷史(榮譽)文學士</v>
      </c>
      <c r="D303" s="16">
        <f>'Reference Score Calculation'!T294</f>
        <v>32</v>
      </c>
      <c r="E303" s="16">
        <v>3</v>
      </c>
      <c r="F303" s="16">
        <v>3</v>
      </c>
      <c r="G303" s="16">
        <v>2</v>
      </c>
      <c r="H303" s="16">
        <v>2</v>
      </c>
      <c r="I303" s="16">
        <v>2</v>
      </c>
      <c r="L303" s="92">
        <v>3</v>
      </c>
      <c r="M303" s="92">
        <v>3</v>
      </c>
      <c r="N303" s="92">
        <v>2</v>
      </c>
      <c r="O303" s="92">
        <v>1</v>
      </c>
      <c r="P303" s="92">
        <v>2</v>
      </c>
      <c r="Q303" s="92">
        <v>2</v>
      </c>
      <c r="S303" s="16">
        <f t="shared" si="182"/>
        <v>0</v>
      </c>
      <c r="T303" s="16">
        <f t="shared" si="183"/>
        <v>0</v>
      </c>
      <c r="U303" s="16">
        <f t="shared" si="184"/>
        <v>0</v>
      </c>
      <c r="V303" s="16">
        <f t="shared" si="185"/>
        <v>0</v>
      </c>
      <c r="W303" s="16">
        <f t="shared" si="186"/>
        <v>0</v>
      </c>
      <c r="X303" s="16">
        <f t="shared" si="187"/>
        <v>0</v>
      </c>
      <c r="Y303" s="16"/>
      <c r="Z303" s="16">
        <f t="shared" si="188"/>
        <v>0</v>
      </c>
      <c r="AB303" s="16" t="s">
        <v>463</v>
      </c>
      <c r="AC303" s="16" t="s">
        <v>464</v>
      </c>
      <c r="AD303" s="16" t="s">
        <v>434</v>
      </c>
      <c r="AG303" s="21" t="s">
        <v>435</v>
      </c>
      <c r="AH303" s="21" t="s">
        <v>435</v>
      </c>
    </row>
    <row r="304" spans="1:34">
      <c r="A304" s="2" t="str">
        <f>'Reference Score Calculation'!A295</f>
        <v>JS7802</v>
      </c>
      <c r="B304" s="364" t="str">
        <f>'Reference Score Calculation'!A295</f>
        <v>JS7802</v>
      </c>
      <c r="C304" s="2" t="str">
        <f>'Reference Score Calculation'!D295</f>
        <v>哲學(榮譽)文學士</v>
      </c>
      <c r="D304" s="16">
        <f>'Reference Score Calculation'!T295</f>
        <v>27</v>
      </c>
      <c r="E304" s="16">
        <v>3</v>
      </c>
      <c r="F304" s="16">
        <v>3</v>
      </c>
      <c r="G304" s="16">
        <v>2</v>
      </c>
      <c r="H304" s="16">
        <v>2</v>
      </c>
      <c r="I304" s="16">
        <v>2</v>
      </c>
      <c r="L304" s="92">
        <v>3</v>
      </c>
      <c r="M304" s="92">
        <v>3</v>
      </c>
      <c r="N304" s="92">
        <v>2</v>
      </c>
      <c r="O304" s="92">
        <v>1</v>
      </c>
      <c r="P304" s="92">
        <v>2</v>
      </c>
      <c r="Q304" s="92">
        <v>2</v>
      </c>
      <c r="S304" s="16">
        <f t="shared" si="182"/>
        <v>0</v>
      </c>
      <c r="T304" s="16">
        <f t="shared" si="183"/>
        <v>0</v>
      </c>
      <c r="U304" s="16">
        <f t="shared" si="184"/>
        <v>0</v>
      </c>
      <c r="V304" s="16">
        <f t="shared" si="185"/>
        <v>0</v>
      </c>
      <c r="W304" s="16">
        <f t="shared" si="186"/>
        <v>0</v>
      </c>
      <c r="X304" s="16">
        <f t="shared" si="187"/>
        <v>0</v>
      </c>
      <c r="Y304" s="16"/>
      <c r="Z304" s="16">
        <f t="shared" si="188"/>
        <v>0</v>
      </c>
      <c r="AB304" s="16" t="s">
        <v>463</v>
      </c>
      <c r="AC304" s="16" t="s">
        <v>464</v>
      </c>
      <c r="AD304" s="16" t="s">
        <v>434</v>
      </c>
      <c r="AG304" s="21" t="s">
        <v>435</v>
      </c>
      <c r="AH304" s="21" t="s">
        <v>435</v>
      </c>
    </row>
    <row r="305" spans="1:44">
      <c r="A305" s="2" t="str">
        <f>'Reference Score Calculation'!A296</f>
        <v>JS7905</v>
      </c>
      <c r="B305" s="364" t="str">
        <f>'Reference Score Calculation'!A296</f>
        <v>JS7905</v>
      </c>
      <c r="C305" s="2" t="str">
        <f>'Reference Score Calculation'!D296</f>
        <v>視覺研究(榮譽)文學士</v>
      </c>
      <c r="D305" s="16">
        <f>'Reference Score Calculation'!T296</f>
        <v>20</v>
      </c>
      <c r="E305" s="16">
        <v>3</v>
      </c>
      <c r="F305" s="16">
        <v>3</v>
      </c>
      <c r="G305" s="16">
        <v>2</v>
      </c>
      <c r="H305" s="16">
        <v>2</v>
      </c>
      <c r="I305" s="16">
        <v>2</v>
      </c>
      <c r="L305" s="92">
        <v>3</v>
      </c>
      <c r="M305" s="92">
        <v>3</v>
      </c>
      <c r="N305" s="92">
        <v>2</v>
      </c>
      <c r="O305" s="92">
        <v>1</v>
      </c>
      <c r="P305" s="92">
        <v>2</v>
      </c>
      <c r="Q305" s="92">
        <v>2</v>
      </c>
      <c r="S305" s="16">
        <f t="shared" si="182"/>
        <v>0</v>
      </c>
      <c r="T305" s="16">
        <f t="shared" si="183"/>
        <v>0</v>
      </c>
      <c r="U305" s="16">
        <f t="shared" si="184"/>
        <v>0</v>
      </c>
      <c r="V305" s="16">
        <f t="shared" si="185"/>
        <v>0</v>
      </c>
      <c r="W305" s="16">
        <f t="shared" si="186"/>
        <v>0</v>
      </c>
      <c r="X305" s="16">
        <f t="shared" si="187"/>
        <v>0</v>
      </c>
      <c r="Y305" s="16"/>
      <c r="Z305" s="16">
        <f t="shared" si="188"/>
        <v>0</v>
      </c>
      <c r="AB305" s="16" t="s">
        <v>463</v>
      </c>
      <c r="AC305" s="16" t="s">
        <v>464</v>
      </c>
      <c r="AD305" s="16" t="s">
        <v>434</v>
      </c>
      <c r="AG305" s="21" t="s">
        <v>435</v>
      </c>
      <c r="AH305" s="21" t="s">
        <v>435</v>
      </c>
    </row>
    <row r="306" spans="1:44">
      <c r="B306" s="11" t="s">
        <v>261</v>
      </c>
      <c r="L306" s="92"/>
      <c r="M306" s="92"/>
      <c r="N306" s="92"/>
      <c r="O306" s="92"/>
      <c r="P306" s="92"/>
      <c r="Q306" s="92"/>
      <c r="AH306" s="21" t="s">
        <v>435</v>
      </c>
    </row>
    <row r="307" spans="1:44">
      <c r="B307" s="11" t="s">
        <v>110</v>
      </c>
      <c r="C307" s="11" t="s">
        <v>112</v>
      </c>
      <c r="D307" s="19" t="s">
        <v>38</v>
      </c>
      <c r="E307" s="19"/>
      <c r="F307" s="19"/>
      <c r="G307" s="19"/>
      <c r="H307" s="19"/>
      <c r="I307" s="19"/>
      <c r="J307" s="19"/>
      <c r="K307" s="19"/>
      <c r="L307" s="94" t="s">
        <v>3215</v>
      </c>
      <c r="M307" s="94" t="s">
        <v>3216</v>
      </c>
      <c r="N307" s="94" t="s">
        <v>3217</v>
      </c>
      <c r="O307" s="94" t="s">
        <v>3218</v>
      </c>
      <c r="P307" s="94" t="s">
        <v>2467</v>
      </c>
      <c r="Q307" s="468" t="s">
        <v>2468</v>
      </c>
      <c r="R307" s="16"/>
      <c r="S307" s="94" t="s">
        <v>3215</v>
      </c>
      <c r="T307" s="94" t="s">
        <v>3216</v>
      </c>
      <c r="U307" s="94" t="s">
        <v>3217</v>
      </c>
      <c r="V307" s="94" t="s">
        <v>3218</v>
      </c>
      <c r="W307" s="94" t="s">
        <v>2467</v>
      </c>
      <c r="X307" s="468" t="s">
        <v>2468</v>
      </c>
      <c r="AB307" s="19" t="s">
        <v>297</v>
      </c>
      <c r="AC307" s="19" t="s">
        <v>298</v>
      </c>
      <c r="AD307" s="19" t="s">
        <v>299</v>
      </c>
      <c r="AH307" s="21" t="s">
        <v>435</v>
      </c>
      <c r="AI307" s="124" t="s">
        <v>638</v>
      </c>
      <c r="AJ307" s="124" t="s">
        <v>431</v>
      </c>
      <c r="AK307" s="104"/>
      <c r="AL307" s="117"/>
      <c r="AM307" s="117"/>
      <c r="AN307" s="117"/>
      <c r="AO307" s="117"/>
      <c r="AP307" s="117"/>
      <c r="AQ307" s="117"/>
      <c r="AR307" s="117"/>
    </row>
    <row r="308" spans="1:44">
      <c r="A308" s="2" t="str">
        <f>'Reference Score Calculation'!A299</f>
        <v>JS8105</v>
      </c>
      <c r="B308" s="364" t="str">
        <f>'Reference Score Calculation'!A299</f>
        <v>JS8105</v>
      </c>
      <c r="C308" s="2" t="str">
        <f>'Reference Score Calculation'!D299</f>
        <v>中國語文教育榮譽學士</v>
      </c>
      <c r="D308" s="16">
        <f>'Reference Score Calculation'!T299</f>
        <v>67</v>
      </c>
      <c r="E308" s="16">
        <v>3</v>
      </c>
      <c r="F308" s="16">
        <v>3</v>
      </c>
      <c r="G308" s="16">
        <v>2</v>
      </c>
      <c r="H308" s="16">
        <v>2</v>
      </c>
      <c r="I308" s="16">
        <v>2</v>
      </c>
      <c r="L308" s="92">
        <v>3</v>
      </c>
      <c r="M308" s="92">
        <v>3</v>
      </c>
      <c r="N308" s="92">
        <v>2</v>
      </c>
      <c r="O308" s="92">
        <v>1</v>
      </c>
      <c r="P308" s="92">
        <v>2</v>
      </c>
      <c r="Q308" s="92">
        <v>2</v>
      </c>
      <c r="S308" s="16">
        <f>IF(L308&gt;L$3,0,1)</f>
        <v>0</v>
      </c>
      <c r="T308" s="16">
        <f t="shared" ref="T308:V308" si="189">IF(M308&gt;M$3,0,1)</f>
        <v>0</v>
      </c>
      <c r="U308" s="16">
        <f t="shared" si="189"/>
        <v>0</v>
      </c>
      <c r="V308" s="16">
        <f t="shared" si="189"/>
        <v>0</v>
      </c>
      <c r="W308" s="16">
        <f>IF(P308&gt;LARGE($P$3:$U$3,1),0,1)</f>
        <v>0</v>
      </c>
      <c r="X308" s="16">
        <f>IF(Q308&gt;LARGE($P$3:$U$3,2),0,1)</f>
        <v>0</v>
      </c>
      <c r="Z308" s="16">
        <f>S308*T308*U308*V308*W308*X308</f>
        <v>0</v>
      </c>
      <c r="AB308" s="16" t="s">
        <v>432</v>
      </c>
      <c r="AC308" s="16" t="s">
        <v>464</v>
      </c>
      <c r="AD308" s="16" t="s">
        <v>432</v>
      </c>
      <c r="AF308" s="21" t="s">
        <v>650</v>
      </c>
      <c r="AG308" s="21" t="s">
        <v>356</v>
      </c>
      <c r="AH308" s="21" t="s">
        <v>435</v>
      </c>
      <c r="AI308" s="118"/>
      <c r="AJ308" s="118"/>
      <c r="AK308" s="118"/>
      <c r="AL308" s="118"/>
      <c r="AM308" s="118"/>
      <c r="AN308" s="118"/>
      <c r="AO308" s="118"/>
      <c r="AP308" s="104"/>
      <c r="AQ308" s="104"/>
      <c r="AR308" s="104"/>
    </row>
    <row r="309" spans="1:44">
      <c r="A309" s="2" t="str">
        <f>'Reference Score Calculation'!A300</f>
        <v>JS8222</v>
      </c>
      <c r="B309" s="364" t="str">
        <f>'Reference Score Calculation'!A300</f>
        <v>JS8222</v>
      </c>
      <c r="C309" s="2" t="str">
        <f>'Reference Score Calculation'!D300</f>
        <v>英國語文教育榮譽學士 — 小學</v>
      </c>
      <c r="D309" s="16">
        <f>'Reference Score Calculation'!T300</f>
        <v>14</v>
      </c>
      <c r="E309" s="16">
        <v>3</v>
      </c>
      <c r="F309" s="16">
        <v>3</v>
      </c>
      <c r="G309" s="16">
        <v>2</v>
      </c>
      <c r="H309" s="16">
        <v>2</v>
      </c>
      <c r="I309" s="16">
        <v>2</v>
      </c>
      <c r="L309" s="92">
        <v>3</v>
      </c>
      <c r="M309" s="92">
        <v>3</v>
      </c>
      <c r="N309" s="92">
        <v>2</v>
      </c>
      <c r="O309" s="92">
        <v>1</v>
      </c>
      <c r="P309" s="92">
        <v>2</v>
      </c>
      <c r="Q309" s="92">
        <v>2</v>
      </c>
      <c r="S309" s="16">
        <f t="shared" ref="S309:S334" si="190">IF(L309&gt;L$3,0,1)</f>
        <v>0</v>
      </c>
      <c r="T309" s="16">
        <f t="shared" ref="T309:T334" si="191">IF(M309&gt;M$3,0,1)</f>
        <v>0</v>
      </c>
      <c r="U309" s="16">
        <f t="shared" ref="U309:U334" si="192">IF(N309&gt;N$3,0,1)</f>
        <v>0</v>
      </c>
      <c r="V309" s="16">
        <f t="shared" ref="V309:V334" si="193">IF(O309&gt;O$3,0,1)</f>
        <v>0</v>
      </c>
      <c r="W309" s="16">
        <f t="shared" ref="W309:W310" si="194">IF(P309&gt;LARGE($P$3:$U$3,1),0,1)</f>
        <v>0</v>
      </c>
      <c r="X309" s="16">
        <f t="shared" ref="X309:X334" si="195">IF(Q309&gt;LARGE($P$3:$U$3,2),0,1)</f>
        <v>0</v>
      </c>
      <c r="Z309" s="16">
        <f>S309*T309*U309*V309*W309*X309</f>
        <v>0</v>
      </c>
      <c r="AB309" s="16" t="s">
        <v>432</v>
      </c>
      <c r="AC309" s="16" t="s">
        <v>464</v>
      </c>
      <c r="AD309" s="16" t="s">
        <v>432</v>
      </c>
      <c r="AF309" s="21" t="s">
        <v>356</v>
      </c>
      <c r="AG309" s="21" t="s">
        <v>356</v>
      </c>
      <c r="AH309" s="21" t="s">
        <v>435</v>
      </c>
      <c r="AI309" s="118"/>
      <c r="AJ309" s="118" t="str">
        <f>Q$2</f>
        <v>請選擇第一選修科</v>
      </c>
      <c r="AK309" s="118" t="str">
        <f>R$2</f>
        <v>請選擇第二選修科</v>
      </c>
      <c r="AL309" s="118" t="str">
        <f>S$2</f>
        <v>請選擇第三選修科</v>
      </c>
      <c r="AM309" s="118" t="str">
        <f>T$2</f>
        <v>請選擇第四選修科</v>
      </c>
      <c r="AN309" s="118"/>
      <c r="AO309" s="118"/>
      <c r="AP309" s="118" t="s">
        <v>522</v>
      </c>
      <c r="AQ309" s="118"/>
      <c r="AR309" s="104"/>
    </row>
    <row r="310" spans="1:44">
      <c r="A310" s="2" t="str">
        <f>'Reference Score Calculation'!A301</f>
        <v>JS8234</v>
      </c>
      <c r="B310" s="364" t="str">
        <f>'Reference Score Calculation'!A301</f>
        <v>JS8234</v>
      </c>
      <c r="C310" s="2" t="str">
        <f>'Reference Score Calculation'!D301</f>
        <v>小學教育榮譽學士 - 常識</v>
      </c>
      <c r="D310" s="16">
        <f>'Reference Score Calculation'!T301</f>
        <v>35</v>
      </c>
      <c r="E310" s="16">
        <v>3</v>
      </c>
      <c r="F310" s="16">
        <v>3</v>
      </c>
      <c r="G310" s="16">
        <v>2</v>
      </c>
      <c r="H310" s="16">
        <v>2</v>
      </c>
      <c r="I310" s="16">
        <v>2</v>
      </c>
      <c r="L310" s="92">
        <v>3</v>
      </c>
      <c r="M310" s="92">
        <v>3</v>
      </c>
      <c r="N310" s="92">
        <v>2</v>
      </c>
      <c r="O310" s="92">
        <v>1</v>
      </c>
      <c r="P310" s="92">
        <v>2</v>
      </c>
      <c r="Q310" s="92">
        <v>2</v>
      </c>
      <c r="S310" s="16">
        <f t="shared" si="190"/>
        <v>0</v>
      </c>
      <c r="T310" s="16">
        <f t="shared" si="191"/>
        <v>0</v>
      </c>
      <c r="U310" s="16">
        <f t="shared" si="192"/>
        <v>0</v>
      </c>
      <c r="V310" s="16">
        <f t="shared" si="193"/>
        <v>0</v>
      </c>
      <c r="W310" s="16">
        <f t="shared" si="194"/>
        <v>0</v>
      </c>
      <c r="X310" s="16">
        <f t="shared" si="195"/>
        <v>0</v>
      </c>
      <c r="Z310" s="16">
        <f>S310*T310*U310*V310*W310*X310</f>
        <v>0</v>
      </c>
      <c r="AB310" s="16" t="s">
        <v>432</v>
      </c>
      <c r="AC310" s="16" t="s">
        <v>464</v>
      </c>
      <c r="AD310" s="16" t="s">
        <v>432</v>
      </c>
      <c r="AF310" s="21" t="s">
        <v>356</v>
      </c>
      <c r="AG310" s="21" t="s">
        <v>356</v>
      </c>
      <c r="AH310" s="21" t="s">
        <v>435</v>
      </c>
      <c r="AI310" s="118" t="s">
        <v>639</v>
      </c>
      <c r="AJ310" s="119">
        <f>IF(OR(Q$2="物理",Q$2="化學",Q$2="生物",Q$2="組合科學(物理、化學)",Q$2="組合科學(生物、化學)",Q$2="組合科學(物理、生物)",Q$2="資訊及通訊科技",Q$2="綜合科學"),Q$3,0)</f>
        <v>0</v>
      </c>
      <c r="AK310" s="119">
        <f>IF(OR(R$2="物理",R$2="化學",R$2="生物",R$2="組合科學(物理、化學)",R$2="組合科學(生物、化學)",R$2="組合科學(物理、生物)",R$2="資訊及通訊科技",R$2="綜合科學"),R$3,0)</f>
        <v>0</v>
      </c>
      <c r="AL310" s="119">
        <f>IF(OR(S$2="物理",S$2="化學",S$2="生物",S$2="組合科學(物理、化學)",S$2="組合科學(生物、化學)",S$2="組合科學(物理、生物)",S$2="資訊及通訊科技",S$2="綜合科學"),S$3,0)</f>
        <v>0</v>
      </c>
      <c r="AM310" s="119">
        <f>IF(OR(T$2="物理",T$2="化學",T$2="生物",T$2="組合科學(物理、化學)",T$2="組合科學(生物、化學)",T$2="組合科學(物理、生物)",T$2="資訊及通訊科技",T$2="綜合科學"),T$3,0)</f>
        <v>0</v>
      </c>
      <c r="AN310" s="118"/>
      <c r="AO310" s="118"/>
      <c r="AP310" s="119" t="str">
        <f>IF(AQ310&gt;0.1,INDEX(AJ309:AM309,MATCH(LARGE(AJ310:AM310,1),AJ310:AM310,0)),"無")</f>
        <v>無</v>
      </c>
      <c r="AQ310" s="119">
        <f>LARGE((AJ310:AM310),1)</f>
        <v>0</v>
      </c>
      <c r="AR310" s="104"/>
    </row>
    <row r="311" spans="1:44">
      <c r="A311" s="2" t="str">
        <f>'Reference Score Calculation'!A302</f>
        <v>JS8246</v>
      </c>
      <c r="B311" s="364" t="str">
        <f>'Reference Score Calculation'!A302</f>
        <v>JS8246</v>
      </c>
      <c r="C311" s="2" t="str">
        <f>'Reference Score Calculation'!D302</f>
        <v>小學教育榮譽學士 - 數學</v>
      </c>
      <c r="D311" s="16">
        <f>'Reference Score Calculation'!T302</f>
        <v>55</v>
      </c>
      <c r="E311" s="16">
        <v>3</v>
      </c>
      <c r="F311" s="16">
        <v>3</v>
      </c>
      <c r="G311" s="16">
        <v>3</v>
      </c>
      <c r="H311" s="16">
        <v>2</v>
      </c>
      <c r="I311" s="16">
        <v>2</v>
      </c>
      <c r="L311" s="92">
        <v>3</v>
      </c>
      <c r="M311" s="92">
        <v>3</v>
      </c>
      <c r="N311" s="92">
        <v>3</v>
      </c>
      <c r="O311" s="92">
        <v>1</v>
      </c>
      <c r="P311" s="92">
        <v>2</v>
      </c>
      <c r="Q311" s="92">
        <v>2</v>
      </c>
      <c r="S311" s="16">
        <f t="shared" si="190"/>
        <v>0</v>
      </c>
      <c r="T311" s="16">
        <f t="shared" si="191"/>
        <v>0</v>
      </c>
      <c r="U311" s="16">
        <f>IF(N311&gt;N$3,0,1)</f>
        <v>0</v>
      </c>
      <c r="V311" s="16">
        <f t="shared" si="193"/>
        <v>0</v>
      </c>
      <c r="W311" s="16">
        <f>IF(AND(P311&gt;$P$3,N3&gt;5),2,IF(P3&lt;P311,0,1))</f>
        <v>0</v>
      </c>
      <c r="X311" s="16">
        <f t="shared" si="195"/>
        <v>0</v>
      </c>
      <c r="Z311" s="16">
        <f>S311*T311*U311*V311*W311*X311</f>
        <v>0</v>
      </c>
      <c r="AB311" s="16" t="s">
        <v>432</v>
      </c>
      <c r="AC311" s="16" t="s">
        <v>464</v>
      </c>
      <c r="AD311" s="16" t="s">
        <v>432</v>
      </c>
      <c r="AF311" s="21" t="s">
        <v>640</v>
      </c>
      <c r="AG311" s="21" t="s">
        <v>641</v>
      </c>
      <c r="AH311" s="21" t="s">
        <v>435</v>
      </c>
      <c r="AI311" s="118"/>
      <c r="AJ311" s="163" t="s">
        <v>642</v>
      </c>
      <c r="AK311" s="118"/>
      <c r="AL311" s="118"/>
      <c r="AM311" s="118"/>
      <c r="AN311" s="118"/>
      <c r="AO311" s="118"/>
      <c r="AP311" s="118"/>
      <c r="AQ311" s="104"/>
      <c r="AR311" s="104"/>
    </row>
    <row r="312" spans="1:44">
      <c r="A312" s="2" t="str">
        <f>'Reference Score Calculation'!A303</f>
        <v>JS8325</v>
      </c>
      <c r="B312" s="364" t="str">
        <f>'Reference Score Calculation'!A303</f>
        <v>JS8325</v>
      </c>
      <c r="C312" s="2" t="str">
        <f>'Reference Score Calculation'!D303</f>
        <v>體育教育榮譽學士</v>
      </c>
      <c r="D312" s="16">
        <f>'Reference Score Calculation'!T303</f>
        <v>26</v>
      </c>
      <c r="E312" s="16">
        <v>3</v>
      </c>
      <c r="F312" s="16">
        <v>3</v>
      </c>
      <c r="G312" s="16">
        <v>2</v>
      </c>
      <c r="H312" s="16">
        <v>2</v>
      </c>
      <c r="I312" s="16">
        <v>2</v>
      </c>
      <c r="L312" s="92">
        <v>3</v>
      </c>
      <c r="M312" s="92">
        <v>3</v>
      </c>
      <c r="N312" s="92">
        <v>2</v>
      </c>
      <c r="O312" s="92">
        <v>1</v>
      </c>
      <c r="P312" s="92">
        <v>2</v>
      </c>
      <c r="Q312" s="92">
        <v>2</v>
      </c>
      <c r="S312" s="16">
        <f t="shared" si="190"/>
        <v>0</v>
      </c>
      <c r="T312" s="16">
        <f t="shared" si="191"/>
        <v>0</v>
      </c>
      <c r="U312" s="16">
        <f t="shared" si="192"/>
        <v>0</v>
      </c>
      <c r="V312" s="16">
        <f t="shared" si="193"/>
        <v>0</v>
      </c>
      <c r="W312" s="16">
        <f>IF(P312&gt;LARGE($P$3:$U$3,1),0,1)</f>
        <v>0</v>
      </c>
      <c r="X312" s="16">
        <f t="shared" si="195"/>
        <v>0</v>
      </c>
      <c r="Z312" s="16">
        <f>IF(S312*T312*U312*V312*W312=0,0,2)</f>
        <v>0</v>
      </c>
      <c r="AB312" s="16" t="s">
        <v>432</v>
      </c>
      <c r="AC312" s="16" t="s">
        <v>464</v>
      </c>
      <c r="AD312" s="16" t="s">
        <v>432</v>
      </c>
      <c r="AF312" s="21" t="s">
        <v>3245</v>
      </c>
      <c r="AG312" s="21" t="s">
        <v>435</v>
      </c>
      <c r="AH312" s="21" t="s">
        <v>435</v>
      </c>
      <c r="AI312" s="118"/>
      <c r="AJ312" s="118"/>
      <c r="AK312" s="118"/>
      <c r="AL312" s="118"/>
      <c r="AM312" s="118"/>
      <c r="AN312" s="118"/>
      <c r="AO312" s="118"/>
      <c r="AP312" s="104"/>
      <c r="AQ312" s="104"/>
      <c r="AR312" s="104"/>
    </row>
    <row r="313" spans="1:44">
      <c r="A313" s="2" t="str">
        <f>'Reference Score Calculation'!A304</f>
        <v>JS8361</v>
      </c>
      <c r="B313" s="364" t="str">
        <f>'Reference Score Calculation'!A304</f>
        <v>JS8361</v>
      </c>
      <c r="C313" s="2" t="str">
        <f>'Reference Score Calculation'!D304</f>
        <v>中學教育榮譽學士 - 資訊及通訊科技</v>
      </c>
      <c r="D313" s="16">
        <f>'Reference Score Calculation'!T304</f>
        <v>14</v>
      </c>
      <c r="E313" s="16">
        <v>3</v>
      </c>
      <c r="F313" s="16">
        <v>3</v>
      </c>
      <c r="G313" s="16">
        <v>2</v>
      </c>
      <c r="H313" s="16">
        <v>2</v>
      </c>
      <c r="I313" s="16">
        <v>2</v>
      </c>
      <c r="L313" s="92">
        <v>3</v>
      </c>
      <c r="M313" s="92">
        <v>3</v>
      </c>
      <c r="N313" s="92">
        <v>2</v>
      </c>
      <c r="O313" s="92">
        <v>1</v>
      </c>
      <c r="P313" s="92">
        <v>2</v>
      </c>
      <c r="Q313" s="92">
        <v>2</v>
      </c>
      <c r="S313" s="16">
        <f t="shared" si="190"/>
        <v>0</v>
      </c>
      <c r="T313" s="16">
        <f t="shared" si="191"/>
        <v>0</v>
      </c>
      <c r="U313" s="16">
        <f t="shared" si="192"/>
        <v>0</v>
      </c>
      <c r="V313" s="16">
        <f t="shared" si="193"/>
        <v>0</v>
      </c>
      <c r="W313" s="16">
        <f>IF(P313&gt;AQ310,0,1)</f>
        <v>0</v>
      </c>
      <c r="X313" s="16">
        <f t="shared" si="195"/>
        <v>0</v>
      </c>
      <c r="Z313" s="16">
        <f>S313*T313*U313*V313*W313*X313</f>
        <v>0</v>
      </c>
      <c r="AB313" s="16" t="s">
        <v>432</v>
      </c>
      <c r="AC313" s="16" t="s">
        <v>464</v>
      </c>
      <c r="AD313" s="16" t="s">
        <v>432</v>
      </c>
      <c r="AF313" s="21" t="s">
        <v>643</v>
      </c>
      <c r="AG313" s="21" t="s">
        <v>356</v>
      </c>
      <c r="AH313" s="21" t="s">
        <v>435</v>
      </c>
      <c r="AI313" s="118"/>
      <c r="AJ313" s="118" t="str">
        <f>Q$2</f>
        <v>請選擇第一選修科</v>
      </c>
      <c r="AK313" s="118" t="str">
        <f>R$2</f>
        <v>請選擇第二選修科</v>
      </c>
      <c r="AL313" s="118" t="str">
        <f>S$2</f>
        <v>請選擇第三選修科</v>
      </c>
      <c r="AM313" s="118" t="str">
        <f>T$2</f>
        <v>請選擇第四選修科</v>
      </c>
      <c r="AN313" s="118"/>
      <c r="AO313" s="118"/>
      <c r="AP313" s="118" t="s">
        <v>522</v>
      </c>
      <c r="AQ313" s="118"/>
      <c r="AR313" s="104"/>
    </row>
    <row r="314" spans="1:44">
      <c r="A314" s="2" t="str">
        <f>'Reference Score Calculation'!A305</f>
        <v>JS8371</v>
      </c>
      <c r="B314" s="364" t="str">
        <f>'Reference Score Calculation'!A305</f>
        <v>JS8371</v>
      </c>
      <c r="C314" s="2" t="str">
        <f>'Reference Score Calculation'!D305</f>
        <v>企業、會計與財務概論教育榮譽學士</v>
      </c>
      <c r="D314" s="16">
        <f>'Reference Score Calculation'!T305</f>
        <v>19</v>
      </c>
      <c r="E314" s="16">
        <v>3</v>
      </c>
      <c r="F314" s="16">
        <v>3</v>
      </c>
      <c r="G314" s="16">
        <v>2</v>
      </c>
      <c r="H314" s="16">
        <v>2</v>
      </c>
      <c r="I314" s="16">
        <v>2</v>
      </c>
      <c r="L314" s="92">
        <v>3</v>
      </c>
      <c r="M314" s="92">
        <v>3</v>
      </c>
      <c r="N314" s="92">
        <v>2</v>
      </c>
      <c r="O314" s="92">
        <v>1</v>
      </c>
      <c r="P314" s="92">
        <v>2</v>
      </c>
      <c r="Q314" s="92">
        <v>2</v>
      </c>
      <c r="S314" s="16">
        <f t="shared" si="190"/>
        <v>0</v>
      </c>
      <c r="T314" s="16">
        <f t="shared" si="191"/>
        <v>0</v>
      </c>
      <c r="U314" s="16">
        <f t="shared" si="192"/>
        <v>0</v>
      </c>
      <c r="V314" s="16">
        <f t="shared" si="193"/>
        <v>0</v>
      </c>
      <c r="W314" s="16">
        <f t="shared" ref="W314:W318" si="196">IF(P314&gt;LARGE($P$3:$U$3,1),0,1)</f>
        <v>0</v>
      </c>
      <c r="X314" s="16">
        <f t="shared" si="195"/>
        <v>0</v>
      </c>
      <c r="Z314" s="16">
        <f t="shared" ref="Z314:Z319" si="197">S314*T314*U314*V314*W314*X314</f>
        <v>0</v>
      </c>
      <c r="AB314" s="16" t="s">
        <v>432</v>
      </c>
      <c r="AC314" s="16" t="s">
        <v>464</v>
      </c>
      <c r="AD314" s="16" t="s">
        <v>432</v>
      </c>
      <c r="AF314" s="21" t="s">
        <v>356</v>
      </c>
      <c r="AG314" s="21" t="s">
        <v>356</v>
      </c>
      <c r="AH314" s="21" t="s">
        <v>435</v>
      </c>
      <c r="AI314" s="118" t="s">
        <v>644</v>
      </c>
      <c r="AJ314" s="119">
        <f>IF(OR(Q$2="物理",Q$2="化學",Q$2="生物",Q$2="組合科學(物理、化學)",Q$2="組合科學(生物、化學)",Q$2="組合科學(物理、生物)",Q$2="綜合科學"),Q$3,0)</f>
        <v>0</v>
      </c>
      <c r="AK314" s="119">
        <f>IF(OR(R$2="物理",R$2="化學",R$2="生物",R$2="組合科學(物理、化學)",R$2="組合科學(生物、化學)",R$2="組合科學(物理、生物)",R$2="綜合科學"),R$3,0)</f>
        <v>0</v>
      </c>
      <c r="AL314" s="119">
        <f>IF(OR(S$2="物理",S$2="化學",S$2="生物",S$2="組合科學(物理、化學)",S$2="組合科學(生物、化學)",S$2="組合科學(物理、生物)",S$2="綜合科學"),S$3,0)</f>
        <v>0</v>
      </c>
      <c r="AM314" s="119">
        <f>IF(OR(T$2="物理",T$2="化學",T$2="生物",T$2="組合科學(物理、化學)",T$2="組合科學(生物、化學)",T$2="組合科學(物理、生物)",T$2="綜合科學"),T$3,0)</f>
        <v>0</v>
      </c>
      <c r="AN314" s="118"/>
      <c r="AO314" s="118"/>
      <c r="AP314" s="119" t="str">
        <f>IF(AQ314&gt;0.1,INDEX(AJ313:AM313,MATCH(LARGE(AJ314:AM314,1),AJ314:AM314,0)),"無")</f>
        <v>無</v>
      </c>
      <c r="AQ314" s="119">
        <f>LARGE((AJ314:AM314),1)</f>
        <v>0</v>
      </c>
      <c r="AR314" s="104"/>
    </row>
    <row r="315" spans="1:44">
      <c r="A315" s="2" t="str">
        <f>'Reference Score Calculation'!A306</f>
        <v>JS8381</v>
      </c>
      <c r="B315" s="364" t="str">
        <f>'Reference Score Calculation'!A306</f>
        <v>JS8381</v>
      </c>
      <c r="C315" s="2" t="str">
        <f>'Reference Score Calculation'!D306</f>
        <v>歷史教育榮譽學士</v>
      </c>
      <c r="D315" s="16">
        <f>'Reference Score Calculation'!T306</f>
        <v>10</v>
      </c>
      <c r="L315" s="92">
        <v>3</v>
      </c>
      <c r="M315" s="92">
        <v>3</v>
      </c>
      <c r="N315" s="92">
        <v>2</v>
      </c>
      <c r="O315" s="92">
        <v>1</v>
      </c>
      <c r="P315" s="92">
        <v>2</v>
      </c>
      <c r="Q315" s="92">
        <v>2</v>
      </c>
      <c r="S315" s="16">
        <f t="shared" si="190"/>
        <v>0</v>
      </c>
      <c r="T315" s="16">
        <f t="shared" si="191"/>
        <v>0</v>
      </c>
      <c r="U315" s="16">
        <f t="shared" si="192"/>
        <v>0</v>
      </c>
      <c r="V315" s="16">
        <f t="shared" si="193"/>
        <v>0</v>
      </c>
      <c r="W315" s="16">
        <f t="shared" si="196"/>
        <v>0</v>
      </c>
      <c r="X315" s="16">
        <f t="shared" si="195"/>
        <v>0</v>
      </c>
      <c r="Z315" s="16">
        <f t="shared" si="197"/>
        <v>0</v>
      </c>
      <c r="AB315" s="16" t="s">
        <v>432</v>
      </c>
      <c r="AC315" s="16" t="s">
        <v>464</v>
      </c>
      <c r="AD315" s="16" t="s">
        <v>432</v>
      </c>
      <c r="AF315" s="21" t="s">
        <v>646</v>
      </c>
      <c r="AG315" s="21" t="s">
        <v>356</v>
      </c>
      <c r="AH315" s="21" t="s">
        <v>435</v>
      </c>
      <c r="AI315" s="118"/>
      <c r="AJ315" s="163" t="s">
        <v>546</v>
      </c>
      <c r="AK315" s="118"/>
      <c r="AL315" s="118"/>
      <c r="AM315" s="118"/>
      <c r="AN315" s="118"/>
      <c r="AO315" s="118"/>
      <c r="AP315" s="118"/>
      <c r="AQ315" s="104"/>
      <c r="AR315" s="104"/>
    </row>
    <row r="316" spans="1:44">
      <c r="A316" s="2" t="str">
        <f>'Reference Score Calculation'!A307</f>
        <v>JS8404</v>
      </c>
      <c r="B316" s="364" t="str">
        <f>'Reference Score Calculation'!A307</f>
        <v>JS8404</v>
      </c>
      <c r="C316" s="2" t="str">
        <f>'Reference Score Calculation'!D307</f>
        <v>幼兒教育榮譽學士</v>
      </c>
      <c r="D316" s="16">
        <f>'Reference Score Calculation'!T307</f>
        <v>49</v>
      </c>
      <c r="E316" s="16">
        <v>3</v>
      </c>
      <c r="F316" s="16">
        <v>3</v>
      </c>
      <c r="G316" s="16">
        <v>2</v>
      </c>
      <c r="H316" s="16">
        <v>2</v>
      </c>
      <c r="I316" s="16">
        <v>2</v>
      </c>
      <c r="L316" s="92">
        <v>3</v>
      </c>
      <c r="M316" s="92">
        <v>3</v>
      </c>
      <c r="N316" s="92">
        <v>2</v>
      </c>
      <c r="O316" s="92">
        <v>1</v>
      </c>
      <c r="P316" s="92">
        <v>2</v>
      </c>
      <c r="Q316" s="92">
        <v>2</v>
      </c>
      <c r="S316" s="16">
        <f t="shared" si="190"/>
        <v>0</v>
      </c>
      <c r="T316" s="16">
        <f t="shared" si="191"/>
        <v>0</v>
      </c>
      <c r="U316" s="16">
        <f t="shared" si="192"/>
        <v>0</v>
      </c>
      <c r="V316" s="16">
        <f t="shared" si="193"/>
        <v>0</v>
      </c>
      <c r="W316" s="16">
        <f t="shared" si="196"/>
        <v>0</v>
      </c>
      <c r="X316" s="16">
        <f t="shared" si="195"/>
        <v>0</v>
      </c>
      <c r="Z316" s="16">
        <f t="shared" si="197"/>
        <v>0</v>
      </c>
      <c r="AB316" s="16" t="s">
        <v>432</v>
      </c>
      <c r="AC316" s="16" t="s">
        <v>464</v>
      </c>
      <c r="AD316" s="16" t="s">
        <v>432</v>
      </c>
      <c r="AF316" s="21" t="s">
        <v>356</v>
      </c>
      <c r="AG316" s="21" t="s">
        <v>356</v>
      </c>
      <c r="AH316" s="21" t="s">
        <v>435</v>
      </c>
      <c r="AI316" s="118"/>
      <c r="AJ316" s="118"/>
      <c r="AK316" s="118"/>
      <c r="AL316" s="118"/>
      <c r="AM316" s="118"/>
      <c r="AN316" s="118"/>
      <c r="AO316" s="118"/>
      <c r="AP316" s="104"/>
      <c r="AQ316" s="104"/>
      <c r="AR316" s="104"/>
    </row>
    <row r="317" spans="1:44">
      <c r="A317" s="2" t="str">
        <f>'Reference Score Calculation'!A308</f>
        <v>JS8416</v>
      </c>
      <c r="B317" s="364" t="str">
        <f>'Reference Score Calculation'!A308</f>
        <v>JS8416</v>
      </c>
      <c r="C317" s="2" t="str">
        <f>'Reference Score Calculation'!D308</f>
        <v>中國歷史教育榮譽學士</v>
      </c>
      <c r="D317" s="16" t="str">
        <f>'Reference Score Calculation'!T308</f>
        <v>/</v>
      </c>
      <c r="E317" s="16">
        <v>3</v>
      </c>
      <c r="F317" s="16">
        <v>3</v>
      </c>
      <c r="G317" s="16">
        <v>2</v>
      </c>
      <c r="H317" s="16">
        <v>2</v>
      </c>
      <c r="I317" s="16">
        <v>2</v>
      </c>
      <c r="L317" s="92">
        <v>3</v>
      </c>
      <c r="M317" s="92">
        <v>3</v>
      </c>
      <c r="N317" s="92">
        <v>2</v>
      </c>
      <c r="O317" s="92">
        <v>1</v>
      </c>
      <c r="P317" s="92">
        <v>2</v>
      </c>
      <c r="Q317" s="92">
        <v>2</v>
      </c>
      <c r="S317" s="16">
        <f t="shared" ref="S317" si="198">IF(L317&gt;L$3,0,1)</f>
        <v>0</v>
      </c>
      <c r="T317" s="16">
        <f t="shared" ref="T317" si="199">IF(M317&gt;M$3,0,1)</f>
        <v>0</v>
      </c>
      <c r="U317" s="16">
        <f t="shared" ref="U317" si="200">IF(N317&gt;N$3,0,1)</f>
        <v>0</v>
      </c>
      <c r="V317" s="16">
        <f t="shared" ref="V317" si="201">IF(O317&gt;O$3,0,1)</f>
        <v>0</v>
      </c>
      <c r="W317" s="16">
        <f t="shared" ref="W317" si="202">IF(P317&gt;LARGE($P$3:$U$3,1),0,1)</f>
        <v>0</v>
      </c>
      <c r="X317" s="16">
        <f t="shared" si="195"/>
        <v>0</v>
      </c>
      <c r="Z317" s="16">
        <f t="shared" si="197"/>
        <v>0</v>
      </c>
      <c r="AB317" s="16" t="s">
        <v>432</v>
      </c>
      <c r="AC317" s="16" t="s">
        <v>464</v>
      </c>
      <c r="AD317" s="16" t="s">
        <v>432</v>
      </c>
      <c r="AF317" s="21" t="s">
        <v>645</v>
      </c>
      <c r="AG317" s="21" t="s">
        <v>646</v>
      </c>
      <c r="AH317" s="21" t="s">
        <v>356</v>
      </c>
      <c r="AI317" s="118"/>
      <c r="AJ317" s="118"/>
      <c r="AK317" s="118"/>
      <c r="AL317" s="118"/>
      <c r="AM317" s="118"/>
      <c r="AN317" s="118"/>
      <c r="AO317" s="118"/>
      <c r="AP317" s="104"/>
      <c r="AQ317" s="104"/>
      <c r="AR317" s="104"/>
    </row>
    <row r="318" spans="1:44">
      <c r="A318" s="2" t="str">
        <f>'Reference Score Calculation'!A309</f>
        <v>JS8428</v>
      </c>
      <c r="B318" s="364" t="str">
        <f>'Reference Score Calculation'!A309</f>
        <v>JS8428</v>
      </c>
      <c r="C318" s="2" t="str">
        <f>'Reference Score Calculation'!D309</f>
        <v>地理教育榮譽學士</v>
      </c>
      <c r="D318" s="16">
        <f>'Reference Score Calculation'!T309</f>
        <v>10</v>
      </c>
      <c r="E318" s="16">
        <v>3</v>
      </c>
      <c r="F318" s="16">
        <v>3</v>
      </c>
      <c r="G318" s="16">
        <v>2</v>
      </c>
      <c r="H318" s="16">
        <v>2</v>
      </c>
      <c r="I318" s="16">
        <v>2</v>
      </c>
      <c r="L318" s="92">
        <v>3</v>
      </c>
      <c r="M318" s="92">
        <v>3</v>
      </c>
      <c r="N318" s="92">
        <v>2</v>
      </c>
      <c r="O318" s="92">
        <v>1</v>
      </c>
      <c r="P318" s="92">
        <v>2</v>
      </c>
      <c r="Q318" s="92">
        <v>2</v>
      </c>
      <c r="S318" s="16">
        <f t="shared" si="190"/>
        <v>0</v>
      </c>
      <c r="T318" s="16">
        <f t="shared" si="191"/>
        <v>0</v>
      </c>
      <c r="U318" s="16">
        <f t="shared" si="192"/>
        <v>0</v>
      </c>
      <c r="V318" s="16">
        <f t="shared" si="193"/>
        <v>0</v>
      </c>
      <c r="W318" s="16">
        <f t="shared" si="196"/>
        <v>0</v>
      </c>
      <c r="X318" s="16">
        <f t="shared" si="195"/>
        <v>0</v>
      </c>
      <c r="Z318" s="16">
        <f t="shared" si="197"/>
        <v>0</v>
      </c>
      <c r="AB318" s="16" t="s">
        <v>432</v>
      </c>
      <c r="AC318" s="16" t="s">
        <v>464</v>
      </c>
      <c r="AD318" s="16" t="s">
        <v>432</v>
      </c>
      <c r="AF318" s="21" t="s">
        <v>356</v>
      </c>
      <c r="AG318" s="21" t="s">
        <v>356</v>
      </c>
      <c r="AH318" s="21" t="s">
        <v>435</v>
      </c>
      <c r="AI318" s="118"/>
      <c r="AJ318" s="118" t="str">
        <f>Q$2</f>
        <v>請選擇第一選修科</v>
      </c>
      <c r="AK318" s="118" t="str">
        <f>R$2</f>
        <v>請選擇第二選修科</v>
      </c>
      <c r="AL318" s="118" t="str">
        <f>S$2</f>
        <v>請選擇第三選修科</v>
      </c>
      <c r="AM318" s="118" t="str">
        <f>T$2</f>
        <v>請選擇第四選修科</v>
      </c>
      <c r="AN318" s="118"/>
      <c r="AO318" s="118"/>
      <c r="AP318" s="118" t="s">
        <v>522</v>
      </c>
      <c r="AQ318" s="118"/>
      <c r="AR318" s="104"/>
    </row>
    <row r="319" spans="1:44">
      <c r="A319" s="2" t="str">
        <f>'Reference Score Calculation'!A310</f>
        <v>JS8430</v>
      </c>
      <c r="B319" s="364" t="str">
        <f>'Reference Score Calculation'!A310</f>
        <v>JS8430</v>
      </c>
      <c r="C319" s="2" t="str">
        <f>'Reference Score Calculation'!D310</f>
        <v>科學教育榮譽學士</v>
      </c>
      <c r="D319" s="16">
        <f>'Reference Score Calculation'!T310</f>
        <v>13</v>
      </c>
      <c r="E319" s="16">
        <v>3</v>
      </c>
      <c r="F319" s="16">
        <v>3</v>
      </c>
      <c r="G319" s="16">
        <v>2</v>
      </c>
      <c r="H319" s="16">
        <v>2</v>
      </c>
      <c r="I319" s="16">
        <v>4</v>
      </c>
      <c r="L319" s="92">
        <v>3</v>
      </c>
      <c r="M319" s="92">
        <v>3</v>
      </c>
      <c r="N319" s="92">
        <v>2</v>
      </c>
      <c r="O319" s="92">
        <v>1</v>
      </c>
      <c r="P319" s="92">
        <v>4</v>
      </c>
      <c r="Q319" s="92">
        <v>2</v>
      </c>
      <c r="S319" s="16">
        <f t="shared" si="190"/>
        <v>0</v>
      </c>
      <c r="T319" s="16">
        <f t="shared" si="191"/>
        <v>0</v>
      </c>
      <c r="U319" s="16">
        <f t="shared" si="192"/>
        <v>0</v>
      </c>
      <c r="V319" s="16">
        <f t="shared" si="193"/>
        <v>0</v>
      </c>
      <c r="W319" s="16">
        <f>IF(P319&gt;AQ314,0,1)</f>
        <v>0</v>
      </c>
      <c r="X319" s="16">
        <f t="shared" si="195"/>
        <v>0</v>
      </c>
      <c r="Z319" s="16">
        <f t="shared" si="197"/>
        <v>0</v>
      </c>
      <c r="AB319" s="16" t="s">
        <v>432</v>
      </c>
      <c r="AC319" s="16" t="s">
        <v>464</v>
      </c>
      <c r="AD319" s="16" t="s">
        <v>432</v>
      </c>
      <c r="AF319" s="21" t="s">
        <v>647</v>
      </c>
      <c r="AG319" s="21" t="s">
        <v>356</v>
      </c>
      <c r="AH319" s="21" t="s">
        <v>435</v>
      </c>
      <c r="AI319" s="118" t="s">
        <v>648</v>
      </c>
      <c r="AJ319" s="119">
        <f>IF(OR(Q$2="物理",Q$2="化學",Q$2="生物",Q$2="組合科學(物理、化學)",Q$2="組合科學(生物、化學)",Q$2="組合科學(物理、生物)",Q$2="地理",Q$2="綜合科學"),Q$3,0)</f>
        <v>0</v>
      </c>
      <c r="AK319" s="119">
        <f>IF(OR(R$2="物理",R$2="化學",R$2="生物",R$2="組合科學(物理、化學)",R$2="組合科學(生物、化學)",R$2="組合科學(物理、生物)",R$2="地理",R$2="綜合科學"),R$3,0)</f>
        <v>0</v>
      </c>
      <c r="AL319" s="119">
        <f>IF(OR(S$2="物理",S$2="化學",S$2="生物",S$2="組合科學(物理、化學)",S$2="組合科學(生物、化學)",S$2="組合科學(物理、生物)",S$2="地理",S$2="綜合科學"),S$3,0)</f>
        <v>0</v>
      </c>
      <c r="AM319" s="119">
        <f>IF(OR(T$2="物理",T$2="化學",T$2="生物",T$2="組合科學(物理、化學)",T$2="組合科學(生物、化學)",T$2="組合科學(物理、生物)",T$2="地理",T$2="綜合科學"),T$3,0)</f>
        <v>0</v>
      </c>
      <c r="AN319" s="118"/>
      <c r="AO319" s="118"/>
      <c r="AP319" s="119" t="str">
        <f>IF(AQ319&gt;0.1,INDEX(AJ318:AM318,MATCH(LARGE(AJ319:AM319,1),AJ319:AM319,0)),"無")</f>
        <v>無</v>
      </c>
      <c r="AQ319" s="119">
        <f>LARGE((AJ319:AM319),1)</f>
        <v>0</v>
      </c>
      <c r="AR319" s="104"/>
    </row>
    <row r="320" spans="1:44">
      <c r="A320" s="2" t="str">
        <f>'Reference Score Calculation'!A311</f>
        <v>JS8507</v>
      </c>
      <c r="B320" s="364" t="str">
        <f>'Reference Score Calculation'!A311</f>
        <v>JS8507</v>
      </c>
      <c r="C320" s="2" t="str">
        <f>'Reference Score Calculation'!D311</f>
        <v>幼兒教育高級文憑</v>
      </c>
      <c r="D320" s="16">
        <f>'Reference Score Calculation'!T311</f>
        <v>330</v>
      </c>
      <c r="E320" s="16">
        <v>2</v>
      </c>
      <c r="F320" s="16">
        <v>2</v>
      </c>
      <c r="G320" s="16">
        <v>2</v>
      </c>
      <c r="H320" s="16">
        <v>2</v>
      </c>
      <c r="I320" s="16">
        <v>2</v>
      </c>
      <c r="L320" s="92">
        <v>2</v>
      </c>
      <c r="M320" s="92">
        <v>2</v>
      </c>
      <c r="N320" s="92">
        <v>2</v>
      </c>
      <c r="O320" s="92">
        <v>2</v>
      </c>
      <c r="P320" s="92">
        <v>2</v>
      </c>
      <c r="Q320" s="2"/>
      <c r="S320" s="16">
        <f t="shared" si="190"/>
        <v>0</v>
      </c>
      <c r="T320" s="16">
        <f t="shared" si="191"/>
        <v>0</v>
      </c>
      <c r="U320" s="16">
        <f>IF(N320&gt;LARGE($AJ$327:$AQ$327,1),0,1)</f>
        <v>0</v>
      </c>
      <c r="V320" s="16">
        <f>IF(O320&gt;LARGE($AJ$327:$AQ$327,2),0,1)</f>
        <v>0</v>
      </c>
      <c r="W320" s="16">
        <f>IF(P320&gt;LARGE($AJ$327:$AQ$327,3),0,1)</f>
        <v>0</v>
      </c>
      <c r="Z320" s="16">
        <f>S320*T320*U320*V320*W320</f>
        <v>0</v>
      </c>
      <c r="AB320" s="16" t="s">
        <v>432</v>
      </c>
      <c r="AC320" s="16" t="s">
        <v>464</v>
      </c>
      <c r="AD320" s="16" t="s">
        <v>432</v>
      </c>
      <c r="AF320" s="21" t="s">
        <v>356</v>
      </c>
      <c r="AG320" s="21" t="s">
        <v>356</v>
      </c>
      <c r="AH320" s="21" t="s">
        <v>435</v>
      </c>
      <c r="AI320" s="118"/>
      <c r="AJ320" s="163" t="s">
        <v>649</v>
      </c>
      <c r="AK320" s="118"/>
      <c r="AL320" s="118"/>
      <c r="AM320" s="118"/>
      <c r="AN320" s="118"/>
      <c r="AO320" s="118"/>
      <c r="AP320" s="118"/>
      <c r="AQ320" s="104"/>
      <c r="AR320" s="104"/>
    </row>
    <row r="321" spans="1:44">
      <c r="A321" s="2" t="str">
        <f>'Reference Score Calculation'!A312</f>
        <v>JS8600</v>
      </c>
      <c r="B321" s="364" t="str">
        <f>'Reference Score Calculation'!A312</f>
        <v>JS8600</v>
      </c>
      <c r="C321" s="2" t="str">
        <f>'Reference Score Calculation'!D312</f>
        <v>語文研究榮譽文學士 (中文主修)</v>
      </c>
      <c r="D321" s="16">
        <f>'Reference Score Calculation'!T312</f>
        <v>11</v>
      </c>
      <c r="E321" s="16">
        <v>3</v>
      </c>
      <c r="F321" s="16">
        <v>3</v>
      </c>
      <c r="G321" s="16">
        <v>2</v>
      </c>
      <c r="H321" s="16">
        <v>2</v>
      </c>
      <c r="I321" s="16">
        <v>2</v>
      </c>
      <c r="L321" s="92">
        <v>3</v>
      </c>
      <c r="M321" s="92">
        <v>3</v>
      </c>
      <c r="N321" s="92">
        <v>2</v>
      </c>
      <c r="O321" s="92">
        <v>1</v>
      </c>
      <c r="P321" s="92">
        <v>2</v>
      </c>
      <c r="Q321" s="92">
        <v>2</v>
      </c>
      <c r="S321" s="16">
        <f t="shared" si="190"/>
        <v>0</v>
      </c>
      <c r="T321" s="16">
        <f t="shared" si="191"/>
        <v>0</v>
      </c>
      <c r="U321" s="16">
        <f t="shared" si="192"/>
        <v>0</v>
      </c>
      <c r="V321" s="16">
        <f t="shared" si="193"/>
        <v>0</v>
      </c>
      <c r="W321" s="16">
        <f t="shared" ref="W321:W334" si="203">IF(P321&gt;LARGE($P$3:$U$3,1),0,1)</f>
        <v>0</v>
      </c>
      <c r="X321" s="16">
        <f t="shared" si="195"/>
        <v>0</v>
      </c>
      <c r="Z321" s="16">
        <f>S321*T321*U321*V321*W321*X321</f>
        <v>0</v>
      </c>
      <c r="AB321" s="16" t="s">
        <v>432</v>
      </c>
      <c r="AC321" s="16" t="s">
        <v>464</v>
      </c>
      <c r="AD321" s="16" t="s">
        <v>432</v>
      </c>
      <c r="AF321" s="21" t="s">
        <v>650</v>
      </c>
      <c r="AG321" s="21" t="s">
        <v>651</v>
      </c>
      <c r="AH321" s="21" t="s">
        <v>435</v>
      </c>
      <c r="AI321" s="118"/>
      <c r="AJ321" s="118"/>
      <c r="AK321" s="118"/>
      <c r="AL321" s="118"/>
      <c r="AM321" s="118"/>
      <c r="AN321" s="118"/>
      <c r="AO321" s="118"/>
      <c r="AP321" s="104"/>
      <c r="AQ321" s="104"/>
      <c r="AR321" s="104"/>
    </row>
    <row r="322" spans="1:44">
      <c r="A322" s="2" t="str">
        <f>'Reference Score Calculation'!A313</f>
        <v>JS8612</v>
      </c>
      <c r="B322" s="364" t="str">
        <f>'Reference Score Calculation'!A313</f>
        <v>JS8612</v>
      </c>
      <c r="C322" s="2" t="str">
        <f>'Reference Score Calculation'!D313</f>
        <v>語文研究榮譽文學士 (英文主修)</v>
      </c>
      <c r="D322" s="16">
        <f>'Reference Score Calculation'!T313</f>
        <v>10</v>
      </c>
      <c r="E322" s="16">
        <v>3</v>
      </c>
      <c r="F322" s="16">
        <v>3</v>
      </c>
      <c r="G322" s="16">
        <v>2</v>
      </c>
      <c r="H322" s="16">
        <v>2</v>
      </c>
      <c r="I322" s="16">
        <v>2</v>
      </c>
      <c r="L322" s="92">
        <v>3</v>
      </c>
      <c r="M322" s="92">
        <v>3</v>
      </c>
      <c r="N322" s="92">
        <v>2</v>
      </c>
      <c r="O322" s="92">
        <v>1</v>
      </c>
      <c r="P322" s="92">
        <v>2</v>
      </c>
      <c r="Q322" s="92">
        <v>2</v>
      </c>
      <c r="S322" s="16">
        <f t="shared" si="190"/>
        <v>0</v>
      </c>
      <c r="T322" s="16">
        <f t="shared" si="191"/>
        <v>0</v>
      </c>
      <c r="U322" s="16">
        <f t="shared" si="192"/>
        <v>0</v>
      </c>
      <c r="V322" s="16">
        <f t="shared" si="193"/>
        <v>0</v>
      </c>
      <c r="W322" s="16">
        <f t="shared" si="203"/>
        <v>0</v>
      </c>
      <c r="X322" s="16">
        <f t="shared" si="195"/>
        <v>0</v>
      </c>
      <c r="Z322" s="16">
        <f>S322*T322*U322*V322*W322*X322</f>
        <v>0</v>
      </c>
      <c r="AB322" s="16" t="s">
        <v>432</v>
      </c>
      <c r="AC322" s="16" t="s">
        <v>464</v>
      </c>
      <c r="AD322" s="16" t="s">
        <v>432</v>
      </c>
      <c r="AF322" s="21" t="s">
        <v>652</v>
      </c>
      <c r="AG322" s="21" t="s">
        <v>356</v>
      </c>
      <c r="AH322" s="21" t="s">
        <v>435</v>
      </c>
      <c r="AI322" s="118"/>
      <c r="AJ322" s="118" t="str">
        <f>Q$2</f>
        <v>請選擇第一選修科</v>
      </c>
      <c r="AK322" s="118" t="str">
        <f>R$2</f>
        <v>請選擇第二選修科</v>
      </c>
      <c r="AL322" s="118" t="str">
        <f>S$2</f>
        <v>請選擇第三選修科</v>
      </c>
      <c r="AM322" s="118" t="str">
        <f>T$2</f>
        <v>請選擇第四選修科</v>
      </c>
      <c r="AN322" s="118" t="str">
        <f>P$2</f>
        <v>數學延伸</v>
      </c>
      <c r="AO322" s="118"/>
      <c r="AP322" s="118" t="s">
        <v>522</v>
      </c>
      <c r="AQ322" s="118"/>
      <c r="AR322" s="104"/>
    </row>
    <row r="323" spans="1:44">
      <c r="A323" s="2" t="str">
        <f>'Reference Score Calculation'!A314</f>
        <v>JS8636</v>
      </c>
      <c r="B323" s="364" t="str">
        <f>'Reference Score Calculation'!A314</f>
        <v>JS8636</v>
      </c>
      <c r="C323" s="2" t="str">
        <f>'Reference Score Calculation'!D314</f>
        <v>創意藝術與文化榮譽文學士 (音樂)</v>
      </c>
      <c r="D323" s="16">
        <f>'Reference Score Calculation'!T314</f>
        <v>10</v>
      </c>
      <c r="E323" s="16">
        <v>3</v>
      </c>
      <c r="F323" s="16">
        <v>3</v>
      </c>
      <c r="G323" s="16">
        <v>2</v>
      </c>
      <c r="H323" s="16">
        <v>2</v>
      </c>
      <c r="I323" s="16">
        <v>2</v>
      </c>
      <c r="L323" s="92">
        <v>3</v>
      </c>
      <c r="M323" s="92">
        <v>3</v>
      </c>
      <c r="N323" s="92">
        <v>2</v>
      </c>
      <c r="O323" s="92">
        <v>1</v>
      </c>
      <c r="P323" s="92">
        <v>2</v>
      </c>
      <c r="Q323" s="92">
        <v>2</v>
      </c>
      <c r="S323" s="16">
        <f t="shared" si="190"/>
        <v>0</v>
      </c>
      <c r="T323" s="16">
        <f t="shared" si="191"/>
        <v>0</v>
      </c>
      <c r="U323" s="16">
        <f t="shared" si="192"/>
        <v>0</v>
      </c>
      <c r="V323" s="16">
        <f t="shared" si="193"/>
        <v>0</v>
      </c>
      <c r="W323" s="16">
        <f t="shared" si="203"/>
        <v>0</v>
      </c>
      <c r="X323" s="16">
        <f t="shared" si="195"/>
        <v>0</v>
      </c>
      <c r="Z323" s="16">
        <f>IF(S323*T323*U323*V323*W323*X323=0,0,2)</f>
        <v>0</v>
      </c>
      <c r="AB323" s="16" t="s">
        <v>432</v>
      </c>
      <c r="AC323" s="16" t="s">
        <v>464</v>
      </c>
      <c r="AD323" s="16" t="s">
        <v>432</v>
      </c>
      <c r="AF323" s="21" t="s">
        <v>3242</v>
      </c>
      <c r="AH323" s="21" t="s">
        <v>435</v>
      </c>
      <c r="AI323" s="118" t="s">
        <v>653</v>
      </c>
      <c r="AJ323" s="119">
        <f>IF(OR(Q$2="物理",Q$2="化學",Q$2="生物",Q$2="組合科學(物理、化學)",Q$2="組合科學(生物、化學)",Q$2="組合科學(物理、生物)",Q$2="資訊及通訊科技",Q$2="綜合科學"),Q$3,0)</f>
        <v>0</v>
      </c>
      <c r="AK323" s="119">
        <f>IF(OR(R$2="物理",R$2="化學",R$2="生物",R$2="組合科學(物理、化學)",R$2="組合科學(生物、化學)",R$2="組合科學(物理、生物)",R$2="資訊及通訊科技",R$2="綜合科學"),R$3,0)</f>
        <v>0</v>
      </c>
      <c r="AL323" s="119">
        <f>IF(OR(S$2="物理",S$2="化學",S$2="生物",S$2="組合科學(物理、化學)",S$2="組合科學(生物、化學)",S$2="組合科學(物理、生物)",S$2="資訊及通訊科技",S$2="綜合科學"),S$3,0)</f>
        <v>0</v>
      </c>
      <c r="AM323" s="119">
        <f>IF(OR(T$2="物理",T$2="化學",T$2="生物",T$2="組合科學(物理、化學)",T$2="組合科學(生物、化學)",T$2="組合科學(物理、生物)",T$2="資訊及通訊科技",T$2="綜合科學"),T$3,0)</f>
        <v>0</v>
      </c>
      <c r="AN323" s="119">
        <f>P$3</f>
        <v>5.0000000000000003E-10</v>
      </c>
      <c r="AO323" s="118"/>
      <c r="AP323" s="119" t="str">
        <f>IF(AQ323&gt;0.1,INDEX(AJ322:AN322,MATCH(LARGE(AJ323:AN323,1),AJ323:AN323,0)),"無")</f>
        <v>無</v>
      </c>
      <c r="AQ323" s="119">
        <f>LARGE((AJ323:AN323),1)</f>
        <v>5.0000000000000003E-10</v>
      </c>
      <c r="AR323" s="104"/>
    </row>
    <row r="324" spans="1:44">
      <c r="A324" s="2" t="str">
        <f>'Reference Score Calculation'!A315</f>
        <v>JS8648</v>
      </c>
      <c r="B324" s="364" t="str">
        <f>'Reference Score Calculation'!A315</f>
        <v>JS8648</v>
      </c>
      <c r="C324" s="2" t="str">
        <f>'Reference Score Calculation'!D315</f>
        <v>創意藝術與文化榮譽文學士 (視覺藝術)</v>
      </c>
      <c r="D324" s="16">
        <f>'Reference Score Calculation'!T315</f>
        <v>10</v>
      </c>
      <c r="E324" s="16">
        <v>3</v>
      </c>
      <c r="F324" s="16">
        <v>3</v>
      </c>
      <c r="G324" s="16">
        <v>2</v>
      </c>
      <c r="H324" s="16">
        <v>2</v>
      </c>
      <c r="I324" s="16">
        <v>2</v>
      </c>
      <c r="L324" s="92">
        <v>3</v>
      </c>
      <c r="M324" s="92">
        <v>3</v>
      </c>
      <c r="N324" s="92">
        <v>2</v>
      </c>
      <c r="O324" s="92">
        <v>1</v>
      </c>
      <c r="P324" s="92">
        <v>2</v>
      </c>
      <c r="Q324" s="92">
        <v>2</v>
      </c>
      <c r="S324" s="16">
        <f t="shared" si="190"/>
        <v>0</v>
      </c>
      <c r="T324" s="16">
        <f t="shared" si="191"/>
        <v>0</v>
      </c>
      <c r="U324" s="16">
        <f t="shared" si="192"/>
        <v>0</v>
      </c>
      <c r="V324" s="16">
        <f t="shared" si="193"/>
        <v>0</v>
      </c>
      <c r="W324" s="16">
        <f t="shared" si="203"/>
        <v>0</v>
      </c>
      <c r="X324" s="16">
        <f t="shared" si="195"/>
        <v>0</v>
      </c>
      <c r="Z324" s="16">
        <f>IF(S324*T324*U324*V324*W324*X324=0,0,2)</f>
        <v>0</v>
      </c>
      <c r="AB324" s="16" t="s">
        <v>432</v>
      </c>
      <c r="AC324" s="16" t="s">
        <v>464</v>
      </c>
      <c r="AD324" s="16" t="s">
        <v>432</v>
      </c>
      <c r="AF324" s="21" t="s">
        <v>654</v>
      </c>
      <c r="AG324" s="21" t="s">
        <v>655</v>
      </c>
      <c r="AH324" s="21" t="s">
        <v>435</v>
      </c>
      <c r="AI324" s="118"/>
      <c r="AJ324" s="163" t="s">
        <v>656</v>
      </c>
      <c r="AK324" s="118"/>
      <c r="AL324" s="118"/>
      <c r="AM324" s="118"/>
      <c r="AN324" s="118"/>
      <c r="AO324" s="118"/>
      <c r="AP324" s="118"/>
      <c r="AQ324" s="104"/>
      <c r="AR324" s="104"/>
    </row>
    <row r="325" spans="1:44">
      <c r="A325" s="2" t="str">
        <f>'Reference Score Calculation'!A316</f>
        <v>JS8651</v>
      </c>
      <c r="B325" s="364" t="str">
        <f>'Reference Score Calculation'!A316</f>
        <v>JS8651</v>
      </c>
      <c r="C325" s="2" t="str">
        <f>'Reference Score Calculation'!D316</f>
        <v>心理學榮譽社會科學學士</v>
      </c>
      <c r="D325" s="16">
        <f>'Reference Score Calculation'!T316</f>
        <v>20</v>
      </c>
      <c r="E325" s="16">
        <v>3</v>
      </c>
      <c r="F325" s="16">
        <v>3</v>
      </c>
      <c r="G325" s="16">
        <v>2</v>
      </c>
      <c r="H325" s="16">
        <v>2</v>
      </c>
      <c r="I325" s="16">
        <v>2</v>
      </c>
      <c r="L325" s="92">
        <v>3</v>
      </c>
      <c r="M325" s="92">
        <v>3</v>
      </c>
      <c r="N325" s="92">
        <v>2</v>
      </c>
      <c r="O325" s="92">
        <v>1</v>
      </c>
      <c r="P325" s="92">
        <v>2</v>
      </c>
      <c r="Q325" s="92">
        <v>2</v>
      </c>
      <c r="S325" s="16">
        <f t="shared" si="190"/>
        <v>0</v>
      </c>
      <c r="T325" s="16">
        <f t="shared" si="191"/>
        <v>0</v>
      </c>
      <c r="U325" s="16">
        <f t="shared" si="192"/>
        <v>0</v>
      </c>
      <c r="V325" s="16">
        <f t="shared" si="193"/>
        <v>0</v>
      </c>
      <c r="W325" s="16">
        <f t="shared" si="203"/>
        <v>0</v>
      </c>
      <c r="X325" s="16">
        <f t="shared" si="195"/>
        <v>0</v>
      </c>
      <c r="Z325" s="16">
        <f>S325*T325*U325*V325*W325*X325</f>
        <v>0</v>
      </c>
      <c r="AB325" s="16" t="s">
        <v>432</v>
      </c>
      <c r="AC325" s="16" t="s">
        <v>464</v>
      </c>
      <c r="AD325" s="16" t="s">
        <v>432</v>
      </c>
      <c r="AF325" s="21" t="s">
        <v>356</v>
      </c>
      <c r="AG325" s="21" t="s">
        <v>356</v>
      </c>
      <c r="AH325" s="21" t="s">
        <v>435</v>
      </c>
      <c r="AI325" s="118"/>
      <c r="AJ325" s="118"/>
      <c r="AK325" s="118"/>
      <c r="AL325" s="118"/>
      <c r="AM325" s="118"/>
      <c r="AN325" s="118"/>
      <c r="AO325" s="118"/>
      <c r="AP325" s="104"/>
      <c r="AQ325" s="104"/>
      <c r="AR325" s="104"/>
    </row>
    <row r="326" spans="1:44">
      <c r="A326" s="2" t="str">
        <f>'Reference Score Calculation'!A317</f>
        <v>JS8663</v>
      </c>
      <c r="B326" s="364" t="str">
        <f>'Reference Score Calculation'!A317</f>
        <v>JS8663</v>
      </c>
      <c r="C326" s="2" t="str">
        <f>'Reference Score Calculation'!D317</f>
        <v>特殊教育榮譽文學士</v>
      </c>
      <c r="D326" s="16">
        <f>'Reference Score Calculation'!T317</f>
        <v>20</v>
      </c>
      <c r="E326" s="16">
        <v>3</v>
      </c>
      <c r="F326" s="16">
        <v>3</v>
      </c>
      <c r="G326" s="16">
        <v>2</v>
      </c>
      <c r="H326" s="16">
        <v>2</v>
      </c>
      <c r="I326" s="16">
        <v>2</v>
      </c>
      <c r="L326" s="92">
        <v>3</v>
      </c>
      <c r="M326" s="92">
        <v>3</v>
      </c>
      <c r="N326" s="92">
        <v>2</v>
      </c>
      <c r="O326" s="92">
        <v>1</v>
      </c>
      <c r="P326" s="92">
        <v>2</v>
      </c>
      <c r="Q326" s="92">
        <v>2</v>
      </c>
      <c r="S326" s="16">
        <f t="shared" si="190"/>
        <v>0</v>
      </c>
      <c r="T326" s="16">
        <f t="shared" si="191"/>
        <v>0</v>
      </c>
      <c r="U326" s="16">
        <f t="shared" si="192"/>
        <v>0</v>
      </c>
      <c r="V326" s="16">
        <f t="shared" si="193"/>
        <v>0</v>
      </c>
      <c r="W326" s="16">
        <f t="shared" si="203"/>
        <v>0</v>
      </c>
      <c r="X326" s="16">
        <f t="shared" si="195"/>
        <v>0</v>
      </c>
      <c r="Z326" s="16">
        <f t="shared" ref="Z326:Z331" si="204">S326*T326*U326*V326*W326*X326</f>
        <v>0</v>
      </c>
      <c r="AB326" s="16" t="s">
        <v>432</v>
      </c>
      <c r="AC326" s="16" t="s">
        <v>464</v>
      </c>
      <c r="AD326" s="16" t="s">
        <v>432</v>
      </c>
      <c r="AF326" s="21" t="s">
        <v>356</v>
      </c>
      <c r="AG326" s="21" t="s">
        <v>356</v>
      </c>
      <c r="AH326" s="21" t="s">
        <v>435</v>
      </c>
      <c r="AI326" s="118"/>
      <c r="AJ326" s="118" t="str">
        <f>N2</f>
        <v>數學</v>
      </c>
      <c r="AK326" s="118" t="str">
        <f>O2</f>
        <v>公社科</v>
      </c>
      <c r="AL326" s="118" t="str">
        <f t="shared" ref="AL326:AP326" si="205">P2</f>
        <v>數學延伸</v>
      </c>
      <c r="AM326" s="118" t="str">
        <f t="shared" si="205"/>
        <v>請選擇第一選修科</v>
      </c>
      <c r="AN326" s="118" t="str">
        <f t="shared" si="205"/>
        <v>請選擇第二選修科</v>
      </c>
      <c r="AO326" s="118" t="str">
        <f t="shared" si="205"/>
        <v>請選擇第三選修科</v>
      </c>
      <c r="AP326" s="118" t="str">
        <f t="shared" si="205"/>
        <v>請選擇第四選修科</v>
      </c>
      <c r="AQ326" s="118" t="str">
        <f t="shared" ref="AQ326" si="206">U2</f>
        <v>請選擇語言科目</v>
      </c>
      <c r="AR326" s="118"/>
    </row>
    <row r="327" spans="1:44">
      <c r="A327" s="2" t="str">
        <f>'Reference Score Calculation'!A318</f>
        <v>JS8675</v>
      </c>
      <c r="B327" s="364" t="str">
        <f>'Reference Score Calculation'!A318</f>
        <v>JS8675</v>
      </c>
      <c r="C327" s="2" t="str">
        <f>'Reference Score Calculation'!D318</f>
        <v>英語研究及數碼傳訊榮譽文學士</v>
      </c>
      <c r="D327" s="16">
        <f>'Reference Score Calculation'!T318</f>
        <v>17</v>
      </c>
      <c r="E327" s="16">
        <v>3</v>
      </c>
      <c r="F327" s="16">
        <v>3</v>
      </c>
      <c r="G327" s="16">
        <v>2</v>
      </c>
      <c r="H327" s="16">
        <v>2</v>
      </c>
      <c r="I327" s="16">
        <v>2</v>
      </c>
      <c r="L327" s="92">
        <v>3</v>
      </c>
      <c r="M327" s="92">
        <v>3</v>
      </c>
      <c r="N327" s="92">
        <v>2</v>
      </c>
      <c r="O327" s="92">
        <v>1</v>
      </c>
      <c r="P327" s="92">
        <v>2</v>
      </c>
      <c r="Q327" s="92">
        <v>2</v>
      </c>
      <c r="S327" s="16">
        <f t="shared" ref="S327" si="207">IF(L327&gt;L$3,0,1)</f>
        <v>0</v>
      </c>
      <c r="T327" s="16">
        <f t="shared" ref="T327" si="208">IF(M327&gt;M$3,0,1)</f>
        <v>0</v>
      </c>
      <c r="U327" s="16">
        <f t="shared" ref="U327" si="209">IF(N327&gt;N$3,0,1)</f>
        <v>0</v>
      </c>
      <c r="V327" s="16">
        <f t="shared" ref="V327" si="210">IF(O327&gt;O$3,0,1)</f>
        <v>0</v>
      </c>
      <c r="W327" s="16">
        <f t="shared" ref="W327" si="211">IF(P327&gt;LARGE($P$3:$U$3,1),0,1)</f>
        <v>0</v>
      </c>
      <c r="X327" s="16">
        <f t="shared" ref="X327" si="212">IF(Q327&gt;LARGE($P$3:$U$3,2),0,1)</f>
        <v>0</v>
      </c>
      <c r="Z327" s="16">
        <f t="shared" si="204"/>
        <v>0</v>
      </c>
      <c r="AB327" s="16" t="s">
        <v>432</v>
      </c>
      <c r="AC327" s="16" t="s">
        <v>464</v>
      </c>
      <c r="AD327" s="16" t="s">
        <v>432</v>
      </c>
      <c r="AF327" s="21" t="s">
        <v>356</v>
      </c>
      <c r="AG327" s="21" t="s">
        <v>356</v>
      </c>
      <c r="AH327" s="21" t="s">
        <v>435</v>
      </c>
      <c r="AI327" s="118" t="s">
        <v>1897</v>
      </c>
      <c r="AJ327" s="119">
        <f>N3</f>
        <v>3E-10</v>
      </c>
      <c r="AK327" s="119">
        <f>IF(計分版!N2="達標",2,0)</f>
        <v>0</v>
      </c>
      <c r="AL327" s="119">
        <f t="shared" ref="AL327:AQ327" si="213">P3</f>
        <v>5.0000000000000003E-10</v>
      </c>
      <c r="AM327" s="119">
        <f t="shared" si="213"/>
        <v>6E-10</v>
      </c>
      <c r="AN327" s="119">
        <f t="shared" si="213"/>
        <v>6.9999999999999996E-10</v>
      </c>
      <c r="AO327" s="119">
        <f t="shared" si="213"/>
        <v>8.0000000000000003E-10</v>
      </c>
      <c r="AP327" s="119">
        <f t="shared" si="213"/>
        <v>8.9999999999999999E-10</v>
      </c>
      <c r="AQ327" s="119">
        <f t="shared" si="213"/>
        <v>0</v>
      </c>
      <c r="AR327" s="117"/>
    </row>
    <row r="328" spans="1:44">
      <c r="A328" s="2" t="str">
        <f>'Reference Score Calculation'!A319</f>
        <v>JS8687</v>
      </c>
      <c r="B328" s="364" t="str">
        <f>'Reference Score Calculation'!A319</f>
        <v>JS8687</v>
      </c>
      <c r="C328" s="2" t="str">
        <f>'Reference Score Calculation'!D319</f>
        <v>文化傳承教育與藝術管理榮譽文學士</v>
      </c>
      <c r="D328" s="16">
        <f>'Reference Score Calculation'!T319</f>
        <v>22</v>
      </c>
      <c r="E328" s="16">
        <v>3</v>
      </c>
      <c r="F328" s="16">
        <v>3</v>
      </c>
      <c r="G328" s="16">
        <v>2</v>
      </c>
      <c r="H328" s="16">
        <v>2</v>
      </c>
      <c r="I328" s="16">
        <v>2</v>
      </c>
      <c r="L328" s="92">
        <v>3</v>
      </c>
      <c r="M328" s="92">
        <v>3</v>
      </c>
      <c r="N328" s="92">
        <v>2</v>
      </c>
      <c r="O328" s="92">
        <v>1</v>
      </c>
      <c r="P328" s="92">
        <v>2</v>
      </c>
      <c r="Q328" s="92">
        <v>2</v>
      </c>
      <c r="S328" s="16">
        <f t="shared" ref="S328" si="214">IF(L328&gt;L$3,0,1)</f>
        <v>0</v>
      </c>
      <c r="T328" s="16">
        <f t="shared" ref="T328" si="215">IF(M328&gt;M$3,0,1)</f>
        <v>0</v>
      </c>
      <c r="U328" s="16">
        <f t="shared" ref="U328" si="216">IF(N328&gt;N$3,0,1)</f>
        <v>0</v>
      </c>
      <c r="V328" s="16">
        <f t="shared" ref="V328" si="217">IF(O328&gt;O$3,0,1)</f>
        <v>0</v>
      </c>
      <c r="W328" s="16">
        <f t="shared" ref="W328" si="218">IF(P328&gt;LARGE($P$3:$U$3,1),0,1)</f>
        <v>0</v>
      </c>
      <c r="X328" s="16">
        <f t="shared" si="195"/>
        <v>0</v>
      </c>
      <c r="Z328" s="16">
        <f t="shared" si="204"/>
        <v>0</v>
      </c>
      <c r="AB328" s="16" t="s">
        <v>432</v>
      </c>
      <c r="AC328" s="16" t="s">
        <v>464</v>
      </c>
      <c r="AD328" s="16" t="s">
        <v>432</v>
      </c>
      <c r="AF328" s="21" t="s">
        <v>3244</v>
      </c>
      <c r="AG328" s="21" t="s">
        <v>356</v>
      </c>
      <c r="AH328" s="21" t="s">
        <v>435</v>
      </c>
      <c r="AI328" s="2"/>
      <c r="AJ328" s="2"/>
      <c r="AK328" s="2"/>
      <c r="AL328" s="2"/>
      <c r="AM328" s="2"/>
      <c r="AN328" s="2"/>
      <c r="AO328" s="2"/>
      <c r="AP328" s="2"/>
      <c r="AQ328" s="2"/>
      <c r="AR328" s="104"/>
    </row>
    <row r="329" spans="1:44">
      <c r="A329" s="2" t="str">
        <f>'Reference Score Calculation'!A320</f>
        <v>JS8702</v>
      </c>
      <c r="B329" s="364" t="str">
        <f>'Reference Score Calculation'!A320</f>
        <v>JS8702</v>
      </c>
      <c r="C329" s="2" t="str">
        <f>'Reference Score Calculation'!D320</f>
        <v>綜合環境管理榮譽理學士</v>
      </c>
      <c r="D329" s="16">
        <f>'Reference Score Calculation'!T320</f>
        <v>21</v>
      </c>
      <c r="E329" s="16">
        <v>3</v>
      </c>
      <c r="F329" s="16">
        <v>3</v>
      </c>
      <c r="G329" s="16">
        <v>2</v>
      </c>
      <c r="H329" s="16">
        <v>2</v>
      </c>
      <c r="I329" s="16">
        <v>2</v>
      </c>
      <c r="L329" s="92">
        <v>3</v>
      </c>
      <c r="M329" s="92">
        <v>3</v>
      </c>
      <c r="N329" s="92">
        <v>2</v>
      </c>
      <c r="O329" s="92">
        <v>1</v>
      </c>
      <c r="P329" s="92">
        <v>2</v>
      </c>
      <c r="Q329" s="92">
        <v>2</v>
      </c>
      <c r="S329" s="16">
        <f t="shared" si="190"/>
        <v>0</v>
      </c>
      <c r="T329" s="16">
        <f t="shared" si="191"/>
        <v>0</v>
      </c>
      <c r="U329" s="16">
        <f t="shared" si="192"/>
        <v>0</v>
      </c>
      <c r="V329" s="16">
        <f t="shared" si="193"/>
        <v>0</v>
      </c>
      <c r="W329" s="16">
        <f>IF(P329&gt;AQ319,0,1)</f>
        <v>0</v>
      </c>
      <c r="X329" s="16">
        <f t="shared" si="195"/>
        <v>0</v>
      </c>
      <c r="Z329" s="16">
        <f t="shared" si="204"/>
        <v>0</v>
      </c>
      <c r="AB329" s="16" t="s">
        <v>432</v>
      </c>
      <c r="AC329" s="16" t="s">
        <v>464</v>
      </c>
      <c r="AD329" s="16" t="s">
        <v>432</v>
      </c>
      <c r="AF329" s="21" t="s">
        <v>657</v>
      </c>
      <c r="AG329" s="21" t="s">
        <v>356</v>
      </c>
      <c r="AH329" s="21" t="s">
        <v>435</v>
      </c>
      <c r="AI329" s="118"/>
      <c r="AJ329" s="118"/>
      <c r="AK329" s="118"/>
      <c r="AL329" s="118"/>
      <c r="AM329" s="118"/>
      <c r="AN329" s="118"/>
      <c r="AO329" s="118"/>
      <c r="AP329" s="104"/>
      <c r="AQ329" s="104"/>
      <c r="AR329" s="104"/>
    </row>
    <row r="330" spans="1:44">
      <c r="A330" s="2" t="str">
        <f>'Reference Score Calculation'!A321</f>
        <v>JS8714</v>
      </c>
      <c r="B330" s="364" t="str">
        <f>'Reference Score Calculation'!A321</f>
        <v>JS8714</v>
      </c>
      <c r="C330" s="2" t="str">
        <f>'Reference Score Calculation'!D321</f>
        <v>人工智能與教育科技榮譽理學士</v>
      </c>
      <c r="D330" s="16">
        <f>'Reference Score Calculation'!T321</f>
        <v>30</v>
      </c>
      <c r="E330" s="16">
        <v>3</v>
      </c>
      <c r="F330" s="16">
        <v>3</v>
      </c>
      <c r="G330" s="16">
        <v>3</v>
      </c>
      <c r="H330" s="16">
        <v>2</v>
      </c>
      <c r="I330" s="16">
        <v>2</v>
      </c>
      <c r="L330" s="92">
        <v>3</v>
      </c>
      <c r="M330" s="92">
        <v>3</v>
      </c>
      <c r="N330" s="92">
        <v>3</v>
      </c>
      <c r="O330" s="92">
        <v>1</v>
      </c>
      <c r="P330" s="92">
        <v>2</v>
      </c>
      <c r="Q330" s="92">
        <v>2</v>
      </c>
      <c r="S330" s="16">
        <f t="shared" si="190"/>
        <v>0</v>
      </c>
      <c r="T330" s="16">
        <f t="shared" si="191"/>
        <v>0</v>
      </c>
      <c r="U330" s="16">
        <f t="shared" si="192"/>
        <v>0</v>
      </c>
      <c r="V330" s="16">
        <f t="shared" si="193"/>
        <v>0</v>
      </c>
      <c r="W330" s="16">
        <f>IF(P330&gt;AQ323,0,1)</f>
        <v>0</v>
      </c>
      <c r="X330" s="16">
        <f t="shared" si="195"/>
        <v>0</v>
      </c>
      <c r="Z330" s="16">
        <f t="shared" si="204"/>
        <v>0</v>
      </c>
      <c r="AB330" s="16" t="s">
        <v>432</v>
      </c>
      <c r="AC330" s="16" t="s">
        <v>464</v>
      </c>
      <c r="AD330" s="16" t="s">
        <v>432</v>
      </c>
      <c r="AF330" s="21" t="s">
        <v>658</v>
      </c>
      <c r="AG330" s="21" t="s">
        <v>3243</v>
      </c>
      <c r="AH330" s="21" t="s">
        <v>435</v>
      </c>
      <c r="AI330" s="118"/>
      <c r="AJ330" s="118"/>
      <c r="AK330" s="118"/>
      <c r="AL330" s="118"/>
      <c r="AM330" s="118"/>
      <c r="AN330" s="118"/>
      <c r="AO330" s="118"/>
      <c r="AP330" s="104"/>
      <c r="AQ330" s="104"/>
      <c r="AR330" s="104"/>
    </row>
    <row r="331" spans="1:44">
      <c r="A331" s="2" t="str">
        <f>'Reference Score Calculation'!A322</f>
        <v>JS8726</v>
      </c>
      <c r="B331" s="364" t="str">
        <f>'Reference Score Calculation'!A322</f>
        <v>JS8726</v>
      </c>
      <c r="C331" s="2" t="str">
        <f>'Reference Score Calculation'!D322</f>
        <v>運動科學及教練榮譽理學士</v>
      </c>
      <c r="D331" s="16">
        <f>'Reference Score Calculation'!T322</f>
        <v>24</v>
      </c>
      <c r="E331" s="16">
        <v>3</v>
      </c>
      <c r="F331" s="16">
        <v>3</v>
      </c>
      <c r="G331" s="16">
        <v>2</v>
      </c>
      <c r="H331" s="16">
        <v>2</v>
      </c>
      <c r="I331" s="16">
        <v>2</v>
      </c>
      <c r="L331" s="92">
        <v>3</v>
      </c>
      <c r="M331" s="92">
        <v>3</v>
      </c>
      <c r="N331" s="92">
        <v>2</v>
      </c>
      <c r="O331" s="92">
        <v>1</v>
      </c>
      <c r="P331" s="92">
        <v>2</v>
      </c>
      <c r="Q331" s="92">
        <v>2</v>
      </c>
      <c r="S331" s="16">
        <f t="shared" si="190"/>
        <v>0</v>
      </c>
      <c r="T331" s="16">
        <f t="shared" si="191"/>
        <v>0</v>
      </c>
      <c r="U331" s="16">
        <f t="shared" si="192"/>
        <v>0</v>
      </c>
      <c r="V331" s="16">
        <f t="shared" si="193"/>
        <v>0</v>
      </c>
      <c r="W331" s="16">
        <f t="shared" si="203"/>
        <v>0</v>
      </c>
      <c r="X331" s="16">
        <f t="shared" si="195"/>
        <v>0</v>
      </c>
      <c r="Z331" s="16">
        <f t="shared" si="204"/>
        <v>0</v>
      </c>
      <c r="AB331" s="16" t="s">
        <v>432</v>
      </c>
      <c r="AC331" s="16" t="s">
        <v>464</v>
      </c>
      <c r="AD331" s="16" t="s">
        <v>432</v>
      </c>
      <c r="AF331" s="21" t="s">
        <v>659</v>
      </c>
      <c r="AG331" s="21" t="s">
        <v>356</v>
      </c>
      <c r="AH331" s="21" t="s">
        <v>435</v>
      </c>
      <c r="AI331" s="118"/>
      <c r="AJ331" s="118"/>
      <c r="AK331" s="118"/>
      <c r="AL331" s="118"/>
      <c r="AM331" s="118"/>
      <c r="AN331" s="118"/>
      <c r="AO331" s="118"/>
      <c r="AP331" s="104"/>
      <c r="AQ331" s="104"/>
      <c r="AR331" s="104"/>
    </row>
    <row r="332" spans="1:44">
      <c r="A332" s="2" t="str">
        <f>'Reference Score Calculation'!A323</f>
        <v>JS8801</v>
      </c>
      <c r="B332" s="364" t="str">
        <f>'Reference Score Calculation'!A323</f>
        <v>JS8801</v>
      </c>
      <c r="C332" s="2" t="str">
        <f>'Reference Score Calculation'!D323</f>
        <v>創意藝術與文化榮譽文學士及音樂教育榮譽學士 (同期結業雙學位課程)</v>
      </c>
      <c r="D332" s="16">
        <f>'Reference Score Calculation'!T323</f>
        <v>33</v>
      </c>
      <c r="E332" s="16">
        <v>3</v>
      </c>
      <c r="F332" s="16">
        <v>3</v>
      </c>
      <c r="G332" s="16">
        <v>2</v>
      </c>
      <c r="H332" s="16">
        <v>2</v>
      </c>
      <c r="I332" s="16">
        <v>2</v>
      </c>
      <c r="L332" s="92">
        <v>3</v>
      </c>
      <c r="M332" s="92">
        <v>3</v>
      </c>
      <c r="N332" s="92">
        <v>2</v>
      </c>
      <c r="O332" s="92">
        <v>1</v>
      </c>
      <c r="P332" s="92">
        <v>2</v>
      </c>
      <c r="Q332" s="92">
        <v>2</v>
      </c>
      <c r="S332" s="16">
        <f t="shared" si="190"/>
        <v>0</v>
      </c>
      <c r="T332" s="16">
        <f t="shared" si="191"/>
        <v>0</v>
      </c>
      <c r="U332" s="16">
        <f t="shared" si="192"/>
        <v>0</v>
      </c>
      <c r="V332" s="16">
        <f t="shared" si="193"/>
        <v>0</v>
      </c>
      <c r="W332" s="16">
        <f t="shared" si="203"/>
        <v>0</v>
      </c>
      <c r="X332" s="16">
        <f t="shared" si="195"/>
        <v>0</v>
      </c>
      <c r="Z332" s="16">
        <f>IF(S332*T332*U332*V332*W332*X332=0,0,2)</f>
        <v>0</v>
      </c>
      <c r="AB332" s="16" t="s">
        <v>432</v>
      </c>
      <c r="AC332" s="16" t="s">
        <v>464</v>
      </c>
      <c r="AD332" s="16" t="s">
        <v>432</v>
      </c>
      <c r="AF332" s="21" t="s">
        <v>3242</v>
      </c>
      <c r="AH332" s="21" t="s">
        <v>435</v>
      </c>
    </row>
    <row r="333" spans="1:44">
      <c r="A333" s="2" t="str">
        <f>'Reference Score Calculation'!A324</f>
        <v>JS8813</v>
      </c>
      <c r="B333" s="364" t="str">
        <f>'Reference Score Calculation'!A324</f>
        <v>JS8813</v>
      </c>
      <c r="C333" s="2" t="str">
        <f>'Reference Score Calculation'!D324</f>
        <v>創意藝術與文化榮譽文學士及視覺藝術教育榮譽學士 (同期結業雙學位課程)</v>
      </c>
      <c r="D333" s="16">
        <f>'Reference Score Calculation'!T324</f>
        <v>33</v>
      </c>
      <c r="E333" s="16">
        <v>3</v>
      </c>
      <c r="F333" s="16">
        <v>3</v>
      </c>
      <c r="G333" s="16">
        <v>2</v>
      </c>
      <c r="H333" s="16">
        <v>2</v>
      </c>
      <c r="I333" s="16">
        <v>2</v>
      </c>
      <c r="L333" s="92">
        <v>3</v>
      </c>
      <c r="M333" s="92">
        <v>3</v>
      </c>
      <c r="N333" s="92">
        <v>2</v>
      </c>
      <c r="O333" s="92">
        <v>1</v>
      </c>
      <c r="P333" s="92">
        <v>2</v>
      </c>
      <c r="Q333" s="92">
        <v>2</v>
      </c>
      <c r="S333" s="16">
        <f t="shared" si="190"/>
        <v>0</v>
      </c>
      <c r="T333" s="16">
        <f t="shared" si="191"/>
        <v>0</v>
      </c>
      <c r="U333" s="16">
        <f t="shared" si="192"/>
        <v>0</v>
      </c>
      <c r="V333" s="16">
        <f t="shared" si="193"/>
        <v>0</v>
      </c>
      <c r="W333" s="16">
        <f t="shared" si="203"/>
        <v>0</v>
      </c>
      <c r="X333" s="16">
        <f t="shared" si="195"/>
        <v>0</v>
      </c>
      <c r="Z333" s="16">
        <f>IF(S333*T333*U333*V333*W333*X333=0,0,2)</f>
        <v>0</v>
      </c>
      <c r="AB333" s="16" t="s">
        <v>432</v>
      </c>
      <c r="AC333" s="16" t="s">
        <v>464</v>
      </c>
      <c r="AD333" s="16" t="s">
        <v>432</v>
      </c>
      <c r="AF333" s="21" t="s">
        <v>654</v>
      </c>
      <c r="AG333" s="21" t="s">
        <v>655</v>
      </c>
      <c r="AH333" s="21" t="s">
        <v>435</v>
      </c>
    </row>
    <row r="334" spans="1:44">
      <c r="A334" s="2" t="str">
        <f>'Reference Score Calculation'!A325</f>
        <v>JS8825</v>
      </c>
      <c r="B334" s="364" t="str">
        <f>'Reference Score Calculation'!A325</f>
        <v>JS8825</v>
      </c>
      <c r="C334" s="2" t="str">
        <f>'Reference Score Calculation'!D325</f>
        <v>語文研究榮譽文學士及英文教育榮譽學士 (同期結業雙學位課程)</v>
      </c>
      <c r="D334" s="16">
        <f>'Reference Score Calculation'!T325</f>
        <v>20</v>
      </c>
      <c r="E334" s="16">
        <v>3</v>
      </c>
      <c r="F334" s="16">
        <v>3</v>
      </c>
      <c r="G334" s="16">
        <v>2</v>
      </c>
      <c r="H334" s="16">
        <v>2</v>
      </c>
      <c r="I334" s="16">
        <v>2</v>
      </c>
      <c r="L334" s="92">
        <v>3</v>
      </c>
      <c r="M334" s="92">
        <v>3</v>
      </c>
      <c r="N334" s="92">
        <v>2</v>
      </c>
      <c r="O334" s="92">
        <v>1</v>
      </c>
      <c r="P334" s="92">
        <v>2</v>
      </c>
      <c r="Q334" s="92">
        <v>2</v>
      </c>
      <c r="S334" s="16">
        <f t="shared" si="190"/>
        <v>0</v>
      </c>
      <c r="T334" s="16">
        <f t="shared" si="191"/>
        <v>0</v>
      </c>
      <c r="U334" s="16">
        <f t="shared" si="192"/>
        <v>0</v>
      </c>
      <c r="V334" s="16">
        <f t="shared" si="193"/>
        <v>0</v>
      </c>
      <c r="W334" s="16">
        <f t="shared" si="203"/>
        <v>0</v>
      </c>
      <c r="X334" s="16">
        <f t="shared" si="195"/>
        <v>0</v>
      </c>
      <c r="Z334" s="16">
        <f t="shared" ref="Z334" si="219">S334*T334*U334*V334*W334*X334</f>
        <v>0</v>
      </c>
      <c r="AB334" s="16" t="s">
        <v>432</v>
      </c>
      <c r="AC334" s="16" t="s">
        <v>464</v>
      </c>
      <c r="AD334" s="16" t="s">
        <v>432</v>
      </c>
      <c r="AF334" s="21" t="s">
        <v>356</v>
      </c>
      <c r="AG334" s="21" t="s">
        <v>356</v>
      </c>
      <c r="AH334" s="21" t="s">
        <v>435</v>
      </c>
    </row>
    <row r="335" spans="1:44">
      <c r="B335" s="11" t="s">
        <v>265</v>
      </c>
      <c r="L335" s="92"/>
      <c r="M335" s="92"/>
      <c r="N335" s="92"/>
      <c r="O335" s="92"/>
      <c r="P335" s="92"/>
      <c r="Q335" s="92"/>
      <c r="AH335" s="21" t="s">
        <v>435</v>
      </c>
    </row>
    <row r="336" spans="1:44">
      <c r="B336" s="11" t="s">
        <v>110</v>
      </c>
      <c r="C336" s="11" t="s">
        <v>112</v>
      </c>
      <c r="D336" s="19" t="s">
        <v>38</v>
      </c>
      <c r="E336" s="19"/>
      <c r="F336" s="19"/>
      <c r="G336" s="19"/>
      <c r="H336" s="19"/>
      <c r="I336" s="19"/>
      <c r="J336" s="19"/>
      <c r="K336" s="19"/>
      <c r="L336" s="94" t="s">
        <v>117</v>
      </c>
      <c r="M336" s="94" t="s">
        <v>118</v>
      </c>
      <c r="N336" s="94" t="s">
        <v>119</v>
      </c>
      <c r="O336" s="94" t="s">
        <v>120</v>
      </c>
      <c r="P336" s="94" t="s">
        <v>121</v>
      </c>
      <c r="Q336" s="468" t="s">
        <v>2468</v>
      </c>
      <c r="R336" s="16"/>
      <c r="S336" s="19" t="s">
        <v>117</v>
      </c>
      <c r="T336" s="19" t="s">
        <v>118</v>
      </c>
      <c r="U336" s="19" t="s">
        <v>119</v>
      </c>
      <c r="V336" s="19" t="s">
        <v>120</v>
      </c>
      <c r="W336" s="19" t="s">
        <v>121</v>
      </c>
      <c r="X336" s="19" t="s">
        <v>2468</v>
      </c>
      <c r="AB336" s="16" t="s">
        <v>297</v>
      </c>
      <c r="AC336" s="16" t="s">
        <v>298</v>
      </c>
      <c r="AD336" s="16" t="s">
        <v>299</v>
      </c>
      <c r="AN336" s="19"/>
    </row>
    <row r="337" spans="1:34">
      <c r="A337" s="2" t="str">
        <f>'Reference Score Calculation'!A328</f>
        <v>JS9009</v>
      </c>
      <c r="B337" s="2" t="str">
        <f>'Reference Score Calculation'!A328</f>
        <v>JS9009</v>
      </c>
      <c r="C337" s="2" t="str">
        <f>'Reference Score Calculation'!D328</f>
        <v>社會科學榮譽學士</v>
      </c>
      <c r="D337" s="2">
        <f>'Reference Score Calculation'!T328</f>
        <v>80</v>
      </c>
      <c r="E337" s="2">
        <v>3</v>
      </c>
      <c r="F337" s="2">
        <v>3</v>
      </c>
      <c r="G337" s="2">
        <v>2</v>
      </c>
      <c r="H337" s="2">
        <v>2</v>
      </c>
      <c r="I337" s="2">
        <v>2</v>
      </c>
      <c r="J337" s="2"/>
      <c r="K337" s="2"/>
      <c r="L337" s="92">
        <v>3</v>
      </c>
      <c r="M337" s="92">
        <v>3</v>
      </c>
      <c r="N337" s="92">
        <v>2</v>
      </c>
      <c r="O337" s="92">
        <v>1</v>
      </c>
      <c r="P337" s="92">
        <v>2</v>
      </c>
      <c r="Q337" s="92">
        <v>2</v>
      </c>
      <c r="S337" s="16">
        <f>IF(L337&gt;L$3,0,1)</f>
        <v>0</v>
      </c>
      <c r="T337" s="16">
        <f t="shared" ref="T337:V337" si="220">IF(M337&gt;M$3,0,1)</f>
        <v>0</v>
      </c>
      <c r="U337" s="16">
        <f t="shared" si="220"/>
        <v>0</v>
      </c>
      <c r="V337" s="16">
        <f t="shared" si="220"/>
        <v>0</v>
      </c>
      <c r="W337" s="16">
        <f>IF(P337&gt;LARGE($P$3:$U$3,1),0,1)</f>
        <v>0</v>
      </c>
      <c r="X337" s="16">
        <f>IF(Q337&gt;LARGE($P$3:$U$3,2),0,1)</f>
        <v>0</v>
      </c>
      <c r="Z337" s="16">
        <f>S337*T337*U337*V337*W337*X337</f>
        <v>0</v>
      </c>
      <c r="AB337" s="16" t="s">
        <v>432</v>
      </c>
      <c r="AC337" s="16" t="s">
        <v>433</v>
      </c>
      <c r="AD337" s="16" t="s">
        <v>432</v>
      </c>
      <c r="AF337" s="21" t="s">
        <v>356</v>
      </c>
      <c r="AG337" s="21" t="s">
        <v>356</v>
      </c>
      <c r="AH337" s="21" t="s">
        <v>435</v>
      </c>
    </row>
    <row r="338" spans="1:34">
      <c r="A338" s="2" t="str">
        <f>'Reference Score Calculation'!A329</f>
        <v>JS9010</v>
      </c>
      <c r="B338" s="2" t="str">
        <f>'Reference Score Calculation'!A329</f>
        <v>JS9010</v>
      </c>
      <c r="C338" s="2" t="str">
        <f>'Reference Score Calculation'!D329</f>
        <v>心理學榮譽社會科學學士</v>
      </c>
      <c r="D338" s="2">
        <f>'Reference Score Calculation'!T329</f>
        <v>120</v>
      </c>
      <c r="E338" s="2">
        <v>3</v>
      </c>
      <c r="F338" s="2">
        <v>3</v>
      </c>
      <c r="G338" s="2">
        <v>2</v>
      </c>
      <c r="H338" s="2">
        <v>2</v>
      </c>
      <c r="I338" s="2">
        <v>2</v>
      </c>
      <c r="J338" s="2"/>
      <c r="K338" s="2"/>
      <c r="L338" s="92">
        <v>3</v>
      </c>
      <c r="M338" s="92">
        <v>3</v>
      </c>
      <c r="N338" s="92">
        <v>2</v>
      </c>
      <c r="O338" s="92">
        <v>1</v>
      </c>
      <c r="P338" s="92">
        <v>2</v>
      </c>
      <c r="Q338" s="92">
        <v>2</v>
      </c>
      <c r="S338" s="16">
        <f t="shared" ref="S338:S346" si="221">IF(L338&gt;L$3,0,1)</f>
        <v>0</v>
      </c>
      <c r="T338" s="16">
        <f t="shared" ref="T338:T346" si="222">IF(M338&gt;M$3,0,1)</f>
        <v>0</v>
      </c>
      <c r="U338" s="16">
        <f t="shared" ref="U338:U346" si="223">IF(N338&gt;N$3,0,1)</f>
        <v>0</v>
      </c>
      <c r="V338" s="16">
        <f t="shared" ref="V338:V346" si="224">IF(O338&gt;O$3,0,1)</f>
        <v>0</v>
      </c>
      <c r="W338" s="16">
        <f t="shared" ref="W338:W346" si="225">IF(P338&gt;LARGE($P$3:$U$3,1),0,1)</f>
        <v>0</v>
      </c>
      <c r="X338" s="16">
        <f t="shared" ref="X338:X346" si="226">IF(Q338&gt;LARGE($P$3:$U$3,2),0,1)</f>
        <v>0</v>
      </c>
      <c r="Z338" s="16">
        <f t="shared" ref="Z338:Z362" si="227">S338*T338*U338*V338*W338*X338</f>
        <v>0</v>
      </c>
      <c r="AB338" s="16" t="s">
        <v>432</v>
      </c>
      <c r="AC338" s="16" t="s">
        <v>433</v>
      </c>
      <c r="AD338" s="16" t="s">
        <v>432</v>
      </c>
      <c r="AF338" s="21" t="s">
        <v>356</v>
      </c>
      <c r="AG338" s="21" t="s">
        <v>356</v>
      </c>
      <c r="AH338" s="21" t="s">
        <v>435</v>
      </c>
    </row>
    <row r="339" spans="1:34">
      <c r="A339" s="2" t="str">
        <f>'Reference Score Calculation'!A330</f>
        <v>JS9011</v>
      </c>
      <c r="B339" s="2" t="str">
        <f>'Reference Score Calculation'!A330</f>
        <v>JS9011</v>
      </c>
      <c r="C339" s="2" t="str">
        <f>'Reference Score Calculation'!D330</f>
        <v>中文榮譽文學士</v>
      </c>
      <c r="D339" s="2">
        <f>'Reference Score Calculation'!T330</f>
        <v>30</v>
      </c>
      <c r="E339" s="2">
        <v>3</v>
      </c>
      <c r="F339" s="2">
        <v>3</v>
      </c>
      <c r="G339" s="2">
        <v>2</v>
      </c>
      <c r="H339" s="2">
        <v>2</v>
      </c>
      <c r="I339" s="2">
        <v>2</v>
      </c>
      <c r="J339" s="2"/>
      <c r="K339" s="2"/>
      <c r="L339" s="92">
        <v>3</v>
      </c>
      <c r="M339" s="92">
        <v>3</v>
      </c>
      <c r="N339" s="92">
        <v>2</v>
      </c>
      <c r="O339" s="92">
        <v>1</v>
      </c>
      <c r="P339" s="92">
        <v>2</v>
      </c>
      <c r="Q339" s="92">
        <v>2</v>
      </c>
      <c r="S339" s="16">
        <f t="shared" si="221"/>
        <v>0</v>
      </c>
      <c r="T339" s="16">
        <f t="shared" si="222"/>
        <v>0</v>
      </c>
      <c r="U339" s="16">
        <f t="shared" si="223"/>
        <v>0</v>
      </c>
      <c r="V339" s="16">
        <f t="shared" si="224"/>
        <v>0</v>
      </c>
      <c r="W339" s="16">
        <f t="shared" si="225"/>
        <v>0</v>
      </c>
      <c r="X339" s="16">
        <f t="shared" si="226"/>
        <v>0</v>
      </c>
      <c r="Z339" s="16">
        <f t="shared" si="227"/>
        <v>0</v>
      </c>
      <c r="AB339" s="16" t="s">
        <v>432</v>
      </c>
      <c r="AC339" s="16" t="s">
        <v>433</v>
      </c>
      <c r="AD339" s="16" t="s">
        <v>432</v>
      </c>
      <c r="AF339" s="21" t="s">
        <v>356</v>
      </c>
      <c r="AG339" s="21" t="s">
        <v>356</v>
      </c>
      <c r="AH339" s="21" t="s">
        <v>435</v>
      </c>
    </row>
    <row r="340" spans="1:34">
      <c r="A340" s="2" t="str">
        <f>'Reference Score Calculation'!A331</f>
        <v>JS9013</v>
      </c>
      <c r="B340" s="2" t="str">
        <f>'Reference Score Calculation'!A331</f>
        <v>JS9013</v>
      </c>
      <c r="C340" s="2" t="str">
        <f>'Reference Score Calculation'!D331</f>
        <v>語言研究與翻譯榮譽文學士</v>
      </c>
      <c r="D340" s="2">
        <f>'Reference Score Calculation'!T331</f>
        <v>45</v>
      </c>
      <c r="E340" s="2">
        <v>3</v>
      </c>
      <c r="F340" s="2">
        <v>3</v>
      </c>
      <c r="G340" s="2">
        <v>2</v>
      </c>
      <c r="H340" s="2">
        <v>2</v>
      </c>
      <c r="I340" s="2">
        <v>2</v>
      </c>
      <c r="J340" s="2"/>
      <c r="K340" s="2"/>
      <c r="L340" s="92">
        <v>3</v>
      </c>
      <c r="M340" s="92">
        <v>3</v>
      </c>
      <c r="N340" s="92">
        <v>2</v>
      </c>
      <c r="O340" s="92">
        <v>1</v>
      </c>
      <c r="P340" s="92">
        <v>2</v>
      </c>
      <c r="Q340" s="92">
        <v>2</v>
      </c>
      <c r="S340" s="16">
        <f t="shared" si="221"/>
        <v>0</v>
      </c>
      <c r="T340" s="16">
        <f t="shared" si="222"/>
        <v>0</v>
      </c>
      <c r="U340" s="16">
        <f t="shared" si="223"/>
        <v>0</v>
      </c>
      <c r="V340" s="16">
        <f t="shared" si="224"/>
        <v>0</v>
      </c>
      <c r="W340" s="16">
        <f t="shared" si="225"/>
        <v>0</v>
      </c>
      <c r="X340" s="16">
        <f t="shared" si="226"/>
        <v>0</v>
      </c>
      <c r="Z340" s="16">
        <f t="shared" si="227"/>
        <v>0</v>
      </c>
      <c r="AB340" s="16" t="s">
        <v>432</v>
      </c>
      <c r="AC340" s="16" t="s">
        <v>433</v>
      </c>
      <c r="AD340" s="16" t="s">
        <v>432</v>
      </c>
      <c r="AF340" s="21" t="s">
        <v>356</v>
      </c>
      <c r="AG340" s="21" t="s">
        <v>356</v>
      </c>
      <c r="AH340" s="21" t="s">
        <v>435</v>
      </c>
    </row>
    <row r="341" spans="1:34">
      <c r="A341" s="2" t="str">
        <f>'Reference Score Calculation'!A332</f>
        <v>JS9016</v>
      </c>
      <c r="B341" s="2" t="str">
        <f>'Reference Score Calculation'!A332</f>
        <v>JS9016</v>
      </c>
      <c r="C341" s="2" t="str">
        <f>'Reference Score Calculation'!D332</f>
        <v>創意廣告及媒體設計榮譽文學士</v>
      </c>
      <c r="D341" s="2">
        <f>'Reference Score Calculation'!T332</f>
        <v>70</v>
      </c>
      <c r="E341" s="2">
        <v>3</v>
      </c>
      <c r="F341" s="2">
        <v>3</v>
      </c>
      <c r="G341" s="2">
        <v>2</v>
      </c>
      <c r="H341" s="2">
        <v>2</v>
      </c>
      <c r="I341" s="2">
        <v>2</v>
      </c>
      <c r="J341" s="2"/>
      <c r="K341" s="2"/>
      <c r="L341" s="92">
        <v>3</v>
      </c>
      <c r="M341" s="92">
        <v>3</v>
      </c>
      <c r="N341" s="92">
        <v>2</v>
      </c>
      <c r="O341" s="92">
        <v>1</v>
      </c>
      <c r="P341" s="92">
        <v>2</v>
      </c>
      <c r="Q341" s="92">
        <v>2</v>
      </c>
      <c r="S341" s="16">
        <f t="shared" si="221"/>
        <v>0</v>
      </c>
      <c r="T341" s="16">
        <f t="shared" si="222"/>
        <v>0</v>
      </c>
      <c r="U341" s="16">
        <f t="shared" si="223"/>
        <v>0</v>
      </c>
      <c r="V341" s="16">
        <f t="shared" si="224"/>
        <v>0</v>
      </c>
      <c r="W341" s="16">
        <f t="shared" si="225"/>
        <v>0</v>
      </c>
      <c r="X341" s="16">
        <f t="shared" si="226"/>
        <v>0</v>
      </c>
      <c r="Z341" s="16">
        <f t="shared" si="227"/>
        <v>0</v>
      </c>
      <c r="AB341" s="16" t="s">
        <v>432</v>
      </c>
      <c r="AC341" s="16" t="s">
        <v>433</v>
      </c>
      <c r="AD341" s="16" t="s">
        <v>432</v>
      </c>
      <c r="AF341" s="21" t="s">
        <v>356</v>
      </c>
      <c r="AG341" s="21" t="s">
        <v>356</v>
      </c>
      <c r="AH341" s="21" t="s">
        <v>435</v>
      </c>
    </row>
    <row r="342" spans="1:34">
      <c r="A342" s="2" t="str">
        <f>'Reference Score Calculation'!A333</f>
        <v>JS9019</v>
      </c>
      <c r="B342" s="2" t="str">
        <f>'Reference Score Calculation'!A333</f>
        <v>JS9019</v>
      </c>
      <c r="C342" s="2" t="str">
        <f>'Reference Score Calculation'!D333</f>
        <v>英語及文化榮譽文學士</v>
      </c>
      <c r="D342" s="2">
        <f>'Reference Score Calculation'!T333</f>
        <v>20</v>
      </c>
      <c r="E342" s="2">
        <v>3</v>
      </c>
      <c r="F342" s="2">
        <v>3</v>
      </c>
      <c r="G342" s="2">
        <v>2</v>
      </c>
      <c r="H342" s="2">
        <v>2</v>
      </c>
      <c r="I342" s="2">
        <v>2</v>
      </c>
      <c r="J342" s="2"/>
      <c r="K342" s="2"/>
      <c r="L342" s="92">
        <v>3</v>
      </c>
      <c r="M342" s="92">
        <v>3</v>
      </c>
      <c r="N342" s="92">
        <v>2</v>
      </c>
      <c r="O342" s="92">
        <v>1</v>
      </c>
      <c r="P342" s="92">
        <v>2</v>
      </c>
      <c r="Q342" s="92">
        <v>2</v>
      </c>
      <c r="S342" s="16">
        <f t="shared" si="221"/>
        <v>0</v>
      </c>
      <c r="T342" s="16">
        <f t="shared" si="222"/>
        <v>0</v>
      </c>
      <c r="U342" s="16">
        <f t="shared" si="223"/>
        <v>0</v>
      </c>
      <c r="V342" s="16">
        <f t="shared" si="224"/>
        <v>0</v>
      </c>
      <c r="W342" s="16">
        <f t="shared" si="225"/>
        <v>0</v>
      </c>
      <c r="X342" s="16">
        <f t="shared" si="226"/>
        <v>0</v>
      </c>
      <c r="Z342" s="16">
        <f t="shared" si="227"/>
        <v>0</v>
      </c>
      <c r="AB342" s="16" t="s">
        <v>432</v>
      </c>
      <c r="AC342" s="16" t="s">
        <v>433</v>
      </c>
      <c r="AD342" s="16" t="s">
        <v>432</v>
      </c>
      <c r="AF342" s="21" t="s">
        <v>356</v>
      </c>
      <c r="AG342" s="21" t="s">
        <v>356</v>
      </c>
      <c r="AH342" s="21" t="s">
        <v>435</v>
      </c>
    </row>
    <row r="343" spans="1:34">
      <c r="A343" s="2" t="str">
        <f>'Reference Score Calculation'!A334</f>
        <v>JS9220</v>
      </c>
      <c r="B343" s="2" t="str">
        <f>'Reference Score Calculation'!A334</f>
        <v>JS9220</v>
      </c>
      <c r="C343" s="2" t="str">
        <f>'Reference Score Calculation'!D334</f>
        <v>專業會計榮譽工商管理學士</v>
      </c>
      <c r="D343" s="2">
        <f>'Reference Score Calculation'!T334</f>
        <v>40</v>
      </c>
      <c r="E343" s="2">
        <v>3</v>
      </c>
      <c r="F343" s="2">
        <v>3</v>
      </c>
      <c r="G343" s="2">
        <v>2</v>
      </c>
      <c r="H343" s="2">
        <v>2</v>
      </c>
      <c r="I343" s="2">
        <v>2</v>
      </c>
      <c r="J343" s="2"/>
      <c r="K343" s="2"/>
      <c r="L343" s="92">
        <v>3</v>
      </c>
      <c r="M343" s="92">
        <v>3</v>
      </c>
      <c r="N343" s="92">
        <v>2</v>
      </c>
      <c r="O343" s="92">
        <v>1</v>
      </c>
      <c r="P343" s="92">
        <v>2</v>
      </c>
      <c r="Q343" s="92">
        <v>2</v>
      </c>
      <c r="S343" s="16">
        <f t="shared" si="221"/>
        <v>0</v>
      </c>
      <c r="T343" s="16">
        <f t="shared" si="222"/>
        <v>0</v>
      </c>
      <c r="U343" s="16">
        <f t="shared" si="223"/>
        <v>0</v>
      </c>
      <c r="V343" s="16">
        <f t="shared" si="224"/>
        <v>0</v>
      </c>
      <c r="W343" s="16">
        <f t="shared" si="225"/>
        <v>0</v>
      </c>
      <c r="X343" s="16">
        <f t="shared" si="226"/>
        <v>0</v>
      </c>
      <c r="Z343" s="16">
        <f t="shared" si="227"/>
        <v>0</v>
      </c>
      <c r="AB343" s="16" t="s">
        <v>432</v>
      </c>
      <c r="AC343" s="16" t="s">
        <v>433</v>
      </c>
      <c r="AD343" s="16" t="s">
        <v>432</v>
      </c>
      <c r="AF343" s="21" t="s">
        <v>356</v>
      </c>
      <c r="AG343" s="21" t="s">
        <v>356</v>
      </c>
      <c r="AH343" s="21" t="s">
        <v>435</v>
      </c>
    </row>
    <row r="344" spans="1:34">
      <c r="A344" s="2" t="str">
        <f>'Reference Score Calculation'!A335</f>
        <v>JS9223</v>
      </c>
      <c r="B344" s="2" t="str">
        <f>'Reference Score Calculation'!A335</f>
        <v>JS9223</v>
      </c>
      <c r="C344" s="2" t="str">
        <f>'Reference Score Calculation'!D335</f>
        <v>航空服務管理榮譽工商管理學士</v>
      </c>
      <c r="D344" s="2">
        <f>'Reference Score Calculation'!T335</f>
        <v>20</v>
      </c>
      <c r="E344" s="2">
        <v>3</v>
      </c>
      <c r="F344" s="2">
        <v>3</v>
      </c>
      <c r="G344" s="2">
        <v>2</v>
      </c>
      <c r="H344" s="2">
        <v>2</v>
      </c>
      <c r="I344" s="2">
        <v>2</v>
      </c>
      <c r="J344" s="2"/>
      <c r="K344" s="2"/>
      <c r="L344" s="92">
        <v>3</v>
      </c>
      <c r="M344" s="92">
        <v>3</v>
      </c>
      <c r="N344" s="92">
        <v>2</v>
      </c>
      <c r="O344" s="92">
        <v>1</v>
      </c>
      <c r="P344" s="92">
        <v>2</v>
      </c>
      <c r="Q344" s="92">
        <v>2</v>
      </c>
      <c r="S344" s="16">
        <f t="shared" si="221"/>
        <v>0</v>
      </c>
      <c r="T344" s="16">
        <f t="shared" si="222"/>
        <v>0</v>
      </c>
      <c r="U344" s="16">
        <f t="shared" si="223"/>
        <v>0</v>
      </c>
      <c r="V344" s="16">
        <f t="shared" si="224"/>
        <v>0</v>
      </c>
      <c r="W344" s="16">
        <f t="shared" si="225"/>
        <v>0</v>
      </c>
      <c r="X344" s="16">
        <f t="shared" si="226"/>
        <v>0</v>
      </c>
      <c r="Z344" s="16">
        <f t="shared" si="227"/>
        <v>0</v>
      </c>
      <c r="AB344" s="16" t="s">
        <v>432</v>
      </c>
      <c r="AC344" s="16" t="s">
        <v>433</v>
      </c>
      <c r="AD344" s="16" t="s">
        <v>432</v>
      </c>
      <c r="AF344" s="21" t="s">
        <v>356</v>
      </c>
      <c r="AG344" s="21" t="s">
        <v>356</v>
      </c>
      <c r="AH344" s="21" t="s">
        <v>435</v>
      </c>
    </row>
    <row r="345" spans="1:34">
      <c r="A345" s="2" t="str">
        <f>'Reference Score Calculation'!A336</f>
        <v>JS9230</v>
      </c>
      <c r="B345" s="2" t="str">
        <f>'Reference Score Calculation'!A336</f>
        <v>JS9230</v>
      </c>
      <c r="C345" s="2" t="str">
        <f>'Reference Score Calculation'!D336</f>
        <v>商業管理學榮譽工商管理學士</v>
      </c>
      <c r="D345" s="2">
        <f>'Reference Score Calculation'!T336</f>
        <v>40</v>
      </c>
      <c r="E345" s="2">
        <v>3</v>
      </c>
      <c r="F345" s="2">
        <v>3</v>
      </c>
      <c r="G345" s="2">
        <v>2</v>
      </c>
      <c r="H345" s="2">
        <v>2</v>
      </c>
      <c r="I345" s="2">
        <v>2</v>
      </c>
      <c r="J345" s="2"/>
      <c r="K345" s="2"/>
      <c r="L345" s="92">
        <v>3</v>
      </c>
      <c r="M345" s="92">
        <v>3</v>
      </c>
      <c r="N345" s="92">
        <v>2</v>
      </c>
      <c r="O345" s="92">
        <v>1</v>
      </c>
      <c r="P345" s="92">
        <v>2</v>
      </c>
      <c r="Q345" s="92">
        <v>2</v>
      </c>
      <c r="S345" s="16">
        <f t="shared" si="221"/>
        <v>0</v>
      </c>
      <c r="T345" s="16">
        <f t="shared" si="222"/>
        <v>0</v>
      </c>
      <c r="U345" s="16">
        <f t="shared" si="223"/>
        <v>0</v>
      </c>
      <c r="V345" s="16">
        <f t="shared" si="224"/>
        <v>0</v>
      </c>
      <c r="W345" s="16">
        <f t="shared" si="225"/>
        <v>0</v>
      </c>
      <c r="X345" s="16">
        <f t="shared" si="226"/>
        <v>0</v>
      </c>
      <c r="Z345" s="16">
        <f t="shared" si="227"/>
        <v>0</v>
      </c>
      <c r="AB345" s="16" t="s">
        <v>432</v>
      </c>
      <c r="AC345" s="16" t="s">
        <v>433</v>
      </c>
      <c r="AD345" s="16" t="s">
        <v>432</v>
      </c>
      <c r="AF345" s="21" t="s">
        <v>356</v>
      </c>
      <c r="AG345" s="21" t="s">
        <v>356</v>
      </c>
      <c r="AH345" s="21" t="s">
        <v>435</v>
      </c>
    </row>
    <row r="346" spans="1:34">
      <c r="A346" s="2" t="str">
        <f>'Reference Score Calculation'!A337</f>
        <v>JS9240</v>
      </c>
      <c r="B346" s="2" t="str">
        <f>'Reference Score Calculation'!A337</f>
        <v>JS9240</v>
      </c>
      <c r="C346" s="2" t="str">
        <f>'Reference Score Calculation'!D337</f>
        <v>環球商業及市場學榮譽工商管理學士</v>
      </c>
      <c r="D346" s="2">
        <f>'Reference Score Calculation'!T337</f>
        <v>10</v>
      </c>
      <c r="E346" s="2">
        <v>3</v>
      </c>
      <c r="F346" s="2">
        <v>3</v>
      </c>
      <c r="G346" s="2">
        <v>2</v>
      </c>
      <c r="H346" s="2">
        <v>2</v>
      </c>
      <c r="I346" s="2">
        <v>2</v>
      </c>
      <c r="J346" s="2"/>
      <c r="K346" s="2"/>
      <c r="L346" s="92">
        <v>3</v>
      </c>
      <c r="M346" s="92">
        <v>3</v>
      </c>
      <c r="N346" s="92">
        <v>2</v>
      </c>
      <c r="O346" s="92">
        <v>1</v>
      </c>
      <c r="P346" s="92">
        <v>2</v>
      </c>
      <c r="Q346" s="92">
        <v>2</v>
      </c>
      <c r="S346" s="16">
        <f t="shared" si="221"/>
        <v>0</v>
      </c>
      <c r="T346" s="16">
        <f t="shared" si="222"/>
        <v>0</v>
      </c>
      <c r="U346" s="16">
        <f t="shared" si="223"/>
        <v>0</v>
      </c>
      <c r="V346" s="16">
        <f t="shared" si="224"/>
        <v>0</v>
      </c>
      <c r="W346" s="16">
        <f t="shared" si="225"/>
        <v>0</v>
      </c>
      <c r="X346" s="16">
        <f t="shared" si="226"/>
        <v>0</v>
      </c>
      <c r="Z346" s="16">
        <f t="shared" si="227"/>
        <v>0</v>
      </c>
      <c r="AB346" s="16" t="s">
        <v>432</v>
      </c>
      <c r="AC346" s="16" t="s">
        <v>433</v>
      </c>
      <c r="AD346" s="16" t="s">
        <v>432</v>
      </c>
      <c r="AF346" s="21" t="s">
        <v>356</v>
      </c>
      <c r="AG346" s="21" t="s">
        <v>356</v>
      </c>
      <c r="AH346" s="21" t="s">
        <v>435</v>
      </c>
    </row>
    <row r="347" spans="1:34">
      <c r="A347" s="2" t="e">
        <f>'Reference Score Calculation'!#REF!</f>
        <v>#REF!</v>
      </c>
      <c r="B347" s="2" t="str">
        <f>'Reference Score Calculation'!A338</f>
        <v>JS9262</v>
      </c>
      <c r="C347" s="2" t="str">
        <f>'Reference Score Calculation'!D338</f>
        <v>人力資源管理學榮譽工商管理學士</v>
      </c>
      <c r="D347" s="2">
        <f>'Reference Score Calculation'!T338</f>
        <v>20</v>
      </c>
      <c r="E347" s="2">
        <v>3</v>
      </c>
      <c r="F347" s="2">
        <v>3</v>
      </c>
      <c r="G347" s="2">
        <v>2</v>
      </c>
      <c r="H347" s="2">
        <v>2</v>
      </c>
      <c r="I347" s="2">
        <v>2</v>
      </c>
      <c r="J347" s="2"/>
      <c r="K347" s="2"/>
      <c r="L347" s="92">
        <v>3</v>
      </c>
      <c r="M347" s="92">
        <v>3</v>
      </c>
      <c r="N347" s="92">
        <v>2</v>
      </c>
      <c r="O347" s="92">
        <v>1</v>
      </c>
      <c r="P347" s="92">
        <v>2</v>
      </c>
      <c r="Q347" s="92">
        <v>2</v>
      </c>
      <c r="S347" s="16">
        <f t="shared" ref="S347:S362" si="228">IF(L347&gt;L$3,0,1)</f>
        <v>0</v>
      </c>
      <c r="T347" s="16">
        <f t="shared" ref="T347:T362" si="229">IF(M347&gt;M$3,0,1)</f>
        <v>0</v>
      </c>
      <c r="U347" s="16">
        <f t="shared" ref="U347:U362" si="230">IF(N347&gt;N$3,0,1)</f>
        <v>0</v>
      </c>
      <c r="V347" s="16">
        <f t="shared" ref="V347:V362" si="231">IF(O347&gt;O$3,0,1)</f>
        <v>0</v>
      </c>
      <c r="W347" s="16">
        <f t="shared" ref="W347:W362" si="232">IF(P347&gt;LARGE($P$3:$U$3,1),0,1)</f>
        <v>0</v>
      </c>
      <c r="X347" s="16">
        <f t="shared" ref="X347:X362" si="233">IF(Q347&gt;LARGE($P$3:$U$3,2),0,1)</f>
        <v>0</v>
      </c>
      <c r="Z347" s="16">
        <f t="shared" si="227"/>
        <v>0</v>
      </c>
      <c r="AB347" s="16" t="s">
        <v>432</v>
      </c>
      <c r="AC347" s="16" t="s">
        <v>433</v>
      </c>
      <c r="AD347" s="16" t="s">
        <v>432</v>
      </c>
      <c r="AF347" s="21" t="s">
        <v>356</v>
      </c>
      <c r="AG347" s="21" t="s">
        <v>356</v>
      </c>
      <c r="AH347" s="21" t="s">
        <v>435</v>
      </c>
    </row>
    <row r="348" spans="1:34">
      <c r="A348" s="2" t="str">
        <f>'Reference Score Calculation'!A338</f>
        <v>JS9262</v>
      </c>
      <c r="B348" s="2" t="str">
        <f>'Reference Score Calculation'!A339</f>
        <v>JS9266</v>
      </c>
      <c r="C348" s="2" t="str">
        <f>'Reference Score Calculation'!D339</f>
        <v>市場學榮譽工商管理學士</v>
      </c>
      <c r="D348" s="2">
        <f>'Reference Score Calculation'!T339</f>
        <v>20</v>
      </c>
      <c r="E348" s="2">
        <v>3</v>
      </c>
      <c r="F348" s="2">
        <v>3</v>
      </c>
      <c r="G348" s="2">
        <v>2</v>
      </c>
      <c r="H348" s="2">
        <v>2</v>
      </c>
      <c r="I348" s="2">
        <v>2</v>
      </c>
      <c r="J348" s="2"/>
      <c r="K348" s="2"/>
      <c r="L348" s="92">
        <v>3</v>
      </c>
      <c r="M348" s="92">
        <v>3</v>
      </c>
      <c r="N348" s="92">
        <v>2</v>
      </c>
      <c r="O348" s="92">
        <v>1</v>
      </c>
      <c r="P348" s="92">
        <v>2</v>
      </c>
      <c r="Q348" s="92">
        <v>2</v>
      </c>
      <c r="S348" s="16">
        <f t="shared" si="228"/>
        <v>0</v>
      </c>
      <c r="T348" s="16">
        <f t="shared" si="229"/>
        <v>0</v>
      </c>
      <c r="U348" s="16">
        <f t="shared" si="230"/>
        <v>0</v>
      </c>
      <c r="V348" s="16">
        <f t="shared" si="231"/>
        <v>0</v>
      </c>
      <c r="W348" s="16">
        <f t="shared" si="232"/>
        <v>0</v>
      </c>
      <c r="X348" s="16">
        <f t="shared" si="233"/>
        <v>0</v>
      </c>
      <c r="Z348" s="16">
        <f t="shared" si="227"/>
        <v>0</v>
      </c>
      <c r="AB348" s="16" t="s">
        <v>432</v>
      </c>
      <c r="AC348" s="16" t="s">
        <v>433</v>
      </c>
      <c r="AD348" s="16" t="s">
        <v>432</v>
      </c>
      <c r="AF348" s="21" t="s">
        <v>356</v>
      </c>
      <c r="AG348" s="21" t="s">
        <v>356</v>
      </c>
      <c r="AH348" s="21" t="s">
        <v>435</v>
      </c>
    </row>
    <row r="349" spans="1:34">
      <c r="A349" s="2" t="str">
        <f>'Reference Score Calculation'!A339</f>
        <v>JS9266</v>
      </c>
      <c r="B349" s="2" t="str">
        <f>'Reference Score Calculation'!A340</f>
        <v>JS9280</v>
      </c>
      <c r="C349" s="2" t="str">
        <f>'Reference Score Calculation'!D340</f>
        <v>應用心理學榮譽學士，商業管理榮譽學士</v>
      </c>
      <c r="D349" s="2">
        <f>'Reference Score Calculation'!T340</f>
        <v>25</v>
      </c>
      <c r="E349" s="2">
        <v>3</v>
      </c>
      <c r="F349" s="2">
        <v>3</v>
      </c>
      <c r="G349" s="2">
        <v>2</v>
      </c>
      <c r="H349" s="2">
        <v>2</v>
      </c>
      <c r="I349" s="2">
        <v>2</v>
      </c>
      <c r="J349" s="2"/>
      <c r="K349" s="2"/>
      <c r="L349" s="92">
        <v>3</v>
      </c>
      <c r="M349" s="92">
        <v>3</v>
      </c>
      <c r="N349" s="92">
        <v>2</v>
      </c>
      <c r="O349" s="92">
        <v>1</v>
      </c>
      <c r="P349" s="92">
        <v>2</v>
      </c>
      <c r="Q349" s="92">
        <v>2</v>
      </c>
      <c r="S349" s="16">
        <f t="shared" si="228"/>
        <v>0</v>
      </c>
      <c r="T349" s="16">
        <f t="shared" si="229"/>
        <v>0</v>
      </c>
      <c r="U349" s="16">
        <f t="shared" si="230"/>
        <v>0</v>
      </c>
      <c r="V349" s="16">
        <f t="shared" si="231"/>
        <v>0</v>
      </c>
      <c r="W349" s="16">
        <f t="shared" si="232"/>
        <v>0</v>
      </c>
      <c r="X349" s="16">
        <f t="shared" si="233"/>
        <v>0</v>
      </c>
      <c r="Z349" s="16">
        <f t="shared" si="227"/>
        <v>0</v>
      </c>
      <c r="AB349" s="16" t="s">
        <v>432</v>
      </c>
      <c r="AC349" s="16" t="s">
        <v>433</v>
      </c>
      <c r="AD349" s="16" t="s">
        <v>432</v>
      </c>
      <c r="AF349" s="21" t="s">
        <v>356</v>
      </c>
      <c r="AG349" s="21" t="s">
        <v>356</v>
      </c>
      <c r="AH349" s="21" t="s">
        <v>435</v>
      </c>
    </row>
    <row r="350" spans="1:34">
      <c r="A350" s="2" t="str">
        <f>'Reference Score Calculation'!A340</f>
        <v>JS9280</v>
      </c>
      <c r="B350" s="2" t="str">
        <f>'Reference Score Calculation'!A341</f>
        <v>JS9291</v>
      </c>
      <c r="C350" s="2" t="str">
        <f>'Reference Score Calculation'!D341</f>
        <v>酒店及可持續旅遊管理榮譽工商管理學士</v>
      </c>
      <c r="D350" s="2">
        <f>'Reference Score Calculation'!T341</f>
        <v>25</v>
      </c>
      <c r="E350" s="2">
        <v>3</v>
      </c>
      <c r="F350" s="2">
        <v>3</v>
      </c>
      <c r="G350" s="2">
        <v>2</v>
      </c>
      <c r="H350" s="2">
        <v>2</v>
      </c>
      <c r="I350" s="2">
        <v>2</v>
      </c>
      <c r="J350" s="2"/>
      <c r="K350" s="2"/>
      <c r="L350" s="92">
        <v>3</v>
      </c>
      <c r="M350" s="92">
        <v>3</v>
      </c>
      <c r="N350" s="92">
        <v>2</v>
      </c>
      <c r="O350" s="92">
        <v>1</v>
      </c>
      <c r="P350" s="92">
        <v>2</v>
      </c>
      <c r="Q350" s="92">
        <v>2</v>
      </c>
      <c r="S350" s="16">
        <f t="shared" si="228"/>
        <v>0</v>
      </c>
      <c r="T350" s="16">
        <f t="shared" si="229"/>
        <v>0</v>
      </c>
      <c r="U350" s="16">
        <f t="shared" si="230"/>
        <v>0</v>
      </c>
      <c r="V350" s="16">
        <f t="shared" si="231"/>
        <v>0</v>
      </c>
      <c r="W350" s="16">
        <f t="shared" si="232"/>
        <v>0</v>
      </c>
      <c r="X350" s="16">
        <f t="shared" si="233"/>
        <v>0</v>
      </c>
      <c r="Z350" s="16">
        <f t="shared" si="227"/>
        <v>0</v>
      </c>
      <c r="AB350" s="16" t="s">
        <v>432</v>
      </c>
      <c r="AC350" s="16" t="s">
        <v>433</v>
      </c>
      <c r="AD350" s="16" t="s">
        <v>432</v>
      </c>
      <c r="AF350" s="21" t="s">
        <v>356</v>
      </c>
      <c r="AG350" s="21" t="s">
        <v>356</v>
      </c>
      <c r="AH350" s="21" t="s">
        <v>435</v>
      </c>
    </row>
    <row r="351" spans="1:34">
      <c r="A351" s="2" t="str">
        <f>'Reference Score Calculation'!A341</f>
        <v>JS9291</v>
      </c>
      <c r="B351" s="2" t="str">
        <f>'Reference Score Calculation'!A342</f>
        <v>JS9294</v>
      </c>
      <c r="C351" s="2" t="str">
        <f>'Reference Score Calculation'!D342</f>
        <v>運動及電競運動管理榮譽工商管理學士</v>
      </c>
      <c r="D351" s="2">
        <f>'Reference Score Calculation'!T342</f>
        <v>25</v>
      </c>
      <c r="E351" s="2">
        <v>3</v>
      </c>
      <c r="F351" s="2">
        <v>3</v>
      </c>
      <c r="G351" s="2">
        <v>2</v>
      </c>
      <c r="H351" s="2">
        <v>2</v>
      </c>
      <c r="I351" s="2">
        <v>2</v>
      </c>
      <c r="J351" s="2"/>
      <c r="K351" s="2"/>
      <c r="L351" s="92">
        <v>3</v>
      </c>
      <c r="M351" s="92">
        <v>3</v>
      </c>
      <c r="N351" s="92">
        <v>2</v>
      </c>
      <c r="O351" s="92">
        <v>1</v>
      </c>
      <c r="P351" s="92">
        <v>2</v>
      </c>
      <c r="Q351" s="92">
        <v>2</v>
      </c>
      <c r="S351" s="16">
        <f t="shared" si="228"/>
        <v>0</v>
      </c>
      <c r="T351" s="16">
        <f t="shared" si="229"/>
        <v>0</v>
      </c>
      <c r="U351" s="16">
        <f t="shared" si="230"/>
        <v>0</v>
      </c>
      <c r="V351" s="16">
        <f t="shared" si="231"/>
        <v>0</v>
      </c>
      <c r="W351" s="16">
        <f t="shared" si="232"/>
        <v>0</v>
      </c>
      <c r="X351" s="16">
        <f t="shared" si="233"/>
        <v>0</v>
      </c>
      <c r="Z351" s="16">
        <f t="shared" si="227"/>
        <v>0</v>
      </c>
      <c r="AB351" s="16" t="s">
        <v>432</v>
      </c>
      <c r="AC351" s="16" t="s">
        <v>433</v>
      </c>
      <c r="AD351" s="16" t="s">
        <v>432</v>
      </c>
      <c r="AF351" s="21" t="s">
        <v>356</v>
      </c>
      <c r="AG351" s="21" t="s">
        <v>356</v>
      </c>
      <c r="AH351" s="21" t="s">
        <v>435</v>
      </c>
    </row>
    <row r="352" spans="1:34">
      <c r="A352" s="2" t="str">
        <f>'Reference Score Calculation'!A342</f>
        <v>JS9294</v>
      </c>
      <c r="B352" s="2" t="str">
        <f>'Reference Score Calculation'!A343</f>
        <v>JS9520</v>
      </c>
      <c r="C352" s="2" t="str">
        <f>'Reference Score Calculation'!D343</f>
        <v>教育榮譽學士（普通話及中文教育）及語言研究榮譽學士（漢語語言學研究）</v>
      </c>
      <c r="D352" s="2">
        <f>'Reference Score Calculation'!T343</f>
        <v>35</v>
      </c>
      <c r="E352" s="2">
        <v>3</v>
      </c>
      <c r="F352" s="2">
        <v>3</v>
      </c>
      <c r="G352" s="2">
        <v>2</v>
      </c>
      <c r="H352" s="2">
        <v>2</v>
      </c>
      <c r="I352" s="2">
        <v>2</v>
      </c>
      <c r="J352" s="2"/>
      <c r="K352" s="2"/>
      <c r="L352" s="92">
        <v>3</v>
      </c>
      <c r="M352" s="92">
        <v>3</v>
      </c>
      <c r="N352" s="92">
        <v>2</v>
      </c>
      <c r="O352" s="92">
        <v>1</v>
      </c>
      <c r="P352" s="92">
        <v>2</v>
      </c>
      <c r="Q352" s="92">
        <v>2</v>
      </c>
      <c r="S352" s="16">
        <f t="shared" si="228"/>
        <v>0</v>
      </c>
      <c r="T352" s="16">
        <f t="shared" si="229"/>
        <v>0</v>
      </c>
      <c r="U352" s="16">
        <f t="shared" si="230"/>
        <v>0</v>
      </c>
      <c r="V352" s="16">
        <f t="shared" si="231"/>
        <v>0</v>
      </c>
      <c r="W352" s="16">
        <f t="shared" si="232"/>
        <v>0</v>
      </c>
      <c r="X352" s="16">
        <f t="shared" si="233"/>
        <v>0</v>
      </c>
      <c r="Z352" s="16">
        <f t="shared" si="227"/>
        <v>0</v>
      </c>
      <c r="AB352" s="16" t="s">
        <v>432</v>
      </c>
      <c r="AC352" s="16" t="s">
        <v>433</v>
      </c>
      <c r="AD352" s="16" t="s">
        <v>432</v>
      </c>
      <c r="AF352" s="21" t="s">
        <v>356</v>
      </c>
      <c r="AG352" s="21" t="s">
        <v>356</v>
      </c>
      <c r="AH352" s="21" t="s">
        <v>435</v>
      </c>
    </row>
    <row r="353" spans="1:55">
      <c r="A353" s="2" t="str">
        <f>'Reference Score Calculation'!A344</f>
        <v>JS9530</v>
      </c>
      <c r="B353" s="2" t="str">
        <f>'Reference Score Calculation'!A344</f>
        <v>JS9530</v>
      </c>
      <c r="C353" s="2" t="str">
        <f>'Reference Score Calculation'!D344</f>
        <v>英語教學榮譽教育學士及英語研究榮譽學士</v>
      </c>
      <c r="D353" s="2">
        <f>'Reference Score Calculation'!T344</f>
        <v>30</v>
      </c>
      <c r="E353" s="2">
        <v>3</v>
      </c>
      <c r="F353" s="2">
        <v>3</v>
      </c>
      <c r="G353" s="2">
        <v>2</v>
      </c>
      <c r="H353" s="2">
        <v>2</v>
      </c>
      <c r="I353" s="2">
        <v>2</v>
      </c>
      <c r="J353" s="2"/>
      <c r="K353" s="2"/>
      <c r="L353" s="92">
        <v>3</v>
      </c>
      <c r="M353" s="92">
        <v>3</v>
      </c>
      <c r="N353" s="92">
        <v>2</v>
      </c>
      <c r="O353" s="92">
        <v>1</v>
      </c>
      <c r="P353" s="92">
        <v>2</v>
      </c>
      <c r="Q353" s="92">
        <v>2</v>
      </c>
      <c r="S353" s="16">
        <f t="shared" si="228"/>
        <v>0</v>
      </c>
      <c r="T353" s="16">
        <f t="shared" si="229"/>
        <v>0</v>
      </c>
      <c r="U353" s="16">
        <f t="shared" si="230"/>
        <v>0</v>
      </c>
      <c r="V353" s="16">
        <f t="shared" si="231"/>
        <v>0</v>
      </c>
      <c r="W353" s="16">
        <f t="shared" si="232"/>
        <v>0</v>
      </c>
      <c r="X353" s="16">
        <f t="shared" si="233"/>
        <v>0</v>
      </c>
      <c r="Z353" s="16">
        <f t="shared" si="227"/>
        <v>0</v>
      </c>
      <c r="AB353" s="16" t="s">
        <v>432</v>
      </c>
      <c r="AC353" s="16" t="s">
        <v>433</v>
      </c>
      <c r="AD353" s="16" t="s">
        <v>432</v>
      </c>
      <c r="AF353" s="21" t="s">
        <v>356</v>
      </c>
      <c r="AG353" s="21" t="s">
        <v>356</v>
      </c>
      <c r="AH353" s="21" t="s">
        <v>435</v>
      </c>
    </row>
    <row r="354" spans="1:55">
      <c r="A354" s="2" t="str">
        <f>'Reference Score Calculation'!A345</f>
        <v>JS9540</v>
      </c>
      <c r="B354" s="2" t="str">
        <f>'Reference Score Calculation'!A345</f>
        <v>JS9540</v>
      </c>
      <c r="C354" s="2" t="str">
        <f>'Reference Score Calculation'!D345</f>
        <v>英語研究榮譽學士</v>
      </c>
      <c r="D354" s="2">
        <f>'Reference Score Calculation'!T345</f>
        <v>20</v>
      </c>
      <c r="E354" s="2">
        <v>3</v>
      </c>
      <c r="F354" s="2">
        <v>3</v>
      </c>
      <c r="G354" s="2">
        <v>2</v>
      </c>
      <c r="H354" s="2">
        <v>2</v>
      </c>
      <c r="I354" s="2">
        <v>2</v>
      </c>
      <c r="J354" s="2"/>
      <c r="K354" s="2"/>
      <c r="L354" s="92">
        <v>3</v>
      </c>
      <c r="M354" s="92">
        <v>3</v>
      </c>
      <c r="N354" s="92">
        <v>2</v>
      </c>
      <c r="O354" s="92">
        <v>1</v>
      </c>
      <c r="P354" s="92">
        <v>2</v>
      </c>
      <c r="Q354" s="92">
        <v>2</v>
      </c>
      <c r="S354" s="16">
        <f t="shared" si="228"/>
        <v>0</v>
      </c>
      <c r="T354" s="16">
        <f t="shared" si="229"/>
        <v>0</v>
      </c>
      <c r="U354" s="16">
        <f t="shared" si="230"/>
        <v>0</v>
      </c>
      <c r="V354" s="16">
        <f t="shared" si="231"/>
        <v>0</v>
      </c>
      <c r="W354" s="16">
        <f t="shared" si="232"/>
        <v>0</v>
      </c>
      <c r="X354" s="16">
        <f t="shared" si="233"/>
        <v>0</v>
      </c>
      <c r="Z354" s="16">
        <f t="shared" si="227"/>
        <v>0</v>
      </c>
      <c r="AB354" s="16" t="s">
        <v>432</v>
      </c>
      <c r="AC354" s="16" t="s">
        <v>433</v>
      </c>
      <c r="AD354" s="16" t="s">
        <v>432</v>
      </c>
      <c r="AF354" s="21" t="s">
        <v>356</v>
      </c>
      <c r="AG354" s="21" t="s">
        <v>356</v>
      </c>
      <c r="AH354" s="21" t="s">
        <v>435</v>
      </c>
    </row>
    <row r="355" spans="1:55">
      <c r="A355" s="2" t="str">
        <f>'Reference Score Calculation'!A346</f>
        <v>JS9550</v>
      </c>
      <c r="B355" s="2" t="str">
        <f>'Reference Score Calculation'!A346</f>
        <v>JS9550</v>
      </c>
      <c r="C355" s="2" t="str">
        <f>'Reference Score Calculation'!D346</f>
        <v>語言研究榮譽學士（應用中國語言）</v>
      </c>
      <c r="D355" s="2">
        <f>'Reference Score Calculation'!T346</f>
        <v>20</v>
      </c>
      <c r="E355" s="2">
        <v>3</v>
      </c>
      <c r="F355" s="2">
        <v>3</v>
      </c>
      <c r="G355" s="2">
        <v>2</v>
      </c>
      <c r="H355" s="2">
        <v>2</v>
      </c>
      <c r="I355" s="2">
        <v>2</v>
      </c>
      <c r="J355" s="2"/>
      <c r="K355" s="2"/>
      <c r="L355" s="92">
        <v>3</v>
      </c>
      <c r="M355" s="92">
        <v>3</v>
      </c>
      <c r="N355" s="92">
        <v>2</v>
      </c>
      <c r="O355" s="92">
        <v>1</v>
      </c>
      <c r="P355" s="92">
        <v>2</v>
      </c>
      <c r="Q355" s="92">
        <v>2</v>
      </c>
      <c r="S355" s="16">
        <f t="shared" si="228"/>
        <v>0</v>
      </c>
      <c r="T355" s="16">
        <f t="shared" si="229"/>
        <v>0</v>
      </c>
      <c r="U355" s="16">
        <f t="shared" si="230"/>
        <v>0</v>
      </c>
      <c r="V355" s="16">
        <f t="shared" si="231"/>
        <v>0</v>
      </c>
      <c r="W355" s="16">
        <f t="shared" si="232"/>
        <v>0</v>
      </c>
      <c r="X355" s="16">
        <f t="shared" si="233"/>
        <v>0</v>
      </c>
      <c r="Z355" s="16">
        <f t="shared" si="227"/>
        <v>0</v>
      </c>
      <c r="AB355" s="16" t="s">
        <v>432</v>
      </c>
      <c r="AC355" s="16" t="s">
        <v>433</v>
      </c>
      <c r="AD355" s="16" t="s">
        <v>432</v>
      </c>
      <c r="AF355" s="21" t="s">
        <v>356</v>
      </c>
      <c r="AG355" s="21" t="s">
        <v>356</v>
      </c>
      <c r="AH355" s="21" t="s">
        <v>435</v>
      </c>
    </row>
    <row r="356" spans="1:55">
      <c r="A356" s="2" t="str">
        <f>'Reference Score Calculation'!A347</f>
        <v>JS9560</v>
      </c>
      <c r="B356" s="2" t="str">
        <f>'Reference Score Calculation'!A347</f>
        <v>JS9560</v>
      </c>
      <c r="C356" s="2" t="str">
        <f>'Reference Score Calculation'!D347</f>
        <v>教育榮譽學士（中國語文教學）及語言研究榮譽學士（應用中國語言）</v>
      </c>
      <c r="D356" s="2">
        <f>'Reference Score Calculation'!T347</f>
        <v>35</v>
      </c>
      <c r="E356" s="2">
        <v>3</v>
      </c>
      <c r="F356" s="2">
        <v>3</v>
      </c>
      <c r="G356" s="2">
        <v>2</v>
      </c>
      <c r="H356" s="2">
        <v>2</v>
      </c>
      <c r="I356" s="2">
        <v>2</v>
      </c>
      <c r="J356" s="2"/>
      <c r="K356" s="2"/>
      <c r="L356" s="92">
        <v>3</v>
      </c>
      <c r="M356" s="92">
        <v>3</v>
      </c>
      <c r="N356" s="92">
        <v>2</v>
      </c>
      <c r="O356" s="92">
        <v>1</v>
      </c>
      <c r="P356" s="92">
        <v>2</v>
      </c>
      <c r="Q356" s="92">
        <v>2</v>
      </c>
      <c r="S356" s="16">
        <f t="shared" si="228"/>
        <v>0</v>
      </c>
      <c r="T356" s="16">
        <f t="shared" si="229"/>
        <v>0</v>
      </c>
      <c r="U356" s="16">
        <f t="shared" si="230"/>
        <v>0</v>
      </c>
      <c r="V356" s="16">
        <f t="shared" si="231"/>
        <v>0</v>
      </c>
      <c r="W356" s="16">
        <f t="shared" si="232"/>
        <v>0</v>
      </c>
      <c r="X356" s="16">
        <f t="shared" si="233"/>
        <v>0</v>
      </c>
      <c r="Z356" s="16">
        <f t="shared" si="227"/>
        <v>0</v>
      </c>
      <c r="AB356" s="16" t="s">
        <v>432</v>
      </c>
      <c r="AC356" s="16" t="s">
        <v>433</v>
      </c>
      <c r="AD356" s="16" t="s">
        <v>432</v>
      </c>
      <c r="AF356" s="21" t="s">
        <v>356</v>
      </c>
      <c r="AG356" s="21" t="s">
        <v>356</v>
      </c>
      <c r="AH356" s="21" t="s">
        <v>435</v>
      </c>
    </row>
    <row r="357" spans="1:55">
      <c r="A357" s="2" t="str">
        <f>'Reference Score Calculation'!A348</f>
        <v>JS9580</v>
      </c>
      <c r="B357" s="2" t="str">
        <f>'Reference Score Calculation'!A348</f>
        <v>JS9580</v>
      </c>
      <c r="C357" s="2" t="str">
        <f>'Reference Score Calculation'!D348</f>
        <v>教育榮譽學士（幼兒教育：領導及特殊教育需要）</v>
      </c>
      <c r="D357" s="2">
        <f>'Reference Score Calculation'!T348</f>
        <v>40</v>
      </c>
      <c r="E357" s="2">
        <v>3</v>
      </c>
      <c r="F357" s="2">
        <v>3</v>
      </c>
      <c r="G357" s="2">
        <v>2</v>
      </c>
      <c r="H357" s="2">
        <v>2</v>
      </c>
      <c r="I357" s="2">
        <v>2</v>
      </c>
      <c r="J357" s="2"/>
      <c r="K357" s="2"/>
      <c r="L357" s="92">
        <v>3</v>
      </c>
      <c r="M357" s="92">
        <v>3</v>
      </c>
      <c r="N357" s="92">
        <v>2</v>
      </c>
      <c r="O357" s="92">
        <v>1</v>
      </c>
      <c r="P357" s="92">
        <v>2</v>
      </c>
      <c r="Q357" s="92">
        <v>2</v>
      </c>
      <c r="S357" s="16">
        <f t="shared" si="228"/>
        <v>0</v>
      </c>
      <c r="T357" s="16">
        <f t="shared" si="229"/>
        <v>0</v>
      </c>
      <c r="U357" s="16">
        <f t="shared" si="230"/>
        <v>0</v>
      </c>
      <c r="V357" s="16">
        <f t="shared" si="231"/>
        <v>0</v>
      </c>
      <c r="W357" s="16">
        <f t="shared" si="232"/>
        <v>0</v>
      </c>
      <c r="X357" s="16">
        <f t="shared" si="233"/>
        <v>0</v>
      </c>
      <c r="Z357" s="16">
        <f t="shared" si="227"/>
        <v>0</v>
      </c>
      <c r="AB357" s="16" t="s">
        <v>432</v>
      </c>
      <c r="AC357" s="16" t="s">
        <v>433</v>
      </c>
      <c r="AD357" s="16" t="s">
        <v>432</v>
      </c>
      <c r="AF357" s="21" t="s">
        <v>356</v>
      </c>
      <c r="AG357" s="21" t="s">
        <v>356</v>
      </c>
      <c r="AH357" s="21" t="s">
        <v>435</v>
      </c>
    </row>
    <row r="358" spans="1:55">
      <c r="A358" s="2" t="str">
        <f>'Reference Score Calculation'!A349</f>
        <v>JS9719</v>
      </c>
      <c r="B358" s="2" t="str">
        <f>'Reference Score Calculation'!A349</f>
        <v>JS9719</v>
      </c>
      <c r="C358" s="2" t="str">
        <f>'Reference Score Calculation'!D349</f>
        <v>網路及電腦安全榮譽理學士</v>
      </c>
      <c r="D358" s="2">
        <f>'Reference Score Calculation'!T349</f>
        <v>30</v>
      </c>
      <c r="E358" s="2">
        <v>3</v>
      </c>
      <c r="F358" s="2">
        <v>3</v>
      </c>
      <c r="G358" s="2">
        <v>2</v>
      </c>
      <c r="H358" s="2">
        <v>2</v>
      </c>
      <c r="I358" s="2">
        <v>2</v>
      </c>
      <c r="J358" s="2"/>
      <c r="K358" s="2"/>
      <c r="L358" s="92">
        <v>3</v>
      </c>
      <c r="M358" s="92">
        <v>3</v>
      </c>
      <c r="N358" s="92">
        <v>2</v>
      </c>
      <c r="O358" s="92">
        <v>1</v>
      </c>
      <c r="P358" s="92">
        <v>2</v>
      </c>
      <c r="Q358" s="92">
        <v>2</v>
      </c>
      <c r="S358" s="16">
        <f t="shared" si="228"/>
        <v>0</v>
      </c>
      <c r="T358" s="16">
        <f t="shared" si="229"/>
        <v>0</v>
      </c>
      <c r="U358" s="16">
        <f t="shared" si="230"/>
        <v>0</v>
      </c>
      <c r="V358" s="16">
        <f t="shared" si="231"/>
        <v>0</v>
      </c>
      <c r="W358" s="16">
        <f t="shared" si="232"/>
        <v>0</v>
      </c>
      <c r="X358" s="16">
        <f t="shared" si="233"/>
        <v>0</v>
      </c>
      <c r="Z358" s="16">
        <f t="shared" si="227"/>
        <v>0</v>
      </c>
      <c r="AB358" s="16" t="s">
        <v>432</v>
      </c>
      <c r="AC358" s="16" t="s">
        <v>433</v>
      </c>
      <c r="AD358" s="16" t="s">
        <v>432</v>
      </c>
      <c r="AF358" s="21" t="s">
        <v>356</v>
      </c>
      <c r="AG358" s="21" t="s">
        <v>356</v>
      </c>
      <c r="AH358" s="21" t="s">
        <v>435</v>
      </c>
    </row>
    <row r="359" spans="1:55">
      <c r="A359" s="2" t="str">
        <f>'Reference Score Calculation'!A350</f>
        <v>JS9720</v>
      </c>
      <c r="B359" s="2" t="str">
        <f>'Reference Score Calculation'!A350</f>
        <v>JS9720</v>
      </c>
      <c r="C359" s="2" t="str">
        <f>'Reference Score Calculation'!D350</f>
        <v>電子及電腦工程學榮譽工學士</v>
      </c>
      <c r="D359" s="2">
        <f>'Reference Score Calculation'!T350</f>
        <v>30</v>
      </c>
      <c r="E359" s="2">
        <v>3</v>
      </c>
      <c r="F359" s="2">
        <v>3</v>
      </c>
      <c r="G359" s="2">
        <v>2</v>
      </c>
      <c r="H359" s="2">
        <v>2</v>
      </c>
      <c r="I359" s="2">
        <v>2</v>
      </c>
      <c r="J359" s="2"/>
      <c r="K359" s="2"/>
      <c r="L359" s="92">
        <v>3</v>
      </c>
      <c r="M359" s="92">
        <v>3</v>
      </c>
      <c r="N359" s="92">
        <v>2</v>
      </c>
      <c r="O359" s="92">
        <v>1</v>
      </c>
      <c r="P359" s="92">
        <v>2</v>
      </c>
      <c r="Q359" s="92">
        <v>2</v>
      </c>
      <c r="S359" s="16">
        <f t="shared" si="228"/>
        <v>0</v>
      </c>
      <c r="T359" s="16">
        <f t="shared" si="229"/>
        <v>0</v>
      </c>
      <c r="U359" s="16">
        <f t="shared" si="230"/>
        <v>0</v>
      </c>
      <c r="V359" s="16">
        <f t="shared" si="231"/>
        <v>0</v>
      </c>
      <c r="W359" s="16">
        <f t="shared" si="232"/>
        <v>0</v>
      </c>
      <c r="X359" s="16">
        <f t="shared" si="233"/>
        <v>0</v>
      </c>
      <c r="Z359" s="16">
        <f t="shared" si="227"/>
        <v>0</v>
      </c>
      <c r="AB359" s="16" t="s">
        <v>432</v>
      </c>
      <c r="AC359" s="16" t="s">
        <v>433</v>
      </c>
      <c r="AD359" s="16" t="s">
        <v>432</v>
      </c>
      <c r="AF359" s="21" t="s">
        <v>356</v>
      </c>
      <c r="AG359" s="21" t="s">
        <v>356</v>
      </c>
      <c r="AH359" s="21" t="s">
        <v>435</v>
      </c>
    </row>
    <row r="360" spans="1:55">
      <c r="A360" s="2" t="str">
        <f>'Reference Score Calculation'!A351</f>
        <v>JS9731</v>
      </c>
      <c r="B360" s="2" t="str">
        <f>'Reference Score Calculation'!A351</f>
        <v>JS9731</v>
      </c>
      <c r="C360" s="2" t="str">
        <f>'Reference Score Calculation'!D351</f>
        <v>環境科學與綠色管理榮譽理學士</v>
      </c>
      <c r="D360" s="2">
        <f>'Reference Score Calculation'!T351</f>
        <v>35</v>
      </c>
      <c r="E360" s="2">
        <v>3</v>
      </c>
      <c r="F360" s="2">
        <v>3</v>
      </c>
      <c r="G360" s="2">
        <v>2</v>
      </c>
      <c r="H360" s="2">
        <v>2</v>
      </c>
      <c r="I360" s="2">
        <v>2</v>
      </c>
      <c r="J360" s="2"/>
      <c r="K360" s="2"/>
      <c r="L360" s="92">
        <v>3</v>
      </c>
      <c r="M360" s="92">
        <v>3</v>
      </c>
      <c r="N360" s="92">
        <v>2</v>
      </c>
      <c r="O360" s="92">
        <v>1</v>
      </c>
      <c r="P360" s="92">
        <v>2</v>
      </c>
      <c r="Q360" s="92">
        <v>2</v>
      </c>
      <c r="S360" s="16">
        <f t="shared" si="228"/>
        <v>0</v>
      </c>
      <c r="T360" s="16">
        <f t="shared" si="229"/>
        <v>0</v>
      </c>
      <c r="U360" s="16">
        <f t="shared" si="230"/>
        <v>0</v>
      </c>
      <c r="V360" s="16">
        <f t="shared" si="231"/>
        <v>0</v>
      </c>
      <c r="W360" s="16">
        <f t="shared" si="232"/>
        <v>0</v>
      </c>
      <c r="X360" s="16">
        <f t="shared" si="233"/>
        <v>0</v>
      </c>
      <c r="Z360" s="16">
        <f t="shared" si="227"/>
        <v>0</v>
      </c>
      <c r="AB360" s="16" t="s">
        <v>432</v>
      </c>
      <c r="AC360" s="16" t="s">
        <v>433</v>
      </c>
      <c r="AD360" s="16" t="s">
        <v>432</v>
      </c>
      <c r="AF360" s="21" t="s">
        <v>356</v>
      </c>
      <c r="AG360" s="21" t="s">
        <v>356</v>
      </c>
      <c r="AH360" s="21" t="s">
        <v>435</v>
      </c>
    </row>
    <row r="361" spans="1:55">
      <c r="A361" s="2" t="str">
        <f>'Reference Score Calculation'!A352</f>
        <v>JS9732</v>
      </c>
      <c r="B361" s="2" t="str">
        <f>'Reference Score Calculation'!A352</f>
        <v>JS9732</v>
      </c>
      <c r="C361" s="2" t="str">
        <f>'Reference Score Calculation'!D352</f>
        <v>生命科學榮譽理學士</v>
      </c>
      <c r="D361" s="2">
        <f>'Reference Score Calculation'!T352</f>
        <v>30</v>
      </c>
      <c r="E361" s="2">
        <v>3</v>
      </c>
      <c r="F361" s="2">
        <v>3</v>
      </c>
      <c r="G361" s="2">
        <v>2</v>
      </c>
      <c r="H361" s="2">
        <v>2</v>
      </c>
      <c r="I361" s="2">
        <v>2</v>
      </c>
      <c r="J361" s="2"/>
      <c r="K361" s="2"/>
      <c r="L361" s="92">
        <v>3</v>
      </c>
      <c r="M361" s="92">
        <v>3</v>
      </c>
      <c r="N361" s="92">
        <v>2</v>
      </c>
      <c r="O361" s="92">
        <v>1</v>
      </c>
      <c r="P361" s="92">
        <v>2</v>
      </c>
      <c r="Q361" s="92">
        <v>2</v>
      </c>
      <c r="S361" s="16">
        <f t="shared" si="228"/>
        <v>0</v>
      </c>
      <c r="T361" s="16">
        <f t="shared" si="229"/>
        <v>0</v>
      </c>
      <c r="U361" s="16">
        <f t="shared" si="230"/>
        <v>0</v>
      </c>
      <c r="V361" s="16">
        <f t="shared" si="231"/>
        <v>0</v>
      </c>
      <c r="W361" s="16">
        <f t="shared" si="232"/>
        <v>0</v>
      </c>
      <c r="X361" s="16">
        <f t="shared" si="233"/>
        <v>0</v>
      </c>
      <c r="Z361" s="16">
        <f t="shared" si="227"/>
        <v>0</v>
      </c>
      <c r="AB361" s="16" t="s">
        <v>432</v>
      </c>
      <c r="AC361" s="16" t="s">
        <v>433</v>
      </c>
      <c r="AD361" s="16" t="s">
        <v>432</v>
      </c>
      <c r="AF361" s="21" t="s">
        <v>356</v>
      </c>
      <c r="AG361" s="21" t="s">
        <v>356</v>
      </c>
      <c r="AH361" s="21" t="s">
        <v>435</v>
      </c>
    </row>
    <row r="362" spans="1:55">
      <c r="A362" s="2" t="str">
        <f>'Reference Score Calculation'!A353</f>
        <v>JS9733</v>
      </c>
      <c r="B362" s="2" t="str">
        <f>'Reference Score Calculation'!A353</f>
        <v>JS9733</v>
      </c>
      <c r="C362" s="2" t="str">
        <f>'Reference Score Calculation'!D353</f>
        <v>科學（ＳＴＥＭ）榮譽理學士</v>
      </c>
      <c r="D362" s="2">
        <f>'Reference Score Calculation'!T353</f>
        <v>30</v>
      </c>
      <c r="E362" s="2">
        <v>3</v>
      </c>
      <c r="F362" s="2">
        <v>3</v>
      </c>
      <c r="G362" s="2">
        <v>2</v>
      </c>
      <c r="H362" s="2">
        <v>2</v>
      </c>
      <c r="I362" s="2">
        <v>2</v>
      </c>
      <c r="J362" s="2"/>
      <c r="K362" s="2"/>
      <c r="L362" s="92">
        <v>3</v>
      </c>
      <c r="M362" s="92">
        <v>3</v>
      </c>
      <c r="N362" s="92">
        <v>2</v>
      </c>
      <c r="O362" s="92">
        <v>1</v>
      </c>
      <c r="P362" s="92">
        <v>2</v>
      </c>
      <c r="Q362" s="92">
        <v>2</v>
      </c>
      <c r="S362" s="16">
        <f t="shared" si="228"/>
        <v>0</v>
      </c>
      <c r="T362" s="16">
        <f t="shared" si="229"/>
        <v>0</v>
      </c>
      <c r="U362" s="16">
        <f t="shared" si="230"/>
        <v>0</v>
      </c>
      <c r="V362" s="16">
        <f t="shared" si="231"/>
        <v>0</v>
      </c>
      <c r="W362" s="16">
        <f t="shared" si="232"/>
        <v>0</v>
      </c>
      <c r="X362" s="16">
        <f t="shared" si="233"/>
        <v>0</v>
      </c>
      <c r="Z362" s="16">
        <f t="shared" si="227"/>
        <v>0</v>
      </c>
      <c r="AB362" s="16" t="s">
        <v>432</v>
      </c>
      <c r="AC362" s="16" t="s">
        <v>433</v>
      </c>
      <c r="AD362" s="16" t="s">
        <v>432</v>
      </c>
      <c r="AF362" s="21" t="s">
        <v>356</v>
      </c>
      <c r="AG362" s="21" t="s">
        <v>356</v>
      </c>
      <c r="AH362" s="21" t="s">
        <v>435</v>
      </c>
    </row>
    <row r="363" spans="1:55">
      <c r="B363" s="11" t="s">
        <v>660</v>
      </c>
      <c r="C363" s="360"/>
      <c r="L363" s="92"/>
      <c r="M363" s="92"/>
      <c r="N363" s="92"/>
      <c r="O363" s="92"/>
      <c r="P363" s="92"/>
      <c r="Q363" s="92"/>
    </row>
    <row r="364" spans="1:55">
      <c r="B364" s="11" t="s">
        <v>110</v>
      </c>
      <c r="C364" s="11" t="s">
        <v>112</v>
      </c>
      <c r="D364" s="19" t="s">
        <v>38</v>
      </c>
      <c r="E364" s="19"/>
      <c r="F364" s="19"/>
      <c r="G364" s="19"/>
      <c r="H364" s="19"/>
      <c r="I364" s="19"/>
      <c r="J364" s="19"/>
      <c r="K364" s="19"/>
      <c r="L364" s="94" t="s">
        <v>117</v>
      </c>
      <c r="M364" s="94" t="s">
        <v>118</v>
      </c>
      <c r="N364" s="94" t="s">
        <v>119</v>
      </c>
      <c r="O364" s="94" t="s">
        <v>120</v>
      </c>
      <c r="P364" s="94" t="s">
        <v>121</v>
      </c>
      <c r="Q364" s="94"/>
      <c r="R364" s="16"/>
      <c r="S364" s="19" t="s">
        <v>117</v>
      </c>
      <c r="T364" s="19" t="s">
        <v>118</v>
      </c>
      <c r="U364" s="19" t="s">
        <v>119</v>
      </c>
      <c r="V364" s="19" t="s">
        <v>120</v>
      </c>
      <c r="W364" s="19" t="s">
        <v>121</v>
      </c>
      <c r="AB364" s="16" t="s">
        <v>297</v>
      </c>
      <c r="AC364" s="16" t="s">
        <v>298</v>
      </c>
      <c r="AD364" s="16" t="s">
        <v>299</v>
      </c>
      <c r="AI364" s="124" t="s">
        <v>660</v>
      </c>
      <c r="AJ364" s="124" t="s">
        <v>431</v>
      </c>
      <c r="AK364" s="104"/>
      <c r="AL364" s="117"/>
      <c r="AM364" s="117"/>
      <c r="AN364" s="117"/>
      <c r="AO364" s="117"/>
      <c r="AP364" s="117"/>
      <c r="AQ364" s="117"/>
      <c r="AR364" s="117"/>
      <c r="AW364" s="16"/>
    </row>
    <row r="365" spans="1:55">
      <c r="A365" s="2" t="str">
        <f>'Reference Score Calculation'!A356</f>
        <v>JSSA01</v>
      </c>
      <c r="B365" s="2" t="str">
        <f>'Reference Score Calculation'!A356</f>
        <v>JSSA01</v>
      </c>
      <c r="C365" s="21" t="str">
        <f>'Reference Score Calculation'!D356</f>
        <v>護理學（榮譽）學士</v>
      </c>
      <c r="D365" s="16">
        <f>'Reference Score Calculation'!T356</f>
        <v>640</v>
      </c>
      <c r="E365" s="16">
        <v>3</v>
      </c>
      <c r="F365" s="16">
        <v>3</v>
      </c>
      <c r="G365" s="16">
        <v>2</v>
      </c>
      <c r="H365" s="16">
        <v>2</v>
      </c>
      <c r="I365" s="16">
        <v>2</v>
      </c>
      <c r="L365" s="92">
        <v>3</v>
      </c>
      <c r="M365" s="92">
        <v>3</v>
      </c>
      <c r="N365" s="92">
        <v>2</v>
      </c>
      <c r="O365" s="92">
        <v>1</v>
      </c>
      <c r="P365" s="92">
        <v>2</v>
      </c>
      <c r="Q365" s="92"/>
      <c r="S365" s="16">
        <f t="shared" ref="S365" si="234">IF(L365&gt;L$3,0,1)</f>
        <v>0</v>
      </c>
      <c r="T365" s="16">
        <f t="shared" ref="T365" si="235">IF(M365&gt;M$3,0,1)</f>
        <v>0</v>
      </c>
      <c r="U365" s="16">
        <f t="shared" ref="U365" si="236">IF(N365&gt;N$3,0,1)</f>
        <v>0</v>
      </c>
      <c r="V365" s="16">
        <f t="shared" ref="V365" si="237">IF(O365&gt;O$3,0,1)</f>
        <v>0</v>
      </c>
      <c r="W365" s="16">
        <f>IF(P365&gt;LARGE($Q$3:$T$3,1),0,IF($AQ$367&lt;2,2,1))</f>
        <v>0</v>
      </c>
      <c r="Z365" s="16">
        <f>S365*T365*U365*V365*W365</f>
        <v>0</v>
      </c>
      <c r="AB365" s="16" t="s">
        <v>434</v>
      </c>
      <c r="AC365" s="16" t="s">
        <v>434</v>
      </c>
      <c r="AD365" s="16" t="s">
        <v>434</v>
      </c>
      <c r="AF365" s="21" t="s">
        <v>661</v>
      </c>
      <c r="AG365" s="21" t="s">
        <v>435</v>
      </c>
      <c r="AI365" s="118"/>
      <c r="AJ365" s="118"/>
      <c r="AK365" s="118"/>
      <c r="AL365" s="118"/>
      <c r="AM365" s="118"/>
      <c r="AN365" s="118"/>
      <c r="AO365" s="118"/>
      <c r="AP365" s="104"/>
      <c r="AQ365" s="104"/>
      <c r="AR365" s="104"/>
      <c r="AW365" s="16"/>
    </row>
    <row r="366" spans="1:55">
      <c r="A366" s="2" t="str">
        <f>'Reference Score Calculation'!A357</f>
        <v>JSSA02</v>
      </c>
      <c r="B366" s="2" t="str">
        <f>'Reference Score Calculation'!A357</f>
        <v>JSSA02</v>
      </c>
      <c r="C366" s="21" t="str">
        <f>'Reference Score Calculation'!D357</f>
        <v>數碼娛樂科技（榮譽）理學士</v>
      </c>
      <c r="D366" s="16">
        <f>'Reference Score Calculation'!T357</f>
        <v>20</v>
      </c>
      <c r="E366" s="16">
        <v>3</v>
      </c>
      <c r="F366" s="16">
        <v>3</v>
      </c>
      <c r="G366" s="16">
        <v>2</v>
      </c>
      <c r="H366" s="16">
        <v>2</v>
      </c>
      <c r="L366" s="92">
        <v>3</v>
      </c>
      <c r="M366" s="92">
        <v>3</v>
      </c>
      <c r="N366" s="92">
        <v>2</v>
      </c>
      <c r="O366" s="92">
        <v>1</v>
      </c>
      <c r="P366" s="92">
        <v>2</v>
      </c>
      <c r="Q366" s="92"/>
      <c r="S366" s="16">
        <f t="shared" ref="S366:S368" si="238">IF(L366&gt;L$3,0,1)</f>
        <v>0</v>
      </c>
      <c r="T366" s="16">
        <f t="shared" ref="T366:T368" si="239">IF(M366&gt;M$3,0,1)</f>
        <v>0</v>
      </c>
      <c r="U366" s="16">
        <f t="shared" ref="U366:U368" si="240">IF(N366&gt;N$3,0,1)</f>
        <v>0</v>
      </c>
      <c r="V366" s="16">
        <f t="shared" ref="V366:V368" si="241">IF(O366&gt;O$3,0,1)</f>
        <v>0</v>
      </c>
      <c r="W366" s="16">
        <f>IF(P366&gt;LARGE($P$3:$T$3,1),0,1)</f>
        <v>0</v>
      </c>
      <c r="Z366" s="16">
        <f t="shared" ref="Z366:Z414" si="242">S366*T366*U366*V366*W366</f>
        <v>0</v>
      </c>
      <c r="AB366" s="16" t="s">
        <v>432</v>
      </c>
      <c r="AC366" s="16" t="s">
        <v>434</v>
      </c>
      <c r="AD366" s="16" t="s">
        <v>465</v>
      </c>
      <c r="AF366" s="230" t="s">
        <v>662</v>
      </c>
      <c r="AG366" s="21" t="s">
        <v>356</v>
      </c>
      <c r="AI366" s="118" t="s">
        <v>663</v>
      </c>
      <c r="AJ366" s="118" t="str">
        <f>Q$2</f>
        <v>請選擇第一選修科</v>
      </c>
      <c r="AK366" s="118" t="str">
        <f>R$2</f>
        <v>請選擇第二選修科</v>
      </c>
      <c r="AL366" s="118" t="str">
        <f>S$2</f>
        <v>請選擇第三選修科</v>
      </c>
      <c r="AM366" s="118" t="str">
        <f>T$2</f>
        <v>請選擇第四選修科</v>
      </c>
      <c r="AN366" s="118"/>
      <c r="AO366" s="118"/>
      <c r="AP366" s="118" t="s">
        <v>522</v>
      </c>
      <c r="AQ366" s="118"/>
      <c r="AR366" s="104"/>
      <c r="AW366" s="16"/>
    </row>
    <row r="367" spans="1:55">
      <c r="A367" s="2" t="str">
        <f>'Reference Score Calculation'!A358</f>
        <v>JSSA03</v>
      </c>
      <c r="B367" s="2" t="str">
        <f>'Reference Score Calculation'!A358</f>
        <v>JSSA03</v>
      </c>
      <c r="C367" s="21" t="str">
        <f>'Reference Score Calculation'!D358</f>
        <v>物理治療學（榮譽）理學士</v>
      </c>
      <c r="D367" s="16">
        <f>'Reference Score Calculation'!T358</f>
        <v>60</v>
      </c>
      <c r="E367" s="16">
        <v>3</v>
      </c>
      <c r="F367" s="16">
        <v>3</v>
      </c>
      <c r="G367" s="16">
        <v>2</v>
      </c>
      <c r="H367" s="16">
        <v>2</v>
      </c>
      <c r="I367" s="16">
        <v>2</v>
      </c>
      <c r="L367" s="92">
        <v>3</v>
      </c>
      <c r="M367" s="92">
        <v>3</v>
      </c>
      <c r="N367" s="92">
        <v>2</v>
      </c>
      <c r="O367" s="92">
        <v>1</v>
      </c>
      <c r="P367" s="92">
        <v>2</v>
      </c>
      <c r="Q367" s="96"/>
      <c r="R367" s="56"/>
      <c r="S367" s="16">
        <f t="shared" si="238"/>
        <v>0</v>
      </c>
      <c r="T367" s="16">
        <f>IF(M367&gt;M$3,0,IF(M$3&lt;4,2,1))</f>
        <v>0</v>
      </c>
      <c r="U367" s="16">
        <f t="shared" si="240"/>
        <v>0</v>
      </c>
      <c r="V367" s="16">
        <f t="shared" si="241"/>
        <v>0</v>
      </c>
      <c r="W367" s="16">
        <f t="shared" ref="W367" si="243">IF(P367&gt;LARGE($Q$3:$T$3,1),0,1)</f>
        <v>0</v>
      </c>
      <c r="X367" s="16"/>
      <c r="Y367" s="16"/>
      <c r="Z367" s="16">
        <f t="shared" si="242"/>
        <v>0</v>
      </c>
      <c r="AB367" s="16" t="s">
        <v>465</v>
      </c>
      <c r="AC367" s="16" t="s">
        <v>434</v>
      </c>
      <c r="AD367" s="16" t="s">
        <v>434</v>
      </c>
      <c r="AF367" s="21" t="s">
        <v>664</v>
      </c>
      <c r="AG367" s="21" t="s">
        <v>665</v>
      </c>
      <c r="AI367" s="118" t="s">
        <v>666</v>
      </c>
      <c r="AJ367" s="119">
        <f>IF(OR(Q$2="生物",Q$2="組合科學(生物、化學)",Q$2="組合科學(物理、生物)"),Q$3,0)</f>
        <v>0</v>
      </c>
      <c r="AK367" s="119">
        <f t="shared" ref="AK367:AM367" si="244">IF(OR(R$2="生物",R$2="組合科學(生物、化學)",R$2="組合科學(物理、生物)"),R$3,0)</f>
        <v>0</v>
      </c>
      <c r="AL367" s="119">
        <f t="shared" si="244"/>
        <v>0</v>
      </c>
      <c r="AM367" s="119">
        <f t="shared" si="244"/>
        <v>0</v>
      </c>
      <c r="AN367" s="118"/>
      <c r="AO367" s="118"/>
      <c r="AP367" s="119" t="str">
        <f>IF(AQ367&gt;0.1,INDEX(AJ366:AM366,MATCH(LARGE(AJ367:AM367,1),AJ367:AM367,0)),"無")</f>
        <v>無</v>
      </c>
      <c r="AQ367" s="119">
        <f>LARGE((AJ367:AM367),1)</f>
        <v>0</v>
      </c>
      <c r="AR367" s="104"/>
      <c r="AW367" s="16"/>
    </row>
    <row r="368" spans="1:55" customFormat="1" ht="13.5" customHeight="1">
      <c r="A368" s="2" t="str">
        <f>'Reference Score Calculation'!A359</f>
        <v>JSSA04</v>
      </c>
      <c r="B368" s="2" t="str">
        <f>'Reference Score Calculation'!A359</f>
        <v>JSSA04</v>
      </c>
      <c r="C368" s="21" t="str">
        <f>'Reference Score Calculation'!D359</f>
        <v>人工智能（榮譽）理學士</v>
      </c>
      <c r="D368" s="16">
        <f>'Reference Score Calculation'!T359</f>
        <v>20</v>
      </c>
      <c r="E368" s="16">
        <v>3</v>
      </c>
      <c r="F368" s="16">
        <v>3</v>
      </c>
      <c r="G368" s="16">
        <v>2</v>
      </c>
      <c r="H368" s="16">
        <v>2</v>
      </c>
      <c r="I368" s="16"/>
      <c r="J368" s="16"/>
      <c r="K368" s="16"/>
      <c r="L368" s="92">
        <v>3</v>
      </c>
      <c r="M368" s="92">
        <v>3</v>
      </c>
      <c r="N368" s="92">
        <v>2</v>
      </c>
      <c r="O368" s="92">
        <v>1</v>
      </c>
      <c r="P368" s="92">
        <v>2</v>
      </c>
      <c r="Q368" s="96"/>
      <c r="R368" s="56"/>
      <c r="S368" s="16">
        <f t="shared" si="238"/>
        <v>0</v>
      </c>
      <c r="T368" s="16">
        <f t="shared" si="239"/>
        <v>0</v>
      </c>
      <c r="U368" s="16">
        <f t="shared" si="240"/>
        <v>0</v>
      </c>
      <c r="V368" s="16">
        <f t="shared" si="241"/>
        <v>0</v>
      </c>
      <c r="W368" s="16">
        <f>IF(P368&gt;LARGE($P$3:$T$3,1),0,1)</f>
        <v>0</v>
      </c>
      <c r="X368" s="16"/>
      <c r="Y368" s="16"/>
      <c r="Z368" s="16">
        <f t="shared" si="242"/>
        <v>0</v>
      </c>
      <c r="AA368" s="16"/>
      <c r="AB368" s="16" t="s">
        <v>432</v>
      </c>
      <c r="AC368" s="16" t="s">
        <v>434</v>
      </c>
      <c r="AD368" s="16" t="s">
        <v>434</v>
      </c>
      <c r="AE368" s="16"/>
      <c r="AF368" s="230" t="s">
        <v>662</v>
      </c>
      <c r="AG368" s="21" t="s">
        <v>435</v>
      </c>
      <c r="AH368" s="21"/>
      <c r="AI368" s="118" t="s">
        <v>667</v>
      </c>
      <c r="AJ368" s="163" t="s">
        <v>668</v>
      </c>
      <c r="AK368" s="118"/>
      <c r="AL368" s="118"/>
      <c r="AM368" s="118"/>
      <c r="AN368" s="118"/>
      <c r="AO368" s="118"/>
      <c r="AP368" s="118"/>
      <c r="AQ368" s="104"/>
      <c r="AR368" s="104"/>
      <c r="AS368" s="16"/>
      <c r="AT368" s="16"/>
      <c r="AU368" s="16"/>
      <c r="AV368" s="16"/>
      <c r="AW368" s="16"/>
      <c r="AX368" s="2"/>
      <c r="AY368" s="2"/>
      <c r="AZ368" s="2"/>
      <c r="BA368" s="97"/>
      <c r="BB368" s="97"/>
      <c r="BC368" s="97"/>
    </row>
    <row r="369" spans="1:55" customFormat="1" ht="13.5" customHeight="1">
      <c r="A369" s="2" t="str">
        <f>'Reference Score Calculation'!A360</f>
        <v>JSSA05</v>
      </c>
      <c r="B369" s="2" t="str">
        <f>'Reference Score Calculation'!A360</f>
        <v>JSSA05</v>
      </c>
      <c r="C369" s="21" t="str">
        <f>'Reference Score Calculation'!D360</f>
        <v>翻譯科技（榮譽）文學士</v>
      </c>
      <c r="D369" s="16">
        <f>'Reference Score Calculation'!T360</f>
        <v>10</v>
      </c>
      <c r="E369" s="16">
        <v>3</v>
      </c>
      <c r="F369" s="16">
        <v>3</v>
      </c>
      <c r="G369" s="16">
        <v>2</v>
      </c>
      <c r="H369" s="16">
        <v>2</v>
      </c>
      <c r="I369" s="16"/>
      <c r="J369" s="16"/>
      <c r="K369" s="16"/>
      <c r="L369" s="92">
        <v>3</v>
      </c>
      <c r="M369" s="92">
        <v>3</v>
      </c>
      <c r="N369" s="92">
        <v>2</v>
      </c>
      <c r="O369" s="92">
        <v>1</v>
      </c>
      <c r="P369" s="92">
        <v>2</v>
      </c>
      <c r="Q369" s="96"/>
      <c r="R369" s="56"/>
      <c r="S369" s="16">
        <f t="shared" ref="S369" si="245">IF(L369&gt;L$3,0,1)</f>
        <v>0</v>
      </c>
      <c r="T369" s="16">
        <f t="shared" ref="T369" si="246">IF(M369&gt;M$3,0,1)</f>
        <v>0</v>
      </c>
      <c r="U369" s="16">
        <f t="shared" ref="U369" si="247">IF(N369&gt;N$3,0,1)</f>
        <v>0</v>
      </c>
      <c r="V369" s="16">
        <f t="shared" ref="V369" si="248">IF(O369&gt;O$3,0,1)</f>
        <v>0</v>
      </c>
      <c r="W369" s="16">
        <f t="shared" ref="W369:W370" si="249">IF(P369&gt;LARGE($P$3:$T$3,1),0,1)</f>
        <v>0</v>
      </c>
      <c r="X369" s="16"/>
      <c r="Y369" s="16"/>
      <c r="Z369" s="16">
        <f t="shared" si="242"/>
        <v>0</v>
      </c>
      <c r="AA369" s="16"/>
      <c r="AB369" s="16" t="s">
        <v>432</v>
      </c>
      <c r="AC369" s="16" t="s">
        <v>434</v>
      </c>
      <c r="AD369" s="16" t="s">
        <v>434</v>
      </c>
      <c r="AE369" s="16"/>
      <c r="AF369" s="21" t="s">
        <v>435</v>
      </c>
      <c r="AG369" s="21" t="s">
        <v>435</v>
      </c>
      <c r="AH369" s="21"/>
      <c r="AI369" s="118"/>
      <c r="AJ369" s="163"/>
      <c r="AK369" s="118"/>
      <c r="AL369" s="118"/>
      <c r="AM369" s="118"/>
      <c r="AN369" s="118"/>
      <c r="AO369" s="118"/>
      <c r="AP369" s="117"/>
      <c r="AQ369" s="104"/>
      <c r="AR369" s="104"/>
      <c r="AS369" s="16"/>
      <c r="AT369" s="16"/>
      <c r="AU369" s="16"/>
      <c r="AV369" s="16"/>
      <c r="AW369" s="16"/>
      <c r="AX369" s="2"/>
      <c r="AY369" s="2"/>
      <c r="AZ369" s="2"/>
      <c r="BA369" s="97"/>
      <c r="BB369" s="97"/>
      <c r="BC369" s="97"/>
    </row>
    <row r="370" spans="1:55" customFormat="1" ht="13.5" customHeight="1">
      <c r="A370" s="2" t="str">
        <f>'Reference Score Calculation'!A361</f>
        <v>JSSA06</v>
      </c>
      <c r="B370" s="2" t="str">
        <f>'Reference Score Calculation'!A361</f>
        <v>JSSA06</v>
      </c>
      <c r="C370" s="21" t="str">
        <f>'Reference Score Calculation'!D361</f>
        <v>工商管理（榮譽）酒店及旅遊管理應用學士</v>
      </c>
      <c r="D370" s="16">
        <f>'Reference Score Calculation'!T361</f>
        <v>15</v>
      </c>
      <c r="E370" s="16">
        <v>3</v>
      </c>
      <c r="F370" s="16">
        <v>3</v>
      </c>
      <c r="G370" s="16">
        <v>2</v>
      </c>
      <c r="H370" s="16">
        <v>2</v>
      </c>
      <c r="I370" s="16"/>
      <c r="J370" s="16"/>
      <c r="K370" s="16"/>
      <c r="L370" s="92">
        <v>3</v>
      </c>
      <c r="M370" s="92">
        <v>3</v>
      </c>
      <c r="N370" s="92">
        <v>2</v>
      </c>
      <c r="O370" s="92">
        <v>1</v>
      </c>
      <c r="P370" s="92">
        <v>2</v>
      </c>
      <c r="Q370" s="96"/>
      <c r="R370" s="56"/>
      <c r="S370" s="16">
        <f t="shared" ref="S370" si="250">IF(L370&gt;L$3,0,1)</f>
        <v>0</v>
      </c>
      <c r="T370" s="16">
        <f t="shared" ref="T370" si="251">IF(M370&gt;M$3,0,1)</f>
        <v>0</v>
      </c>
      <c r="U370" s="16">
        <f t="shared" ref="U370" si="252">IF(N370&gt;N$3,0,1)</f>
        <v>0</v>
      </c>
      <c r="V370" s="16">
        <f t="shared" ref="V370" si="253">IF(O370&gt;O$3,0,1)</f>
        <v>0</v>
      </c>
      <c r="W370" s="16">
        <f t="shared" si="249"/>
        <v>0</v>
      </c>
      <c r="X370" s="16"/>
      <c r="Y370" s="16"/>
      <c r="Z370" s="16">
        <f t="shared" si="242"/>
        <v>0</v>
      </c>
      <c r="AA370" s="16"/>
      <c r="AB370" s="16" t="s">
        <v>432</v>
      </c>
      <c r="AC370" s="16" t="s">
        <v>434</v>
      </c>
      <c r="AD370" s="16" t="s">
        <v>434</v>
      </c>
      <c r="AE370" s="16"/>
      <c r="AF370" s="21" t="s">
        <v>435</v>
      </c>
      <c r="AG370" s="21" t="s">
        <v>435</v>
      </c>
      <c r="AH370" s="21"/>
      <c r="AI370" s="118"/>
      <c r="AJ370" s="118"/>
      <c r="AK370" s="118"/>
      <c r="AL370" s="118"/>
      <c r="AM370" s="118"/>
      <c r="AN370" s="118"/>
      <c r="AO370" s="118"/>
      <c r="AP370" s="104"/>
      <c r="AQ370" s="104"/>
      <c r="AR370" s="104"/>
      <c r="AS370" s="16"/>
      <c r="AT370" s="16"/>
      <c r="AU370" s="16"/>
      <c r="AV370" s="16"/>
      <c r="AW370" s="16"/>
      <c r="AX370" s="2"/>
      <c r="AY370" s="2"/>
      <c r="AZ370" s="2"/>
      <c r="BA370" s="97"/>
      <c r="BB370" s="97"/>
      <c r="BC370" s="97"/>
    </row>
    <row r="371" spans="1:55">
      <c r="A371" s="2" t="str">
        <f>'Reference Score Calculation'!A362</f>
        <v>JSSC02</v>
      </c>
      <c r="B371" s="2" t="str">
        <f>'Reference Score Calculation'!A362</f>
        <v>JSSC02</v>
      </c>
      <c r="C371" s="21" t="str">
        <f>'Reference Score Calculation'!D362</f>
        <v>建築學（榮譽）理學士</v>
      </c>
      <c r="D371" s="16">
        <f>'Reference Score Calculation'!T362</f>
        <v>20</v>
      </c>
      <c r="E371" s="16">
        <v>3</v>
      </c>
      <c r="F371" s="16">
        <v>3</v>
      </c>
      <c r="G371" s="16">
        <v>2</v>
      </c>
      <c r="H371" s="16">
        <v>2</v>
      </c>
      <c r="I371" s="16">
        <v>2</v>
      </c>
      <c r="L371" s="92">
        <v>3</v>
      </c>
      <c r="M371" s="92">
        <v>3</v>
      </c>
      <c r="N371" s="92">
        <v>2</v>
      </c>
      <c r="O371" s="92">
        <v>1</v>
      </c>
      <c r="P371" s="92">
        <v>2</v>
      </c>
      <c r="Q371" s="92"/>
      <c r="S371" s="16">
        <f t="shared" ref="S371:V377" si="254">IF(L371&gt;L$3,0,1)</f>
        <v>0</v>
      </c>
      <c r="T371" s="16">
        <f t="shared" si="254"/>
        <v>0</v>
      </c>
      <c r="U371" s="16">
        <f t="shared" si="254"/>
        <v>0</v>
      </c>
      <c r="V371" s="16">
        <f t="shared" si="254"/>
        <v>0</v>
      </c>
      <c r="W371" s="16">
        <f>IF(P371&gt;LARGE($P$3:$U$3,1),0,1)</f>
        <v>0</v>
      </c>
      <c r="Z371" s="16">
        <f t="shared" si="242"/>
        <v>0</v>
      </c>
      <c r="AB371" s="16" t="s">
        <v>432</v>
      </c>
      <c r="AC371" s="16" t="s">
        <v>433</v>
      </c>
      <c r="AD371" s="16" t="s">
        <v>434</v>
      </c>
      <c r="AF371" s="21" t="s">
        <v>435</v>
      </c>
      <c r="AG371" s="21" t="s">
        <v>435</v>
      </c>
      <c r="AI371" s="118"/>
      <c r="AJ371" s="118" t="str">
        <f>Q$2</f>
        <v>請選擇第一選修科</v>
      </c>
      <c r="AK371" s="118" t="str">
        <f>R$2</f>
        <v>請選擇第二選修科</v>
      </c>
      <c r="AL371" s="118" t="str">
        <f>S$2</f>
        <v>請選擇第三選修科</v>
      </c>
      <c r="AM371" s="118" t="str">
        <f>T$2</f>
        <v>請選擇第四選修科</v>
      </c>
      <c r="AN371" s="118"/>
      <c r="AO371" s="118"/>
      <c r="AP371" s="118" t="s">
        <v>522</v>
      </c>
      <c r="AQ371" s="118"/>
      <c r="AR371" s="104"/>
      <c r="AW371" s="16"/>
    </row>
    <row r="372" spans="1:55">
      <c r="A372" s="2" t="str">
        <f>'Reference Score Calculation'!A363</f>
        <v>JSSH01</v>
      </c>
      <c r="B372" s="2" t="str">
        <f>'Reference Score Calculation'!A363</f>
        <v>JSSH01</v>
      </c>
      <c r="C372" s="21" t="str">
        <f>'Reference Score Calculation'!D363</f>
        <v>供應鏈管理工商管理（榮譽）學士</v>
      </c>
      <c r="D372" s="16">
        <f>'Reference Score Calculation'!T363</f>
        <v>105</v>
      </c>
      <c r="E372" s="16">
        <v>3</v>
      </c>
      <c r="F372" s="16">
        <v>3</v>
      </c>
      <c r="G372" s="16">
        <v>2</v>
      </c>
      <c r="H372" s="16">
        <v>2</v>
      </c>
      <c r="I372" s="16">
        <v>2</v>
      </c>
      <c r="L372" s="92">
        <v>3</v>
      </c>
      <c r="M372" s="92">
        <v>3</v>
      </c>
      <c r="N372" s="92">
        <v>2</v>
      </c>
      <c r="O372" s="92">
        <v>1</v>
      </c>
      <c r="P372" s="92">
        <v>2</v>
      </c>
      <c r="Q372" s="92"/>
      <c r="S372" s="16">
        <f t="shared" si="254"/>
        <v>0</v>
      </c>
      <c r="T372" s="16">
        <f t="shared" si="254"/>
        <v>0</v>
      </c>
      <c r="U372" s="16">
        <f t="shared" si="254"/>
        <v>0</v>
      </c>
      <c r="V372" s="16">
        <f t="shared" si="254"/>
        <v>0</v>
      </c>
      <c r="W372" s="16">
        <f>IF(P372&gt;LARGE($Q$3:$T$3,1),0,1)</f>
        <v>0</v>
      </c>
      <c r="Z372" s="16">
        <f t="shared" si="242"/>
        <v>0</v>
      </c>
      <c r="AB372" s="16" t="s">
        <v>434</v>
      </c>
      <c r="AC372" s="16" t="s">
        <v>434</v>
      </c>
      <c r="AD372" s="16" t="s">
        <v>434</v>
      </c>
      <c r="AF372" s="21" t="s">
        <v>435</v>
      </c>
      <c r="AG372" s="21" t="s">
        <v>435</v>
      </c>
      <c r="AI372" s="118" t="s">
        <v>669</v>
      </c>
      <c r="AJ372" s="119">
        <f>IF(OR(Q$2="生物",Q$2="物理",Q$2="組合科學(物理、生物)"),Q$3,0)</f>
        <v>0</v>
      </c>
      <c r="AK372" s="119">
        <f t="shared" ref="AK372:AM372" si="255">IF(OR(R$2="生物",R$2="物理",R$2="組合科學(物理、生物)"),R$3,0)</f>
        <v>0</v>
      </c>
      <c r="AL372" s="119">
        <f t="shared" si="255"/>
        <v>0</v>
      </c>
      <c r="AM372" s="119">
        <f t="shared" si="255"/>
        <v>0</v>
      </c>
      <c r="AN372" s="118"/>
      <c r="AO372" s="118"/>
      <c r="AP372" s="119" t="str">
        <f>IF(AQ372&gt;0.1,INDEX(AJ371:AM371,MATCH(LARGE(AJ372:AM372,1),AJ372:AM372,0)),"無")</f>
        <v>無</v>
      </c>
      <c r="AQ372" s="119">
        <f>LARGE((AJ372:AM372),1)</f>
        <v>0</v>
      </c>
      <c r="AR372" s="104"/>
      <c r="AW372" s="16"/>
    </row>
    <row r="373" spans="1:55">
      <c r="A373" s="2" t="str">
        <f>'Reference Score Calculation'!A364</f>
        <v>JSSH02</v>
      </c>
      <c r="B373" s="2" t="str">
        <f>'Reference Score Calculation'!A364</f>
        <v>JSSH02</v>
      </c>
      <c r="C373" s="21" t="str">
        <f>'Reference Score Calculation'!D364</f>
        <v>精算及保險 （榮譽）理學士</v>
      </c>
      <c r="D373" s="16">
        <f>'Reference Score Calculation'!T364</f>
        <v>35</v>
      </c>
      <c r="E373" s="16">
        <v>3</v>
      </c>
      <c r="F373" s="16">
        <v>3</v>
      </c>
      <c r="G373" s="16">
        <v>3</v>
      </c>
      <c r="H373" s="16">
        <v>2</v>
      </c>
      <c r="I373" s="16">
        <v>2</v>
      </c>
      <c r="L373" s="92">
        <v>3</v>
      </c>
      <c r="M373" s="92">
        <v>3</v>
      </c>
      <c r="N373" s="92">
        <v>3</v>
      </c>
      <c r="O373" s="92">
        <v>1</v>
      </c>
      <c r="P373" s="92">
        <v>2</v>
      </c>
      <c r="Q373" s="92"/>
      <c r="S373" s="16">
        <f t="shared" si="254"/>
        <v>0</v>
      </c>
      <c r="T373" s="16">
        <f t="shared" si="254"/>
        <v>0</v>
      </c>
      <c r="U373" s="16">
        <f t="shared" si="254"/>
        <v>0</v>
      </c>
      <c r="V373" s="16">
        <f t="shared" si="254"/>
        <v>0</v>
      </c>
      <c r="W373" s="16">
        <f t="shared" ref="W373:W377" si="256">IF(P373&gt;LARGE($Q$3:$T$3,1),0,1)</f>
        <v>0</v>
      </c>
      <c r="Z373" s="16">
        <f t="shared" si="242"/>
        <v>0</v>
      </c>
      <c r="AB373" s="16" t="s">
        <v>434</v>
      </c>
      <c r="AC373" s="16" t="s">
        <v>434</v>
      </c>
      <c r="AD373" s="16" t="s">
        <v>434</v>
      </c>
      <c r="AF373" s="21" t="s">
        <v>435</v>
      </c>
      <c r="AG373" s="21" t="s">
        <v>435</v>
      </c>
      <c r="AI373" s="118"/>
      <c r="AJ373" s="163" t="s">
        <v>670</v>
      </c>
      <c r="AK373" s="118"/>
      <c r="AL373" s="118"/>
      <c r="AM373" s="118"/>
      <c r="AN373" s="118"/>
      <c r="AO373" s="118"/>
      <c r="AP373" s="118"/>
      <c r="AQ373" s="104"/>
      <c r="AR373" s="104"/>
      <c r="AW373" s="16"/>
    </row>
    <row r="374" spans="1:55">
      <c r="A374" s="2" t="str">
        <f>'Reference Score Calculation'!A365</f>
        <v>JSSH03</v>
      </c>
      <c r="B374" s="2" t="str">
        <f>'Reference Score Calculation'!A365</f>
        <v>JSSH03</v>
      </c>
      <c r="C374" s="21" t="str">
        <f>'Reference Score Calculation'!D365</f>
        <v>計算機應用（榮譽）理學士</v>
      </c>
      <c r="D374" s="16">
        <f>'Reference Score Calculation'!T365</f>
        <v>60</v>
      </c>
      <c r="E374" s="16">
        <v>3</v>
      </c>
      <c r="F374" s="16">
        <v>3</v>
      </c>
      <c r="G374" s="16">
        <v>2</v>
      </c>
      <c r="H374" s="16">
        <v>2</v>
      </c>
      <c r="I374" s="16">
        <v>2</v>
      </c>
      <c r="L374" s="92">
        <v>3</v>
      </c>
      <c r="M374" s="92">
        <v>3</v>
      </c>
      <c r="N374" s="92">
        <v>2</v>
      </c>
      <c r="O374" s="92">
        <v>1</v>
      </c>
      <c r="P374" s="92">
        <v>2</v>
      </c>
      <c r="Q374" s="92"/>
      <c r="S374" s="16">
        <f t="shared" si="254"/>
        <v>0</v>
      </c>
      <c r="T374" s="16">
        <f t="shared" si="254"/>
        <v>0</v>
      </c>
      <c r="U374" s="16">
        <f t="shared" si="254"/>
        <v>0</v>
      </c>
      <c r="V374" s="16">
        <f t="shared" si="254"/>
        <v>0</v>
      </c>
      <c r="W374" s="16">
        <f t="shared" si="256"/>
        <v>0</v>
      </c>
      <c r="Z374" s="16">
        <f t="shared" si="242"/>
        <v>0</v>
      </c>
      <c r="AB374" s="16" t="s">
        <v>434</v>
      </c>
      <c r="AC374" s="16" t="s">
        <v>434</v>
      </c>
      <c r="AD374" s="16" t="s">
        <v>434</v>
      </c>
      <c r="AF374" s="21" t="s">
        <v>435</v>
      </c>
      <c r="AG374" s="21" t="s">
        <v>435</v>
      </c>
      <c r="AI374" s="118"/>
      <c r="AJ374" s="118"/>
      <c r="AK374" s="118"/>
      <c r="AL374" s="118"/>
      <c r="AM374" s="118"/>
      <c r="AN374" s="118"/>
      <c r="AO374" s="118"/>
      <c r="AP374" s="104"/>
      <c r="AQ374" s="104"/>
      <c r="AR374" s="104"/>
      <c r="AW374" s="16"/>
    </row>
    <row r="375" spans="1:55">
      <c r="A375" s="2" t="str">
        <f>'Reference Score Calculation'!A366</f>
        <v>JSSH04</v>
      </c>
      <c r="B375" s="2" t="str">
        <f>'Reference Score Calculation'!A366</f>
        <v>JSSH04</v>
      </c>
      <c r="C375" s="21" t="str">
        <f>'Reference Score Calculation'!D366</f>
        <v>數據科學及商業智能學（榮譽）理學士</v>
      </c>
      <c r="D375" s="16">
        <f>'Reference Score Calculation'!T366</f>
        <v>70</v>
      </c>
      <c r="E375" s="16">
        <v>3</v>
      </c>
      <c r="F375" s="16">
        <v>3</v>
      </c>
      <c r="G375" s="16">
        <v>2</v>
      </c>
      <c r="H375" s="16">
        <v>2</v>
      </c>
      <c r="I375" s="16">
        <v>2</v>
      </c>
      <c r="L375" s="92">
        <v>3</v>
      </c>
      <c r="M375" s="92">
        <v>3</v>
      </c>
      <c r="N375" s="92">
        <v>2</v>
      </c>
      <c r="O375" s="92">
        <v>1</v>
      </c>
      <c r="P375" s="92">
        <v>2</v>
      </c>
      <c r="Q375" s="92"/>
      <c r="S375" s="16">
        <f t="shared" si="254"/>
        <v>0</v>
      </c>
      <c r="T375" s="16">
        <f t="shared" si="254"/>
        <v>0</v>
      </c>
      <c r="U375" s="16">
        <f t="shared" si="254"/>
        <v>0</v>
      </c>
      <c r="V375" s="16">
        <f t="shared" si="254"/>
        <v>0</v>
      </c>
      <c r="W375" s="16">
        <f t="shared" si="256"/>
        <v>0</v>
      </c>
      <c r="Z375" s="16">
        <f t="shared" si="242"/>
        <v>0</v>
      </c>
      <c r="AB375" s="16" t="s">
        <v>434</v>
      </c>
      <c r="AC375" s="16" t="s">
        <v>434</v>
      </c>
      <c r="AD375" s="16" t="s">
        <v>434</v>
      </c>
      <c r="AF375" s="21" t="s">
        <v>435</v>
      </c>
      <c r="AG375" s="21" t="s">
        <v>435</v>
      </c>
      <c r="AI375" s="118"/>
      <c r="AJ375" s="118" t="str">
        <f>Q$2</f>
        <v>請選擇第一選修科</v>
      </c>
      <c r="AK375" s="118" t="str">
        <f>R$2</f>
        <v>請選擇第二選修科</v>
      </c>
      <c r="AL375" s="118" t="str">
        <f>S$2</f>
        <v>請選擇第三選修科</v>
      </c>
      <c r="AM375" s="118" t="str">
        <f>T$2</f>
        <v>請選擇第四選修科</v>
      </c>
      <c r="AN375" s="118"/>
      <c r="AO375" s="118"/>
      <c r="AP375" s="118" t="s">
        <v>522</v>
      </c>
      <c r="AQ375" s="118"/>
      <c r="AR375" s="104"/>
      <c r="AW375" s="16"/>
    </row>
    <row r="376" spans="1:55">
      <c r="A376" s="2" t="str">
        <f>'Reference Score Calculation'!A367</f>
        <v>JSSH05</v>
      </c>
      <c r="B376" s="2" t="str">
        <f>'Reference Score Calculation'!A367</f>
        <v>JSSH05</v>
      </c>
      <c r="C376" s="21" t="str">
        <f>'Reference Score Calculation'!D367</f>
        <v>管理科學與資訊管理（榮譽）學士</v>
      </c>
      <c r="D376" s="16">
        <f>'Reference Score Calculation'!T367</f>
        <v>65</v>
      </c>
      <c r="E376" s="16">
        <v>3</v>
      </c>
      <c r="F376" s="16">
        <v>3</v>
      </c>
      <c r="G376" s="16">
        <v>2</v>
      </c>
      <c r="H376" s="16">
        <v>2</v>
      </c>
      <c r="I376" s="16">
        <v>2</v>
      </c>
      <c r="L376" s="92">
        <v>3</v>
      </c>
      <c r="M376" s="92">
        <v>3</v>
      </c>
      <c r="N376" s="92">
        <v>2</v>
      </c>
      <c r="O376" s="92">
        <v>1</v>
      </c>
      <c r="P376" s="92">
        <v>2</v>
      </c>
      <c r="Q376" s="92"/>
      <c r="S376" s="16">
        <f t="shared" si="254"/>
        <v>0</v>
      </c>
      <c r="T376" s="16">
        <f t="shared" si="254"/>
        <v>0</v>
      </c>
      <c r="U376" s="16">
        <f t="shared" si="254"/>
        <v>0</v>
      </c>
      <c r="V376" s="16">
        <f t="shared" si="254"/>
        <v>0</v>
      </c>
      <c r="W376" s="16">
        <f t="shared" si="256"/>
        <v>0</v>
      </c>
      <c r="Z376" s="16">
        <f t="shared" si="242"/>
        <v>0</v>
      </c>
      <c r="AB376" s="16" t="s">
        <v>434</v>
      </c>
      <c r="AC376" s="16" t="s">
        <v>434</v>
      </c>
      <c r="AD376" s="16" t="s">
        <v>434</v>
      </c>
      <c r="AF376" s="21" t="s">
        <v>435</v>
      </c>
      <c r="AG376" s="21" t="s">
        <v>435</v>
      </c>
      <c r="AI376" s="118" t="s">
        <v>671</v>
      </c>
      <c r="AJ376" s="119">
        <f>IF(OR(Q$2="化學",Q$2="組合科學(生物、化學)",Q$2="組合科學(物理、化學)"),Q$3,0)</f>
        <v>0</v>
      </c>
      <c r="AK376" s="119">
        <f t="shared" ref="AK376:AM376" si="257">IF(OR(R$2="化學",R$2="組合科學(生物、化學)",R$2="組合科學(物理、化學)"),R$3,0)</f>
        <v>0</v>
      </c>
      <c r="AL376" s="119">
        <f t="shared" si="257"/>
        <v>0</v>
      </c>
      <c r="AM376" s="119">
        <f t="shared" si="257"/>
        <v>0</v>
      </c>
      <c r="AN376" s="118"/>
      <c r="AO376" s="118"/>
      <c r="AP376" s="119" t="str">
        <f>IF(AQ376&gt;0.1,INDEX(AJ375:AM375,MATCH(LARGE(AJ376:AM376,1),AJ376:AM376,0)),"無")</f>
        <v>無</v>
      </c>
      <c r="AQ376" s="119">
        <f>LARGE((AJ376:AM376),1)</f>
        <v>0</v>
      </c>
      <c r="AR376" s="104"/>
      <c r="AW376" s="16"/>
    </row>
    <row r="377" spans="1:55">
      <c r="A377" s="2" t="str">
        <f>'Reference Score Calculation'!A368</f>
        <v>JSSH06</v>
      </c>
      <c r="B377" s="2" t="str">
        <f>'Reference Score Calculation'!A368</f>
        <v>JSSH06</v>
      </c>
      <c r="C377" s="21" t="str">
        <f>'Reference Score Calculation'!D368</f>
        <v>藝術設計（榮譽）文學士</v>
      </c>
      <c r="D377" s="16">
        <f>'Reference Score Calculation'!T368</f>
        <v>40</v>
      </c>
      <c r="E377" s="16">
        <v>3</v>
      </c>
      <c r="F377" s="16">
        <v>3</v>
      </c>
      <c r="G377" s="16">
        <v>2</v>
      </c>
      <c r="H377" s="16">
        <v>2</v>
      </c>
      <c r="I377" s="16">
        <v>2</v>
      </c>
      <c r="L377" s="92">
        <v>3</v>
      </c>
      <c r="M377" s="92">
        <v>3</v>
      </c>
      <c r="N377" s="92">
        <v>2</v>
      </c>
      <c r="O377" s="92">
        <v>1</v>
      </c>
      <c r="P377" s="92">
        <v>2</v>
      </c>
      <c r="Q377" s="92"/>
      <c r="S377" s="16">
        <f t="shared" si="254"/>
        <v>0</v>
      </c>
      <c r="T377" s="16">
        <f t="shared" si="254"/>
        <v>0</v>
      </c>
      <c r="U377" s="16">
        <f t="shared" si="254"/>
        <v>0</v>
      </c>
      <c r="V377" s="16">
        <f t="shared" si="254"/>
        <v>0</v>
      </c>
      <c r="W377" s="16">
        <f t="shared" si="256"/>
        <v>0</v>
      </c>
      <c r="Z377" s="16">
        <f t="shared" si="242"/>
        <v>0</v>
      </c>
      <c r="AB377" s="16" t="s">
        <v>434</v>
      </c>
      <c r="AC377" s="16" t="s">
        <v>434</v>
      </c>
      <c r="AD377" s="16" t="s">
        <v>434</v>
      </c>
      <c r="AF377" s="21" t="s">
        <v>435</v>
      </c>
      <c r="AG377" s="21" t="s">
        <v>435</v>
      </c>
      <c r="AI377" s="118"/>
      <c r="AJ377" s="163" t="s">
        <v>568</v>
      </c>
      <c r="AK377" s="118"/>
      <c r="AL377" s="118"/>
      <c r="AM377" s="118"/>
      <c r="AN377" s="118"/>
      <c r="AO377" s="118"/>
      <c r="AP377" s="118"/>
      <c r="AQ377" s="104"/>
      <c r="AR377" s="104"/>
      <c r="AW377" s="16"/>
    </row>
    <row r="378" spans="1:55">
      <c r="A378" s="2" t="str">
        <f>'Reference Score Calculation'!A369</f>
        <v>JSST01</v>
      </c>
      <c r="B378" s="2" t="str">
        <f>'Reference Score Calculation'!A369</f>
        <v>JSST01</v>
      </c>
      <c r="C378" s="21" t="str">
        <f>'Reference Score Calculation'!D369</f>
        <v>護理學（榮譽）健康科學學士</v>
      </c>
      <c r="D378" s="16">
        <f>'Reference Score Calculation'!T369</f>
        <v>400</v>
      </c>
      <c r="E378" s="16">
        <v>3</v>
      </c>
      <c r="F378" s="16">
        <v>3</v>
      </c>
      <c r="G378" s="16">
        <v>2</v>
      </c>
      <c r="H378" s="16">
        <v>2</v>
      </c>
      <c r="I378" s="16">
        <v>2</v>
      </c>
      <c r="L378" s="92">
        <v>3</v>
      </c>
      <c r="M378" s="92">
        <v>3</v>
      </c>
      <c r="N378" s="92">
        <v>2</v>
      </c>
      <c r="O378" s="92">
        <v>1</v>
      </c>
      <c r="P378" s="92">
        <v>2</v>
      </c>
      <c r="Q378" s="92"/>
      <c r="S378" s="16">
        <f t="shared" ref="S378:S416" si="258">IF(L378&gt;L$3,0,1)</f>
        <v>0</v>
      </c>
      <c r="T378" s="16">
        <f>IF(M378&gt;M$3,0,IF(M$3&lt;4,2,1))</f>
        <v>0</v>
      </c>
      <c r="U378" s="16">
        <f>IF(N378&gt;N$3,0,1)</f>
        <v>0</v>
      </c>
      <c r="V378" s="16">
        <f>IF(O378&gt;O$3,0,1)</f>
        <v>0</v>
      </c>
      <c r="W378" s="16">
        <f>IF(P378&gt;LARGE($Q$3:$T$3,1),0,1)</f>
        <v>0</v>
      </c>
      <c r="Z378" s="16">
        <f t="shared" si="242"/>
        <v>0</v>
      </c>
      <c r="AB378" s="16" t="s">
        <v>434</v>
      </c>
      <c r="AC378" s="16" t="s">
        <v>434</v>
      </c>
      <c r="AD378" s="16" t="s">
        <v>434</v>
      </c>
      <c r="AF378" s="21" t="s">
        <v>672</v>
      </c>
      <c r="AG378" s="21" t="s">
        <v>356</v>
      </c>
      <c r="AI378" s="118"/>
      <c r="AJ378" s="118"/>
      <c r="AK378" s="118"/>
      <c r="AL378" s="118"/>
      <c r="AM378" s="118"/>
      <c r="AN378" s="118"/>
      <c r="AO378" s="118"/>
      <c r="AP378" s="104"/>
      <c r="AQ378" s="104"/>
      <c r="AR378" s="104"/>
      <c r="AW378" s="16"/>
    </row>
    <row r="379" spans="1:55">
      <c r="A379" s="2" t="str">
        <f>'Reference Score Calculation'!A370</f>
        <v>JSST02</v>
      </c>
      <c r="B379" s="2" t="str">
        <f>'Reference Score Calculation'!A370</f>
        <v>JSST02</v>
      </c>
      <c r="C379" s="21" t="str">
        <f>'Reference Score Calculation'!D370</f>
        <v>醫療化驗科學（榮譽）理學士</v>
      </c>
      <c r="D379" s="16">
        <f>'Reference Score Calculation'!T370</f>
        <v>45</v>
      </c>
      <c r="E379" s="16">
        <v>3</v>
      </c>
      <c r="F379" s="16">
        <v>3</v>
      </c>
      <c r="G379" s="16">
        <v>2</v>
      </c>
      <c r="H379" s="16">
        <v>2</v>
      </c>
      <c r="I379" s="16">
        <v>2</v>
      </c>
      <c r="L379" s="92">
        <v>3</v>
      </c>
      <c r="M379" s="92">
        <v>3</v>
      </c>
      <c r="N379" s="92">
        <v>2</v>
      </c>
      <c r="O379" s="92">
        <v>1</v>
      </c>
      <c r="P379" s="92">
        <v>2</v>
      </c>
      <c r="Q379" s="92"/>
      <c r="S379" s="16">
        <f t="shared" si="258"/>
        <v>0</v>
      </c>
      <c r="T379" s="16">
        <f>IF(M379&gt;M$3,0,IF(M$3&lt;4,2,1))</f>
        <v>0</v>
      </c>
      <c r="U379" s="16">
        <f>IF(N379&gt;N$3,0,1)</f>
        <v>0</v>
      </c>
      <c r="V379" s="16">
        <f>IF(O379&gt;O$3,0,1)</f>
        <v>0</v>
      </c>
      <c r="W379" s="16">
        <f>IF(P379&gt;LARGE($P$3:$U$3,1),0,IF(AQ376&lt;4,2,1))</f>
        <v>0</v>
      </c>
      <c r="Z379" s="16">
        <f>IF(S379*T379*U379*V379*W379&gt;2, 2,S379*T379*U379*V379*W379)</f>
        <v>0</v>
      </c>
      <c r="AB379" s="16" t="s">
        <v>434</v>
      </c>
      <c r="AC379" s="16" t="s">
        <v>434</v>
      </c>
      <c r="AD379" s="16" t="s">
        <v>434</v>
      </c>
      <c r="AF379" s="21" t="s">
        <v>672</v>
      </c>
      <c r="AG379" s="21" t="s">
        <v>673</v>
      </c>
      <c r="AH379" s="21" t="s">
        <v>430</v>
      </c>
      <c r="AI379" s="118"/>
      <c r="AJ379" s="118" t="str">
        <f>Q$2</f>
        <v>請選擇第一選修科</v>
      </c>
      <c r="AK379" s="118" t="str">
        <f>R$2</f>
        <v>請選擇第二選修科</v>
      </c>
      <c r="AL379" s="118" t="str">
        <f>S$2</f>
        <v>請選擇第三選修科</v>
      </c>
      <c r="AM379" s="118" t="str">
        <f>T$2</f>
        <v>請選擇第四選修科</v>
      </c>
      <c r="AN379" s="118"/>
      <c r="AO379" s="118"/>
      <c r="AP379" s="118" t="s">
        <v>522</v>
      </c>
      <c r="AQ379" s="118"/>
      <c r="AR379" s="104"/>
      <c r="AW379" s="16"/>
    </row>
    <row r="380" spans="1:55">
      <c r="A380" s="2" t="str">
        <f>'Reference Score Calculation'!A371</f>
        <v>JSST03</v>
      </c>
      <c r="B380" s="2" t="str">
        <f>'Reference Score Calculation'!A371</f>
        <v>JSST03</v>
      </c>
      <c r="C380" s="21" t="str">
        <f>'Reference Score Calculation'!D371</f>
        <v>放射治療學（榮譽）理學士</v>
      </c>
      <c r="D380" s="16">
        <f>'Reference Score Calculation'!T371</f>
        <v>20</v>
      </c>
      <c r="E380" s="16">
        <v>3</v>
      </c>
      <c r="F380" s="16">
        <v>3</v>
      </c>
      <c r="G380" s="16">
        <v>2</v>
      </c>
      <c r="H380" s="16">
        <v>2</v>
      </c>
      <c r="I380" s="16">
        <v>3</v>
      </c>
      <c r="L380" s="92">
        <v>3</v>
      </c>
      <c r="M380" s="92">
        <v>3</v>
      </c>
      <c r="N380" s="92">
        <v>2</v>
      </c>
      <c r="O380" s="92">
        <v>1</v>
      </c>
      <c r="P380" s="92">
        <v>3</v>
      </c>
      <c r="Q380" s="92"/>
      <c r="S380" s="16">
        <f t="shared" si="258"/>
        <v>0</v>
      </c>
      <c r="T380" s="16">
        <f>IF(M380&gt;M$3,0,IF(M$3&lt;4,2,1))</f>
        <v>0</v>
      </c>
      <c r="U380" s="16">
        <f>IF(N380&gt;N$3,0,IF(N$3&lt;3,2,1))</f>
        <v>0</v>
      </c>
      <c r="V380" s="16">
        <f>IF(O380&gt;O$3,0,IF(O$3&lt;3,2,1))</f>
        <v>0</v>
      </c>
      <c r="W380" s="16">
        <f>IF(P380&gt;AQ382,0,IF(AQ380&lt;4,2,1))</f>
        <v>0</v>
      </c>
      <c r="Z380" s="16">
        <f>IF(S380*T380*U380*V380*W380&gt;2, 2,S380*T380*U380*V380*W380)</f>
        <v>0</v>
      </c>
      <c r="AB380" s="16" t="s">
        <v>434</v>
      </c>
      <c r="AC380" s="16" t="s">
        <v>434</v>
      </c>
      <c r="AD380" s="16" t="s">
        <v>434</v>
      </c>
      <c r="AF380" s="21" t="s">
        <v>674</v>
      </c>
      <c r="AG380" s="21" t="s">
        <v>675</v>
      </c>
      <c r="AH380" s="21" t="s">
        <v>430</v>
      </c>
      <c r="AI380" s="118" t="s">
        <v>677</v>
      </c>
      <c r="AJ380" s="119">
        <f>IF(OR(Q$2="物理",Q$2="組合科學(物理、化學)",Q$2="組合科學(物理、生物)",Q$2="綜合科學"),Q$3,0)</f>
        <v>0</v>
      </c>
      <c r="AK380" s="119">
        <f t="shared" ref="AK380:AM380" si="259">IF(OR(R$2="物理",R$2="組合科學(物理、化學)",R$2="組合科學(物理、生物)",R$2="綜合科學"),R$3,0)</f>
        <v>0</v>
      </c>
      <c r="AL380" s="119">
        <f t="shared" si="259"/>
        <v>0</v>
      </c>
      <c r="AM380" s="119">
        <f t="shared" si="259"/>
        <v>0</v>
      </c>
      <c r="AN380" s="118"/>
      <c r="AO380" s="118"/>
      <c r="AP380" s="119" t="str">
        <f>IF(AQ380&gt;0.1,INDEX(AJ379:AM379,MATCH(LARGE(AJ380:AM380,1),AJ380:AM380,0)),"無")</f>
        <v>無</v>
      </c>
      <c r="AQ380" s="119">
        <f>LARGE((AJ380:AM380),1)</f>
        <v>0</v>
      </c>
      <c r="AR380" s="104"/>
      <c r="AW380" s="16"/>
    </row>
    <row r="381" spans="1:55">
      <c r="A381" s="2" t="str">
        <f>'Reference Score Calculation'!A372</f>
        <v>JSST04</v>
      </c>
      <c r="B381" s="2" t="str">
        <f>'Reference Score Calculation'!A372</f>
        <v>JSST04</v>
      </c>
      <c r="C381" s="21" t="str">
        <f>'Reference Score Calculation'!D372</f>
        <v>職業治療學（榮譽）理學士</v>
      </c>
      <c r="D381" s="16">
        <f>'Reference Score Calculation'!T372</f>
        <v>60</v>
      </c>
      <c r="E381" s="16">
        <v>3</v>
      </c>
      <c r="F381" s="16">
        <v>3</v>
      </c>
      <c r="G381" s="16">
        <v>2</v>
      </c>
      <c r="H381" s="16">
        <v>2</v>
      </c>
      <c r="I381" s="16">
        <v>2</v>
      </c>
      <c r="L381" s="92">
        <v>3</v>
      </c>
      <c r="M381" s="92">
        <v>3</v>
      </c>
      <c r="N381" s="92">
        <v>2</v>
      </c>
      <c r="O381" s="92">
        <v>1</v>
      </c>
      <c r="P381" s="92">
        <v>2</v>
      </c>
      <c r="Q381" s="92"/>
      <c r="S381" s="16">
        <f t="shared" si="258"/>
        <v>0</v>
      </c>
      <c r="T381" s="16">
        <f>IF(M381&gt;M$3,0,IF(M$3&lt;4,2,1))</f>
        <v>0</v>
      </c>
      <c r="U381" s="16">
        <f t="shared" ref="U381:U415" si="260">IF(N381&gt;N$3,0,1)</f>
        <v>0</v>
      </c>
      <c r="V381" s="16">
        <f t="shared" ref="V381:V415" si="261">IF(O381&gt;O$3,0,1)</f>
        <v>0</v>
      </c>
      <c r="W381" s="16">
        <f>IF(P381&gt;LARGE($Q$3:$T$3,1),0,IF($AQ$367&lt;3,2,1))</f>
        <v>0</v>
      </c>
      <c r="Z381" s="16">
        <f t="shared" si="242"/>
        <v>0</v>
      </c>
      <c r="AB381" s="16" t="s">
        <v>434</v>
      </c>
      <c r="AC381" s="16" t="s">
        <v>434</v>
      </c>
      <c r="AD381" s="16" t="s">
        <v>434</v>
      </c>
      <c r="AF381" s="21" t="s">
        <v>672</v>
      </c>
      <c r="AG381" s="21" t="s">
        <v>676</v>
      </c>
      <c r="AH381" s="21" t="s">
        <v>430</v>
      </c>
      <c r="AI381" s="118"/>
      <c r="AJ381" s="163" t="s">
        <v>678</v>
      </c>
      <c r="AK381" s="118"/>
      <c r="AL381" s="118"/>
      <c r="AM381" s="118"/>
      <c r="AN381" s="118"/>
      <c r="AO381" s="118"/>
      <c r="AP381" s="118"/>
      <c r="AQ381" s="104"/>
      <c r="AR381" s="104"/>
      <c r="AW381" s="16"/>
    </row>
    <row r="382" spans="1:55">
      <c r="A382" s="2" t="str">
        <f>'Reference Score Calculation'!A373</f>
        <v>JSST05</v>
      </c>
      <c r="B382" s="2" t="str">
        <f>'Reference Score Calculation'!A373</f>
        <v>JSST05</v>
      </c>
      <c r="C382" s="21" t="str">
        <f>'Reference Score Calculation'!D373</f>
        <v>物理治療學（榮譽）理學士</v>
      </c>
      <c r="D382" s="16">
        <f>'Reference Score Calculation'!T373</f>
        <v>60</v>
      </c>
      <c r="E382" s="16">
        <v>3</v>
      </c>
      <c r="F382" s="16">
        <v>3</v>
      </c>
      <c r="G382" s="16">
        <v>2</v>
      </c>
      <c r="H382" s="16">
        <v>2</v>
      </c>
      <c r="I382" s="16">
        <v>2</v>
      </c>
      <c r="L382" s="92">
        <v>3</v>
      </c>
      <c r="M382" s="92">
        <v>3</v>
      </c>
      <c r="N382" s="92">
        <v>2</v>
      </c>
      <c r="O382" s="92">
        <v>1</v>
      </c>
      <c r="P382" s="92">
        <v>2</v>
      </c>
      <c r="Q382" s="92"/>
      <c r="S382" s="16">
        <f t="shared" si="258"/>
        <v>0</v>
      </c>
      <c r="T382" s="16">
        <f>IF(M382&gt;M$3,0,IF(M$3&lt;4,2,1))</f>
        <v>0</v>
      </c>
      <c r="U382" s="16">
        <f t="shared" si="260"/>
        <v>0</v>
      </c>
      <c r="V382" s="16">
        <f t="shared" si="261"/>
        <v>0</v>
      </c>
      <c r="W382" s="16">
        <f>IF(P382&gt;LARGE($Q$3:$T$3,1),0,IF($AQ$367&lt;3,2,1))</f>
        <v>0</v>
      </c>
      <c r="Z382" s="16">
        <f t="shared" si="242"/>
        <v>0</v>
      </c>
      <c r="AB382" s="16" t="s">
        <v>434</v>
      </c>
      <c r="AC382" s="16" t="s">
        <v>434</v>
      </c>
      <c r="AD382" s="16" t="s">
        <v>434</v>
      </c>
      <c r="AF382" s="21" t="s">
        <v>672</v>
      </c>
      <c r="AG382" s="21" t="s">
        <v>676</v>
      </c>
      <c r="AH382" s="21" t="s">
        <v>430</v>
      </c>
      <c r="AI382" s="118"/>
      <c r="AJ382" s="119">
        <f>IF(OR(Q$2="物理",Q$2="化學",Q$2="生物",Q$2="組合科學(物理、化學)",Q$2="組合科學(生物、化學)",Q$2="組合科學(物理、生物)",Q$2="綜合科學"),Q$3,0)</f>
        <v>0</v>
      </c>
      <c r="AK382" s="119">
        <f t="shared" ref="AK382:AM382" si="262">IF(OR(R$2="物理",R$2="化學",R$2="生物",R$2="組合科學(物理、化學)",R$2="組合科學(生物、化學)",R$2="組合科學(物理、生物)",R$2="綜合科學"),R$3,0)</f>
        <v>0</v>
      </c>
      <c r="AL382" s="119">
        <f t="shared" si="262"/>
        <v>0</v>
      </c>
      <c r="AM382" s="119">
        <f t="shared" si="262"/>
        <v>0</v>
      </c>
      <c r="AN382" s="118"/>
      <c r="AO382" s="118"/>
      <c r="AP382" s="119" t="str">
        <f>IF(AQ382&gt;0.1,INDEX(AJ379:AN379,MATCH(LARGE(AJ382:AN382,1),AJ382:AN382,0)),"無")</f>
        <v>無</v>
      </c>
      <c r="AQ382" s="119">
        <f>LARGE((AJ382:AN382),1)</f>
        <v>0</v>
      </c>
      <c r="AR382" s="104"/>
      <c r="AW382" s="16"/>
    </row>
    <row r="383" spans="1:55">
      <c r="A383" s="2" t="str">
        <f>'Reference Score Calculation'!A374</f>
        <v>JSST06</v>
      </c>
      <c r="B383" s="2" t="str">
        <f>'Reference Score Calculation'!A374</f>
        <v>JSST06</v>
      </c>
      <c r="C383" s="21" t="str">
        <f>'Reference Score Calculation'!D374</f>
        <v>應用老年學（榮譽）理學士</v>
      </c>
      <c r="D383" s="16">
        <f>'Reference Score Calculation'!T374</f>
        <v>40</v>
      </c>
      <c r="E383" s="16">
        <v>3</v>
      </c>
      <c r="F383" s="16">
        <v>3</v>
      </c>
      <c r="G383" s="16">
        <v>2</v>
      </c>
      <c r="H383" s="16">
        <v>2</v>
      </c>
      <c r="I383" s="16">
        <v>2</v>
      </c>
      <c r="L383" s="92">
        <v>3</v>
      </c>
      <c r="M383" s="92">
        <v>3</v>
      </c>
      <c r="N383" s="92">
        <v>2</v>
      </c>
      <c r="O383" s="92">
        <v>1</v>
      </c>
      <c r="P383" s="92">
        <v>2</v>
      </c>
      <c r="Q383" s="92"/>
      <c r="S383" s="16">
        <f t="shared" si="258"/>
        <v>0</v>
      </c>
      <c r="T383" s="16">
        <f t="shared" ref="T383:T416" si="263">IF(M383&gt;M$3,0,1)</f>
        <v>0</v>
      </c>
      <c r="U383" s="16">
        <f t="shared" si="260"/>
        <v>0</v>
      </c>
      <c r="V383" s="16">
        <f t="shared" si="261"/>
        <v>0</v>
      </c>
      <c r="W383" s="16">
        <f t="shared" ref="W383" si="264">IF(P383&gt;LARGE($Q$3:$T$3,1),0,1)</f>
        <v>0</v>
      </c>
      <c r="Z383" s="16">
        <f t="shared" si="242"/>
        <v>0</v>
      </c>
      <c r="AB383" s="16" t="s">
        <v>434</v>
      </c>
      <c r="AC383" s="16" t="s">
        <v>434</v>
      </c>
      <c r="AD383" s="16" t="s">
        <v>434</v>
      </c>
      <c r="AF383" s="21" t="s">
        <v>435</v>
      </c>
      <c r="AG383" s="21" t="s">
        <v>435</v>
      </c>
      <c r="AH383" s="21" t="s">
        <v>430</v>
      </c>
      <c r="AI383" s="118"/>
      <c r="AJ383" s="163" t="s">
        <v>398</v>
      </c>
      <c r="AK383" s="118"/>
      <c r="AL383" s="118"/>
      <c r="AM383" s="118"/>
      <c r="AN383" s="118"/>
      <c r="AO383" s="118"/>
      <c r="AP383" s="118"/>
      <c r="AQ383" s="104"/>
      <c r="AR383" s="104"/>
      <c r="AW383" s="16"/>
    </row>
    <row r="384" spans="1:55">
      <c r="A384" s="2" t="str">
        <f>'Reference Score Calculation'!A375</f>
        <v>JSST07</v>
      </c>
      <c r="B384" s="2" t="str">
        <f>'Reference Score Calculation'!A375</f>
        <v>JSST07</v>
      </c>
      <c r="C384" s="21" t="str">
        <f>'Reference Score Calculation'!D375</f>
        <v>醫療資訊及服務管理（榮譽）學士</v>
      </c>
      <c r="D384" s="16">
        <f>'Reference Score Calculation'!T375</f>
        <v>25</v>
      </c>
      <c r="E384" s="2"/>
      <c r="F384" s="2"/>
      <c r="G384" s="2"/>
      <c r="H384" s="2"/>
      <c r="I384" s="2"/>
      <c r="J384" s="2"/>
      <c r="L384" s="92">
        <v>3</v>
      </c>
      <c r="M384" s="92">
        <v>3</v>
      </c>
      <c r="N384" s="92">
        <v>2</v>
      </c>
      <c r="O384" s="92">
        <v>1</v>
      </c>
      <c r="P384" s="92">
        <v>2</v>
      </c>
      <c r="Q384" s="92"/>
      <c r="S384" s="16">
        <f t="shared" si="258"/>
        <v>0</v>
      </c>
      <c r="T384" s="16">
        <f t="shared" si="263"/>
        <v>0</v>
      </c>
      <c r="U384" s="16">
        <f t="shared" si="260"/>
        <v>0</v>
      </c>
      <c r="V384" s="16">
        <f t="shared" si="261"/>
        <v>0</v>
      </c>
      <c r="W384" s="16">
        <f t="shared" ref="W384" si="265">IF(P384&gt;LARGE($Q$3:$T$3,1),0,1)</f>
        <v>0</v>
      </c>
      <c r="Z384" s="16">
        <f t="shared" ref="Z384" si="266">S384*T384*U384*V384*W384</f>
        <v>0</v>
      </c>
      <c r="AA384" s="2"/>
      <c r="AB384" s="16" t="s">
        <v>434</v>
      </c>
      <c r="AC384" s="16" t="s">
        <v>434</v>
      </c>
      <c r="AD384" s="16" t="s">
        <v>434</v>
      </c>
      <c r="AE384" s="2"/>
      <c r="AF384" s="21" t="s">
        <v>435</v>
      </c>
      <c r="AG384" s="21" t="s">
        <v>435</v>
      </c>
      <c r="AH384" s="21" t="s">
        <v>430</v>
      </c>
      <c r="AI384" s="118"/>
      <c r="AJ384" s="118"/>
      <c r="AK384" s="118"/>
      <c r="AL384" s="118"/>
      <c r="AM384" s="118"/>
      <c r="AN384" s="118"/>
      <c r="AO384" s="118"/>
      <c r="AP384" s="104"/>
      <c r="AQ384" s="104"/>
      <c r="AR384" s="104"/>
      <c r="AT384" s="2"/>
      <c r="AU384" s="2"/>
      <c r="AV384" s="2"/>
    </row>
    <row r="385" spans="1:49">
      <c r="A385" s="2" t="str">
        <f>'Reference Score Calculation'!A376</f>
        <v>JSSU12</v>
      </c>
      <c r="B385" s="2" t="str">
        <f>'Reference Score Calculation'!A376</f>
        <v>JSSU12</v>
      </c>
      <c r="C385" s="21" t="str">
        <f>'Reference Score Calculation'!D376</f>
        <v>創意寫作與電影藝術榮譽文學士</v>
      </c>
      <c r="D385" s="16">
        <f>'Reference Score Calculation'!T376</f>
        <v>50</v>
      </c>
      <c r="E385" s="16">
        <v>3</v>
      </c>
      <c r="F385" s="16">
        <v>3</v>
      </c>
      <c r="G385" s="16">
        <v>2</v>
      </c>
      <c r="H385" s="16">
        <v>2</v>
      </c>
      <c r="I385" s="16">
        <v>2</v>
      </c>
      <c r="L385" s="92">
        <v>3</v>
      </c>
      <c r="M385" s="92">
        <v>3</v>
      </c>
      <c r="N385" s="92">
        <v>2</v>
      </c>
      <c r="O385" s="92">
        <v>1</v>
      </c>
      <c r="P385" s="92">
        <v>2</v>
      </c>
      <c r="Q385" s="92">
        <v>2</v>
      </c>
      <c r="S385" s="16">
        <f t="shared" si="258"/>
        <v>0</v>
      </c>
      <c r="T385" s="16">
        <f t="shared" si="263"/>
        <v>0</v>
      </c>
      <c r="U385" s="16">
        <f t="shared" si="260"/>
        <v>0</v>
      </c>
      <c r="V385" s="16">
        <f t="shared" si="261"/>
        <v>0</v>
      </c>
      <c r="W385" s="16">
        <f>IF(P385&gt;LARGE($P$3:$U$3,1),0,1)</f>
        <v>0</v>
      </c>
      <c r="X385" s="16">
        <f>IF(Q385&gt;LARGE($P$3:$U$3,2),0,1)</f>
        <v>0</v>
      </c>
      <c r="Z385" s="16">
        <f>S385*T385*U385*V385*W385*X385</f>
        <v>0</v>
      </c>
      <c r="AB385" s="16" t="s">
        <v>432</v>
      </c>
      <c r="AC385" s="16" t="s">
        <v>433</v>
      </c>
      <c r="AD385" s="16" t="s">
        <v>432</v>
      </c>
      <c r="AF385" s="21" t="s">
        <v>435</v>
      </c>
      <c r="AG385" s="21" t="s">
        <v>435</v>
      </c>
      <c r="AH385" s="21" t="s">
        <v>430</v>
      </c>
      <c r="AI385" s="118"/>
      <c r="AJ385" s="118" t="str">
        <f>Q$2</f>
        <v>請選擇第一選修科</v>
      </c>
      <c r="AK385" s="118" t="str">
        <f>R$2</f>
        <v>請選擇第二選修科</v>
      </c>
      <c r="AL385" s="118" t="str">
        <f>S$2</f>
        <v>請選擇第三選修科</v>
      </c>
      <c r="AM385" s="118" t="str">
        <f>T$2</f>
        <v>請選擇第四選修科</v>
      </c>
      <c r="AN385" s="118" t="str">
        <f>P$2</f>
        <v>數學延伸</v>
      </c>
      <c r="AO385" s="118"/>
      <c r="AP385" s="118" t="s">
        <v>522</v>
      </c>
      <c r="AQ385" s="118"/>
      <c r="AR385" s="104"/>
      <c r="AW385" s="16"/>
    </row>
    <row r="386" spans="1:49">
      <c r="A386" s="2" t="str">
        <f>'Reference Score Calculation'!A377</f>
        <v>JSSU14</v>
      </c>
      <c r="B386" s="2" t="str">
        <f>'Reference Score Calculation'!A377</f>
        <v>JSSU14</v>
      </c>
      <c r="C386" s="21" t="str">
        <f>'Reference Score Calculation'!D377</f>
        <v>動畫及視覺特效榮譽藝術學士</v>
      </c>
      <c r="D386" s="16">
        <f>'Reference Score Calculation'!T377</f>
        <v>80</v>
      </c>
      <c r="E386" s="16">
        <v>3</v>
      </c>
      <c r="F386" s="16">
        <v>3</v>
      </c>
      <c r="G386" s="16">
        <v>2</v>
      </c>
      <c r="H386" s="16">
        <v>2</v>
      </c>
      <c r="I386" s="16">
        <v>2</v>
      </c>
      <c r="L386" s="92">
        <v>3</v>
      </c>
      <c r="M386" s="92">
        <v>3</v>
      </c>
      <c r="N386" s="92">
        <v>2</v>
      </c>
      <c r="O386" s="92">
        <v>1</v>
      </c>
      <c r="P386" s="92">
        <v>2</v>
      </c>
      <c r="Q386" s="92">
        <v>2</v>
      </c>
      <c r="S386" s="16">
        <f t="shared" si="258"/>
        <v>0</v>
      </c>
      <c r="T386" s="16">
        <f t="shared" si="263"/>
        <v>0</v>
      </c>
      <c r="U386" s="16">
        <f t="shared" si="260"/>
        <v>0</v>
      </c>
      <c r="V386" s="16">
        <f t="shared" si="261"/>
        <v>0</v>
      </c>
      <c r="W386" s="16">
        <f>IF(P386&gt;LARGE($P$3:$U$3,1),0,1)</f>
        <v>0</v>
      </c>
      <c r="X386" s="16">
        <f t="shared" ref="X386:X404" si="267">IF(Q386&gt;LARGE($P$3:$U$3,2),0,1)</f>
        <v>0</v>
      </c>
      <c r="Z386" s="16">
        <f t="shared" ref="Z386:Z404" si="268">S386*T386*U386*V386*W386*X386</f>
        <v>0</v>
      </c>
      <c r="AB386" s="16" t="s">
        <v>432</v>
      </c>
      <c r="AC386" s="16" t="s">
        <v>433</v>
      </c>
      <c r="AD386" s="16" t="s">
        <v>432</v>
      </c>
      <c r="AF386" s="21" t="s">
        <v>435</v>
      </c>
      <c r="AG386" s="21" t="s">
        <v>435</v>
      </c>
      <c r="AH386" s="21" t="s">
        <v>430</v>
      </c>
      <c r="AI386" s="118" t="s">
        <v>679</v>
      </c>
      <c r="AJ386" s="119">
        <f>IF(OR(Q$2="物理",Q$2="化學",Q$2="生物",Q$2="組合科學(物理、化學)",Q$2="組合科學(生物、化學)",Q$2="組合科學(物理、生物)",Q$2="綜合科學"),Q$3,0)</f>
        <v>0</v>
      </c>
      <c r="AK386" s="119">
        <f t="shared" ref="AK386:AM386" si="269">IF(OR(R$2="物理",R$2="化學",R$2="生物",R$2="組合科學(物理、化學)",R$2="組合科學(生物、化學)",R$2="組合科學(物理、生物)",R$2="綜合科學"),R$3,0)</f>
        <v>0</v>
      </c>
      <c r="AL386" s="119">
        <f t="shared" si="269"/>
        <v>0</v>
      </c>
      <c r="AM386" s="119">
        <f t="shared" si="269"/>
        <v>0</v>
      </c>
      <c r="AN386" s="119">
        <f>P$3</f>
        <v>5.0000000000000003E-10</v>
      </c>
      <c r="AO386" s="118"/>
      <c r="AP386" s="119" t="str">
        <f>IF(AQ386&gt;0.1,INDEX(AJ385:AN385,MATCH(LARGE(AJ386:AN386,1),AJ386:AN386,0)),"無")</f>
        <v>無</v>
      </c>
      <c r="AQ386" s="119">
        <f>LARGE((AJ386:AN386),1)</f>
        <v>5.0000000000000003E-10</v>
      </c>
      <c r="AR386" s="104"/>
      <c r="AW386" s="16"/>
    </row>
    <row r="387" spans="1:49">
      <c r="A387" s="2" t="str">
        <f>'Reference Score Calculation'!A378</f>
        <v>JSSU15</v>
      </c>
      <c r="B387" s="2" t="str">
        <f>'Reference Score Calculation'!A378</f>
        <v>JSSU15</v>
      </c>
      <c r="C387" s="21" t="str">
        <f>'Reference Score Calculation'!D378</f>
        <v>影像設計及數碼藝術榮譽藝術學士</v>
      </c>
      <c r="D387" s="16">
        <f>'Reference Score Calculation'!T378</f>
        <v>35</v>
      </c>
      <c r="E387" s="16">
        <v>3</v>
      </c>
      <c r="F387" s="16">
        <v>3</v>
      </c>
      <c r="G387" s="16">
        <v>2</v>
      </c>
      <c r="H387" s="16">
        <v>2</v>
      </c>
      <c r="I387" s="16">
        <v>2</v>
      </c>
      <c r="L387" s="92">
        <v>3</v>
      </c>
      <c r="M387" s="92">
        <v>3</v>
      </c>
      <c r="N387" s="92">
        <v>2</v>
      </c>
      <c r="O387" s="92">
        <v>1</v>
      </c>
      <c r="P387" s="92">
        <v>2</v>
      </c>
      <c r="Q387" s="92">
        <v>2</v>
      </c>
      <c r="S387" s="16">
        <f t="shared" si="258"/>
        <v>0</v>
      </c>
      <c r="T387" s="16">
        <f t="shared" si="263"/>
        <v>0</v>
      </c>
      <c r="U387" s="16">
        <f t="shared" si="260"/>
        <v>0</v>
      </c>
      <c r="V387" s="16">
        <f t="shared" si="261"/>
        <v>0</v>
      </c>
      <c r="W387" s="16">
        <f>IF(P387&gt;LARGE($P$3:$U$3,1),0,1)</f>
        <v>0</v>
      </c>
      <c r="X387" s="16">
        <f t="shared" si="267"/>
        <v>0</v>
      </c>
      <c r="Z387" s="16">
        <f t="shared" si="268"/>
        <v>0</v>
      </c>
      <c r="AB387" s="16" t="s">
        <v>432</v>
      </c>
      <c r="AC387" s="16" t="s">
        <v>433</v>
      </c>
      <c r="AD387" s="16" t="s">
        <v>432</v>
      </c>
      <c r="AF387" s="21" t="s">
        <v>435</v>
      </c>
      <c r="AG387" s="21" t="s">
        <v>435</v>
      </c>
      <c r="AI387" s="118" t="s">
        <v>680</v>
      </c>
      <c r="AJ387" s="163" t="s">
        <v>681</v>
      </c>
      <c r="AK387" s="118"/>
      <c r="AL387" s="118"/>
      <c r="AM387" s="118"/>
      <c r="AN387" s="118"/>
      <c r="AO387" s="118"/>
      <c r="AP387" s="118"/>
      <c r="AQ387" s="104"/>
      <c r="AR387" s="104"/>
      <c r="AW387" s="16"/>
    </row>
    <row r="388" spans="1:49">
      <c r="A388" s="2" t="str">
        <f>'Reference Score Calculation'!A379</f>
        <v>JSSU18</v>
      </c>
      <c r="B388" s="2" t="str">
        <f>'Reference Score Calculation'!A379</f>
        <v>JSSU18</v>
      </c>
      <c r="C388" s="21" t="str">
        <f>'Reference Score Calculation'!D379</f>
        <v>新音樂及互動娛樂榮譽文學士</v>
      </c>
      <c r="D388" s="16">
        <f>'Reference Score Calculation'!T379</f>
        <v>45</v>
      </c>
      <c r="E388" s="2"/>
      <c r="F388" s="2"/>
      <c r="G388" s="2"/>
      <c r="H388" s="2"/>
      <c r="I388" s="2"/>
      <c r="J388" s="2"/>
      <c r="K388" s="2"/>
      <c r="L388" s="92">
        <v>3</v>
      </c>
      <c r="M388" s="92">
        <v>3</v>
      </c>
      <c r="N388" s="92">
        <v>2</v>
      </c>
      <c r="O388" s="92">
        <v>1</v>
      </c>
      <c r="P388" s="92">
        <v>2</v>
      </c>
      <c r="Q388" s="92">
        <v>2</v>
      </c>
      <c r="S388" s="16">
        <f t="shared" si="258"/>
        <v>0</v>
      </c>
      <c r="T388" s="16">
        <f t="shared" si="263"/>
        <v>0</v>
      </c>
      <c r="U388" s="16">
        <f t="shared" si="260"/>
        <v>0</v>
      </c>
      <c r="V388" s="16">
        <f t="shared" si="261"/>
        <v>0</v>
      </c>
      <c r="W388" s="16">
        <f>IF(P388&gt;LARGE($P$3:$U$3,1),0,1)</f>
        <v>0</v>
      </c>
      <c r="X388" s="16">
        <f t="shared" si="267"/>
        <v>0</v>
      </c>
      <c r="Z388" s="16">
        <f t="shared" si="268"/>
        <v>0</v>
      </c>
      <c r="AA388" s="2"/>
      <c r="AB388" s="16" t="s">
        <v>432</v>
      </c>
      <c r="AC388" s="16" t="s">
        <v>433</v>
      </c>
      <c r="AD388" s="16" t="s">
        <v>432</v>
      </c>
      <c r="AE388" s="2"/>
      <c r="AF388" s="21" t="s">
        <v>435</v>
      </c>
      <c r="AG388" s="21" t="s">
        <v>435</v>
      </c>
      <c r="AI388" s="118"/>
      <c r="AJ388" s="118"/>
      <c r="AK388" s="118"/>
      <c r="AL388" s="118"/>
      <c r="AM388" s="118"/>
      <c r="AN388" s="118"/>
      <c r="AO388" s="118"/>
      <c r="AP388" s="104"/>
      <c r="AQ388" s="104"/>
      <c r="AR388" s="104"/>
      <c r="AW388" s="16"/>
    </row>
    <row r="389" spans="1:49">
      <c r="A389" s="2" t="str">
        <f>'Reference Score Calculation'!A380</f>
        <v>JSSU40</v>
      </c>
      <c r="B389" s="2" t="str">
        <f>'Reference Score Calculation'!A380</f>
        <v>JSSU40</v>
      </c>
      <c r="C389" s="21" t="str">
        <f>'Reference Score Calculation'!D380</f>
        <v>護理學榮譽學士（普通科）</v>
      </c>
      <c r="D389" s="16">
        <f>'Reference Score Calculation'!T380</f>
        <v>400</v>
      </c>
      <c r="E389" s="16">
        <v>3</v>
      </c>
      <c r="F389" s="16">
        <v>3</v>
      </c>
      <c r="G389" s="16">
        <v>2</v>
      </c>
      <c r="H389" s="16">
        <v>2</v>
      </c>
      <c r="I389" s="16">
        <v>2</v>
      </c>
      <c r="L389" s="92">
        <v>3</v>
      </c>
      <c r="M389" s="92">
        <v>3</v>
      </c>
      <c r="N389" s="92">
        <v>2</v>
      </c>
      <c r="O389" s="92">
        <v>1</v>
      </c>
      <c r="P389" s="92">
        <v>2</v>
      </c>
      <c r="Q389" s="92">
        <v>2</v>
      </c>
      <c r="S389" s="16">
        <f t="shared" si="258"/>
        <v>0</v>
      </c>
      <c r="T389" s="16">
        <f t="shared" si="263"/>
        <v>0</v>
      </c>
      <c r="U389" s="16">
        <f t="shared" si="260"/>
        <v>0</v>
      </c>
      <c r="V389" s="16">
        <f t="shared" si="261"/>
        <v>0</v>
      </c>
      <c r="W389" s="16">
        <f>IF(P389&gt;LARGE($P$3:$T$3,1),0,1)</f>
        <v>0</v>
      </c>
      <c r="X389" s="16">
        <f t="shared" si="267"/>
        <v>0</v>
      </c>
      <c r="Z389" s="16">
        <f t="shared" si="268"/>
        <v>0</v>
      </c>
      <c r="AB389" s="16" t="s">
        <v>432</v>
      </c>
      <c r="AC389" s="16" t="s">
        <v>465</v>
      </c>
      <c r="AD389" s="16" t="s">
        <v>465</v>
      </c>
      <c r="AF389" s="21" t="s">
        <v>435</v>
      </c>
      <c r="AG389" s="21" t="s">
        <v>435</v>
      </c>
      <c r="AI389" s="118"/>
      <c r="AJ389" s="118" t="str">
        <f>Q$2</f>
        <v>請選擇第一選修科</v>
      </c>
      <c r="AK389" s="118" t="str">
        <f>R$2</f>
        <v>請選擇第二選修科</v>
      </c>
      <c r="AL389" s="118" t="str">
        <f>S$2</f>
        <v>請選擇第三選修科</v>
      </c>
      <c r="AM389" s="118" t="str">
        <f>T$2</f>
        <v>請選擇第四選修科</v>
      </c>
      <c r="AN389" s="118"/>
      <c r="AO389" s="118"/>
      <c r="AP389" s="118" t="s">
        <v>682</v>
      </c>
      <c r="AQ389" s="118"/>
      <c r="AR389" s="104"/>
      <c r="AW389" s="16"/>
    </row>
    <row r="390" spans="1:49">
      <c r="A390" s="2" t="str">
        <f>'Reference Score Calculation'!A381</f>
        <v>JSSU50</v>
      </c>
      <c r="B390" s="2" t="str">
        <f>'Reference Score Calculation'!A381</f>
        <v>JSSU50</v>
      </c>
      <c r="C390" s="21" t="str">
        <f>'Reference Score Calculation'!D381</f>
        <v>護理學榮譽學士（精神科）</v>
      </c>
      <c r="D390" s="16">
        <f>'Reference Score Calculation'!T381</f>
        <v>125</v>
      </c>
      <c r="E390" s="16">
        <v>3</v>
      </c>
      <c r="F390" s="16">
        <v>3</v>
      </c>
      <c r="G390" s="16">
        <v>2</v>
      </c>
      <c r="H390" s="16">
        <v>2</v>
      </c>
      <c r="I390" s="16">
        <v>2</v>
      </c>
      <c r="L390" s="92">
        <v>3</v>
      </c>
      <c r="M390" s="92">
        <v>3</v>
      </c>
      <c r="N390" s="92">
        <v>2</v>
      </c>
      <c r="O390" s="92">
        <v>1</v>
      </c>
      <c r="P390" s="92">
        <v>2</v>
      </c>
      <c r="Q390" s="92">
        <v>2</v>
      </c>
      <c r="S390" s="16">
        <f t="shared" si="258"/>
        <v>0</v>
      </c>
      <c r="T390" s="16">
        <f t="shared" si="263"/>
        <v>0</v>
      </c>
      <c r="U390" s="16">
        <f t="shared" si="260"/>
        <v>0</v>
      </c>
      <c r="V390" s="16">
        <f t="shared" si="261"/>
        <v>0</v>
      </c>
      <c r="W390" s="16">
        <f>IF(P390&gt;LARGE($P$3:$T$3,1),0,1)</f>
        <v>0</v>
      </c>
      <c r="X390" s="16">
        <f t="shared" si="267"/>
        <v>0</v>
      </c>
      <c r="Z390" s="16">
        <f t="shared" si="268"/>
        <v>0</v>
      </c>
      <c r="AB390" s="16" t="s">
        <v>432</v>
      </c>
      <c r="AC390" s="16" t="s">
        <v>465</v>
      </c>
      <c r="AD390" s="16" t="s">
        <v>465</v>
      </c>
      <c r="AF390" s="21" t="s">
        <v>435</v>
      </c>
      <c r="AG390" s="21" t="s">
        <v>435</v>
      </c>
      <c r="AI390" s="118" t="s">
        <v>684</v>
      </c>
      <c r="AJ390" s="119">
        <f>IF(Q$2="資訊及通訊科技",Q$3,0)</f>
        <v>0</v>
      </c>
      <c r="AK390" s="119">
        <f t="shared" ref="AK390:AM390" si="270">IF(R$2="資訊及通訊科技",R$3,0)</f>
        <v>0</v>
      </c>
      <c r="AL390" s="119">
        <f t="shared" si="270"/>
        <v>0</v>
      </c>
      <c r="AM390" s="119">
        <f t="shared" si="270"/>
        <v>0</v>
      </c>
      <c r="AN390" s="118"/>
      <c r="AO390" s="118"/>
      <c r="AP390" s="119" t="str">
        <f>IF(AQ390&gt;0.1,INDEX(AJ389:AM389,MATCH(LARGE(AJ390:AM390,1),AJ390:AM390,0)),"無")</f>
        <v>無</v>
      </c>
      <c r="AQ390" s="119">
        <f>LARGE((AJ390:AM390),1)</f>
        <v>0</v>
      </c>
      <c r="AR390" s="104"/>
      <c r="AW390" s="16"/>
    </row>
    <row r="391" spans="1:49">
      <c r="A391" s="2" t="str">
        <f>'Reference Score Calculation'!A382</f>
        <v>JSSU55</v>
      </c>
      <c r="B391" s="2" t="str">
        <f>'Reference Score Calculation'!A382</f>
        <v>JSSU55</v>
      </c>
      <c r="C391" s="21" t="str">
        <f>'Reference Score Calculation'!D382</f>
        <v>物理治療學榮譽理學士</v>
      </c>
      <c r="D391" s="16">
        <f>'Reference Score Calculation'!T382</f>
        <v>50</v>
      </c>
      <c r="E391" s="16">
        <v>3</v>
      </c>
      <c r="F391" s="16">
        <v>3</v>
      </c>
      <c r="G391" s="16">
        <v>2</v>
      </c>
      <c r="H391" s="16">
        <v>2</v>
      </c>
      <c r="I391" s="16">
        <v>2</v>
      </c>
      <c r="L391" s="92">
        <v>3</v>
      </c>
      <c r="M391" s="92">
        <v>3</v>
      </c>
      <c r="N391" s="92">
        <v>2</v>
      </c>
      <c r="O391" s="92">
        <v>1</v>
      </c>
      <c r="P391" s="92">
        <v>2</v>
      </c>
      <c r="Q391" s="92">
        <v>2</v>
      </c>
      <c r="S391" s="16">
        <f t="shared" si="258"/>
        <v>0</v>
      </c>
      <c r="T391" s="16">
        <f t="shared" si="263"/>
        <v>0</v>
      </c>
      <c r="U391" s="16">
        <f t="shared" si="260"/>
        <v>0</v>
      </c>
      <c r="V391" s="16">
        <f t="shared" si="261"/>
        <v>0</v>
      </c>
      <c r="W391" s="16">
        <f>IF(P391&gt;LARGE($P$3:$U$3,1),0,1)</f>
        <v>0</v>
      </c>
      <c r="X391" s="16">
        <f t="shared" si="267"/>
        <v>0</v>
      </c>
      <c r="Z391" s="16">
        <f t="shared" si="268"/>
        <v>0</v>
      </c>
      <c r="AB391" s="16" t="s">
        <v>432</v>
      </c>
      <c r="AC391" s="16" t="s">
        <v>433</v>
      </c>
      <c r="AD391" s="16" t="s">
        <v>432</v>
      </c>
      <c r="AF391" s="21" t="s">
        <v>435</v>
      </c>
      <c r="AG391" s="21" t="s">
        <v>435</v>
      </c>
      <c r="AI391" s="118"/>
      <c r="AJ391" s="163" t="s">
        <v>345</v>
      </c>
      <c r="AK391" s="118"/>
      <c r="AL391" s="118"/>
      <c r="AM391" s="118"/>
      <c r="AN391" s="118"/>
      <c r="AO391" s="118"/>
      <c r="AP391" s="118"/>
      <c r="AQ391" s="104"/>
      <c r="AR391" s="104"/>
      <c r="AW391" s="16"/>
    </row>
    <row r="392" spans="1:49">
      <c r="A392" s="2" t="str">
        <f>'Reference Score Calculation'!A383</f>
        <v>JSSU61</v>
      </c>
      <c r="B392" s="2" t="str">
        <f>'Reference Score Calculation'!A383</f>
        <v>JSSU61</v>
      </c>
      <c r="C392" s="21" t="str">
        <f>'Reference Score Calculation'!D383</f>
        <v>綜合檢測和認證榮譽應用理學士</v>
      </c>
      <c r="D392" s="16">
        <f>'Reference Score Calculation'!T383</f>
        <v>55</v>
      </c>
      <c r="E392" s="16">
        <v>3</v>
      </c>
      <c r="F392" s="16">
        <v>3</v>
      </c>
      <c r="G392" s="16">
        <v>2</v>
      </c>
      <c r="H392" s="16">
        <v>2</v>
      </c>
      <c r="I392" s="16">
        <v>2</v>
      </c>
      <c r="L392" s="92">
        <v>3</v>
      </c>
      <c r="M392" s="92">
        <v>3</v>
      </c>
      <c r="N392" s="92">
        <v>2</v>
      </c>
      <c r="O392" s="92">
        <v>1</v>
      </c>
      <c r="P392" s="92">
        <v>2</v>
      </c>
      <c r="Q392" s="92">
        <v>2</v>
      </c>
      <c r="S392" s="16">
        <f t="shared" si="258"/>
        <v>0</v>
      </c>
      <c r="T392" s="16">
        <f t="shared" si="263"/>
        <v>0</v>
      </c>
      <c r="U392" s="16">
        <f t="shared" si="260"/>
        <v>0</v>
      </c>
      <c r="V392" s="16">
        <f t="shared" si="261"/>
        <v>0</v>
      </c>
      <c r="W392" s="16">
        <f>IF(P392&gt;LARGE($P$3:$U$3,1),0,1)</f>
        <v>0</v>
      </c>
      <c r="X392" s="16">
        <f t="shared" si="267"/>
        <v>0</v>
      </c>
      <c r="Z392" s="16">
        <f t="shared" si="268"/>
        <v>0</v>
      </c>
      <c r="AB392" s="16" t="s">
        <v>432</v>
      </c>
      <c r="AC392" s="16" t="s">
        <v>433</v>
      </c>
      <c r="AD392" s="16" t="s">
        <v>432</v>
      </c>
      <c r="AF392" s="21" t="s">
        <v>435</v>
      </c>
      <c r="AG392" s="21" t="s">
        <v>435</v>
      </c>
      <c r="AI392" s="118"/>
      <c r="AJ392" s="118"/>
      <c r="AK392" s="118"/>
      <c r="AL392" s="118"/>
      <c r="AM392" s="118"/>
      <c r="AN392" s="118"/>
      <c r="AO392" s="118"/>
      <c r="AP392" s="104"/>
      <c r="AQ392" s="104"/>
      <c r="AR392" s="104"/>
      <c r="AW392" s="16"/>
    </row>
    <row r="393" spans="1:49">
      <c r="A393" s="2" t="str">
        <f>'Reference Score Calculation'!A384</f>
        <v>JSSU67</v>
      </c>
      <c r="B393" s="2" t="str">
        <f>'Reference Score Calculation'!A384</f>
        <v>JSSU67</v>
      </c>
      <c r="C393" s="21" t="str">
        <f>'Reference Score Calculation'!D384</f>
        <v>醫療化驗科學榮譽理學士</v>
      </c>
      <c r="D393" s="16">
        <f>'Reference Score Calculation'!T384</f>
        <v>60</v>
      </c>
      <c r="E393" s="16">
        <v>3</v>
      </c>
      <c r="F393" s="16">
        <v>3</v>
      </c>
      <c r="G393" s="16">
        <v>2</v>
      </c>
      <c r="H393" s="16">
        <v>2</v>
      </c>
      <c r="I393" s="16">
        <v>2</v>
      </c>
      <c r="L393" s="92">
        <v>3</v>
      </c>
      <c r="M393" s="92">
        <v>3</v>
      </c>
      <c r="N393" s="92">
        <v>2</v>
      </c>
      <c r="O393" s="92">
        <v>1</v>
      </c>
      <c r="P393" s="92">
        <v>2</v>
      </c>
      <c r="Q393" s="92">
        <v>2</v>
      </c>
      <c r="S393" s="16">
        <f t="shared" si="258"/>
        <v>0</v>
      </c>
      <c r="T393" s="16">
        <f t="shared" si="263"/>
        <v>0</v>
      </c>
      <c r="U393" s="16">
        <f t="shared" si="260"/>
        <v>0</v>
      </c>
      <c r="V393" s="16">
        <f t="shared" si="261"/>
        <v>0</v>
      </c>
      <c r="W393" s="16">
        <f>IF(P393&gt;LARGE($Q$3:$T$3,1),0,IF($AQ$394&lt;2,2,1))</f>
        <v>0</v>
      </c>
      <c r="X393" s="16">
        <f t="shared" si="267"/>
        <v>0</v>
      </c>
      <c r="Z393" s="16">
        <f t="shared" si="268"/>
        <v>0</v>
      </c>
      <c r="AB393" s="16" t="s">
        <v>432</v>
      </c>
      <c r="AC393" s="16" t="s">
        <v>433</v>
      </c>
      <c r="AD393" s="16" t="s">
        <v>432</v>
      </c>
      <c r="AF393" s="21" t="s">
        <v>683</v>
      </c>
      <c r="AG393" s="21" t="s">
        <v>356</v>
      </c>
      <c r="AI393" s="118"/>
      <c r="AJ393" s="118" t="str">
        <f>Q$2</f>
        <v>請選擇第一選修科</v>
      </c>
      <c r="AK393" s="118" t="str">
        <f>R$2</f>
        <v>請選擇第二選修科</v>
      </c>
      <c r="AL393" s="118" t="str">
        <f>S$2</f>
        <v>請選擇第三選修科</v>
      </c>
      <c r="AM393" s="118" t="str">
        <f>T$2</f>
        <v>請選擇第四選修科</v>
      </c>
      <c r="AN393" s="118"/>
      <c r="AO393" s="118"/>
      <c r="AP393" s="118" t="s">
        <v>522</v>
      </c>
      <c r="AQ393" s="118"/>
      <c r="AR393" s="104"/>
      <c r="AW393" s="16"/>
    </row>
    <row r="394" spans="1:49">
      <c r="A394" s="2" t="str">
        <f>'Reference Score Calculation'!A385</f>
        <v>JSSU68</v>
      </c>
      <c r="B394" s="2" t="str">
        <f>'Reference Score Calculation'!A385</f>
        <v>JSSU68</v>
      </c>
      <c r="C394" s="21" t="str">
        <f>'Reference Score Calculation'!D385</f>
        <v>分析檢測科學榮譽理學士</v>
      </c>
      <c r="D394" s="16">
        <f>'Reference Score Calculation'!T385</f>
        <v>30</v>
      </c>
      <c r="E394" s="16">
        <v>3</v>
      </c>
      <c r="F394" s="16">
        <v>3</v>
      </c>
      <c r="G394" s="16">
        <v>2</v>
      </c>
      <c r="H394" s="16">
        <v>2</v>
      </c>
      <c r="I394" s="16">
        <v>2</v>
      </c>
      <c r="L394" s="92">
        <v>3</v>
      </c>
      <c r="M394" s="92">
        <v>3</v>
      </c>
      <c r="N394" s="92">
        <v>2</v>
      </c>
      <c r="O394" s="92">
        <v>1</v>
      </c>
      <c r="P394" s="92">
        <v>2</v>
      </c>
      <c r="Q394" s="92">
        <v>2</v>
      </c>
      <c r="S394" s="16">
        <f t="shared" si="258"/>
        <v>0</v>
      </c>
      <c r="T394" s="16">
        <f t="shared" si="263"/>
        <v>0</v>
      </c>
      <c r="U394" s="16">
        <f t="shared" si="260"/>
        <v>0</v>
      </c>
      <c r="V394" s="16">
        <f t="shared" si="261"/>
        <v>0</v>
      </c>
      <c r="W394" s="16">
        <f t="shared" ref="W394:W404" si="271">IF(P394&gt;LARGE($P$3:$U$3,1),0,1)</f>
        <v>0</v>
      </c>
      <c r="X394" s="16">
        <f t="shared" si="267"/>
        <v>0</v>
      </c>
      <c r="Z394" s="16">
        <f t="shared" si="268"/>
        <v>0</v>
      </c>
      <c r="AB394" s="16" t="s">
        <v>432</v>
      </c>
      <c r="AC394" s="16" t="s">
        <v>433</v>
      </c>
      <c r="AD394" s="16" t="s">
        <v>432</v>
      </c>
      <c r="AF394" s="21" t="s">
        <v>435</v>
      </c>
      <c r="AG394" s="21" t="s">
        <v>435</v>
      </c>
      <c r="AI394" s="118" t="s">
        <v>685</v>
      </c>
      <c r="AJ394" s="119">
        <f>IF(OR(Q$2="化學",Q$2="生物",Q$2="組合科學(生物、化學)"),Q$3,0)</f>
        <v>0</v>
      </c>
      <c r="AK394" s="119">
        <f t="shared" ref="AK394:AM394" si="272">IF(OR(R$2="化學",R$2="生物",R$2="組合科學(生物、化學)"),R$3,0)</f>
        <v>0</v>
      </c>
      <c r="AL394" s="119">
        <f t="shared" si="272"/>
        <v>0</v>
      </c>
      <c r="AM394" s="119">
        <f t="shared" si="272"/>
        <v>0</v>
      </c>
      <c r="AN394" s="118"/>
      <c r="AO394" s="118"/>
      <c r="AP394" s="119" t="str">
        <f>IF(AQ394&gt;0.1,INDEX(AJ393:AM393,MATCH(LARGE(AJ394:AM394,1),AJ394:AM394,0)),"無")</f>
        <v>無</v>
      </c>
      <c r="AQ394" s="119">
        <f>LARGE((AJ394:AM394),1)</f>
        <v>0</v>
      </c>
      <c r="AR394" s="104"/>
      <c r="AW394" s="16"/>
    </row>
    <row r="395" spans="1:49">
      <c r="A395" s="2" t="str">
        <f>'Reference Score Calculation'!A386</f>
        <v>JSSU69</v>
      </c>
      <c r="B395" s="2" t="str">
        <f>'Reference Score Calculation'!A386</f>
        <v>JSSU69</v>
      </c>
      <c r="C395" s="21" t="str">
        <f>'Reference Score Calculation'!D386</f>
        <v>食品測試科學榮譽理學士</v>
      </c>
      <c r="D395" s="16">
        <f>'Reference Score Calculation'!T386</f>
        <v>30</v>
      </c>
      <c r="E395" s="16">
        <v>3</v>
      </c>
      <c r="F395" s="16">
        <v>3</v>
      </c>
      <c r="G395" s="16">
        <v>2</v>
      </c>
      <c r="H395" s="16">
        <v>2</v>
      </c>
      <c r="I395" s="16">
        <v>2</v>
      </c>
      <c r="L395" s="92">
        <v>3</v>
      </c>
      <c r="M395" s="92">
        <v>3</v>
      </c>
      <c r="N395" s="92">
        <v>2</v>
      </c>
      <c r="O395" s="92">
        <v>1</v>
      </c>
      <c r="P395" s="92">
        <v>2</v>
      </c>
      <c r="Q395" s="92">
        <v>2</v>
      </c>
      <c r="S395" s="16">
        <f t="shared" si="258"/>
        <v>0</v>
      </c>
      <c r="T395" s="16">
        <f t="shared" si="263"/>
        <v>0</v>
      </c>
      <c r="U395" s="16">
        <f t="shared" si="260"/>
        <v>0</v>
      </c>
      <c r="V395" s="16">
        <f t="shared" si="261"/>
        <v>0</v>
      </c>
      <c r="W395" s="16">
        <f t="shared" si="271"/>
        <v>0</v>
      </c>
      <c r="X395" s="16">
        <f t="shared" si="267"/>
        <v>0</v>
      </c>
      <c r="Z395" s="16">
        <f t="shared" si="268"/>
        <v>0</v>
      </c>
      <c r="AB395" s="16" t="s">
        <v>432</v>
      </c>
      <c r="AC395" s="16" t="s">
        <v>433</v>
      </c>
      <c r="AD395" s="16" t="s">
        <v>432</v>
      </c>
      <c r="AF395" s="21" t="s">
        <v>435</v>
      </c>
      <c r="AG395" s="21" t="s">
        <v>435</v>
      </c>
      <c r="AI395" s="118"/>
      <c r="AJ395" s="163" t="s">
        <v>686</v>
      </c>
      <c r="AK395" s="118"/>
      <c r="AL395" s="118"/>
      <c r="AM395" s="118"/>
      <c r="AN395" s="118"/>
      <c r="AO395" s="118"/>
      <c r="AP395" s="118"/>
      <c r="AQ395" s="104"/>
      <c r="AR395" s="104"/>
      <c r="AW395" s="16"/>
    </row>
    <row r="396" spans="1:49">
      <c r="A396" s="2" t="str">
        <f>'Reference Score Calculation'!A387</f>
        <v>JSSU70</v>
      </c>
      <c r="B396" s="2" t="str">
        <f>'Reference Score Calculation'!A387</f>
        <v>JSSU70</v>
      </c>
      <c r="C396" s="21" t="str">
        <f>'Reference Score Calculation'!D387</f>
        <v>數據科學及人工智能榮譽理學士</v>
      </c>
      <c r="D396" s="16">
        <f>'Reference Score Calculation'!T387</f>
        <v>35</v>
      </c>
      <c r="E396" s="16">
        <v>3</v>
      </c>
      <c r="F396" s="16">
        <v>3</v>
      </c>
      <c r="G396" s="16">
        <v>2</v>
      </c>
      <c r="H396" s="16">
        <v>2</v>
      </c>
      <c r="I396" s="16">
        <v>2</v>
      </c>
      <c r="L396" s="92">
        <v>3</v>
      </c>
      <c r="M396" s="92">
        <v>3</v>
      </c>
      <c r="N396" s="92">
        <v>2</v>
      </c>
      <c r="O396" s="92">
        <v>1</v>
      </c>
      <c r="P396" s="92">
        <v>2</v>
      </c>
      <c r="Q396" s="92">
        <v>2</v>
      </c>
      <c r="S396" s="16">
        <f t="shared" si="258"/>
        <v>0</v>
      </c>
      <c r="T396" s="16">
        <f t="shared" si="263"/>
        <v>0</v>
      </c>
      <c r="U396" s="16">
        <f t="shared" si="260"/>
        <v>0</v>
      </c>
      <c r="V396" s="16">
        <f t="shared" si="261"/>
        <v>0</v>
      </c>
      <c r="W396" s="16">
        <f t="shared" si="271"/>
        <v>0</v>
      </c>
      <c r="X396" s="16">
        <f t="shared" si="267"/>
        <v>0</v>
      </c>
      <c r="Z396" s="16">
        <f t="shared" si="268"/>
        <v>0</v>
      </c>
      <c r="AB396" s="16" t="s">
        <v>432</v>
      </c>
      <c r="AC396" s="16" t="s">
        <v>433</v>
      </c>
      <c r="AD396" s="16" t="s">
        <v>432</v>
      </c>
      <c r="AF396" s="21" t="s">
        <v>435</v>
      </c>
      <c r="AG396" s="21" t="s">
        <v>435</v>
      </c>
      <c r="AI396" s="118"/>
      <c r="AJ396" s="118"/>
      <c r="AK396" s="118"/>
      <c r="AL396" s="118"/>
      <c r="AM396" s="118"/>
      <c r="AN396" s="118"/>
      <c r="AO396" s="118"/>
      <c r="AP396" s="104"/>
      <c r="AQ396" s="104"/>
      <c r="AR396" s="104"/>
      <c r="AW396" s="16"/>
    </row>
    <row r="397" spans="1:49">
      <c r="A397" s="2" t="str">
        <f>'Reference Score Calculation'!A388</f>
        <v>JSSU72</v>
      </c>
      <c r="B397" s="2" t="str">
        <f>'Reference Score Calculation'!A388</f>
        <v>JSSU72</v>
      </c>
      <c r="C397" s="21" t="str">
        <f>'Reference Score Calculation'!D388</f>
        <v>電腦科學榮譽理學士</v>
      </c>
      <c r="D397" s="16">
        <f>'Reference Score Calculation'!T388</f>
        <v>45</v>
      </c>
      <c r="E397" s="16">
        <v>3</v>
      </c>
      <c r="F397" s="16">
        <v>3</v>
      </c>
      <c r="G397" s="16">
        <v>2</v>
      </c>
      <c r="H397" s="16">
        <v>2</v>
      </c>
      <c r="I397" s="16">
        <v>2</v>
      </c>
      <c r="L397" s="92">
        <v>3</v>
      </c>
      <c r="M397" s="92">
        <v>3</v>
      </c>
      <c r="N397" s="92">
        <v>2</v>
      </c>
      <c r="O397" s="92">
        <v>1</v>
      </c>
      <c r="P397" s="92">
        <v>2</v>
      </c>
      <c r="Q397" s="92">
        <v>2</v>
      </c>
      <c r="S397" s="16">
        <f t="shared" si="258"/>
        <v>0</v>
      </c>
      <c r="T397" s="16">
        <f t="shared" si="263"/>
        <v>0</v>
      </c>
      <c r="U397" s="16">
        <f t="shared" si="260"/>
        <v>0</v>
      </c>
      <c r="V397" s="16">
        <f t="shared" si="261"/>
        <v>0</v>
      </c>
      <c r="W397" s="16">
        <f t="shared" si="271"/>
        <v>0</v>
      </c>
      <c r="X397" s="16">
        <f t="shared" si="267"/>
        <v>0</v>
      </c>
      <c r="Z397" s="16">
        <f t="shared" si="268"/>
        <v>0</v>
      </c>
      <c r="AB397" s="16" t="s">
        <v>432</v>
      </c>
      <c r="AC397" s="16" t="s">
        <v>433</v>
      </c>
      <c r="AD397" s="16" t="s">
        <v>432</v>
      </c>
      <c r="AF397" s="21" t="s">
        <v>435</v>
      </c>
      <c r="AG397" s="21" t="s">
        <v>435</v>
      </c>
      <c r="AI397" s="118"/>
      <c r="AJ397" s="118"/>
      <c r="AK397" s="118"/>
      <c r="AL397" s="118"/>
      <c r="AM397" s="118"/>
      <c r="AN397" s="118"/>
      <c r="AO397" s="118"/>
      <c r="AP397" s="104"/>
      <c r="AQ397" s="104"/>
      <c r="AR397" s="104"/>
      <c r="AW397" s="16"/>
    </row>
    <row r="398" spans="1:49">
      <c r="A398" s="2" t="str">
        <f>'Reference Score Calculation'!A389</f>
        <v>JSSU77</v>
      </c>
      <c r="B398" s="2" t="str">
        <f>'Reference Score Calculation'!A389</f>
        <v>JSSU77</v>
      </c>
      <c r="C398" s="21" t="str">
        <f>'Reference Score Calculation'!D389</f>
        <v>建築管理及工料測量學榮譽理學士</v>
      </c>
      <c r="D398" s="16">
        <f>'Reference Score Calculation'!T389</f>
        <v>25</v>
      </c>
      <c r="E398" s="2"/>
      <c r="F398" s="2"/>
      <c r="G398" s="2"/>
      <c r="H398" s="2"/>
      <c r="I398" s="2"/>
      <c r="J398" s="2"/>
      <c r="K398" s="2"/>
      <c r="L398" s="92">
        <v>3</v>
      </c>
      <c r="M398" s="92">
        <v>3</v>
      </c>
      <c r="N398" s="92">
        <v>2</v>
      </c>
      <c r="O398" s="92">
        <v>1</v>
      </c>
      <c r="P398" s="92">
        <v>2</v>
      </c>
      <c r="Q398" s="92">
        <v>2</v>
      </c>
      <c r="S398" s="16">
        <f t="shared" si="258"/>
        <v>0</v>
      </c>
      <c r="T398" s="16">
        <f t="shared" si="263"/>
        <v>0</v>
      </c>
      <c r="U398" s="16">
        <f t="shared" si="260"/>
        <v>0</v>
      </c>
      <c r="V398" s="16">
        <f t="shared" si="261"/>
        <v>0</v>
      </c>
      <c r="W398" s="16">
        <f t="shared" si="271"/>
        <v>0</v>
      </c>
      <c r="X398" s="16">
        <f t="shared" si="267"/>
        <v>0</v>
      </c>
      <c r="Z398" s="16">
        <f t="shared" si="268"/>
        <v>0</v>
      </c>
      <c r="AA398" s="2"/>
      <c r="AB398" s="16" t="s">
        <v>432</v>
      </c>
      <c r="AC398" s="16" t="s">
        <v>433</v>
      </c>
      <c r="AD398" s="16" t="s">
        <v>432</v>
      </c>
      <c r="AF398" s="21" t="s">
        <v>3266</v>
      </c>
      <c r="AG398" s="21" t="s">
        <v>435</v>
      </c>
      <c r="AI398" s="118"/>
      <c r="AJ398" s="118"/>
      <c r="AK398" s="118"/>
      <c r="AL398" s="118"/>
      <c r="AM398" s="118"/>
      <c r="AN398" s="118"/>
      <c r="AO398" s="118"/>
      <c r="AP398" s="104"/>
      <c r="AQ398" s="104"/>
      <c r="AR398" s="104"/>
      <c r="AW398" s="16"/>
    </row>
    <row r="399" spans="1:49">
      <c r="A399" s="2" t="str">
        <f>'Reference Score Calculation'!A390</f>
        <v>JSSU78</v>
      </c>
      <c r="B399" s="2" t="str">
        <f>'Reference Score Calculation'!A390</f>
        <v>JSSU78</v>
      </c>
      <c r="C399" s="21" t="str">
        <f>'Reference Score Calculation'!D390</f>
        <v>屋宇設備工程及可持續發展榮譽工學士</v>
      </c>
      <c r="D399" s="16">
        <f>'Reference Score Calculation'!T390</f>
        <v>25</v>
      </c>
      <c r="E399" s="16">
        <v>3</v>
      </c>
      <c r="F399" s="16">
        <v>3</v>
      </c>
      <c r="G399" s="16">
        <v>2</v>
      </c>
      <c r="H399" s="16">
        <v>2</v>
      </c>
      <c r="I399" s="16">
        <v>2</v>
      </c>
      <c r="L399" s="92">
        <v>3</v>
      </c>
      <c r="M399" s="92">
        <v>3</v>
      </c>
      <c r="N399" s="92">
        <v>2</v>
      </c>
      <c r="O399" s="92">
        <v>1</v>
      </c>
      <c r="P399" s="92">
        <v>2</v>
      </c>
      <c r="Q399" s="92">
        <v>2</v>
      </c>
      <c r="S399" s="16">
        <f t="shared" si="258"/>
        <v>0</v>
      </c>
      <c r="T399" s="16">
        <f t="shared" si="263"/>
        <v>0</v>
      </c>
      <c r="U399" s="16">
        <f t="shared" si="260"/>
        <v>0</v>
      </c>
      <c r="V399" s="16">
        <f t="shared" si="261"/>
        <v>0</v>
      </c>
      <c r="W399" s="16">
        <f t="shared" si="271"/>
        <v>0</v>
      </c>
      <c r="X399" s="16">
        <f t="shared" si="267"/>
        <v>0</v>
      </c>
      <c r="Z399" s="16">
        <f t="shared" si="268"/>
        <v>0</v>
      </c>
      <c r="AB399" s="16" t="s">
        <v>432</v>
      </c>
      <c r="AC399" s="16" t="s">
        <v>433</v>
      </c>
      <c r="AD399" s="16" t="s">
        <v>432</v>
      </c>
      <c r="AF399" s="21" t="s">
        <v>435</v>
      </c>
      <c r="AG399" s="21" t="s">
        <v>435</v>
      </c>
      <c r="AW399" s="16"/>
    </row>
    <row r="400" spans="1:49">
      <c r="A400" s="2" t="str">
        <f>'Reference Score Calculation'!A391</f>
        <v>JSSU79</v>
      </c>
      <c r="B400" s="2" t="str">
        <f>'Reference Score Calculation'!A391</f>
        <v>JSSU79</v>
      </c>
      <c r="C400" s="21" t="str">
        <f>'Reference Score Calculation'!D391</f>
        <v>土木工程榮譽工學士</v>
      </c>
      <c r="D400" s="16">
        <f>'Reference Score Calculation'!T391</f>
        <v>40</v>
      </c>
      <c r="E400" s="16">
        <v>3</v>
      </c>
      <c r="F400" s="16">
        <v>3</v>
      </c>
      <c r="G400" s="16">
        <v>2</v>
      </c>
      <c r="H400" s="16">
        <v>2</v>
      </c>
      <c r="I400" s="16">
        <v>2</v>
      </c>
      <c r="L400" s="92">
        <v>3</v>
      </c>
      <c r="M400" s="92">
        <v>3</v>
      </c>
      <c r="N400" s="92">
        <v>2</v>
      </c>
      <c r="O400" s="92">
        <v>1</v>
      </c>
      <c r="P400" s="92">
        <v>2</v>
      </c>
      <c r="Q400" s="92">
        <v>2</v>
      </c>
      <c r="S400" s="16">
        <f t="shared" si="258"/>
        <v>0</v>
      </c>
      <c r="T400" s="16">
        <f t="shared" si="263"/>
        <v>0</v>
      </c>
      <c r="U400" s="16">
        <f t="shared" si="260"/>
        <v>0</v>
      </c>
      <c r="V400" s="16">
        <f t="shared" si="261"/>
        <v>0</v>
      </c>
      <c r="W400" s="16">
        <f t="shared" si="271"/>
        <v>0</v>
      </c>
      <c r="X400" s="16">
        <f t="shared" si="267"/>
        <v>0</v>
      </c>
      <c r="Z400" s="16">
        <f t="shared" si="268"/>
        <v>0</v>
      </c>
      <c r="AB400" s="16" t="s">
        <v>432</v>
      </c>
      <c r="AC400" s="16" t="s">
        <v>433</v>
      </c>
      <c r="AD400" s="16" t="s">
        <v>432</v>
      </c>
      <c r="AF400" s="21" t="s">
        <v>435</v>
      </c>
      <c r="AG400" s="21" t="s">
        <v>435</v>
      </c>
      <c r="AW400" s="16"/>
    </row>
    <row r="401" spans="1:49">
      <c r="A401" s="2" t="str">
        <f>'Reference Score Calculation'!A392</f>
        <v>JSSU90</v>
      </c>
      <c r="B401" s="2" t="str">
        <f>'Reference Score Calculation'!A392</f>
        <v>JSSU90</v>
      </c>
      <c r="C401" s="21" t="str">
        <f>'Reference Score Calculation'!D392</f>
        <v>國際款待及景區管理榮譽工商管理學士</v>
      </c>
      <c r="D401" s="16">
        <f>'Reference Score Calculation'!T392</f>
        <v>50</v>
      </c>
      <c r="E401" s="16">
        <v>3</v>
      </c>
      <c r="F401" s="16">
        <v>3</v>
      </c>
      <c r="G401" s="16">
        <v>2</v>
      </c>
      <c r="H401" s="16">
        <v>2</v>
      </c>
      <c r="I401" s="16">
        <v>2</v>
      </c>
      <c r="L401" s="92">
        <v>3</v>
      </c>
      <c r="M401" s="92">
        <v>3</v>
      </c>
      <c r="N401" s="92">
        <v>2</v>
      </c>
      <c r="O401" s="92">
        <v>1</v>
      </c>
      <c r="P401" s="92">
        <v>2</v>
      </c>
      <c r="Q401" s="92">
        <v>2</v>
      </c>
      <c r="S401" s="16">
        <f t="shared" si="258"/>
        <v>0</v>
      </c>
      <c r="T401" s="16">
        <f t="shared" si="263"/>
        <v>0</v>
      </c>
      <c r="U401" s="16">
        <f t="shared" si="260"/>
        <v>0</v>
      </c>
      <c r="V401" s="16">
        <f t="shared" si="261"/>
        <v>0</v>
      </c>
      <c r="W401" s="16">
        <f t="shared" si="271"/>
        <v>0</v>
      </c>
      <c r="X401" s="16">
        <f t="shared" si="267"/>
        <v>0</v>
      </c>
      <c r="Z401" s="16">
        <f t="shared" si="268"/>
        <v>0</v>
      </c>
      <c r="AB401" s="16" t="s">
        <v>432</v>
      </c>
      <c r="AC401" s="16" t="s">
        <v>433</v>
      </c>
      <c r="AD401" s="16" t="s">
        <v>432</v>
      </c>
      <c r="AF401" s="21" t="s">
        <v>435</v>
      </c>
      <c r="AG401" s="21" t="s">
        <v>435</v>
      </c>
      <c r="AW401" s="16"/>
    </row>
    <row r="402" spans="1:49">
      <c r="A402" s="2" t="str">
        <f>'Reference Score Calculation'!A393</f>
        <v>JSSU95</v>
      </c>
      <c r="B402" s="2" t="str">
        <f>'Reference Score Calculation'!A393</f>
        <v>JSSU95</v>
      </c>
      <c r="C402" s="21" t="str">
        <f>'Reference Score Calculation'!D393</f>
        <v>運動及康樂管理榮譽工商管理學士</v>
      </c>
      <c r="D402" s="16">
        <f>'Reference Score Calculation'!T393</f>
        <v>40</v>
      </c>
      <c r="E402" s="16">
        <v>3</v>
      </c>
      <c r="F402" s="16">
        <v>3</v>
      </c>
      <c r="G402" s="16">
        <v>2</v>
      </c>
      <c r="H402" s="16">
        <v>2</v>
      </c>
      <c r="I402" s="16">
        <v>2</v>
      </c>
      <c r="L402" s="92">
        <v>3</v>
      </c>
      <c r="M402" s="92">
        <v>3</v>
      </c>
      <c r="N402" s="92">
        <v>2</v>
      </c>
      <c r="O402" s="92">
        <v>1</v>
      </c>
      <c r="P402" s="92">
        <v>2</v>
      </c>
      <c r="Q402" s="92">
        <v>2</v>
      </c>
      <c r="S402" s="16">
        <f t="shared" si="258"/>
        <v>0</v>
      </c>
      <c r="T402" s="16">
        <f t="shared" si="263"/>
        <v>0</v>
      </c>
      <c r="U402" s="16">
        <f t="shared" si="260"/>
        <v>0</v>
      </c>
      <c r="V402" s="16">
        <f t="shared" si="261"/>
        <v>0</v>
      </c>
      <c r="W402" s="16">
        <f t="shared" si="271"/>
        <v>0</v>
      </c>
      <c r="X402" s="16">
        <f t="shared" si="267"/>
        <v>0</v>
      </c>
      <c r="Z402" s="16">
        <f t="shared" si="268"/>
        <v>0</v>
      </c>
      <c r="AB402" s="16" t="s">
        <v>432</v>
      </c>
      <c r="AC402" s="16" t="s">
        <v>433</v>
      </c>
      <c r="AD402" s="16" t="s">
        <v>432</v>
      </c>
      <c r="AF402" s="21" t="s">
        <v>435</v>
      </c>
      <c r="AG402" s="21" t="s">
        <v>435</v>
      </c>
      <c r="AW402" s="16"/>
    </row>
    <row r="403" spans="1:49">
      <c r="A403" s="2" t="str">
        <f>'Reference Score Calculation'!A394</f>
        <v>JSSU96</v>
      </c>
      <c r="B403" s="2" t="str">
        <f>'Reference Score Calculation'!A394</f>
        <v>JSSU96</v>
      </c>
      <c r="C403" s="21" t="str">
        <f>'Reference Score Calculation'!D394</f>
        <v>財務及金融科技榮譽工商管理學士</v>
      </c>
      <c r="D403" s="16">
        <f>'Reference Score Calculation'!T394</f>
        <v>30</v>
      </c>
      <c r="E403" s="16">
        <v>3</v>
      </c>
      <c r="F403" s="16">
        <v>3</v>
      </c>
      <c r="G403" s="16">
        <v>2</v>
      </c>
      <c r="H403" s="16">
        <v>2</v>
      </c>
      <c r="I403" s="16">
        <v>2</v>
      </c>
      <c r="L403" s="92">
        <v>3</v>
      </c>
      <c r="M403" s="92">
        <v>3</v>
      </c>
      <c r="N403" s="92">
        <v>2</v>
      </c>
      <c r="O403" s="92">
        <v>1</v>
      </c>
      <c r="P403" s="92">
        <v>2</v>
      </c>
      <c r="Q403" s="92">
        <v>2</v>
      </c>
      <c r="S403" s="16">
        <f t="shared" si="258"/>
        <v>0</v>
      </c>
      <c r="T403" s="16">
        <f t="shared" si="263"/>
        <v>0</v>
      </c>
      <c r="U403" s="16">
        <f t="shared" si="260"/>
        <v>0</v>
      </c>
      <c r="V403" s="16">
        <f t="shared" si="261"/>
        <v>0</v>
      </c>
      <c r="W403" s="16">
        <f t="shared" si="271"/>
        <v>0</v>
      </c>
      <c r="X403" s="16">
        <f t="shared" si="267"/>
        <v>0</v>
      </c>
      <c r="Z403" s="16">
        <f t="shared" si="268"/>
        <v>0</v>
      </c>
      <c r="AB403" s="16" t="s">
        <v>432</v>
      </c>
      <c r="AC403" s="16" t="s">
        <v>433</v>
      </c>
      <c r="AD403" s="16" t="s">
        <v>432</v>
      </c>
      <c r="AF403" s="21" t="s">
        <v>435</v>
      </c>
      <c r="AG403" s="21" t="s">
        <v>435</v>
      </c>
      <c r="AW403" s="16"/>
    </row>
    <row r="404" spans="1:49">
      <c r="A404" s="2" t="str">
        <f>'Reference Score Calculation'!A395</f>
        <v>JSSU97</v>
      </c>
      <c r="B404" s="2" t="str">
        <f>'Reference Score Calculation'!A395</f>
        <v>JSSU97</v>
      </c>
      <c r="C404" s="21" t="str">
        <f>'Reference Score Calculation'!D395</f>
        <v>環球市場及供應鏈管理榮譽工商管理學士</v>
      </c>
      <c r="D404" s="16">
        <f>'Reference Score Calculation'!T395</f>
        <v>30</v>
      </c>
      <c r="E404" s="16">
        <v>3</v>
      </c>
      <c r="F404" s="16">
        <v>3</v>
      </c>
      <c r="G404" s="16">
        <v>2</v>
      </c>
      <c r="H404" s="16">
        <v>2</v>
      </c>
      <c r="I404" s="16">
        <v>2</v>
      </c>
      <c r="L404" s="92">
        <v>3</v>
      </c>
      <c r="M404" s="92">
        <v>3</v>
      </c>
      <c r="N404" s="92">
        <v>2</v>
      </c>
      <c r="O404" s="92">
        <v>1</v>
      </c>
      <c r="P404" s="92">
        <v>2</v>
      </c>
      <c r="Q404" s="92">
        <v>2</v>
      </c>
      <c r="S404" s="16">
        <f t="shared" si="258"/>
        <v>0</v>
      </c>
      <c r="T404" s="16">
        <f t="shared" si="263"/>
        <v>0</v>
      </c>
      <c r="U404" s="16">
        <f t="shared" si="260"/>
        <v>0</v>
      </c>
      <c r="V404" s="16">
        <f t="shared" si="261"/>
        <v>0</v>
      </c>
      <c r="W404" s="16">
        <f t="shared" si="271"/>
        <v>0</v>
      </c>
      <c r="X404" s="16">
        <f t="shared" si="267"/>
        <v>0</v>
      </c>
      <c r="Z404" s="16">
        <f t="shared" si="268"/>
        <v>0</v>
      </c>
      <c r="AB404" s="16" t="s">
        <v>432</v>
      </c>
      <c r="AC404" s="16" t="s">
        <v>433</v>
      </c>
      <c r="AD404" s="16" t="s">
        <v>432</v>
      </c>
      <c r="AF404" s="21" t="s">
        <v>435</v>
      </c>
      <c r="AG404" s="21" t="s">
        <v>435</v>
      </c>
      <c r="AW404" s="16"/>
    </row>
    <row r="405" spans="1:49">
      <c r="A405" s="2" t="str">
        <f>'Reference Score Calculation'!A396</f>
        <v>JSSV01</v>
      </c>
      <c r="B405" s="2" t="str">
        <f>'Reference Score Calculation'!A396</f>
        <v>JSSV01</v>
      </c>
      <c r="C405" s="21" t="str">
        <f>'Reference Score Calculation'!D396</f>
        <v>時裝設計（榮譽）文學士</v>
      </c>
      <c r="D405" s="16">
        <f>'Reference Score Calculation'!T396</f>
        <v>25</v>
      </c>
      <c r="E405" s="16">
        <v>3</v>
      </c>
      <c r="F405" s="16">
        <v>3</v>
      </c>
      <c r="G405" s="16">
        <v>2</v>
      </c>
      <c r="H405" s="16">
        <v>2</v>
      </c>
      <c r="I405" s="16">
        <v>2</v>
      </c>
      <c r="L405" s="92">
        <v>3</v>
      </c>
      <c r="M405" s="92">
        <v>3</v>
      </c>
      <c r="N405" s="92">
        <v>2</v>
      </c>
      <c r="O405" s="92">
        <v>1</v>
      </c>
      <c r="P405" s="92">
        <v>2</v>
      </c>
      <c r="Q405" s="92"/>
      <c r="S405" s="16">
        <f t="shared" si="258"/>
        <v>0</v>
      </c>
      <c r="T405" s="16">
        <f t="shared" si="263"/>
        <v>0</v>
      </c>
      <c r="U405" s="16">
        <f t="shared" si="260"/>
        <v>0</v>
      </c>
      <c r="V405" s="16">
        <f t="shared" si="261"/>
        <v>0</v>
      </c>
      <c r="W405" s="16">
        <f>IF(P405&gt;LARGE($Q$3:$T$3,1),0,1)</f>
        <v>0</v>
      </c>
      <c r="Z405" s="16">
        <f t="shared" si="242"/>
        <v>0</v>
      </c>
      <c r="AB405" s="16" t="s">
        <v>434</v>
      </c>
      <c r="AC405" s="16" t="s">
        <v>434</v>
      </c>
      <c r="AD405" s="16" t="s">
        <v>432</v>
      </c>
      <c r="AF405" s="21" t="s">
        <v>435</v>
      </c>
      <c r="AG405" s="21" t="s">
        <v>435</v>
      </c>
      <c r="AW405" s="16"/>
    </row>
    <row r="406" spans="1:49">
      <c r="A406" s="2" t="str">
        <f>'Reference Score Calculation'!A397</f>
        <v>JSSV02</v>
      </c>
      <c r="B406" s="2" t="str">
        <f>'Reference Score Calculation'!A397</f>
        <v>JSSV02</v>
      </c>
      <c r="C406" s="21" t="str">
        <f>'Reference Score Calculation'!D397</f>
        <v>產品設計（榮譽）文學士</v>
      </c>
      <c r="D406" s="16">
        <f>'Reference Score Calculation'!T397</f>
        <v>15</v>
      </c>
      <c r="E406" s="16">
        <v>3</v>
      </c>
      <c r="F406" s="16">
        <v>3</v>
      </c>
      <c r="G406" s="16">
        <v>2</v>
      </c>
      <c r="H406" s="16">
        <v>2</v>
      </c>
      <c r="I406" s="16">
        <v>2</v>
      </c>
      <c r="L406" s="92">
        <v>3</v>
      </c>
      <c r="M406" s="92">
        <v>3</v>
      </c>
      <c r="N406" s="92">
        <v>2</v>
      </c>
      <c r="O406" s="92">
        <v>1</v>
      </c>
      <c r="P406" s="92">
        <v>2</v>
      </c>
      <c r="Q406" s="92"/>
      <c r="S406" s="16">
        <f t="shared" si="258"/>
        <v>0</v>
      </c>
      <c r="T406" s="16">
        <f t="shared" si="263"/>
        <v>0</v>
      </c>
      <c r="U406" s="16">
        <f t="shared" si="260"/>
        <v>0</v>
      </c>
      <c r="V406" s="16">
        <f t="shared" si="261"/>
        <v>0</v>
      </c>
      <c r="W406" s="16">
        <f t="shared" ref="W406:W412" si="273">IF(P406&gt;LARGE($Q$3:$T$3,1),0,1)</f>
        <v>0</v>
      </c>
      <c r="Z406" s="16">
        <f t="shared" si="242"/>
        <v>0</v>
      </c>
      <c r="AB406" s="16" t="s">
        <v>434</v>
      </c>
      <c r="AC406" s="16" t="s">
        <v>434</v>
      </c>
      <c r="AD406" s="16" t="s">
        <v>432</v>
      </c>
      <c r="AF406" s="21" t="s">
        <v>435</v>
      </c>
      <c r="AG406" s="21" t="s">
        <v>435</v>
      </c>
      <c r="AW406" s="16"/>
    </row>
    <row r="407" spans="1:49">
      <c r="A407" s="2" t="str">
        <f>'Reference Score Calculation'!A398</f>
        <v>JSSV03</v>
      </c>
      <c r="B407" s="2" t="str">
        <f>'Reference Score Calculation'!A398</f>
        <v>JSSV03</v>
      </c>
      <c r="C407" s="21" t="str">
        <f>'Reference Score Calculation'!D398</f>
        <v>園境建築（榮譽）文學士</v>
      </c>
      <c r="D407" s="16">
        <f>'Reference Score Calculation'!T398</f>
        <v>15</v>
      </c>
      <c r="E407" s="16">
        <v>3</v>
      </c>
      <c r="F407" s="16">
        <v>3</v>
      </c>
      <c r="G407" s="16">
        <v>2</v>
      </c>
      <c r="H407" s="16">
        <v>2</v>
      </c>
      <c r="I407" s="16">
        <v>2</v>
      </c>
      <c r="L407" s="92">
        <v>3</v>
      </c>
      <c r="M407" s="92">
        <v>3</v>
      </c>
      <c r="N407" s="92">
        <v>2</v>
      </c>
      <c r="O407" s="92">
        <v>1</v>
      </c>
      <c r="P407" s="92">
        <v>2</v>
      </c>
      <c r="Q407" s="92"/>
      <c r="S407" s="16">
        <f t="shared" si="258"/>
        <v>0</v>
      </c>
      <c r="T407" s="16">
        <f t="shared" si="263"/>
        <v>0</v>
      </c>
      <c r="U407" s="16">
        <f t="shared" si="260"/>
        <v>0</v>
      </c>
      <c r="V407" s="16">
        <f t="shared" si="261"/>
        <v>0</v>
      </c>
      <c r="W407" s="16">
        <f t="shared" si="273"/>
        <v>0</v>
      </c>
      <c r="Z407" s="16">
        <f t="shared" si="242"/>
        <v>0</v>
      </c>
      <c r="AB407" s="16" t="s">
        <v>434</v>
      </c>
      <c r="AC407" s="16" t="s">
        <v>434</v>
      </c>
      <c r="AD407" s="16" t="s">
        <v>432</v>
      </c>
      <c r="AF407" s="21" t="s">
        <v>435</v>
      </c>
      <c r="AG407" s="21" t="s">
        <v>435</v>
      </c>
      <c r="AW407" s="16"/>
    </row>
    <row r="408" spans="1:49">
      <c r="A408" s="2" t="str">
        <f>'Reference Score Calculation'!A399</f>
        <v>JSSV04</v>
      </c>
      <c r="B408" s="2" t="str">
        <f>'Reference Score Calculation'!A399</f>
        <v>JSSV04</v>
      </c>
      <c r="C408" s="21" t="str">
        <f>'Reference Score Calculation'!D399</f>
        <v>廚藝及管理（榮譽）文學士</v>
      </c>
      <c r="D408" s="16">
        <f>'Reference Score Calculation'!T399</f>
        <v>15</v>
      </c>
      <c r="E408" s="16">
        <v>3</v>
      </c>
      <c r="F408" s="16">
        <v>3</v>
      </c>
      <c r="G408" s="16">
        <v>2</v>
      </c>
      <c r="H408" s="16">
        <v>2</v>
      </c>
      <c r="I408" s="16">
        <v>2</v>
      </c>
      <c r="L408" s="92">
        <v>3</v>
      </c>
      <c r="M408" s="92">
        <v>3</v>
      </c>
      <c r="N408" s="92">
        <v>2</v>
      </c>
      <c r="O408" s="92">
        <v>1</v>
      </c>
      <c r="P408" s="92">
        <v>2</v>
      </c>
      <c r="Q408" s="92"/>
      <c r="S408" s="16">
        <f t="shared" si="258"/>
        <v>0</v>
      </c>
      <c r="T408" s="16">
        <f t="shared" si="263"/>
        <v>0</v>
      </c>
      <c r="U408" s="16">
        <f t="shared" si="260"/>
        <v>0</v>
      </c>
      <c r="V408" s="16">
        <f t="shared" si="261"/>
        <v>0</v>
      </c>
      <c r="W408" s="16">
        <f t="shared" si="273"/>
        <v>0</v>
      </c>
      <c r="Z408" s="16">
        <f t="shared" si="242"/>
        <v>0</v>
      </c>
      <c r="AB408" s="16" t="s">
        <v>434</v>
      </c>
      <c r="AC408" s="16" t="s">
        <v>434</v>
      </c>
      <c r="AD408" s="16" t="s">
        <v>432</v>
      </c>
      <c r="AF408" s="21" t="s">
        <v>435</v>
      </c>
      <c r="AG408" s="21" t="s">
        <v>435</v>
      </c>
      <c r="AW408" s="16"/>
    </row>
    <row r="409" spans="1:49">
      <c r="A409" s="2" t="str">
        <f>'Reference Score Calculation'!A400</f>
        <v>JSSV05</v>
      </c>
      <c r="B409" s="2" t="str">
        <f>'Reference Score Calculation'!A400</f>
        <v>JSSV05</v>
      </c>
      <c r="C409" s="21" t="str">
        <f>'Reference Score Calculation'!D400</f>
        <v>土木工程（榮譽）工學士</v>
      </c>
      <c r="D409" s="16">
        <f>'Reference Score Calculation'!T400</f>
        <v>25</v>
      </c>
      <c r="E409" s="16">
        <v>3</v>
      </c>
      <c r="F409" s="16">
        <v>3</v>
      </c>
      <c r="G409" s="16">
        <v>2</v>
      </c>
      <c r="H409" s="16">
        <v>2</v>
      </c>
      <c r="I409" s="16">
        <v>2</v>
      </c>
      <c r="L409" s="92">
        <v>3</v>
      </c>
      <c r="M409" s="92">
        <v>3</v>
      </c>
      <c r="N409" s="92">
        <v>2</v>
      </c>
      <c r="O409" s="92">
        <v>1</v>
      </c>
      <c r="P409" s="92">
        <v>2</v>
      </c>
      <c r="Q409" s="92"/>
      <c r="S409" s="16">
        <f t="shared" si="258"/>
        <v>0</v>
      </c>
      <c r="T409" s="16">
        <f t="shared" si="263"/>
        <v>0</v>
      </c>
      <c r="U409" s="16">
        <f t="shared" si="260"/>
        <v>0</v>
      </c>
      <c r="V409" s="16">
        <f t="shared" si="261"/>
        <v>0</v>
      </c>
      <c r="W409" s="16">
        <f>IF(P409&gt;$AQ$386,0,1)</f>
        <v>0</v>
      </c>
      <c r="Z409" s="16">
        <f t="shared" si="242"/>
        <v>0</v>
      </c>
      <c r="AB409" s="16" t="s">
        <v>432</v>
      </c>
      <c r="AC409" s="16" t="s">
        <v>434</v>
      </c>
      <c r="AD409" s="16" t="s">
        <v>432</v>
      </c>
      <c r="AF409" s="21" t="s">
        <v>687</v>
      </c>
      <c r="AG409" s="21" t="s">
        <v>356</v>
      </c>
      <c r="AW409" s="16"/>
    </row>
    <row r="410" spans="1:49">
      <c r="A410" s="2" t="str">
        <f>'Reference Score Calculation'!A401</f>
        <v>JSSV07</v>
      </c>
      <c r="B410" s="2" t="str">
        <f>'Reference Score Calculation'!A401</f>
        <v>JSSV07</v>
      </c>
      <c r="C410" s="21" t="str">
        <f>'Reference Score Calculation'!D401</f>
        <v>園藝樹藝及園境管理（榮譽）理學士</v>
      </c>
      <c r="D410" s="16">
        <f>'Reference Score Calculation'!T401</f>
        <v>15</v>
      </c>
      <c r="E410" s="16">
        <v>3</v>
      </c>
      <c r="F410" s="16">
        <v>3</v>
      </c>
      <c r="G410" s="16">
        <v>2</v>
      </c>
      <c r="H410" s="16">
        <v>2</v>
      </c>
      <c r="I410" s="16">
        <v>2</v>
      </c>
      <c r="L410" s="92">
        <v>3</v>
      </c>
      <c r="M410" s="92">
        <v>3</v>
      </c>
      <c r="N410" s="92">
        <v>2</v>
      </c>
      <c r="O410" s="92">
        <v>1</v>
      </c>
      <c r="P410" s="92">
        <v>2</v>
      </c>
      <c r="Q410" s="92"/>
      <c r="S410" s="16">
        <f t="shared" si="258"/>
        <v>0</v>
      </c>
      <c r="T410" s="16">
        <f t="shared" si="263"/>
        <v>0</v>
      </c>
      <c r="U410" s="16">
        <f t="shared" si="260"/>
        <v>0</v>
      </c>
      <c r="V410" s="16">
        <f t="shared" si="261"/>
        <v>0</v>
      </c>
      <c r="W410" s="16">
        <f>IF(P410&gt;LARGE($Q$3:$T$3,1),0,1)</f>
        <v>0</v>
      </c>
      <c r="Z410" s="16">
        <f t="shared" si="242"/>
        <v>0</v>
      </c>
      <c r="AB410" s="16" t="s">
        <v>434</v>
      </c>
      <c r="AC410" s="16" t="s">
        <v>434</v>
      </c>
      <c r="AD410" s="16" t="s">
        <v>432</v>
      </c>
      <c r="AF410" s="21" t="s">
        <v>435</v>
      </c>
      <c r="AG410" s="21" t="s">
        <v>435</v>
      </c>
      <c r="AW410" s="16"/>
    </row>
    <row r="411" spans="1:49">
      <c r="A411" s="2" t="str">
        <f>'Reference Score Calculation'!A402</f>
        <v>JSSV08</v>
      </c>
      <c r="B411" s="2" t="str">
        <f>'Reference Score Calculation'!A402</f>
        <v>JSSV08</v>
      </c>
      <c r="C411" s="21" t="str">
        <f>'Reference Score Calculation'!D402</f>
        <v>測量學（榮譽）理學士</v>
      </c>
      <c r="D411" s="16">
        <f>'Reference Score Calculation'!T402</f>
        <v>15</v>
      </c>
      <c r="E411" s="16">
        <v>3</v>
      </c>
      <c r="F411" s="16">
        <v>3</v>
      </c>
      <c r="G411" s="16">
        <v>2</v>
      </c>
      <c r="H411" s="16">
        <v>2</v>
      </c>
      <c r="I411" s="16">
        <v>2</v>
      </c>
      <c r="L411" s="92">
        <v>3</v>
      </c>
      <c r="M411" s="92">
        <v>3</v>
      </c>
      <c r="N411" s="92">
        <v>2</v>
      </c>
      <c r="O411" s="92">
        <v>1</v>
      </c>
      <c r="P411" s="92">
        <v>2</v>
      </c>
      <c r="Q411" s="92"/>
      <c r="S411" s="16">
        <f t="shared" si="258"/>
        <v>0</v>
      </c>
      <c r="T411" s="16">
        <f t="shared" si="263"/>
        <v>0</v>
      </c>
      <c r="U411" s="16">
        <f t="shared" si="260"/>
        <v>0</v>
      </c>
      <c r="V411" s="16">
        <f t="shared" si="261"/>
        <v>0</v>
      </c>
      <c r="W411" s="16">
        <f t="shared" si="273"/>
        <v>0</v>
      </c>
      <c r="Z411" s="16">
        <f t="shared" si="242"/>
        <v>0</v>
      </c>
      <c r="AB411" s="16" t="s">
        <v>434</v>
      </c>
      <c r="AC411" s="16" t="s">
        <v>434</v>
      </c>
      <c r="AD411" s="16" t="s">
        <v>432</v>
      </c>
      <c r="AF411" s="21" t="s">
        <v>435</v>
      </c>
      <c r="AG411" s="21" t="s">
        <v>435</v>
      </c>
      <c r="AW411" s="16"/>
    </row>
    <row r="412" spans="1:49">
      <c r="A412" s="2" t="str">
        <f>'Reference Score Calculation'!A403</f>
        <v>JSSV09</v>
      </c>
      <c r="B412" s="2" t="str">
        <f>'Reference Score Calculation'!A403</f>
        <v>JSSV09</v>
      </c>
      <c r="C412" s="21" t="str">
        <f>'Reference Score Calculation'!D403</f>
        <v>運動及康樂管理（榮譽）社會科學學士</v>
      </c>
      <c r="D412" s="16">
        <f>'Reference Score Calculation'!T403</f>
        <v>25</v>
      </c>
      <c r="E412" s="16">
        <v>3</v>
      </c>
      <c r="F412" s="16">
        <v>3</v>
      </c>
      <c r="G412" s="16">
        <v>2</v>
      </c>
      <c r="H412" s="16">
        <v>2</v>
      </c>
      <c r="I412" s="16">
        <v>2</v>
      </c>
      <c r="L412" s="92">
        <v>3</v>
      </c>
      <c r="M412" s="92">
        <v>3</v>
      </c>
      <c r="N412" s="92">
        <v>2</v>
      </c>
      <c r="O412" s="92">
        <v>1</v>
      </c>
      <c r="P412" s="92">
        <v>2</v>
      </c>
      <c r="Q412" s="92"/>
      <c r="S412" s="16">
        <f t="shared" si="258"/>
        <v>0</v>
      </c>
      <c r="T412" s="16">
        <f t="shared" si="263"/>
        <v>0</v>
      </c>
      <c r="U412" s="16">
        <f t="shared" si="260"/>
        <v>0</v>
      </c>
      <c r="V412" s="16">
        <f t="shared" si="261"/>
        <v>0</v>
      </c>
      <c r="W412" s="16">
        <f t="shared" si="273"/>
        <v>0</v>
      </c>
      <c r="Z412" s="16">
        <f t="shared" si="242"/>
        <v>0</v>
      </c>
      <c r="AB412" s="16" t="s">
        <v>434</v>
      </c>
      <c r="AC412" s="16" t="s">
        <v>434</v>
      </c>
      <c r="AD412" s="16" t="s">
        <v>432</v>
      </c>
      <c r="AF412" s="21" t="s">
        <v>435</v>
      </c>
      <c r="AG412" s="21" t="s">
        <v>435</v>
      </c>
    </row>
    <row r="413" spans="1:49">
      <c r="A413" s="2" t="str">
        <f>'Reference Score Calculation'!A404</f>
        <v>JSSV10</v>
      </c>
      <c r="B413" s="2" t="str">
        <f>'Reference Score Calculation'!A404</f>
        <v>JSSV10</v>
      </c>
      <c r="C413" s="21" t="str">
        <f>'Reference Score Calculation'!D404</f>
        <v>屋宇設備工程（榮譽）工學士</v>
      </c>
      <c r="D413" s="16">
        <f>'Reference Score Calculation'!T404</f>
        <v>10</v>
      </c>
      <c r="E413" s="16">
        <v>3</v>
      </c>
      <c r="F413" s="16">
        <v>3</v>
      </c>
      <c r="G413" s="16">
        <v>2</v>
      </c>
      <c r="H413" s="16">
        <v>2</v>
      </c>
      <c r="I413" s="16">
        <v>2</v>
      </c>
      <c r="L413" s="92">
        <v>3</v>
      </c>
      <c r="M413" s="92">
        <v>3</v>
      </c>
      <c r="N413" s="92">
        <v>2</v>
      </c>
      <c r="O413" s="92">
        <v>1</v>
      </c>
      <c r="P413" s="92">
        <v>2</v>
      </c>
      <c r="Q413" s="92"/>
      <c r="S413" s="16">
        <f t="shared" si="258"/>
        <v>0</v>
      </c>
      <c r="T413" s="16">
        <f t="shared" si="263"/>
        <v>0</v>
      </c>
      <c r="U413" s="16">
        <f t="shared" si="260"/>
        <v>0</v>
      </c>
      <c r="V413" s="16">
        <f t="shared" si="261"/>
        <v>0</v>
      </c>
      <c r="W413" s="16">
        <f>IF(P413&gt;$AQ$386,0,1)</f>
        <v>0</v>
      </c>
      <c r="Z413" s="16">
        <f t="shared" si="242"/>
        <v>0</v>
      </c>
      <c r="AB413" s="16" t="s">
        <v>432</v>
      </c>
      <c r="AC413" s="16" t="s">
        <v>434</v>
      </c>
      <c r="AD413" s="16" t="s">
        <v>432</v>
      </c>
      <c r="AF413" s="21" t="s">
        <v>687</v>
      </c>
      <c r="AG413" s="21" t="s">
        <v>356</v>
      </c>
    </row>
    <row r="414" spans="1:49">
      <c r="A414" s="2" t="str">
        <f>'Reference Score Calculation'!A405</f>
        <v>JSSW01</v>
      </c>
      <c r="B414" s="2" t="str">
        <f>'Reference Score Calculation'!A405</f>
        <v>JSSW01</v>
      </c>
      <c r="C414" s="21" t="str">
        <f>'Reference Score Calculation'!D405</f>
        <v>營運及管理（榮譽）航空學士</v>
      </c>
      <c r="D414" s="16">
        <f>'Reference Score Calculation'!T405</f>
        <v>15</v>
      </c>
      <c r="E414" s="16">
        <v>3</v>
      </c>
      <c r="F414" s="16">
        <v>3</v>
      </c>
      <c r="G414" s="16">
        <v>2</v>
      </c>
      <c r="H414" s="16">
        <v>2</v>
      </c>
      <c r="I414" s="16">
        <v>2</v>
      </c>
      <c r="L414" s="92">
        <v>3</v>
      </c>
      <c r="M414" s="92">
        <v>3</v>
      </c>
      <c r="N414" s="92">
        <v>2</v>
      </c>
      <c r="O414" s="92">
        <v>1</v>
      </c>
      <c r="P414" s="92">
        <v>2</v>
      </c>
      <c r="Q414" s="92"/>
      <c r="S414" s="16">
        <f t="shared" si="258"/>
        <v>0</v>
      </c>
      <c r="T414" s="16">
        <f t="shared" si="263"/>
        <v>0</v>
      </c>
      <c r="U414" s="16">
        <f t="shared" si="260"/>
        <v>0</v>
      </c>
      <c r="V414" s="16">
        <f t="shared" si="261"/>
        <v>0</v>
      </c>
      <c r="W414" s="16">
        <f>IF(P414&gt;LARGE($Q$3:$T$3,1),0,1)</f>
        <v>0</v>
      </c>
      <c r="Z414" s="16">
        <f t="shared" si="242"/>
        <v>0</v>
      </c>
      <c r="AB414" s="16" t="s">
        <v>434</v>
      </c>
      <c r="AC414" s="16" t="s">
        <v>434</v>
      </c>
      <c r="AD414" s="16" t="s">
        <v>434</v>
      </c>
      <c r="AF414" s="21" t="s">
        <v>435</v>
      </c>
      <c r="AG414" s="21" t="s">
        <v>435</v>
      </c>
    </row>
    <row r="415" spans="1:49">
      <c r="A415" s="2" t="str">
        <f>'Reference Score Calculation'!A406</f>
        <v>JSSW02</v>
      </c>
      <c r="B415" s="2" t="str">
        <f>'Reference Score Calculation'!A406</f>
        <v>JSSW02</v>
      </c>
      <c r="C415" s="21" t="str">
        <f>'Reference Score Calculation'!D406</f>
        <v>航運服務及營運管理學士（榮譽）</v>
      </c>
      <c r="D415" s="16">
        <f>'Reference Score Calculation'!T406</f>
        <v>10</v>
      </c>
      <c r="L415" s="92">
        <v>3</v>
      </c>
      <c r="M415" s="92">
        <v>3</v>
      </c>
      <c r="N415" s="92">
        <v>2</v>
      </c>
      <c r="O415" s="92">
        <v>1</v>
      </c>
      <c r="P415" s="92">
        <v>2</v>
      </c>
      <c r="Q415" s="92"/>
      <c r="S415" s="16">
        <f t="shared" si="258"/>
        <v>0</v>
      </c>
      <c r="T415" s="16">
        <f t="shared" si="263"/>
        <v>0</v>
      </c>
      <c r="U415" s="16">
        <f t="shared" si="260"/>
        <v>0</v>
      </c>
      <c r="V415" s="16">
        <f t="shared" si="261"/>
        <v>0</v>
      </c>
      <c r="W415" s="16">
        <f>IF(P415&gt;LARGE($Q$3:$T$3,1),0,1)</f>
        <v>0</v>
      </c>
      <c r="Z415" s="16">
        <f t="shared" ref="Z415" si="274">S415*T415*U415*V415*W415</f>
        <v>0</v>
      </c>
      <c r="AB415" s="16" t="s">
        <v>434</v>
      </c>
      <c r="AC415" s="16" t="s">
        <v>434</v>
      </c>
      <c r="AD415" s="16" t="s">
        <v>434</v>
      </c>
      <c r="AF415" s="21" t="s">
        <v>435</v>
      </c>
      <c r="AG415" s="21" t="s">
        <v>435</v>
      </c>
    </row>
    <row r="416" spans="1:49">
      <c r="A416" s="2" t="str">
        <f>'Reference Score Calculation'!A407</f>
        <v>JSSY01</v>
      </c>
      <c r="B416" s="2" t="str">
        <f>'Reference Score Calculation'!A407</f>
        <v>JSSY01</v>
      </c>
      <c r="C416" s="21" t="str">
        <f>'Reference Score Calculation'!D407</f>
        <v>金融科技（榮譽）商學士</v>
      </c>
      <c r="D416" s="16">
        <f>'Reference Score Calculation'!T407</f>
        <v>30</v>
      </c>
      <c r="E416" s="16">
        <v>3</v>
      </c>
      <c r="F416" s="16">
        <v>3</v>
      </c>
      <c r="G416" s="16">
        <v>2</v>
      </c>
      <c r="H416" s="16">
        <v>2</v>
      </c>
      <c r="I416" s="16">
        <v>2</v>
      </c>
      <c r="L416" s="92">
        <v>3</v>
      </c>
      <c r="M416" s="92">
        <v>3</v>
      </c>
      <c r="N416" s="92">
        <v>2</v>
      </c>
      <c r="O416" s="92">
        <v>1</v>
      </c>
      <c r="P416" s="92">
        <v>2</v>
      </c>
      <c r="Q416" s="92"/>
      <c r="S416" s="16">
        <f t="shared" si="258"/>
        <v>0</v>
      </c>
      <c r="T416" s="16">
        <f t="shared" si="263"/>
        <v>0</v>
      </c>
      <c r="U416" s="16">
        <f>IF(N416&gt;N$3,0,IF(N$3&lt;3,2,1))</f>
        <v>0</v>
      </c>
      <c r="V416" s="16">
        <f>IF(O416&gt;O$3,0,1)</f>
        <v>0</v>
      </c>
      <c r="W416" s="16">
        <f>IF(P416&gt;LARGE($Q$3:$U$3,1),0,IF(AQ390&lt;3,2,1))</f>
        <v>0</v>
      </c>
      <c r="Z416" s="16">
        <f>IF(S416*T416*U416*V416*W416&gt;2, 2,S416*T416*U416*V416*W416)</f>
        <v>0</v>
      </c>
      <c r="AB416" s="16" t="s">
        <v>434</v>
      </c>
      <c r="AC416" s="16" t="s">
        <v>464</v>
      </c>
      <c r="AD416" s="16" t="s">
        <v>463</v>
      </c>
      <c r="AF416" s="21" t="s">
        <v>688</v>
      </c>
      <c r="AG416" s="21" t="s">
        <v>356</v>
      </c>
    </row>
  </sheetData>
  <phoneticPr fontId="3" type="noConversion"/>
  <conditionalFormatting sqref="E22:J190 E192:J383 E385:J387 E389:J397 E399:J414 E416:J504">
    <cfRule type="expression" dxfId="18" priority="4" stopIfTrue="1">
      <formula>E22&lt;&gt;L22</formula>
    </cfRule>
    <cfRule type="expression" dxfId="17" priority="21688">
      <formula>E22=L22</formula>
    </cfRule>
  </conditionalFormatting>
  <conditionalFormatting sqref="L22:Q77 L78:N78 P78:Q78 L79:Q100 L101:N101 P101:Q101 L102:Q306 L307:P307 L308:Q319 L320:P320 L321:Q335 L336:P362 Q337:Q362 L363:Q416">
    <cfRule type="expression" dxfId="16" priority="219">
      <formula>S22=0</formula>
    </cfRule>
    <cfRule type="expression" dxfId="15" priority="220">
      <formula>S22=2</formula>
    </cfRule>
    <cfRule type="expression" dxfId="14" priority="221">
      <formula>S22=1</formula>
    </cfRule>
  </conditionalFormatting>
  <conditionalFormatting sqref="S307:W307">
    <cfRule type="expression" dxfId="13" priority="1">
      <formula>Z307=0</formula>
    </cfRule>
    <cfRule type="expression" dxfId="12" priority="2">
      <formula>Z307=2</formula>
    </cfRule>
    <cfRule type="expression" dxfId="11" priority="3">
      <formula>Z307=1</formula>
    </cfRule>
  </conditionalFormatting>
  <conditionalFormatting sqref="S22:X77 Z22:Z416 S78:U78 W78:X78 S79:X100 S101:U101 W101:X101 S102:X306 S308:X319 S320:W320 S321:X416">
    <cfRule type="cellIs" dxfId="10" priority="9" operator="equal">
      <formula>0</formula>
    </cfRule>
    <cfRule type="cellIs" dxfId="9" priority="10" operator="equal">
      <formula>2</formula>
    </cfRule>
    <cfRule type="cellIs" dxfId="8" priority="11" operator="equal">
      <formula>1</formula>
    </cfRule>
  </conditionalFormatting>
  <pageMargins left="0.7" right="0.7" top="0.75" bottom="0.75" header="0.3" footer="0.3"/>
  <pageSetup paperSize="9" orientation="portrait" horizontalDpi="1200" verticalDpi="1200"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工作表17"/>
  <dimension ref="A1:FW394"/>
  <sheetViews>
    <sheetView workbookViewId="0"/>
    <sheetView workbookViewId="1"/>
  </sheetViews>
  <sheetFormatPr defaultColWidth="6.69921875" defaultRowHeight="13.8"/>
  <cols>
    <col min="1" max="1" width="6.69921875" style="16"/>
    <col min="2" max="2" width="6.69921875" style="65"/>
    <col min="3" max="3" width="9" style="65" customWidth="1"/>
    <col min="4" max="10" width="6.69921875" style="65"/>
    <col min="11" max="11" width="9.3984375" style="65" customWidth="1"/>
    <col min="12" max="17" width="6.69921875" style="65"/>
    <col min="18" max="18" width="6.69921875" style="15"/>
    <col min="19" max="19" width="7" style="15" bestFit="1" customWidth="1"/>
    <col min="20" max="35" width="6.69921875" style="16"/>
    <col min="36" max="36" width="12.8984375" style="16" customWidth="1"/>
    <col min="37" max="69" width="6.69921875" style="16"/>
    <col min="70" max="70" width="10.19921875" style="16" customWidth="1"/>
    <col min="71" max="106" width="6.69921875" style="16"/>
    <col min="107" max="107" width="7" style="16" bestFit="1" customWidth="1"/>
    <col min="108" max="123" width="6.69921875" style="16"/>
    <col min="124" max="124" width="8.19921875" style="16" bestFit="1" customWidth="1"/>
    <col min="125" max="133" width="6.69921875" style="16"/>
    <col min="134" max="134" width="6.69921875" style="16" customWidth="1"/>
    <col min="135" max="178" width="6.69921875" style="16"/>
    <col min="179" max="179" width="6.69921875" style="21"/>
    <col min="180" max="16384" width="6.69921875" style="16"/>
  </cols>
  <sheetData>
    <row r="1" spans="2:179" s="363" customFormat="1">
      <c r="B1" s="362" t="s">
        <v>249</v>
      </c>
      <c r="C1" s="362" t="s">
        <v>2784</v>
      </c>
      <c r="D1" s="362" t="s">
        <v>2787</v>
      </c>
      <c r="E1" s="362" t="s">
        <v>2788</v>
      </c>
      <c r="F1" s="362" t="s">
        <v>2789</v>
      </c>
      <c r="G1" s="362" t="s">
        <v>2790</v>
      </c>
      <c r="H1" s="362" t="s">
        <v>2791</v>
      </c>
      <c r="I1" s="362" t="s">
        <v>2422</v>
      </c>
      <c r="J1" s="362"/>
      <c r="K1" s="362" t="s">
        <v>2785</v>
      </c>
      <c r="L1" s="362" t="s">
        <v>2786</v>
      </c>
      <c r="M1" s="362" t="s">
        <v>2418</v>
      </c>
      <c r="N1" s="362" t="s">
        <v>2419</v>
      </c>
      <c r="O1" s="362" t="s">
        <v>2420</v>
      </c>
      <c r="P1" s="362" t="s">
        <v>2421</v>
      </c>
      <c r="Q1" s="362" t="s">
        <v>2423</v>
      </c>
      <c r="R1" s="362"/>
      <c r="T1" s="363" t="s">
        <v>318</v>
      </c>
      <c r="U1" s="363" t="s">
        <v>2424</v>
      </c>
      <c r="V1" s="363" t="s">
        <v>126</v>
      </c>
      <c r="W1" s="363" t="s">
        <v>127</v>
      </c>
      <c r="X1" s="363" t="s">
        <v>128</v>
      </c>
      <c r="Y1" s="363" t="s">
        <v>129</v>
      </c>
      <c r="Z1" s="363" t="s">
        <v>130</v>
      </c>
      <c r="AA1" s="363" t="s">
        <v>141</v>
      </c>
      <c r="AC1" s="363" t="s">
        <v>2424</v>
      </c>
      <c r="AD1" s="363" t="s">
        <v>126</v>
      </c>
      <c r="AE1" s="363" t="s">
        <v>127</v>
      </c>
      <c r="AF1" s="363" t="s">
        <v>128</v>
      </c>
      <c r="AG1" s="363" t="s">
        <v>129</v>
      </c>
      <c r="AH1" s="363" t="s">
        <v>130</v>
      </c>
      <c r="AI1" s="363" t="s">
        <v>141</v>
      </c>
      <c r="AK1" s="363" t="s">
        <v>253</v>
      </c>
      <c r="AL1" s="363" t="s">
        <v>2424</v>
      </c>
      <c r="AM1" s="363" t="s">
        <v>126</v>
      </c>
      <c r="AN1" s="363" t="s">
        <v>127</v>
      </c>
      <c r="AO1" s="363" t="s">
        <v>128</v>
      </c>
      <c r="AP1" s="363" t="s">
        <v>129</v>
      </c>
      <c r="AQ1" s="363" t="s">
        <v>130</v>
      </c>
      <c r="AR1" s="363" t="s">
        <v>141</v>
      </c>
      <c r="AT1" s="363" t="s">
        <v>2424</v>
      </c>
      <c r="AU1" s="363" t="s">
        <v>126</v>
      </c>
      <c r="AV1" s="363" t="s">
        <v>127</v>
      </c>
      <c r="AW1" s="363" t="s">
        <v>128</v>
      </c>
      <c r="AX1" s="363" t="s">
        <v>129</v>
      </c>
      <c r="AY1" s="363" t="s">
        <v>130</v>
      </c>
      <c r="AZ1" s="363" t="s">
        <v>141</v>
      </c>
      <c r="BB1" s="363" t="s">
        <v>255</v>
      </c>
      <c r="BC1" s="363" t="s">
        <v>2424</v>
      </c>
      <c r="BD1" s="363" t="s">
        <v>126</v>
      </c>
      <c r="BE1" s="363" t="s">
        <v>127</v>
      </c>
      <c r="BF1" s="363" t="s">
        <v>128</v>
      </c>
      <c r="BG1" s="363" t="s">
        <v>129</v>
      </c>
      <c r="BH1" s="363" t="s">
        <v>130</v>
      </c>
      <c r="BI1" s="363" t="s">
        <v>141</v>
      </c>
      <c r="BK1" s="363" t="s">
        <v>2424</v>
      </c>
      <c r="BL1" s="363" t="s">
        <v>126</v>
      </c>
      <c r="BM1" s="363" t="s">
        <v>127</v>
      </c>
      <c r="BN1" s="363" t="s">
        <v>128</v>
      </c>
      <c r="BO1" s="363" t="s">
        <v>129</v>
      </c>
      <c r="BP1" s="363" t="s">
        <v>130</v>
      </c>
      <c r="BQ1" s="363" t="s">
        <v>141</v>
      </c>
      <c r="BS1" s="363" t="s">
        <v>369</v>
      </c>
      <c r="BT1" s="363" t="s">
        <v>2424</v>
      </c>
      <c r="BU1" s="363" t="s">
        <v>126</v>
      </c>
      <c r="BV1" s="363" t="s">
        <v>127</v>
      </c>
      <c r="BW1" s="363" t="s">
        <v>128</v>
      </c>
      <c r="BX1" s="363" t="s">
        <v>129</v>
      </c>
      <c r="BY1" s="363" t="s">
        <v>130</v>
      </c>
      <c r="BZ1" s="363" t="s">
        <v>141</v>
      </c>
      <c r="CB1" s="363" t="s">
        <v>2424</v>
      </c>
      <c r="CC1" s="363" t="s">
        <v>126</v>
      </c>
      <c r="CD1" s="363" t="s">
        <v>127</v>
      </c>
      <c r="CE1" s="363" t="s">
        <v>128</v>
      </c>
      <c r="CF1" s="363" t="s">
        <v>129</v>
      </c>
      <c r="CG1" s="363" t="s">
        <v>130</v>
      </c>
      <c r="CH1" s="363" t="s">
        <v>141</v>
      </c>
      <c r="CL1" s="363" t="s">
        <v>259</v>
      </c>
      <c r="CM1" s="363" t="s">
        <v>2424</v>
      </c>
      <c r="CN1" s="363" t="s">
        <v>126</v>
      </c>
      <c r="CO1" s="363" t="s">
        <v>127</v>
      </c>
      <c r="CP1" s="363" t="s">
        <v>128</v>
      </c>
      <c r="CQ1" s="363" t="s">
        <v>129</v>
      </c>
      <c r="CR1" s="363" t="s">
        <v>130</v>
      </c>
      <c r="CS1" s="363" t="s">
        <v>141</v>
      </c>
      <c r="CU1" s="363" t="s">
        <v>2424</v>
      </c>
      <c r="CV1" s="363" t="s">
        <v>126</v>
      </c>
      <c r="CW1" s="363" t="s">
        <v>127</v>
      </c>
      <c r="CX1" s="363" t="s">
        <v>128</v>
      </c>
      <c r="CY1" s="363" t="s">
        <v>129</v>
      </c>
      <c r="CZ1" s="363" t="s">
        <v>130</v>
      </c>
      <c r="DA1" s="363" t="s">
        <v>141</v>
      </c>
      <c r="DD1" s="363" t="s">
        <v>411</v>
      </c>
      <c r="DE1" s="363" t="s">
        <v>2424</v>
      </c>
      <c r="DF1" s="363" t="s">
        <v>126</v>
      </c>
      <c r="DG1" s="363" t="s">
        <v>127</v>
      </c>
      <c r="DH1" s="363" t="s">
        <v>128</v>
      </c>
      <c r="DI1" s="363" t="s">
        <v>129</v>
      </c>
      <c r="DJ1" s="363" t="s">
        <v>130</v>
      </c>
      <c r="DK1" s="363" t="s">
        <v>141</v>
      </c>
      <c r="DM1" s="363" t="s">
        <v>2424</v>
      </c>
      <c r="DN1" s="363" t="s">
        <v>126</v>
      </c>
      <c r="DO1" s="363" t="s">
        <v>127</v>
      </c>
      <c r="DP1" s="363" t="s">
        <v>128</v>
      </c>
      <c r="DQ1" s="363" t="s">
        <v>129</v>
      </c>
      <c r="DR1" s="363" t="s">
        <v>130</v>
      </c>
      <c r="DS1" s="363" t="s">
        <v>141</v>
      </c>
      <c r="DV1" s="363" t="s">
        <v>638</v>
      </c>
      <c r="DW1" s="363" t="s">
        <v>2424</v>
      </c>
      <c r="DX1" s="363" t="s">
        <v>126</v>
      </c>
      <c r="DY1" s="363" t="s">
        <v>127</v>
      </c>
      <c r="DZ1" s="363" t="s">
        <v>128</v>
      </c>
      <c r="EA1" s="363" t="s">
        <v>129</v>
      </c>
      <c r="EB1" s="363" t="s">
        <v>130</v>
      </c>
      <c r="EC1" s="363" t="s">
        <v>141</v>
      </c>
      <c r="EE1" s="363" t="s">
        <v>2424</v>
      </c>
      <c r="EF1" s="363" t="s">
        <v>126</v>
      </c>
      <c r="EG1" s="363" t="s">
        <v>127</v>
      </c>
      <c r="EH1" s="363" t="s">
        <v>128</v>
      </c>
      <c r="EI1" s="363" t="s">
        <v>129</v>
      </c>
      <c r="EJ1" s="363" t="s">
        <v>130</v>
      </c>
      <c r="EK1" s="363" t="s">
        <v>141</v>
      </c>
      <c r="EN1" s="363" t="s">
        <v>2375</v>
      </c>
      <c r="EO1" s="363" t="s">
        <v>2424</v>
      </c>
      <c r="EP1" s="363" t="s">
        <v>126</v>
      </c>
      <c r="EQ1" s="363" t="s">
        <v>127</v>
      </c>
      <c r="ER1" s="363" t="s">
        <v>128</v>
      </c>
      <c r="ES1" s="363" t="s">
        <v>129</v>
      </c>
      <c r="ET1" s="363" t="s">
        <v>130</v>
      </c>
      <c r="EU1" s="363" t="s">
        <v>141</v>
      </c>
      <c r="EW1" s="363" t="s">
        <v>2424</v>
      </c>
      <c r="EX1" s="363" t="s">
        <v>126</v>
      </c>
      <c r="EY1" s="363" t="s">
        <v>127</v>
      </c>
      <c r="EZ1" s="363" t="s">
        <v>128</v>
      </c>
      <c r="FA1" s="363" t="s">
        <v>129</v>
      </c>
      <c r="FB1" s="363" t="s">
        <v>130</v>
      </c>
      <c r="FC1" s="363" t="s">
        <v>141</v>
      </c>
      <c r="FF1" s="363" t="s">
        <v>660</v>
      </c>
      <c r="FG1" s="363" t="s">
        <v>2424</v>
      </c>
      <c r="FH1" s="363" t="s">
        <v>126</v>
      </c>
      <c r="FI1" s="363" t="s">
        <v>127</v>
      </c>
      <c r="FJ1" s="363" t="s">
        <v>128</v>
      </c>
      <c r="FK1" s="363" t="s">
        <v>129</v>
      </c>
      <c r="FL1" s="363" t="s">
        <v>130</v>
      </c>
      <c r="FM1" s="363" t="s">
        <v>141</v>
      </c>
      <c r="FO1" s="363" t="s">
        <v>2424</v>
      </c>
      <c r="FP1" s="363" t="s">
        <v>126</v>
      </c>
      <c r="FQ1" s="363" t="s">
        <v>127</v>
      </c>
      <c r="FR1" s="363" t="s">
        <v>128</v>
      </c>
      <c r="FS1" s="363" t="s">
        <v>129</v>
      </c>
      <c r="FT1" s="363" t="s">
        <v>130</v>
      </c>
      <c r="FU1" s="363" t="s">
        <v>141</v>
      </c>
      <c r="FW1" s="362"/>
    </row>
    <row r="2" spans="2:179">
      <c r="B2" s="65" t="s">
        <v>812</v>
      </c>
      <c r="C2" s="65" t="s">
        <v>2425</v>
      </c>
      <c r="D2" s="65">
        <v>85</v>
      </c>
      <c r="E2" s="65">
        <v>175</v>
      </c>
      <c r="F2" s="65">
        <v>260</v>
      </c>
      <c r="G2" s="65">
        <v>319</v>
      </c>
      <c r="H2" s="65">
        <v>301</v>
      </c>
      <c r="I2" s="65">
        <v>1140</v>
      </c>
      <c r="K2" s="65" t="s">
        <v>2425</v>
      </c>
      <c r="L2" s="65">
        <v>6</v>
      </c>
      <c r="M2" s="65">
        <v>1</v>
      </c>
      <c r="N2" s="65">
        <v>0</v>
      </c>
      <c r="O2" s="65">
        <v>0</v>
      </c>
      <c r="P2" s="65">
        <v>0</v>
      </c>
      <c r="Q2" s="65">
        <v>7</v>
      </c>
      <c r="R2" s="15" t="str" cm="1">
        <f t="array" ref="R2">IFERROR(INDEX('Offer Statistics'!D$2:D$206,MATCH(1,(CityU!$A2='Offer Statistics'!$B$2:$B$206)*(CityU!$AB$2='Offer Statistics'!$C$2:$C$206),0)),"/")</f>
        <v>/</v>
      </c>
      <c r="T2" s="66" t="s">
        <v>1063</v>
      </c>
      <c r="U2" s="66" t="s">
        <v>2426</v>
      </c>
      <c r="V2" s="66">
        <v>1399</v>
      </c>
      <c r="W2" s="66">
        <v>1211</v>
      </c>
      <c r="X2" s="66">
        <v>1429</v>
      </c>
      <c r="Y2" s="66">
        <v>1570</v>
      </c>
      <c r="Z2" s="66">
        <v>945</v>
      </c>
      <c r="AA2" s="66">
        <v>6554</v>
      </c>
      <c r="AB2" s="66"/>
      <c r="AC2" s="66" t="s">
        <v>2426</v>
      </c>
      <c r="AD2" s="66">
        <v>146</v>
      </c>
      <c r="AE2" s="66">
        <v>13</v>
      </c>
      <c r="AF2" s="66">
        <v>1</v>
      </c>
      <c r="AG2" s="66">
        <v>0</v>
      </c>
      <c r="AH2" s="66">
        <v>0</v>
      </c>
      <c r="AI2" s="66">
        <v>160</v>
      </c>
      <c r="AK2" s="67" t="s">
        <v>1255</v>
      </c>
      <c r="AL2" s="67" t="s">
        <v>2426</v>
      </c>
      <c r="AM2" s="67">
        <v>395</v>
      </c>
      <c r="AN2" s="67">
        <v>642</v>
      </c>
      <c r="AO2" s="67">
        <v>945</v>
      </c>
      <c r="AP2" s="67">
        <v>993</v>
      </c>
      <c r="AQ2" s="67">
        <v>740</v>
      </c>
      <c r="AR2" s="67">
        <v>3715</v>
      </c>
      <c r="AS2" s="67"/>
      <c r="AT2" s="67" t="s">
        <v>2426</v>
      </c>
      <c r="AU2" s="67">
        <v>62</v>
      </c>
      <c r="AV2" s="67">
        <v>1</v>
      </c>
      <c r="AW2" s="67">
        <v>0</v>
      </c>
      <c r="AX2" s="67">
        <v>0</v>
      </c>
      <c r="AY2" s="67">
        <v>0</v>
      </c>
      <c r="AZ2" s="67">
        <v>63</v>
      </c>
      <c r="BB2" s="70" t="s">
        <v>1292</v>
      </c>
      <c r="BC2" s="70" t="s">
        <v>2426</v>
      </c>
      <c r="BD2" s="70">
        <v>279</v>
      </c>
      <c r="BE2" s="70">
        <v>280</v>
      </c>
      <c r="BF2" s="70">
        <v>453</v>
      </c>
      <c r="BG2" s="70">
        <v>655</v>
      </c>
      <c r="BH2" s="70">
        <v>626</v>
      </c>
      <c r="BI2" s="70">
        <v>2293</v>
      </c>
      <c r="BJ2" s="70"/>
      <c r="BK2" s="70" t="s">
        <v>2426</v>
      </c>
      <c r="BL2" s="70">
        <v>20</v>
      </c>
      <c r="BM2" s="70">
        <v>0</v>
      </c>
      <c r="BN2" s="70">
        <v>0</v>
      </c>
      <c r="BO2" s="70">
        <v>0</v>
      </c>
      <c r="BP2" s="70">
        <v>0</v>
      </c>
      <c r="BQ2" s="70">
        <v>20</v>
      </c>
      <c r="BS2" s="71" t="s">
        <v>515</v>
      </c>
      <c r="BT2" s="71" t="s">
        <v>2426</v>
      </c>
      <c r="BU2" s="71">
        <v>74</v>
      </c>
      <c r="BV2" s="71">
        <v>52</v>
      </c>
      <c r="BW2" s="71">
        <v>78</v>
      </c>
      <c r="BX2" s="71">
        <v>97</v>
      </c>
      <c r="BY2" s="71">
        <v>114</v>
      </c>
      <c r="BZ2" s="71">
        <v>415</v>
      </c>
      <c r="CA2" s="71"/>
      <c r="CB2" s="71" t="s">
        <v>2426</v>
      </c>
      <c r="CC2" s="71">
        <v>20</v>
      </c>
      <c r="CD2" s="71">
        <v>0</v>
      </c>
      <c r="CE2" s="71">
        <v>0</v>
      </c>
      <c r="CF2" s="71">
        <v>0</v>
      </c>
      <c r="CG2" s="71">
        <v>0</v>
      </c>
      <c r="CH2" s="71">
        <v>20</v>
      </c>
      <c r="CL2" s="57" t="s">
        <v>530</v>
      </c>
      <c r="CM2" s="57" t="s">
        <v>2426</v>
      </c>
      <c r="CN2" s="57">
        <v>166</v>
      </c>
      <c r="CO2" s="57">
        <v>84</v>
      </c>
      <c r="CP2" s="57">
        <v>162</v>
      </c>
      <c r="CQ2" s="57">
        <v>261</v>
      </c>
      <c r="CR2" s="57">
        <v>247</v>
      </c>
      <c r="CS2" s="57">
        <v>920</v>
      </c>
      <c r="CT2" s="57"/>
      <c r="CU2" s="57" t="s">
        <v>2426</v>
      </c>
      <c r="CV2" s="57">
        <v>34</v>
      </c>
      <c r="CW2" s="57">
        <v>0</v>
      </c>
      <c r="CX2" s="57">
        <v>0</v>
      </c>
      <c r="CY2" s="57">
        <v>0</v>
      </c>
      <c r="CZ2" s="57">
        <v>0</v>
      </c>
      <c r="DA2" s="57">
        <v>34</v>
      </c>
      <c r="DD2" s="78" t="s">
        <v>412</v>
      </c>
      <c r="DE2" s="78" t="s">
        <v>2426</v>
      </c>
      <c r="DF2" s="78">
        <v>660</v>
      </c>
      <c r="DG2" s="78">
        <v>738</v>
      </c>
      <c r="DH2" s="78">
        <v>836</v>
      </c>
      <c r="DI2" s="78">
        <v>770</v>
      </c>
      <c r="DJ2" s="78">
        <v>589</v>
      </c>
      <c r="DK2" s="78">
        <v>3593</v>
      </c>
      <c r="DL2" s="78"/>
      <c r="DM2" s="78" t="s">
        <v>2426</v>
      </c>
      <c r="DN2" s="78">
        <v>38</v>
      </c>
      <c r="DO2" s="78">
        <v>8</v>
      </c>
      <c r="DP2" s="78">
        <v>0</v>
      </c>
      <c r="DQ2" s="78">
        <v>0</v>
      </c>
      <c r="DR2" s="78">
        <v>0</v>
      </c>
      <c r="DS2" s="78">
        <v>46</v>
      </c>
      <c r="DV2" s="80" t="s">
        <v>1843</v>
      </c>
      <c r="DW2" s="80" t="s">
        <v>2426</v>
      </c>
      <c r="DX2" s="80">
        <v>581</v>
      </c>
      <c r="DY2" s="80">
        <v>542</v>
      </c>
      <c r="DZ2" s="80">
        <v>610</v>
      </c>
      <c r="EA2" s="80">
        <v>709</v>
      </c>
      <c r="EB2" s="80">
        <v>595</v>
      </c>
      <c r="EC2" s="80">
        <v>3037</v>
      </c>
      <c r="ED2" s="80"/>
      <c r="EE2" s="80" t="s">
        <v>2426</v>
      </c>
      <c r="EF2" s="80">
        <v>42</v>
      </c>
      <c r="EG2" s="80">
        <v>5</v>
      </c>
      <c r="EH2" s="80">
        <v>0</v>
      </c>
      <c r="EI2" s="80">
        <v>0</v>
      </c>
      <c r="EJ2" s="80">
        <v>0</v>
      </c>
      <c r="EK2" s="80">
        <v>47</v>
      </c>
      <c r="EN2" s="57" t="s">
        <v>2376</v>
      </c>
      <c r="EO2" s="57" t="s">
        <v>2426</v>
      </c>
      <c r="EP2" s="57">
        <v>780</v>
      </c>
      <c r="EQ2" s="57">
        <v>1016</v>
      </c>
      <c r="ER2" s="57">
        <v>1333</v>
      </c>
      <c r="ES2" s="57">
        <v>1541</v>
      </c>
      <c r="ET2" s="57">
        <v>1697</v>
      </c>
      <c r="EU2" s="57">
        <v>6367</v>
      </c>
      <c r="EV2" s="57"/>
      <c r="EW2" s="57" t="s">
        <v>2426</v>
      </c>
      <c r="EX2" s="57">
        <v>217</v>
      </c>
      <c r="EY2" s="57">
        <v>108</v>
      </c>
      <c r="EZ2" s="57">
        <v>0</v>
      </c>
      <c r="FA2" s="57">
        <v>0</v>
      </c>
      <c r="FB2" s="57">
        <v>0</v>
      </c>
      <c r="FC2" s="57">
        <v>325</v>
      </c>
      <c r="FF2" s="71" t="s">
        <v>2033</v>
      </c>
      <c r="FG2" s="71" t="s">
        <v>2426</v>
      </c>
      <c r="FH2" s="71">
        <v>1829</v>
      </c>
      <c r="FI2" s="71">
        <v>1294</v>
      </c>
      <c r="FJ2" s="71">
        <v>958</v>
      </c>
      <c r="FK2" s="71">
        <v>894</v>
      </c>
      <c r="FL2" s="71">
        <v>964</v>
      </c>
      <c r="FM2" s="71">
        <v>5939</v>
      </c>
      <c r="FN2" s="71"/>
      <c r="FO2" s="71" t="s">
        <v>2426</v>
      </c>
      <c r="FP2" s="71">
        <v>225</v>
      </c>
      <c r="FQ2" s="71">
        <v>0</v>
      </c>
      <c r="FR2" s="71">
        <v>0</v>
      </c>
      <c r="FS2" s="71">
        <v>0</v>
      </c>
      <c r="FT2" s="71">
        <v>0</v>
      </c>
      <c r="FU2" s="71">
        <v>225</v>
      </c>
    </row>
    <row r="3" spans="2:179">
      <c r="B3" s="65" t="s">
        <v>821</v>
      </c>
      <c r="C3" s="65" t="s">
        <v>2425</v>
      </c>
      <c r="D3" s="65">
        <v>177</v>
      </c>
      <c r="E3" s="65">
        <v>377</v>
      </c>
      <c r="F3" s="65">
        <v>531</v>
      </c>
      <c r="G3" s="65">
        <v>727</v>
      </c>
      <c r="H3" s="65">
        <v>589</v>
      </c>
      <c r="I3" s="65">
        <v>2401</v>
      </c>
      <c r="K3" s="65" t="s">
        <v>2425</v>
      </c>
      <c r="L3" s="65">
        <v>12</v>
      </c>
      <c r="M3" s="65">
        <v>0</v>
      </c>
      <c r="N3" s="65">
        <v>0</v>
      </c>
      <c r="O3" s="65">
        <v>1</v>
      </c>
      <c r="P3" s="65">
        <v>0</v>
      </c>
      <c r="Q3" s="65">
        <v>13</v>
      </c>
      <c r="T3" s="66" t="s">
        <v>2184</v>
      </c>
      <c r="U3" s="66" t="s">
        <v>2426</v>
      </c>
      <c r="V3" s="66" t="s">
        <v>356</v>
      </c>
      <c r="W3" s="66" t="s">
        <v>356</v>
      </c>
      <c r="X3" s="66" t="s">
        <v>356</v>
      </c>
      <c r="Y3" s="66" t="s">
        <v>356</v>
      </c>
      <c r="Z3" s="66" t="s">
        <v>356</v>
      </c>
      <c r="AA3" s="66" t="s">
        <v>356</v>
      </c>
      <c r="AB3" s="66"/>
      <c r="AC3" s="66" t="s">
        <v>2426</v>
      </c>
      <c r="AD3" s="66" t="s">
        <v>356</v>
      </c>
      <c r="AE3" s="66" t="s">
        <v>356</v>
      </c>
      <c r="AF3" s="66" t="s">
        <v>356</v>
      </c>
      <c r="AG3" s="66" t="s">
        <v>356</v>
      </c>
      <c r="AH3" s="66" t="s">
        <v>356</v>
      </c>
      <c r="AI3" s="66" t="s">
        <v>356</v>
      </c>
      <c r="AK3" s="67" t="s">
        <v>2221</v>
      </c>
      <c r="AL3" s="67" t="s">
        <v>2426</v>
      </c>
      <c r="AM3" s="67">
        <v>293</v>
      </c>
      <c r="AN3" s="67">
        <v>466</v>
      </c>
      <c r="AO3" s="67">
        <v>896</v>
      </c>
      <c r="AP3" s="67">
        <v>1261</v>
      </c>
      <c r="AQ3" s="67">
        <v>965</v>
      </c>
      <c r="AR3" s="67">
        <v>3881</v>
      </c>
      <c r="AS3" s="67"/>
      <c r="AT3" s="67" t="s">
        <v>2426</v>
      </c>
      <c r="AU3" s="67">
        <v>21</v>
      </c>
      <c r="AV3" s="67">
        <v>1</v>
      </c>
      <c r="AW3" s="67">
        <v>0</v>
      </c>
      <c r="AX3" s="67">
        <v>1</v>
      </c>
      <c r="AY3" s="67">
        <v>0</v>
      </c>
      <c r="AZ3" s="67">
        <v>23</v>
      </c>
      <c r="BB3" s="70" t="s">
        <v>1295</v>
      </c>
      <c r="BC3" s="70" t="s">
        <v>2426</v>
      </c>
      <c r="BD3" s="70">
        <v>403</v>
      </c>
      <c r="BE3" s="70">
        <v>301</v>
      </c>
      <c r="BF3" s="70">
        <v>458</v>
      </c>
      <c r="BG3" s="70">
        <v>605</v>
      </c>
      <c r="BH3" s="70">
        <v>564</v>
      </c>
      <c r="BI3" s="70">
        <v>2331</v>
      </c>
      <c r="BJ3" s="70"/>
      <c r="BK3" s="70" t="s">
        <v>2426</v>
      </c>
      <c r="BL3" s="70">
        <v>93</v>
      </c>
      <c r="BM3" s="70">
        <v>0</v>
      </c>
      <c r="BN3" s="70">
        <v>0</v>
      </c>
      <c r="BO3" s="70">
        <v>0</v>
      </c>
      <c r="BP3" s="70">
        <v>0</v>
      </c>
      <c r="BQ3" s="70">
        <v>93</v>
      </c>
      <c r="BS3" s="71" t="s">
        <v>516</v>
      </c>
      <c r="BT3" s="71" t="s">
        <v>2426</v>
      </c>
      <c r="BU3" s="71" t="s">
        <v>356</v>
      </c>
      <c r="BV3" s="71" t="s">
        <v>356</v>
      </c>
      <c r="BW3" s="71" t="s">
        <v>356</v>
      </c>
      <c r="BX3" s="71" t="s">
        <v>356</v>
      </c>
      <c r="BY3" s="71" t="s">
        <v>356</v>
      </c>
      <c r="BZ3" s="71" t="s">
        <v>356</v>
      </c>
      <c r="CA3" s="71"/>
      <c r="CB3" s="71" t="s">
        <v>2426</v>
      </c>
      <c r="CC3" s="71" t="s">
        <v>356</v>
      </c>
      <c r="CD3" s="71" t="s">
        <v>356</v>
      </c>
      <c r="CE3" s="71" t="s">
        <v>356</v>
      </c>
      <c r="CF3" s="71" t="s">
        <v>356</v>
      </c>
      <c r="CG3" s="71" t="s">
        <v>356</v>
      </c>
      <c r="CH3" s="71" t="s">
        <v>356</v>
      </c>
      <c r="CL3" s="57" t="s">
        <v>532</v>
      </c>
      <c r="CM3" s="57" t="s">
        <v>2426</v>
      </c>
      <c r="CN3" s="57">
        <v>134</v>
      </c>
      <c r="CO3" s="57">
        <v>89</v>
      </c>
      <c r="CP3" s="57">
        <v>192</v>
      </c>
      <c r="CQ3" s="57">
        <v>315</v>
      </c>
      <c r="CR3" s="57">
        <v>300</v>
      </c>
      <c r="CS3" s="57">
        <v>1030</v>
      </c>
      <c r="CT3" s="57"/>
      <c r="CU3" s="57" t="s">
        <v>2426</v>
      </c>
      <c r="CV3" s="57">
        <v>53</v>
      </c>
      <c r="CW3" s="57">
        <v>0</v>
      </c>
      <c r="CX3" s="57">
        <v>0</v>
      </c>
      <c r="CY3" s="57">
        <v>0</v>
      </c>
      <c r="CZ3" s="57">
        <v>0</v>
      </c>
      <c r="DA3" s="57">
        <v>53</v>
      </c>
      <c r="DD3" s="78" t="s">
        <v>1772</v>
      </c>
      <c r="DE3" s="78" t="s">
        <v>2426</v>
      </c>
      <c r="DF3" s="78" t="s">
        <v>356</v>
      </c>
      <c r="DG3" s="78" t="s">
        <v>356</v>
      </c>
      <c r="DH3" s="78" t="s">
        <v>356</v>
      </c>
      <c r="DI3" s="78" t="s">
        <v>356</v>
      </c>
      <c r="DJ3" s="78" t="s">
        <v>356</v>
      </c>
      <c r="DK3" s="78" t="s">
        <v>356</v>
      </c>
      <c r="DL3" s="78"/>
      <c r="DM3" s="78" t="s">
        <v>2426</v>
      </c>
      <c r="DN3" s="78" t="s">
        <v>356</v>
      </c>
      <c r="DO3" s="78" t="s">
        <v>356</v>
      </c>
      <c r="DP3" s="78" t="s">
        <v>356</v>
      </c>
      <c r="DQ3" s="78" t="s">
        <v>356</v>
      </c>
      <c r="DR3" s="78" t="s">
        <v>356</v>
      </c>
      <c r="DS3" s="78" t="s">
        <v>356</v>
      </c>
      <c r="DV3" s="80" t="s">
        <v>1848</v>
      </c>
      <c r="DW3" s="80" t="s">
        <v>2426</v>
      </c>
      <c r="DX3" s="80" t="s">
        <v>356</v>
      </c>
      <c r="DY3" s="80" t="s">
        <v>356</v>
      </c>
      <c r="DZ3" s="80" t="s">
        <v>356</v>
      </c>
      <c r="EA3" s="80" t="s">
        <v>356</v>
      </c>
      <c r="EB3" s="80" t="s">
        <v>356</v>
      </c>
      <c r="EC3" s="80" t="s">
        <v>356</v>
      </c>
      <c r="ED3" s="80"/>
      <c r="EE3" s="80" t="s">
        <v>2426</v>
      </c>
      <c r="EF3" s="80" t="s">
        <v>356</v>
      </c>
      <c r="EG3" s="80" t="s">
        <v>356</v>
      </c>
      <c r="EH3" s="80" t="s">
        <v>356</v>
      </c>
      <c r="EI3" s="80" t="s">
        <v>356</v>
      </c>
      <c r="EJ3" s="80" t="s">
        <v>356</v>
      </c>
      <c r="EK3" s="80" t="s">
        <v>356</v>
      </c>
      <c r="EN3" s="57" t="s">
        <v>2378</v>
      </c>
      <c r="EO3" s="57" t="s">
        <v>2426</v>
      </c>
      <c r="EP3" s="57">
        <v>240</v>
      </c>
      <c r="EQ3" s="57">
        <v>367</v>
      </c>
      <c r="ER3" s="57">
        <v>366</v>
      </c>
      <c r="ES3" s="57">
        <v>510</v>
      </c>
      <c r="ET3" s="57">
        <v>603</v>
      </c>
      <c r="EU3" s="57">
        <v>2086</v>
      </c>
      <c r="EV3" s="57"/>
      <c r="EW3" s="57" t="s">
        <v>2426</v>
      </c>
      <c r="EX3" s="57">
        <v>63</v>
      </c>
      <c r="EY3" s="57">
        <v>39</v>
      </c>
      <c r="EZ3" s="57">
        <v>28</v>
      </c>
      <c r="FA3" s="57">
        <v>26</v>
      </c>
      <c r="FB3" s="57">
        <v>24</v>
      </c>
      <c r="FC3" s="57">
        <v>180</v>
      </c>
      <c r="FF3" s="71" t="s">
        <v>2036</v>
      </c>
      <c r="FG3" s="71" t="s">
        <v>2426</v>
      </c>
      <c r="FH3" s="71">
        <v>159</v>
      </c>
      <c r="FI3" s="71">
        <v>225</v>
      </c>
      <c r="FJ3" s="71">
        <v>338</v>
      </c>
      <c r="FK3" s="71">
        <v>442</v>
      </c>
      <c r="FL3" s="71">
        <v>458</v>
      </c>
      <c r="FM3" s="71">
        <v>1622</v>
      </c>
      <c r="FN3" s="71"/>
      <c r="FO3" s="71" t="s">
        <v>2426</v>
      </c>
      <c r="FP3" s="71">
        <v>19</v>
      </c>
      <c r="FQ3" s="71">
        <v>10</v>
      </c>
      <c r="FR3" s="71">
        <v>2</v>
      </c>
      <c r="FS3" s="71">
        <v>0</v>
      </c>
      <c r="FT3" s="71">
        <v>0</v>
      </c>
      <c r="FU3" s="71">
        <v>31</v>
      </c>
    </row>
    <row r="4" spans="2:179">
      <c r="B4" s="65" t="s">
        <v>825</v>
      </c>
      <c r="C4" s="65" t="s">
        <v>2426</v>
      </c>
      <c r="D4" s="65">
        <v>773</v>
      </c>
      <c r="E4" s="65">
        <v>697</v>
      </c>
      <c r="F4" s="65">
        <v>819</v>
      </c>
      <c r="G4" s="65">
        <v>862</v>
      </c>
      <c r="H4" s="65">
        <v>659</v>
      </c>
      <c r="I4" s="65">
        <v>3810</v>
      </c>
      <c r="K4" s="65" t="s">
        <v>2426</v>
      </c>
      <c r="L4" s="65">
        <v>104</v>
      </c>
      <c r="M4" s="65">
        <v>8</v>
      </c>
      <c r="N4" s="65">
        <v>2</v>
      </c>
      <c r="O4" s="65">
        <v>1</v>
      </c>
      <c r="P4" s="65">
        <v>2</v>
      </c>
      <c r="Q4" s="65">
        <v>117</v>
      </c>
      <c r="T4" s="66" t="s">
        <v>2185</v>
      </c>
      <c r="U4" s="66" t="s">
        <v>2426</v>
      </c>
      <c r="V4" s="66" t="s">
        <v>356</v>
      </c>
      <c r="W4" s="66" t="s">
        <v>356</v>
      </c>
      <c r="X4" s="66" t="s">
        <v>356</v>
      </c>
      <c r="Y4" s="66" t="s">
        <v>356</v>
      </c>
      <c r="Z4" s="66" t="s">
        <v>356</v>
      </c>
      <c r="AA4" s="66" t="s">
        <v>356</v>
      </c>
      <c r="AB4" s="66"/>
      <c r="AC4" s="66" t="s">
        <v>2426</v>
      </c>
      <c r="AD4" s="66" t="s">
        <v>356</v>
      </c>
      <c r="AE4" s="66" t="s">
        <v>356</v>
      </c>
      <c r="AF4" s="66" t="s">
        <v>356</v>
      </c>
      <c r="AG4" s="66" t="s">
        <v>356</v>
      </c>
      <c r="AH4" s="66" t="s">
        <v>356</v>
      </c>
      <c r="AI4" s="66" t="s">
        <v>356</v>
      </c>
      <c r="AK4" s="67" t="s">
        <v>2232</v>
      </c>
      <c r="AL4" s="67" t="s">
        <v>2426</v>
      </c>
      <c r="AM4" s="67">
        <v>117</v>
      </c>
      <c r="AN4" s="67">
        <v>206</v>
      </c>
      <c r="AO4" s="67">
        <v>337</v>
      </c>
      <c r="AP4" s="67">
        <v>539</v>
      </c>
      <c r="AQ4" s="67">
        <v>410</v>
      </c>
      <c r="AR4" s="67">
        <v>1609</v>
      </c>
      <c r="AS4" s="67"/>
      <c r="AT4" s="67" t="s">
        <v>2426</v>
      </c>
      <c r="AU4" s="67">
        <v>15</v>
      </c>
      <c r="AV4" s="67">
        <v>1</v>
      </c>
      <c r="AW4" s="67">
        <v>4</v>
      </c>
      <c r="AX4" s="67">
        <v>1</v>
      </c>
      <c r="AY4" s="67">
        <v>0</v>
      </c>
      <c r="AZ4" s="67">
        <v>21</v>
      </c>
      <c r="BB4" s="70" t="s">
        <v>1299</v>
      </c>
      <c r="BC4" s="70" t="s">
        <v>2426</v>
      </c>
      <c r="BD4" s="70">
        <v>119</v>
      </c>
      <c r="BE4" s="70">
        <v>209</v>
      </c>
      <c r="BF4" s="70">
        <v>441</v>
      </c>
      <c r="BG4" s="70">
        <v>689</v>
      </c>
      <c r="BH4" s="70">
        <v>652</v>
      </c>
      <c r="BI4" s="70">
        <v>2110</v>
      </c>
      <c r="BJ4" s="70"/>
      <c r="BK4" s="70" t="s">
        <v>2426</v>
      </c>
      <c r="BL4" s="70">
        <v>17</v>
      </c>
      <c r="BM4" s="70">
        <v>0</v>
      </c>
      <c r="BN4" s="70">
        <v>0</v>
      </c>
      <c r="BO4" s="70">
        <v>0</v>
      </c>
      <c r="BP4" s="70">
        <v>0</v>
      </c>
      <c r="BQ4" s="70">
        <v>17</v>
      </c>
      <c r="BS4" s="71" t="s">
        <v>517</v>
      </c>
      <c r="BT4" s="71" t="s">
        <v>2426</v>
      </c>
      <c r="BU4" s="71" t="s">
        <v>356</v>
      </c>
      <c r="BV4" s="71" t="s">
        <v>356</v>
      </c>
      <c r="BW4" s="71" t="s">
        <v>356</v>
      </c>
      <c r="BX4" s="71" t="s">
        <v>356</v>
      </c>
      <c r="BY4" s="71" t="s">
        <v>356</v>
      </c>
      <c r="BZ4" s="71" t="s">
        <v>356</v>
      </c>
      <c r="CA4" s="71"/>
      <c r="CB4" s="71" t="s">
        <v>2426</v>
      </c>
      <c r="CC4" s="71" t="s">
        <v>356</v>
      </c>
      <c r="CD4" s="71" t="s">
        <v>356</v>
      </c>
      <c r="CE4" s="71" t="s">
        <v>356</v>
      </c>
      <c r="CF4" s="71" t="s">
        <v>356</v>
      </c>
      <c r="CG4" s="71" t="s">
        <v>356</v>
      </c>
      <c r="CH4" s="71" t="s">
        <v>356</v>
      </c>
      <c r="CL4" s="57" t="s">
        <v>535</v>
      </c>
      <c r="CM4" s="57" t="s">
        <v>2426</v>
      </c>
      <c r="CN4" s="57">
        <v>53</v>
      </c>
      <c r="CO4" s="57">
        <v>61</v>
      </c>
      <c r="CP4" s="57">
        <v>117</v>
      </c>
      <c r="CQ4" s="57">
        <v>198</v>
      </c>
      <c r="CR4" s="57">
        <v>209</v>
      </c>
      <c r="CS4" s="57">
        <v>638</v>
      </c>
      <c r="CT4" s="57"/>
      <c r="CU4" s="57" t="s">
        <v>2426</v>
      </c>
      <c r="CV4" s="57">
        <v>8</v>
      </c>
      <c r="CW4" s="57">
        <v>0</v>
      </c>
      <c r="CX4" s="57">
        <v>0</v>
      </c>
      <c r="CY4" s="57">
        <v>0</v>
      </c>
      <c r="CZ4" s="57">
        <v>0</v>
      </c>
      <c r="DA4" s="57">
        <v>8</v>
      </c>
      <c r="DD4" s="78" t="s">
        <v>1783</v>
      </c>
      <c r="DE4" s="78" t="s">
        <v>2426</v>
      </c>
      <c r="DF4" s="78">
        <v>1930</v>
      </c>
      <c r="DG4" s="78">
        <v>1734</v>
      </c>
      <c r="DH4" s="78">
        <v>1540</v>
      </c>
      <c r="DI4" s="78">
        <v>1716</v>
      </c>
      <c r="DJ4" s="78">
        <v>1491</v>
      </c>
      <c r="DK4" s="78">
        <v>8411</v>
      </c>
      <c r="DL4" s="78"/>
      <c r="DM4" s="78" t="s">
        <v>2426</v>
      </c>
      <c r="DN4" s="78">
        <v>92</v>
      </c>
      <c r="DO4" s="78">
        <v>44</v>
      </c>
      <c r="DP4" s="78">
        <v>19</v>
      </c>
      <c r="DQ4" s="78">
        <v>8</v>
      </c>
      <c r="DR4" s="78">
        <v>6</v>
      </c>
      <c r="DS4" s="78">
        <v>169</v>
      </c>
      <c r="DV4" s="80" t="s">
        <v>1852</v>
      </c>
      <c r="DW4" s="80" t="s">
        <v>2426</v>
      </c>
      <c r="DX4" s="80">
        <v>572</v>
      </c>
      <c r="DY4" s="80">
        <v>799</v>
      </c>
      <c r="DZ4" s="80">
        <v>1052</v>
      </c>
      <c r="EA4" s="80">
        <v>1108</v>
      </c>
      <c r="EB4" s="80">
        <v>855</v>
      </c>
      <c r="EC4" s="80">
        <v>4386</v>
      </c>
      <c r="ED4" s="80"/>
      <c r="EE4" s="80" t="s">
        <v>2426</v>
      </c>
      <c r="EF4" s="80">
        <v>14</v>
      </c>
      <c r="EG4" s="80">
        <v>4</v>
      </c>
      <c r="EH4" s="80">
        <v>0</v>
      </c>
      <c r="EI4" s="80">
        <v>0</v>
      </c>
      <c r="EJ4" s="80">
        <v>0</v>
      </c>
      <c r="EK4" s="80">
        <v>18</v>
      </c>
      <c r="EN4" s="57" t="s">
        <v>2379</v>
      </c>
      <c r="EO4" s="57" t="s">
        <v>2426</v>
      </c>
      <c r="EP4" s="57">
        <v>310</v>
      </c>
      <c r="EQ4" s="57">
        <v>565</v>
      </c>
      <c r="ER4" s="57">
        <v>650</v>
      </c>
      <c r="ES4" s="57">
        <v>857</v>
      </c>
      <c r="ET4" s="57">
        <v>989</v>
      </c>
      <c r="EU4" s="57">
        <v>3371</v>
      </c>
      <c r="EV4" s="57"/>
      <c r="EW4" s="57" t="s">
        <v>2426</v>
      </c>
      <c r="EX4" s="57">
        <v>82</v>
      </c>
      <c r="EY4" s="57">
        <v>61</v>
      </c>
      <c r="EZ4" s="57">
        <v>39</v>
      </c>
      <c r="FA4" s="57">
        <v>44</v>
      </c>
      <c r="FB4" s="57">
        <v>49</v>
      </c>
      <c r="FC4" s="57">
        <v>275</v>
      </c>
      <c r="FF4" s="71" t="s">
        <v>2038</v>
      </c>
      <c r="FG4" s="71" t="s">
        <v>2426</v>
      </c>
      <c r="FH4" s="71" t="s">
        <v>356</v>
      </c>
      <c r="FI4" s="71" t="s">
        <v>356</v>
      </c>
      <c r="FJ4" s="71" t="s">
        <v>356</v>
      </c>
      <c r="FK4" s="71" t="s">
        <v>356</v>
      </c>
      <c r="FL4" s="71" t="s">
        <v>356</v>
      </c>
      <c r="FM4" s="71" t="s">
        <v>356</v>
      </c>
      <c r="FN4" s="71"/>
      <c r="FO4" s="71" t="s">
        <v>2426</v>
      </c>
      <c r="FP4" s="71" t="s">
        <v>356</v>
      </c>
      <c r="FQ4" s="71" t="s">
        <v>356</v>
      </c>
      <c r="FR4" s="71" t="s">
        <v>356</v>
      </c>
      <c r="FS4" s="71" t="s">
        <v>356</v>
      </c>
      <c r="FT4" s="71" t="s">
        <v>356</v>
      </c>
      <c r="FU4" s="71" t="s">
        <v>356</v>
      </c>
    </row>
    <row r="5" spans="2:179">
      <c r="B5" s="65" t="s">
        <v>830</v>
      </c>
      <c r="C5" s="65" t="s">
        <v>2426</v>
      </c>
      <c r="D5" s="65">
        <v>587</v>
      </c>
      <c r="E5" s="65">
        <v>957</v>
      </c>
      <c r="F5" s="65">
        <v>1375</v>
      </c>
      <c r="G5" s="65">
        <v>1648</v>
      </c>
      <c r="H5" s="65">
        <v>1100</v>
      </c>
      <c r="I5" s="65">
        <v>5667</v>
      </c>
      <c r="K5" s="65" t="s">
        <v>2426</v>
      </c>
      <c r="L5" s="65">
        <v>55</v>
      </c>
      <c r="M5" s="65">
        <v>2</v>
      </c>
      <c r="N5" s="65">
        <v>1</v>
      </c>
      <c r="O5" s="65">
        <v>0</v>
      </c>
      <c r="P5" s="65">
        <v>1</v>
      </c>
      <c r="Q5" s="65">
        <v>59</v>
      </c>
      <c r="T5" s="66" t="s">
        <v>2186</v>
      </c>
      <c r="U5" s="66" t="s">
        <v>2426</v>
      </c>
      <c r="V5" s="66" t="s">
        <v>356</v>
      </c>
      <c r="W5" s="66" t="s">
        <v>356</v>
      </c>
      <c r="X5" s="66" t="s">
        <v>356</v>
      </c>
      <c r="Y5" s="66" t="s">
        <v>356</v>
      </c>
      <c r="Z5" s="66" t="s">
        <v>356</v>
      </c>
      <c r="AA5" s="66" t="s">
        <v>356</v>
      </c>
      <c r="AB5" s="66"/>
      <c r="AC5" s="66" t="s">
        <v>2426</v>
      </c>
      <c r="AD5" s="66" t="s">
        <v>356</v>
      </c>
      <c r="AE5" s="66" t="s">
        <v>356</v>
      </c>
      <c r="AF5" s="66" t="s">
        <v>356</v>
      </c>
      <c r="AG5" s="66" t="s">
        <v>356</v>
      </c>
      <c r="AH5" s="66" t="s">
        <v>356</v>
      </c>
      <c r="AI5" s="66" t="s">
        <v>356</v>
      </c>
      <c r="AK5" s="67" t="s">
        <v>2228</v>
      </c>
      <c r="AL5" s="67" t="s">
        <v>2426</v>
      </c>
      <c r="AM5" s="67">
        <v>366</v>
      </c>
      <c r="AN5" s="67">
        <v>523</v>
      </c>
      <c r="AO5" s="67">
        <v>751</v>
      </c>
      <c r="AP5" s="67">
        <v>921</v>
      </c>
      <c r="AQ5" s="67">
        <v>706</v>
      </c>
      <c r="AR5" s="67">
        <v>3267</v>
      </c>
      <c r="AS5" s="67"/>
      <c r="AT5" s="67" t="s">
        <v>2426</v>
      </c>
      <c r="AU5" s="67">
        <v>19</v>
      </c>
      <c r="AV5" s="67">
        <v>3</v>
      </c>
      <c r="AW5" s="67">
        <v>0</v>
      </c>
      <c r="AX5" s="67">
        <v>0</v>
      </c>
      <c r="AY5" s="67">
        <v>1</v>
      </c>
      <c r="AZ5" s="67">
        <v>23</v>
      </c>
      <c r="BB5" s="70" t="s">
        <v>1302</v>
      </c>
      <c r="BC5" s="70" t="s">
        <v>2426</v>
      </c>
      <c r="BD5" s="70">
        <v>546</v>
      </c>
      <c r="BE5" s="70">
        <v>364</v>
      </c>
      <c r="BF5" s="70">
        <v>578</v>
      </c>
      <c r="BG5" s="70">
        <v>610</v>
      </c>
      <c r="BH5" s="70">
        <v>571</v>
      </c>
      <c r="BI5" s="70">
        <v>2669</v>
      </c>
      <c r="BJ5" s="70"/>
      <c r="BK5" s="70" t="s">
        <v>2426</v>
      </c>
      <c r="BL5" s="70">
        <v>23</v>
      </c>
      <c r="BM5" s="70">
        <v>0</v>
      </c>
      <c r="BN5" s="70">
        <v>0</v>
      </c>
      <c r="BO5" s="70">
        <v>0</v>
      </c>
      <c r="BP5" s="70">
        <v>0</v>
      </c>
      <c r="BQ5" s="70">
        <v>23</v>
      </c>
      <c r="BS5" s="71" t="s">
        <v>519</v>
      </c>
      <c r="BT5" s="71" t="s">
        <v>2426</v>
      </c>
      <c r="BU5" s="71" t="s">
        <v>356</v>
      </c>
      <c r="BV5" s="71" t="s">
        <v>356</v>
      </c>
      <c r="BW5" s="71" t="s">
        <v>356</v>
      </c>
      <c r="BX5" s="71" t="s">
        <v>356</v>
      </c>
      <c r="BY5" s="71" t="s">
        <v>356</v>
      </c>
      <c r="BZ5" s="71" t="s">
        <v>356</v>
      </c>
      <c r="CA5" s="71"/>
      <c r="CB5" s="71" t="s">
        <v>2426</v>
      </c>
      <c r="CC5" s="71" t="s">
        <v>356</v>
      </c>
      <c r="CD5" s="71" t="s">
        <v>356</v>
      </c>
      <c r="CE5" s="71" t="s">
        <v>356</v>
      </c>
      <c r="CF5" s="71" t="s">
        <v>356</v>
      </c>
      <c r="CG5" s="71" t="s">
        <v>356</v>
      </c>
      <c r="CH5" s="71" t="s">
        <v>356</v>
      </c>
      <c r="CL5" s="57" t="s">
        <v>538</v>
      </c>
      <c r="CM5" s="57" t="s">
        <v>2426</v>
      </c>
      <c r="CN5" s="57">
        <v>73</v>
      </c>
      <c r="CO5" s="57">
        <v>75</v>
      </c>
      <c r="CP5" s="57">
        <v>162</v>
      </c>
      <c r="CQ5" s="57">
        <v>278</v>
      </c>
      <c r="CR5" s="57">
        <v>263</v>
      </c>
      <c r="CS5" s="57">
        <v>851</v>
      </c>
      <c r="CT5" s="57"/>
      <c r="CU5" s="57" t="s">
        <v>2426</v>
      </c>
      <c r="CV5" s="57">
        <v>19</v>
      </c>
      <c r="CW5" s="57">
        <v>0</v>
      </c>
      <c r="CX5" s="57">
        <v>0</v>
      </c>
      <c r="CY5" s="57">
        <v>0</v>
      </c>
      <c r="CZ5" s="57">
        <v>0</v>
      </c>
      <c r="DA5" s="57">
        <v>19</v>
      </c>
      <c r="DD5" s="78" t="s">
        <v>1786</v>
      </c>
      <c r="DE5" s="78" t="s">
        <v>2426</v>
      </c>
      <c r="DF5" s="78">
        <v>603</v>
      </c>
      <c r="DG5" s="78">
        <v>839</v>
      </c>
      <c r="DH5" s="78">
        <v>1037</v>
      </c>
      <c r="DI5" s="78">
        <v>1150</v>
      </c>
      <c r="DJ5" s="78">
        <v>994</v>
      </c>
      <c r="DK5" s="78">
        <v>4623</v>
      </c>
      <c r="DL5" s="78"/>
      <c r="DM5" s="78" t="s">
        <v>2426</v>
      </c>
      <c r="DN5" s="78">
        <v>29</v>
      </c>
      <c r="DO5" s="78">
        <v>14</v>
      </c>
      <c r="DP5" s="78">
        <v>2</v>
      </c>
      <c r="DQ5" s="78">
        <v>1</v>
      </c>
      <c r="DR5" s="78">
        <v>0</v>
      </c>
      <c r="DS5" s="78">
        <v>46</v>
      </c>
      <c r="DV5" s="80" t="s">
        <v>1856</v>
      </c>
      <c r="DW5" s="80" t="s">
        <v>2426</v>
      </c>
      <c r="DX5" s="80">
        <v>241</v>
      </c>
      <c r="DY5" s="80">
        <v>334</v>
      </c>
      <c r="DZ5" s="80">
        <v>459</v>
      </c>
      <c r="EA5" s="80">
        <v>620</v>
      </c>
      <c r="EB5" s="80">
        <v>538</v>
      </c>
      <c r="EC5" s="80">
        <v>2192</v>
      </c>
      <c r="ED5" s="80"/>
      <c r="EE5" s="80" t="s">
        <v>2426</v>
      </c>
      <c r="EF5" s="80">
        <v>8</v>
      </c>
      <c r="EG5" s="80">
        <v>0</v>
      </c>
      <c r="EH5" s="80">
        <v>0</v>
      </c>
      <c r="EI5" s="80">
        <v>0</v>
      </c>
      <c r="EJ5" s="80">
        <v>0</v>
      </c>
      <c r="EK5" s="80">
        <v>8</v>
      </c>
      <c r="EN5" s="57" t="s">
        <v>2380</v>
      </c>
      <c r="EO5" s="57" t="s">
        <v>2426</v>
      </c>
      <c r="EP5" s="57" t="s">
        <v>356</v>
      </c>
      <c r="EQ5" s="57" t="s">
        <v>356</v>
      </c>
      <c r="ER5" s="57" t="s">
        <v>356</v>
      </c>
      <c r="ES5" s="57" t="s">
        <v>356</v>
      </c>
      <c r="ET5" s="57" t="s">
        <v>356</v>
      </c>
      <c r="EU5" s="57" t="s">
        <v>356</v>
      </c>
      <c r="EV5" s="57"/>
      <c r="EW5" s="57" t="s">
        <v>2426</v>
      </c>
      <c r="EX5" s="57" t="s">
        <v>356</v>
      </c>
      <c r="EY5" s="57" t="s">
        <v>356</v>
      </c>
      <c r="EZ5" s="57" t="s">
        <v>356</v>
      </c>
      <c r="FA5" s="57" t="s">
        <v>356</v>
      </c>
      <c r="FB5" s="57" t="s">
        <v>356</v>
      </c>
      <c r="FC5" s="57" t="s">
        <v>356</v>
      </c>
      <c r="FF5" s="71" t="s">
        <v>2041</v>
      </c>
      <c r="FG5" s="71" t="s">
        <v>2426</v>
      </c>
      <c r="FH5" s="71" t="s">
        <v>356</v>
      </c>
      <c r="FI5" s="71" t="s">
        <v>356</v>
      </c>
      <c r="FJ5" s="71" t="s">
        <v>356</v>
      </c>
      <c r="FK5" s="71" t="s">
        <v>356</v>
      </c>
      <c r="FL5" s="71" t="s">
        <v>356</v>
      </c>
      <c r="FM5" s="71" t="s">
        <v>356</v>
      </c>
      <c r="FN5" s="71"/>
      <c r="FO5" s="71" t="s">
        <v>2426</v>
      </c>
      <c r="FP5" s="71" t="s">
        <v>356</v>
      </c>
      <c r="FQ5" s="71" t="s">
        <v>356</v>
      </c>
      <c r="FR5" s="71" t="s">
        <v>356</v>
      </c>
      <c r="FS5" s="71" t="s">
        <v>356</v>
      </c>
      <c r="FT5" s="71" t="s">
        <v>356</v>
      </c>
      <c r="FU5" s="71" t="s">
        <v>356</v>
      </c>
    </row>
    <row r="6" spans="2:179">
      <c r="B6" s="65" t="s">
        <v>834</v>
      </c>
      <c r="C6" s="65" t="s">
        <v>2426</v>
      </c>
      <c r="D6" s="65">
        <v>1403</v>
      </c>
      <c r="E6" s="65">
        <v>1352</v>
      </c>
      <c r="F6" s="65">
        <v>1696</v>
      </c>
      <c r="G6" s="65">
        <v>1749</v>
      </c>
      <c r="H6" s="65">
        <v>1106</v>
      </c>
      <c r="I6" s="65">
        <v>7306</v>
      </c>
      <c r="K6" s="65" t="s">
        <v>2426</v>
      </c>
      <c r="L6" s="65">
        <v>63</v>
      </c>
      <c r="M6" s="65">
        <v>4</v>
      </c>
      <c r="N6" s="65">
        <v>0</v>
      </c>
      <c r="O6" s="65">
        <v>0</v>
      </c>
      <c r="P6" s="65">
        <v>0</v>
      </c>
      <c r="Q6" s="65">
        <v>67</v>
      </c>
      <c r="T6" s="66" t="s">
        <v>2187</v>
      </c>
      <c r="U6" s="66" t="s">
        <v>2426</v>
      </c>
      <c r="V6" s="66" t="s">
        <v>356</v>
      </c>
      <c r="W6" s="66" t="s">
        <v>356</v>
      </c>
      <c r="X6" s="66" t="s">
        <v>356</v>
      </c>
      <c r="Y6" s="66" t="s">
        <v>356</v>
      </c>
      <c r="Z6" s="66" t="s">
        <v>356</v>
      </c>
      <c r="AA6" s="66" t="s">
        <v>356</v>
      </c>
      <c r="AB6" s="66"/>
      <c r="AC6" s="66" t="s">
        <v>2426</v>
      </c>
      <c r="AD6" s="66" t="s">
        <v>356</v>
      </c>
      <c r="AE6" s="66" t="s">
        <v>356</v>
      </c>
      <c r="AF6" s="66" t="s">
        <v>356</v>
      </c>
      <c r="AG6" s="66" t="s">
        <v>356</v>
      </c>
      <c r="AH6" s="66" t="s">
        <v>356</v>
      </c>
      <c r="AI6" s="66" t="s">
        <v>356</v>
      </c>
      <c r="AK6" s="67" t="s">
        <v>2245</v>
      </c>
      <c r="AL6" s="67" t="s">
        <v>2426</v>
      </c>
      <c r="AM6" s="67">
        <v>236</v>
      </c>
      <c r="AN6" s="67">
        <v>260</v>
      </c>
      <c r="AO6" s="67">
        <v>426</v>
      </c>
      <c r="AP6" s="67">
        <v>556</v>
      </c>
      <c r="AQ6" s="67">
        <v>432</v>
      </c>
      <c r="AR6" s="67">
        <v>1910</v>
      </c>
      <c r="AS6" s="67"/>
      <c r="AT6" s="67" t="s">
        <v>2426</v>
      </c>
      <c r="AU6" s="67">
        <v>30</v>
      </c>
      <c r="AV6" s="67">
        <v>1</v>
      </c>
      <c r="AW6" s="67">
        <v>0</v>
      </c>
      <c r="AX6" s="67">
        <v>1</v>
      </c>
      <c r="AY6" s="67">
        <v>0</v>
      </c>
      <c r="AZ6" s="67">
        <v>32</v>
      </c>
      <c r="BB6" s="70" t="s">
        <v>1305</v>
      </c>
      <c r="BC6" s="70" t="s">
        <v>2426</v>
      </c>
      <c r="BD6" s="70">
        <v>335</v>
      </c>
      <c r="BE6" s="70">
        <v>296</v>
      </c>
      <c r="BF6" s="70">
        <v>423</v>
      </c>
      <c r="BG6" s="70">
        <v>474</v>
      </c>
      <c r="BH6" s="70">
        <v>372</v>
      </c>
      <c r="BI6" s="70">
        <v>1900</v>
      </c>
      <c r="BJ6" s="70"/>
      <c r="BK6" s="70" t="s">
        <v>2426</v>
      </c>
      <c r="BL6" s="70">
        <v>50</v>
      </c>
      <c r="BM6" s="70">
        <v>2</v>
      </c>
      <c r="BN6" s="70">
        <v>0</v>
      </c>
      <c r="BO6" s="70">
        <v>0</v>
      </c>
      <c r="BP6" s="70">
        <v>0</v>
      </c>
      <c r="BQ6" s="70">
        <v>52</v>
      </c>
      <c r="BS6" s="71" t="s">
        <v>1585</v>
      </c>
      <c r="BT6" s="71" t="s">
        <v>2426</v>
      </c>
      <c r="BU6" s="71">
        <v>1967</v>
      </c>
      <c r="BV6" s="71">
        <v>1164</v>
      </c>
      <c r="BW6" s="71">
        <v>1129</v>
      </c>
      <c r="BX6" s="71">
        <v>1146</v>
      </c>
      <c r="BY6" s="71">
        <v>792</v>
      </c>
      <c r="BZ6" s="71">
        <v>6198</v>
      </c>
      <c r="CA6" s="71"/>
      <c r="CB6" s="71" t="s">
        <v>2426</v>
      </c>
      <c r="CC6" s="71">
        <v>524</v>
      </c>
      <c r="CD6" s="71">
        <v>4</v>
      </c>
      <c r="CE6" s="71">
        <v>0</v>
      </c>
      <c r="CF6" s="71">
        <v>0</v>
      </c>
      <c r="CG6" s="71">
        <v>0</v>
      </c>
      <c r="CH6" s="71">
        <v>528</v>
      </c>
      <c r="CL6" s="57" t="s">
        <v>540</v>
      </c>
      <c r="CM6" s="57" t="s">
        <v>2426</v>
      </c>
      <c r="CN6" s="57">
        <v>1595</v>
      </c>
      <c r="CO6" s="57">
        <v>656</v>
      </c>
      <c r="CP6" s="57">
        <v>851</v>
      </c>
      <c r="CQ6" s="57">
        <v>1022</v>
      </c>
      <c r="CR6" s="57">
        <v>879</v>
      </c>
      <c r="CS6" s="57">
        <v>5003</v>
      </c>
      <c r="CT6" s="57"/>
      <c r="CU6" s="57" t="s">
        <v>2426</v>
      </c>
      <c r="CV6" s="57">
        <v>338</v>
      </c>
      <c r="CW6" s="57">
        <v>0</v>
      </c>
      <c r="CX6" s="57">
        <v>0</v>
      </c>
      <c r="CY6" s="57">
        <v>0</v>
      </c>
      <c r="CZ6" s="57">
        <v>0</v>
      </c>
      <c r="DA6" s="57">
        <v>338</v>
      </c>
      <c r="DD6" s="78" t="s">
        <v>1791</v>
      </c>
      <c r="DE6" s="78" t="s">
        <v>2426</v>
      </c>
      <c r="DF6" s="78">
        <v>592</v>
      </c>
      <c r="DG6" s="78">
        <v>868</v>
      </c>
      <c r="DH6" s="78">
        <v>913</v>
      </c>
      <c r="DI6" s="78">
        <v>1047</v>
      </c>
      <c r="DJ6" s="78">
        <v>976</v>
      </c>
      <c r="DK6" s="78">
        <v>4396</v>
      </c>
      <c r="DL6" s="78"/>
      <c r="DM6" s="78" t="s">
        <v>2426</v>
      </c>
      <c r="DN6" s="78">
        <v>12</v>
      </c>
      <c r="DO6" s="78">
        <v>12</v>
      </c>
      <c r="DP6" s="78">
        <v>6</v>
      </c>
      <c r="DQ6" s="78">
        <v>2</v>
      </c>
      <c r="DR6" s="78">
        <v>4</v>
      </c>
      <c r="DS6" s="78">
        <v>36</v>
      </c>
      <c r="DV6" s="80" t="s">
        <v>1861</v>
      </c>
      <c r="DW6" s="80" t="s">
        <v>2426</v>
      </c>
      <c r="DX6" s="80">
        <v>1078</v>
      </c>
      <c r="DY6" s="80">
        <v>550</v>
      </c>
      <c r="DZ6" s="80">
        <v>540</v>
      </c>
      <c r="EA6" s="80">
        <v>540</v>
      </c>
      <c r="EB6" s="80">
        <v>399</v>
      </c>
      <c r="EC6" s="80">
        <v>3107</v>
      </c>
      <c r="ED6" s="80"/>
      <c r="EE6" s="80" t="s">
        <v>2426</v>
      </c>
      <c r="EF6" s="80">
        <v>18</v>
      </c>
      <c r="EG6" s="80">
        <v>0</v>
      </c>
      <c r="EH6" s="80">
        <v>0</v>
      </c>
      <c r="EI6" s="80">
        <v>0</v>
      </c>
      <c r="EJ6" s="80">
        <v>0</v>
      </c>
      <c r="EK6" s="80">
        <v>18</v>
      </c>
      <c r="EN6" s="57" t="s">
        <v>2381</v>
      </c>
      <c r="EO6" s="57" t="s">
        <v>2426</v>
      </c>
      <c r="EP6" s="57" t="s">
        <v>356</v>
      </c>
      <c r="EQ6" s="57" t="s">
        <v>356</v>
      </c>
      <c r="ER6" s="57" t="s">
        <v>356</v>
      </c>
      <c r="ES6" s="57" t="s">
        <v>356</v>
      </c>
      <c r="ET6" s="57" t="s">
        <v>356</v>
      </c>
      <c r="EU6" s="57" t="s">
        <v>356</v>
      </c>
      <c r="EV6" s="57"/>
      <c r="EW6" s="57" t="s">
        <v>2426</v>
      </c>
      <c r="EX6" s="57" t="s">
        <v>356</v>
      </c>
      <c r="EY6" s="57" t="s">
        <v>356</v>
      </c>
      <c r="EZ6" s="57" t="s">
        <v>356</v>
      </c>
      <c r="FA6" s="57" t="s">
        <v>356</v>
      </c>
      <c r="FB6" s="57" t="s">
        <v>356</v>
      </c>
      <c r="FC6" s="57" t="s">
        <v>356</v>
      </c>
      <c r="FF6" s="71" t="s">
        <v>2044</v>
      </c>
      <c r="FG6" s="71" t="s">
        <v>2426</v>
      </c>
      <c r="FH6" s="71">
        <v>148</v>
      </c>
      <c r="FI6" s="71">
        <v>211</v>
      </c>
      <c r="FJ6" s="71">
        <v>325</v>
      </c>
      <c r="FK6" s="71">
        <v>434</v>
      </c>
      <c r="FL6" s="71">
        <v>531</v>
      </c>
      <c r="FM6" s="71">
        <v>1649</v>
      </c>
      <c r="FN6" s="71"/>
      <c r="FO6" s="71" t="s">
        <v>2426</v>
      </c>
      <c r="FP6" s="71">
        <v>27</v>
      </c>
      <c r="FQ6" s="71">
        <v>8</v>
      </c>
      <c r="FR6" s="71">
        <v>9</v>
      </c>
      <c r="FS6" s="71">
        <v>13</v>
      </c>
      <c r="FT6" s="71">
        <v>10</v>
      </c>
      <c r="FU6" s="71">
        <v>67</v>
      </c>
    </row>
    <row r="7" spans="2:179">
      <c r="B7" s="65" t="s">
        <v>840</v>
      </c>
      <c r="C7" s="65" t="s">
        <v>2426</v>
      </c>
      <c r="D7" s="65" t="s">
        <v>356</v>
      </c>
      <c r="E7" s="65" t="s">
        <v>356</v>
      </c>
      <c r="F7" s="65" t="s">
        <v>356</v>
      </c>
      <c r="G7" s="65" t="s">
        <v>356</v>
      </c>
      <c r="H7" s="65" t="s">
        <v>356</v>
      </c>
      <c r="I7" s="65" t="s">
        <v>356</v>
      </c>
      <c r="K7" s="65" t="s">
        <v>2426</v>
      </c>
      <c r="L7" s="65" t="s">
        <v>356</v>
      </c>
      <c r="M7" s="65" t="s">
        <v>356</v>
      </c>
      <c r="N7" s="65" t="s">
        <v>356</v>
      </c>
      <c r="O7" s="65" t="s">
        <v>356</v>
      </c>
      <c r="P7" s="65" t="s">
        <v>356</v>
      </c>
      <c r="Q7" s="65" t="s">
        <v>356</v>
      </c>
      <c r="T7" s="66" t="s">
        <v>1071</v>
      </c>
      <c r="U7" s="66" t="s">
        <v>2426</v>
      </c>
      <c r="V7" s="66" t="s">
        <v>356</v>
      </c>
      <c r="W7" s="66" t="s">
        <v>356</v>
      </c>
      <c r="X7" s="66" t="s">
        <v>356</v>
      </c>
      <c r="Y7" s="66" t="s">
        <v>356</v>
      </c>
      <c r="Z7" s="66" t="s">
        <v>356</v>
      </c>
      <c r="AA7" s="66" t="s">
        <v>356</v>
      </c>
      <c r="AB7" s="66"/>
      <c r="AC7" s="66" t="s">
        <v>2426</v>
      </c>
      <c r="AD7" s="66" t="s">
        <v>356</v>
      </c>
      <c r="AE7" s="66" t="s">
        <v>356</v>
      </c>
      <c r="AF7" s="66" t="s">
        <v>356</v>
      </c>
      <c r="AG7" s="66" t="s">
        <v>356</v>
      </c>
      <c r="AH7" s="66" t="s">
        <v>356</v>
      </c>
      <c r="AI7" s="66" t="s">
        <v>356</v>
      </c>
      <c r="AK7" s="67" t="s">
        <v>2224</v>
      </c>
      <c r="AL7" s="67" t="s">
        <v>2426</v>
      </c>
      <c r="AM7" s="67">
        <v>137</v>
      </c>
      <c r="AN7" s="67">
        <v>197</v>
      </c>
      <c r="AO7" s="67">
        <v>456</v>
      </c>
      <c r="AP7" s="67">
        <v>720</v>
      </c>
      <c r="AQ7" s="67">
        <v>603</v>
      </c>
      <c r="AR7" s="67">
        <v>2113</v>
      </c>
      <c r="AS7" s="67"/>
      <c r="AT7" s="67" t="s">
        <v>2426</v>
      </c>
      <c r="AU7" s="67">
        <v>19</v>
      </c>
      <c r="AV7" s="67">
        <v>0</v>
      </c>
      <c r="AW7" s="67">
        <v>1</v>
      </c>
      <c r="AX7" s="67">
        <v>0</v>
      </c>
      <c r="AY7" s="67">
        <v>0</v>
      </c>
      <c r="AZ7" s="67">
        <v>20</v>
      </c>
      <c r="BB7" s="70" t="s">
        <v>1308</v>
      </c>
      <c r="BC7" s="70" t="s">
        <v>2426</v>
      </c>
      <c r="BD7" s="70">
        <v>325</v>
      </c>
      <c r="BE7" s="70">
        <v>293</v>
      </c>
      <c r="BF7" s="70">
        <v>376</v>
      </c>
      <c r="BG7" s="70">
        <v>360</v>
      </c>
      <c r="BH7" s="70">
        <v>321</v>
      </c>
      <c r="BI7" s="70">
        <v>1675</v>
      </c>
      <c r="BJ7" s="70"/>
      <c r="BK7" s="70" t="s">
        <v>2426</v>
      </c>
      <c r="BL7" s="70">
        <v>19</v>
      </c>
      <c r="BM7" s="70">
        <v>0</v>
      </c>
      <c r="BN7" s="70">
        <v>0</v>
      </c>
      <c r="BO7" s="70">
        <v>0</v>
      </c>
      <c r="BP7" s="70">
        <v>0</v>
      </c>
      <c r="BQ7" s="70">
        <v>19</v>
      </c>
      <c r="BR7" s="16" t="s">
        <v>2792</v>
      </c>
      <c r="BS7" s="71" t="s">
        <v>2568</v>
      </c>
      <c r="BT7" s="71" t="s">
        <v>2426</v>
      </c>
      <c r="BU7" s="71" t="s">
        <v>356</v>
      </c>
      <c r="BV7" s="71" t="s">
        <v>356</v>
      </c>
      <c r="BW7" s="71" t="s">
        <v>356</v>
      </c>
      <c r="BX7" s="71" t="s">
        <v>356</v>
      </c>
      <c r="BY7" s="71" t="s">
        <v>356</v>
      </c>
      <c r="BZ7" s="71" t="s">
        <v>356</v>
      </c>
      <c r="CA7" s="71"/>
      <c r="CB7" s="71" t="s">
        <v>2426</v>
      </c>
      <c r="CC7" s="71" t="s">
        <v>356</v>
      </c>
      <c r="CD7" s="71" t="s">
        <v>356</v>
      </c>
      <c r="CE7" s="71" t="s">
        <v>356</v>
      </c>
      <c r="CF7" s="71" t="s">
        <v>356</v>
      </c>
      <c r="CG7" s="71" t="s">
        <v>356</v>
      </c>
      <c r="CH7" s="71" t="s">
        <v>356</v>
      </c>
      <c r="CL7" s="57" t="s">
        <v>389</v>
      </c>
      <c r="CM7" s="57" t="s">
        <v>2426</v>
      </c>
      <c r="CN7" s="57">
        <v>378</v>
      </c>
      <c r="CO7" s="57">
        <v>330</v>
      </c>
      <c r="CP7" s="57">
        <v>387</v>
      </c>
      <c r="CQ7" s="57">
        <v>498</v>
      </c>
      <c r="CR7" s="57">
        <v>517</v>
      </c>
      <c r="CS7" s="57">
        <v>2110</v>
      </c>
      <c r="CT7" s="57"/>
      <c r="CU7" s="57" t="s">
        <v>2426</v>
      </c>
      <c r="CV7" s="57">
        <v>103</v>
      </c>
      <c r="CW7" s="57">
        <v>2</v>
      </c>
      <c r="CX7" s="57">
        <v>0</v>
      </c>
      <c r="CY7" s="57">
        <v>0</v>
      </c>
      <c r="CZ7" s="57">
        <v>0</v>
      </c>
      <c r="DA7" s="57">
        <v>105</v>
      </c>
      <c r="DD7" s="78" t="s">
        <v>1794</v>
      </c>
      <c r="DE7" s="78" t="s">
        <v>2426</v>
      </c>
      <c r="DF7" s="78" t="s">
        <v>356</v>
      </c>
      <c r="DG7" s="78" t="s">
        <v>356</v>
      </c>
      <c r="DH7" s="78" t="s">
        <v>356</v>
      </c>
      <c r="DI7" s="78" t="s">
        <v>356</v>
      </c>
      <c r="DJ7" s="78" t="s">
        <v>356</v>
      </c>
      <c r="DK7" s="78" t="s">
        <v>356</v>
      </c>
      <c r="DL7" s="78"/>
      <c r="DM7" s="78" t="s">
        <v>2426</v>
      </c>
      <c r="DN7" s="78" t="s">
        <v>356</v>
      </c>
      <c r="DO7" s="78" t="s">
        <v>356</v>
      </c>
      <c r="DP7" s="78" t="s">
        <v>356</v>
      </c>
      <c r="DQ7" s="78" t="s">
        <v>356</v>
      </c>
      <c r="DR7" s="78" t="s">
        <v>356</v>
      </c>
      <c r="DS7" s="78" t="s">
        <v>356</v>
      </c>
      <c r="DV7" s="80" t="s">
        <v>1865</v>
      </c>
      <c r="DW7" s="80" t="s">
        <v>2426</v>
      </c>
      <c r="DX7" s="80">
        <v>142</v>
      </c>
      <c r="DY7" s="80">
        <v>177</v>
      </c>
      <c r="DZ7" s="80">
        <v>241</v>
      </c>
      <c r="EA7" s="80">
        <v>273</v>
      </c>
      <c r="EB7" s="80">
        <v>249</v>
      </c>
      <c r="EC7" s="80">
        <v>1082</v>
      </c>
      <c r="ED7" s="80"/>
      <c r="EE7" s="80" t="s">
        <v>2426</v>
      </c>
      <c r="EF7" s="80">
        <v>15</v>
      </c>
      <c r="EG7" s="80">
        <v>3</v>
      </c>
      <c r="EH7" s="80">
        <v>0</v>
      </c>
      <c r="EI7" s="80">
        <v>0</v>
      </c>
      <c r="EJ7" s="80">
        <v>0</v>
      </c>
      <c r="EK7" s="80">
        <v>18</v>
      </c>
      <c r="EN7" s="57" t="s">
        <v>2382</v>
      </c>
      <c r="EO7" s="57" t="s">
        <v>2426</v>
      </c>
      <c r="EP7" s="57" t="s">
        <v>356</v>
      </c>
      <c r="EQ7" s="57" t="s">
        <v>356</v>
      </c>
      <c r="ER7" s="57" t="s">
        <v>356</v>
      </c>
      <c r="ES7" s="57" t="s">
        <v>356</v>
      </c>
      <c r="ET7" s="57" t="s">
        <v>356</v>
      </c>
      <c r="EU7" s="57" t="s">
        <v>356</v>
      </c>
      <c r="EV7" s="57"/>
      <c r="EW7" s="57" t="s">
        <v>2426</v>
      </c>
      <c r="EX7" s="57" t="s">
        <v>356</v>
      </c>
      <c r="EY7" s="57" t="s">
        <v>356</v>
      </c>
      <c r="EZ7" s="57" t="s">
        <v>356</v>
      </c>
      <c r="FA7" s="57" t="s">
        <v>356</v>
      </c>
      <c r="FB7" s="57" t="s">
        <v>356</v>
      </c>
      <c r="FC7" s="57" t="s">
        <v>356</v>
      </c>
      <c r="FF7" s="71" t="s">
        <v>2411</v>
      </c>
      <c r="FG7" s="71" t="s">
        <v>2426</v>
      </c>
      <c r="FH7" s="71">
        <v>125</v>
      </c>
      <c r="FI7" s="71">
        <v>240</v>
      </c>
      <c r="FJ7" s="71">
        <v>308</v>
      </c>
      <c r="FK7" s="71">
        <v>385</v>
      </c>
      <c r="FL7" s="71">
        <v>478</v>
      </c>
      <c r="FM7" s="71">
        <v>1536</v>
      </c>
      <c r="FN7" s="71"/>
      <c r="FO7" s="71" t="s">
        <v>2426</v>
      </c>
      <c r="FP7" s="71">
        <v>15</v>
      </c>
      <c r="FQ7" s="71">
        <v>8</v>
      </c>
      <c r="FR7" s="71">
        <v>8</v>
      </c>
      <c r="FS7" s="71">
        <v>7</v>
      </c>
      <c r="FT7" s="71">
        <v>8</v>
      </c>
      <c r="FU7" s="71">
        <v>46</v>
      </c>
    </row>
    <row r="8" spans="2:179">
      <c r="B8" s="65" t="s">
        <v>845</v>
      </c>
      <c r="C8" s="65" t="s">
        <v>2426</v>
      </c>
      <c r="D8" s="65" t="s">
        <v>356</v>
      </c>
      <c r="E8" s="65" t="s">
        <v>356</v>
      </c>
      <c r="F8" s="65" t="s">
        <v>356</v>
      </c>
      <c r="G8" s="65" t="s">
        <v>356</v>
      </c>
      <c r="H8" s="65" t="s">
        <v>356</v>
      </c>
      <c r="I8" s="65" t="s">
        <v>356</v>
      </c>
      <c r="K8" s="65" t="s">
        <v>2426</v>
      </c>
      <c r="L8" s="65" t="s">
        <v>356</v>
      </c>
      <c r="M8" s="65" t="s">
        <v>356</v>
      </c>
      <c r="N8" s="65" t="s">
        <v>356</v>
      </c>
      <c r="O8" s="65" t="s">
        <v>356</v>
      </c>
      <c r="P8" s="65" t="s">
        <v>356</v>
      </c>
      <c r="Q8" s="65" t="s">
        <v>356</v>
      </c>
      <c r="T8" s="66" t="s">
        <v>2188</v>
      </c>
      <c r="U8" s="66" t="s">
        <v>2426</v>
      </c>
      <c r="V8" s="66" t="s">
        <v>356</v>
      </c>
      <c r="W8" s="66" t="s">
        <v>356</v>
      </c>
      <c r="X8" s="66" t="s">
        <v>356</v>
      </c>
      <c r="Y8" s="66" t="s">
        <v>356</v>
      </c>
      <c r="Z8" s="66" t="s">
        <v>356</v>
      </c>
      <c r="AA8" s="66" t="s">
        <v>356</v>
      </c>
      <c r="AB8" s="66"/>
      <c r="AC8" s="66" t="s">
        <v>2426</v>
      </c>
      <c r="AD8" s="66" t="s">
        <v>356</v>
      </c>
      <c r="AE8" s="66" t="s">
        <v>356</v>
      </c>
      <c r="AF8" s="66" t="s">
        <v>356</v>
      </c>
      <c r="AG8" s="66" t="s">
        <v>356</v>
      </c>
      <c r="AH8" s="66" t="s">
        <v>356</v>
      </c>
      <c r="AI8" s="66" t="s">
        <v>356</v>
      </c>
      <c r="AK8" s="67" t="s">
        <v>2203</v>
      </c>
      <c r="AL8" s="67" t="s">
        <v>2426</v>
      </c>
      <c r="AM8" s="67">
        <v>368</v>
      </c>
      <c r="AN8" s="67">
        <v>633</v>
      </c>
      <c r="AO8" s="67">
        <v>995</v>
      </c>
      <c r="AP8" s="67">
        <v>1079</v>
      </c>
      <c r="AQ8" s="67">
        <v>739</v>
      </c>
      <c r="AR8" s="67">
        <v>3814</v>
      </c>
      <c r="AS8" s="67"/>
      <c r="AT8" s="67" t="s">
        <v>2426</v>
      </c>
      <c r="AU8" s="67">
        <v>31</v>
      </c>
      <c r="AV8" s="67">
        <v>0</v>
      </c>
      <c r="AW8" s="67">
        <v>0</v>
      </c>
      <c r="AX8" s="67">
        <v>0</v>
      </c>
      <c r="AY8" s="67">
        <v>0</v>
      </c>
      <c r="AZ8" s="67">
        <v>31</v>
      </c>
      <c r="BB8" s="70" t="s">
        <v>1312</v>
      </c>
      <c r="BC8" s="70" t="s">
        <v>2426</v>
      </c>
      <c r="BD8" s="70">
        <v>369</v>
      </c>
      <c r="BE8" s="70">
        <v>293</v>
      </c>
      <c r="BF8" s="70">
        <v>437</v>
      </c>
      <c r="BG8" s="70">
        <v>550</v>
      </c>
      <c r="BH8" s="70">
        <v>498</v>
      </c>
      <c r="BI8" s="70">
        <v>2147</v>
      </c>
      <c r="BJ8" s="70"/>
      <c r="BK8" s="70" t="s">
        <v>2426</v>
      </c>
      <c r="BL8" s="70">
        <v>52</v>
      </c>
      <c r="BM8" s="70">
        <v>0</v>
      </c>
      <c r="BN8" s="70">
        <v>0</v>
      </c>
      <c r="BO8" s="70">
        <v>0</v>
      </c>
      <c r="BP8" s="70">
        <v>0</v>
      </c>
      <c r="BQ8" s="70">
        <v>52</v>
      </c>
      <c r="BS8" s="71" t="s">
        <v>1599</v>
      </c>
      <c r="BT8" s="71" t="s">
        <v>2426</v>
      </c>
      <c r="BU8" s="71" t="s">
        <v>356</v>
      </c>
      <c r="BV8" s="71" t="s">
        <v>356</v>
      </c>
      <c r="BW8" s="71" t="s">
        <v>356</v>
      </c>
      <c r="BX8" s="71" t="s">
        <v>356</v>
      </c>
      <c r="BY8" s="71" t="s">
        <v>356</v>
      </c>
      <c r="BZ8" s="71" t="s">
        <v>356</v>
      </c>
      <c r="CA8" s="71"/>
      <c r="CB8" s="71" t="s">
        <v>2426</v>
      </c>
      <c r="CC8" s="71" t="s">
        <v>356</v>
      </c>
      <c r="CD8" s="71" t="s">
        <v>356</v>
      </c>
      <c r="CE8" s="71" t="s">
        <v>356</v>
      </c>
      <c r="CF8" s="71" t="s">
        <v>356</v>
      </c>
      <c r="CG8" s="71" t="s">
        <v>356</v>
      </c>
      <c r="CH8" s="71" t="s">
        <v>356</v>
      </c>
      <c r="CL8" s="57" t="s">
        <v>390</v>
      </c>
      <c r="CM8" s="57" t="s">
        <v>2426</v>
      </c>
      <c r="CN8" s="57">
        <v>437</v>
      </c>
      <c r="CO8" s="57">
        <v>236</v>
      </c>
      <c r="CP8" s="57">
        <v>396</v>
      </c>
      <c r="CQ8" s="57">
        <v>621</v>
      </c>
      <c r="CR8" s="57">
        <v>548</v>
      </c>
      <c r="CS8" s="57">
        <v>2238</v>
      </c>
      <c r="CT8" s="57"/>
      <c r="CU8" s="57" t="s">
        <v>2426</v>
      </c>
      <c r="CV8" s="57">
        <v>160</v>
      </c>
      <c r="CW8" s="57">
        <v>0</v>
      </c>
      <c r="CX8" s="57">
        <v>0</v>
      </c>
      <c r="CY8" s="57">
        <v>0</v>
      </c>
      <c r="CZ8" s="57">
        <v>0</v>
      </c>
      <c r="DA8" s="57">
        <v>160</v>
      </c>
      <c r="DD8" s="78" t="s">
        <v>2343</v>
      </c>
      <c r="DE8" s="78" t="s">
        <v>2426</v>
      </c>
      <c r="DF8" s="78">
        <v>1418</v>
      </c>
      <c r="DG8" s="78">
        <v>1677</v>
      </c>
      <c r="DH8" s="78">
        <v>2014</v>
      </c>
      <c r="DI8" s="78">
        <v>2106</v>
      </c>
      <c r="DJ8" s="78">
        <v>1696</v>
      </c>
      <c r="DK8" s="78">
        <v>8911</v>
      </c>
      <c r="DL8" s="78"/>
      <c r="DM8" s="78" t="s">
        <v>2426</v>
      </c>
      <c r="DN8" s="78">
        <v>84</v>
      </c>
      <c r="DO8" s="78">
        <v>40</v>
      </c>
      <c r="DP8" s="78">
        <v>12</v>
      </c>
      <c r="DQ8" s="78">
        <v>5</v>
      </c>
      <c r="DR8" s="78">
        <v>3</v>
      </c>
      <c r="DS8" s="78">
        <v>144</v>
      </c>
      <c r="DV8" s="80" t="s">
        <v>1869</v>
      </c>
      <c r="DW8" s="80" t="s">
        <v>2426</v>
      </c>
      <c r="DX8" s="80">
        <v>277</v>
      </c>
      <c r="DY8" s="80">
        <v>403</v>
      </c>
      <c r="DZ8" s="80">
        <v>407</v>
      </c>
      <c r="EA8" s="80">
        <v>503</v>
      </c>
      <c r="EB8" s="80">
        <v>496</v>
      </c>
      <c r="EC8" s="80">
        <v>2086</v>
      </c>
      <c r="ED8" s="80"/>
      <c r="EE8" s="80" t="s">
        <v>2426</v>
      </c>
      <c r="EF8" s="80">
        <v>25</v>
      </c>
      <c r="EG8" s="80">
        <v>0</v>
      </c>
      <c r="EH8" s="80">
        <v>0</v>
      </c>
      <c r="EI8" s="80">
        <v>0</v>
      </c>
      <c r="EJ8" s="80">
        <v>0</v>
      </c>
      <c r="EK8" s="80">
        <v>25</v>
      </c>
      <c r="EN8" s="57" t="s">
        <v>2383</v>
      </c>
      <c r="EO8" s="57" t="s">
        <v>2426</v>
      </c>
      <c r="EP8" s="57" t="s">
        <v>356</v>
      </c>
      <c r="EQ8" s="57" t="s">
        <v>356</v>
      </c>
      <c r="ER8" s="57" t="s">
        <v>356</v>
      </c>
      <c r="ES8" s="57" t="s">
        <v>356</v>
      </c>
      <c r="ET8" s="57" t="s">
        <v>356</v>
      </c>
      <c r="EU8" s="57" t="s">
        <v>356</v>
      </c>
      <c r="EV8" s="57"/>
      <c r="EW8" s="57" t="s">
        <v>2426</v>
      </c>
      <c r="EX8" s="57" t="s">
        <v>356</v>
      </c>
      <c r="EY8" s="57" t="s">
        <v>356</v>
      </c>
      <c r="EZ8" s="57" t="s">
        <v>356</v>
      </c>
      <c r="FA8" s="57" t="s">
        <v>356</v>
      </c>
      <c r="FB8" s="57" t="s">
        <v>356</v>
      </c>
      <c r="FC8" s="57" t="s">
        <v>356</v>
      </c>
      <c r="FF8" s="71" t="s">
        <v>2412</v>
      </c>
      <c r="FG8" s="71" t="s">
        <v>2426</v>
      </c>
      <c r="FH8" s="71" t="s">
        <v>356</v>
      </c>
      <c r="FI8" s="71" t="s">
        <v>356</v>
      </c>
      <c r="FJ8" s="71" t="s">
        <v>356</v>
      </c>
      <c r="FK8" s="71" t="s">
        <v>356</v>
      </c>
      <c r="FL8" s="71" t="s">
        <v>356</v>
      </c>
      <c r="FM8" s="71" t="s">
        <v>356</v>
      </c>
      <c r="FN8" s="71"/>
      <c r="FO8" s="71" t="s">
        <v>2426</v>
      </c>
      <c r="FP8" s="71" t="s">
        <v>356</v>
      </c>
      <c r="FQ8" s="71" t="s">
        <v>356</v>
      </c>
      <c r="FR8" s="71" t="s">
        <v>356</v>
      </c>
      <c r="FS8" s="71" t="s">
        <v>356</v>
      </c>
      <c r="FT8" s="71" t="s">
        <v>356</v>
      </c>
      <c r="FU8" s="71" t="s">
        <v>356</v>
      </c>
    </row>
    <row r="9" spans="2:179">
      <c r="B9" s="65" t="s">
        <v>848</v>
      </c>
      <c r="C9" s="65" t="s">
        <v>2426</v>
      </c>
      <c r="D9" s="65" t="s">
        <v>356</v>
      </c>
      <c r="E9" s="65" t="s">
        <v>356</v>
      </c>
      <c r="F9" s="65" t="s">
        <v>356</v>
      </c>
      <c r="G9" s="65" t="s">
        <v>356</v>
      </c>
      <c r="H9" s="65" t="s">
        <v>356</v>
      </c>
      <c r="I9" s="65" t="s">
        <v>356</v>
      </c>
      <c r="K9" s="65" t="s">
        <v>2426</v>
      </c>
      <c r="L9" s="65" t="s">
        <v>356</v>
      </c>
      <c r="M9" s="65" t="s">
        <v>356</v>
      </c>
      <c r="N9" s="65" t="s">
        <v>356</v>
      </c>
      <c r="O9" s="65" t="s">
        <v>356</v>
      </c>
      <c r="P9" s="65" t="s">
        <v>356</v>
      </c>
      <c r="Q9" s="65" t="s">
        <v>356</v>
      </c>
      <c r="T9" s="66" t="s">
        <v>2189</v>
      </c>
      <c r="U9" s="66" t="s">
        <v>2426</v>
      </c>
      <c r="V9" s="66">
        <v>292</v>
      </c>
      <c r="W9" s="66">
        <v>147</v>
      </c>
      <c r="X9" s="66">
        <v>221</v>
      </c>
      <c r="Y9" s="66">
        <v>264</v>
      </c>
      <c r="Z9" s="66">
        <v>249</v>
      </c>
      <c r="AA9" s="66">
        <v>1173</v>
      </c>
      <c r="AB9" s="66"/>
      <c r="AC9" s="66" t="s">
        <v>2426</v>
      </c>
      <c r="AD9" s="66">
        <v>14</v>
      </c>
      <c r="AE9" s="66">
        <v>0</v>
      </c>
      <c r="AF9" s="66">
        <v>0</v>
      </c>
      <c r="AG9" s="66">
        <v>0</v>
      </c>
      <c r="AH9" s="66">
        <v>0</v>
      </c>
      <c r="AI9" s="66">
        <v>14</v>
      </c>
      <c r="AK9" s="67" t="s">
        <v>1258</v>
      </c>
      <c r="AL9" s="67" t="s">
        <v>2426</v>
      </c>
      <c r="AM9" s="67">
        <v>203</v>
      </c>
      <c r="AN9" s="67">
        <v>223</v>
      </c>
      <c r="AO9" s="67">
        <v>422</v>
      </c>
      <c r="AP9" s="67">
        <v>599</v>
      </c>
      <c r="AQ9" s="67">
        <v>552</v>
      </c>
      <c r="AR9" s="67">
        <v>1999</v>
      </c>
      <c r="AS9" s="67"/>
      <c r="AT9" s="67" t="s">
        <v>2426</v>
      </c>
      <c r="AU9" s="67">
        <v>52</v>
      </c>
      <c r="AV9" s="67">
        <v>0</v>
      </c>
      <c r="AW9" s="67">
        <v>0</v>
      </c>
      <c r="AX9" s="67">
        <v>0</v>
      </c>
      <c r="AY9" s="67">
        <v>0</v>
      </c>
      <c r="AZ9" s="67">
        <v>52</v>
      </c>
      <c r="BB9" s="70" t="s">
        <v>1314</v>
      </c>
      <c r="BC9" s="70" t="s">
        <v>2426</v>
      </c>
      <c r="BD9" s="70">
        <v>456</v>
      </c>
      <c r="BE9" s="70">
        <v>345</v>
      </c>
      <c r="BF9" s="70">
        <v>451</v>
      </c>
      <c r="BG9" s="70">
        <v>583</v>
      </c>
      <c r="BH9" s="70">
        <v>585</v>
      </c>
      <c r="BI9" s="70">
        <v>2420</v>
      </c>
      <c r="BJ9" s="70"/>
      <c r="BK9" s="70" t="s">
        <v>2426</v>
      </c>
      <c r="BL9" s="70">
        <v>25</v>
      </c>
      <c r="BM9" s="70">
        <v>0</v>
      </c>
      <c r="BN9" s="70">
        <v>0</v>
      </c>
      <c r="BO9" s="70">
        <v>0</v>
      </c>
      <c r="BP9" s="70">
        <v>0</v>
      </c>
      <c r="BQ9" s="70">
        <v>25</v>
      </c>
      <c r="BS9" s="71" t="s">
        <v>1601</v>
      </c>
      <c r="BT9" s="71" t="s">
        <v>2426</v>
      </c>
      <c r="BU9" s="71">
        <v>1492</v>
      </c>
      <c r="BV9" s="71">
        <v>552</v>
      </c>
      <c r="BW9" s="71">
        <v>695</v>
      </c>
      <c r="BX9" s="71">
        <v>951</v>
      </c>
      <c r="BY9" s="71">
        <v>841</v>
      </c>
      <c r="BZ9" s="71">
        <v>4531</v>
      </c>
      <c r="CA9" s="71"/>
      <c r="CB9" s="71" t="s">
        <v>2426</v>
      </c>
      <c r="CC9" s="71">
        <v>350</v>
      </c>
      <c r="CD9" s="71">
        <v>0</v>
      </c>
      <c r="CE9" s="71">
        <v>0</v>
      </c>
      <c r="CF9" s="71">
        <v>0</v>
      </c>
      <c r="CG9" s="71">
        <v>0</v>
      </c>
      <c r="CH9" s="71">
        <v>350</v>
      </c>
      <c r="CL9" s="57" t="s">
        <v>391</v>
      </c>
      <c r="CM9" s="57" t="s">
        <v>2426</v>
      </c>
      <c r="CN9" s="57">
        <v>60</v>
      </c>
      <c r="CO9" s="57">
        <v>50</v>
      </c>
      <c r="CP9" s="57">
        <v>115</v>
      </c>
      <c r="CQ9" s="57">
        <v>171</v>
      </c>
      <c r="CR9" s="57">
        <v>188</v>
      </c>
      <c r="CS9" s="57">
        <v>584</v>
      </c>
      <c r="CT9" s="57"/>
      <c r="CU9" s="57" t="s">
        <v>2426</v>
      </c>
      <c r="CV9" s="57">
        <v>19</v>
      </c>
      <c r="CW9" s="57">
        <v>0</v>
      </c>
      <c r="CX9" s="57">
        <v>0</v>
      </c>
      <c r="CY9" s="57">
        <v>0</v>
      </c>
      <c r="CZ9" s="57">
        <v>0</v>
      </c>
      <c r="DA9" s="57">
        <v>19</v>
      </c>
      <c r="DD9" s="78" t="s">
        <v>1824</v>
      </c>
      <c r="DE9" s="78" t="s">
        <v>2426</v>
      </c>
      <c r="DF9" s="78">
        <v>342</v>
      </c>
      <c r="DG9" s="78">
        <v>361</v>
      </c>
      <c r="DH9" s="78">
        <v>435</v>
      </c>
      <c r="DI9" s="78">
        <v>434</v>
      </c>
      <c r="DJ9" s="78">
        <v>381</v>
      </c>
      <c r="DK9" s="78">
        <v>1953</v>
      </c>
      <c r="DL9" s="78"/>
      <c r="DM9" s="78" t="s">
        <v>2426</v>
      </c>
      <c r="DN9" s="78">
        <v>18</v>
      </c>
      <c r="DO9" s="78">
        <v>9</v>
      </c>
      <c r="DP9" s="78">
        <v>1</v>
      </c>
      <c r="DQ9" s="78">
        <v>0</v>
      </c>
      <c r="DR9" s="78">
        <v>0</v>
      </c>
      <c r="DS9" s="78">
        <v>28</v>
      </c>
      <c r="DV9" s="80" t="s">
        <v>1873</v>
      </c>
      <c r="DW9" s="80" t="s">
        <v>2426</v>
      </c>
      <c r="DX9" s="80">
        <v>350</v>
      </c>
      <c r="DY9" s="80">
        <v>401</v>
      </c>
      <c r="DZ9" s="80">
        <v>438</v>
      </c>
      <c r="EA9" s="80">
        <v>469</v>
      </c>
      <c r="EB9" s="80">
        <v>335</v>
      </c>
      <c r="EC9" s="80">
        <v>1993</v>
      </c>
      <c r="ED9" s="80"/>
      <c r="EE9" s="80" t="s">
        <v>2426</v>
      </c>
      <c r="EF9" s="80">
        <v>24</v>
      </c>
      <c r="EG9" s="80">
        <v>3</v>
      </c>
      <c r="EH9" s="80">
        <v>0</v>
      </c>
      <c r="EI9" s="80">
        <v>0</v>
      </c>
      <c r="EJ9" s="80">
        <v>0</v>
      </c>
      <c r="EK9" s="80">
        <v>27</v>
      </c>
      <c r="EN9" s="57" t="s">
        <v>1955</v>
      </c>
      <c r="EO9" s="57" t="s">
        <v>2426</v>
      </c>
      <c r="EP9" s="57">
        <v>275</v>
      </c>
      <c r="EQ9" s="57">
        <v>358</v>
      </c>
      <c r="ER9" s="57">
        <v>396</v>
      </c>
      <c r="ES9" s="57">
        <v>502</v>
      </c>
      <c r="ET9" s="57">
        <v>603</v>
      </c>
      <c r="EU9" s="57">
        <v>2134</v>
      </c>
      <c r="EV9" s="57"/>
      <c r="EW9" s="57" t="s">
        <v>2426</v>
      </c>
      <c r="EX9" s="57">
        <v>92</v>
      </c>
      <c r="EY9" s="57">
        <v>73</v>
      </c>
      <c r="EZ9" s="57">
        <v>35</v>
      </c>
      <c r="FA9" s="57">
        <v>25</v>
      </c>
      <c r="FB9" s="57">
        <v>0</v>
      </c>
      <c r="FC9" s="57">
        <v>225</v>
      </c>
      <c r="FF9" s="71" t="s">
        <v>2047</v>
      </c>
      <c r="FG9" s="71" t="s">
        <v>2426</v>
      </c>
      <c r="FH9" s="71">
        <v>757</v>
      </c>
      <c r="FI9" s="71">
        <v>804</v>
      </c>
      <c r="FJ9" s="71">
        <v>847</v>
      </c>
      <c r="FK9" s="71">
        <v>815</v>
      </c>
      <c r="FL9" s="71">
        <v>1091</v>
      </c>
      <c r="FM9" s="71">
        <v>4314</v>
      </c>
      <c r="FN9" s="71"/>
      <c r="FO9" s="71" t="s">
        <v>2426</v>
      </c>
      <c r="FP9" s="71">
        <v>147</v>
      </c>
      <c r="FQ9" s="71">
        <v>0</v>
      </c>
      <c r="FR9" s="71">
        <v>0</v>
      </c>
      <c r="FS9" s="71">
        <v>0</v>
      </c>
      <c r="FT9" s="71">
        <v>0</v>
      </c>
      <c r="FU9" s="71">
        <v>147</v>
      </c>
    </row>
    <row r="10" spans="2:179">
      <c r="B10" s="65" t="s">
        <v>851</v>
      </c>
      <c r="C10" s="65" t="s">
        <v>2426</v>
      </c>
      <c r="D10" s="65" t="s">
        <v>356</v>
      </c>
      <c r="E10" s="65" t="s">
        <v>356</v>
      </c>
      <c r="F10" s="65" t="s">
        <v>356</v>
      </c>
      <c r="G10" s="65" t="s">
        <v>356</v>
      </c>
      <c r="H10" s="65" t="s">
        <v>356</v>
      </c>
      <c r="I10" s="65" t="s">
        <v>356</v>
      </c>
      <c r="K10" s="65" t="s">
        <v>2426</v>
      </c>
      <c r="L10" s="65" t="s">
        <v>356</v>
      </c>
      <c r="M10" s="65" t="s">
        <v>356</v>
      </c>
      <c r="N10" s="65" t="s">
        <v>356</v>
      </c>
      <c r="O10" s="65" t="s">
        <v>356</v>
      </c>
      <c r="P10" s="65" t="s">
        <v>356</v>
      </c>
      <c r="Q10" s="65" t="s">
        <v>356</v>
      </c>
      <c r="T10" s="66" t="s">
        <v>2190</v>
      </c>
      <c r="U10" s="66" t="s">
        <v>2426</v>
      </c>
      <c r="V10" s="66">
        <v>314</v>
      </c>
      <c r="W10" s="66">
        <v>349</v>
      </c>
      <c r="X10" s="66">
        <v>493</v>
      </c>
      <c r="Y10" s="66">
        <v>504</v>
      </c>
      <c r="Z10" s="66">
        <v>347</v>
      </c>
      <c r="AA10" s="66">
        <v>2007</v>
      </c>
      <c r="AB10" s="66"/>
      <c r="AC10" s="66" t="s">
        <v>2426</v>
      </c>
      <c r="AD10" s="66">
        <v>33</v>
      </c>
      <c r="AE10" s="66">
        <v>4</v>
      </c>
      <c r="AF10" s="66">
        <v>0</v>
      </c>
      <c r="AG10" s="66">
        <v>0</v>
      </c>
      <c r="AH10" s="66">
        <v>0</v>
      </c>
      <c r="AI10" s="66">
        <v>37</v>
      </c>
      <c r="AK10" s="67" t="s">
        <v>2235</v>
      </c>
      <c r="AL10" s="67" t="s">
        <v>2426</v>
      </c>
      <c r="AM10" s="67">
        <v>741</v>
      </c>
      <c r="AN10" s="67">
        <v>538</v>
      </c>
      <c r="AO10" s="67">
        <v>622</v>
      </c>
      <c r="AP10" s="67">
        <v>640</v>
      </c>
      <c r="AQ10" s="67">
        <v>502</v>
      </c>
      <c r="AR10" s="67">
        <v>3043</v>
      </c>
      <c r="AS10" s="67"/>
      <c r="AT10" s="67" t="s">
        <v>2426</v>
      </c>
      <c r="AU10" s="67">
        <v>81</v>
      </c>
      <c r="AV10" s="67">
        <v>9</v>
      </c>
      <c r="AW10" s="67">
        <v>2</v>
      </c>
      <c r="AX10" s="67">
        <v>0</v>
      </c>
      <c r="AY10" s="67">
        <v>1</v>
      </c>
      <c r="AZ10" s="67">
        <v>93</v>
      </c>
      <c r="BB10" s="70" t="s">
        <v>1317</v>
      </c>
      <c r="BC10" s="70" t="s">
        <v>2426</v>
      </c>
      <c r="BD10" s="70">
        <v>199</v>
      </c>
      <c r="BE10" s="70">
        <v>226</v>
      </c>
      <c r="BF10" s="70">
        <v>416</v>
      </c>
      <c r="BG10" s="70">
        <v>567</v>
      </c>
      <c r="BH10" s="70">
        <v>512</v>
      </c>
      <c r="BI10" s="70">
        <v>1920</v>
      </c>
      <c r="BJ10" s="70"/>
      <c r="BK10" s="70" t="s">
        <v>2426</v>
      </c>
      <c r="BL10" s="70">
        <v>20</v>
      </c>
      <c r="BM10" s="70">
        <v>0</v>
      </c>
      <c r="BN10" s="70">
        <v>0</v>
      </c>
      <c r="BO10" s="70">
        <v>0</v>
      </c>
      <c r="BP10" s="70">
        <v>0</v>
      </c>
      <c r="BQ10" s="70">
        <v>20</v>
      </c>
      <c r="BS10" s="71" t="s">
        <v>1606</v>
      </c>
      <c r="BT10" s="71" t="s">
        <v>2426</v>
      </c>
      <c r="BU10" s="71">
        <v>51</v>
      </c>
      <c r="BV10" s="71">
        <v>128</v>
      </c>
      <c r="BW10" s="71">
        <v>231</v>
      </c>
      <c r="BX10" s="71">
        <v>352</v>
      </c>
      <c r="BY10" s="71">
        <v>324</v>
      </c>
      <c r="BZ10" s="71">
        <v>1086</v>
      </c>
      <c r="CA10" s="71"/>
      <c r="CB10" s="71" t="s">
        <v>2426</v>
      </c>
      <c r="CC10" s="71">
        <v>7</v>
      </c>
      <c r="CD10" s="71">
        <v>0</v>
      </c>
      <c r="CE10" s="71">
        <v>0</v>
      </c>
      <c r="CF10" s="71">
        <v>0</v>
      </c>
      <c r="CG10" s="71">
        <v>0</v>
      </c>
      <c r="CH10" s="71">
        <v>7</v>
      </c>
      <c r="CL10" s="57" t="s">
        <v>393</v>
      </c>
      <c r="CM10" s="57" t="s">
        <v>2426</v>
      </c>
      <c r="CN10" s="57">
        <v>105</v>
      </c>
      <c r="CO10" s="57">
        <v>71</v>
      </c>
      <c r="CP10" s="57">
        <v>171</v>
      </c>
      <c r="CQ10" s="57">
        <v>246</v>
      </c>
      <c r="CR10" s="57">
        <v>283</v>
      </c>
      <c r="CS10" s="57">
        <v>876</v>
      </c>
      <c r="CT10" s="57"/>
      <c r="CU10" s="57" t="s">
        <v>2426</v>
      </c>
      <c r="CV10" s="57">
        <v>20</v>
      </c>
      <c r="CW10" s="57">
        <v>0</v>
      </c>
      <c r="CX10" s="57">
        <v>0</v>
      </c>
      <c r="CY10" s="57">
        <v>0</v>
      </c>
      <c r="CZ10" s="57">
        <v>0</v>
      </c>
      <c r="DA10" s="57">
        <v>20</v>
      </c>
      <c r="DD10" s="78" t="s">
        <v>1828</v>
      </c>
      <c r="DE10" s="78" t="s">
        <v>2426</v>
      </c>
      <c r="DF10" s="78">
        <v>373</v>
      </c>
      <c r="DG10" s="78">
        <v>680</v>
      </c>
      <c r="DH10" s="78">
        <v>1050</v>
      </c>
      <c r="DI10" s="78">
        <v>1158</v>
      </c>
      <c r="DJ10" s="78">
        <v>862</v>
      </c>
      <c r="DK10" s="78">
        <v>4123</v>
      </c>
      <c r="DL10" s="78"/>
      <c r="DM10" s="78" t="s">
        <v>2426</v>
      </c>
      <c r="DN10" s="78">
        <v>14</v>
      </c>
      <c r="DO10" s="78">
        <v>9</v>
      </c>
      <c r="DP10" s="78">
        <v>3</v>
      </c>
      <c r="DQ10" s="78">
        <v>0</v>
      </c>
      <c r="DR10" s="78">
        <v>0</v>
      </c>
      <c r="DS10" s="78">
        <v>26</v>
      </c>
      <c r="DV10" s="80" t="s">
        <v>2355</v>
      </c>
      <c r="DW10" s="80" t="s">
        <v>2426</v>
      </c>
      <c r="DX10" s="80">
        <v>256</v>
      </c>
      <c r="DY10" s="80">
        <v>303</v>
      </c>
      <c r="DZ10" s="80">
        <v>432</v>
      </c>
      <c r="EA10" s="80">
        <v>544</v>
      </c>
      <c r="EB10" s="80">
        <v>500</v>
      </c>
      <c r="EC10" s="80">
        <v>2035</v>
      </c>
      <c r="ED10" s="80"/>
      <c r="EE10" s="80" t="s">
        <v>2426</v>
      </c>
      <c r="EF10" s="80">
        <v>27</v>
      </c>
      <c r="EG10" s="80">
        <v>0</v>
      </c>
      <c r="EH10" s="80">
        <v>0</v>
      </c>
      <c r="EI10" s="80">
        <v>0</v>
      </c>
      <c r="EJ10" s="80">
        <v>0</v>
      </c>
      <c r="EK10" s="80">
        <v>27</v>
      </c>
      <c r="EN10" s="57" t="s">
        <v>1959</v>
      </c>
      <c r="EO10" s="57" t="s">
        <v>2426</v>
      </c>
      <c r="EP10" s="57">
        <v>317</v>
      </c>
      <c r="EQ10" s="57">
        <v>522</v>
      </c>
      <c r="ER10" s="57">
        <v>583</v>
      </c>
      <c r="ES10" s="57">
        <v>687</v>
      </c>
      <c r="ET10" s="57">
        <v>801</v>
      </c>
      <c r="EU10" s="57">
        <v>2910</v>
      </c>
      <c r="EV10" s="57"/>
      <c r="EW10" s="57" t="s">
        <v>2426</v>
      </c>
      <c r="EX10" s="57">
        <v>127</v>
      </c>
      <c r="EY10" s="57">
        <v>73</v>
      </c>
      <c r="EZ10" s="57">
        <v>45</v>
      </c>
      <c r="FA10" s="57">
        <v>25</v>
      </c>
      <c r="FB10" s="57">
        <v>0</v>
      </c>
      <c r="FC10" s="57">
        <v>270</v>
      </c>
      <c r="FF10" s="71" t="s">
        <v>2050</v>
      </c>
      <c r="FG10" s="71" t="s">
        <v>2426</v>
      </c>
      <c r="FH10" s="71">
        <v>140</v>
      </c>
      <c r="FI10" s="71">
        <v>232</v>
      </c>
      <c r="FJ10" s="71">
        <v>246</v>
      </c>
      <c r="FK10" s="71">
        <v>316</v>
      </c>
      <c r="FL10" s="71">
        <v>437</v>
      </c>
      <c r="FM10" s="71">
        <v>1371</v>
      </c>
      <c r="FN10" s="71"/>
      <c r="FO10" s="71" t="s">
        <v>2426</v>
      </c>
      <c r="FP10" s="71">
        <v>36</v>
      </c>
      <c r="FQ10" s="71">
        <v>7</v>
      </c>
      <c r="FR10" s="71">
        <v>0</v>
      </c>
      <c r="FS10" s="71">
        <v>0</v>
      </c>
      <c r="FT10" s="71">
        <v>0</v>
      </c>
      <c r="FU10" s="71">
        <v>43</v>
      </c>
    </row>
    <row r="11" spans="2:179">
      <c r="B11" s="65" t="s">
        <v>853</v>
      </c>
      <c r="C11" s="65" t="s">
        <v>2426</v>
      </c>
      <c r="D11" s="65" t="s">
        <v>356</v>
      </c>
      <c r="E11" s="65" t="s">
        <v>356</v>
      </c>
      <c r="F11" s="65" t="s">
        <v>356</v>
      </c>
      <c r="G11" s="65" t="s">
        <v>356</v>
      </c>
      <c r="H11" s="65" t="s">
        <v>356</v>
      </c>
      <c r="I11" s="65" t="s">
        <v>356</v>
      </c>
      <c r="K11" s="65" t="s">
        <v>2426</v>
      </c>
      <c r="L11" s="65" t="s">
        <v>356</v>
      </c>
      <c r="M11" s="65" t="s">
        <v>356</v>
      </c>
      <c r="N11" s="65" t="s">
        <v>356</v>
      </c>
      <c r="O11" s="65" t="s">
        <v>356</v>
      </c>
      <c r="P11" s="65" t="s">
        <v>356</v>
      </c>
      <c r="Q11" s="65" t="s">
        <v>356</v>
      </c>
      <c r="T11" s="66" t="s">
        <v>2191</v>
      </c>
      <c r="U11" s="66" t="s">
        <v>2426</v>
      </c>
      <c r="V11" s="66" t="s">
        <v>356</v>
      </c>
      <c r="W11" s="66" t="s">
        <v>356</v>
      </c>
      <c r="X11" s="66" t="s">
        <v>356</v>
      </c>
      <c r="Y11" s="66" t="s">
        <v>356</v>
      </c>
      <c r="Z11" s="66" t="s">
        <v>356</v>
      </c>
      <c r="AA11" s="66" t="s">
        <v>356</v>
      </c>
      <c r="AB11" s="66"/>
      <c r="AC11" s="66" t="s">
        <v>2426</v>
      </c>
      <c r="AD11" s="66" t="s">
        <v>356</v>
      </c>
      <c r="AE11" s="66" t="s">
        <v>356</v>
      </c>
      <c r="AF11" s="66" t="s">
        <v>356</v>
      </c>
      <c r="AG11" s="66" t="s">
        <v>356</v>
      </c>
      <c r="AH11" s="66" t="s">
        <v>356</v>
      </c>
      <c r="AI11" s="66" t="s">
        <v>356</v>
      </c>
      <c r="AK11" s="67" t="s">
        <v>2213</v>
      </c>
      <c r="AL11" s="67" t="s">
        <v>2426</v>
      </c>
      <c r="AM11" s="67">
        <v>422</v>
      </c>
      <c r="AN11" s="67">
        <v>468</v>
      </c>
      <c r="AO11" s="67">
        <v>723</v>
      </c>
      <c r="AP11" s="67">
        <v>954</v>
      </c>
      <c r="AQ11" s="67">
        <v>702</v>
      </c>
      <c r="AR11" s="67">
        <v>3269</v>
      </c>
      <c r="AS11" s="67"/>
      <c r="AT11" s="67" t="s">
        <v>2426</v>
      </c>
      <c r="AU11" s="67">
        <v>36</v>
      </c>
      <c r="AV11" s="67">
        <v>3</v>
      </c>
      <c r="AW11" s="67">
        <v>0</v>
      </c>
      <c r="AX11" s="67">
        <v>0</v>
      </c>
      <c r="AY11" s="67">
        <v>0</v>
      </c>
      <c r="AZ11" s="67">
        <v>39</v>
      </c>
      <c r="BB11" s="70" t="s">
        <v>1320</v>
      </c>
      <c r="BC11" s="70" t="s">
        <v>2426</v>
      </c>
      <c r="BD11" s="70">
        <v>221</v>
      </c>
      <c r="BE11" s="70">
        <v>143</v>
      </c>
      <c r="BF11" s="70">
        <v>149</v>
      </c>
      <c r="BG11" s="70">
        <v>181</v>
      </c>
      <c r="BH11" s="70">
        <v>220</v>
      </c>
      <c r="BI11" s="70">
        <v>914</v>
      </c>
      <c r="BJ11" s="70"/>
      <c r="BK11" s="70" t="s">
        <v>2426</v>
      </c>
      <c r="BL11" s="70">
        <v>30</v>
      </c>
      <c r="BM11" s="70">
        <v>0</v>
      </c>
      <c r="BN11" s="70">
        <v>0</v>
      </c>
      <c r="BO11" s="70">
        <v>0</v>
      </c>
      <c r="BP11" s="70">
        <v>0</v>
      </c>
      <c r="BQ11" s="70">
        <v>30</v>
      </c>
      <c r="BS11" s="71" t="s">
        <v>1608</v>
      </c>
      <c r="BT11" s="71" t="s">
        <v>2426</v>
      </c>
      <c r="BU11" s="71">
        <v>120</v>
      </c>
      <c r="BV11" s="71">
        <v>109</v>
      </c>
      <c r="BW11" s="71">
        <v>212</v>
      </c>
      <c r="BX11" s="71">
        <v>331</v>
      </c>
      <c r="BY11" s="71">
        <v>305</v>
      </c>
      <c r="BZ11" s="71">
        <v>1077</v>
      </c>
      <c r="CA11" s="71"/>
      <c r="CB11" s="71" t="s">
        <v>2426</v>
      </c>
      <c r="CC11" s="71">
        <v>31</v>
      </c>
      <c r="CD11" s="71">
        <v>0</v>
      </c>
      <c r="CE11" s="71">
        <v>0</v>
      </c>
      <c r="CF11" s="71">
        <v>0</v>
      </c>
      <c r="CG11" s="71">
        <v>0</v>
      </c>
      <c r="CH11" s="71">
        <v>31</v>
      </c>
      <c r="CL11" s="57" t="s">
        <v>392</v>
      </c>
      <c r="CM11" s="57" t="s">
        <v>2426</v>
      </c>
      <c r="CN11" s="57">
        <v>157</v>
      </c>
      <c r="CO11" s="57">
        <v>66</v>
      </c>
      <c r="CP11" s="57">
        <v>112</v>
      </c>
      <c r="CQ11" s="57">
        <v>129</v>
      </c>
      <c r="CR11" s="57">
        <v>170</v>
      </c>
      <c r="CS11" s="57">
        <v>634</v>
      </c>
      <c r="CT11" s="57"/>
      <c r="CU11" s="57" t="s">
        <v>2426</v>
      </c>
      <c r="CV11" s="57">
        <v>72</v>
      </c>
      <c r="CW11" s="57">
        <v>0</v>
      </c>
      <c r="CX11" s="57">
        <v>0</v>
      </c>
      <c r="CY11" s="57">
        <v>0</v>
      </c>
      <c r="CZ11" s="57">
        <v>0</v>
      </c>
      <c r="DA11" s="57">
        <v>72</v>
      </c>
      <c r="DD11" s="78" t="s">
        <v>1831</v>
      </c>
      <c r="DE11" s="78" t="s">
        <v>2426</v>
      </c>
      <c r="DF11" s="78">
        <v>490</v>
      </c>
      <c r="DG11" s="78">
        <v>665</v>
      </c>
      <c r="DH11" s="78">
        <v>754</v>
      </c>
      <c r="DI11" s="78">
        <v>711</v>
      </c>
      <c r="DJ11" s="78">
        <v>586</v>
      </c>
      <c r="DK11" s="78">
        <v>3206</v>
      </c>
      <c r="DL11" s="78"/>
      <c r="DM11" s="78" t="s">
        <v>2426</v>
      </c>
      <c r="DN11" s="78">
        <v>14</v>
      </c>
      <c r="DO11" s="78">
        <v>8</v>
      </c>
      <c r="DP11" s="78">
        <v>3</v>
      </c>
      <c r="DQ11" s="78">
        <v>0</v>
      </c>
      <c r="DR11" s="78">
        <v>0</v>
      </c>
      <c r="DS11" s="78">
        <v>25</v>
      </c>
      <c r="DV11" s="80" t="s">
        <v>1883</v>
      </c>
      <c r="DW11" s="80" t="s">
        <v>2426</v>
      </c>
      <c r="DX11" s="80">
        <v>1548</v>
      </c>
      <c r="DY11" s="80">
        <v>1033</v>
      </c>
      <c r="DZ11" s="80">
        <v>1349</v>
      </c>
      <c r="EA11" s="80">
        <v>1468</v>
      </c>
      <c r="EB11" s="80">
        <v>1140</v>
      </c>
      <c r="EC11" s="80">
        <v>6538</v>
      </c>
      <c r="ED11" s="80"/>
      <c r="EE11" s="80" t="s">
        <v>2426</v>
      </c>
      <c r="EF11" s="80">
        <v>20</v>
      </c>
      <c r="EG11" s="80">
        <v>0</v>
      </c>
      <c r="EH11" s="80">
        <v>0</v>
      </c>
      <c r="EI11" s="80">
        <v>0</v>
      </c>
      <c r="EJ11" s="80">
        <v>0</v>
      </c>
      <c r="EK11" s="80">
        <v>20</v>
      </c>
      <c r="EN11" s="57" t="s">
        <v>1962</v>
      </c>
      <c r="EO11" s="57" t="s">
        <v>2426</v>
      </c>
      <c r="EP11" s="57">
        <v>653</v>
      </c>
      <c r="EQ11" s="57">
        <v>838</v>
      </c>
      <c r="ER11" s="57">
        <v>1071</v>
      </c>
      <c r="ES11" s="57">
        <v>1120</v>
      </c>
      <c r="ET11" s="57">
        <v>1131</v>
      </c>
      <c r="EU11" s="57">
        <v>4813</v>
      </c>
      <c r="EV11" s="57"/>
      <c r="EW11" s="57" t="s">
        <v>2426</v>
      </c>
      <c r="EX11" s="57">
        <v>125</v>
      </c>
      <c r="EY11" s="57">
        <v>70</v>
      </c>
      <c r="EZ11" s="57">
        <v>58</v>
      </c>
      <c r="FA11" s="57">
        <v>78</v>
      </c>
      <c r="FB11" s="57">
        <v>54</v>
      </c>
      <c r="FC11" s="57">
        <v>385</v>
      </c>
      <c r="FF11" s="71" t="s">
        <v>2052</v>
      </c>
      <c r="FG11" s="71" t="s">
        <v>2426</v>
      </c>
      <c r="FH11" s="71">
        <v>105</v>
      </c>
      <c r="FI11" s="71">
        <v>152</v>
      </c>
      <c r="FJ11" s="71">
        <v>170</v>
      </c>
      <c r="FK11" s="71">
        <v>215</v>
      </c>
      <c r="FL11" s="71">
        <v>259</v>
      </c>
      <c r="FM11" s="71">
        <v>901</v>
      </c>
      <c r="FN11" s="71"/>
      <c r="FO11" s="71" t="s">
        <v>2426</v>
      </c>
      <c r="FP11" s="71">
        <v>23</v>
      </c>
      <c r="FQ11" s="71">
        <v>12</v>
      </c>
      <c r="FR11" s="71">
        <v>14</v>
      </c>
      <c r="FS11" s="71">
        <v>9</v>
      </c>
      <c r="FT11" s="71">
        <v>14</v>
      </c>
      <c r="FU11" s="71">
        <v>72</v>
      </c>
    </row>
    <row r="12" spans="2:179">
      <c r="B12" s="65" t="s">
        <v>856</v>
      </c>
      <c r="C12" s="65" t="s">
        <v>2426</v>
      </c>
      <c r="D12" s="65" t="s">
        <v>356</v>
      </c>
      <c r="E12" s="65" t="s">
        <v>356</v>
      </c>
      <c r="F12" s="65" t="s">
        <v>356</v>
      </c>
      <c r="G12" s="65" t="s">
        <v>356</v>
      </c>
      <c r="H12" s="65" t="s">
        <v>356</v>
      </c>
      <c r="I12" s="65" t="s">
        <v>356</v>
      </c>
      <c r="K12" s="65" t="s">
        <v>2426</v>
      </c>
      <c r="L12" s="65" t="s">
        <v>356</v>
      </c>
      <c r="M12" s="65" t="s">
        <v>356</v>
      </c>
      <c r="N12" s="65" t="s">
        <v>356</v>
      </c>
      <c r="O12" s="65" t="s">
        <v>356</v>
      </c>
      <c r="P12" s="65" t="s">
        <v>356</v>
      </c>
      <c r="Q12" s="65" t="s">
        <v>356</v>
      </c>
      <c r="T12" s="66" t="s">
        <v>1082</v>
      </c>
      <c r="U12" s="66" t="s">
        <v>2426</v>
      </c>
      <c r="V12" s="66">
        <v>891</v>
      </c>
      <c r="W12" s="66">
        <v>701</v>
      </c>
      <c r="X12" s="66">
        <v>884</v>
      </c>
      <c r="Y12" s="66">
        <v>933</v>
      </c>
      <c r="Z12" s="66">
        <v>655</v>
      </c>
      <c r="AA12" s="66">
        <v>4064</v>
      </c>
      <c r="AB12" s="66"/>
      <c r="AC12" s="66" t="s">
        <v>2426</v>
      </c>
      <c r="AD12" s="66">
        <v>32</v>
      </c>
      <c r="AE12" s="66">
        <v>3</v>
      </c>
      <c r="AF12" s="66">
        <v>0</v>
      </c>
      <c r="AG12" s="66">
        <v>0</v>
      </c>
      <c r="AH12" s="66">
        <v>0</v>
      </c>
      <c r="AI12" s="66">
        <v>35</v>
      </c>
      <c r="AK12" s="67" t="s">
        <v>2238</v>
      </c>
      <c r="AL12" s="67" t="s">
        <v>2426</v>
      </c>
      <c r="AM12" s="67">
        <v>606</v>
      </c>
      <c r="AN12" s="67">
        <v>682</v>
      </c>
      <c r="AO12" s="67">
        <v>865</v>
      </c>
      <c r="AP12" s="67">
        <v>989</v>
      </c>
      <c r="AQ12" s="67">
        <v>619</v>
      </c>
      <c r="AR12" s="67">
        <v>3761</v>
      </c>
      <c r="AS12" s="67"/>
      <c r="AT12" s="67" t="s">
        <v>2426</v>
      </c>
      <c r="AU12" s="67">
        <v>15</v>
      </c>
      <c r="AV12" s="67">
        <v>2</v>
      </c>
      <c r="AW12" s="67">
        <v>0</v>
      </c>
      <c r="AX12" s="67">
        <v>0</v>
      </c>
      <c r="AY12" s="67">
        <v>1</v>
      </c>
      <c r="AZ12" s="67">
        <v>18</v>
      </c>
      <c r="BB12" s="70" t="s">
        <v>1323</v>
      </c>
      <c r="BC12" s="70" t="s">
        <v>2426</v>
      </c>
      <c r="BD12" s="70">
        <v>261</v>
      </c>
      <c r="BE12" s="70">
        <v>307</v>
      </c>
      <c r="BF12" s="70">
        <v>436</v>
      </c>
      <c r="BG12" s="70">
        <v>590</v>
      </c>
      <c r="BH12" s="70">
        <v>573</v>
      </c>
      <c r="BI12" s="70">
        <v>2167</v>
      </c>
      <c r="BJ12" s="70"/>
      <c r="BK12" s="70" t="s">
        <v>2426</v>
      </c>
      <c r="BL12" s="70">
        <v>23</v>
      </c>
      <c r="BM12" s="70">
        <v>0</v>
      </c>
      <c r="BN12" s="70">
        <v>0</v>
      </c>
      <c r="BO12" s="70">
        <v>0</v>
      </c>
      <c r="BP12" s="70">
        <v>0</v>
      </c>
      <c r="BQ12" s="70">
        <v>23</v>
      </c>
      <c r="BS12" s="71" t="s">
        <v>1613</v>
      </c>
      <c r="BT12" s="71" t="s">
        <v>2426</v>
      </c>
      <c r="BU12" s="71">
        <v>106</v>
      </c>
      <c r="BV12" s="71">
        <v>47</v>
      </c>
      <c r="BW12" s="71">
        <v>119</v>
      </c>
      <c r="BX12" s="71">
        <v>148</v>
      </c>
      <c r="BY12" s="71">
        <v>255</v>
      </c>
      <c r="BZ12" s="71">
        <v>675</v>
      </c>
      <c r="CA12" s="71"/>
      <c r="CB12" s="71" t="s">
        <v>2426</v>
      </c>
      <c r="CC12" s="71">
        <v>20</v>
      </c>
      <c r="CD12" s="71">
        <v>0</v>
      </c>
      <c r="CE12" s="71">
        <v>0</v>
      </c>
      <c r="CF12" s="71">
        <v>0</v>
      </c>
      <c r="CG12" s="71">
        <v>0</v>
      </c>
      <c r="CH12" s="71">
        <v>20</v>
      </c>
      <c r="CL12" s="57" t="s">
        <v>396</v>
      </c>
      <c r="CM12" s="57" t="s">
        <v>2426</v>
      </c>
      <c r="CN12" s="57">
        <v>81</v>
      </c>
      <c r="CO12" s="57">
        <v>47</v>
      </c>
      <c r="CP12" s="57">
        <v>91</v>
      </c>
      <c r="CQ12" s="57">
        <v>140</v>
      </c>
      <c r="CR12" s="57">
        <v>120</v>
      </c>
      <c r="CS12" s="57">
        <v>479</v>
      </c>
      <c r="CT12" s="57"/>
      <c r="CU12" s="57" t="s">
        <v>2426</v>
      </c>
      <c r="CV12" s="57">
        <v>17</v>
      </c>
      <c r="CW12" s="57">
        <v>0</v>
      </c>
      <c r="CX12" s="57">
        <v>0</v>
      </c>
      <c r="CY12" s="57">
        <v>0</v>
      </c>
      <c r="CZ12" s="57">
        <v>0</v>
      </c>
      <c r="DA12" s="57">
        <v>17</v>
      </c>
      <c r="DD12" s="78" t="s">
        <v>1835</v>
      </c>
      <c r="DE12" s="78" t="s">
        <v>2426</v>
      </c>
      <c r="DF12" s="78">
        <v>505</v>
      </c>
      <c r="DG12" s="78">
        <v>679</v>
      </c>
      <c r="DH12" s="78">
        <v>763</v>
      </c>
      <c r="DI12" s="78">
        <v>868</v>
      </c>
      <c r="DJ12" s="78">
        <v>761</v>
      </c>
      <c r="DK12" s="78">
        <v>3576</v>
      </c>
      <c r="DL12" s="78"/>
      <c r="DM12" s="78" t="s">
        <v>2426</v>
      </c>
      <c r="DN12" s="78">
        <v>17</v>
      </c>
      <c r="DO12" s="78">
        <v>8</v>
      </c>
      <c r="DP12" s="78">
        <v>3</v>
      </c>
      <c r="DQ12" s="78">
        <v>2</v>
      </c>
      <c r="DR12" s="78">
        <v>1</v>
      </c>
      <c r="DS12" s="78">
        <v>31</v>
      </c>
      <c r="DV12" s="80" t="s">
        <v>2359</v>
      </c>
      <c r="DW12" s="80" t="s">
        <v>2426</v>
      </c>
      <c r="DX12" s="80">
        <v>391</v>
      </c>
      <c r="DY12" s="80">
        <v>388</v>
      </c>
      <c r="DZ12" s="80">
        <v>528</v>
      </c>
      <c r="EA12" s="80">
        <v>479</v>
      </c>
      <c r="EB12" s="80">
        <v>386</v>
      </c>
      <c r="EC12" s="80">
        <v>2172</v>
      </c>
      <c r="ED12" s="80"/>
      <c r="EE12" s="80" t="s">
        <v>2426</v>
      </c>
      <c r="EF12" s="80">
        <v>16</v>
      </c>
      <c r="EG12" s="80">
        <v>3</v>
      </c>
      <c r="EH12" s="80">
        <v>0</v>
      </c>
      <c r="EI12" s="80">
        <v>0</v>
      </c>
      <c r="EJ12" s="80">
        <v>0</v>
      </c>
      <c r="EK12" s="80">
        <v>19</v>
      </c>
      <c r="EN12" s="57" t="s">
        <v>1965</v>
      </c>
      <c r="EO12" s="57" t="s">
        <v>2426</v>
      </c>
      <c r="EP12" s="57" t="s">
        <v>356</v>
      </c>
      <c r="EQ12" s="57" t="s">
        <v>356</v>
      </c>
      <c r="ER12" s="57" t="s">
        <v>356</v>
      </c>
      <c r="ES12" s="57" t="s">
        <v>356</v>
      </c>
      <c r="ET12" s="57" t="s">
        <v>356</v>
      </c>
      <c r="EU12" s="57" t="s">
        <v>356</v>
      </c>
      <c r="EV12" s="57"/>
      <c r="EW12" s="57" t="s">
        <v>2426</v>
      </c>
      <c r="EX12" s="57" t="s">
        <v>356</v>
      </c>
      <c r="EY12" s="57" t="s">
        <v>356</v>
      </c>
      <c r="EZ12" s="57" t="s">
        <v>356</v>
      </c>
      <c r="FA12" s="57" t="s">
        <v>356</v>
      </c>
      <c r="FB12" s="57" t="s">
        <v>356</v>
      </c>
      <c r="FC12" s="57" t="s">
        <v>356</v>
      </c>
      <c r="FF12" s="71" t="s">
        <v>2054</v>
      </c>
      <c r="FG12" s="71" t="s">
        <v>2426</v>
      </c>
      <c r="FH12" s="71">
        <v>247</v>
      </c>
      <c r="FI12" s="71">
        <v>276</v>
      </c>
      <c r="FJ12" s="71">
        <v>285</v>
      </c>
      <c r="FK12" s="71">
        <v>355</v>
      </c>
      <c r="FL12" s="71">
        <v>429</v>
      </c>
      <c r="FM12" s="71">
        <v>1592</v>
      </c>
      <c r="FN12" s="71"/>
      <c r="FO12" s="71" t="s">
        <v>2426</v>
      </c>
      <c r="FP12" s="71">
        <v>83</v>
      </c>
      <c r="FQ12" s="71">
        <v>3</v>
      </c>
      <c r="FR12" s="71">
        <v>0</v>
      </c>
      <c r="FS12" s="71">
        <v>0</v>
      </c>
      <c r="FT12" s="71">
        <v>0</v>
      </c>
      <c r="FU12" s="71">
        <v>86</v>
      </c>
    </row>
    <row r="13" spans="2:179">
      <c r="B13" s="65" t="s">
        <v>859</v>
      </c>
      <c r="C13" s="65" t="s">
        <v>2426</v>
      </c>
      <c r="D13" s="65" t="s">
        <v>356</v>
      </c>
      <c r="E13" s="65" t="s">
        <v>356</v>
      </c>
      <c r="F13" s="65" t="s">
        <v>356</v>
      </c>
      <c r="G13" s="65" t="s">
        <v>356</v>
      </c>
      <c r="H13" s="65" t="s">
        <v>356</v>
      </c>
      <c r="I13" s="65" t="s">
        <v>356</v>
      </c>
      <c r="K13" s="65" t="s">
        <v>2426</v>
      </c>
      <c r="L13" s="65" t="s">
        <v>356</v>
      </c>
      <c r="M13" s="65" t="s">
        <v>356</v>
      </c>
      <c r="N13" s="65" t="s">
        <v>356</v>
      </c>
      <c r="O13" s="65" t="s">
        <v>356</v>
      </c>
      <c r="P13" s="65" t="s">
        <v>356</v>
      </c>
      <c r="Q13" s="65" t="s">
        <v>356</v>
      </c>
      <c r="T13" s="66" t="s">
        <v>1087</v>
      </c>
      <c r="U13" s="66" t="s">
        <v>2426</v>
      </c>
      <c r="V13" s="66">
        <v>668</v>
      </c>
      <c r="W13" s="66">
        <v>905</v>
      </c>
      <c r="X13" s="66">
        <v>1336</v>
      </c>
      <c r="Y13" s="66">
        <v>1545</v>
      </c>
      <c r="Z13" s="66">
        <v>927</v>
      </c>
      <c r="AA13" s="66">
        <v>5381</v>
      </c>
      <c r="AB13" s="66"/>
      <c r="AC13" s="66" t="s">
        <v>2426</v>
      </c>
      <c r="AD13" s="66">
        <v>25</v>
      </c>
      <c r="AE13" s="66">
        <v>6</v>
      </c>
      <c r="AF13" s="66">
        <v>3</v>
      </c>
      <c r="AG13" s="66">
        <v>1</v>
      </c>
      <c r="AH13" s="66">
        <v>0</v>
      </c>
      <c r="AI13" s="66">
        <v>35</v>
      </c>
      <c r="AK13" s="67" t="s">
        <v>1261</v>
      </c>
      <c r="AL13" s="67" t="s">
        <v>2426</v>
      </c>
      <c r="AM13" s="67">
        <v>576</v>
      </c>
      <c r="AN13" s="67">
        <v>571</v>
      </c>
      <c r="AO13" s="67">
        <v>628</v>
      </c>
      <c r="AP13" s="67">
        <v>728</v>
      </c>
      <c r="AQ13" s="67">
        <v>552</v>
      </c>
      <c r="AR13" s="67">
        <v>3055</v>
      </c>
      <c r="AS13" s="67"/>
      <c r="AT13" s="67" t="s">
        <v>2426</v>
      </c>
      <c r="AU13" s="67">
        <v>28</v>
      </c>
      <c r="AV13" s="67">
        <v>4</v>
      </c>
      <c r="AW13" s="67">
        <v>2</v>
      </c>
      <c r="AX13" s="67">
        <v>2</v>
      </c>
      <c r="AY13" s="67">
        <v>1</v>
      </c>
      <c r="AZ13" s="67">
        <v>37</v>
      </c>
      <c r="BB13" s="70" t="s">
        <v>1326</v>
      </c>
      <c r="BC13" s="70" t="s">
        <v>2426</v>
      </c>
      <c r="BD13" s="70">
        <v>130</v>
      </c>
      <c r="BE13" s="70">
        <v>111</v>
      </c>
      <c r="BF13" s="70">
        <v>171</v>
      </c>
      <c r="BG13" s="70">
        <v>241</v>
      </c>
      <c r="BH13" s="70">
        <v>261</v>
      </c>
      <c r="BI13" s="70">
        <v>914</v>
      </c>
      <c r="BJ13" s="70"/>
      <c r="BK13" s="70" t="s">
        <v>2426</v>
      </c>
      <c r="BL13" s="70">
        <v>18</v>
      </c>
      <c r="BM13" s="70">
        <v>0</v>
      </c>
      <c r="BN13" s="70">
        <v>0</v>
      </c>
      <c r="BO13" s="70">
        <v>0</v>
      </c>
      <c r="BP13" s="70">
        <v>0</v>
      </c>
      <c r="BQ13" s="70">
        <v>18</v>
      </c>
      <c r="BS13" s="71" t="s">
        <v>1617</v>
      </c>
      <c r="BT13" s="71" t="s">
        <v>2426</v>
      </c>
      <c r="BU13" s="71">
        <v>67</v>
      </c>
      <c r="BV13" s="71">
        <v>94</v>
      </c>
      <c r="BW13" s="71">
        <v>133</v>
      </c>
      <c r="BX13" s="71">
        <v>241</v>
      </c>
      <c r="BY13" s="71">
        <v>214</v>
      </c>
      <c r="BZ13" s="71">
        <v>749</v>
      </c>
      <c r="CA13" s="71"/>
      <c r="CB13" s="71" t="s">
        <v>2426</v>
      </c>
      <c r="CC13" s="71">
        <v>18</v>
      </c>
      <c r="CD13" s="71">
        <v>0</v>
      </c>
      <c r="CE13" s="71">
        <v>0</v>
      </c>
      <c r="CF13" s="71">
        <v>0</v>
      </c>
      <c r="CG13" s="71">
        <v>0</v>
      </c>
      <c r="CH13" s="71">
        <v>18</v>
      </c>
      <c r="CL13" s="57" t="s">
        <v>394</v>
      </c>
      <c r="CM13" s="57" t="s">
        <v>2426</v>
      </c>
      <c r="CN13" s="57">
        <v>70</v>
      </c>
      <c r="CO13" s="57">
        <v>48</v>
      </c>
      <c r="CP13" s="57">
        <v>96</v>
      </c>
      <c r="CQ13" s="57">
        <v>152</v>
      </c>
      <c r="CR13" s="57">
        <v>217</v>
      </c>
      <c r="CS13" s="57">
        <v>583</v>
      </c>
      <c r="CT13" s="57"/>
      <c r="CU13" s="57" t="s">
        <v>2426</v>
      </c>
      <c r="CV13" s="57">
        <v>11</v>
      </c>
      <c r="CW13" s="57">
        <v>0</v>
      </c>
      <c r="CX13" s="57">
        <v>0</v>
      </c>
      <c r="CY13" s="57">
        <v>0</v>
      </c>
      <c r="CZ13" s="57">
        <v>0</v>
      </c>
      <c r="DA13" s="57">
        <v>11</v>
      </c>
      <c r="DD13" s="78" t="s">
        <v>1839</v>
      </c>
      <c r="DE13" s="78" t="s">
        <v>2426</v>
      </c>
      <c r="DF13" s="78">
        <v>370</v>
      </c>
      <c r="DG13" s="78">
        <v>481</v>
      </c>
      <c r="DH13" s="78">
        <v>612</v>
      </c>
      <c r="DI13" s="78">
        <v>631</v>
      </c>
      <c r="DJ13" s="78">
        <v>483</v>
      </c>
      <c r="DK13" s="78">
        <v>2577</v>
      </c>
      <c r="DL13" s="78"/>
      <c r="DM13" s="78" t="s">
        <v>2426</v>
      </c>
      <c r="DN13" s="78">
        <v>9</v>
      </c>
      <c r="DO13" s="78">
        <v>14</v>
      </c>
      <c r="DP13" s="78">
        <v>6</v>
      </c>
      <c r="DQ13" s="78">
        <v>2</v>
      </c>
      <c r="DR13" s="78">
        <v>2</v>
      </c>
      <c r="DS13" s="78">
        <v>33</v>
      </c>
      <c r="DV13" s="80" t="s">
        <v>1890</v>
      </c>
      <c r="DW13" s="80" t="s">
        <v>2426</v>
      </c>
      <c r="DX13" s="80">
        <v>242</v>
      </c>
      <c r="DY13" s="80">
        <v>323</v>
      </c>
      <c r="DZ13" s="80">
        <v>472</v>
      </c>
      <c r="EA13" s="80">
        <v>505</v>
      </c>
      <c r="EB13" s="80">
        <v>407</v>
      </c>
      <c r="EC13" s="80">
        <v>1949</v>
      </c>
      <c r="ED13" s="80"/>
      <c r="EE13" s="80" t="s">
        <v>2426</v>
      </c>
      <c r="EF13" s="80">
        <v>16</v>
      </c>
      <c r="EG13" s="80">
        <v>0</v>
      </c>
      <c r="EH13" s="80">
        <v>0</v>
      </c>
      <c r="EI13" s="80">
        <v>0</v>
      </c>
      <c r="EJ13" s="80">
        <v>0</v>
      </c>
      <c r="EK13" s="80">
        <v>16</v>
      </c>
      <c r="EN13" s="57" t="s">
        <v>1968</v>
      </c>
      <c r="EO13" s="57" t="s">
        <v>2426</v>
      </c>
      <c r="EP13" s="57">
        <v>280</v>
      </c>
      <c r="EQ13" s="57">
        <v>345</v>
      </c>
      <c r="ER13" s="57">
        <v>389</v>
      </c>
      <c r="ES13" s="57">
        <v>439</v>
      </c>
      <c r="ET13" s="57">
        <v>620</v>
      </c>
      <c r="EU13" s="57">
        <v>2073</v>
      </c>
      <c r="EV13" s="57"/>
      <c r="EW13" s="57" t="s">
        <v>2426</v>
      </c>
      <c r="EX13" s="57">
        <v>82</v>
      </c>
      <c r="EY13" s="57">
        <v>54</v>
      </c>
      <c r="EZ13" s="57">
        <v>17</v>
      </c>
      <c r="FA13" s="57">
        <v>12</v>
      </c>
      <c r="FB13" s="57">
        <v>10</v>
      </c>
      <c r="FC13" s="57">
        <v>175</v>
      </c>
      <c r="FF13" s="71" t="s">
        <v>2056</v>
      </c>
      <c r="FG13" s="71" t="s">
        <v>2426</v>
      </c>
      <c r="FH13" s="71">
        <v>327</v>
      </c>
      <c r="FI13" s="71">
        <v>380</v>
      </c>
      <c r="FJ13" s="71">
        <v>399</v>
      </c>
      <c r="FK13" s="71">
        <v>483</v>
      </c>
      <c r="FL13" s="71">
        <v>640</v>
      </c>
      <c r="FM13" s="71">
        <v>2229</v>
      </c>
      <c r="FN13" s="71"/>
      <c r="FO13" s="71" t="s">
        <v>2426</v>
      </c>
      <c r="FP13" s="71">
        <v>68</v>
      </c>
      <c r="FQ13" s="71">
        <v>12</v>
      </c>
      <c r="FR13" s="71">
        <v>0</v>
      </c>
      <c r="FS13" s="71">
        <v>0</v>
      </c>
      <c r="FT13" s="71">
        <v>0</v>
      </c>
      <c r="FU13" s="71">
        <v>80</v>
      </c>
    </row>
    <row r="14" spans="2:179">
      <c r="B14" s="65" t="s">
        <v>863</v>
      </c>
      <c r="C14" s="65" t="s">
        <v>2426</v>
      </c>
      <c r="D14" s="65" t="s">
        <v>356</v>
      </c>
      <c r="E14" s="65" t="s">
        <v>356</v>
      </c>
      <c r="F14" s="65" t="s">
        <v>356</v>
      </c>
      <c r="G14" s="65" t="s">
        <v>356</v>
      </c>
      <c r="H14" s="65" t="s">
        <v>356</v>
      </c>
      <c r="I14" s="65" t="s">
        <v>356</v>
      </c>
      <c r="K14" s="65" t="s">
        <v>2426</v>
      </c>
      <c r="L14" s="65" t="s">
        <v>356</v>
      </c>
      <c r="M14" s="65" t="s">
        <v>356</v>
      </c>
      <c r="N14" s="65" t="s">
        <v>356</v>
      </c>
      <c r="O14" s="65" t="s">
        <v>356</v>
      </c>
      <c r="P14" s="65" t="s">
        <v>356</v>
      </c>
      <c r="Q14" s="65" t="s">
        <v>356</v>
      </c>
      <c r="T14" s="66" t="s">
        <v>2193</v>
      </c>
      <c r="U14" s="66" t="s">
        <v>2426</v>
      </c>
      <c r="V14" s="66">
        <v>705</v>
      </c>
      <c r="W14" s="66">
        <v>691</v>
      </c>
      <c r="X14" s="66">
        <v>956</v>
      </c>
      <c r="Y14" s="66">
        <v>1073</v>
      </c>
      <c r="Z14" s="66">
        <v>746</v>
      </c>
      <c r="AA14" s="66">
        <v>4171</v>
      </c>
      <c r="AB14" s="66"/>
      <c r="AC14" s="66" t="s">
        <v>2426</v>
      </c>
      <c r="AD14" s="66">
        <v>22</v>
      </c>
      <c r="AE14" s="66">
        <v>0</v>
      </c>
      <c r="AF14" s="66">
        <v>0</v>
      </c>
      <c r="AG14" s="66">
        <v>0</v>
      </c>
      <c r="AH14" s="66">
        <v>0</v>
      </c>
      <c r="AI14" s="66">
        <v>22</v>
      </c>
      <c r="AK14" s="67" t="s">
        <v>1264</v>
      </c>
      <c r="AL14" s="67" t="s">
        <v>2426</v>
      </c>
      <c r="AM14" s="67">
        <v>1170</v>
      </c>
      <c r="AN14" s="67">
        <v>469</v>
      </c>
      <c r="AO14" s="67">
        <v>594</v>
      </c>
      <c r="AP14" s="67">
        <v>609</v>
      </c>
      <c r="AQ14" s="67">
        <v>501</v>
      </c>
      <c r="AR14" s="67">
        <v>3343</v>
      </c>
      <c r="AS14" s="67"/>
      <c r="AT14" s="67" t="s">
        <v>2426</v>
      </c>
      <c r="AU14" s="67">
        <v>68</v>
      </c>
      <c r="AV14" s="67">
        <v>0</v>
      </c>
      <c r="AW14" s="67">
        <v>0</v>
      </c>
      <c r="AX14" s="67">
        <v>0</v>
      </c>
      <c r="AY14" s="67">
        <v>0</v>
      </c>
      <c r="AZ14" s="67">
        <v>68</v>
      </c>
      <c r="BB14" s="70" t="s">
        <v>1329</v>
      </c>
      <c r="BC14" s="70" t="s">
        <v>2426</v>
      </c>
      <c r="BD14" s="70">
        <v>35</v>
      </c>
      <c r="BE14" s="70">
        <v>44</v>
      </c>
      <c r="BF14" s="70">
        <v>80</v>
      </c>
      <c r="BG14" s="70">
        <v>130</v>
      </c>
      <c r="BH14" s="70">
        <v>146</v>
      </c>
      <c r="BI14" s="70">
        <v>435</v>
      </c>
      <c r="BJ14" s="70"/>
      <c r="BK14" s="70" t="s">
        <v>2426</v>
      </c>
      <c r="BL14" s="70">
        <v>1</v>
      </c>
      <c r="BM14" s="70">
        <v>0</v>
      </c>
      <c r="BN14" s="70">
        <v>0</v>
      </c>
      <c r="BO14" s="70">
        <v>0</v>
      </c>
      <c r="BP14" s="70">
        <v>0</v>
      </c>
      <c r="BQ14" s="70">
        <v>1</v>
      </c>
      <c r="BS14" s="71" t="s">
        <v>1619</v>
      </c>
      <c r="BT14" s="71" t="s">
        <v>2426</v>
      </c>
      <c r="BU14" s="71">
        <v>61</v>
      </c>
      <c r="BV14" s="71">
        <v>141</v>
      </c>
      <c r="BW14" s="71">
        <v>313</v>
      </c>
      <c r="BX14" s="71">
        <v>523</v>
      </c>
      <c r="BY14" s="71">
        <v>481</v>
      </c>
      <c r="BZ14" s="71">
        <v>1519</v>
      </c>
      <c r="CA14" s="71"/>
      <c r="CB14" s="71" t="s">
        <v>2426</v>
      </c>
      <c r="CC14" s="71">
        <v>10</v>
      </c>
      <c r="CD14" s="71">
        <v>0</v>
      </c>
      <c r="CE14" s="71">
        <v>0</v>
      </c>
      <c r="CF14" s="71">
        <v>0</v>
      </c>
      <c r="CG14" s="71">
        <v>0</v>
      </c>
      <c r="CH14" s="71">
        <v>10</v>
      </c>
      <c r="CL14" s="57" t="s">
        <v>565</v>
      </c>
      <c r="CM14" s="57" t="s">
        <v>2426</v>
      </c>
      <c r="CN14" s="57">
        <v>295</v>
      </c>
      <c r="CO14" s="57">
        <v>95</v>
      </c>
      <c r="CP14" s="57">
        <v>185</v>
      </c>
      <c r="CQ14" s="57">
        <v>226</v>
      </c>
      <c r="CR14" s="57">
        <v>332</v>
      </c>
      <c r="CS14" s="57">
        <v>1133</v>
      </c>
      <c r="CT14" s="57"/>
      <c r="CU14" s="57" t="s">
        <v>2426</v>
      </c>
      <c r="CV14" s="57">
        <v>53</v>
      </c>
      <c r="CW14" s="57">
        <v>0</v>
      </c>
      <c r="CX14" s="57">
        <v>0</v>
      </c>
      <c r="CY14" s="57">
        <v>0</v>
      </c>
      <c r="CZ14" s="57">
        <v>0</v>
      </c>
      <c r="DA14" s="57">
        <v>53</v>
      </c>
      <c r="DV14" s="80" t="s">
        <v>1894</v>
      </c>
      <c r="DW14" s="80" t="s">
        <v>2426</v>
      </c>
      <c r="DX14" s="80">
        <v>155</v>
      </c>
      <c r="DY14" s="80">
        <v>251</v>
      </c>
      <c r="DZ14" s="80">
        <v>406</v>
      </c>
      <c r="EA14" s="80">
        <v>539</v>
      </c>
      <c r="EB14" s="80">
        <v>515</v>
      </c>
      <c r="EC14" s="80">
        <v>1866</v>
      </c>
      <c r="ED14" s="80"/>
      <c r="EE14" s="80" t="s">
        <v>2426</v>
      </c>
      <c r="EF14" s="80">
        <v>19</v>
      </c>
      <c r="EG14" s="80">
        <v>4</v>
      </c>
      <c r="EH14" s="80">
        <v>0</v>
      </c>
      <c r="EI14" s="80">
        <v>0</v>
      </c>
      <c r="EJ14" s="80">
        <v>0</v>
      </c>
      <c r="EK14" s="80">
        <v>23</v>
      </c>
      <c r="EN14" s="57" t="s">
        <v>2389</v>
      </c>
      <c r="EO14" s="57" t="s">
        <v>2426</v>
      </c>
      <c r="EP14" s="57" t="s">
        <v>356</v>
      </c>
      <c r="EQ14" s="57" t="s">
        <v>356</v>
      </c>
      <c r="ER14" s="57" t="s">
        <v>356</v>
      </c>
      <c r="ES14" s="57" t="s">
        <v>356</v>
      </c>
      <c r="ET14" s="57" t="s">
        <v>356</v>
      </c>
      <c r="EU14" s="57" t="s">
        <v>356</v>
      </c>
      <c r="EV14" s="57"/>
      <c r="EW14" s="57" t="s">
        <v>2426</v>
      </c>
      <c r="EX14" s="57" t="s">
        <v>356</v>
      </c>
      <c r="EY14" s="57" t="s">
        <v>356</v>
      </c>
      <c r="EZ14" s="57" t="s">
        <v>356</v>
      </c>
      <c r="FA14" s="57" t="s">
        <v>356</v>
      </c>
      <c r="FB14" s="57" t="s">
        <v>356</v>
      </c>
      <c r="FC14" s="57" t="s">
        <v>356</v>
      </c>
      <c r="FF14" s="71" t="s">
        <v>2058</v>
      </c>
      <c r="FG14" s="71" t="s">
        <v>2426</v>
      </c>
      <c r="FH14" s="71" t="s">
        <v>356</v>
      </c>
      <c r="FI14" s="71" t="s">
        <v>356</v>
      </c>
      <c r="FJ14" s="71" t="s">
        <v>356</v>
      </c>
      <c r="FK14" s="71" t="s">
        <v>356</v>
      </c>
      <c r="FL14" s="71" t="s">
        <v>356</v>
      </c>
      <c r="FM14" s="71" t="s">
        <v>356</v>
      </c>
      <c r="FN14" s="71"/>
      <c r="FO14" s="71" t="s">
        <v>2426</v>
      </c>
      <c r="FP14" s="71" t="s">
        <v>356</v>
      </c>
      <c r="FQ14" s="71" t="s">
        <v>356</v>
      </c>
      <c r="FR14" s="71" t="s">
        <v>356</v>
      </c>
      <c r="FS14" s="71" t="s">
        <v>356</v>
      </c>
      <c r="FT14" s="71" t="s">
        <v>356</v>
      </c>
      <c r="FU14" s="71" t="s">
        <v>356</v>
      </c>
    </row>
    <row r="15" spans="2:179">
      <c r="B15" s="65" t="s">
        <v>866</v>
      </c>
      <c r="C15" s="65" t="s">
        <v>2426</v>
      </c>
      <c r="D15" s="65" t="s">
        <v>356</v>
      </c>
      <c r="E15" s="65" t="s">
        <v>356</v>
      </c>
      <c r="F15" s="65" t="s">
        <v>356</v>
      </c>
      <c r="G15" s="65" t="s">
        <v>356</v>
      </c>
      <c r="H15" s="65" t="s">
        <v>356</v>
      </c>
      <c r="I15" s="65" t="s">
        <v>356</v>
      </c>
      <c r="K15" s="65" t="s">
        <v>2426</v>
      </c>
      <c r="L15" s="65" t="s">
        <v>356</v>
      </c>
      <c r="M15" s="65" t="s">
        <v>356</v>
      </c>
      <c r="N15" s="65" t="s">
        <v>356</v>
      </c>
      <c r="O15" s="65" t="s">
        <v>356</v>
      </c>
      <c r="P15" s="65" t="s">
        <v>356</v>
      </c>
      <c r="Q15" s="65" t="s">
        <v>356</v>
      </c>
      <c r="T15" s="66" t="s">
        <v>1096</v>
      </c>
      <c r="U15" s="66" t="s">
        <v>2426</v>
      </c>
      <c r="V15" s="66" t="s">
        <v>356</v>
      </c>
      <c r="W15" s="66" t="s">
        <v>356</v>
      </c>
      <c r="X15" s="66" t="s">
        <v>356</v>
      </c>
      <c r="Y15" s="66" t="s">
        <v>356</v>
      </c>
      <c r="Z15" s="66" t="s">
        <v>356</v>
      </c>
      <c r="AA15" s="66" t="s">
        <v>356</v>
      </c>
      <c r="AB15" s="66"/>
      <c r="AC15" s="66" t="s">
        <v>2426</v>
      </c>
      <c r="AD15" s="66" t="s">
        <v>356</v>
      </c>
      <c r="AE15" s="66" t="s">
        <v>356</v>
      </c>
      <c r="AF15" s="66" t="s">
        <v>356</v>
      </c>
      <c r="AG15" s="66" t="s">
        <v>356</v>
      </c>
      <c r="AH15" s="66" t="s">
        <v>356</v>
      </c>
      <c r="AI15" s="66" t="s">
        <v>356</v>
      </c>
      <c r="AK15" s="67" t="s">
        <v>1269</v>
      </c>
      <c r="AL15" s="67" t="s">
        <v>2426</v>
      </c>
      <c r="AM15" s="67">
        <v>360</v>
      </c>
      <c r="AN15" s="67">
        <v>400</v>
      </c>
      <c r="AO15" s="67">
        <v>578</v>
      </c>
      <c r="AP15" s="67">
        <v>791</v>
      </c>
      <c r="AQ15" s="67">
        <v>664</v>
      </c>
      <c r="AR15" s="67">
        <v>2793</v>
      </c>
      <c r="AS15" s="67"/>
      <c r="AT15" s="67" t="s">
        <v>2426</v>
      </c>
      <c r="AU15" s="67">
        <v>30</v>
      </c>
      <c r="AV15" s="67">
        <v>2</v>
      </c>
      <c r="AW15" s="67">
        <v>2</v>
      </c>
      <c r="AX15" s="67">
        <v>0</v>
      </c>
      <c r="AY15" s="67">
        <v>0</v>
      </c>
      <c r="AZ15" s="67">
        <v>34</v>
      </c>
      <c r="BB15" s="70" t="s">
        <v>1333</v>
      </c>
      <c r="BC15" s="70" t="s">
        <v>2426</v>
      </c>
      <c r="BD15" s="70">
        <v>204</v>
      </c>
      <c r="BE15" s="70">
        <v>274</v>
      </c>
      <c r="BF15" s="70">
        <v>420</v>
      </c>
      <c r="BG15" s="70">
        <v>629</v>
      </c>
      <c r="BH15" s="70">
        <v>645</v>
      </c>
      <c r="BI15" s="70">
        <v>2172</v>
      </c>
      <c r="BJ15" s="70"/>
      <c r="BK15" s="70" t="s">
        <v>2426</v>
      </c>
      <c r="BL15" s="70">
        <v>36</v>
      </c>
      <c r="BM15" s="70">
        <v>0</v>
      </c>
      <c r="BN15" s="70">
        <v>0</v>
      </c>
      <c r="BO15" s="70">
        <v>0</v>
      </c>
      <c r="BP15" s="70">
        <v>0</v>
      </c>
      <c r="BQ15" s="70">
        <v>36</v>
      </c>
      <c r="BS15" s="71" t="s">
        <v>1621</v>
      </c>
      <c r="BT15" s="71" t="s">
        <v>2426</v>
      </c>
      <c r="BU15" s="71">
        <v>147</v>
      </c>
      <c r="BV15" s="71">
        <v>211</v>
      </c>
      <c r="BW15" s="71">
        <v>434</v>
      </c>
      <c r="BX15" s="71">
        <v>618</v>
      </c>
      <c r="BY15" s="71">
        <v>633</v>
      </c>
      <c r="BZ15" s="71">
        <v>2043</v>
      </c>
      <c r="CA15" s="71"/>
      <c r="CB15" s="71" t="s">
        <v>2426</v>
      </c>
      <c r="CC15" s="71">
        <v>17</v>
      </c>
      <c r="CD15" s="71">
        <v>0</v>
      </c>
      <c r="CE15" s="71">
        <v>0</v>
      </c>
      <c r="CF15" s="71">
        <v>0</v>
      </c>
      <c r="CG15" s="71">
        <v>0</v>
      </c>
      <c r="CH15" s="71">
        <v>17</v>
      </c>
      <c r="CL15" s="57" t="s">
        <v>569</v>
      </c>
      <c r="CM15" s="57" t="s">
        <v>2426</v>
      </c>
      <c r="CN15" s="57">
        <v>219</v>
      </c>
      <c r="CO15" s="57">
        <v>211</v>
      </c>
      <c r="CP15" s="57">
        <v>315</v>
      </c>
      <c r="CQ15" s="57">
        <v>384</v>
      </c>
      <c r="CR15" s="57">
        <v>313</v>
      </c>
      <c r="CS15" s="57">
        <v>1442</v>
      </c>
      <c r="CT15" s="57"/>
      <c r="CU15" s="57" t="s">
        <v>2426</v>
      </c>
      <c r="CV15" s="57">
        <v>35</v>
      </c>
      <c r="CW15" s="57">
        <v>0</v>
      </c>
      <c r="CX15" s="57">
        <v>0</v>
      </c>
      <c r="CY15" s="57">
        <v>0</v>
      </c>
      <c r="CZ15" s="57">
        <v>0</v>
      </c>
      <c r="DA15" s="57">
        <v>35</v>
      </c>
      <c r="DD15" s="78" t="s">
        <v>412</v>
      </c>
      <c r="DE15" s="78" t="s">
        <v>2427</v>
      </c>
      <c r="DF15" s="78">
        <v>414</v>
      </c>
      <c r="DG15" s="78">
        <v>552</v>
      </c>
      <c r="DH15" s="78">
        <v>670</v>
      </c>
      <c r="DI15" s="78">
        <v>651</v>
      </c>
      <c r="DJ15" s="78">
        <v>490</v>
      </c>
      <c r="DK15" s="78">
        <v>2777</v>
      </c>
      <c r="DL15" s="78"/>
      <c r="DM15" s="78" t="s">
        <v>2427</v>
      </c>
      <c r="DN15" s="78">
        <v>35</v>
      </c>
      <c r="DO15" s="78">
        <v>9</v>
      </c>
      <c r="DP15" s="78">
        <v>2</v>
      </c>
      <c r="DQ15" s="78">
        <v>0</v>
      </c>
      <c r="DR15" s="78">
        <v>0</v>
      </c>
      <c r="DS15" s="78">
        <v>46</v>
      </c>
      <c r="DV15" s="80" t="s">
        <v>1900</v>
      </c>
      <c r="DW15" s="80" t="s">
        <v>2426</v>
      </c>
      <c r="DX15" s="80">
        <v>220</v>
      </c>
      <c r="DY15" s="80">
        <v>336</v>
      </c>
      <c r="DZ15" s="80">
        <v>348</v>
      </c>
      <c r="EA15" s="80">
        <v>471</v>
      </c>
      <c r="EB15" s="80">
        <v>390</v>
      </c>
      <c r="EC15" s="80">
        <v>1765</v>
      </c>
      <c r="ED15" s="80"/>
      <c r="EE15" s="80" t="s">
        <v>2426</v>
      </c>
      <c r="EF15" s="80">
        <v>13</v>
      </c>
      <c r="EG15" s="80">
        <v>3</v>
      </c>
      <c r="EH15" s="80">
        <v>0</v>
      </c>
      <c r="EI15" s="80">
        <v>0</v>
      </c>
      <c r="EJ15" s="80">
        <v>0</v>
      </c>
      <c r="EK15" s="80">
        <v>16</v>
      </c>
      <c r="EN15" s="57" t="s">
        <v>1975</v>
      </c>
      <c r="EO15" s="57" t="s">
        <v>2426</v>
      </c>
      <c r="EP15" s="57">
        <v>473</v>
      </c>
      <c r="EQ15" s="57">
        <v>683</v>
      </c>
      <c r="ER15" s="57">
        <v>731</v>
      </c>
      <c r="ES15" s="57">
        <v>897</v>
      </c>
      <c r="ET15" s="57">
        <v>1108</v>
      </c>
      <c r="EU15" s="57">
        <v>3892</v>
      </c>
      <c r="EV15" s="57"/>
      <c r="EW15" s="57" t="s">
        <v>2426</v>
      </c>
      <c r="EX15" s="57">
        <v>102</v>
      </c>
      <c r="EY15" s="57">
        <v>59</v>
      </c>
      <c r="EZ15" s="57">
        <v>35</v>
      </c>
      <c r="FA15" s="57">
        <v>53</v>
      </c>
      <c r="FB15" s="57">
        <v>56</v>
      </c>
      <c r="FC15" s="57">
        <v>305</v>
      </c>
      <c r="FF15" s="71" t="s">
        <v>2060</v>
      </c>
      <c r="FG15" s="71" t="s">
        <v>2426</v>
      </c>
      <c r="FH15" s="71">
        <v>1842</v>
      </c>
      <c r="FI15" s="71">
        <v>1412</v>
      </c>
      <c r="FJ15" s="71">
        <v>1055</v>
      </c>
      <c r="FK15" s="71">
        <v>881</v>
      </c>
      <c r="FL15" s="71">
        <v>974</v>
      </c>
      <c r="FM15" s="71">
        <v>6164</v>
      </c>
      <c r="FN15" s="71"/>
      <c r="FO15" s="71" t="s">
        <v>2426</v>
      </c>
      <c r="FP15" s="71">
        <v>201</v>
      </c>
      <c r="FQ15" s="71">
        <v>80</v>
      </c>
      <c r="FR15" s="71">
        <v>0</v>
      </c>
      <c r="FS15" s="71">
        <v>0</v>
      </c>
      <c r="FT15" s="71">
        <v>0</v>
      </c>
      <c r="FU15" s="71">
        <v>281</v>
      </c>
    </row>
    <row r="16" spans="2:179">
      <c r="B16" s="65" t="s">
        <v>869</v>
      </c>
      <c r="C16" s="65" t="s">
        <v>2426</v>
      </c>
      <c r="D16" s="65">
        <v>1064</v>
      </c>
      <c r="E16" s="65">
        <v>873</v>
      </c>
      <c r="F16" s="65">
        <v>1060</v>
      </c>
      <c r="G16" s="65">
        <v>1226</v>
      </c>
      <c r="H16" s="65">
        <v>960</v>
      </c>
      <c r="I16" s="65">
        <v>5183</v>
      </c>
      <c r="K16" s="65" t="s">
        <v>2426</v>
      </c>
      <c r="L16" s="65">
        <v>28</v>
      </c>
      <c r="M16" s="65">
        <v>0</v>
      </c>
      <c r="N16" s="65">
        <v>0</v>
      </c>
      <c r="O16" s="65">
        <v>0</v>
      </c>
      <c r="P16" s="65">
        <v>0</v>
      </c>
      <c r="Q16" s="65">
        <v>28</v>
      </c>
      <c r="T16" s="66" t="s">
        <v>1103</v>
      </c>
      <c r="U16" s="66" t="s">
        <v>2426</v>
      </c>
      <c r="V16" s="66" t="s">
        <v>356</v>
      </c>
      <c r="W16" s="66" t="s">
        <v>356</v>
      </c>
      <c r="X16" s="66" t="s">
        <v>356</v>
      </c>
      <c r="Y16" s="66" t="s">
        <v>356</v>
      </c>
      <c r="Z16" s="66" t="s">
        <v>356</v>
      </c>
      <c r="AA16" s="66" t="s">
        <v>356</v>
      </c>
      <c r="AB16" s="66"/>
      <c r="AC16" s="66" t="s">
        <v>2426</v>
      </c>
      <c r="AD16" s="66" t="s">
        <v>356</v>
      </c>
      <c r="AE16" s="66" t="s">
        <v>356</v>
      </c>
      <c r="AF16" s="66" t="s">
        <v>356</v>
      </c>
      <c r="AG16" s="66" t="s">
        <v>356</v>
      </c>
      <c r="AH16" s="66" t="s">
        <v>356</v>
      </c>
      <c r="AI16" s="66" t="s">
        <v>356</v>
      </c>
      <c r="AK16" s="67" t="s">
        <v>2242</v>
      </c>
      <c r="AL16" s="67" t="s">
        <v>2426</v>
      </c>
      <c r="AM16" s="67">
        <v>502</v>
      </c>
      <c r="AN16" s="67">
        <v>928</v>
      </c>
      <c r="AO16" s="67">
        <v>1521</v>
      </c>
      <c r="AP16" s="67">
        <v>1880</v>
      </c>
      <c r="AQ16" s="67">
        <v>1207</v>
      </c>
      <c r="AR16" s="67">
        <v>6038</v>
      </c>
      <c r="AS16" s="67"/>
      <c r="AT16" s="67" t="s">
        <v>2426</v>
      </c>
      <c r="AU16" s="67">
        <v>27</v>
      </c>
      <c r="AV16" s="67">
        <v>7</v>
      </c>
      <c r="AW16" s="67">
        <v>1</v>
      </c>
      <c r="AX16" s="67">
        <v>0</v>
      </c>
      <c r="AY16" s="67">
        <v>0</v>
      </c>
      <c r="AZ16" s="67">
        <v>35</v>
      </c>
      <c r="BB16" s="70" t="s">
        <v>1337</v>
      </c>
      <c r="BC16" s="70" t="s">
        <v>2426</v>
      </c>
      <c r="BD16" s="70" t="s">
        <v>356</v>
      </c>
      <c r="BE16" s="70" t="s">
        <v>356</v>
      </c>
      <c r="BF16" s="70" t="s">
        <v>356</v>
      </c>
      <c r="BG16" s="70" t="s">
        <v>356</v>
      </c>
      <c r="BH16" s="70" t="s">
        <v>356</v>
      </c>
      <c r="BI16" s="70" t="s">
        <v>356</v>
      </c>
      <c r="BJ16" s="70"/>
      <c r="BK16" s="70" t="s">
        <v>2426</v>
      </c>
      <c r="BL16" s="70" t="s">
        <v>356</v>
      </c>
      <c r="BM16" s="70" t="s">
        <v>356</v>
      </c>
      <c r="BN16" s="70" t="s">
        <v>356</v>
      </c>
      <c r="BO16" s="70" t="s">
        <v>356</v>
      </c>
      <c r="BP16" s="70" t="s">
        <v>356</v>
      </c>
      <c r="BQ16" s="70" t="s">
        <v>356</v>
      </c>
      <c r="BS16" s="71" t="s">
        <v>1623</v>
      </c>
      <c r="BT16" s="71" t="s">
        <v>2426</v>
      </c>
      <c r="BU16" s="71">
        <v>31</v>
      </c>
      <c r="BV16" s="71">
        <v>66</v>
      </c>
      <c r="BW16" s="71">
        <v>161</v>
      </c>
      <c r="BX16" s="71">
        <v>242</v>
      </c>
      <c r="BY16" s="71">
        <v>312</v>
      </c>
      <c r="BZ16" s="71">
        <v>812</v>
      </c>
      <c r="CA16" s="71"/>
      <c r="CB16" s="71" t="s">
        <v>2426</v>
      </c>
      <c r="CC16" s="71">
        <v>3</v>
      </c>
      <c r="CD16" s="71">
        <v>0</v>
      </c>
      <c r="CE16" s="71">
        <v>0</v>
      </c>
      <c r="CF16" s="71">
        <v>0</v>
      </c>
      <c r="CG16" s="71">
        <v>0</v>
      </c>
      <c r="CH16" s="71">
        <v>3</v>
      </c>
      <c r="CL16" s="57" t="s">
        <v>571</v>
      </c>
      <c r="CM16" s="57" t="s">
        <v>2426</v>
      </c>
      <c r="CN16" s="57">
        <v>205</v>
      </c>
      <c r="CO16" s="57">
        <v>164</v>
      </c>
      <c r="CP16" s="57">
        <v>314</v>
      </c>
      <c r="CQ16" s="57">
        <v>433</v>
      </c>
      <c r="CR16" s="57">
        <v>349</v>
      </c>
      <c r="CS16" s="57">
        <v>1465</v>
      </c>
      <c r="CT16" s="57"/>
      <c r="CU16" s="57" t="s">
        <v>2426</v>
      </c>
      <c r="CV16" s="57">
        <v>22</v>
      </c>
      <c r="CW16" s="57">
        <v>0</v>
      </c>
      <c r="CX16" s="57">
        <v>0</v>
      </c>
      <c r="CY16" s="57">
        <v>0</v>
      </c>
      <c r="CZ16" s="57">
        <v>0</v>
      </c>
      <c r="DA16" s="57">
        <v>22</v>
      </c>
      <c r="DD16" s="78" t="s">
        <v>1772</v>
      </c>
      <c r="DE16" s="78" t="s">
        <v>2427</v>
      </c>
      <c r="DF16" s="78">
        <v>105</v>
      </c>
      <c r="DG16" s="78">
        <v>168</v>
      </c>
      <c r="DH16" s="78">
        <v>177</v>
      </c>
      <c r="DI16" s="78">
        <v>253</v>
      </c>
      <c r="DJ16" s="78">
        <v>210</v>
      </c>
      <c r="DK16" s="78">
        <v>913</v>
      </c>
      <c r="DL16" s="78"/>
      <c r="DM16" s="78" t="s">
        <v>2427</v>
      </c>
      <c r="DN16" s="78">
        <v>15</v>
      </c>
      <c r="DO16" s="78">
        <v>4</v>
      </c>
      <c r="DP16" s="78">
        <v>0</v>
      </c>
      <c r="DQ16" s="78">
        <v>0</v>
      </c>
      <c r="DR16" s="78">
        <v>0</v>
      </c>
      <c r="DS16" s="78">
        <v>19</v>
      </c>
      <c r="DV16" s="80" t="s">
        <v>1904</v>
      </c>
      <c r="DW16" s="80" t="s">
        <v>2426</v>
      </c>
      <c r="DX16" s="80">
        <v>123</v>
      </c>
      <c r="DY16" s="80">
        <v>197</v>
      </c>
      <c r="DZ16" s="80">
        <v>260</v>
      </c>
      <c r="EA16" s="80">
        <v>339</v>
      </c>
      <c r="EB16" s="80">
        <v>288</v>
      </c>
      <c r="EC16" s="80">
        <v>1207</v>
      </c>
      <c r="ED16" s="80"/>
      <c r="EE16" s="80" t="s">
        <v>2426</v>
      </c>
      <c r="EF16" s="80">
        <v>12</v>
      </c>
      <c r="EG16" s="80">
        <v>4</v>
      </c>
      <c r="EH16" s="80">
        <v>0</v>
      </c>
      <c r="EI16" s="80">
        <v>0</v>
      </c>
      <c r="EJ16" s="80">
        <v>0</v>
      </c>
      <c r="EK16" s="80">
        <v>16</v>
      </c>
      <c r="EN16" s="57" t="s">
        <v>1978</v>
      </c>
      <c r="EO16" s="57" t="s">
        <v>2426</v>
      </c>
      <c r="EP16" s="57">
        <v>335</v>
      </c>
      <c r="EQ16" s="57">
        <v>548</v>
      </c>
      <c r="ER16" s="57">
        <v>603</v>
      </c>
      <c r="ES16" s="57">
        <v>697</v>
      </c>
      <c r="ET16" s="57">
        <v>934</v>
      </c>
      <c r="EU16" s="57">
        <v>3117</v>
      </c>
      <c r="EV16" s="57"/>
      <c r="EW16" s="57" t="s">
        <v>2426</v>
      </c>
      <c r="EX16" s="57">
        <v>90</v>
      </c>
      <c r="EY16" s="57">
        <v>71</v>
      </c>
      <c r="EZ16" s="57">
        <v>34</v>
      </c>
      <c r="FA16" s="57">
        <v>38</v>
      </c>
      <c r="FB16" s="57">
        <v>44</v>
      </c>
      <c r="FC16" s="57">
        <v>277</v>
      </c>
      <c r="FF16" s="71" t="s">
        <v>2063</v>
      </c>
      <c r="FG16" s="71" t="s">
        <v>2426</v>
      </c>
      <c r="FH16" s="71">
        <v>388</v>
      </c>
      <c r="FI16" s="71">
        <v>630</v>
      </c>
      <c r="FJ16" s="71">
        <v>738</v>
      </c>
      <c r="FK16" s="71">
        <v>726</v>
      </c>
      <c r="FL16" s="71">
        <v>813</v>
      </c>
      <c r="FM16" s="71">
        <v>3295</v>
      </c>
      <c r="FN16" s="71"/>
      <c r="FO16" s="71" t="s">
        <v>2426</v>
      </c>
      <c r="FP16" s="71">
        <v>29</v>
      </c>
      <c r="FQ16" s="71">
        <v>1</v>
      </c>
      <c r="FR16" s="71">
        <v>0</v>
      </c>
      <c r="FS16" s="71">
        <v>0</v>
      </c>
      <c r="FT16" s="71">
        <v>0</v>
      </c>
      <c r="FU16" s="71">
        <v>30</v>
      </c>
    </row>
    <row r="17" spans="1:177">
      <c r="B17" s="65" t="s">
        <v>877</v>
      </c>
      <c r="C17" s="65" t="s">
        <v>2426</v>
      </c>
      <c r="D17" s="65">
        <v>592</v>
      </c>
      <c r="E17" s="65">
        <v>686</v>
      </c>
      <c r="F17" s="65">
        <v>837</v>
      </c>
      <c r="G17" s="65">
        <v>903</v>
      </c>
      <c r="H17" s="65">
        <v>660</v>
      </c>
      <c r="I17" s="65">
        <v>3678</v>
      </c>
      <c r="K17" s="65" t="s">
        <v>2426</v>
      </c>
      <c r="L17" s="65">
        <v>22</v>
      </c>
      <c r="M17" s="65">
        <v>0</v>
      </c>
      <c r="N17" s="65">
        <v>0</v>
      </c>
      <c r="O17" s="65">
        <v>0</v>
      </c>
      <c r="P17" s="65">
        <v>0</v>
      </c>
      <c r="Q17" s="65">
        <v>22</v>
      </c>
      <c r="T17" s="66" t="s">
        <v>2194</v>
      </c>
      <c r="U17" s="66" t="s">
        <v>2426</v>
      </c>
      <c r="V17" s="66" t="s">
        <v>356</v>
      </c>
      <c r="W17" s="66" t="s">
        <v>356</v>
      </c>
      <c r="X17" s="66" t="s">
        <v>356</v>
      </c>
      <c r="Y17" s="66" t="s">
        <v>356</v>
      </c>
      <c r="Z17" s="66" t="s">
        <v>356</v>
      </c>
      <c r="AA17" s="66" t="s">
        <v>356</v>
      </c>
      <c r="AB17" s="66"/>
      <c r="AC17" s="66" t="s">
        <v>2426</v>
      </c>
      <c r="AD17" s="66" t="s">
        <v>356</v>
      </c>
      <c r="AE17" s="66" t="s">
        <v>356</v>
      </c>
      <c r="AF17" s="66" t="s">
        <v>356</v>
      </c>
      <c r="AG17" s="66" t="s">
        <v>356</v>
      </c>
      <c r="AH17" s="66" t="s">
        <v>356</v>
      </c>
      <c r="AI17" s="66" t="s">
        <v>356</v>
      </c>
      <c r="AK17" s="67" t="s">
        <v>2205</v>
      </c>
      <c r="AL17" s="67" t="s">
        <v>2426</v>
      </c>
      <c r="AM17" s="67">
        <v>238</v>
      </c>
      <c r="AN17" s="67">
        <v>385</v>
      </c>
      <c r="AO17" s="67">
        <v>771</v>
      </c>
      <c r="AP17" s="67">
        <v>992</v>
      </c>
      <c r="AQ17" s="67">
        <v>743</v>
      </c>
      <c r="AR17" s="67">
        <v>3129</v>
      </c>
      <c r="AS17" s="67"/>
      <c r="AT17" s="67" t="s">
        <v>2426</v>
      </c>
      <c r="AU17" s="67">
        <v>18</v>
      </c>
      <c r="AV17" s="67">
        <v>3</v>
      </c>
      <c r="AW17" s="67">
        <v>1</v>
      </c>
      <c r="AX17" s="67">
        <v>1</v>
      </c>
      <c r="AY17" s="67">
        <v>0</v>
      </c>
      <c r="AZ17" s="67">
        <v>23</v>
      </c>
      <c r="BB17" s="70" t="s">
        <v>1341</v>
      </c>
      <c r="BC17" s="70" t="s">
        <v>2426</v>
      </c>
      <c r="BD17" s="70">
        <v>933</v>
      </c>
      <c r="BE17" s="70">
        <v>476</v>
      </c>
      <c r="BF17" s="70">
        <v>721</v>
      </c>
      <c r="BG17" s="70">
        <v>971</v>
      </c>
      <c r="BH17" s="70">
        <v>925</v>
      </c>
      <c r="BI17" s="70">
        <v>4026</v>
      </c>
      <c r="BJ17" s="70"/>
      <c r="BK17" s="70" t="s">
        <v>2426</v>
      </c>
      <c r="BL17" s="70">
        <v>217</v>
      </c>
      <c r="BM17" s="70">
        <v>0</v>
      </c>
      <c r="BN17" s="70">
        <v>0</v>
      </c>
      <c r="BO17" s="70">
        <v>0</v>
      </c>
      <c r="BP17" s="70">
        <v>0</v>
      </c>
      <c r="BQ17" s="70">
        <v>217</v>
      </c>
      <c r="BS17" s="71" t="s">
        <v>1625</v>
      </c>
      <c r="BT17" s="71" t="s">
        <v>2426</v>
      </c>
      <c r="BU17" s="71">
        <v>259</v>
      </c>
      <c r="BV17" s="71">
        <v>216</v>
      </c>
      <c r="BW17" s="71">
        <v>322</v>
      </c>
      <c r="BX17" s="71">
        <v>403</v>
      </c>
      <c r="BY17" s="71">
        <v>395</v>
      </c>
      <c r="BZ17" s="71">
        <v>1595</v>
      </c>
      <c r="CA17" s="71"/>
      <c r="CB17" s="71" t="s">
        <v>2426</v>
      </c>
      <c r="CC17" s="71">
        <v>60</v>
      </c>
      <c r="CD17" s="71">
        <v>0</v>
      </c>
      <c r="CE17" s="71">
        <v>0</v>
      </c>
      <c r="CF17" s="71">
        <v>0</v>
      </c>
      <c r="CG17" s="71">
        <v>0</v>
      </c>
      <c r="CH17" s="71">
        <v>60</v>
      </c>
      <c r="CL17" s="57" t="s">
        <v>574</v>
      </c>
      <c r="CM17" s="57" t="s">
        <v>2426</v>
      </c>
      <c r="CN17" s="57" t="s">
        <v>356</v>
      </c>
      <c r="CO17" s="57" t="s">
        <v>356</v>
      </c>
      <c r="CP17" s="57" t="s">
        <v>356</v>
      </c>
      <c r="CQ17" s="57" t="s">
        <v>356</v>
      </c>
      <c r="CR17" s="57" t="s">
        <v>356</v>
      </c>
      <c r="CS17" s="57" t="s">
        <v>356</v>
      </c>
      <c r="CT17" s="57"/>
      <c r="CU17" s="57" t="s">
        <v>2426</v>
      </c>
      <c r="CV17" s="57" t="s">
        <v>356</v>
      </c>
      <c r="CW17" s="57" t="s">
        <v>356</v>
      </c>
      <c r="CX17" s="57" t="s">
        <v>356</v>
      </c>
      <c r="CY17" s="57" t="s">
        <v>356</v>
      </c>
      <c r="CZ17" s="57" t="s">
        <v>356</v>
      </c>
      <c r="DA17" s="57" t="s">
        <v>356</v>
      </c>
      <c r="DD17" s="78" t="s">
        <v>1783</v>
      </c>
      <c r="DE17" s="78" t="s">
        <v>2427</v>
      </c>
      <c r="DF17" s="78">
        <v>1073</v>
      </c>
      <c r="DG17" s="78">
        <v>1141</v>
      </c>
      <c r="DH17" s="78">
        <v>1116</v>
      </c>
      <c r="DI17" s="78">
        <v>1361</v>
      </c>
      <c r="DJ17" s="78">
        <v>1176</v>
      </c>
      <c r="DK17" s="78">
        <v>5867</v>
      </c>
      <c r="DL17" s="78"/>
      <c r="DM17" s="78" t="s">
        <v>2427</v>
      </c>
      <c r="DN17" s="78">
        <v>95</v>
      </c>
      <c r="DO17" s="78">
        <v>59</v>
      </c>
      <c r="DP17" s="78">
        <v>13</v>
      </c>
      <c r="DQ17" s="78">
        <v>6</v>
      </c>
      <c r="DR17" s="78">
        <v>5</v>
      </c>
      <c r="DS17" s="78">
        <v>178</v>
      </c>
      <c r="DV17" s="80" t="s">
        <v>2367</v>
      </c>
      <c r="DW17" s="80" t="s">
        <v>2426</v>
      </c>
      <c r="DX17" s="80">
        <v>166</v>
      </c>
      <c r="DY17" s="80">
        <v>277</v>
      </c>
      <c r="DZ17" s="80">
        <v>430</v>
      </c>
      <c r="EA17" s="80">
        <v>605</v>
      </c>
      <c r="EB17" s="80">
        <v>517</v>
      </c>
      <c r="EC17" s="80">
        <v>1995</v>
      </c>
      <c r="ED17" s="80"/>
      <c r="EE17" s="80" t="s">
        <v>2426</v>
      </c>
      <c r="EF17" s="80">
        <v>17</v>
      </c>
      <c r="EG17" s="80">
        <v>0</v>
      </c>
      <c r="EH17" s="80">
        <v>0</v>
      </c>
      <c r="EI17" s="80">
        <v>0</v>
      </c>
      <c r="EJ17" s="80">
        <v>0</v>
      </c>
      <c r="EK17" s="80">
        <v>17</v>
      </c>
      <c r="EN17" s="57" t="s">
        <v>1981</v>
      </c>
      <c r="EO17" s="57" t="s">
        <v>2426</v>
      </c>
      <c r="EP17" s="57">
        <v>339</v>
      </c>
      <c r="EQ17" s="57">
        <v>332</v>
      </c>
      <c r="ER17" s="57">
        <v>379</v>
      </c>
      <c r="ES17" s="57">
        <v>450</v>
      </c>
      <c r="ET17" s="57">
        <v>597</v>
      </c>
      <c r="EU17" s="57">
        <v>2097</v>
      </c>
      <c r="EV17" s="57"/>
      <c r="EW17" s="57" t="s">
        <v>2426</v>
      </c>
      <c r="EX17" s="57">
        <v>38</v>
      </c>
      <c r="EY17" s="57">
        <v>7</v>
      </c>
      <c r="EZ17" s="57">
        <v>5</v>
      </c>
      <c r="FA17" s="57">
        <v>7</v>
      </c>
      <c r="FB17" s="57">
        <v>4</v>
      </c>
      <c r="FC17" s="57">
        <v>61</v>
      </c>
      <c r="FF17" s="71" t="s">
        <v>2065</v>
      </c>
      <c r="FG17" s="71" t="s">
        <v>2426</v>
      </c>
      <c r="FH17" s="71">
        <v>263</v>
      </c>
      <c r="FI17" s="71">
        <v>534</v>
      </c>
      <c r="FJ17" s="71">
        <v>602</v>
      </c>
      <c r="FK17" s="71">
        <v>608</v>
      </c>
      <c r="FL17" s="71">
        <v>716</v>
      </c>
      <c r="FM17" s="71">
        <v>2723</v>
      </c>
      <c r="FN17" s="71"/>
      <c r="FO17" s="71" t="s">
        <v>2426</v>
      </c>
      <c r="FP17" s="71">
        <v>14</v>
      </c>
      <c r="FQ17" s="71">
        <v>1</v>
      </c>
      <c r="FR17" s="71">
        <v>0</v>
      </c>
      <c r="FS17" s="71">
        <v>0</v>
      </c>
      <c r="FT17" s="71">
        <v>0</v>
      </c>
      <c r="FU17" s="71">
        <v>15</v>
      </c>
    </row>
    <row r="18" spans="1:177">
      <c r="B18" s="65" t="s">
        <v>880</v>
      </c>
      <c r="C18" s="65" t="s">
        <v>2426</v>
      </c>
      <c r="D18" s="65">
        <v>370</v>
      </c>
      <c r="E18" s="65">
        <v>488</v>
      </c>
      <c r="F18" s="65">
        <v>634</v>
      </c>
      <c r="G18" s="65">
        <v>682</v>
      </c>
      <c r="H18" s="65">
        <v>550</v>
      </c>
      <c r="I18" s="65">
        <v>2724</v>
      </c>
      <c r="K18" s="65" t="s">
        <v>2426</v>
      </c>
      <c r="L18" s="65">
        <v>29</v>
      </c>
      <c r="M18" s="65">
        <v>0</v>
      </c>
      <c r="N18" s="361">
        <v>0</v>
      </c>
      <c r="O18" s="65">
        <v>0</v>
      </c>
      <c r="P18" s="65">
        <v>0</v>
      </c>
      <c r="Q18" s="65">
        <v>29</v>
      </c>
      <c r="T18" s="66" t="s">
        <v>2195</v>
      </c>
      <c r="U18" s="66" t="s">
        <v>2426</v>
      </c>
      <c r="V18" s="66" t="s">
        <v>356</v>
      </c>
      <c r="W18" s="66" t="s">
        <v>356</v>
      </c>
      <c r="X18" s="66" t="s">
        <v>356</v>
      </c>
      <c r="Y18" s="66" t="s">
        <v>356</v>
      </c>
      <c r="Z18" s="66" t="s">
        <v>356</v>
      </c>
      <c r="AA18" s="66" t="s">
        <v>356</v>
      </c>
      <c r="AB18" s="66"/>
      <c r="AC18" s="66" t="s">
        <v>2426</v>
      </c>
      <c r="AD18" s="66" t="s">
        <v>356</v>
      </c>
      <c r="AE18" s="66" t="s">
        <v>356</v>
      </c>
      <c r="AF18" s="66" t="s">
        <v>356</v>
      </c>
      <c r="AG18" s="66" t="s">
        <v>356</v>
      </c>
      <c r="AH18" s="66" t="s">
        <v>356</v>
      </c>
      <c r="AI18" s="66" t="s">
        <v>356</v>
      </c>
      <c r="AK18" s="67" t="s">
        <v>2219</v>
      </c>
      <c r="AL18" s="67" t="s">
        <v>2426</v>
      </c>
      <c r="AM18" s="67">
        <v>155</v>
      </c>
      <c r="AN18" s="67">
        <v>257</v>
      </c>
      <c r="AO18" s="67">
        <v>534</v>
      </c>
      <c r="AP18" s="67">
        <v>923</v>
      </c>
      <c r="AQ18" s="67">
        <v>665</v>
      </c>
      <c r="AR18" s="67">
        <v>2534</v>
      </c>
      <c r="AS18" s="67"/>
      <c r="AT18" s="67" t="s">
        <v>2426</v>
      </c>
      <c r="AU18" s="67">
        <v>25</v>
      </c>
      <c r="AV18" s="67">
        <v>1</v>
      </c>
      <c r="AW18" s="67">
        <v>0</v>
      </c>
      <c r="AX18" s="67">
        <v>0</v>
      </c>
      <c r="AY18" s="67">
        <v>0</v>
      </c>
      <c r="AZ18" s="67">
        <v>26</v>
      </c>
      <c r="BB18" s="70" t="s">
        <v>1344</v>
      </c>
      <c r="BC18" s="70" t="s">
        <v>2426</v>
      </c>
      <c r="BD18" s="70">
        <v>44</v>
      </c>
      <c r="BE18" s="70">
        <v>40</v>
      </c>
      <c r="BF18" s="70">
        <v>99</v>
      </c>
      <c r="BG18" s="70">
        <v>140</v>
      </c>
      <c r="BH18" s="70">
        <v>201</v>
      </c>
      <c r="BI18" s="70">
        <v>524</v>
      </c>
      <c r="BJ18" s="70"/>
      <c r="BK18" s="70" t="s">
        <v>2426</v>
      </c>
      <c r="BL18" s="70">
        <v>10</v>
      </c>
      <c r="BM18" s="70">
        <v>0</v>
      </c>
      <c r="BN18" s="70">
        <v>0</v>
      </c>
      <c r="BO18" s="70">
        <v>0</v>
      </c>
      <c r="BP18" s="70">
        <v>0</v>
      </c>
      <c r="BQ18" s="70">
        <v>10</v>
      </c>
      <c r="BS18" s="71" t="s">
        <v>1627</v>
      </c>
      <c r="BT18" s="71" t="s">
        <v>2426</v>
      </c>
      <c r="BU18" s="71">
        <v>143</v>
      </c>
      <c r="BV18" s="71">
        <v>102</v>
      </c>
      <c r="BW18" s="71">
        <v>188</v>
      </c>
      <c r="BX18" s="71">
        <v>289</v>
      </c>
      <c r="BY18" s="71">
        <v>279</v>
      </c>
      <c r="BZ18" s="71">
        <v>1001</v>
      </c>
      <c r="CA18" s="71"/>
      <c r="CB18" s="71" t="s">
        <v>2426</v>
      </c>
      <c r="CC18" s="71">
        <v>27</v>
      </c>
      <c r="CD18" s="71">
        <v>0</v>
      </c>
      <c r="CE18" s="71">
        <v>0</v>
      </c>
      <c r="CF18" s="71">
        <v>0</v>
      </c>
      <c r="CG18" s="71">
        <v>0</v>
      </c>
      <c r="CH18" s="71">
        <v>27</v>
      </c>
      <c r="CL18" s="57" t="s">
        <v>578</v>
      </c>
      <c r="CM18" s="57" t="s">
        <v>2426</v>
      </c>
      <c r="CN18" s="57">
        <v>176</v>
      </c>
      <c r="CO18" s="57">
        <v>242</v>
      </c>
      <c r="CP18" s="57">
        <v>354</v>
      </c>
      <c r="CQ18" s="57">
        <v>407</v>
      </c>
      <c r="CR18" s="57">
        <v>408</v>
      </c>
      <c r="CS18" s="57">
        <v>1587</v>
      </c>
      <c r="CT18" s="57"/>
      <c r="CU18" s="57" t="s">
        <v>2426</v>
      </c>
      <c r="CV18" s="57">
        <v>45</v>
      </c>
      <c r="CW18" s="57">
        <v>0</v>
      </c>
      <c r="CX18" s="57">
        <v>0</v>
      </c>
      <c r="CY18" s="57">
        <v>0</v>
      </c>
      <c r="CZ18" s="57">
        <v>0</v>
      </c>
      <c r="DA18" s="57">
        <v>45</v>
      </c>
      <c r="DD18" s="78" t="s">
        <v>1786</v>
      </c>
      <c r="DE18" s="78" t="s">
        <v>2427</v>
      </c>
      <c r="DF18" s="78">
        <v>342</v>
      </c>
      <c r="DG18" s="78">
        <v>529</v>
      </c>
      <c r="DH18" s="78">
        <v>669</v>
      </c>
      <c r="DI18" s="78">
        <v>804</v>
      </c>
      <c r="DJ18" s="78">
        <v>656</v>
      </c>
      <c r="DK18" s="78">
        <v>3000</v>
      </c>
      <c r="DL18" s="78"/>
      <c r="DM18" s="78" t="s">
        <v>2427</v>
      </c>
      <c r="DN18" s="78">
        <v>20</v>
      </c>
      <c r="DO18" s="78">
        <v>12</v>
      </c>
      <c r="DP18" s="78">
        <v>3</v>
      </c>
      <c r="DQ18" s="78">
        <v>1</v>
      </c>
      <c r="DR18" s="78">
        <v>0</v>
      </c>
      <c r="DS18" s="78">
        <v>36</v>
      </c>
      <c r="DV18" s="80" t="s">
        <v>1908</v>
      </c>
      <c r="DW18" s="80" t="s">
        <v>2426</v>
      </c>
      <c r="DX18" s="80">
        <v>184</v>
      </c>
      <c r="DY18" s="80">
        <v>127</v>
      </c>
      <c r="DZ18" s="80">
        <v>152</v>
      </c>
      <c r="EA18" s="80">
        <v>191</v>
      </c>
      <c r="EB18" s="80">
        <v>197</v>
      </c>
      <c r="EC18" s="80">
        <v>85</v>
      </c>
      <c r="ED18" s="80"/>
      <c r="EE18" s="80" t="s">
        <v>2426</v>
      </c>
      <c r="EF18" s="80">
        <v>8</v>
      </c>
      <c r="EG18" s="80">
        <v>0</v>
      </c>
      <c r="EH18" s="80">
        <v>0</v>
      </c>
      <c r="EI18" s="80">
        <v>0</v>
      </c>
      <c r="EJ18" s="80">
        <v>0</v>
      </c>
      <c r="EK18" s="80">
        <v>8</v>
      </c>
      <c r="EN18" s="57" t="s">
        <v>2391</v>
      </c>
      <c r="EO18" s="57" t="s">
        <v>2426</v>
      </c>
      <c r="EP18" s="57" t="s">
        <v>356</v>
      </c>
      <c r="EQ18" s="57" t="s">
        <v>356</v>
      </c>
      <c r="ER18" s="57" t="s">
        <v>356</v>
      </c>
      <c r="ES18" s="57" t="s">
        <v>356</v>
      </c>
      <c r="ET18" s="57" t="s">
        <v>356</v>
      </c>
      <c r="EU18" s="57" t="s">
        <v>356</v>
      </c>
      <c r="EV18" s="57"/>
      <c r="EW18" s="57" t="s">
        <v>2426</v>
      </c>
      <c r="EX18" s="57" t="s">
        <v>356</v>
      </c>
      <c r="EY18" s="57" t="s">
        <v>356</v>
      </c>
      <c r="EZ18" s="57" t="s">
        <v>356</v>
      </c>
      <c r="FA18" s="57" t="s">
        <v>356</v>
      </c>
      <c r="FB18" s="57" t="s">
        <v>356</v>
      </c>
      <c r="FC18" s="57" t="s">
        <v>356</v>
      </c>
      <c r="FF18" s="71" t="s">
        <v>2067</v>
      </c>
      <c r="FG18" s="71" t="s">
        <v>2426</v>
      </c>
      <c r="FH18" s="71">
        <v>651</v>
      </c>
      <c r="FI18" s="71">
        <v>860</v>
      </c>
      <c r="FJ18" s="71">
        <v>774</v>
      </c>
      <c r="FK18" s="71">
        <v>719</v>
      </c>
      <c r="FL18" s="71">
        <v>875</v>
      </c>
      <c r="FM18" s="71">
        <v>3879</v>
      </c>
      <c r="FN18" s="71"/>
      <c r="FO18" s="71" t="s">
        <v>2426</v>
      </c>
      <c r="FP18" s="71">
        <v>48</v>
      </c>
      <c r="FQ18" s="71">
        <v>3</v>
      </c>
      <c r="FR18" s="71">
        <v>0</v>
      </c>
      <c r="FS18" s="71">
        <v>0</v>
      </c>
      <c r="FT18" s="71">
        <v>0</v>
      </c>
      <c r="FU18" s="71">
        <v>51</v>
      </c>
    </row>
    <row r="19" spans="1:177">
      <c r="B19" s="65" t="s">
        <v>885</v>
      </c>
      <c r="C19" s="65" t="s">
        <v>2426</v>
      </c>
      <c r="D19" s="65">
        <v>149</v>
      </c>
      <c r="E19" s="65">
        <v>226</v>
      </c>
      <c r="F19" s="65">
        <v>365</v>
      </c>
      <c r="G19" s="65">
        <v>431</v>
      </c>
      <c r="H19" s="65">
        <v>342</v>
      </c>
      <c r="I19" s="65">
        <v>1513</v>
      </c>
      <c r="K19" s="65" t="s">
        <v>2426</v>
      </c>
      <c r="L19" s="65">
        <v>16</v>
      </c>
      <c r="M19" s="65">
        <v>0</v>
      </c>
      <c r="N19" s="65">
        <v>0</v>
      </c>
      <c r="O19" s="65">
        <v>0</v>
      </c>
      <c r="P19" s="65">
        <v>0</v>
      </c>
      <c r="Q19" s="65">
        <v>16</v>
      </c>
      <c r="T19" s="66" t="s">
        <v>1119</v>
      </c>
      <c r="U19" s="66" t="s">
        <v>2426</v>
      </c>
      <c r="V19" s="66">
        <v>309</v>
      </c>
      <c r="W19" s="66">
        <v>221</v>
      </c>
      <c r="X19" s="66">
        <v>385</v>
      </c>
      <c r="Y19" s="66">
        <v>565</v>
      </c>
      <c r="Z19" s="66">
        <v>488</v>
      </c>
      <c r="AA19" s="66">
        <v>1968</v>
      </c>
      <c r="AB19" s="66"/>
      <c r="AC19" s="66" t="s">
        <v>2426</v>
      </c>
      <c r="AD19" s="66">
        <v>23</v>
      </c>
      <c r="AE19" s="66">
        <v>0</v>
      </c>
      <c r="AF19" s="66">
        <v>0</v>
      </c>
      <c r="AG19" s="66">
        <v>0</v>
      </c>
      <c r="AH19" s="66">
        <v>0</v>
      </c>
      <c r="AI19" s="66">
        <v>23</v>
      </c>
      <c r="AK19" s="67" t="s">
        <v>1272</v>
      </c>
      <c r="AL19" s="67" t="s">
        <v>2426</v>
      </c>
      <c r="AM19" s="67">
        <v>330</v>
      </c>
      <c r="AN19" s="67">
        <v>243</v>
      </c>
      <c r="AO19" s="67">
        <v>353</v>
      </c>
      <c r="AP19" s="67">
        <v>491</v>
      </c>
      <c r="AQ19" s="67">
        <v>529</v>
      </c>
      <c r="AR19" s="67">
        <v>1946</v>
      </c>
      <c r="AS19" s="67"/>
      <c r="AT19" s="67" t="s">
        <v>2426</v>
      </c>
      <c r="AU19" s="67">
        <v>115</v>
      </c>
      <c r="AV19" s="67">
        <v>0</v>
      </c>
      <c r="AW19" s="67">
        <v>0</v>
      </c>
      <c r="AX19" s="67">
        <v>0</v>
      </c>
      <c r="AY19" s="67">
        <v>0</v>
      </c>
      <c r="AZ19" s="67">
        <v>115</v>
      </c>
      <c r="BB19" s="70" t="s">
        <v>1347</v>
      </c>
      <c r="BC19" s="70" t="s">
        <v>2426</v>
      </c>
      <c r="BD19" s="70">
        <v>496</v>
      </c>
      <c r="BE19" s="70">
        <v>413</v>
      </c>
      <c r="BF19" s="70">
        <v>734</v>
      </c>
      <c r="BG19" s="70">
        <v>975</v>
      </c>
      <c r="BH19" s="70">
        <v>950</v>
      </c>
      <c r="BI19" s="70">
        <v>3568</v>
      </c>
      <c r="BJ19" s="70"/>
      <c r="BK19" s="70" t="s">
        <v>2426</v>
      </c>
      <c r="BL19" s="70">
        <v>52</v>
      </c>
      <c r="BM19" s="70">
        <v>0</v>
      </c>
      <c r="BN19" s="70">
        <v>0</v>
      </c>
      <c r="BO19" s="70">
        <v>0</v>
      </c>
      <c r="BP19" s="70">
        <v>0</v>
      </c>
      <c r="BQ19" s="70">
        <v>52</v>
      </c>
      <c r="BS19" s="71" t="s">
        <v>1629</v>
      </c>
      <c r="BT19" s="71" t="s">
        <v>2426</v>
      </c>
      <c r="BU19" s="71">
        <v>73</v>
      </c>
      <c r="BV19" s="71">
        <v>41</v>
      </c>
      <c r="BW19" s="71">
        <v>69</v>
      </c>
      <c r="BX19" s="71">
        <v>119</v>
      </c>
      <c r="BY19" s="71">
        <v>104</v>
      </c>
      <c r="BZ19" s="71">
        <v>406</v>
      </c>
      <c r="CA19" s="71"/>
      <c r="CB19" s="71" t="s">
        <v>2426</v>
      </c>
      <c r="CC19" s="71">
        <v>16</v>
      </c>
      <c r="CD19" s="71">
        <v>0</v>
      </c>
      <c r="CE19" s="71">
        <v>0</v>
      </c>
      <c r="CF19" s="71">
        <v>0</v>
      </c>
      <c r="CG19" s="71">
        <v>0</v>
      </c>
      <c r="CH19" s="71">
        <v>16</v>
      </c>
      <c r="CL19" s="57" t="s">
        <v>582</v>
      </c>
      <c r="CM19" s="57" t="s">
        <v>2426</v>
      </c>
      <c r="CN19" s="57">
        <v>90</v>
      </c>
      <c r="CO19" s="57">
        <v>58</v>
      </c>
      <c r="CP19" s="57">
        <v>130</v>
      </c>
      <c r="CQ19" s="57">
        <v>197</v>
      </c>
      <c r="CR19" s="57">
        <v>234</v>
      </c>
      <c r="CS19" s="57">
        <v>709</v>
      </c>
      <c r="CT19" s="57"/>
      <c r="CU19" s="57" t="s">
        <v>2426</v>
      </c>
      <c r="CV19" s="57">
        <v>36</v>
      </c>
      <c r="CW19" s="57">
        <v>0</v>
      </c>
      <c r="CX19" s="57">
        <v>0</v>
      </c>
      <c r="CY19" s="57">
        <v>0</v>
      </c>
      <c r="CZ19" s="57">
        <v>0</v>
      </c>
      <c r="DA19" s="57">
        <v>36</v>
      </c>
      <c r="DD19" s="78" t="s">
        <v>1791</v>
      </c>
      <c r="DE19" s="78" t="s">
        <v>2427</v>
      </c>
      <c r="DF19" s="78">
        <v>341</v>
      </c>
      <c r="DG19" s="78">
        <v>564</v>
      </c>
      <c r="DH19" s="78">
        <v>715</v>
      </c>
      <c r="DI19" s="78">
        <v>823</v>
      </c>
      <c r="DJ19" s="78">
        <v>795</v>
      </c>
      <c r="DK19" s="78">
        <v>3238</v>
      </c>
      <c r="DL19" s="78"/>
      <c r="DM19" s="78" t="s">
        <v>2427</v>
      </c>
      <c r="DN19" s="78">
        <v>16</v>
      </c>
      <c r="DO19" s="78">
        <v>9</v>
      </c>
      <c r="DP19" s="78">
        <v>3</v>
      </c>
      <c r="DQ19" s="78">
        <v>1</v>
      </c>
      <c r="DR19" s="78">
        <v>0</v>
      </c>
      <c r="DS19" s="78">
        <v>29</v>
      </c>
      <c r="DV19" s="80" t="s">
        <v>1911</v>
      </c>
      <c r="DW19" s="80" t="s">
        <v>2426</v>
      </c>
      <c r="DX19" s="80">
        <v>299</v>
      </c>
      <c r="DY19" s="80">
        <v>462</v>
      </c>
      <c r="DZ19" s="80">
        <v>523</v>
      </c>
      <c r="EA19" s="80">
        <v>488</v>
      </c>
      <c r="EB19" s="80">
        <v>362</v>
      </c>
      <c r="EC19" s="80">
        <v>2134</v>
      </c>
      <c r="ED19" s="80"/>
      <c r="EE19" s="80" t="s">
        <v>2426</v>
      </c>
      <c r="EF19" s="80">
        <v>7</v>
      </c>
      <c r="EG19" s="80">
        <v>3</v>
      </c>
      <c r="EH19" s="80">
        <v>0</v>
      </c>
      <c r="EI19" s="80">
        <v>0</v>
      </c>
      <c r="EJ19" s="80">
        <v>0</v>
      </c>
      <c r="EK19" s="80">
        <v>10</v>
      </c>
      <c r="EN19" s="57" t="s">
        <v>2392</v>
      </c>
      <c r="EO19" s="57" t="s">
        <v>2426</v>
      </c>
      <c r="EP19" s="57" t="s">
        <v>356</v>
      </c>
      <c r="EQ19" s="57" t="s">
        <v>356</v>
      </c>
      <c r="ER19" s="57" t="s">
        <v>356</v>
      </c>
      <c r="ES19" s="57" t="s">
        <v>356</v>
      </c>
      <c r="ET19" s="57" t="s">
        <v>356</v>
      </c>
      <c r="EU19" s="57" t="s">
        <v>356</v>
      </c>
      <c r="EV19" s="57"/>
      <c r="EW19" s="57" t="s">
        <v>2426</v>
      </c>
      <c r="EX19" s="57" t="s">
        <v>356</v>
      </c>
      <c r="EY19" s="57" t="s">
        <v>356</v>
      </c>
      <c r="EZ19" s="57" t="s">
        <v>356</v>
      </c>
      <c r="FA19" s="57" t="s">
        <v>356</v>
      </c>
      <c r="FB19" s="57" t="s">
        <v>356</v>
      </c>
      <c r="FC19" s="57" t="s">
        <v>356</v>
      </c>
      <c r="FF19" s="71" t="s">
        <v>2069</v>
      </c>
      <c r="FG19" s="71" t="s">
        <v>2426</v>
      </c>
      <c r="FH19" s="71" t="s">
        <v>356</v>
      </c>
      <c r="FI19" s="71" t="s">
        <v>356</v>
      </c>
      <c r="FJ19" s="71" t="s">
        <v>356</v>
      </c>
      <c r="FK19" s="71" t="s">
        <v>356</v>
      </c>
      <c r="FL19" s="71" t="s">
        <v>356</v>
      </c>
      <c r="FM19" s="71" t="s">
        <v>356</v>
      </c>
      <c r="FN19" s="71"/>
      <c r="FO19" s="71" t="s">
        <v>2426</v>
      </c>
      <c r="FP19" s="71" t="s">
        <v>356</v>
      </c>
      <c r="FQ19" s="71" t="s">
        <v>356</v>
      </c>
      <c r="FR19" s="71" t="s">
        <v>356</v>
      </c>
      <c r="FS19" s="71" t="s">
        <v>356</v>
      </c>
      <c r="FT19" s="71" t="s">
        <v>356</v>
      </c>
      <c r="FU19" s="71" t="s">
        <v>356</v>
      </c>
    </row>
    <row r="20" spans="1:177">
      <c r="B20" s="65" t="s">
        <v>891</v>
      </c>
      <c r="C20" s="65" t="s">
        <v>2426</v>
      </c>
      <c r="D20" s="65">
        <v>388</v>
      </c>
      <c r="E20" s="65">
        <v>468</v>
      </c>
      <c r="F20" s="65">
        <v>558</v>
      </c>
      <c r="G20" s="65">
        <v>693</v>
      </c>
      <c r="H20" s="65">
        <v>524</v>
      </c>
      <c r="I20" s="65">
        <v>2631</v>
      </c>
      <c r="K20" s="65" t="s">
        <v>2426</v>
      </c>
      <c r="L20" s="65">
        <v>54</v>
      </c>
      <c r="M20" s="65">
        <v>6</v>
      </c>
      <c r="N20" s="65">
        <v>0</v>
      </c>
      <c r="O20" s="65">
        <v>1</v>
      </c>
      <c r="P20" s="65">
        <v>0</v>
      </c>
      <c r="Q20" s="65">
        <v>61</v>
      </c>
      <c r="T20" s="66" t="s">
        <v>1125</v>
      </c>
      <c r="U20" s="66" t="s">
        <v>2426</v>
      </c>
      <c r="V20" s="66">
        <v>241</v>
      </c>
      <c r="W20" s="66">
        <v>303</v>
      </c>
      <c r="X20" s="66">
        <v>500</v>
      </c>
      <c r="Y20" s="66">
        <v>679</v>
      </c>
      <c r="Z20" s="66">
        <v>551</v>
      </c>
      <c r="AA20" s="66">
        <v>2274</v>
      </c>
      <c r="AB20" s="66"/>
      <c r="AC20" s="66" t="s">
        <v>2426</v>
      </c>
      <c r="AD20" s="66">
        <v>22</v>
      </c>
      <c r="AE20" s="66">
        <v>2</v>
      </c>
      <c r="AF20" s="66">
        <v>0</v>
      </c>
      <c r="AG20" s="66">
        <v>0</v>
      </c>
      <c r="AH20" s="66">
        <v>0</v>
      </c>
      <c r="AI20" s="66">
        <v>24</v>
      </c>
      <c r="AK20" s="67" t="s">
        <v>1276</v>
      </c>
      <c r="AL20" s="67" t="s">
        <v>2426</v>
      </c>
      <c r="AM20" s="67">
        <v>397</v>
      </c>
      <c r="AN20" s="67">
        <v>255</v>
      </c>
      <c r="AO20" s="67">
        <v>408</v>
      </c>
      <c r="AP20" s="67">
        <v>570</v>
      </c>
      <c r="AQ20" s="67">
        <v>583</v>
      </c>
      <c r="AR20" s="67">
        <v>2213</v>
      </c>
      <c r="AS20" s="67"/>
      <c r="AT20" s="67" t="s">
        <v>2426</v>
      </c>
      <c r="AU20" s="67">
        <v>92</v>
      </c>
      <c r="AV20" s="67">
        <v>1</v>
      </c>
      <c r="AW20" s="67">
        <v>0</v>
      </c>
      <c r="AX20" s="67">
        <v>0</v>
      </c>
      <c r="AY20" s="67">
        <v>0</v>
      </c>
      <c r="AZ20" s="67">
        <v>93</v>
      </c>
      <c r="BB20" s="70" t="s">
        <v>1350</v>
      </c>
      <c r="BC20" s="70" t="s">
        <v>2426</v>
      </c>
      <c r="BD20" s="70">
        <v>118</v>
      </c>
      <c r="BE20" s="70">
        <v>79</v>
      </c>
      <c r="BF20" s="70">
        <v>129</v>
      </c>
      <c r="BG20" s="70">
        <v>182</v>
      </c>
      <c r="BH20" s="70">
        <v>192</v>
      </c>
      <c r="BI20" s="70">
        <v>700</v>
      </c>
      <c r="BJ20" s="70"/>
      <c r="BK20" s="70" t="s">
        <v>2426</v>
      </c>
      <c r="BL20" s="70">
        <v>33</v>
      </c>
      <c r="BM20" s="70">
        <v>0</v>
      </c>
      <c r="BN20" s="70">
        <v>0</v>
      </c>
      <c r="BO20" s="70">
        <v>0</v>
      </c>
      <c r="BP20" s="70">
        <v>0</v>
      </c>
      <c r="BQ20" s="70">
        <v>33</v>
      </c>
      <c r="BS20" s="71" t="s">
        <v>1631</v>
      </c>
      <c r="BT20" s="71" t="s">
        <v>2426</v>
      </c>
      <c r="BU20" s="71">
        <v>152</v>
      </c>
      <c r="BV20" s="71">
        <v>143</v>
      </c>
      <c r="BW20" s="71">
        <v>236</v>
      </c>
      <c r="BX20" s="71">
        <v>329</v>
      </c>
      <c r="BY20" s="71">
        <v>335</v>
      </c>
      <c r="BZ20" s="71">
        <v>1195</v>
      </c>
      <c r="CA20" s="71"/>
      <c r="CB20" s="71" t="s">
        <v>2426</v>
      </c>
      <c r="CC20" s="71">
        <v>45</v>
      </c>
      <c r="CD20" s="71">
        <v>1</v>
      </c>
      <c r="CE20" s="71">
        <v>0</v>
      </c>
      <c r="CF20" s="71">
        <v>0</v>
      </c>
      <c r="CG20" s="71">
        <v>0</v>
      </c>
      <c r="CH20" s="71">
        <v>46</v>
      </c>
      <c r="CL20" s="57" t="s">
        <v>2284</v>
      </c>
      <c r="CM20" s="57" t="s">
        <v>2426</v>
      </c>
      <c r="CN20" s="57">
        <v>37</v>
      </c>
      <c r="CO20" s="57">
        <v>102</v>
      </c>
      <c r="CP20" s="57">
        <v>219</v>
      </c>
      <c r="CQ20" s="57">
        <v>327</v>
      </c>
      <c r="CR20" s="57">
        <v>351</v>
      </c>
      <c r="CS20" s="57">
        <v>1036</v>
      </c>
      <c r="CT20" s="57"/>
      <c r="CU20" s="57" t="s">
        <v>2426</v>
      </c>
      <c r="CV20" s="57">
        <v>10</v>
      </c>
      <c r="CW20" s="57">
        <v>0</v>
      </c>
      <c r="CX20" s="57">
        <v>0</v>
      </c>
      <c r="CY20" s="57">
        <v>0</v>
      </c>
      <c r="CZ20" s="57">
        <v>0</v>
      </c>
      <c r="DA20" s="57">
        <v>10</v>
      </c>
      <c r="DD20" s="78" t="s">
        <v>1794</v>
      </c>
      <c r="DE20" s="78" t="s">
        <v>2427</v>
      </c>
      <c r="DF20" s="78">
        <v>133</v>
      </c>
      <c r="DG20" s="78">
        <v>211</v>
      </c>
      <c r="DH20" s="78">
        <v>271</v>
      </c>
      <c r="DI20" s="78">
        <v>353</v>
      </c>
      <c r="DJ20" s="78">
        <v>382</v>
      </c>
      <c r="DK20" s="78">
        <v>1350</v>
      </c>
      <c r="DL20" s="78"/>
      <c r="DM20" s="78" t="s">
        <v>2427</v>
      </c>
      <c r="DN20" s="78">
        <v>10</v>
      </c>
      <c r="DO20" s="78">
        <v>12</v>
      </c>
      <c r="DP20" s="78">
        <v>1</v>
      </c>
      <c r="DQ20" s="78">
        <v>2</v>
      </c>
      <c r="DR20" s="78">
        <v>3</v>
      </c>
      <c r="DS20" s="78">
        <v>28</v>
      </c>
      <c r="DV20" s="80" t="s">
        <v>1914</v>
      </c>
      <c r="DW20" s="80" t="s">
        <v>2426</v>
      </c>
      <c r="DX20" s="80">
        <v>507</v>
      </c>
      <c r="DY20" s="80">
        <v>794</v>
      </c>
      <c r="DZ20" s="80">
        <v>1251</v>
      </c>
      <c r="EA20" s="80">
        <v>1701</v>
      </c>
      <c r="EB20" s="80">
        <v>1369</v>
      </c>
      <c r="EC20" s="80">
        <v>5622</v>
      </c>
      <c r="ED20" s="80"/>
      <c r="EE20" s="80" t="s">
        <v>2426</v>
      </c>
      <c r="EF20" s="80">
        <v>21</v>
      </c>
      <c r="EG20" s="80">
        <v>3</v>
      </c>
      <c r="EH20" s="80">
        <v>0</v>
      </c>
      <c r="EI20" s="80">
        <v>0</v>
      </c>
      <c r="EJ20" s="80">
        <v>0</v>
      </c>
      <c r="EK20" s="80">
        <v>24</v>
      </c>
      <c r="EN20" s="57" t="s">
        <v>2393</v>
      </c>
      <c r="EO20" s="57" t="s">
        <v>2426</v>
      </c>
      <c r="EP20" s="57" t="s">
        <v>356</v>
      </c>
      <c r="EQ20" s="57" t="s">
        <v>356</v>
      </c>
      <c r="ER20" s="57" t="s">
        <v>356</v>
      </c>
      <c r="ES20" s="57" t="s">
        <v>356</v>
      </c>
      <c r="ET20" s="57" t="s">
        <v>356</v>
      </c>
      <c r="EU20" s="57" t="s">
        <v>356</v>
      </c>
      <c r="EV20" s="57"/>
      <c r="EW20" s="57" t="s">
        <v>2426</v>
      </c>
      <c r="EX20" s="57" t="s">
        <v>356</v>
      </c>
      <c r="EY20" s="57" t="s">
        <v>356</v>
      </c>
      <c r="EZ20" s="57" t="s">
        <v>356</v>
      </c>
      <c r="FA20" s="57" t="s">
        <v>356</v>
      </c>
      <c r="FB20" s="57" t="s">
        <v>356</v>
      </c>
      <c r="FC20" s="57" t="s">
        <v>356</v>
      </c>
      <c r="FF20" s="71" t="s">
        <v>2072</v>
      </c>
      <c r="FG20" s="71" t="s">
        <v>2426</v>
      </c>
      <c r="FH20" s="71">
        <v>471</v>
      </c>
      <c r="FI20" s="71">
        <v>584</v>
      </c>
      <c r="FJ20" s="71">
        <v>709</v>
      </c>
      <c r="FK20" s="71">
        <v>837</v>
      </c>
      <c r="FL20" s="71">
        <v>926</v>
      </c>
      <c r="FM20" s="71">
        <v>3527</v>
      </c>
      <c r="FN20" s="71"/>
      <c r="FO20" s="71" t="s">
        <v>2426</v>
      </c>
      <c r="FP20" s="71">
        <v>89</v>
      </c>
      <c r="FQ20" s="71">
        <v>8</v>
      </c>
      <c r="FR20" s="71">
        <v>0</v>
      </c>
      <c r="FS20" s="71">
        <v>0</v>
      </c>
      <c r="FT20" s="71">
        <v>0</v>
      </c>
      <c r="FU20" s="71">
        <v>97</v>
      </c>
    </row>
    <row r="21" spans="1:177">
      <c r="B21" s="65" t="s">
        <v>901</v>
      </c>
      <c r="C21" s="65" t="s">
        <v>2426</v>
      </c>
      <c r="D21" s="65">
        <v>149</v>
      </c>
      <c r="E21" s="65">
        <v>163</v>
      </c>
      <c r="F21" s="65">
        <v>169</v>
      </c>
      <c r="G21" s="65">
        <v>255</v>
      </c>
      <c r="H21" s="65">
        <v>284</v>
      </c>
      <c r="I21" s="65">
        <v>1020</v>
      </c>
      <c r="K21" s="65" t="s">
        <v>2426</v>
      </c>
      <c r="L21" s="65">
        <v>51</v>
      </c>
      <c r="M21" s="65">
        <v>0</v>
      </c>
      <c r="N21" s="65">
        <v>0</v>
      </c>
      <c r="O21" s="65">
        <v>0</v>
      </c>
      <c r="P21" s="65">
        <v>0</v>
      </c>
      <c r="Q21" s="65">
        <v>51</v>
      </c>
      <c r="T21" s="66" t="s">
        <v>1130</v>
      </c>
      <c r="U21" s="66" t="s">
        <v>2426</v>
      </c>
      <c r="V21" s="66">
        <v>1181</v>
      </c>
      <c r="W21" s="66">
        <v>1277</v>
      </c>
      <c r="X21" s="66">
        <v>1379</v>
      </c>
      <c r="Y21" s="66">
        <v>1541</v>
      </c>
      <c r="Z21" s="66">
        <v>1074</v>
      </c>
      <c r="AA21" s="66">
        <v>6452</v>
      </c>
      <c r="AB21" s="66"/>
      <c r="AC21" s="66" t="s">
        <v>2426</v>
      </c>
      <c r="AD21" s="66">
        <v>138</v>
      </c>
      <c r="AE21" s="66">
        <v>25</v>
      </c>
      <c r="AF21" s="66">
        <v>5</v>
      </c>
      <c r="AG21" s="66">
        <v>6</v>
      </c>
      <c r="AH21" s="66">
        <v>4</v>
      </c>
      <c r="AI21" s="66">
        <v>178</v>
      </c>
      <c r="AK21" s="67" t="s">
        <v>1279</v>
      </c>
      <c r="AL21" s="67" t="s">
        <v>2426</v>
      </c>
      <c r="AM21" s="67">
        <v>465</v>
      </c>
      <c r="AN21" s="67">
        <v>283</v>
      </c>
      <c r="AO21" s="67">
        <v>446</v>
      </c>
      <c r="AP21" s="67">
        <v>542</v>
      </c>
      <c r="AQ21" s="67">
        <v>582</v>
      </c>
      <c r="AR21" s="67">
        <v>2318</v>
      </c>
      <c r="AS21" s="67"/>
      <c r="AT21" s="67" t="s">
        <v>2426</v>
      </c>
      <c r="AU21" s="67">
        <v>126</v>
      </c>
      <c r="AV21" s="67">
        <v>0</v>
      </c>
      <c r="AW21" s="67">
        <v>0</v>
      </c>
      <c r="AX21" s="67">
        <v>0</v>
      </c>
      <c r="AY21" s="67">
        <v>0</v>
      </c>
      <c r="AZ21" s="67">
        <v>126</v>
      </c>
      <c r="BB21" s="70" t="s">
        <v>1356</v>
      </c>
      <c r="BC21" s="70" t="s">
        <v>2426</v>
      </c>
      <c r="BD21" s="70">
        <v>228</v>
      </c>
      <c r="BE21" s="70">
        <v>193</v>
      </c>
      <c r="BF21" s="70">
        <v>316</v>
      </c>
      <c r="BG21" s="70">
        <v>449</v>
      </c>
      <c r="BH21" s="70">
        <v>389</v>
      </c>
      <c r="BI21" s="70">
        <v>1575</v>
      </c>
      <c r="BJ21" s="70"/>
      <c r="BK21" s="70" t="s">
        <v>2426</v>
      </c>
      <c r="BL21" s="70">
        <v>92</v>
      </c>
      <c r="BM21" s="70">
        <v>0</v>
      </c>
      <c r="BN21" s="70">
        <v>0</v>
      </c>
      <c r="BO21" s="70">
        <v>0</v>
      </c>
      <c r="BP21" s="70">
        <v>0</v>
      </c>
      <c r="BQ21" s="70">
        <v>92</v>
      </c>
      <c r="BS21" s="71" t="s">
        <v>1637</v>
      </c>
      <c r="BT21" s="71" t="s">
        <v>2426</v>
      </c>
      <c r="BU21" s="71">
        <v>736</v>
      </c>
      <c r="BV21" s="71">
        <v>424</v>
      </c>
      <c r="BW21" s="71">
        <v>297</v>
      </c>
      <c r="BX21" s="71">
        <v>243</v>
      </c>
      <c r="BY21" s="71">
        <v>233</v>
      </c>
      <c r="BZ21" s="71">
        <v>1933</v>
      </c>
      <c r="CA21" s="71"/>
      <c r="CB21" s="71" t="s">
        <v>2426</v>
      </c>
      <c r="CC21" s="71">
        <v>30</v>
      </c>
      <c r="CD21" s="71">
        <v>0</v>
      </c>
      <c r="CE21" s="71">
        <v>0</v>
      </c>
      <c r="CF21" s="71">
        <v>0</v>
      </c>
      <c r="CG21" s="71">
        <v>0</v>
      </c>
      <c r="CH21" s="71">
        <v>30</v>
      </c>
      <c r="CL21" s="57" t="s">
        <v>554</v>
      </c>
      <c r="CM21" s="57" t="s">
        <v>2426</v>
      </c>
      <c r="CN21" s="57">
        <v>93</v>
      </c>
      <c r="CO21" s="57">
        <v>62</v>
      </c>
      <c r="CP21" s="57">
        <v>67</v>
      </c>
      <c r="CQ21" s="57">
        <v>53</v>
      </c>
      <c r="CR21" s="57">
        <v>44</v>
      </c>
      <c r="CS21" s="57">
        <v>319</v>
      </c>
      <c r="CT21" s="57"/>
      <c r="CU21" s="57" t="s">
        <v>2426</v>
      </c>
      <c r="CV21" s="57">
        <v>20</v>
      </c>
      <c r="CW21" s="57">
        <v>0</v>
      </c>
      <c r="CX21" s="57">
        <v>0</v>
      </c>
      <c r="CY21" s="57">
        <v>0</v>
      </c>
      <c r="CZ21" s="57">
        <v>0</v>
      </c>
      <c r="DA21" s="57">
        <v>20</v>
      </c>
      <c r="DD21" s="78" t="s">
        <v>2343</v>
      </c>
      <c r="DE21" s="78" t="s">
        <v>2427</v>
      </c>
      <c r="DF21" s="78">
        <v>847</v>
      </c>
      <c r="DG21" s="78">
        <v>1026</v>
      </c>
      <c r="DH21" s="78">
        <v>1375</v>
      </c>
      <c r="DI21" s="78">
        <v>1623</v>
      </c>
      <c r="DJ21" s="78">
        <v>1278</v>
      </c>
      <c r="DK21" s="78">
        <v>6149</v>
      </c>
      <c r="DL21" s="78"/>
      <c r="DM21" s="78" t="s">
        <v>2427</v>
      </c>
      <c r="DN21" s="78">
        <v>70</v>
      </c>
      <c r="DO21" s="78">
        <v>40</v>
      </c>
      <c r="DP21" s="78">
        <v>9</v>
      </c>
      <c r="DQ21" s="78">
        <v>6</v>
      </c>
      <c r="DR21" s="78">
        <v>2</v>
      </c>
      <c r="DS21" s="78">
        <v>127</v>
      </c>
      <c r="DV21" s="80" t="s">
        <v>1917</v>
      </c>
      <c r="DW21" s="80" t="s">
        <v>2426</v>
      </c>
      <c r="DX21" s="80">
        <v>269</v>
      </c>
      <c r="DY21" s="80">
        <v>369</v>
      </c>
      <c r="DZ21" s="80">
        <v>486</v>
      </c>
      <c r="EA21" s="80">
        <v>542</v>
      </c>
      <c r="EB21" s="80">
        <v>412</v>
      </c>
      <c r="EC21" s="80">
        <v>2078</v>
      </c>
      <c r="ED21" s="80"/>
      <c r="EE21" s="80" t="s">
        <v>2426</v>
      </c>
      <c r="EF21" s="80">
        <v>18</v>
      </c>
      <c r="EG21" s="80">
        <v>1</v>
      </c>
      <c r="EH21" s="80">
        <v>0</v>
      </c>
      <c r="EI21" s="80">
        <v>0</v>
      </c>
      <c r="EJ21" s="80">
        <v>0</v>
      </c>
      <c r="EK21" s="80">
        <v>19</v>
      </c>
      <c r="EN21" s="57" t="s">
        <v>1990</v>
      </c>
      <c r="EO21" s="57" t="s">
        <v>2426</v>
      </c>
      <c r="EP21" s="57">
        <v>303</v>
      </c>
      <c r="EQ21" s="57">
        <v>493</v>
      </c>
      <c r="ER21" s="57">
        <v>579</v>
      </c>
      <c r="ES21" s="57">
        <v>755</v>
      </c>
      <c r="ET21" s="57">
        <v>878</v>
      </c>
      <c r="EU21" s="57">
        <v>3008</v>
      </c>
      <c r="EV21" s="57"/>
      <c r="EW21" s="57" t="s">
        <v>2426</v>
      </c>
      <c r="EX21" s="57">
        <v>54</v>
      </c>
      <c r="EY21" s="57">
        <v>31</v>
      </c>
      <c r="EZ21" s="57">
        <v>21</v>
      </c>
      <c r="FA21" s="57">
        <v>20</v>
      </c>
      <c r="FB21" s="57">
        <v>37</v>
      </c>
      <c r="FC21" s="57">
        <v>163</v>
      </c>
      <c r="FF21" s="71" t="s">
        <v>2075</v>
      </c>
      <c r="FG21" s="71" t="s">
        <v>2426</v>
      </c>
      <c r="FH21" s="71">
        <v>557</v>
      </c>
      <c r="FI21" s="71">
        <v>647</v>
      </c>
      <c r="FJ21" s="71">
        <v>786</v>
      </c>
      <c r="FK21" s="71">
        <v>842</v>
      </c>
      <c r="FL21" s="71">
        <v>886</v>
      </c>
      <c r="FM21" s="71">
        <v>3718</v>
      </c>
      <c r="FN21" s="71"/>
      <c r="FO21" s="71" t="s">
        <v>2426</v>
      </c>
      <c r="FP21" s="71">
        <v>67</v>
      </c>
      <c r="FQ21" s="71">
        <v>32</v>
      </c>
      <c r="FR21" s="71">
        <v>0</v>
      </c>
      <c r="FS21" s="71">
        <v>0</v>
      </c>
      <c r="FT21" s="71">
        <v>0</v>
      </c>
      <c r="FU21" s="71">
        <v>99</v>
      </c>
    </row>
    <row r="22" spans="1:177">
      <c r="B22" s="65" t="s">
        <v>912</v>
      </c>
      <c r="C22" s="65" t="s">
        <v>2426</v>
      </c>
      <c r="D22" s="65" t="s">
        <v>356</v>
      </c>
      <c r="E22" s="65" t="s">
        <v>356</v>
      </c>
      <c r="F22" s="65" t="s">
        <v>356</v>
      </c>
      <c r="G22" s="65" t="s">
        <v>356</v>
      </c>
      <c r="H22" s="65" t="s">
        <v>356</v>
      </c>
      <c r="I22" s="65" t="s">
        <v>356</v>
      </c>
      <c r="K22" s="65" t="s">
        <v>2426</v>
      </c>
      <c r="L22" s="65" t="s">
        <v>356</v>
      </c>
      <c r="M22" s="65" t="s">
        <v>356</v>
      </c>
      <c r="N22" s="65" t="s">
        <v>356</v>
      </c>
      <c r="O22" s="65" t="s">
        <v>356</v>
      </c>
      <c r="P22" s="65" t="s">
        <v>356</v>
      </c>
      <c r="Q22" s="65" t="s">
        <v>356</v>
      </c>
      <c r="T22" s="66" t="s">
        <v>1136</v>
      </c>
      <c r="U22" s="66" t="s">
        <v>2426</v>
      </c>
      <c r="V22" s="66">
        <v>1047</v>
      </c>
      <c r="W22" s="66">
        <v>1221</v>
      </c>
      <c r="X22" s="66">
        <v>1571</v>
      </c>
      <c r="Y22" s="66">
        <v>1755</v>
      </c>
      <c r="Z22" s="66">
        <v>1238</v>
      </c>
      <c r="AA22" s="66">
        <v>6832</v>
      </c>
      <c r="AB22" s="66"/>
      <c r="AC22" s="66" t="s">
        <v>2426</v>
      </c>
      <c r="AD22" s="66">
        <v>81</v>
      </c>
      <c r="AE22" s="66">
        <v>5</v>
      </c>
      <c r="AF22" s="66">
        <v>0</v>
      </c>
      <c r="AG22" s="66">
        <v>2</v>
      </c>
      <c r="AH22" s="66">
        <v>1</v>
      </c>
      <c r="AI22" s="66">
        <v>89</v>
      </c>
      <c r="AK22" s="67" t="s">
        <v>1282</v>
      </c>
      <c r="AL22" s="67" t="s">
        <v>2426</v>
      </c>
      <c r="AM22" s="67">
        <v>1086</v>
      </c>
      <c r="AN22" s="67">
        <v>926</v>
      </c>
      <c r="AO22" s="67">
        <v>1079</v>
      </c>
      <c r="AP22" s="67">
        <v>1143</v>
      </c>
      <c r="AQ22" s="67">
        <v>843</v>
      </c>
      <c r="AR22" s="67">
        <v>5077</v>
      </c>
      <c r="AS22" s="67"/>
      <c r="AT22" s="67" t="s">
        <v>2426</v>
      </c>
      <c r="AU22" s="67">
        <v>155</v>
      </c>
      <c r="AV22" s="67">
        <v>1</v>
      </c>
      <c r="AW22" s="67">
        <v>0</v>
      </c>
      <c r="AX22" s="67">
        <v>0</v>
      </c>
      <c r="AY22" s="67">
        <v>0</v>
      </c>
      <c r="AZ22" s="67">
        <v>156</v>
      </c>
      <c r="BB22" s="70" t="s">
        <v>1359</v>
      </c>
      <c r="BC22" s="70" t="s">
        <v>2426</v>
      </c>
      <c r="BD22" s="70">
        <v>146</v>
      </c>
      <c r="BE22" s="70">
        <v>53</v>
      </c>
      <c r="BF22" s="70">
        <v>122</v>
      </c>
      <c r="BG22" s="70">
        <v>172</v>
      </c>
      <c r="BH22" s="70">
        <v>166</v>
      </c>
      <c r="BI22" s="70">
        <v>659</v>
      </c>
      <c r="BJ22" s="70"/>
      <c r="BK22" s="70" t="s">
        <v>2426</v>
      </c>
      <c r="BL22" s="70">
        <v>32</v>
      </c>
      <c r="BM22" s="70">
        <v>0</v>
      </c>
      <c r="BN22" s="70">
        <v>0</v>
      </c>
      <c r="BO22" s="70">
        <v>0</v>
      </c>
      <c r="BP22" s="70">
        <v>0</v>
      </c>
      <c r="BQ22" s="70">
        <v>32</v>
      </c>
      <c r="BS22" s="71" t="s">
        <v>1643</v>
      </c>
      <c r="BT22" s="71" t="s">
        <v>2426</v>
      </c>
      <c r="BU22" s="71">
        <v>81</v>
      </c>
      <c r="BV22" s="71">
        <v>84</v>
      </c>
      <c r="BW22" s="71">
        <v>171</v>
      </c>
      <c r="BX22" s="71">
        <v>285</v>
      </c>
      <c r="BY22" s="71">
        <v>244</v>
      </c>
      <c r="BZ22" s="71">
        <v>865</v>
      </c>
      <c r="CA22" s="71"/>
      <c r="CB22" s="71" t="s">
        <v>2426</v>
      </c>
      <c r="CC22" s="71">
        <v>24</v>
      </c>
      <c r="CD22" s="71">
        <v>0</v>
      </c>
      <c r="CE22" s="71">
        <v>0</v>
      </c>
      <c r="CF22" s="71">
        <v>0</v>
      </c>
      <c r="CG22" s="71">
        <v>0</v>
      </c>
      <c r="CH22" s="71">
        <v>24</v>
      </c>
      <c r="CL22" s="57" t="s">
        <v>585</v>
      </c>
      <c r="CM22" s="57" t="s">
        <v>2426</v>
      </c>
      <c r="CN22" s="57" t="s">
        <v>356</v>
      </c>
      <c r="CO22" s="57" t="s">
        <v>356</v>
      </c>
      <c r="CP22" s="57" t="s">
        <v>356</v>
      </c>
      <c r="CQ22" s="57" t="s">
        <v>356</v>
      </c>
      <c r="CR22" s="57" t="s">
        <v>356</v>
      </c>
      <c r="CS22" s="57" t="s">
        <v>356</v>
      </c>
      <c r="CT22" s="57"/>
      <c r="CU22" s="57" t="s">
        <v>2426</v>
      </c>
      <c r="CV22" s="57" t="s">
        <v>356</v>
      </c>
      <c r="CW22" s="57" t="s">
        <v>356</v>
      </c>
      <c r="CX22" s="57" t="s">
        <v>356</v>
      </c>
      <c r="CY22" s="57" t="s">
        <v>356</v>
      </c>
      <c r="CZ22" s="57" t="s">
        <v>356</v>
      </c>
      <c r="DA22" s="57" t="s">
        <v>356</v>
      </c>
      <c r="DD22" s="78" t="s">
        <v>1824</v>
      </c>
      <c r="DE22" s="78" t="s">
        <v>2427</v>
      </c>
      <c r="DF22" s="78">
        <v>144</v>
      </c>
      <c r="DG22" s="78">
        <v>219</v>
      </c>
      <c r="DH22" s="78">
        <v>260</v>
      </c>
      <c r="DI22" s="78">
        <v>325</v>
      </c>
      <c r="DJ22" s="78">
        <v>253</v>
      </c>
      <c r="DK22" s="78">
        <v>1201</v>
      </c>
      <c r="DL22" s="78"/>
      <c r="DM22" s="78" t="s">
        <v>2427</v>
      </c>
      <c r="DN22" s="78">
        <v>7</v>
      </c>
      <c r="DO22" s="78">
        <v>11</v>
      </c>
      <c r="DP22" s="78">
        <v>0</v>
      </c>
      <c r="DQ22" s="78">
        <v>2</v>
      </c>
      <c r="DR22" s="78">
        <v>2</v>
      </c>
      <c r="DS22" s="78">
        <v>22</v>
      </c>
      <c r="DV22" s="80" t="s">
        <v>1932</v>
      </c>
      <c r="DW22" s="80" t="s">
        <v>2426</v>
      </c>
      <c r="DX22" s="80">
        <v>168</v>
      </c>
      <c r="DY22" s="80">
        <v>132</v>
      </c>
      <c r="DZ22" s="80">
        <v>123</v>
      </c>
      <c r="EA22" s="80">
        <v>157</v>
      </c>
      <c r="EB22" s="80">
        <v>170</v>
      </c>
      <c r="EC22" s="80">
        <v>750</v>
      </c>
      <c r="ED22" s="80"/>
      <c r="EE22" s="80" t="s">
        <v>2426</v>
      </c>
      <c r="EF22" s="80">
        <v>16</v>
      </c>
      <c r="EG22" s="80">
        <v>1</v>
      </c>
      <c r="EH22" s="80">
        <v>0</v>
      </c>
      <c r="EI22" s="80">
        <v>0</v>
      </c>
      <c r="EJ22" s="80">
        <v>0</v>
      </c>
      <c r="EK22" s="80">
        <v>17</v>
      </c>
      <c r="EN22" s="57" t="s">
        <v>1993</v>
      </c>
      <c r="EO22" s="57" t="s">
        <v>2426</v>
      </c>
      <c r="EP22" s="57" t="s">
        <v>356</v>
      </c>
      <c r="EQ22" s="57" t="s">
        <v>356</v>
      </c>
      <c r="ER22" s="57" t="s">
        <v>356</v>
      </c>
      <c r="ES22" s="57" t="s">
        <v>356</v>
      </c>
      <c r="ET22" s="57" t="s">
        <v>356</v>
      </c>
      <c r="EU22" s="57" t="s">
        <v>356</v>
      </c>
      <c r="EV22" s="57"/>
      <c r="EW22" s="57" t="s">
        <v>2426</v>
      </c>
      <c r="EX22" s="57" t="s">
        <v>356</v>
      </c>
      <c r="EY22" s="57" t="s">
        <v>356</v>
      </c>
      <c r="EZ22" s="57" t="s">
        <v>356</v>
      </c>
      <c r="FA22" s="57" t="s">
        <v>356</v>
      </c>
      <c r="FB22" s="57" t="s">
        <v>356</v>
      </c>
      <c r="FC22" s="57" t="s">
        <v>356</v>
      </c>
      <c r="FF22" s="71" t="s">
        <v>2077</v>
      </c>
      <c r="FG22" s="71" t="s">
        <v>2426</v>
      </c>
      <c r="FH22" s="71">
        <v>567</v>
      </c>
      <c r="FI22" s="71">
        <v>663</v>
      </c>
      <c r="FJ22" s="71">
        <v>780</v>
      </c>
      <c r="FK22" s="71">
        <v>800</v>
      </c>
      <c r="FL22" s="71">
        <v>927</v>
      </c>
      <c r="FM22" s="71">
        <v>3737</v>
      </c>
      <c r="FN22" s="71"/>
      <c r="FO22" s="71" t="s">
        <v>2426</v>
      </c>
      <c r="FP22" s="71">
        <v>85</v>
      </c>
      <c r="FQ22" s="71">
        <v>12</v>
      </c>
      <c r="FR22" s="71">
        <v>0</v>
      </c>
      <c r="FS22" s="71">
        <v>0</v>
      </c>
      <c r="FT22" s="71">
        <v>0</v>
      </c>
      <c r="FU22" s="71">
        <v>97</v>
      </c>
    </row>
    <row r="23" spans="1:177">
      <c r="B23" s="65" t="s">
        <v>919</v>
      </c>
      <c r="C23" s="65" t="s">
        <v>2426</v>
      </c>
      <c r="D23" s="65" t="s">
        <v>356</v>
      </c>
      <c r="E23" s="65" t="s">
        <v>356</v>
      </c>
      <c r="F23" s="65" t="s">
        <v>356</v>
      </c>
      <c r="G23" s="65" t="s">
        <v>356</v>
      </c>
      <c r="H23" s="65" t="s">
        <v>356</v>
      </c>
      <c r="I23" s="65" t="s">
        <v>356</v>
      </c>
      <c r="K23" s="65" t="s">
        <v>2426</v>
      </c>
      <c r="L23" s="65" t="s">
        <v>356</v>
      </c>
      <c r="M23" s="65" t="s">
        <v>356</v>
      </c>
      <c r="N23" s="65" t="s">
        <v>356</v>
      </c>
      <c r="O23" s="65" t="s">
        <v>356</v>
      </c>
      <c r="P23" s="65" t="s">
        <v>356</v>
      </c>
      <c r="Q23" s="65" t="s">
        <v>356</v>
      </c>
      <c r="T23" s="66" t="s">
        <v>1141</v>
      </c>
      <c r="U23" s="66" t="s">
        <v>2426</v>
      </c>
      <c r="V23" s="66">
        <v>1042</v>
      </c>
      <c r="W23" s="66">
        <v>585</v>
      </c>
      <c r="X23" s="66">
        <v>615</v>
      </c>
      <c r="Y23" s="66">
        <v>685</v>
      </c>
      <c r="Z23" s="66">
        <v>550</v>
      </c>
      <c r="AA23" s="66">
        <v>3477</v>
      </c>
      <c r="AB23" s="66"/>
      <c r="AC23" s="66" t="s">
        <v>2426</v>
      </c>
      <c r="AD23" s="66">
        <v>11</v>
      </c>
      <c r="AE23" s="66">
        <v>1</v>
      </c>
      <c r="AF23" s="66">
        <v>0</v>
      </c>
      <c r="AG23" s="66">
        <v>0</v>
      </c>
      <c r="AH23" s="66">
        <v>0</v>
      </c>
      <c r="AI23" s="66">
        <v>12</v>
      </c>
      <c r="AK23" s="67" t="s">
        <v>2244</v>
      </c>
      <c r="AL23" s="67" t="s">
        <v>2426</v>
      </c>
      <c r="AM23" s="67">
        <v>343</v>
      </c>
      <c r="AN23" s="67">
        <v>289</v>
      </c>
      <c r="AO23" s="67">
        <v>407</v>
      </c>
      <c r="AP23" s="67">
        <v>633</v>
      </c>
      <c r="AQ23" s="67">
        <v>631</v>
      </c>
      <c r="AR23" s="67">
        <v>2303</v>
      </c>
      <c r="AS23" s="67"/>
      <c r="AT23" s="67" t="s">
        <v>2426</v>
      </c>
      <c r="AU23" s="67">
        <v>42</v>
      </c>
      <c r="AV23" s="67">
        <v>1</v>
      </c>
      <c r="AW23" s="67">
        <v>0</v>
      </c>
      <c r="AX23" s="67">
        <v>0</v>
      </c>
      <c r="AY23" s="67">
        <v>0</v>
      </c>
      <c r="AZ23" s="67">
        <v>43</v>
      </c>
      <c r="BB23" s="70" t="s">
        <v>1362</v>
      </c>
      <c r="BC23" s="70" t="s">
        <v>2426</v>
      </c>
      <c r="BD23" s="70">
        <v>35</v>
      </c>
      <c r="BE23" s="70">
        <v>34</v>
      </c>
      <c r="BF23" s="70">
        <v>91</v>
      </c>
      <c r="BG23" s="70">
        <v>127</v>
      </c>
      <c r="BH23" s="70">
        <v>122</v>
      </c>
      <c r="BI23" s="70">
        <v>409</v>
      </c>
      <c r="BJ23" s="70"/>
      <c r="BK23" s="70" t="s">
        <v>2426</v>
      </c>
      <c r="BL23" s="70">
        <v>15</v>
      </c>
      <c r="BM23" s="70">
        <v>1</v>
      </c>
      <c r="BN23" s="70">
        <v>0</v>
      </c>
      <c r="BO23" s="70">
        <v>0</v>
      </c>
      <c r="BP23" s="70">
        <v>0</v>
      </c>
      <c r="BQ23" s="70">
        <v>16</v>
      </c>
      <c r="BS23" s="71" t="s">
        <v>1648</v>
      </c>
      <c r="BT23" s="71" t="s">
        <v>2426</v>
      </c>
      <c r="BU23" s="71">
        <v>50</v>
      </c>
      <c r="BV23" s="71">
        <v>79</v>
      </c>
      <c r="BW23" s="71">
        <v>163</v>
      </c>
      <c r="BX23" s="71">
        <v>280</v>
      </c>
      <c r="BY23" s="71">
        <v>290</v>
      </c>
      <c r="BZ23" s="71">
        <v>862</v>
      </c>
      <c r="CA23" s="71"/>
      <c r="CB23" s="71" t="s">
        <v>2426</v>
      </c>
      <c r="CC23" s="71">
        <v>14</v>
      </c>
      <c r="CD23" s="71">
        <v>0</v>
      </c>
      <c r="CE23" s="71">
        <v>0</v>
      </c>
      <c r="CF23" s="71">
        <v>0</v>
      </c>
      <c r="CG23" s="71">
        <v>0</v>
      </c>
      <c r="CH23" s="71">
        <v>14</v>
      </c>
      <c r="CL23" s="57" t="s">
        <v>588</v>
      </c>
      <c r="CM23" s="57" t="s">
        <v>2426</v>
      </c>
      <c r="CN23" s="57">
        <v>72</v>
      </c>
      <c r="CO23" s="57">
        <v>132</v>
      </c>
      <c r="CP23" s="57">
        <v>298</v>
      </c>
      <c r="CQ23" s="57">
        <v>484</v>
      </c>
      <c r="CR23" s="57">
        <v>410</v>
      </c>
      <c r="CS23" s="57">
        <v>1396</v>
      </c>
      <c r="CT23" s="57"/>
      <c r="CU23" s="57" t="s">
        <v>2426</v>
      </c>
      <c r="CV23" s="57">
        <v>15</v>
      </c>
      <c r="CW23" s="57">
        <v>1</v>
      </c>
      <c r="CX23" s="57">
        <v>0</v>
      </c>
      <c r="CY23" s="57">
        <v>0</v>
      </c>
      <c r="CZ23" s="57">
        <v>0</v>
      </c>
      <c r="DA23" s="57">
        <v>16</v>
      </c>
      <c r="DD23" s="78" t="s">
        <v>1828</v>
      </c>
      <c r="DE23" s="78" t="s">
        <v>2427</v>
      </c>
      <c r="DF23" s="78">
        <v>341</v>
      </c>
      <c r="DG23" s="78">
        <v>556</v>
      </c>
      <c r="DH23" s="78">
        <v>721</v>
      </c>
      <c r="DI23" s="78">
        <v>941</v>
      </c>
      <c r="DJ23" s="78">
        <v>701</v>
      </c>
      <c r="DK23" s="78">
        <v>3260</v>
      </c>
      <c r="DL23" s="78"/>
      <c r="DM23" s="78" t="s">
        <v>2427</v>
      </c>
      <c r="DN23" s="78">
        <v>15</v>
      </c>
      <c r="DO23" s="78">
        <v>6</v>
      </c>
      <c r="DP23" s="78">
        <v>1</v>
      </c>
      <c r="DQ23" s="78">
        <v>3</v>
      </c>
      <c r="DR23" s="78">
        <v>0</v>
      </c>
      <c r="DS23" s="78">
        <v>25</v>
      </c>
      <c r="DV23" s="80" t="s">
        <v>1936</v>
      </c>
      <c r="DW23" s="80" t="s">
        <v>2426</v>
      </c>
      <c r="DX23" s="80">
        <v>247</v>
      </c>
      <c r="DY23" s="80">
        <v>283</v>
      </c>
      <c r="DZ23" s="80">
        <v>381</v>
      </c>
      <c r="EA23" s="80">
        <v>406</v>
      </c>
      <c r="EB23" s="80">
        <v>293</v>
      </c>
      <c r="EC23" s="80">
        <v>1610</v>
      </c>
      <c r="ED23" s="80"/>
      <c r="EE23" s="80" t="s">
        <v>2426</v>
      </c>
      <c r="EF23" s="80">
        <v>16</v>
      </c>
      <c r="EG23" s="80">
        <v>1</v>
      </c>
      <c r="EH23" s="80">
        <v>0</v>
      </c>
      <c r="EI23" s="80">
        <v>0</v>
      </c>
      <c r="EJ23" s="80">
        <v>0</v>
      </c>
      <c r="EK23" s="80">
        <v>17</v>
      </c>
      <c r="EN23" s="57" t="s">
        <v>1996</v>
      </c>
      <c r="EO23" s="57" t="s">
        <v>2426</v>
      </c>
      <c r="EP23" s="57" t="s">
        <v>356</v>
      </c>
      <c r="EQ23" s="57" t="s">
        <v>356</v>
      </c>
      <c r="ER23" s="57" t="s">
        <v>356</v>
      </c>
      <c r="ES23" s="57" t="s">
        <v>356</v>
      </c>
      <c r="ET23" s="57" t="s">
        <v>356</v>
      </c>
      <c r="EU23" s="57" t="s">
        <v>356</v>
      </c>
      <c r="EV23" s="57"/>
      <c r="EW23" s="57" t="s">
        <v>2426</v>
      </c>
      <c r="EX23" s="57" t="s">
        <v>356</v>
      </c>
      <c r="EY23" s="57" t="s">
        <v>356</v>
      </c>
      <c r="EZ23" s="57" t="s">
        <v>356</v>
      </c>
      <c r="FA23" s="57" t="s">
        <v>356</v>
      </c>
      <c r="FB23" s="57" t="s">
        <v>356</v>
      </c>
      <c r="FC23" s="57" t="s">
        <v>356</v>
      </c>
      <c r="FF23" s="71" t="s">
        <v>2079</v>
      </c>
      <c r="FG23" s="71" t="s">
        <v>2426</v>
      </c>
      <c r="FH23" s="71">
        <v>2297</v>
      </c>
      <c r="FI23" s="71">
        <v>1249</v>
      </c>
      <c r="FJ23" s="71">
        <v>908</v>
      </c>
      <c r="FK23" s="71">
        <v>806</v>
      </c>
      <c r="FL23" s="71">
        <v>903</v>
      </c>
      <c r="FM23" s="71">
        <v>6163</v>
      </c>
      <c r="FN23" s="71"/>
      <c r="FO23" s="71" t="s">
        <v>2426</v>
      </c>
      <c r="FP23" s="71">
        <v>277</v>
      </c>
      <c r="FQ23" s="71">
        <v>0</v>
      </c>
      <c r="FR23" s="71">
        <v>0</v>
      </c>
      <c r="FS23" s="71">
        <v>0</v>
      </c>
      <c r="FT23" s="71">
        <v>0</v>
      </c>
      <c r="FU23" s="71">
        <v>277</v>
      </c>
    </row>
    <row r="24" spans="1:177">
      <c r="A24" s="16" t="s">
        <v>2428</v>
      </c>
      <c r="B24" s="65" t="s">
        <v>2429</v>
      </c>
      <c r="C24" s="65" t="s">
        <v>2426</v>
      </c>
      <c r="D24" s="65" t="s">
        <v>356</v>
      </c>
      <c r="E24" s="65" t="s">
        <v>356</v>
      </c>
      <c r="F24" s="65" t="s">
        <v>356</v>
      </c>
      <c r="G24" s="65" t="s">
        <v>356</v>
      </c>
      <c r="H24" s="65" t="s">
        <v>356</v>
      </c>
      <c r="I24" s="65" t="s">
        <v>356</v>
      </c>
      <c r="K24" s="65" t="s">
        <v>2426</v>
      </c>
      <c r="L24" s="65" t="s">
        <v>356</v>
      </c>
      <c r="M24" s="65" t="s">
        <v>356</v>
      </c>
      <c r="N24" s="65" t="s">
        <v>356</v>
      </c>
      <c r="O24" s="65" t="s">
        <v>356</v>
      </c>
      <c r="P24" s="65" t="s">
        <v>356</v>
      </c>
      <c r="Q24" s="65" t="s">
        <v>356</v>
      </c>
      <c r="T24" s="66" t="s">
        <v>2197</v>
      </c>
      <c r="U24" s="66" t="s">
        <v>2426</v>
      </c>
      <c r="V24" s="66">
        <v>154</v>
      </c>
      <c r="W24" s="66">
        <v>234</v>
      </c>
      <c r="X24" s="66">
        <v>425</v>
      </c>
      <c r="Y24" s="66">
        <v>502</v>
      </c>
      <c r="Z24" s="66">
        <v>396</v>
      </c>
      <c r="AA24" s="66">
        <v>1711</v>
      </c>
      <c r="AB24" s="66"/>
      <c r="AC24" s="66" t="s">
        <v>2426</v>
      </c>
      <c r="AD24" s="66">
        <v>10</v>
      </c>
      <c r="AE24" s="66">
        <v>2</v>
      </c>
      <c r="AF24" s="66">
        <v>3</v>
      </c>
      <c r="AG24" s="66">
        <v>1</v>
      </c>
      <c r="AH24" s="66">
        <v>1</v>
      </c>
      <c r="AI24" s="66">
        <v>17</v>
      </c>
      <c r="AK24" s="67" t="s">
        <v>2209</v>
      </c>
      <c r="AL24" s="67" t="s">
        <v>2426</v>
      </c>
      <c r="AM24" s="67">
        <v>622</v>
      </c>
      <c r="AN24" s="67">
        <v>481</v>
      </c>
      <c r="AO24" s="67">
        <v>894</v>
      </c>
      <c r="AP24" s="67">
        <v>1279</v>
      </c>
      <c r="AQ24" s="67">
        <v>1122</v>
      </c>
      <c r="AR24" s="67">
        <v>4398</v>
      </c>
      <c r="AS24" s="67"/>
      <c r="AT24" s="67" t="s">
        <v>2426</v>
      </c>
      <c r="AU24" s="67">
        <v>38</v>
      </c>
      <c r="AV24" s="67">
        <v>0</v>
      </c>
      <c r="AW24" s="67">
        <v>0</v>
      </c>
      <c r="AX24" s="67">
        <v>0</v>
      </c>
      <c r="AY24" s="67">
        <v>0</v>
      </c>
      <c r="AZ24" s="67">
        <v>38</v>
      </c>
      <c r="BB24" s="70" t="s">
        <v>1367</v>
      </c>
      <c r="BC24" s="70" t="s">
        <v>2426</v>
      </c>
      <c r="BD24" s="70">
        <v>106</v>
      </c>
      <c r="BE24" s="70">
        <v>69</v>
      </c>
      <c r="BF24" s="70">
        <v>118</v>
      </c>
      <c r="BG24" s="70">
        <v>135</v>
      </c>
      <c r="BH24" s="70">
        <v>174</v>
      </c>
      <c r="BI24" s="70">
        <v>602</v>
      </c>
      <c r="BJ24" s="70"/>
      <c r="BK24" s="70" t="s">
        <v>2426</v>
      </c>
      <c r="BL24" s="70">
        <v>15</v>
      </c>
      <c r="BM24" s="70">
        <v>0</v>
      </c>
      <c r="BN24" s="70">
        <v>0</v>
      </c>
      <c r="BO24" s="70">
        <v>0</v>
      </c>
      <c r="BP24" s="70">
        <v>0</v>
      </c>
      <c r="BQ24" s="70">
        <v>15</v>
      </c>
      <c r="BS24" s="71" t="s">
        <v>1650</v>
      </c>
      <c r="BT24" s="71" t="s">
        <v>2426</v>
      </c>
      <c r="BU24" s="71">
        <v>58</v>
      </c>
      <c r="BV24" s="71">
        <v>77</v>
      </c>
      <c r="BW24" s="71">
        <v>142</v>
      </c>
      <c r="BX24" s="71">
        <v>236</v>
      </c>
      <c r="BY24" s="71">
        <v>209</v>
      </c>
      <c r="BZ24" s="71">
        <v>722</v>
      </c>
      <c r="CA24" s="71"/>
      <c r="CB24" s="71" t="s">
        <v>2426</v>
      </c>
      <c r="CC24" s="71">
        <v>17</v>
      </c>
      <c r="CD24" s="71">
        <v>0</v>
      </c>
      <c r="CE24" s="71">
        <v>0</v>
      </c>
      <c r="CF24" s="71">
        <v>0</v>
      </c>
      <c r="CG24" s="71">
        <v>0</v>
      </c>
      <c r="CH24" s="71">
        <v>17</v>
      </c>
      <c r="CL24" s="57" t="s">
        <v>590</v>
      </c>
      <c r="CM24" s="57" t="s">
        <v>2426</v>
      </c>
      <c r="CN24" s="57">
        <v>1143</v>
      </c>
      <c r="CO24" s="57">
        <v>628</v>
      </c>
      <c r="CP24" s="57">
        <v>835</v>
      </c>
      <c r="CQ24" s="57">
        <v>865</v>
      </c>
      <c r="CR24" s="57">
        <v>747</v>
      </c>
      <c r="CS24" s="57">
        <v>4218</v>
      </c>
      <c r="CT24" s="57"/>
      <c r="CU24" s="57" t="s">
        <v>2426</v>
      </c>
      <c r="CV24" s="57">
        <v>337</v>
      </c>
      <c r="CW24" s="57">
        <v>1</v>
      </c>
      <c r="CX24" s="57">
        <v>1</v>
      </c>
      <c r="CY24" s="57">
        <v>1</v>
      </c>
      <c r="CZ24" s="57">
        <v>0</v>
      </c>
      <c r="DA24" s="57">
        <v>340</v>
      </c>
      <c r="DD24" s="78" t="s">
        <v>1831</v>
      </c>
      <c r="DE24" s="78" t="s">
        <v>2427</v>
      </c>
      <c r="DF24" s="78">
        <v>353</v>
      </c>
      <c r="DG24" s="78">
        <v>442</v>
      </c>
      <c r="DH24" s="78">
        <v>589</v>
      </c>
      <c r="DI24" s="78">
        <v>644</v>
      </c>
      <c r="DJ24" s="78">
        <v>499</v>
      </c>
      <c r="DK24" s="78">
        <v>2527</v>
      </c>
      <c r="DL24" s="78"/>
      <c r="DM24" s="78" t="s">
        <v>2427</v>
      </c>
      <c r="DN24" s="78">
        <v>15</v>
      </c>
      <c r="DO24" s="78">
        <v>8</v>
      </c>
      <c r="DP24" s="78">
        <v>1</v>
      </c>
      <c r="DQ24" s="78">
        <v>0</v>
      </c>
      <c r="DR24" s="78">
        <v>0</v>
      </c>
      <c r="DS24" s="78">
        <v>24</v>
      </c>
      <c r="DV24" s="80" t="s">
        <v>1939</v>
      </c>
      <c r="DW24" s="80" t="s">
        <v>2426</v>
      </c>
      <c r="DX24" s="80">
        <v>130</v>
      </c>
      <c r="DY24" s="80">
        <v>132</v>
      </c>
      <c r="DZ24" s="80">
        <v>189</v>
      </c>
      <c r="EA24" s="80">
        <v>221</v>
      </c>
      <c r="EB24" s="80">
        <v>220</v>
      </c>
      <c r="EC24" s="80">
        <v>892</v>
      </c>
      <c r="ED24" s="80"/>
      <c r="EE24" s="80" t="s">
        <v>2426</v>
      </c>
      <c r="EF24" s="80">
        <v>13</v>
      </c>
      <c r="EG24" s="80">
        <v>0</v>
      </c>
      <c r="EH24" s="80">
        <v>0</v>
      </c>
      <c r="EI24" s="80">
        <v>0</v>
      </c>
      <c r="EJ24" s="80">
        <v>0</v>
      </c>
      <c r="EK24" s="80">
        <v>13</v>
      </c>
      <c r="EN24" s="57" t="s">
        <v>1999</v>
      </c>
      <c r="EO24" s="57" t="s">
        <v>2426</v>
      </c>
      <c r="EP24" s="57">
        <v>189</v>
      </c>
      <c r="EQ24" s="57">
        <v>188</v>
      </c>
      <c r="ER24" s="57">
        <v>207</v>
      </c>
      <c r="ES24" s="57">
        <v>240</v>
      </c>
      <c r="ET24" s="57">
        <v>269</v>
      </c>
      <c r="EU24" s="57">
        <v>1093</v>
      </c>
      <c r="EV24" s="57"/>
      <c r="EW24" s="57" t="s">
        <v>2426</v>
      </c>
      <c r="EX24" s="57">
        <v>36</v>
      </c>
      <c r="EY24" s="57">
        <v>5</v>
      </c>
      <c r="EZ24" s="57">
        <v>1</v>
      </c>
      <c r="FA24" s="57">
        <v>0</v>
      </c>
      <c r="FB24" s="57">
        <v>0</v>
      </c>
      <c r="FC24" s="57">
        <v>42</v>
      </c>
      <c r="FF24" s="71" t="s">
        <v>2082</v>
      </c>
      <c r="FG24" s="71" t="s">
        <v>2426</v>
      </c>
      <c r="FH24" s="71">
        <v>902</v>
      </c>
      <c r="FI24" s="71">
        <v>1079</v>
      </c>
      <c r="FJ24" s="71">
        <v>833</v>
      </c>
      <c r="FK24" s="71">
        <v>718</v>
      </c>
      <c r="FL24" s="71">
        <v>683</v>
      </c>
      <c r="FM24" s="71">
        <v>4215</v>
      </c>
      <c r="FN24" s="71"/>
      <c r="FO24" s="71" t="s">
        <v>2426</v>
      </c>
      <c r="FP24" s="71">
        <v>78</v>
      </c>
      <c r="FQ24" s="71">
        <v>0</v>
      </c>
      <c r="FR24" s="71">
        <v>0</v>
      </c>
      <c r="FS24" s="71">
        <v>0</v>
      </c>
      <c r="FT24" s="71">
        <v>0</v>
      </c>
      <c r="FU24" s="71">
        <v>78</v>
      </c>
    </row>
    <row r="25" spans="1:177">
      <c r="B25" s="65" t="s">
        <v>2430</v>
      </c>
      <c r="C25" s="65" t="s">
        <v>2426</v>
      </c>
      <c r="D25" s="65">
        <v>1120</v>
      </c>
      <c r="E25" s="65">
        <v>812</v>
      </c>
      <c r="F25" s="65">
        <v>761</v>
      </c>
      <c r="G25" s="65">
        <v>853</v>
      </c>
      <c r="H25" s="65">
        <v>1062</v>
      </c>
      <c r="I25" s="65">
        <v>4608</v>
      </c>
      <c r="K25" s="65" t="s">
        <v>2426</v>
      </c>
      <c r="L25" s="65">
        <v>688</v>
      </c>
      <c r="M25" s="65">
        <v>310</v>
      </c>
      <c r="N25" s="65">
        <v>248</v>
      </c>
      <c r="O25" s="65">
        <v>259</v>
      </c>
      <c r="P25" s="65">
        <v>295</v>
      </c>
      <c r="Q25" s="65">
        <v>1800</v>
      </c>
      <c r="T25" s="66" t="s">
        <v>2198</v>
      </c>
      <c r="U25" s="66" t="s">
        <v>2426</v>
      </c>
      <c r="V25" s="66">
        <v>160</v>
      </c>
      <c r="W25" s="66">
        <v>270</v>
      </c>
      <c r="X25" s="66">
        <v>429</v>
      </c>
      <c r="Y25" s="66">
        <v>467</v>
      </c>
      <c r="Z25" s="66">
        <v>407</v>
      </c>
      <c r="AA25" s="66">
        <v>1733</v>
      </c>
      <c r="AB25" s="66"/>
      <c r="AC25" s="66" t="s">
        <v>2426</v>
      </c>
      <c r="AD25" s="66">
        <v>11</v>
      </c>
      <c r="AE25" s="66">
        <v>1</v>
      </c>
      <c r="AF25" s="66">
        <v>0</v>
      </c>
      <c r="AG25" s="66">
        <v>0</v>
      </c>
      <c r="AH25" s="66">
        <v>0</v>
      </c>
      <c r="AI25" s="66">
        <v>12</v>
      </c>
      <c r="AK25" s="67" t="s">
        <v>2215</v>
      </c>
      <c r="AL25" s="67" t="s">
        <v>2426</v>
      </c>
      <c r="AM25" s="67">
        <v>370</v>
      </c>
      <c r="AN25" s="67">
        <v>459</v>
      </c>
      <c r="AO25" s="67">
        <v>836</v>
      </c>
      <c r="AP25" s="67">
        <v>1083</v>
      </c>
      <c r="AQ25" s="67">
        <v>834</v>
      </c>
      <c r="AR25" s="67">
        <v>3582</v>
      </c>
      <c r="AS25" s="67"/>
      <c r="AT25" s="67" t="s">
        <v>2426</v>
      </c>
      <c r="AU25" s="67">
        <v>20</v>
      </c>
      <c r="AV25" s="67">
        <v>3</v>
      </c>
      <c r="AW25" s="67">
        <v>1</v>
      </c>
      <c r="AX25" s="67">
        <v>1</v>
      </c>
      <c r="AY25" s="67">
        <v>0</v>
      </c>
      <c r="AZ25" s="67">
        <v>25</v>
      </c>
      <c r="BB25" s="70" t="s">
        <v>1372</v>
      </c>
      <c r="BC25" s="70" t="s">
        <v>2426</v>
      </c>
      <c r="BD25" s="70">
        <v>47</v>
      </c>
      <c r="BE25" s="70">
        <v>30</v>
      </c>
      <c r="BF25" s="70">
        <v>93</v>
      </c>
      <c r="BG25" s="70">
        <v>139</v>
      </c>
      <c r="BH25" s="70">
        <v>133</v>
      </c>
      <c r="BI25" s="70">
        <v>442</v>
      </c>
      <c r="BJ25" s="70"/>
      <c r="BK25" s="70" t="s">
        <v>2426</v>
      </c>
      <c r="BL25" s="70">
        <v>17</v>
      </c>
      <c r="BM25" s="70">
        <v>0</v>
      </c>
      <c r="BN25" s="70">
        <v>0</v>
      </c>
      <c r="BO25" s="70">
        <v>0</v>
      </c>
      <c r="BP25" s="70">
        <v>0</v>
      </c>
      <c r="BQ25" s="70">
        <v>17</v>
      </c>
      <c r="BS25" s="71" t="s">
        <v>1655</v>
      </c>
      <c r="BT25" s="71" t="s">
        <v>2426</v>
      </c>
      <c r="BU25" s="71">
        <v>67</v>
      </c>
      <c r="BV25" s="71">
        <v>54</v>
      </c>
      <c r="BW25" s="71">
        <v>132</v>
      </c>
      <c r="BX25" s="71">
        <v>191</v>
      </c>
      <c r="BY25" s="71">
        <v>225</v>
      </c>
      <c r="BZ25" s="71">
        <v>669</v>
      </c>
      <c r="CA25" s="71"/>
      <c r="CB25" s="71" t="s">
        <v>2426</v>
      </c>
      <c r="CC25" s="71">
        <v>22</v>
      </c>
      <c r="CD25" s="71">
        <v>0</v>
      </c>
      <c r="CE25" s="71">
        <v>0</v>
      </c>
      <c r="CF25" s="71">
        <v>0</v>
      </c>
      <c r="CG25" s="71">
        <v>0</v>
      </c>
      <c r="CH25" s="71">
        <v>22</v>
      </c>
      <c r="CL25" s="57" t="s">
        <v>592</v>
      </c>
      <c r="CM25" s="57" t="s">
        <v>2426</v>
      </c>
      <c r="CN25" s="57">
        <v>51</v>
      </c>
      <c r="CO25" s="57">
        <v>43</v>
      </c>
      <c r="CP25" s="57">
        <v>69</v>
      </c>
      <c r="CQ25" s="57">
        <v>90</v>
      </c>
      <c r="CR25" s="57">
        <v>92</v>
      </c>
      <c r="CS25" s="57">
        <v>345</v>
      </c>
      <c r="CT25" s="57"/>
      <c r="CU25" s="57" t="s">
        <v>2426</v>
      </c>
      <c r="CV25" s="57">
        <v>18</v>
      </c>
      <c r="CW25" s="57">
        <v>0</v>
      </c>
      <c r="CX25" s="57">
        <v>0</v>
      </c>
      <c r="CY25" s="57">
        <v>0</v>
      </c>
      <c r="CZ25" s="57">
        <v>0</v>
      </c>
      <c r="DA25" s="57">
        <v>18</v>
      </c>
      <c r="DD25" s="78" t="s">
        <v>1835</v>
      </c>
      <c r="DE25" s="78" t="s">
        <v>2427</v>
      </c>
      <c r="DF25" s="78">
        <v>391</v>
      </c>
      <c r="DG25" s="78">
        <v>431</v>
      </c>
      <c r="DH25" s="78">
        <v>508</v>
      </c>
      <c r="DI25" s="78">
        <v>702</v>
      </c>
      <c r="DJ25" s="78">
        <v>660</v>
      </c>
      <c r="DK25" s="78">
        <v>2692</v>
      </c>
      <c r="DL25" s="78"/>
      <c r="DM25" s="78" t="s">
        <v>2427</v>
      </c>
      <c r="DN25" s="78">
        <v>13</v>
      </c>
      <c r="DO25" s="78">
        <v>9</v>
      </c>
      <c r="DP25" s="78">
        <v>1</v>
      </c>
      <c r="DQ25" s="78">
        <v>2</v>
      </c>
      <c r="DR25" s="78">
        <v>0</v>
      </c>
      <c r="DS25" s="78">
        <v>25</v>
      </c>
      <c r="DV25" s="80" t="s">
        <v>1897</v>
      </c>
      <c r="DW25" s="80" t="s">
        <v>2426</v>
      </c>
      <c r="DX25" s="80">
        <v>3117</v>
      </c>
      <c r="DY25" s="80">
        <v>1364</v>
      </c>
      <c r="DZ25" s="80">
        <v>1252</v>
      </c>
      <c r="EA25" s="80">
        <v>1139</v>
      </c>
      <c r="EB25" s="80">
        <v>1413</v>
      </c>
      <c r="EC25" s="80">
        <v>8285</v>
      </c>
      <c r="ED25" s="80"/>
      <c r="EE25" s="80" t="s">
        <v>2426</v>
      </c>
      <c r="EF25" s="80">
        <v>313</v>
      </c>
      <c r="EG25" s="80">
        <v>0</v>
      </c>
      <c r="EH25" s="80">
        <v>0</v>
      </c>
      <c r="EI25" s="80">
        <v>0</v>
      </c>
      <c r="EJ25" s="80">
        <v>0</v>
      </c>
      <c r="EK25" s="80">
        <v>313</v>
      </c>
      <c r="EN25" s="57" t="s">
        <v>2003</v>
      </c>
      <c r="EO25" s="57" t="s">
        <v>2426</v>
      </c>
      <c r="EP25" s="57">
        <v>151</v>
      </c>
      <c r="EQ25" s="57">
        <v>245</v>
      </c>
      <c r="ER25" s="57">
        <v>255</v>
      </c>
      <c r="ES25" s="57">
        <v>292</v>
      </c>
      <c r="ET25" s="57">
        <v>325</v>
      </c>
      <c r="EU25" s="57">
        <v>1268</v>
      </c>
      <c r="EV25" s="57"/>
      <c r="EW25" s="57" t="s">
        <v>2426</v>
      </c>
      <c r="EX25" s="57">
        <v>43</v>
      </c>
      <c r="EY25" s="57">
        <v>21</v>
      </c>
      <c r="EZ25" s="57">
        <v>14</v>
      </c>
      <c r="FA25" s="57">
        <v>18</v>
      </c>
      <c r="FB25" s="57">
        <v>31</v>
      </c>
      <c r="FC25" s="57">
        <v>127</v>
      </c>
      <c r="FE25" s="16" t="s">
        <v>2431</v>
      </c>
      <c r="FF25" s="71" t="s">
        <v>2085</v>
      </c>
      <c r="FG25" s="71" t="s">
        <v>2426</v>
      </c>
      <c r="FH25" s="71" t="s">
        <v>356</v>
      </c>
      <c r="FI25" s="71" t="s">
        <v>356</v>
      </c>
      <c r="FJ25" s="71" t="s">
        <v>356</v>
      </c>
      <c r="FK25" s="71" t="s">
        <v>356</v>
      </c>
      <c r="FL25" s="71" t="s">
        <v>356</v>
      </c>
      <c r="FM25" s="71" t="s">
        <v>356</v>
      </c>
      <c r="FN25" s="71"/>
      <c r="FO25" s="71" t="s">
        <v>2426</v>
      </c>
      <c r="FP25" s="71" t="s">
        <v>356</v>
      </c>
      <c r="FQ25" s="71" t="s">
        <v>356</v>
      </c>
      <c r="FR25" s="71" t="s">
        <v>356</v>
      </c>
      <c r="FS25" s="71" t="s">
        <v>356</v>
      </c>
      <c r="FT25" s="71" t="s">
        <v>356</v>
      </c>
      <c r="FU25" s="71" t="s">
        <v>356</v>
      </c>
    </row>
    <row r="26" spans="1:177">
      <c r="B26" s="65" t="s">
        <v>2432</v>
      </c>
      <c r="C26" s="65" t="s">
        <v>2426</v>
      </c>
      <c r="D26" s="65">
        <v>820</v>
      </c>
      <c r="E26" s="65">
        <v>721</v>
      </c>
      <c r="F26" s="65">
        <v>632</v>
      </c>
      <c r="G26" s="65">
        <v>665</v>
      </c>
      <c r="H26" s="65">
        <v>890</v>
      </c>
      <c r="I26" s="65">
        <v>3728</v>
      </c>
      <c r="K26" s="65" t="s">
        <v>2426</v>
      </c>
      <c r="L26" s="65">
        <v>282</v>
      </c>
      <c r="M26" s="65">
        <v>13</v>
      </c>
      <c r="N26" s="65">
        <v>0</v>
      </c>
      <c r="O26" s="65">
        <v>0</v>
      </c>
      <c r="P26" s="65">
        <v>0</v>
      </c>
      <c r="Q26" s="65">
        <v>295</v>
      </c>
      <c r="T26" s="66" t="s">
        <v>1144</v>
      </c>
      <c r="U26" s="66" t="s">
        <v>2426</v>
      </c>
      <c r="V26" s="66">
        <v>1195</v>
      </c>
      <c r="W26" s="66">
        <v>1004</v>
      </c>
      <c r="X26" s="66">
        <v>1428</v>
      </c>
      <c r="Y26" s="66">
        <v>1894</v>
      </c>
      <c r="Z26" s="66">
        <v>1490</v>
      </c>
      <c r="AA26" s="66">
        <v>7011</v>
      </c>
      <c r="AB26" s="66"/>
      <c r="AC26" s="66" t="s">
        <v>2426</v>
      </c>
      <c r="AD26" s="66">
        <v>34</v>
      </c>
      <c r="AE26" s="66">
        <v>0</v>
      </c>
      <c r="AF26" s="66">
        <v>1</v>
      </c>
      <c r="AG26" s="66">
        <v>0</v>
      </c>
      <c r="AH26" s="66">
        <v>0</v>
      </c>
      <c r="AI26" s="66">
        <v>35</v>
      </c>
      <c r="AK26" s="67" t="s">
        <v>2239</v>
      </c>
      <c r="AL26" s="67" t="s">
        <v>2426</v>
      </c>
      <c r="AM26" s="67">
        <v>502</v>
      </c>
      <c r="AN26" s="67">
        <v>684</v>
      </c>
      <c r="AO26" s="67">
        <v>941</v>
      </c>
      <c r="AP26" s="67">
        <v>937</v>
      </c>
      <c r="AQ26" s="67">
        <v>560</v>
      </c>
      <c r="AR26" s="67">
        <v>3624</v>
      </c>
      <c r="AS26" s="67"/>
      <c r="AT26" s="67" t="s">
        <v>2426</v>
      </c>
      <c r="AU26" s="67">
        <v>24</v>
      </c>
      <c r="AV26" s="67">
        <v>2</v>
      </c>
      <c r="AW26" s="67">
        <v>1</v>
      </c>
      <c r="AX26" s="67">
        <v>1</v>
      </c>
      <c r="AY26" s="67">
        <v>0</v>
      </c>
      <c r="AZ26" s="67">
        <v>28</v>
      </c>
      <c r="BB26" s="70" t="s">
        <v>1376</v>
      </c>
      <c r="BC26" s="70" t="s">
        <v>2426</v>
      </c>
      <c r="BD26" s="70">
        <v>559</v>
      </c>
      <c r="BE26" s="70">
        <v>379</v>
      </c>
      <c r="BF26" s="70">
        <v>419</v>
      </c>
      <c r="BG26" s="70">
        <v>550</v>
      </c>
      <c r="BH26" s="70">
        <v>416</v>
      </c>
      <c r="BI26" s="70">
        <v>2323</v>
      </c>
      <c r="BJ26" s="70"/>
      <c r="BK26" s="70" t="s">
        <v>2426</v>
      </c>
      <c r="BL26" s="70">
        <v>22</v>
      </c>
      <c r="BM26" s="70">
        <v>0</v>
      </c>
      <c r="BN26" s="70">
        <v>0</v>
      </c>
      <c r="BO26" s="70">
        <v>0</v>
      </c>
      <c r="BP26" s="70">
        <v>0</v>
      </c>
      <c r="BQ26" s="70">
        <v>22</v>
      </c>
      <c r="BS26" s="71" t="s">
        <v>1661</v>
      </c>
      <c r="BT26" s="71" t="s">
        <v>2426</v>
      </c>
      <c r="BU26" s="71">
        <v>84</v>
      </c>
      <c r="BV26" s="71">
        <v>55</v>
      </c>
      <c r="BW26" s="71">
        <v>102</v>
      </c>
      <c r="BX26" s="71">
        <v>149</v>
      </c>
      <c r="BY26" s="71">
        <v>155</v>
      </c>
      <c r="BZ26" s="71">
        <v>545</v>
      </c>
      <c r="CA26" s="71"/>
      <c r="CB26" s="71" t="s">
        <v>2426</v>
      </c>
      <c r="CC26" s="71">
        <v>18</v>
      </c>
      <c r="CD26" s="71">
        <v>0</v>
      </c>
      <c r="CE26" s="71">
        <v>0</v>
      </c>
      <c r="CF26" s="71">
        <v>0</v>
      </c>
      <c r="CG26" s="71">
        <v>0</v>
      </c>
      <c r="CH26" s="71">
        <v>18</v>
      </c>
      <c r="CL26" s="57" t="s">
        <v>595</v>
      </c>
      <c r="CM26" s="57" t="s">
        <v>2426</v>
      </c>
      <c r="CN26" s="57">
        <v>266</v>
      </c>
      <c r="CO26" s="57">
        <v>101</v>
      </c>
      <c r="CP26" s="57">
        <v>142</v>
      </c>
      <c r="CQ26" s="57">
        <v>237</v>
      </c>
      <c r="CR26" s="57">
        <v>315</v>
      </c>
      <c r="CS26" s="57">
        <v>1061</v>
      </c>
      <c r="CT26" s="57"/>
      <c r="CU26" s="57" t="s">
        <v>2426</v>
      </c>
      <c r="CV26" s="57">
        <v>75</v>
      </c>
      <c r="CW26" s="57">
        <v>0</v>
      </c>
      <c r="CX26" s="57">
        <v>0</v>
      </c>
      <c r="CY26" s="57">
        <v>0</v>
      </c>
      <c r="CZ26" s="57">
        <v>0</v>
      </c>
      <c r="DA26" s="57">
        <v>75</v>
      </c>
      <c r="DD26" s="78" t="s">
        <v>1839</v>
      </c>
      <c r="DE26" s="78" t="s">
        <v>2427</v>
      </c>
      <c r="DF26" s="78">
        <v>250</v>
      </c>
      <c r="DG26" s="78">
        <v>398</v>
      </c>
      <c r="DH26" s="78">
        <v>513</v>
      </c>
      <c r="DI26" s="78">
        <v>545</v>
      </c>
      <c r="DJ26" s="78">
        <v>443</v>
      </c>
      <c r="DK26" s="78">
        <v>2149</v>
      </c>
      <c r="DL26" s="78"/>
      <c r="DM26" s="78" t="s">
        <v>2427</v>
      </c>
      <c r="DN26" s="78">
        <v>35</v>
      </c>
      <c r="DO26" s="78">
        <v>0</v>
      </c>
      <c r="DP26" s="78">
        <v>0</v>
      </c>
      <c r="DQ26" s="78">
        <v>0</v>
      </c>
      <c r="DR26" s="78">
        <v>0</v>
      </c>
      <c r="DS26" s="78">
        <v>35</v>
      </c>
      <c r="EN26" s="57" t="s">
        <v>2006</v>
      </c>
      <c r="EO26" s="57" t="s">
        <v>2426</v>
      </c>
      <c r="EP26" s="57">
        <v>104</v>
      </c>
      <c r="EQ26" s="57">
        <v>188</v>
      </c>
      <c r="ER26" s="57">
        <v>223</v>
      </c>
      <c r="ES26" s="57">
        <v>348</v>
      </c>
      <c r="ET26" s="57">
        <v>374</v>
      </c>
      <c r="EU26" s="57">
        <v>1237</v>
      </c>
      <c r="EV26" s="57"/>
      <c r="EW26" s="57" t="s">
        <v>2426</v>
      </c>
      <c r="EX26" s="57">
        <v>21</v>
      </c>
      <c r="EY26" s="57">
        <v>11</v>
      </c>
      <c r="EZ26" s="57">
        <v>3</v>
      </c>
      <c r="FA26" s="57">
        <v>14</v>
      </c>
      <c r="FB26" s="57">
        <v>15</v>
      </c>
      <c r="FC26" s="57">
        <v>64</v>
      </c>
      <c r="FE26" s="16" t="s">
        <v>2433</v>
      </c>
      <c r="FF26" s="71" t="s">
        <v>2414</v>
      </c>
      <c r="FG26" s="71" t="s">
        <v>2426</v>
      </c>
      <c r="FH26" s="71">
        <v>197</v>
      </c>
      <c r="FI26" s="71">
        <v>282</v>
      </c>
      <c r="FJ26" s="71">
        <v>375</v>
      </c>
      <c r="FK26" s="71">
        <v>420</v>
      </c>
      <c r="FL26" s="71">
        <v>493</v>
      </c>
      <c r="FM26" s="71">
        <v>1767</v>
      </c>
      <c r="FN26" s="71"/>
      <c r="FO26" s="71" t="s">
        <v>2426</v>
      </c>
      <c r="FP26" s="71">
        <v>83</v>
      </c>
      <c r="FQ26" s="71">
        <v>43</v>
      </c>
      <c r="FR26" s="71">
        <v>8</v>
      </c>
      <c r="FS26" s="71">
        <v>0</v>
      </c>
      <c r="FT26" s="71">
        <v>0</v>
      </c>
      <c r="FU26" s="71">
        <v>134</v>
      </c>
    </row>
    <row r="27" spans="1:177">
      <c r="B27" s="65" t="s">
        <v>925</v>
      </c>
      <c r="C27" s="65" t="s">
        <v>2426</v>
      </c>
      <c r="D27" s="65">
        <v>139</v>
      </c>
      <c r="E27" s="65">
        <v>220</v>
      </c>
      <c r="F27" s="65">
        <v>479</v>
      </c>
      <c r="G27" s="65">
        <v>691</v>
      </c>
      <c r="H27" s="65">
        <v>591</v>
      </c>
      <c r="I27" s="65">
        <v>2120</v>
      </c>
      <c r="K27" s="65" t="s">
        <v>2426</v>
      </c>
      <c r="L27" s="65">
        <v>11</v>
      </c>
      <c r="M27" s="65">
        <v>3</v>
      </c>
      <c r="N27" s="65">
        <v>0</v>
      </c>
      <c r="O27" s="65">
        <v>1</v>
      </c>
      <c r="P27" s="65">
        <v>0</v>
      </c>
      <c r="Q27" s="65">
        <v>15</v>
      </c>
      <c r="T27" s="66" t="s">
        <v>2199</v>
      </c>
      <c r="U27" s="66" t="s">
        <v>2426</v>
      </c>
      <c r="V27" s="66" t="s">
        <v>356</v>
      </c>
      <c r="W27" s="66" t="s">
        <v>356</v>
      </c>
      <c r="X27" s="66" t="s">
        <v>356</v>
      </c>
      <c r="Y27" s="66" t="s">
        <v>356</v>
      </c>
      <c r="Z27" s="66" t="s">
        <v>356</v>
      </c>
      <c r="AA27" s="66" t="s">
        <v>356</v>
      </c>
      <c r="AB27" s="66"/>
      <c r="AC27" s="66" t="s">
        <v>2426</v>
      </c>
      <c r="AD27" s="66" t="s">
        <v>356</v>
      </c>
      <c r="AE27" s="66" t="s">
        <v>356</v>
      </c>
      <c r="AF27" s="66" t="s">
        <v>356</v>
      </c>
      <c r="AG27" s="66" t="s">
        <v>356</v>
      </c>
      <c r="AH27" s="66" t="s">
        <v>356</v>
      </c>
      <c r="AI27" s="66" t="s">
        <v>356</v>
      </c>
      <c r="AK27" s="67" t="s">
        <v>2233</v>
      </c>
      <c r="AL27" s="67" t="s">
        <v>2426</v>
      </c>
      <c r="AM27" s="67">
        <v>223</v>
      </c>
      <c r="AN27" s="67">
        <v>383</v>
      </c>
      <c r="AO27" s="67">
        <v>696</v>
      </c>
      <c r="AP27" s="67">
        <v>907</v>
      </c>
      <c r="AQ27" s="67">
        <v>497</v>
      </c>
      <c r="AR27" s="67">
        <v>2706</v>
      </c>
      <c r="AS27" s="67"/>
      <c r="AT27" s="67" t="s">
        <v>2426</v>
      </c>
      <c r="AU27" s="67">
        <v>30</v>
      </c>
      <c r="AV27" s="67">
        <v>0</v>
      </c>
      <c r="AW27" s="67">
        <v>0</v>
      </c>
      <c r="AX27" s="67">
        <v>0</v>
      </c>
      <c r="AY27" s="67">
        <v>0</v>
      </c>
      <c r="AZ27" s="67">
        <v>30</v>
      </c>
      <c r="BB27" s="70" t="s">
        <v>1380</v>
      </c>
      <c r="BC27" s="70" t="s">
        <v>2426</v>
      </c>
      <c r="BD27" s="70">
        <v>230</v>
      </c>
      <c r="BE27" s="70">
        <v>181</v>
      </c>
      <c r="BF27" s="70">
        <v>314</v>
      </c>
      <c r="BG27" s="70">
        <v>438</v>
      </c>
      <c r="BH27" s="70">
        <v>360</v>
      </c>
      <c r="BI27" s="70">
        <v>1523</v>
      </c>
      <c r="BJ27" s="70"/>
      <c r="BK27" s="70" t="s">
        <v>2426</v>
      </c>
      <c r="BL27" s="70">
        <v>20</v>
      </c>
      <c r="BM27" s="70">
        <v>0</v>
      </c>
      <c r="BN27" s="70">
        <v>0</v>
      </c>
      <c r="BO27" s="70">
        <v>0</v>
      </c>
      <c r="BP27" s="70">
        <v>0</v>
      </c>
      <c r="BQ27" s="70">
        <v>20</v>
      </c>
      <c r="CL27" s="57" t="s">
        <v>406</v>
      </c>
      <c r="CM27" s="57" t="s">
        <v>2426</v>
      </c>
      <c r="CN27" s="57" t="s">
        <v>356</v>
      </c>
      <c r="CO27" s="57" t="s">
        <v>356</v>
      </c>
      <c r="CP27" s="57" t="s">
        <v>356</v>
      </c>
      <c r="CQ27" s="57" t="s">
        <v>356</v>
      </c>
      <c r="CR27" s="57" t="s">
        <v>356</v>
      </c>
      <c r="CS27" s="57" t="s">
        <v>356</v>
      </c>
      <c r="CT27" s="57"/>
      <c r="CU27" s="57" t="s">
        <v>2426</v>
      </c>
      <c r="CV27" s="57" t="s">
        <v>356</v>
      </c>
      <c r="CW27" s="57" t="s">
        <v>356</v>
      </c>
      <c r="CX27" s="57" t="s">
        <v>356</v>
      </c>
      <c r="CY27" s="57" t="s">
        <v>356</v>
      </c>
      <c r="CZ27" s="57" t="s">
        <v>356</v>
      </c>
      <c r="DA27" s="57" t="s">
        <v>356</v>
      </c>
      <c r="DV27" s="80" t="s">
        <v>1843</v>
      </c>
      <c r="DW27" s="80" t="s">
        <v>2427</v>
      </c>
      <c r="DX27" s="80">
        <v>554</v>
      </c>
      <c r="DY27" s="80">
        <v>511</v>
      </c>
      <c r="DZ27" s="80">
        <v>637</v>
      </c>
      <c r="EA27" s="80">
        <v>733</v>
      </c>
      <c r="EB27" s="80">
        <v>510</v>
      </c>
      <c r="EC27" s="80">
        <v>2945</v>
      </c>
      <c r="ED27" s="80"/>
      <c r="EE27" s="80" t="s">
        <v>2427</v>
      </c>
      <c r="EF27" s="80">
        <v>53</v>
      </c>
      <c r="EG27" s="80">
        <v>4</v>
      </c>
      <c r="EH27" s="80">
        <v>0</v>
      </c>
      <c r="EI27" s="80">
        <v>0</v>
      </c>
      <c r="EJ27" s="80">
        <v>0</v>
      </c>
      <c r="EK27" s="80">
        <v>57</v>
      </c>
      <c r="EN27" s="57" t="s">
        <v>2010</v>
      </c>
      <c r="EO27" s="57" t="s">
        <v>2426</v>
      </c>
      <c r="EP27" s="57">
        <v>133</v>
      </c>
      <c r="EQ27" s="57">
        <v>186</v>
      </c>
      <c r="ER27" s="57">
        <v>211</v>
      </c>
      <c r="ES27" s="57">
        <v>238</v>
      </c>
      <c r="ET27" s="57">
        <v>345</v>
      </c>
      <c r="EU27" s="57">
        <v>1113</v>
      </c>
      <c r="EV27" s="57"/>
      <c r="EW27" s="57" t="s">
        <v>2426</v>
      </c>
      <c r="EX27" s="57">
        <v>23</v>
      </c>
      <c r="EY27" s="57">
        <v>7</v>
      </c>
      <c r="EZ27" s="57">
        <v>0</v>
      </c>
      <c r="FA27" s="57">
        <v>1</v>
      </c>
      <c r="FB27" s="57">
        <v>0</v>
      </c>
      <c r="FC27" s="57">
        <v>31</v>
      </c>
      <c r="FF27" s="71" t="s">
        <v>2091</v>
      </c>
      <c r="FG27" s="71" t="s">
        <v>2426</v>
      </c>
      <c r="FH27" s="71" t="s">
        <v>356</v>
      </c>
      <c r="FI27" s="71" t="s">
        <v>356</v>
      </c>
      <c r="FJ27" s="71" t="s">
        <v>356</v>
      </c>
      <c r="FK27" s="71" t="s">
        <v>356</v>
      </c>
      <c r="FL27" s="71" t="s">
        <v>356</v>
      </c>
      <c r="FM27" s="71" t="s">
        <v>356</v>
      </c>
      <c r="FN27" s="71"/>
      <c r="FO27" s="71" t="s">
        <v>2426</v>
      </c>
      <c r="FP27" s="71" t="s">
        <v>356</v>
      </c>
      <c r="FQ27" s="71" t="s">
        <v>356</v>
      </c>
      <c r="FR27" s="71" t="s">
        <v>356</v>
      </c>
      <c r="FS27" s="71" t="s">
        <v>356</v>
      </c>
      <c r="FT27" s="71" t="s">
        <v>356</v>
      </c>
      <c r="FU27" s="71" t="s">
        <v>356</v>
      </c>
    </row>
    <row r="28" spans="1:177">
      <c r="B28" s="65" t="s">
        <v>930</v>
      </c>
      <c r="C28" s="65" t="s">
        <v>2426</v>
      </c>
      <c r="D28" s="65">
        <v>454</v>
      </c>
      <c r="E28" s="65">
        <v>507</v>
      </c>
      <c r="F28" s="65">
        <v>674</v>
      </c>
      <c r="G28" s="65">
        <v>838</v>
      </c>
      <c r="H28" s="65">
        <v>572</v>
      </c>
      <c r="I28" s="65">
        <v>3045</v>
      </c>
      <c r="K28" s="65" t="s">
        <v>2426</v>
      </c>
      <c r="L28" s="65">
        <v>34</v>
      </c>
      <c r="M28" s="65">
        <v>1</v>
      </c>
      <c r="N28" s="65">
        <v>4</v>
      </c>
      <c r="O28" s="65">
        <v>2</v>
      </c>
      <c r="P28" s="65">
        <v>2</v>
      </c>
      <c r="Q28" s="65">
        <v>43</v>
      </c>
      <c r="T28" s="66" t="s">
        <v>2434</v>
      </c>
      <c r="U28" s="66" t="s">
        <v>2426</v>
      </c>
      <c r="V28" s="66">
        <v>308</v>
      </c>
      <c r="W28" s="66">
        <v>552</v>
      </c>
      <c r="X28" s="66">
        <v>863</v>
      </c>
      <c r="Y28" s="66">
        <v>1101</v>
      </c>
      <c r="Z28" s="66">
        <v>758</v>
      </c>
      <c r="AA28" s="66">
        <v>3582</v>
      </c>
      <c r="AB28" s="66"/>
      <c r="AC28" s="66" t="s">
        <v>2426</v>
      </c>
      <c r="AD28" s="66">
        <v>18</v>
      </c>
      <c r="AE28" s="66">
        <v>5</v>
      </c>
      <c r="AF28" s="66">
        <v>0</v>
      </c>
      <c r="AG28" s="66">
        <v>0</v>
      </c>
      <c r="AH28" s="66">
        <v>0</v>
      </c>
      <c r="AI28" s="66">
        <v>23</v>
      </c>
      <c r="AK28" s="67" t="s">
        <v>2229</v>
      </c>
      <c r="AL28" s="67" t="s">
        <v>2426</v>
      </c>
      <c r="AM28" s="67">
        <v>379</v>
      </c>
      <c r="AN28" s="67">
        <v>503</v>
      </c>
      <c r="AO28" s="67">
        <v>679</v>
      </c>
      <c r="AP28" s="67">
        <v>859</v>
      </c>
      <c r="AQ28" s="67">
        <v>581</v>
      </c>
      <c r="AR28" s="67">
        <v>3001</v>
      </c>
      <c r="AS28" s="67"/>
      <c r="AT28" s="67" t="s">
        <v>2426</v>
      </c>
      <c r="AU28" s="67">
        <v>56</v>
      </c>
      <c r="AV28" s="67">
        <v>0</v>
      </c>
      <c r="AW28" s="67">
        <v>0</v>
      </c>
      <c r="AX28" s="67">
        <v>0</v>
      </c>
      <c r="AY28" s="67">
        <v>0</v>
      </c>
      <c r="AZ28" s="67">
        <v>56</v>
      </c>
      <c r="BB28" s="70" t="s">
        <v>1385</v>
      </c>
      <c r="BC28" s="70" t="s">
        <v>2426</v>
      </c>
      <c r="BD28" s="70">
        <v>114</v>
      </c>
      <c r="BE28" s="70">
        <v>158</v>
      </c>
      <c r="BF28" s="70">
        <v>280</v>
      </c>
      <c r="BG28" s="70">
        <v>394</v>
      </c>
      <c r="BH28" s="70">
        <v>283</v>
      </c>
      <c r="BI28" s="70">
        <v>1229</v>
      </c>
      <c r="BJ28" s="70"/>
      <c r="BK28" s="70" t="s">
        <v>2426</v>
      </c>
      <c r="BL28" s="70">
        <v>19</v>
      </c>
      <c r="BM28" s="70">
        <v>0</v>
      </c>
      <c r="BN28" s="70">
        <v>0</v>
      </c>
      <c r="BO28" s="70">
        <v>0</v>
      </c>
      <c r="BP28" s="70">
        <v>0</v>
      </c>
      <c r="BQ28" s="70">
        <v>19</v>
      </c>
      <c r="BS28" s="71" t="s">
        <v>515</v>
      </c>
      <c r="BT28" s="71" t="s">
        <v>2427</v>
      </c>
      <c r="BU28" s="71">
        <v>91</v>
      </c>
      <c r="BV28" s="71">
        <v>47</v>
      </c>
      <c r="BW28" s="71">
        <v>84</v>
      </c>
      <c r="BX28" s="71">
        <v>94</v>
      </c>
      <c r="BY28" s="71">
        <v>108</v>
      </c>
      <c r="BZ28" s="71">
        <v>424</v>
      </c>
      <c r="CA28" s="71"/>
      <c r="CB28" s="71" t="s">
        <v>2427</v>
      </c>
      <c r="CC28" s="71">
        <v>20</v>
      </c>
      <c r="CD28" s="71">
        <v>0</v>
      </c>
      <c r="CE28" s="71">
        <v>0</v>
      </c>
      <c r="CF28" s="71">
        <v>0</v>
      </c>
      <c r="CG28" s="71">
        <v>0</v>
      </c>
      <c r="CH28" s="71">
        <v>20</v>
      </c>
      <c r="CL28" s="57" t="s">
        <v>564</v>
      </c>
      <c r="CM28" s="57" t="s">
        <v>2426</v>
      </c>
      <c r="CN28" s="57">
        <v>300</v>
      </c>
      <c r="CO28" s="57">
        <v>76</v>
      </c>
      <c r="CP28" s="57">
        <v>161</v>
      </c>
      <c r="CQ28" s="57">
        <v>184</v>
      </c>
      <c r="CR28" s="57">
        <v>390</v>
      </c>
      <c r="CS28" s="57">
        <v>1111</v>
      </c>
      <c r="CT28" s="57"/>
      <c r="CU28" s="57" t="s">
        <v>2426</v>
      </c>
      <c r="CV28" s="57">
        <v>114</v>
      </c>
      <c r="CW28" s="57">
        <v>0</v>
      </c>
      <c r="CX28" s="57">
        <v>0</v>
      </c>
      <c r="CY28" s="57">
        <v>0</v>
      </c>
      <c r="CZ28" s="57">
        <v>0</v>
      </c>
      <c r="DA28" s="57">
        <v>114</v>
      </c>
      <c r="DD28" s="78" t="s">
        <v>2435</v>
      </c>
      <c r="DE28" s="78" t="s">
        <v>2436</v>
      </c>
      <c r="DF28" s="78">
        <v>338</v>
      </c>
      <c r="DG28" s="78">
        <v>429</v>
      </c>
      <c r="DH28" s="78">
        <v>503</v>
      </c>
      <c r="DI28" s="78">
        <v>546</v>
      </c>
      <c r="DJ28" s="78">
        <v>417</v>
      </c>
      <c r="DK28" s="78">
        <v>2233</v>
      </c>
      <c r="DL28" s="78"/>
      <c r="DM28" s="78" t="s">
        <v>2437</v>
      </c>
      <c r="DN28" s="78">
        <v>39</v>
      </c>
      <c r="DO28" s="78">
        <v>11</v>
      </c>
      <c r="DP28" s="78">
        <v>0</v>
      </c>
      <c r="DQ28" s="78">
        <v>0</v>
      </c>
      <c r="DR28" s="78">
        <v>0</v>
      </c>
      <c r="DS28" s="78">
        <v>50</v>
      </c>
      <c r="DV28" s="80" t="s">
        <v>1848</v>
      </c>
      <c r="DW28" s="80" t="s">
        <v>2427</v>
      </c>
      <c r="DX28" s="80">
        <v>243</v>
      </c>
      <c r="DY28" s="80">
        <v>317</v>
      </c>
      <c r="DZ28" s="80">
        <v>418</v>
      </c>
      <c r="EA28" s="80">
        <v>401</v>
      </c>
      <c r="EB28" s="80">
        <v>348</v>
      </c>
      <c r="EC28" s="80">
        <v>1727</v>
      </c>
      <c r="ED28" s="80"/>
      <c r="EE28" s="80" t="s">
        <v>2427</v>
      </c>
      <c r="EF28" s="80">
        <v>13</v>
      </c>
      <c r="EG28" s="80">
        <v>3</v>
      </c>
      <c r="EH28" s="80">
        <v>0</v>
      </c>
      <c r="EI28" s="80">
        <v>0</v>
      </c>
      <c r="EJ28" s="80">
        <v>0</v>
      </c>
      <c r="EK28" s="80">
        <v>16</v>
      </c>
      <c r="EN28" s="57" t="s">
        <v>2400</v>
      </c>
      <c r="EO28" s="57" t="s">
        <v>2426</v>
      </c>
      <c r="EP28" s="57">
        <v>70</v>
      </c>
      <c r="EQ28" s="57">
        <v>125</v>
      </c>
      <c r="ER28" s="57">
        <v>150</v>
      </c>
      <c r="ES28" s="57">
        <v>213</v>
      </c>
      <c r="ET28" s="57">
        <v>249</v>
      </c>
      <c r="EU28" s="57">
        <v>807</v>
      </c>
      <c r="EV28" s="57"/>
      <c r="EW28" s="57" t="s">
        <v>2426</v>
      </c>
      <c r="EX28" s="57">
        <v>18</v>
      </c>
      <c r="EY28" s="57">
        <v>8</v>
      </c>
      <c r="EZ28" s="57">
        <v>8</v>
      </c>
      <c r="FA28" s="57">
        <v>8</v>
      </c>
      <c r="FB28" s="57">
        <v>14</v>
      </c>
      <c r="FC28" s="57">
        <v>56</v>
      </c>
      <c r="FF28" s="71" t="s">
        <v>2093</v>
      </c>
      <c r="FG28" s="71" t="s">
        <v>2426</v>
      </c>
      <c r="FH28" s="71" t="s">
        <v>356</v>
      </c>
      <c r="FI28" s="71" t="s">
        <v>356</v>
      </c>
      <c r="FJ28" s="71" t="s">
        <v>356</v>
      </c>
      <c r="FK28" s="71" t="s">
        <v>356</v>
      </c>
      <c r="FL28" s="71" t="s">
        <v>356</v>
      </c>
      <c r="FM28" s="71" t="s">
        <v>356</v>
      </c>
      <c r="FN28" s="71"/>
      <c r="FO28" s="71" t="s">
        <v>2426</v>
      </c>
      <c r="FP28" s="71" t="s">
        <v>356</v>
      </c>
      <c r="FQ28" s="71" t="s">
        <v>356</v>
      </c>
      <c r="FR28" s="71" t="s">
        <v>356</v>
      </c>
      <c r="FS28" s="71" t="s">
        <v>356</v>
      </c>
      <c r="FT28" s="71" t="s">
        <v>356</v>
      </c>
      <c r="FU28" s="71" t="s">
        <v>356</v>
      </c>
    </row>
    <row r="29" spans="1:177">
      <c r="B29" s="65" t="s">
        <v>935</v>
      </c>
      <c r="C29" s="65" t="s">
        <v>2426</v>
      </c>
      <c r="D29" s="65">
        <v>277</v>
      </c>
      <c r="E29" s="65">
        <v>360</v>
      </c>
      <c r="F29" s="65">
        <v>472</v>
      </c>
      <c r="G29" s="65">
        <v>552</v>
      </c>
      <c r="H29" s="65">
        <v>421</v>
      </c>
      <c r="I29" s="65">
        <v>2082</v>
      </c>
      <c r="K29" s="65" t="s">
        <v>2426</v>
      </c>
      <c r="L29" s="65">
        <v>21</v>
      </c>
      <c r="M29" s="65">
        <v>0</v>
      </c>
      <c r="N29" s="65">
        <v>0</v>
      </c>
      <c r="O29" s="65">
        <v>0</v>
      </c>
      <c r="P29" s="65">
        <v>0</v>
      </c>
      <c r="Q29" s="65">
        <v>21</v>
      </c>
      <c r="T29" s="66" t="s">
        <v>2200</v>
      </c>
      <c r="U29" s="66" t="s">
        <v>2426</v>
      </c>
      <c r="V29" s="66" t="s">
        <v>356</v>
      </c>
      <c r="W29" s="66" t="s">
        <v>356</v>
      </c>
      <c r="X29" s="66" t="s">
        <v>356</v>
      </c>
      <c r="Y29" s="66" t="s">
        <v>356</v>
      </c>
      <c r="Z29" s="66" t="s">
        <v>356</v>
      </c>
      <c r="AA29" s="66" t="s">
        <v>356</v>
      </c>
      <c r="AB29" s="66"/>
      <c r="AC29" s="66" t="s">
        <v>2426</v>
      </c>
      <c r="AD29" s="66" t="s">
        <v>356</v>
      </c>
      <c r="AE29" s="66" t="s">
        <v>356</v>
      </c>
      <c r="AF29" s="66" t="s">
        <v>356</v>
      </c>
      <c r="AG29" s="66" t="s">
        <v>356</v>
      </c>
      <c r="AH29" s="66" t="s">
        <v>356</v>
      </c>
      <c r="AI29" s="66" t="s">
        <v>356</v>
      </c>
      <c r="AK29" s="67" t="s">
        <v>1285</v>
      </c>
      <c r="AL29" s="67" t="s">
        <v>2426</v>
      </c>
      <c r="AM29" s="67">
        <v>367</v>
      </c>
      <c r="AN29" s="67">
        <v>496</v>
      </c>
      <c r="AO29" s="67">
        <v>716</v>
      </c>
      <c r="AP29" s="67">
        <v>785</v>
      </c>
      <c r="AQ29" s="67">
        <v>559</v>
      </c>
      <c r="AR29" s="67">
        <v>2923</v>
      </c>
      <c r="AS29" s="67"/>
      <c r="AT29" s="67" t="s">
        <v>2426</v>
      </c>
      <c r="AU29" s="67">
        <v>42</v>
      </c>
      <c r="AV29" s="67">
        <v>3</v>
      </c>
      <c r="AW29" s="67">
        <v>0</v>
      </c>
      <c r="AX29" s="67">
        <v>0</v>
      </c>
      <c r="AY29" s="67">
        <v>0</v>
      </c>
      <c r="AZ29" s="67">
        <v>45</v>
      </c>
      <c r="BB29" s="70" t="s">
        <v>362</v>
      </c>
      <c r="BC29" s="70" t="s">
        <v>2426</v>
      </c>
      <c r="BD29" s="70">
        <v>128</v>
      </c>
      <c r="BE29" s="70">
        <v>176</v>
      </c>
      <c r="BF29" s="70">
        <v>240</v>
      </c>
      <c r="BG29" s="70">
        <v>319</v>
      </c>
      <c r="BH29" s="70">
        <v>255</v>
      </c>
      <c r="BI29" s="70">
        <v>1118</v>
      </c>
      <c r="BJ29" s="70"/>
      <c r="BK29" s="70" t="s">
        <v>2426</v>
      </c>
      <c r="BL29" s="70">
        <v>22</v>
      </c>
      <c r="BM29" s="70">
        <v>0</v>
      </c>
      <c r="BN29" s="70">
        <v>0</v>
      </c>
      <c r="BO29" s="70">
        <v>0</v>
      </c>
      <c r="BP29" s="70">
        <v>0</v>
      </c>
      <c r="BQ29" s="70">
        <v>22</v>
      </c>
      <c r="BS29" s="71" t="s">
        <v>516</v>
      </c>
      <c r="BT29" s="71" t="s">
        <v>2427</v>
      </c>
      <c r="BU29" s="71" t="s">
        <v>356</v>
      </c>
      <c r="BV29" s="71" t="s">
        <v>356</v>
      </c>
      <c r="BW29" s="71" t="s">
        <v>356</v>
      </c>
      <c r="BX29" s="71" t="s">
        <v>356</v>
      </c>
      <c r="BY29" s="71" t="s">
        <v>356</v>
      </c>
      <c r="BZ29" s="71" t="s">
        <v>356</v>
      </c>
      <c r="CA29" s="71"/>
      <c r="CB29" s="71" t="s">
        <v>2427</v>
      </c>
      <c r="CC29" s="71" t="s">
        <v>356</v>
      </c>
      <c r="CD29" s="71" t="s">
        <v>356</v>
      </c>
      <c r="CE29" s="71" t="s">
        <v>356</v>
      </c>
      <c r="CF29" s="71" t="s">
        <v>356</v>
      </c>
      <c r="CG29" s="71" t="s">
        <v>356</v>
      </c>
      <c r="CH29" s="71" t="s">
        <v>356</v>
      </c>
      <c r="CL29" s="57" t="s">
        <v>409</v>
      </c>
      <c r="CM29" s="57" t="s">
        <v>2426</v>
      </c>
      <c r="CN29" s="57">
        <v>1013</v>
      </c>
      <c r="CO29" s="57">
        <v>847</v>
      </c>
      <c r="CP29" s="57">
        <v>1073</v>
      </c>
      <c r="CQ29" s="57">
        <v>1060</v>
      </c>
      <c r="CR29" s="57">
        <v>901</v>
      </c>
      <c r="CS29" s="57">
        <v>4894</v>
      </c>
      <c r="CT29" s="57"/>
      <c r="CU29" s="57" t="s">
        <v>2426</v>
      </c>
      <c r="CV29" s="57">
        <v>120</v>
      </c>
      <c r="CW29" s="57">
        <v>0</v>
      </c>
      <c r="CX29" s="57">
        <v>0</v>
      </c>
      <c r="CY29" s="57">
        <v>0</v>
      </c>
      <c r="CZ29" s="57">
        <v>0</v>
      </c>
      <c r="DA29" s="57">
        <v>120</v>
      </c>
      <c r="DD29" s="78" t="s">
        <v>1772</v>
      </c>
      <c r="DE29" s="78" t="s">
        <v>2437</v>
      </c>
      <c r="DF29" s="78">
        <v>435</v>
      </c>
      <c r="DG29" s="78">
        <v>354</v>
      </c>
      <c r="DH29" s="78">
        <v>280</v>
      </c>
      <c r="DI29" s="78">
        <v>282</v>
      </c>
      <c r="DJ29" s="78">
        <v>209</v>
      </c>
      <c r="DK29" s="78">
        <v>1560</v>
      </c>
      <c r="DL29" s="78"/>
      <c r="DM29" s="78" t="s">
        <v>2437</v>
      </c>
      <c r="DN29" s="78">
        <v>18</v>
      </c>
      <c r="DO29" s="78">
        <v>0</v>
      </c>
      <c r="DP29" s="78">
        <v>0</v>
      </c>
      <c r="DQ29" s="78">
        <v>0</v>
      </c>
      <c r="DR29" s="78">
        <v>0</v>
      </c>
      <c r="DS29" s="78">
        <v>18</v>
      </c>
      <c r="DV29" s="80" t="s">
        <v>1852</v>
      </c>
      <c r="DW29" s="80" t="s">
        <v>2427</v>
      </c>
      <c r="DX29" s="80">
        <v>588</v>
      </c>
      <c r="DY29" s="80">
        <v>807</v>
      </c>
      <c r="DZ29" s="80">
        <v>1024</v>
      </c>
      <c r="EA29" s="80">
        <v>1066</v>
      </c>
      <c r="EB29" s="80">
        <v>750</v>
      </c>
      <c r="EC29" s="80">
        <v>4235</v>
      </c>
      <c r="ED29" s="80"/>
      <c r="EE29" s="80" t="s">
        <v>2427</v>
      </c>
      <c r="EF29" s="80">
        <v>24</v>
      </c>
      <c r="EG29" s="80">
        <v>8</v>
      </c>
      <c r="EH29" s="80">
        <v>0</v>
      </c>
      <c r="EI29" s="80">
        <v>0</v>
      </c>
      <c r="EJ29" s="80">
        <v>0</v>
      </c>
      <c r="EK29" s="80">
        <v>32</v>
      </c>
      <c r="EN29" s="57" t="s">
        <v>2013</v>
      </c>
      <c r="EO29" s="57" t="s">
        <v>2426</v>
      </c>
      <c r="EP29" s="57">
        <v>662</v>
      </c>
      <c r="EQ29" s="57">
        <v>648</v>
      </c>
      <c r="ER29" s="57">
        <v>685</v>
      </c>
      <c r="ES29" s="57">
        <v>689</v>
      </c>
      <c r="ET29" s="57">
        <v>758</v>
      </c>
      <c r="EU29" s="57">
        <v>3442</v>
      </c>
      <c r="EV29" s="57"/>
      <c r="EW29" s="57" t="s">
        <v>2426</v>
      </c>
      <c r="EX29" s="57">
        <v>25</v>
      </c>
      <c r="EY29" s="57">
        <v>7</v>
      </c>
      <c r="EZ29" s="57">
        <v>5</v>
      </c>
      <c r="FA29" s="57">
        <v>0</v>
      </c>
      <c r="FB29" s="57">
        <v>0</v>
      </c>
      <c r="FC29" s="57">
        <v>37</v>
      </c>
      <c r="FF29" s="71" t="s">
        <v>2095</v>
      </c>
      <c r="FG29" s="71" t="s">
        <v>2426</v>
      </c>
      <c r="FH29" s="71" t="s">
        <v>356</v>
      </c>
      <c r="FI29" s="71" t="s">
        <v>356</v>
      </c>
      <c r="FJ29" s="71" t="s">
        <v>356</v>
      </c>
      <c r="FK29" s="71" t="s">
        <v>356</v>
      </c>
      <c r="FL29" s="71" t="s">
        <v>356</v>
      </c>
      <c r="FM29" s="71" t="s">
        <v>356</v>
      </c>
      <c r="FN29" s="71"/>
      <c r="FO29" s="71" t="s">
        <v>2426</v>
      </c>
      <c r="FP29" s="71" t="s">
        <v>356</v>
      </c>
      <c r="FQ29" s="71" t="s">
        <v>356</v>
      </c>
      <c r="FR29" s="71" t="s">
        <v>356</v>
      </c>
      <c r="FS29" s="71" t="s">
        <v>356</v>
      </c>
      <c r="FT29" s="71" t="s">
        <v>356</v>
      </c>
      <c r="FU29" s="71" t="s">
        <v>356</v>
      </c>
    </row>
    <row r="30" spans="1:177">
      <c r="A30" s="21" t="s">
        <v>2438</v>
      </c>
      <c r="B30" s="127" t="s">
        <v>2166</v>
      </c>
      <c r="C30" s="65" t="s">
        <v>2426</v>
      </c>
      <c r="D30" s="65">
        <v>313</v>
      </c>
      <c r="E30" s="65">
        <v>442</v>
      </c>
      <c r="F30" s="65">
        <v>732</v>
      </c>
      <c r="G30" s="65">
        <v>953</v>
      </c>
      <c r="H30" s="65">
        <v>770</v>
      </c>
      <c r="I30" s="65">
        <v>3210</v>
      </c>
      <c r="K30" s="65" t="s">
        <v>2426</v>
      </c>
      <c r="L30" s="65">
        <v>30</v>
      </c>
      <c r="M30" s="65">
        <v>4</v>
      </c>
      <c r="N30" s="65">
        <v>0</v>
      </c>
      <c r="O30" s="65">
        <v>2</v>
      </c>
      <c r="P30" s="65">
        <v>0</v>
      </c>
      <c r="Q30" s="65">
        <v>36</v>
      </c>
      <c r="T30" s="66" t="s">
        <v>1148</v>
      </c>
      <c r="U30" s="66" t="s">
        <v>2426</v>
      </c>
      <c r="V30" s="66">
        <v>966</v>
      </c>
      <c r="W30" s="66">
        <v>475</v>
      </c>
      <c r="X30" s="66">
        <v>512</v>
      </c>
      <c r="Y30" s="66">
        <v>504</v>
      </c>
      <c r="Z30" s="66">
        <v>370</v>
      </c>
      <c r="AA30" s="66">
        <v>2827</v>
      </c>
      <c r="AB30" s="66"/>
      <c r="AC30" s="66" t="s">
        <v>2426</v>
      </c>
      <c r="AD30" s="66">
        <v>51</v>
      </c>
      <c r="AE30" s="66">
        <v>0</v>
      </c>
      <c r="AF30" s="66">
        <v>0</v>
      </c>
      <c r="AG30" s="66">
        <v>0</v>
      </c>
      <c r="AH30" s="66">
        <v>0</v>
      </c>
      <c r="AI30" s="66">
        <v>51</v>
      </c>
      <c r="AK30" s="67" t="s">
        <v>2227</v>
      </c>
      <c r="AL30" s="67" t="s">
        <v>2426</v>
      </c>
      <c r="AM30" s="67">
        <v>182</v>
      </c>
      <c r="AN30" s="67">
        <v>281</v>
      </c>
      <c r="AO30" s="67">
        <v>437</v>
      </c>
      <c r="AP30" s="67">
        <v>643</v>
      </c>
      <c r="AQ30" s="67">
        <v>434</v>
      </c>
      <c r="AR30" s="67">
        <v>1977</v>
      </c>
      <c r="AS30" s="67"/>
      <c r="AT30" s="67" t="s">
        <v>2426</v>
      </c>
      <c r="AU30" s="67">
        <v>28</v>
      </c>
      <c r="AV30" s="67">
        <v>1</v>
      </c>
      <c r="AW30" s="67">
        <v>0</v>
      </c>
      <c r="AX30" s="67">
        <v>2</v>
      </c>
      <c r="AY30" s="67">
        <v>0</v>
      </c>
      <c r="AZ30" s="67">
        <v>31</v>
      </c>
      <c r="BB30" s="70" t="s">
        <v>1394</v>
      </c>
      <c r="BC30" s="70" t="s">
        <v>2426</v>
      </c>
      <c r="BD30" s="70" t="s">
        <v>356</v>
      </c>
      <c r="BE30" s="70" t="s">
        <v>356</v>
      </c>
      <c r="BF30" s="70" t="s">
        <v>356</v>
      </c>
      <c r="BG30" s="70" t="s">
        <v>356</v>
      </c>
      <c r="BH30" s="70" t="s">
        <v>356</v>
      </c>
      <c r="BI30" s="70" t="s">
        <v>356</v>
      </c>
      <c r="BJ30" s="70"/>
      <c r="BK30" s="70" t="s">
        <v>2426</v>
      </c>
      <c r="BL30" s="70" t="s">
        <v>356</v>
      </c>
      <c r="BM30" s="70" t="s">
        <v>356</v>
      </c>
      <c r="BN30" s="70" t="s">
        <v>356</v>
      </c>
      <c r="BO30" s="70" t="s">
        <v>356</v>
      </c>
      <c r="BP30" s="70" t="s">
        <v>356</v>
      </c>
      <c r="BQ30" s="70" t="s">
        <v>356</v>
      </c>
      <c r="BS30" s="71" t="s">
        <v>517</v>
      </c>
      <c r="BT30" s="71" t="s">
        <v>2427</v>
      </c>
      <c r="BU30" s="71" t="s">
        <v>356</v>
      </c>
      <c r="BV30" s="71" t="s">
        <v>356</v>
      </c>
      <c r="BW30" s="71" t="s">
        <v>356</v>
      </c>
      <c r="BX30" s="71" t="s">
        <v>356</v>
      </c>
      <c r="BY30" s="71" t="s">
        <v>356</v>
      </c>
      <c r="BZ30" s="71" t="s">
        <v>356</v>
      </c>
      <c r="CA30" s="71"/>
      <c r="CB30" s="71" t="s">
        <v>2427</v>
      </c>
      <c r="CC30" s="71" t="s">
        <v>356</v>
      </c>
      <c r="CD30" s="71" t="s">
        <v>356</v>
      </c>
      <c r="CE30" s="71" t="s">
        <v>356</v>
      </c>
      <c r="CF30" s="71" t="s">
        <v>356</v>
      </c>
      <c r="CG30" s="71" t="s">
        <v>356</v>
      </c>
      <c r="CH30" s="71" t="s">
        <v>356</v>
      </c>
      <c r="CL30" s="57" t="s">
        <v>410</v>
      </c>
      <c r="CM30" s="57" t="s">
        <v>2426</v>
      </c>
      <c r="CN30" s="57">
        <v>116</v>
      </c>
      <c r="CO30" s="57">
        <v>111</v>
      </c>
      <c r="CP30" s="57">
        <v>247</v>
      </c>
      <c r="CQ30" s="57">
        <v>347</v>
      </c>
      <c r="CR30" s="57">
        <v>373</v>
      </c>
      <c r="CS30" s="57">
        <v>1194</v>
      </c>
      <c r="CT30" s="57"/>
      <c r="CU30" s="57" t="s">
        <v>2426</v>
      </c>
      <c r="CV30" s="57">
        <v>21</v>
      </c>
      <c r="CW30" s="57">
        <v>1</v>
      </c>
      <c r="CX30" s="57">
        <v>0</v>
      </c>
      <c r="CY30" s="57">
        <v>0</v>
      </c>
      <c r="CZ30" s="57">
        <v>0</v>
      </c>
      <c r="DA30" s="57">
        <v>22</v>
      </c>
      <c r="DD30" s="78" t="s">
        <v>1783</v>
      </c>
      <c r="DE30" s="78" t="s">
        <v>2437</v>
      </c>
      <c r="DF30" s="78">
        <v>811</v>
      </c>
      <c r="DG30" s="78">
        <v>938</v>
      </c>
      <c r="DH30" s="78">
        <v>966</v>
      </c>
      <c r="DI30" s="78">
        <v>1013</v>
      </c>
      <c r="DJ30" s="78">
        <v>906</v>
      </c>
      <c r="DK30" s="78">
        <v>4634</v>
      </c>
      <c r="DL30" s="78"/>
      <c r="DM30" s="78" t="s">
        <v>2437</v>
      </c>
      <c r="DN30" s="78">
        <v>115</v>
      </c>
      <c r="DO30" s="78">
        <v>48</v>
      </c>
      <c r="DP30" s="78">
        <v>12</v>
      </c>
      <c r="DQ30" s="78">
        <v>5</v>
      </c>
      <c r="DR30" s="78">
        <v>9</v>
      </c>
      <c r="DS30" s="78">
        <v>189</v>
      </c>
      <c r="DV30" s="80" t="s">
        <v>1856</v>
      </c>
      <c r="DW30" s="80" t="s">
        <v>2427</v>
      </c>
      <c r="DX30" s="80">
        <v>366</v>
      </c>
      <c r="DY30" s="80">
        <v>423</v>
      </c>
      <c r="DZ30" s="80">
        <v>594</v>
      </c>
      <c r="EA30" s="80">
        <v>695</v>
      </c>
      <c r="EB30" s="80">
        <v>551</v>
      </c>
      <c r="EC30" s="80">
        <v>2629</v>
      </c>
      <c r="ED30" s="80"/>
      <c r="EE30" s="80" t="s">
        <v>2427</v>
      </c>
      <c r="EF30" s="80">
        <v>38</v>
      </c>
      <c r="EG30" s="80">
        <v>0</v>
      </c>
      <c r="EH30" s="80">
        <v>0</v>
      </c>
      <c r="EI30" s="80">
        <v>0</v>
      </c>
      <c r="EJ30" s="80">
        <v>0</v>
      </c>
      <c r="EK30" s="80">
        <v>38</v>
      </c>
      <c r="EN30" s="57" t="s">
        <v>2402</v>
      </c>
      <c r="EO30" s="57" t="s">
        <v>2426</v>
      </c>
      <c r="EP30" s="57" t="s">
        <v>356</v>
      </c>
      <c r="EQ30" s="57" t="s">
        <v>356</v>
      </c>
      <c r="ER30" s="57" t="s">
        <v>356</v>
      </c>
      <c r="ES30" s="57" t="s">
        <v>356</v>
      </c>
      <c r="ET30" s="57" t="s">
        <v>356</v>
      </c>
      <c r="EU30" s="57" t="s">
        <v>356</v>
      </c>
      <c r="EV30" s="57"/>
      <c r="EW30" s="57" t="s">
        <v>2426</v>
      </c>
      <c r="EX30" s="57" t="s">
        <v>356</v>
      </c>
      <c r="EY30" s="57" t="s">
        <v>356</v>
      </c>
      <c r="EZ30" s="57" t="s">
        <v>356</v>
      </c>
      <c r="FA30" s="57" t="s">
        <v>356</v>
      </c>
      <c r="FB30" s="57" t="s">
        <v>356</v>
      </c>
      <c r="FC30" s="57" t="s">
        <v>356</v>
      </c>
      <c r="FF30" s="71" t="s">
        <v>2415</v>
      </c>
      <c r="FG30" s="71" t="s">
        <v>2426</v>
      </c>
      <c r="FH30" s="71">
        <v>214</v>
      </c>
      <c r="FI30" s="71">
        <v>267</v>
      </c>
      <c r="FJ30" s="71">
        <v>361</v>
      </c>
      <c r="FK30" s="71">
        <v>424</v>
      </c>
      <c r="FL30" s="71">
        <v>512</v>
      </c>
      <c r="FM30" s="71">
        <v>1778</v>
      </c>
      <c r="FN30" s="71"/>
      <c r="FO30" s="71" t="s">
        <v>2426</v>
      </c>
      <c r="FP30" s="71">
        <v>31</v>
      </c>
      <c r="FQ30" s="71">
        <v>13</v>
      </c>
      <c r="FR30" s="71">
        <v>12</v>
      </c>
      <c r="FS30" s="71">
        <v>10</v>
      </c>
      <c r="FT30" s="71">
        <v>6</v>
      </c>
      <c r="FU30" s="71">
        <v>72</v>
      </c>
    </row>
    <row r="31" spans="1:177">
      <c r="B31" s="65" t="s">
        <v>940</v>
      </c>
      <c r="C31" s="65" t="s">
        <v>2426</v>
      </c>
      <c r="D31" s="65">
        <v>483</v>
      </c>
      <c r="E31" s="65">
        <v>541</v>
      </c>
      <c r="F31" s="65">
        <v>911</v>
      </c>
      <c r="G31" s="65">
        <v>1166</v>
      </c>
      <c r="H31" s="65">
        <v>1004</v>
      </c>
      <c r="I31" s="65">
        <v>4105</v>
      </c>
      <c r="K31" s="65" t="s">
        <v>2426</v>
      </c>
      <c r="L31" s="65">
        <v>38</v>
      </c>
      <c r="M31" s="65">
        <v>2</v>
      </c>
      <c r="N31" s="65">
        <v>2</v>
      </c>
      <c r="O31" s="65">
        <v>0</v>
      </c>
      <c r="P31" s="65">
        <v>0</v>
      </c>
      <c r="Q31" s="65">
        <v>42</v>
      </c>
      <c r="T31" s="66" t="s">
        <v>1154</v>
      </c>
      <c r="U31" s="66" t="s">
        <v>2426</v>
      </c>
      <c r="V31" s="66" t="s">
        <v>356</v>
      </c>
      <c r="W31" s="66" t="s">
        <v>356</v>
      </c>
      <c r="X31" s="66" t="s">
        <v>356</v>
      </c>
      <c r="Y31" s="66" t="s">
        <v>356</v>
      </c>
      <c r="Z31" s="66" t="s">
        <v>356</v>
      </c>
      <c r="AA31" s="66" t="s">
        <v>356</v>
      </c>
      <c r="AB31" s="66"/>
      <c r="AC31" s="66" t="s">
        <v>2426</v>
      </c>
      <c r="AD31" s="66" t="s">
        <v>356</v>
      </c>
      <c r="AE31" s="66" t="s">
        <v>356</v>
      </c>
      <c r="AF31" s="66" t="s">
        <v>356</v>
      </c>
      <c r="AG31" s="66" t="s">
        <v>356</v>
      </c>
      <c r="AH31" s="66" t="s">
        <v>356</v>
      </c>
      <c r="AI31" s="66" t="s">
        <v>356</v>
      </c>
      <c r="AK31" s="67" t="s">
        <v>2439</v>
      </c>
      <c r="AL31" s="67" t="s">
        <v>2426</v>
      </c>
      <c r="AM31" s="67" t="s">
        <v>435</v>
      </c>
      <c r="AN31" s="67" t="s">
        <v>435</v>
      </c>
      <c r="AO31" s="67" t="s">
        <v>435</v>
      </c>
      <c r="AP31" s="67" t="s">
        <v>435</v>
      </c>
      <c r="AQ31" s="67" t="s">
        <v>435</v>
      </c>
      <c r="AR31" s="67" t="s">
        <v>435</v>
      </c>
      <c r="AS31" s="67"/>
      <c r="AT31" s="67" t="s">
        <v>2426</v>
      </c>
      <c r="AU31" s="67" t="s">
        <v>435</v>
      </c>
      <c r="AV31" s="67" t="s">
        <v>435</v>
      </c>
      <c r="AW31" s="67" t="s">
        <v>435</v>
      </c>
      <c r="AX31" s="67" t="s">
        <v>435</v>
      </c>
      <c r="AY31" s="67" t="s">
        <v>435</v>
      </c>
      <c r="AZ31" s="67" t="s">
        <v>435</v>
      </c>
      <c r="BB31" s="70" t="s">
        <v>2246</v>
      </c>
      <c r="BC31" s="70" t="s">
        <v>2426</v>
      </c>
      <c r="BD31" s="70">
        <v>2530</v>
      </c>
      <c r="BE31" s="70">
        <v>1559</v>
      </c>
      <c r="BF31" s="70">
        <v>1478</v>
      </c>
      <c r="BG31" s="70">
        <v>1236</v>
      </c>
      <c r="BH31" s="70">
        <v>858</v>
      </c>
      <c r="BI31" s="70">
        <v>7661</v>
      </c>
      <c r="BJ31" s="70"/>
      <c r="BK31" s="70" t="s">
        <v>2426</v>
      </c>
      <c r="BL31" s="70">
        <v>324</v>
      </c>
      <c r="BM31" s="70">
        <v>0</v>
      </c>
      <c r="BN31" s="70">
        <v>0</v>
      </c>
      <c r="BO31" s="70">
        <v>0</v>
      </c>
      <c r="BP31" s="70">
        <v>0</v>
      </c>
      <c r="BQ31" s="70">
        <v>324</v>
      </c>
      <c r="BS31" s="71" t="s">
        <v>519</v>
      </c>
      <c r="BT31" s="71" t="s">
        <v>2427</v>
      </c>
      <c r="BU31" s="71" t="s">
        <v>356</v>
      </c>
      <c r="BV31" s="71" t="s">
        <v>356</v>
      </c>
      <c r="BW31" s="71" t="s">
        <v>356</v>
      </c>
      <c r="BX31" s="71" t="s">
        <v>356</v>
      </c>
      <c r="BY31" s="71" t="s">
        <v>356</v>
      </c>
      <c r="BZ31" s="71" t="s">
        <v>356</v>
      </c>
      <c r="CA31" s="71"/>
      <c r="CB31" s="71" t="s">
        <v>2427</v>
      </c>
      <c r="CC31" s="71" t="s">
        <v>356</v>
      </c>
      <c r="CD31" s="71" t="s">
        <v>356</v>
      </c>
      <c r="CE31" s="71" t="s">
        <v>356</v>
      </c>
      <c r="CF31" s="71" t="s">
        <v>356</v>
      </c>
      <c r="CG31" s="71" t="s">
        <v>356</v>
      </c>
      <c r="CH31" s="71" t="s">
        <v>356</v>
      </c>
      <c r="CL31" s="57" t="s">
        <v>601</v>
      </c>
      <c r="CM31" s="57" t="s">
        <v>2426</v>
      </c>
      <c r="CN31" s="57">
        <v>62</v>
      </c>
      <c r="CO31" s="57">
        <v>66</v>
      </c>
      <c r="CP31" s="57">
        <v>169</v>
      </c>
      <c r="CQ31" s="57">
        <v>239</v>
      </c>
      <c r="CR31" s="57">
        <v>297</v>
      </c>
      <c r="CS31" s="57">
        <v>833</v>
      </c>
      <c r="CT31" s="57"/>
      <c r="CU31" s="57" t="s">
        <v>2426</v>
      </c>
      <c r="CV31" s="57">
        <v>12</v>
      </c>
      <c r="CW31" s="57">
        <v>0</v>
      </c>
      <c r="CX31" s="57">
        <v>0</v>
      </c>
      <c r="CY31" s="57">
        <v>0</v>
      </c>
      <c r="CZ31" s="57">
        <v>0</v>
      </c>
      <c r="DA31" s="57">
        <v>12</v>
      </c>
      <c r="DD31" s="78" t="s">
        <v>1786</v>
      </c>
      <c r="DE31" s="78" t="s">
        <v>2437</v>
      </c>
      <c r="DF31" s="78">
        <v>208</v>
      </c>
      <c r="DG31" s="78">
        <v>333</v>
      </c>
      <c r="DH31" s="78">
        <v>453</v>
      </c>
      <c r="DI31" s="78">
        <v>538</v>
      </c>
      <c r="DJ31" s="78">
        <v>480</v>
      </c>
      <c r="DK31" s="78">
        <v>2012</v>
      </c>
      <c r="DL31" s="78"/>
      <c r="DM31" s="78" t="s">
        <v>2437</v>
      </c>
      <c r="DN31" s="78">
        <v>27</v>
      </c>
      <c r="DO31" s="78">
        <v>5</v>
      </c>
      <c r="DP31" s="78">
        <v>1</v>
      </c>
      <c r="DQ31" s="78">
        <v>3</v>
      </c>
      <c r="DR31" s="78">
        <v>1</v>
      </c>
      <c r="DS31" s="78">
        <v>37</v>
      </c>
      <c r="DV31" s="80" t="s">
        <v>1861</v>
      </c>
      <c r="DW31" s="80" t="s">
        <v>2427</v>
      </c>
      <c r="DX31" s="80">
        <v>992</v>
      </c>
      <c r="DY31" s="80">
        <v>453</v>
      </c>
      <c r="DZ31" s="80">
        <v>464</v>
      </c>
      <c r="EA31" s="80">
        <v>476</v>
      </c>
      <c r="EB31" s="80">
        <v>399</v>
      </c>
      <c r="EC31" s="80">
        <v>2784</v>
      </c>
      <c r="ED31" s="80"/>
      <c r="EE31" s="80" t="s">
        <v>2427</v>
      </c>
      <c r="EF31" s="80">
        <v>21</v>
      </c>
      <c r="EG31" s="80">
        <v>0</v>
      </c>
      <c r="EH31" s="80">
        <v>0</v>
      </c>
      <c r="EI31" s="80">
        <v>0</v>
      </c>
      <c r="EJ31" s="80">
        <v>0</v>
      </c>
      <c r="EK31" s="80">
        <v>21</v>
      </c>
      <c r="EN31" s="57" t="s">
        <v>2017</v>
      </c>
      <c r="EO31" s="57" t="s">
        <v>2426</v>
      </c>
      <c r="EP31" s="57" t="s">
        <v>356</v>
      </c>
      <c r="EQ31" s="57" t="s">
        <v>356</v>
      </c>
      <c r="ER31" s="57" t="s">
        <v>356</v>
      </c>
      <c r="ES31" s="57" t="s">
        <v>356</v>
      </c>
      <c r="ET31" s="57" t="s">
        <v>356</v>
      </c>
      <c r="EU31" s="57" t="s">
        <v>356</v>
      </c>
      <c r="EV31" s="57"/>
      <c r="EW31" s="57" t="s">
        <v>2426</v>
      </c>
      <c r="EX31" s="57" t="s">
        <v>356</v>
      </c>
      <c r="EY31" s="57" t="s">
        <v>356</v>
      </c>
      <c r="EZ31" s="57" t="s">
        <v>356</v>
      </c>
      <c r="FA31" s="57" t="s">
        <v>356</v>
      </c>
      <c r="FB31" s="57" t="s">
        <v>356</v>
      </c>
      <c r="FC31" s="57" t="s">
        <v>356</v>
      </c>
      <c r="FF31" s="71" t="s">
        <v>2106</v>
      </c>
      <c r="FG31" s="71" t="s">
        <v>2426</v>
      </c>
      <c r="FH31" s="71">
        <v>940</v>
      </c>
      <c r="FI31" s="71">
        <v>841</v>
      </c>
      <c r="FJ31" s="71">
        <v>787</v>
      </c>
      <c r="FK31" s="71">
        <v>815</v>
      </c>
      <c r="FL31" s="71">
        <v>916</v>
      </c>
      <c r="FM31" s="71">
        <v>4299</v>
      </c>
      <c r="FN31" s="71"/>
      <c r="FO31" s="71" t="s">
        <v>2426</v>
      </c>
      <c r="FP31" s="71">
        <v>99</v>
      </c>
      <c r="FQ31" s="71">
        <v>0</v>
      </c>
      <c r="FR31" s="71">
        <v>0</v>
      </c>
      <c r="FS31" s="71">
        <v>0</v>
      </c>
      <c r="FT31" s="71">
        <v>0</v>
      </c>
      <c r="FU31" s="71">
        <v>99</v>
      </c>
    </row>
    <row r="32" spans="1:177">
      <c r="B32" s="65" t="s">
        <v>946</v>
      </c>
      <c r="C32" s="65" t="s">
        <v>2426</v>
      </c>
      <c r="D32" s="65">
        <v>289</v>
      </c>
      <c r="E32" s="65">
        <v>387</v>
      </c>
      <c r="F32" s="65">
        <v>656</v>
      </c>
      <c r="G32" s="65">
        <v>973</v>
      </c>
      <c r="H32" s="65">
        <v>760</v>
      </c>
      <c r="I32" s="65">
        <v>3065</v>
      </c>
      <c r="K32" s="65" t="s">
        <v>2426</v>
      </c>
      <c r="L32" s="65">
        <v>51</v>
      </c>
      <c r="M32" s="65">
        <v>10</v>
      </c>
      <c r="N32" s="65">
        <v>2</v>
      </c>
      <c r="O32" s="65">
        <v>3</v>
      </c>
      <c r="P32" s="65">
        <v>1</v>
      </c>
      <c r="Q32" s="65">
        <v>67</v>
      </c>
      <c r="AK32" s="67" t="s">
        <v>2440</v>
      </c>
      <c r="AL32" s="67" t="s">
        <v>2426</v>
      </c>
      <c r="AM32" s="67" t="s">
        <v>435</v>
      </c>
      <c r="AN32" s="67" t="s">
        <v>435</v>
      </c>
      <c r="AO32" s="67" t="s">
        <v>435</v>
      </c>
      <c r="AP32" s="67" t="s">
        <v>435</v>
      </c>
      <c r="AQ32" s="67" t="s">
        <v>435</v>
      </c>
      <c r="AR32" s="67" t="s">
        <v>435</v>
      </c>
      <c r="AS32" s="67"/>
      <c r="AT32" s="67" t="s">
        <v>2426</v>
      </c>
      <c r="AU32" s="67" t="s">
        <v>435</v>
      </c>
      <c r="AV32" s="67" t="s">
        <v>435</v>
      </c>
      <c r="AW32" s="67" t="s">
        <v>435</v>
      </c>
      <c r="AX32" s="67" t="s">
        <v>435</v>
      </c>
      <c r="AY32" s="67" t="s">
        <v>435</v>
      </c>
      <c r="AZ32" s="67" t="s">
        <v>435</v>
      </c>
      <c r="BB32" s="70" t="s">
        <v>1418</v>
      </c>
      <c r="BC32" s="70" t="s">
        <v>2426</v>
      </c>
      <c r="BD32" s="70">
        <v>149</v>
      </c>
      <c r="BE32" s="70">
        <v>130</v>
      </c>
      <c r="BF32" s="70">
        <v>180</v>
      </c>
      <c r="BG32" s="70">
        <v>268</v>
      </c>
      <c r="BH32" s="70">
        <v>229</v>
      </c>
      <c r="BI32" s="70">
        <v>956</v>
      </c>
      <c r="BJ32" s="70"/>
      <c r="BK32" s="70" t="s">
        <v>2426</v>
      </c>
      <c r="BL32" s="70">
        <v>27</v>
      </c>
      <c r="BM32" s="70">
        <v>0</v>
      </c>
      <c r="BN32" s="70">
        <v>0</v>
      </c>
      <c r="BO32" s="70">
        <v>0</v>
      </c>
      <c r="BP32" s="70">
        <v>0</v>
      </c>
      <c r="BQ32" s="70">
        <v>27</v>
      </c>
      <c r="BS32" s="71" t="s">
        <v>1585</v>
      </c>
      <c r="BT32" s="71" t="s">
        <v>2427</v>
      </c>
      <c r="BU32" s="71">
        <v>1794</v>
      </c>
      <c r="BV32" s="71">
        <v>1053</v>
      </c>
      <c r="BW32" s="71">
        <v>1048</v>
      </c>
      <c r="BX32" s="71">
        <v>998</v>
      </c>
      <c r="BY32" s="71">
        <v>696</v>
      </c>
      <c r="BZ32" s="71">
        <v>5589</v>
      </c>
      <c r="CA32" s="71"/>
      <c r="CB32" s="71" t="s">
        <v>2427</v>
      </c>
      <c r="CC32" s="71">
        <v>541</v>
      </c>
      <c r="CD32" s="71">
        <v>5</v>
      </c>
      <c r="CE32" s="71">
        <v>0</v>
      </c>
      <c r="CF32" s="71">
        <v>0</v>
      </c>
      <c r="CG32" s="71">
        <v>0</v>
      </c>
      <c r="CH32" s="71">
        <v>546</v>
      </c>
      <c r="CL32" s="57" t="s">
        <v>608</v>
      </c>
      <c r="CM32" s="57" t="s">
        <v>2426</v>
      </c>
      <c r="CN32" s="57">
        <v>161</v>
      </c>
      <c r="CO32" s="57">
        <v>189</v>
      </c>
      <c r="CP32" s="57">
        <v>326</v>
      </c>
      <c r="CQ32" s="57">
        <v>448</v>
      </c>
      <c r="CR32" s="57">
        <v>427</v>
      </c>
      <c r="CS32" s="57">
        <v>1551</v>
      </c>
      <c r="CT32" s="57"/>
      <c r="CU32" s="57" t="s">
        <v>2426</v>
      </c>
      <c r="CV32" s="57">
        <v>23</v>
      </c>
      <c r="CW32" s="57">
        <v>1</v>
      </c>
      <c r="CX32" s="57">
        <v>0</v>
      </c>
      <c r="CY32" s="57">
        <v>0</v>
      </c>
      <c r="CZ32" s="57">
        <v>0</v>
      </c>
      <c r="DA32" s="57">
        <v>24</v>
      </c>
      <c r="DD32" s="78" t="s">
        <v>1791</v>
      </c>
      <c r="DE32" s="78" t="s">
        <v>2437</v>
      </c>
      <c r="DF32" s="78">
        <v>203</v>
      </c>
      <c r="DG32" s="78">
        <v>379</v>
      </c>
      <c r="DH32" s="78">
        <v>499</v>
      </c>
      <c r="DI32" s="78">
        <v>628</v>
      </c>
      <c r="DJ32" s="78">
        <v>590</v>
      </c>
      <c r="DK32" s="78">
        <v>2299</v>
      </c>
      <c r="DL32" s="78"/>
      <c r="DM32" s="78" t="s">
        <v>2437</v>
      </c>
      <c r="DN32" s="78">
        <v>18</v>
      </c>
      <c r="DO32" s="78">
        <v>11</v>
      </c>
      <c r="DP32" s="78">
        <v>6</v>
      </c>
      <c r="DQ32" s="78">
        <v>1</v>
      </c>
      <c r="DR32" s="78">
        <v>0</v>
      </c>
      <c r="DS32" s="78">
        <v>36</v>
      </c>
      <c r="DV32" s="80" t="s">
        <v>1865</v>
      </c>
      <c r="DW32" s="80" t="s">
        <v>2427</v>
      </c>
      <c r="DX32" s="80">
        <v>230</v>
      </c>
      <c r="DY32" s="80">
        <v>212</v>
      </c>
      <c r="DZ32" s="80">
        <v>257</v>
      </c>
      <c r="EA32" s="80">
        <v>305</v>
      </c>
      <c r="EB32" s="80">
        <v>245</v>
      </c>
      <c r="EC32" s="80">
        <v>1249</v>
      </c>
      <c r="ED32" s="80"/>
      <c r="EE32" s="80" t="s">
        <v>2427</v>
      </c>
      <c r="EF32" s="80">
        <v>15</v>
      </c>
      <c r="EG32" s="80">
        <v>5</v>
      </c>
      <c r="EH32" s="80">
        <v>0</v>
      </c>
      <c r="EI32" s="80">
        <v>0</v>
      </c>
      <c r="EJ32" s="80">
        <v>0</v>
      </c>
      <c r="EK32" s="80">
        <v>20</v>
      </c>
      <c r="EN32" s="57" t="s">
        <v>2021</v>
      </c>
      <c r="EO32" s="57" t="s">
        <v>2426</v>
      </c>
      <c r="EP32" s="57">
        <v>223</v>
      </c>
      <c r="EQ32" s="57">
        <v>296</v>
      </c>
      <c r="ER32" s="57">
        <v>370</v>
      </c>
      <c r="ES32" s="57">
        <v>543</v>
      </c>
      <c r="ET32" s="57">
        <v>663</v>
      </c>
      <c r="EU32" s="57">
        <v>2095</v>
      </c>
      <c r="EV32" s="57"/>
      <c r="EW32" s="57" t="s">
        <v>2426</v>
      </c>
      <c r="EX32" s="57">
        <v>47</v>
      </c>
      <c r="EY32" s="57">
        <v>17</v>
      </c>
      <c r="EZ32" s="57">
        <v>12</v>
      </c>
      <c r="FA32" s="57">
        <v>16</v>
      </c>
      <c r="FB32" s="57">
        <v>7</v>
      </c>
      <c r="FC32" s="57">
        <v>99</v>
      </c>
      <c r="FF32" s="71" t="s">
        <v>2107</v>
      </c>
      <c r="FG32" s="71" t="s">
        <v>2426</v>
      </c>
      <c r="FH32" s="71">
        <v>626</v>
      </c>
      <c r="FI32" s="71">
        <v>606</v>
      </c>
      <c r="FJ32" s="71">
        <v>486</v>
      </c>
      <c r="FK32" s="71">
        <v>540</v>
      </c>
      <c r="FL32" s="71">
        <v>585</v>
      </c>
      <c r="FM32" s="71">
        <v>2843</v>
      </c>
      <c r="FN32" s="71"/>
      <c r="FO32" s="71" t="s">
        <v>2426</v>
      </c>
      <c r="FP32" s="71">
        <v>49</v>
      </c>
      <c r="FQ32" s="71">
        <v>0</v>
      </c>
      <c r="FR32" s="71">
        <v>0</v>
      </c>
      <c r="FS32" s="71">
        <v>0</v>
      </c>
      <c r="FT32" s="71">
        <v>0</v>
      </c>
      <c r="FU32" s="71">
        <v>49</v>
      </c>
    </row>
    <row r="33" spans="2:177">
      <c r="B33" s="65" t="s">
        <v>955</v>
      </c>
      <c r="C33" s="65" t="s">
        <v>2426</v>
      </c>
      <c r="D33" s="65" t="s">
        <v>356</v>
      </c>
      <c r="E33" s="65" t="s">
        <v>356</v>
      </c>
      <c r="F33" s="65" t="s">
        <v>356</v>
      </c>
      <c r="G33" s="65" t="s">
        <v>356</v>
      </c>
      <c r="H33" s="65" t="s">
        <v>356</v>
      </c>
      <c r="I33" s="65" t="s">
        <v>356</v>
      </c>
      <c r="K33" s="65" t="s">
        <v>2426</v>
      </c>
      <c r="L33" s="65" t="s">
        <v>356</v>
      </c>
      <c r="M33" s="65" t="s">
        <v>356</v>
      </c>
      <c r="N33" s="65" t="s">
        <v>356</v>
      </c>
      <c r="O33" s="65" t="s">
        <v>356</v>
      </c>
      <c r="P33" s="65" t="s">
        <v>356</v>
      </c>
      <c r="Q33" s="65" t="s">
        <v>356</v>
      </c>
      <c r="T33" s="66" t="s">
        <v>1063</v>
      </c>
      <c r="U33" s="66" t="s">
        <v>2427</v>
      </c>
      <c r="V33" s="66">
        <v>1241</v>
      </c>
      <c r="W33" s="66">
        <v>1151</v>
      </c>
      <c r="X33" s="66">
        <v>1295</v>
      </c>
      <c r="Y33" s="66">
        <v>1231</v>
      </c>
      <c r="Z33" s="66">
        <v>814</v>
      </c>
      <c r="AA33" s="66">
        <v>5732</v>
      </c>
      <c r="AB33" s="66"/>
      <c r="AC33" s="66" t="s">
        <v>2427</v>
      </c>
      <c r="AD33" s="66">
        <v>128</v>
      </c>
      <c r="AE33" s="66">
        <v>10</v>
      </c>
      <c r="AF33" s="66">
        <v>1</v>
      </c>
      <c r="AG33" s="66">
        <v>3</v>
      </c>
      <c r="AH33" s="66">
        <v>1</v>
      </c>
      <c r="AI33" s="66">
        <v>143</v>
      </c>
      <c r="AK33" s="67" t="s">
        <v>2225</v>
      </c>
      <c r="AL33" s="67" t="s">
        <v>2426</v>
      </c>
      <c r="AM33" s="67">
        <v>129</v>
      </c>
      <c r="AN33" s="67">
        <v>133</v>
      </c>
      <c r="AO33" s="67">
        <v>240</v>
      </c>
      <c r="AP33" s="67">
        <v>338</v>
      </c>
      <c r="AQ33" s="67">
        <v>312</v>
      </c>
      <c r="AR33" s="67">
        <v>1152</v>
      </c>
      <c r="AS33" s="67"/>
      <c r="AT33" s="67" t="s">
        <v>2426</v>
      </c>
      <c r="AU33" s="67">
        <v>40</v>
      </c>
      <c r="AV33" s="67">
        <v>0</v>
      </c>
      <c r="AW33" s="67">
        <v>0</v>
      </c>
      <c r="AX33" s="67">
        <v>1</v>
      </c>
      <c r="AY33" s="67">
        <v>0</v>
      </c>
      <c r="AZ33" s="67">
        <v>41</v>
      </c>
      <c r="BB33" s="70" t="s">
        <v>1424</v>
      </c>
      <c r="BC33" s="70" t="s">
        <v>2426</v>
      </c>
      <c r="BD33" s="70">
        <v>242</v>
      </c>
      <c r="BE33" s="70">
        <v>385</v>
      </c>
      <c r="BF33" s="70">
        <v>552</v>
      </c>
      <c r="BG33" s="70">
        <v>610</v>
      </c>
      <c r="BH33" s="70">
        <v>371</v>
      </c>
      <c r="BI33" s="70">
        <v>2160</v>
      </c>
      <c r="BJ33" s="70"/>
      <c r="BK33" s="70" t="s">
        <v>2426</v>
      </c>
      <c r="BL33" s="70">
        <v>25</v>
      </c>
      <c r="BM33" s="70">
        <v>3</v>
      </c>
      <c r="BN33" s="70">
        <v>0</v>
      </c>
      <c r="BO33" s="70">
        <v>0</v>
      </c>
      <c r="BP33" s="70">
        <v>0</v>
      </c>
      <c r="BQ33" s="70">
        <v>28</v>
      </c>
      <c r="BR33" s="16" t="s">
        <v>2792</v>
      </c>
      <c r="BS33" s="71" t="s">
        <v>2568</v>
      </c>
      <c r="BT33" s="71" t="s">
        <v>2427</v>
      </c>
      <c r="BU33" s="71">
        <v>69</v>
      </c>
      <c r="BV33" s="71">
        <v>61</v>
      </c>
      <c r="BW33" s="71">
        <v>87</v>
      </c>
      <c r="BX33" s="71">
        <v>113</v>
      </c>
      <c r="BY33" s="71">
        <v>95</v>
      </c>
      <c r="BZ33" s="71">
        <v>425</v>
      </c>
      <c r="CA33" s="71"/>
      <c r="CB33" s="71" t="s">
        <v>2427</v>
      </c>
      <c r="CC33" s="71">
        <v>10</v>
      </c>
      <c r="CD33" s="71">
        <v>0</v>
      </c>
      <c r="CE33" s="71">
        <v>0</v>
      </c>
      <c r="CF33" s="71">
        <v>0</v>
      </c>
      <c r="CG33" s="71">
        <v>0</v>
      </c>
      <c r="CH33" s="71">
        <v>10</v>
      </c>
      <c r="CL33" s="57" t="s">
        <v>611</v>
      </c>
      <c r="CM33" s="57" t="s">
        <v>2426</v>
      </c>
      <c r="CN33" s="57" t="s">
        <v>356</v>
      </c>
      <c r="CO33" s="57" t="s">
        <v>356</v>
      </c>
      <c r="CP33" s="57" t="s">
        <v>356</v>
      </c>
      <c r="CQ33" s="57" t="s">
        <v>356</v>
      </c>
      <c r="CR33" s="57" t="s">
        <v>356</v>
      </c>
      <c r="CS33" s="57" t="s">
        <v>356</v>
      </c>
      <c r="CT33" s="57"/>
      <c r="CU33" s="57" t="s">
        <v>2426</v>
      </c>
      <c r="CV33" s="57" t="s">
        <v>356</v>
      </c>
      <c r="CW33" s="57" t="s">
        <v>356</v>
      </c>
      <c r="CX33" s="57" t="s">
        <v>356</v>
      </c>
      <c r="CY33" s="57" t="s">
        <v>356</v>
      </c>
      <c r="CZ33" s="57" t="s">
        <v>356</v>
      </c>
      <c r="DA33" s="57" t="s">
        <v>356</v>
      </c>
      <c r="DD33" s="78" t="s">
        <v>1794</v>
      </c>
      <c r="DE33" s="78" t="s">
        <v>2437</v>
      </c>
      <c r="DF33" s="78">
        <v>169</v>
      </c>
      <c r="DG33" s="78">
        <v>236</v>
      </c>
      <c r="DH33" s="78">
        <v>264</v>
      </c>
      <c r="DI33" s="78">
        <v>387</v>
      </c>
      <c r="DJ33" s="78">
        <v>364</v>
      </c>
      <c r="DK33" s="78">
        <v>1420</v>
      </c>
      <c r="DL33" s="78"/>
      <c r="DM33" s="78" t="s">
        <v>2437</v>
      </c>
      <c r="DN33" s="78">
        <v>20</v>
      </c>
      <c r="DO33" s="78">
        <v>5</v>
      </c>
      <c r="DP33" s="78">
        <v>0</v>
      </c>
      <c r="DQ33" s="78">
        <v>1</v>
      </c>
      <c r="DR33" s="78">
        <v>0</v>
      </c>
      <c r="DS33" s="78">
        <v>26</v>
      </c>
      <c r="DV33" s="80" t="s">
        <v>1869</v>
      </c>
      <c r="DW33" s="80" t="s">
        <v>2427</v>
      </c>
      <c r="DX33" s="80">
        <v>272</v>
      </c>
      <c r="DY33" s="80">
        <v>324</v>
      </c>
      <c r="DZ33" s="80">
        <v>398</v>
      </c>
      <c r="EA33" s="80">
        <v>466</v>
      </c>
      <c r="EB33" s="80">
        <v>444</v>
      </c>
      <c r="EC33" s="80">
        <v>1904</v>
      </c>
      <c r="ED33" s="80"/>
      <c r="EE33" s="80" t="s">
        <v>2427</v>
      </c>
      <c r="EF33" s="80">
        <v>24</v>
      </c>
      <c r="EG33" s="80">
        <v>0</v>
      </c>
      <c r="EH33" s="80">
        <v>0</v>
      </c>
      <c r="EI33" s="80">
        <v>0</v>
      </c>
      <c r="EJ33" s="80">
        <v>0</v>
      </c>
      <c r="EK33" s="80">
        <v>24</v>
      </c>
      <c r="EN33" s="57" t="s">
        <v>2406</v>
      </c>
      <c r="EO33" s="57" t="s">
        <v>2426</v>
      </c>
      <c r="EP33" s="57" t="s">
        <v>356</v>
      </c>
      <c r="EQ33" s="57" t="s">
        <v>356</v>
      </c>
      <c r="ER33" s="57" t="s">
        <v>356</v>
      </c>
      <c r="ES33" s="57" t="s">
        <v>356</v>
      </c>
      <c r="ET33" s="57" t="s">
        <v>356</v>
      </c>
      <c r="EU33" s="57" t="s">
        <v>356</v>
      </c>
      <c r="EV33" s="57"/>
      <c r="EW33" s="57" t="s">
        <v>2426</v>
      </c>
      <c r="EX33" s="57" t="s">
        <v>356</v>
      </c>
      <c r="EY33" s="57" t="s">
        <v>356</v>
      </c>
      <c r="EZ33" s="57" t="s">
        <v>356</v>
      </c>
      <c r="FA33" s="57" t="s">
        <v>356</v>
      </c>
      <c r="FB33" s="57" t="s">
        <v>356</v>
      </c>
      <c r="FC33" s="57" t="s">
        <v>356</v>
      </c>
      <c r="FF33" s="71" t="s">
        <v>2108</v>
      </c>
      <c r="FG33" s="71" t="s">
        <v>2426</v>
      </c>
      <c r="FH33" s="71">
        <v>113</v>
      </c>
      <c r="FI33" s="71">
        <v>217</v>
      </c>
      <c r="FJ33" s="71">
        <v>318</v>
      </c>
      <c r="FK33" s="71">
        <v>372</v>
      </c>
      <c r="FL33" s="71">
        <v>502</v>
      </c>
      <c r="FM33" s="71">
        <v>1522</v>
      </c>
      <c r="FN33" s="71"/>
      <c r="FO33" s="71" t="s">
        <v>2426</v>
      </c>
      <c r="FP33" s="71">
        <v>20</v>
      </c>
      <c r="FQ33" s="71">
        <v>18</v>
      </c>
      <c r="FR33" s="71">
        <v>15</v>
      </c>
      <c r="FS33" s="71">
        <v>8</v>
      </c>
      <c r="FT33" s="71">
        <v>22</v>
      </c>
      <c r="FU33" s="71">
        <v>83</v>
      </c>
    </row>
    <row r="34" spans="2:177">
      <c r="B34" s="65" t="s">
        <v>959</v>
      </c>
      <c r="C34" s="65" t="s">
        <v>2426</v>
      </c>
      <c r="D34" s="65" t="s">
        <v>356</v>
      </c>
      <c r="E34" s="65" t="s">
        <v>356</v>
      </c>
      <c r="F34" s="65" t="s">
        <v>356</v>
      </c>
      <c r="G34" s="65" t="s">
        <v>356</v>
      </c>
      <c r="H34" s="65" t="s">
        <v>356</v>
      </c>
      <c r="I34" s="65" t="s">
        <v>356</v>
      </c>
      <c r="K34" s="65" t="s">
        <v>2426</v>
      </c>
      <c r="L34" s="65" t="s">
        <v>356</v>
      </c>
      <c r="M34" s="65" t="s">
        <v>356</v>
      </c>
      <c r="N34" s="65" t="s">
        <v>356</v>
      </c>
      <c r="O34" s="65" t="s">
        <v>356</v>
      </c>
      <c r="P34" s="65" t="s">
        <v>356</v>
      </c>
      <c r="Q34" s="65" t="s">
        <v>356</v>
      </c>
      <c r="T34" s="66" t="s">
        <v>2184</v>
      </c>
      <c r="U34" s="66" t="s">
        <v>2427</v>
      </c>
      <c r="V34" s="66" t="s">
        <v>356</v>
      </c>
      <c r="W34" s="66" t="s">
        <v>356</v>
      </c>
      <c r="X34" s="66" t="s">
        <v>356</v>
      </c>
      <c r="Y34" s="66" t="s">
        <v>356</v>
      </c>
      <c r="Z34" s="66" t="s">
        <v>356</v>
      </c>
      <c r="AA34" s="66" t="s">
        <v>356</v>
      </c>
      <c r="AB34" s="66"/>
      <c r="AC34" s="66" t="s">
        <v>2427</v>
      </c>
      <c r="AD34" s="66" t="s">
        <v>356</v>
      </c>
      <c r="AE34" s="66" t="s">
        <v>356</v>
      </c>
      <c r="AF34" s="66" t="s">
        <v>356</v>
      </c>
      <c r="AG34" s="66" t="s">
        <v>356</v>
      </c>
      <c r="AH34" s="66" t="s">
        <v>356</v>
      </c>
      <c r="AI34" s="66" t="s">
        <v>356</v>
      </c>
      <c r="AK34" s="67" t="s">
        <v>2226</v>
      </c>
      <c r="AL34" s="67" t="s">
        <v>2426</v>
      </c>
      <c r="AM34" s="67">
        <v>153</v>
      </c>
      <c r="AN34" s="67">
        <v>208</v>
      </c>
      <c r="AO34" s="67">
        <v>469</v>
      </c>
      <c r="AP34" s="67">
        <v>741</v>
      </c>
      <c r="AQ34" s="67">
        <v>520</v>
      </c>
      <c r="AR34" s="67">
        <v>2091</v>
      </c>
      <c r="AS34" s="67"/>
      <c r="AT34" s="67" t="s">
        <v>2426</v>
      </c>
      <c r="AU34" s="67">
        <v>17</v>
      </c>
      <c r="AV34" s="67">
        <v>0</v>
      </c>
      <c r="AW34" s="67">
        <v>0</v>
      </c>
      <c r="AX34" s="67">
        <v>1</v>
      </c>
      <c r="AY34" s="67">
        <v>0</v>
      </c>
      <c r="AZ34" s="67">
        <v>18</v>
      </c>
      <c r="BB34" s="70" t="s">
        <v>474</v>
      </c>
      <c r="BC34" s="70" t="s">
        <v>2426</v>
      </c>
      <c r="BD34" s="70">
        <v>208</v>
      </c>
      <c r="BE34" s="70">
        <v>215</v>
      </c>
      <c r="BF34" s="70">
        <v>429</v>
      </c>
      <c r="BG34" s="70">
        <v>508</v>
      </c>
      <c r="BH34" s="70">
        <v>400</v>
      </c>
      <c r="BI34" s="70">
        <v>1760</v>
      </c>
      <c r="BJ34" s="70"/>
      <c r="BK34" s="70" t="s">
        <v>2426</v>
      </c>
      <c r="BL34" s="70">
        <v>25</v>
      </c>
      <c r="BM34" s="70">
        <v>0</v>
      </c>
      <c r="BN34" s="70">
        <v>0</v>
      </c>
      <c r="BO34" s="70">
        <v>0</v>
      </c>
      <c r="BP34" s="70">
        <v>0</v>
      </c>
      <c r="BQ34" s="70">
        <v>25</v>
      </c>
      <c r="BS34" s="71" t="s">
        <v>1599</v>
      </c>
      <c r="BT34" s="71" t="s">
        <v>2427</v>
      </c>
      <c r="BU34" s="71" t="s">
        <v>356</v>
      </c>
      <c r="BV34" s="71" t="s">
        <v>356</v>
      </c>
      <c r="BW34" s="71" t="s">
        <v>356</v>
      </c>
      <c r="BX34" s="71" t="s">
        <v>356</v>
      </c>
      <c r="BY34" s="71" t="s">
        <v>356</v>
      </c>
      <c r="BZ34" s="71" t="s">
        <v>356</v>
      </c>
      <c r="CA34" s="71"/>
      <c r="CB34" s="71" t="s">
        <v>2427</v>
      </c>
      <c r="CC34" s="71" t="s">
        <v>356</v>
      </c>
      <c r="CD34" s="71" t="s">
        <v>356</v>
      </c>
      <c r="CE34" s="71" t="s">
        <v>356</v>
      </c>
      <c r="CF34" s="71" t="s">
        <v>356</v>
      </c>
      <c r="CG34" s="71" t="s">
        <v>356</v>
      </c>
      <c r="CH34" s="71" t="s">
        <v>356</v>
      </c>
      <c r="CL34" s="57" t="s">
        <v>613</v>
      </c>
      <c r="CM34" s="57" t="s">
        <v>2426</v>
      </c>
      <c r="CN34" s="57">
        <v>175</v>
      </c>
      <c r="CO34" s="57">
        <v>61</v>
      </c>
      <c r="CP34" s="57">
        <v>112</v>
      </c>
      <c r="CQ34" s="57">
        <v>158</v>
      </c>
      <c r="CR34" s="57">
        <v>157</v>
      </c>
      <c r="CS34" s="57">
        <v>663</v>
      </c>
      <c r="CT34" s="57"/>
      <c r="CU34" s="57" t="s">
        <v>2426</v>
      </c>
      <c r="CV34" s="57">
        <v>56</v>
      </c>
      <c r="CW34" s="57">
        <v>0</v>
      </c>
      <c r="CX34" s="57">
        <v>0</v>
      </c>
      <c r="CY34" s="57">
        <v>0</v>
      </c>
      <c r="CZ34" s="57">
        <v>0</v>
      </c>
      <c r="DA34" s="57">
        <v>56</v>
      </c>
      <c r="DD34" s="78" t="s">
        <v>2343</v>
      </c>
      <c r="DE34" s="78" t="s">
        <v>2437</v>
      </c>
      <c r="DF34" s="78">
        <v>573</v>
      </c>
      <c r="DG34" s="78">
        <v>822</v>
      </c>
      <c r="DH34" s="78">
        <v>1039</v>
      </c>
      <c r="DI34" s="78">
        <v>1159</v>
      </c>
      <c r="DJ34" s="78">
        <v>1032</v>
      </c>
      <c r="DK34" s="78">
        <v>4625</v>
      </c>
      <c r="DL34" s="78"/>
      <c r="DM34" s="78" t="s">
        <v>2437</v>
      </c>
      <c r="DN34" s="78">
        <v>75</v>
      </c>
      <c r="DO34" s="78">
        <v>42</v>
      </c>
      <c r="DP34" s="78">
        <v>15</v>
      </c>
      <c r="DQ34" s="78">
        <v>0</v>
      </c>
      <c r="DR34" s="78">
        <v>0</v>
      </c>
      <c r="DS34" s="78">
        <v>132</v>
      </c>
      <c r="DV34" s="80" t="s">
        <v>1873</v>
      </c>
      <c r="DW34" s="80" t="s">
        <v>2427</v>
      </c>
      <c r="DX34" s="80" t="s">
        <v>356</v>
      </c>
      <c r="DY34" s="80" t="s">
        <v>356</v>
      </c>
      <c r="DZ34" s="80" t="s">
        <v>356</v>
      </c>
      <c r="EA34" s="80" t="s">
        <v>356</v>
      </c>
      <c r="EB34" s="80" t="s">
        <v>356</v>
      </c>
      <c r="EC34" s="80" t="s">
        <v>356</v>
      </c>
      <c r="ED34" s="80"/>
      <c r="EE34" s="80" t="s">
        <v>2427</v>
      </c>
      <c r="EF34" s="80" t="s">
        <v>356</v>
      </c>
      <c r="EG34" s="80" t="s">
        <v>356</v>
      </c>
      <c r="EH34" s="80" t="s">
        <v>356</v>
      </c>
      <c r="EI34" s="80" t="s">
        <v>356</v>
      </c>
      <c r="EJ34" s="80" t="s">
        <v>356</v>
      </c>
      <c r="EK34" s="80" t="s">
        <v>356</v>
      </c>
      <c r="EN34" s="57" t="s">
        <v>2408</v>
      </c>
      <c r="EO34" s="57" t="s">
        <v>2426</v>
      </c>
      <c r="EP34" s="57" t="s">
        <v>356</v>
      </c>
      <c r="EQ34" s="57" t="s">
        <v>356</v>
      </c>
      <c r="ER34" s="57" t="s">
        <v>356</v>
      </c>
      <c r="ES34" s="57" t="s">
        <v>356</v>
      </c>
      <c r="ET34" s="57" t="s">
        <v>356</v>
      </c>
      <c r="EU34" s="57" t="s">
        <v>356</v>
      </c>
      <c r="EV34" s="57"/>
      <c r="EW34" s="57" t="s">
        <v>2426</v>
      </c>
      <c r="EX34" s="57" t="s">
        <v>356</v>
      </c>
      <c r="EY34" s="57" t="s">
        <v>356</v>
      </c>
      <c r="EZ34" s="57" t="s">
        <v>356</v>
      </c>
      <c r="FA34" s="57" t="s">
        <v>356</v>
      </c>
      <c r="FB34" s="57" t="s">
        <v>356</v>
      </c>
      <c r="FC34" s="57" t="s">
        <v>356</v>
      </c>
      <c r="FF34" s="71" t="s">
        <v>2110</v>
      </c>
      <c r="FG34" s="71" t="s">
        <v>2426</v>
      </c>
      <c r="FH34" s="71">
        <v>256</v>
      </c>
      <c r="FI34" s="71">
        <v>454</v>
      </c>
      <c r="FJ34" s="71">
        <v>529</v>
      </c>
      <c r="FK34" s="71">
        <v>607</v>
      </c>
      <c r="FL34" s="71">
        <v>799</v>
      </c>
      <c r="FM34" s="71">
        <v>2645</v>
      </c>
      <c r="FN34" s="71"/>
      <c r="FO34" s="71" t="s">
        <v>2426</v>
      </c>
      <c r="FP34" s="71">
        <v>62</v>
      </c>
      <c r="FQ34" s="71">
        <v>0</v>
      </c>
      <c r="FR34" s="71">
        <v>0</v>
      </c>
      <c r="FS34" s="71">
        <v>0</v>
      </c>
      <c r="FT34" s="71">
        <v>0</v>
      </c>
      <c r="FU34" s="71">
        <v>62</v>
      </c>
    </row>
    <row r="35" spans="2:177">
      <c r="B35" s="65" t="s">
        <v>962</v>
      </c>
      <c r="C35" s="65" t="s">
        <v>2426</v>
      </c>
      <c r="D35" s="65" t="s">
        <v>356</v>
      </c>
      <c r="E35" s="65" t="s">
        <v>356</v>
      </c>
      <c r="F35" s="65" t="s">
        <v>356</v>
      </c>
      <c r="G35" s="65" t="s">
        <v>356</v>
      </c>
      <c r="H35" s="65" t="s">
        <v>356</v>
      </c>
      <c r="I35" s="65" t="s">
        <v>356</v>
      </c>
      <c r="K35" s="65" t="s">
        <v>2426</v>
      </c>
      <c r="L35" s="65" t="s">
        <v>356</v>
      </c>
      <c r="M35" s="65" t="s">
        <v>356</v>
      </c>
      <c r="N35" s="65" t="s">
        <v>356</v>
      </c>
      <c r="O35" s="65" t="s">
        <v>356</v>
      </c>
      <c r="P35" s="65" t="s">
        <v>356</v>
      </c>
      <c r="Q35" s="65" t="s">
        <v>356</v>
      </c>
      <c r="T35" s="66" t="s">
        <v>2185</v>
      </c>
      <c r="U35" s="66" t="s">
        <v>2427</v>
      </c>
      <c r="V35" s="66" t="s">
        <v>356</v>
      </c>
      <c r="W35" s="66" t="s">
        <v>356</v>
      </c>
      <c r="X35" s="66" t="s">
        <v>356</v>
      </c>
      <c r="Y35" s="66" t="s">
        <v>356</v>
      </c>
      <c r="Z35" s="66" t="s">
        <v>356</v>
      </c>
      <c r="AA35" s="66" t="s">
        <v>356</v>
      </c>
      <c r="AB35" s="66"/>
      <c r="AC35" s="66" t="s">
        <v>2427</v>
      </c>
      <c r="AD35" s="66" t="s">
        <v>356</v>
      </c>
      <c r="AE35" s="66" t="s">
        <v>356</v>
      </c>
      <c r="AF35" s="66" t="s">
        <v>356</v>
      </c>
      <c r="AG35" s="66" t="s">
        <v>356</v>
      </c>
      <c r="AH35" s="66" t="s">
        <v>356</v>
      </c>
      <c r="AI35" s="66" t="s">
        <v>356</v>
      </c>
      <c r="AK35" s="67" t="s">
        <v>2231</v>
      </c>
      <c r="AL35" s="67" t="s">
        <v>2426</v>
      </c>
      <c r="AM35" s="67" t="s">
        <v>435</v>
      </c>
      <c r="AN35" s="67" t="s">
        <v>435</v>
      </c>
      <c r="AO35" s="67" t="s">
        <v>435</v>
      </c>
      <c r="AP35" s="67" t="s">
        <v>435</v>
      </c>
      <c r="AQ35" s="67" t="s">
        <v>435</v>
      </c>
      <c r="AR35" s="67" t="s">
        <v>435</v>
      </c>
      <c r="AS35" s="67"/>
      <c r="AT35" s="67" t="s">
        <v>2426</v>
      </c>
      <c r="AU35" s="67" t="s">
        <v>435</v>
      </c>
      <c r="AV35" s="67" t="s">
        <v>435</v>
      </c>
      <c r="AW35" s="67" t="s">
        <v>435</v>
      </c>
      <c r="AX35" s="67" t="s">
        <v>435</v>
      </c>
      <c r="AY35" s="67" t="s">
        <v>435</v>
      </c>
      <c r="AZ35" s="67" t="s">
        <v>435</v>
      </c>
      <c r="BB35" s="70" t="s">
        <v>1440</v>
      </c>
      <c r="BC35" s="70" t="s">
        <v>2426</v>
      </c>
      <c r="BD35" s="70">
        <v>158</v>
      </c>
      <c r="BE35" s="70">
        <v>188</v>
      </c>
      <c r="BF35" s="70">
        <v>331</v>
      </c>
      <c r="BG35" s="70">
        <v>421</v>
      </c>
      <c r="BH35" s="70">
        <v>314</v>
      </c>
      <c r="BI35" s="70">
        <v>1412</v>
      </c>
      <c r="BJ35" s="70"/>
      <c r="BK35" s="70" t="s">
        <v>2426</v>
      </c>
      <c r="BL35" s="70">
        <v>28</v>
      </c>
      <c r="BM35" s="70">
        <v>0</v>
      </c>
      <c r="BN35" s="70">
        <v>0</v>
      </c>
      <c r="BO35" s="70">
        <v>0</v>
      </c>
      <c r="BP35" s="70">
        <v>0</v>
      </c>
      <c r="BQ35" s="70">
        <v>28</v>
      </c>
      <c r="BS35" s="71" t="s">
        <v>1601</v>
      </c>
      <c r="BT35" s="71" t="s">
        <v>2427</v>
      </c>
      <c r="BU35" s="71">
        <v>1129</v>
      </c>
      <c r="BV35" s="71">
        <v>427</v>
      </c>
      <c r="BW35" s="71">
        <v>595</v>
      </c>
      <c r="BX35" s="71">
        <v>856</v>
      </c>
      <c r="BY35" s="71">
        <v>719</v>
      </c>
      <c r="BZ35" s="71">
        <v>3726</v>
      </c>
      <c r="CA35" s="71"/>
      <c r="CB35" s="71" t="s">
        <v>2427</v>
      </c>
      <c r="CC35" s="71">
        <v>301</v>
      </c>
      <c r="CD35" s="71">
        <v>0</v>
      </c>
      <c r="CE35" s="71">
        <v>0</v>
      </c>
      <c r="CF35" s="71">
        <v>0</v>
      </c>
      <c r="CG35" s="71">
        <v>0</v>
      </c>
      <c r="CH35" s="71">
        <v>301</v>
      </c>
      <c r="CL35" s="57" t="s">
        <v>615</v>
      </c>
      <c r="CM35" s="57" t="s">
        <v>2426</v>
      </c>
      <c r="CN35" s="57">
        <v>1153</v>
      </c>
      <c r="CO35" s="57">
        <v>1123</v>
      </c>
      <c r="CP35" s="57">
        <v>1279</v>
      </c>
      <c r="CQ35" s="57">
        <v>1326</v>
      </c>
      <c r="CR35" s="57">
        <v>962</v>
      </c>
      <c r="CS35" s="57">
        <v>5843</v>
      </c>
      <c r="CT35" s="57"/>
      <c r="CU35" s="57" t="s">
        <v>2426</v>
      </c>
      <c r="CV35" s="57">
        <v>301</v>
      </c>
      <c r="CW35" s="57">
        <v>1</v>
      </c>
      <c r="CX35" s="57">
        <v>0</v>
      </c>
      <c r="CY35" s="57">
        <v>0</v>
      </c>
      <c r="CZ35" s="57">
        <v>0</v>
      </c>
      <c r="DA35" s="57">
        <v>302</v>
      </c>
      <c r="DD35" s="78" t="s">
        <v>1824</v>
      </c>
      <c r="DE35" s="78" t="s">
        <v>2437</v>
      </c>
      <c r="DF35" s="78">
        <v>95</v>
      </c>
      <c r="DG35" s="78">
        <v>161</v>
      </c>
      <c r="DH35" s="78">
        <v>204</v>
      </c>
      <c r="DI35" s="78">
        <v>240</v>
      </c>
      <c r="DJ35" s="78">
        <v>213</v>
      </c>
      <c r="DK35" s="78">
        <v>913</v>
      </c>
      <c r="DL35" s="78"/>
      <c r="DM35" s="78" t="s">
        <v>2437</v>
      </c>
      <c r="DN35" s="78">
        <v>14</v>
      </c>
      <c r="DO35" s="78">
        <v>4</v>
      </c>
      <c r="DP35" s="78">
        <v>0</v>
      </c>
      <c r="DQ35" s="78">
        <v>2</v>
      </c>
      <c r="DR35" s="78">
        <v>2</v>
      </c>
      <c r="DS35" s="78">
        <v>22</v>
      </c>
      <c r="DV35" s="80" t="s">
        <v>2355</v>
      </c>
      <c r="DW35" s="80" t="s">
        <v>2427</v>
      </c>
      <c r="DX35" s="80">
        <v>366</v>
      </c>
      <c r="DY35" s="80">
        <v>329</v>
      </c>
      <c r="DZ35" s="80">
        <v>442</v>
      </c>
      <c r="EA35" s="80">
        <v>504</v>
      </c>
      <c r="EB35" s="80">
        <v>460</v>
      </c>
      <c r="EC35" s="80">
        <v>2101</v>
      </c>
      <c r="ED35" s="80"/>
      <c r="EE35" s="80" t="s">
        <v>2427</v>
      </c>
      <c r="EF35" s="80">
        <v>17</v>
      </c>
      <c r="EG35" s="80">
        <v>0</v>
      </c>
      <c r="EH35" s="80">
        <v>0</v>
      </c>
      <c r="EI35" s="80">
        <v>0</v>
      </c>
      <c r="EJ35" s="80">
        <v>0</v>
      </c>
      <c r="EK35" s="80">
        <v>17</v>
      </c>
      <c r="EN35" s="57" t="s">
        <v>2024</v>
      </c>
      <c r="EO35" s="57" t="s">
        <v>2426</v>
      </c>
      <c r="EP35" s="57" t="s">
        <v>356</v>
      </c>
      <c r="EQ35" s="57" t="s">
        <v>356</v>
      </c>
      <c r="ER35" s="57" t="s">
        <v>356</v>
      </c>
      <c r="ES35" s="57" t="s">
        <v>356</v>
      </c>
      <c r="ET35" s="57" t="s">
        <v>356</v>
      </c>
      <c r="EU35" s="57" t="s">
        <v>356</v>
      </c>
      <c r="EV35" s="57"/>
      <c r="EW35" s="57" t="s">
        <v>2426</v>
      </c>
      <c r="EX35" s="57" t="s">
        <v>356</v>
      </c>
      <c r="EY35" s="57" t="s">
        <v>356</v>
      </c>
      <c r="EZ35" s="57" t="s">
        <v>356</v>
      </c>
      <c r="FA35" s="57" t="s">
        <v>356</v>
      </c>
      <c r="FB35" s="57" t="s">
        <v>356</v>
      </c>
      <c r="FC35" s="57" t="s">
        <v>356</v>
      </c>
      <c r="FF35" s="71" t="s">
        <v>2112</v>
      </c>
      <c r="FG35" s="71" t="s">
        <v>2426</v>
      </c>
      <c r="FH35" s="71">
        <v>496</v>
      </c>
      <c r="FI35" s="71">
        <v>462</v>
      </c>
      <c r="FJ35" s="71">
        <v>534</v>
      </c>
      <c r="FK35" s="71">
        <v>542</v>
      </c>
      <c r="FL35" s="71">
        <v>554</v>
      </c>
      <c r="FM35" s="71">
        <v>2588</v>
      </c>
      <c r="FN35" s="71"/>
      <c r="FO35" s="71" t="s">
        <v>2426</v>
      </c>
      <c r="FP35" s="71">
        <v>82</v>
      </c>
      <c r="FQ35" s="71">
        <v>12</v>
      </c>
      <c r="FR35" s="71">
        <v>0</v>
      </c>
      <c r="FS35" s="71">
        <v>0</v>
      </c>
      <c r="FT35" s="71">
        <v>0</v>
      </c>
      <c r="FU35" s="71">
        <v>94</v>
      </c>
    </row>
    <row r="36" spans="2:177">
      <c r="B36" s="65" t="s">
        <v>974</v>
      </c>
      <c r="C36" s="65" t="s">
        <v>2426</v>
      </c>
      <c r="D36" s="65" t="s">
        <v>356</v>
      </c>
      <c r="E36" s="65" t="s">
        <v>356</v>
      </c>
      <c r="F36" s="65" t="s">
        <v>356</v>
      </c>
      <c r="G36" s="65" t="s">
        <v>356</v>
      </c>
      <c r="H36" s="65" t="s">
        <v>356</v>
      </c>
      <c r="I36" s="65" t="s">
        <v>356</v>
      </c>
      <c r="K36" s="65" t="s">
        <v>2426</v>
      </c>
      <c r="L36" s="65" t="s">
        <v>356</v>
      </c>
      <c r="M36" s="65" t="s">
        <v>356</v>
      </c>
      <c r="N36" s="65" t="s">
        <v>356</v>
      </c>
      <c r="O36" s="65" t="s">
        <v>356</v>
      </c>
      <c r="P36" s="65" t="s">
        <v>356</v>
      </c>
      <c r="Q36" s="65" t="s">
        <v>356</v>
      </c>
      <c r="T36" s="66" t="s">
        <v>2186</v>
      </c>
      <c r="U36" s="66" t="s">
        <v>2427</v>
      </c>
      <c r="V36" s="66" t="s">
        <v>356</v>
      </c>
      <c r="W36" s="66" t="s">
        <v>356</v>
      </c>
      <c r="X36" s="66" t="s">
        <v>356</v>
      </c>
      <c r="Y36" s="66" t="s">
        <v>356</v>
      </c>
      <c r="Z36" s="66" t="s">
        <v>356</v>
      </c>
      <c r="AA36" s="66" t="s">
        <v>356</v>
      </c>
      <c r="AB36" s="66"/>
      <c r="AC36" s="66" t="s">
        <v>2427</v>
      </c>
      <c r="AD36" s="66" t="s">
        <v>356</v>
      </c>
      <c r="AE36" s="66" t="s">
        <v>356</v>
      </c>
      <c r="AF36" s="66" t="s">
        <v>356</v>
      </c>
      <c r="AG36" s="66" t="s">
        <v>356</v>
      </c>
      <c r="AH36" s="66" t="s">
        <v>356</v>
      </c>
      <c r="AI36" s="66" t="s">
        <v>356</v>
      </c>
      <c r="AK36" s="67" t="s">
        <v>2241</v>
      </c>
      <c r="AL36" s="67" t="s">
        <v>2426</v>
      </c>
      <c r="AM36" s="67" t="s">
        <v>435</v>
      </c>
      <c r="AN36" s="67" t="s">
        <v>435</v>
      </c>
      <c r="AO36" s="67" t="s">
        <v>435</v>
      </c>
      <c r="AP36" s="67" t="s">
        <v>435</v>
      </c>
      <c r="AQ36" s="67" t="s">
        <v>435</v>
      </c>
      <c r="AR36" s="67" t="s">
        <v>435</v>
      </c>
      <c r="AS36" s="67"/>
      <c r="AT36" s="67" t="s">
        <v>2426</v>
      </c>
      <c r="AU36" s="67" t="s">
        <v>435</v>
      </c>
      <c r="AV36" s="67" t="s">
        <v>435</v>
      </c>
      <c r="AW36" s="67" t="s">
        <v>435</v>
      </c>
      <c r="AX36" s="67" t="s">
        <v>435</v>
      </c>
      <c r="AY36" s="67" t="s">
        <v>435</v>
      </c>
      <c r="AZ36" s="67" t="s">
        <v>435</v>
      </c>
      <c r="BB36" s="70" t="s">
        <v>1445</v>
      </c>
      <c r="BC36" s="70" t="s">
        <v>2426</v>
      </c>
      <c r="BD36" s="70" t="s">
        <v>356</v>
      </c>
      <c r="BE36" s="70" t="s">
        <v>356</v>
      </c>
      <c r="BF36" s="70" t="s">
        <v>356</v>
      </c>
      <c r="BG36" s="70" t="s">
        <v>356</v>
      </c>
      <c r="BH36" s="70" t="s">
        <v>356</v>
      </c>
      <c r="BI36" s="70" t="s">
        <v>356</v>
      </c>
      <c r="BJ36" s="70"/>
      <c r="BK36" s="70" t="s">
        <v>2426</v>
      </c>
      <c r="BL36" s="70" t="s">
        <v>356</v>
      </c>
      <c r="BM36" s="70" t="s">
        <v>356</v>
      </c>
      <c r="BN36" s="70" t="s">
        <v>356</v>
      </c>
      <c r="BO36" s="70" t="s">
        <v>356</v>
      </c>
      <c r="BP36" s="70" t="s">
        <v>356</v>
      </c>
      <c r="BQ36" s="70" t="s">
        <v>356</v>
      </c>
      <c r="BS36" s="71" t="s">
        <v>1606</v>
      </c>
      <c r="BT36" s="71" t="s">
        <v>2427</v>
      </c>
      <c r="BU36" s="71">
        <v>63</v>
      </c>
      <c r="BV36" s="71">
        <v>112</v>
      </c>
      <c r="BW36" s="71">
        <v>174</v>
      </c>
      <c r="BX36" s="71">
        <v>341</v>
      </c>
      <c r="BY36" s="71">
        <v>282</v>
      </c>
      <c r="BZ36" s="71">
        <v>972</v>
      </c>
      <c r="CA36" s="71"/>
      <c r="CB36" s="71" t="s">
        <v>2427</v>
      </c>
      <c r="CC36" s="71">
        <v>14</v>
      </c>
      <c r="CD36" s="71">
        <v>0</v>
      </c>
      <c r="CE36" s="71">
        <v>0</v>
      </c>
      <c r="CF36" s="71">
        <v>0</v>
      </c>
      <c r="CG36" s="71">
        <v>0</v>
      </c>
      <c r="CH36" s="71">
        <v>14</v>
      </c>
      <c r="CL36" s="57" t="s">
        <v>617</v>
      </c>
      <c r="CM36" s="57" t="s">
        <v>2426</v>
      </c>
      <c r="CN36" s="57">
        <v>591</v>
      </c>
      <c r="CO36" s="57">
        <v>505</v>
      </c>
      <c r="CP36" s="57">
        <v>982</v>
      </c>
      <c r="CQ36" s="57">
        <v>1470</v>
      </c>
      <c r="CR36" s="57">
        <v>1463</v>
      </c>
      <c r="CS36" s="57">
        <v>5011</v>
      </c>
      <c r="CT36" s="57"/>
      <c r="CU36" s="57" t="s">
        <v>2426</v>
      </c>
      <c r="CV36" s="57">
        <v>139</v>
      </c>
      <c r="CW36" s="57">
        <v>0</v>
      </c>
      <c r="CX36" s="57">
        <v>0</v>
      </c>
      <c r="CY36" s="57">
        <v>0</v>
      </c>
      <c r="CZ36" s="57">
        <v>0</v>
      </c>
      <c r="DA36" s="57">
        <v>139</v>
      </c>
      <c r="DD36" s="78" t="s">
        <v>1828</v>
      </c>
      <c r="DE36" s="78" t="s">
        <v>2437</v>
      </c>
      <c r="DF36" s="78">
        <v>303</v>
      </c>
      <c r="DG36" s="78">
        <v>432</v>
      </c>
      <c r="DH36" s="78">
        <v>599</v>
      </c>
      <c r="DI36" s="78">
        <v>770</v>
      </c>
      <c r="DJ36" s="78">
        <v>609</v>
      </c>
      <c r="DK36" s="78">
        <v>2713</v>
      </c>
      <c r="DL36" s="78"/>
      <c r="DM36" s="78" t="s">
        <v>2437</v>
      </c>
      <c r="DN36" s="78">
        <v>21</v>
      </c>
      <c r="DO36" s="78">
        <v>3</v>
      </c>
      <c r="DP36" s="78">
        <v>1</v>
      </c>
      <c r="DQ36" s="78">
        <v>0</v>
      </c>
      <c r="DR36" s="78">
        <v>1</v>
      </c>
      <c r="DS36" s="78">
        <v>26</v>
      </c>
      <c r="DV36" s="80" t="s">
        <v>1883</v>
      </c>
      <c r="DW36" s="80" t="s">
        <v>2427</v>
      </c>
      <c r="DX36" s="80">
        <v>1503</v>
      </c>
      <c r="DY36" s="80">
        <v>1036</v>
      </c>
      <c r="DZ36" s="80">
        <v>1291</v>
      </c>
      <c r="EA36" s="80">
        <v>1419</v>
      </c>
      <c r="EB36" s="80">
        <v>1098</v>
      </c>
      <c r="EC36" s="80">
        <v>6347</v>
      </c>
      <c r="ED36" s="80"/>
      <c r="EE36" s="80" t="s">
        <v>2427</v>
      </c>
      <c r="EF36" s="80">
        <v>40</v>
      </c>
      <c r="EG36" s="80">
        <v>0</v>
      </c>
      <c r="EH36" s="80">
        <v>0</v>
      </c>
      <c r="EI36" s="80">
        <v>0</v>
      </c>
      <c r="EJ36" s="80">
        <v>0</v>
      </c>
      <c r="EK36" s="80">
        <v>40</v>
      </c>
      <c r="EN36" s="57" t="s">
        <v>2027</v>
      </c>
      <c r="EO36" s="57" t="s">
        <v>2426</v>
      </c>
      <c r="EP36" s="57" t="s">
        <v>356</v>
      </c>
      <c r="EQ36" s="57" t="s">
        <v>356</v>
      </c>
      <c r="ER36" s="57" t="s">
        <v>356</v>
      </c>
      <c r="ES36" s="57" t="s">
        <v>356</v>
      </c>
      <c r="ET36" s="57" t="s">
        <v>356</v>
      </c>
      <c r="EU36" s="57" t="s">
        <v>356</v>
      </c>
      <c r="EV36" s="57"/>
      <c r="EW36" s="57" t="s">
        <v>2426</v>
      </c>
      <c r="EX36" s="57" t="s">
        <v>356</v>
      </c>
      <c r="EY36" s="57" t="s">
        <v>356</v>
      </c>
      <c r="EZ36" s="57" t="s">
        <v>356</v>
      </c>
      <c r="FA36" s="57" t="s">
        <v>356</v>
      </c>
      <c r="FB36" s="57" t="s">
        <v>356</v>
      </c>
      <c r="FC36" s="57" t="s">
        <v>356</v>
      </c>
      <c r="FF36" s="71" t="s">
        <v>2115</v>
      </c>
      <c r="FG36" s="71" t="s">
        <v>2426</v>
      </c>
      <c r="FH36" s="71">
        <v>517</v>
      </c>
      <c r="FI36" s="71">
        <v>545</v>
      </c>
      <c r="FJ36" s="71">
        <v>646</v>
      </c>
      <c r="FK36" s="71">
        <v>734</v>
      </c>
      <c r="FL36" s="71">
        <v>773</v>
      </c>
      <c r="FM36" s="71">
        <v>3215</v>
      </c>
      <c r="FN36" s="71"/>
      <c r="FO36" s="71" t="s">
        <v>2426</v>
      </c>
      <c r="FP36" s="71">
        <v>66</v>
      </c>
      <c r="FQ36" s="71">
        <v>23</v>
      </c>
      <c r="FR36" s="71">
        <v>0</v>
      </c>
      <c r="FS36" s="71">
        <v>0</v>
      </c>
      <c r="FT36" s="71">
        <v>0</v>
      </c>
      <c r="FU36" s="71">
        <v>89</v>
      </c>
    </row>
    <row r="37" spans="2:177">
      <c r="B37" s="65" t="s">
        <v>979</v>
      </c>
      <c r="C37" s="65" t="s">
        <v>2426</v>
      </c>
      <c r="D37" s="65">
        <v>574</v>
      </c>
      <c r="E37" s="65">
        <v>650</v>
      </c>
      <c r="F37" s="65">
        <v>792</v>
      </c>
      <c r="G37" s="65">
        <v>910</v>
      </c>
      <c r="H37" s="65">
        <v>678</v>
      </c>
      <c r="I37" s="65">
        <v>3604</v>
      </c>
      <c r="K37" s="65" t="s">
        <v>2426</v>
      </c>
      <c r="L37" s="65">
        <v>103</v>
      </c>
      <c r="M37" s="65">
        <v>11</v>
      </c>
      <c r="N37" s="65">
        <v>1</v>
      </c>
      <c r="O37" s="65">
        <v>3</v>
      </c>
      <c r="P37" s="65">
        <v>0</v>
      </c>
      <c r="Q37" s="65">
        <v>118</v>
      </c>
      <c r="T37" s="66" t="s">
        <v>2187</v>
      </c>
      <c r="U37" s="66" t="s">
        <v>2427</v>
      </c>
      <c r="V37" s="66" t="s">
        <v>356</v>
      </c>
      <c r="W37" s="66" t="s">
        <v>356</v>
      </c>
      <c r="X37" s="66" t="s">
        <v>356</v>
      </c>
      <c r="Y37" s="66" t="s">
        <v>356</v>
      </c>
      <c r="Z37" s="66" t="s">
        <v>356</v>
      </c>
      <c r="AA37" s="66" t="s">
        <v>356</v>
      </c>
      <c r="AB37" s="66"/>
      <c r="AC37" s="66" t="s">
        <v>2427</v>
      </c>
      <c r="AD37" s="66" t="s">
        <v>356</v>
      </c>
      <c r="AE37" s="66" t="s">
        <v>356</v>
      </c>
      <c r="AF37" s="66" t="s">
        <v>356</v>
      </c>
      <c r="AG37" s="66" t="s">
        <v>356</v>
      </c>
      <c r="AH37" s="66" t="s">
        <v>356</v>
      </c>
      <c r="AI37" s="66" t="s">
        <v>356</v>
      </c>
      <c r="AK37" s="67" t="s">
        <v>2236</v>
      </c>
      <c r="AL37" s="67" t="s">
        <v>2426</v>
      </c>
      <c r="AM37" s="67" t="s">
        <v>435</v>
      </c>
      <c r="AN37" s="67" t="s">
        <v>435</v>
      </c>
      <c r="AO37" s="67" t="s">
        <v>435</v>
      </c>
      <c r="AP37" s="67" t="s">
        <v>435</v>
      </c>
      <c r="AQ37" s="67" t="s">
        <v>435</v>
      </c>
      <c r="AR37" s="67" t="s">
        <v>435</v>
      </c>
      <c r="AS37" s="67"/>
      <c r="AT37" s="67" t="s">
        <v>2426</v>
      </c>
      <c r="AU37" s="67" t="s">
        <v>435</v>
      </c>
      <c r="AV37" s="67" t="s">
        <v>435</v>
      </c>
      <c r="AW37" s="67" t="s">
        <v>435</v>
      </c>
      <c r="AX37" s="67" t="s">
        <v>435</v>
      </c>
      <c r="AY37" s="67" t="s">
        <v>435</v>
      </c>
      <c r="AZ37" s="67" t="s">
        <v>435</v>
      </c>
      <c r="BB37" s="70" t="s">
        <v>1449</v>
      </c>
      <c r="BC37" s="70" t="s">
        <v>2426</v>
      </c>
      <c r="BD37" s="70">
        <v>396</v>
      </c>
      <c r="BE37" s="70">
        <v>52</v>
      </c>
      <c r="BF37" s="70">
        <v>126</v>
      </c>
      <c r="BG37" s="70">
        <v>154</v>
      </c>
      <c r="BH37" s="70">
        <v>266</v>
      </c>
      <c r="BI37" s="70">
        <v>994</v>
      </c>
      <c r="BJ37" s="70"/>
      <c r="BK37" s="70" t="s">
        <v>2426</v>
      </c>
      <c r="BL37" s="70">
        <v>126</v>
      </c>
      <c r="BM37" s="70">
        <v>0</v>
      </c>
      <c r="BN37" s="70">
        <v>0</v>
      </c>
      <c r="BO37" s="70">
        <v>0</v>
      </c>
      <c r="BP37" s="70">
        <v>0</v>
      </c>
      <c r="BQ37" s="70">
        <v>126</v>
      </c>
      <c r="BS37" s="71" t="s">
        <v>1608</v>
      </c>
      <c r="BT37" s="71" t="s">
        <v>2427</v>
      </c>
      <c r="BU37" s="71">
        <v>139</v>
      </c>
      <c r="BV37" s="71">
        <v>103</v>
      </c>
      <c r="BW37" s="71">
        <v>179</v>
      </c>
      <c r="BX37" s="71">
        <v>294</v>
      </c>
      <c r="BY37" s="71">
        <v>266</v>
      </c>
      <c r="BZ37" s="71">
        <v>981</v>
      </c>
      <c r="CA37" s="71"/>
      <c r="CB37" s="71" t="s">
        <v>2427</v>
      </c>
      <c r="CC37" s="71">
        <v>45</v>
      </c>
      <c r="CD37" s="71">
        <v>0</v>
      </c>
      <c r="CE37" s="71">
        <v>0</v>
      </c>
      <c r="CF37" s="71">
        <v>0</v>
      </c>
      <c r="CG37" s="71">
        <v>0</v>
      </c>
      <c r="CH37" s="71">
        <v>45</v>
      </c>
      <c r="CL37" s="57" t="s">
        <v>619</v>
      </c>
      <c r="CM37" s="57" t="s">
        <v>2426</v>
      </c>
      <c r="CN37" s="57">
        <v>319</v>
      </c>
      <c r="CO37" s="57">
        <v>366</v>
      </c>
      <c r="CP37" s="57">
        <v>746</v>
      </c>
      <c r="CQ37" s="57">
        <v>1068</v>
      </c>
      <c r="CR37" s="57">
        <v>1065</v>
      </c>
      <c r="CS37" s="57">
        <v>3564</v>
      </c>
      <c r="CT37" s="57"/>
      <c r="CU37" s="57" t="s">
        <v>2426</v>
      </c>
      <c r="CV37" s="57">
        <v>33</v>
      </c>
      <c r="CW37" s="57">
        <v>0</v>
      </c>
      <c r="CX37" s="57">
        <v>0</v>
      </c>
      <c r="CY37" s="57">
        <v>0</v>
      </c>
      <c r="CZ37" s="57">
        <v>0</v>
      </c>
      <c r="DA37" s="57">
        <v>33</v>
      </c>
      <c r="DD37" s="78" t="s">
        <v>1831</v>
      </c>
      <c r="DE37" s="78" t="s">
        <v>2437</v>
      </c>
      <c r="DF37" s="78">
        <v>331</v>
      </c>
      <c r="DG37" s="78">
        <v>388</v>
      </c>
      <c r="DH37" s="78">
        <v>546</v>
      </c>
      <c r="DI37" s="78">
        <v>582</v>
      </c>
      <c r="DJ37" s="78">
        <v>443</v>
      </c>
      <c r="DK37" s="78">
        <v>2290</v>
      </c>
      <c r="DL37" s="78"/>
      <c r="DM37" s="78" t="s">
        <v>2437</v>
      </c>
      <c r="DN37" s="78">
        <v>28</v>
      </c>
      <c r="DO37" s="78">
        <v>4</v>
      </c>
      <c r="DP37" s="78">
        <v>2</v>
      </c>
      <c r="DQ37" s="78">
        <v>1</v>
      </c>
      <c r="DR37" s="78">
        <v>0</v>
      </c>
      <c r="DS37" s="78">
        <v>35</v>
      </c>
      <c r="DV37" s="80" t="s">
        <v>2359</v>
      </c>
      <c r="DW37" s="80" t="s">
        <v>2427</v>
      </c>
      <c r="DX37" s="80">
        <v>349</v>
      </c>
      <c r="DY37" s="80">
        <v>359</v>
      </c>
      <c r="DZ37" s="80">
        <v>526</v>
      </c>
      <c r="EA37" s="80">
        <v>503</v>
      </c>
      <c r="EB37" s="80">
        <v>354</v>
      </c>
      <c r="EC37" s="80">
        <v>2091</v>
      </c>
      <c r="ED37" s="80"/>
      <c r="EE37" s="80" t="s">
        <v>2427</v>
      </c>
      <c r="EF37" s="80">
        <v>9</v>
      </c>
      <c r="EG37" s="80">
        <v>1</v>
      </c>
      <c r="EH37" s="80">
        <v>0</v>
      </c>
      <c r="EI37" s="80">
        <v>0</v>
      </c>
      <c r="EJ37" s="80">
        <v>0</v>
      </c>
      <c r="EK37" s="80">
        <v>10</v>
      </c>
      <c r="FF37" s="71" t="s">
        <v>2117</v>
      </c>
      <c r="FG37" s="71" t="s">
        <v>2426</v>
      </c>
      <c r="FH37" s="71">
        <v>180</v>
      </c>
      <c r="FI37" s="71">
        <v>252</v>
      </c>
      <c r="FJ37" s="71">
        <v>314</v>
      </c>
      <c r="FK37" s="71">
        <v>404</v>
      </c>
      <c r="FL37" s="71">
        <v>501</v>
      </c>
      <c r="FM37" s="71">
        <v>1651</v>
      </c>
      <c r="FN37" s="71"/>
      <c r="FO37" s="71" t="s">
        <v>2426</v>
      </c>
      <c r="FP37" s="71">
        <v>39</v>
      </c>
      <c r="FQ37" s="71">
        <v>8</v>
      </c>
      <c r="FR37" s="71">
        <v>0</v>
      </c>
      <c r="FS37" s="71">
        <v>0</v>
      </c>
      <c r="FT37" s="71">
        <v>0</v>
      </c>
      <c r="FU37" s="71">
        <v>47</v>
      </c>
    </row>
    <row r="38" spans="2:177">
      <c r="B38" s="65" t="s">
        <v>985</v>
      </c>
      <c r="C38" s="65" t="s">
        <v>2426</v>
      </c>
      <c r="D38" s="65">
        <v>293</v>
      </c>
      <c r="E38" s="65">
        <v>492</v>
      </c>
      <c r="F38" s="65">
        <v>651</v>
      </c>
      <c r="G38" s="65">
        <v>665</v>
      </c>
      <c r="H38" s="65">
        <v>469</v>
      </c>
      <c r="I38" s="65">
        <v>2570</v>
      </c>
      <c r="K38" s="65" t="s">
        <v>2426</v>
      </c>
      <c r="L38" s="65">
        <v>36</v>
      </c>
      <c r="M38" s="65">
        <v>6</v>
      </c>
      <c r="N38" s="65">
        <v>2</v>
      </c>
      <c r="O38" s="65">
        <v>0</v>
      </c>
      <c r="P38" s="65">
        <v>0</v>
      </c>
      <c r="Q38" s="65">
        <v>44</v>
      </c>
      <c r="T38" s="66" t="s">
        <v>1071</v>
      </c>
      <c r="U38" s="66" t="s">
        <v>2427</v>
      </c>
      <c r="V38" s="66" t="s">
        <v>356</v>
      </c>
      <c r="W38" s="66" t="s">
        <v>356</v>
      </c>
      <c r="X38" s="66" t="s">
        <v>356</v>
      </c>
      <c r="Y38" s="66" t="s">
        <v>356</v>
      </c>
      <c r="Z38" s="66" t="s">
        <v>356</v>
      </c>
      <c r="AA38" s="66" t="s">
        <v>356</v>
      </c>
      <c r="AB38" s="66"/>
      <c r="AC38" s="66" t="s">
        <v>2427</v>
      </c>
      <c r="AD38" s="66" t="s">
        <v>356</v>
      </c>
      <c r="AE38" s="66" t="s">
        <v>356</v>
      </c>
      <c r="AF38" s="66" t="s">
        <v>356</v>
      </c>
      <c r="AG38" s="66" t="s">
        <v>356</v>
      </c>
      <c r="AH38" s="66" t="s">
        <v>356</v>
      </c>
      <c r="AI38" s="66" t="s">
        <v>356</v>
      </c>
      <c r="AK38" s="67" t="s">
        <v>2234</v>
      </c>
      <c r="AL38" s="67" t="s">
        <v>2426</v>
      </c>
      <c r="AM38" s="67" t="s">
        <v>435</v>
      </c>
      <c r="AN38" s="67" t="s">
        <v>435</v>
      </c>
      <c r="AO38" s="67" t="s">
        <v>435</v>
      </c>
      <c r="AP38" s="67" t="s">
        <v>435</v>
      </c>
      <c r="AQ38" s="67" t="s">
        <v>435</v>
      </c>
      <c r="AR38" s="67" t="s">
        <v>435</v>
      </c>
      <c r="AS38" s="67"/>
      <c r="AT38" s="67" t="s">
        <v>2426</v>
      </c>
      <c r="AU38" s="67" t="s">
        <v>435</v>
      </c>
      <c r="AV38" s="67" t="s">
        <v>435</v>
      </c>
      <c r="AW38" s="67" t="s">
        <v>435</v>
      </c>
      <c r="AX38" s="67" t="s">
        <v>435</v>
      </c>
      <c r="AY38" s="67" t="s">
        <v>435</v>
      </c>
      <c r="AZ38" s="67" t="s">
        <v>435</v>
      </c>
      <c r="BB38" s="70" t="s">
        <v>487</v>
      </c>
      <c r="BC38" s="70" t="s">
        <v>2426</v>
      </c>
      <c r="BD38" s="70">
        <v>61</v>
      </c>
      <c r="BE38" s="70">
        <v>16</v>
      </c>
      <c r="BF38" s="70">
        <v>30</v>
      </c>
      <c r="BG38" s="70">
        <v>33</v>
      </c>
      <c r="BH38" s="70">
        <v>99</v>
      </c>
      <c r="BI38" s="70">
        <v>239</v>
      </c>
      <c r="BJ38" s="70"/>
      <c r="BK38" s="70" t="s">
        <v>2426</v>
      </c>
      <c r="BL38" s="70">
        <v>29</v>
      </c>
      <c r="BM38" s="70">
        <v>0</v>
      </c>
      <c r="BN38" s="70">
        <v>0</v>
      </c>
      <c r="BO38" s="70">
        <v>0</v>
      </c>
      <c r="BP38" s="70">
        <v>0</v>
      </c>
      <c r="BQ38" s="70">
        <v>29</v>
      </c>
      <c r="BS38" s="71" t="s">
        <v>1613</v>
      </c>
      <c r="BT38" s="71" t="s">
        <v>2427</v>
      </c>
      <c r="BU38" s="71">
        <v>104</v>
      </c>
      <c r="BV38" s="71">
        <v>57</v>
      </c>
      <c r="BW38" s="71">
        <v>98</v>
      </c>
      <c r="BX38" s="71">
        <v>136</v>
      </c>
      <c r="BY38" s="71">
        <v>214</v>
      </c>
      <c r="BZ38" s="71">
        <v>609</v>
      </c>
      <c r="CA38" s="71"/>
      <c r="CB38" s="71" t="s">
        <v>2427</v>
      </c>
      <c r="CC38" s="71">
        <v>20</v>
      </c>
      <c r="CD38" s="71">
        <v>0</v>
      </c>
      <c r="CE38" s="71">
        <v>0</v>
      </c>
      <c r="CF38" s="71">
        <v>0</v>
      </c>
      <c r="CG38" s="71">
        <v>0</v>
      </c>
      <c r="CH38" s="71">
        <v>20</v>
      </c>
      <c r="CL38" s="57" t="s">
        <v>621</v>
      </c>
      <c r="CM38" s="57" t="s">
        <v>2426</v>
      </c>
      <c r="CN38" s="57">
        <v>137</v>
      </c>
      <c r="CO38" s="57">
        <v>69</v>
      </c>
      <c r="CP38" s="57">
        <v>123</v>
      </c>
      <c r="CQ38" s="57">
        <v>158</v>
      </c>
      <c r="CR38" s="57">
        <v>187</v>
      </c>
      <c r="CS38" s="57">
        <v>674</v>
      </c>
      <c r="CT38" s="57"/>
      <c r="CU38" s="57" t="s">
        <v>2426</v>
      </c>
      <c r="CV38" s="57">
        <v>51</v>
      </c>
      <c r="CW38" s="57">
        <v>0</v>
      </c>
      <c r="CX38" s="57">
        <v>0</v>
      </c>
      <c r="CY38" s="57">
        <v>0</v>
      </c>
      <c r="CZ38" s="57">
        <v>0</v>
      </c>
      <c r="DA38" s="57">
        <v>51</v>
      </c>
      <c r="DD38" s="78" t="s">
        <v>1835</v>
      </c>
      <c r="DE38" s="78" t="s">
        <v>2437</v>
      </c>
      <c r="DF38" s="78">
        <v>506</v>
      </c>
      <c r="DG38" s="78">
        <v>485</v>
      </c>
      <c r="DH38" s="78">
        <v>449</v>
      </c>
      <c r="DI38" s="78">
        <v>582</v>
      </c>
      <c r="DJ38" s="78">
        <v>496</v>
      </c>
      <c r="DK38" s="78">
        <v>2518</v>
      </c>
      <c r="DL38" s="78"/>
      <c r="DM38" s="78" t="s">
        <v>2437</v>
      </c>
      <c r="DN38" s="78">
        <v>26</v>
      </c>
      <c r="DO38" s="78">
        <v>3</v>
      </c>
      <c r="DP38" s="78">
        <v>2</v>
      </c>
      <c r="DQ38" s="78">
        <v>1</v>
      </c>
      <c r="DR38" s="78">
        <v>1</v>
      </c>
      <c r="DS38" s="78">
        <v>33</v>
      </c>
      <c r="DV38" s="80" t="s">
        <v>1890</v>
      </c>
      <c r="DW38" s="80" t="s">
        <v>2427</v>
      </c>
      <c r="DX38" s="80">
        <v>191</v>
      </c>
      <c r="DY38" s="80">
        <v>261</v>
      </c>
      <c r="DZ38" s="80">
        <v>376</v>
      </c>
      <c r="EA38" s="80">
        <v>460</v>
      </c>
      <c r="EB38" s="80">
        <v>352</v>
      </c>
      <c r="EC38" s="80">
        <v>1640</v>
      </c>
      <c r="ED38" s="80"/>
      <c r="EE38" s="80" t="s">
        <v>2427</v>
      </c>
      <c r="EF38" s="80">
        <v>9</v>
      </c>
      <c r="EG38" s="80">
        <v>0</v>
      </c>
      <c r="EH38" s="80">
        <v>0</v>
      </c>
      <c r="EI38" s="80">
        <v>0</v>
      </c>
      <c r="EJ38" s="80">
        <v>0</v>
      </c>
      <c r="EK38" s="80">
        <v>9</v>
      </c>
      <c r="EN38" s="57" t="s">
        <v>2376</v>
      </c>
      <c r="EO38" s="57" t="s">
        <v>2427</v>
      </c>
      <c r="EP38" s="57">
        <v>665</v>
      </c>
      <c r="EQ38" s="57">
        <v>1005</v>
      </c>
      <c r="ER38" s="57">
        <v>1233</v>
      </c>
      <c r="ES38" s="57">
        <v>1478</v>
      </c>
      <c r="ET38" s="57">
        <v>1547</v>
      </c>
      <c r="EU38" s="57">
        <v>5928</v>
      </c>
      <c r="EV38" s="57"/>
      <c r="EW38" s="57" t="s">
        <v>2427</v>
      </c>
      <c r="EX38" s="57">
        <v>173</v>
      </c>
      <c r="EY38" s="57">
        <v>93</v>
      </c>
      <c r="EZ38" s="57">
        <v>62</v>
      </c>
      <c r="FA38" s="57">
        <v>53</v>
      </c>
      <c r="FB38" s="57">
        <v>63</v>
      </c>
      <c r="FC38" s="57">
        <v>444</v>
      </c>
      <c r="FF38" s="71" t="s">
        <v>2119</v>
      </c>
      <c r="FG38" s="71" t="s">
        <v>2426</v>
      </c>
      <c r="FH38" s="71">
        <v>563</v>
      </c>
      <c r="FI38" s="71">
        <v>497</v>
      </c>
      <c r="FJ38" s="71">
        <v>556</v>
      </c>
      <c r="FK38" s="71">
        <v>735</v>
      </c>
      <c r="FL38" s="71">
        <v>851</v>
      </c>
      <c r="FM38" s="71">
        <v>3202</v>
      </c>
      <c r="FN38" s="71"/>
      <c r="FO38" s="71" t="s">
        <v>2426</v>
      </c>
      <c r="FP38" s="71">
        <v>63</v>
      </c>
      <c r="FQ38" s="71">
        <v>22</v>
      </c>
      <c r="FR38" s="71">
        <v>12</v>
      </c>
      <c r="FS38" s="71">
        <v>0</v>
      </c>
      <c r="FT38" s="71">
        <v>0</v>
      </c>
      <c r="FU38" s="71">
        <v>97</v>
      </c>
    </row>
    <row r="39" spans="2:177">
      <c r="B39" s="65" t="s">
        <v>989</v>
      </c>
      <c r="C39" s="65" t="s">
        <v>2426</v>
      </c>
      <c r="D39" s="65">
        <v>650</v>
      </c>
      <c r="E39" s="65">
        <v>646</v>
      </c>
      <c r="F39" s="65">
        <v>695</v>
      </c>
      <c r="G39" s="65">
        <v>673</v>
      </c>
      <c r="H39" s="65">
        <v>498</v>
      </c>
      <c r="I39" s="65">
        <v>3162</v>
      </c>
      <c r="K39" s="65" t="s">
        <v>2426</v>
      </c>
      <c r="L39" s="65">
        <v>78</v>
      </c>
      <c r="M39" s="65">
        <v>8</v>
      </c>
      <c r="N39" s="65">
        <v>1</v>
      </c>
      <c r="O39" s="65">
        <v>0</v>
      </c>
      <c r="P39" s="65">
        <v>0</v>
      </c>
      <c r="Q39" s="65">
        <v>87</v>
      </c>
      <c r="T39" s="66" t="s">
        <v>2188</v>
      </c>
      <c r="U39" s="66" t="s">
        <v>2427</v>
      </c>
      <c r="V39" s="66" t="s">
        <v>356</v>
      </c>
      <c r="W39" s="66" t="s">
        <v>356</v>
      </c>
      <c r="X39" s="66" t="s">
        <v>356</v>
      </c>
      <c r="Y39" s="66" t="s">
        <v>356</v>
      </c>
      <c r="Z39" s="66" t="s">
        <v>356</v>
      </c>
      <c r="AA39" s="66" t="s">
        <v>356</v>
      </c>
      <c r="AB39" s="66"/>
      <c r="AC39" s="66" t="s">
        <v>2427</v>
      </c>
      <c r="AD39" s="66" t="s">
        <v>356</v>
      </c>
      <c r="AE39" s="66" t="s">
        <v>356</v>
      </c>
      <c r="AF39" s="66" t="s">
        <v>356</v>
      </c>
      <c r="AG39" s="66" t="s">
        <v>356</v>
      </c>
      <c r="AH39" s="66" t="s">
        <v>356</v>
      </c>
      <c r="AI39" s="66" t="s">
        <v>356</v>
      </c>
      <c r="AK39" s="67" t="s">
        <v>2217</v>
      </c>
      <c r="AL39" s="67" t="s">
        <v>2426</v>
      </c>
      <c r="AM39" s="67" t="s">
        <v>435</v>
      </c>
      <c r="AN39" s="67" t="s">
        <v>435</v>
      </c>
      <c r="AO39" s="67" t="s">
        <v>435</v>
      </c>
      <c r="AP39" s="67" t="s">
        <v>435</v>
      </c>
      <c r="AQ39" s="67" t="s">
        <v>435</v>
      </c>
      <c r="AR39" s="67" t="s">
        <v>435</v>
      </c>
      <c r="AS39" s="67"/>
      <c r="AT39" s="67" t="s">
        <v>2426</v>
      </c>
      <c r="AU39" s="67" t="s">
        <v>435</v>
      </c>
      <c r="AV39" s="67" t="s">
        <v>435</v>
      </c>
      <c r="AW39" s="67" t="s">
        <v>435</v>
      </c>
      <c r="AX39" s="67" t="s">
        <v>435</v>
      </c>
      <c r="AY39" s="67" t="s">
        <v>435</v>
      </c>
      <c r="AZ39" s="67" t="s">
        <v>435</v>
      </c>
      <c r="BB39" s="70" t="s">
        <v>1458</v>
      </c>
      <c r="BC39" s="70" t="s">
        <v>2426</v>
      </c>
      <c r="BD39" s="70">
        <v>732</v>
      </c>
      <c r="BE39" s="70">
        <v>646</v>
      </c>
      <c r="BF39" s="70">
        <v>954</v>
      </c>
      <c r="BG39" s="70">
        <v>948</v>
      </c>
      <c r="BH39" s="70">
        <v>785</v>
      </c>
      <c r="BI39" s="70">
        <v>4065</v>
      </c>
      <c r="BJ39" s="70"/>
      <c r="BK39" s="70" t="s">
        <v>2426</v>
      </c>
      <c r="BL39" s="70">
        <v>166</v>
      </c>
      <c r="BM39" s="70">
        <v>0</v>
      </c>
      <c r="BN39" s="70">
        <v>0</v>
      </c>
      <c r="BO39" s="70">
        <v>0</v>
      </c>
      <c r="BP39" s="70">
        <v>0</v>
      </c>
      <c r="BQ39" s="70">
        <v>166</v>
      </c>
      <c r="BS39" s="71" t="s">
        <v>1617</v>
      </c>
      <c r="BT39" s="71" t="s">
        <v>2427</v>
      </c>
      <c r="BU39" s="71">
        <v>96</v>
      </c>
      <c r="BV39" s="71">
        <v>77</v>
      </c>
      <c r="BW39" s="71">
        <v>162</v>
      </c>
      <c r="BX39" s="71">
        <v>215</v>
      </c>
      <c r="BY39" s="71">
        <v>202</v>
      </c>
      <c r="BZ39" s="71">
        <v>752</v>
      </c>
      <c r="CA39" s="71"/>
      <c r="CB39" s="71" t="s">
        <v>2427</v>
      </c>
      <c r="CC39" s="71">
        <v>40</v>
      </c>
      <c r="CD39" s="71">
        <v>0</v>
      </c>
      <c r="CE39" s="71">
        <v>0</v>
      </c>
      <c r="CF39" s="71">
        <v>0</v>
      </c>
      <c r="CG39" s="71">
        <v>0</v>
      </c>
      <c r="CH39" s="71">
        <v>40</v>
      </c>
      <c r="CL39" s="57" t="s">
        <v>623</v>
      </c>
      <c r="CM39" s="57" t="s">
        <v>2426</v>
      </c>
      <c r="CN39" s="57">
        <v>83</v>
      </c>
      <c r="CO39" s="57">
        <v>133</v>
      </c>
      <c r="CP39" s="57">
        <v>283</v>
      </c>
      <c r="CQ39" s="57">
        <v>434</v>
      </c>
      <c r="CR39" s="57">
        <v>455</v>
      </c>
      <c r="CS39" s="57">
        <v>1388</v>
      </c>
      <c r="CT39" s="57"/>
      <c r="CU39" s="57" t="s">
        <v>2426</v>
      </c>
      <c r="CV39" s="57">
        <v>11</v>
      </c>
      <c r="CW39" s="57">
        <v>0</v>
      </c>
      <c r="CX39" s="57">
        <v>0</v>
      </c>
      <c r="CY39" s="57">
        <v>0</v>
      </c>
      <c r="CZ39" s="57">
        <v>0</v>
      </c>
      <c r="DA39" s="57">
        <v>11</v>
      </c>
      <c r="DD39" s="78" t="s">
        <v>1839</v>
      </c>
      <c r="DE39" s="78" t="s">
        <v>2437</v>
      </c>
      <c r="DF39" s="78">
        <v>270</v>
      </c>
      <c r="DG39" s="78">
        <v>371</v>
      </c>
      <c r="DH39" s="78">
        <v>432</v>
      </c>
      <c r="DI39" s="78">
        <v>421</v>
      </c>
      <c r="DJ39" s="78">
        <v>328</v>
      </c>
      <c r="DK39" s="78">
        <v>1822</v>
      </c>
      <c r="DL39" s="78"/>
      <c r="DM39" s="78" t="s">
        <v>2437</v>
      </c>
      <c r="DN39" s="78">
        <v>26</v>
      </c>
      <c r="DO39" s="78">
        <v>0</v>
      </c>
      <c r="DP39" s="78">
        <v>2</v>
      </c>
      <c r="DQ39" s="78">
        <v>0</v>
      </c>
      <c r="DR39" s="78">
        <v>0</v>
      </c>
      <c r="DS39" s="78">
        <v>28</v>
      </c>
      <c r="DV39" s="80" t="s">
        <v>1894</v>
      </c>
      <c r="DW39" s="80" t="s">
        <v>2427</v>
      </c>
      <c r="DX39" s="80">
        <v>181</v>
      </c>
      <c r="DY39" s="80">
        <v>309</v>
      </c>
      <c r="DZ39" s="80">
        <v>423</v>
      </c>
      <c r="EA39" s="80">
        <v>514</v>
      </c>
      <c r="EB39" s="80">
        <v>489</v>
      </c>
      <c r="EC39" s="80">
        <v>1916</v>
      </c>
      <c r="ED39" s="80"/>
      <c r="EE39" s="80" t="s">
        <v>2427</v>
      </c>
      <c r="EF39" s="80">
        <v>17</v>
      </c>
      <c r="EG39" s="80">
        <v>1</v>
      </c>
      <c r="EH39" s="80">
        <v>0</v>
      </c>
      <c r="EI39" s="80">
        <v>0</v>
      </c>
      <c r="EJ39" s="80">
        <v>0</v>
      </c>
      <c r="EK39" s="80">
        <v>18</v>
      </c>
      <c r="EN39" s="57" t="s">
        <v>2378</v>
      </c>
      <c r="EO39" s="57" t="s">
        <v>2427</v>
      </c>
      <c r="EP39" s="57">
        <v>196</v>
      </c>
      <c r="EQ39" s="57">
        <v>289</v>
      </c>
      <c r="ER39" s="57">
        <v>359</v>
      </c>
      <c r="ES39" s="57">
        <v>463</v>
      </c>
      <c r="ET39" s="57">
        <v>562</v>
      </c>
      <c r="EU39" s="57">
        <v>1869</v>
      </c>
      <c r="EV39" s="57"/>
      <c r="EW39" s="57" t="s">
        <v>2427</v>
      </c>
      <c r="EX39" s="57">
        <v>49</v>
      </c>
      <c r="EY39" s="57">
        <v>25</v>
      </c>
      <c r="EZ39" s="57">
        <v>12</v>
      </c>
      <c r="FA39" s="57">
        <v>9</v>
      </c>
      <c r="FB39" s="57">
        <v>18</v>
      </c>
      <c r="FC39" s="57">
        <v>113</v>
      </c>
      <c r="FF39" s="71" t="s">
        <v>2121</v>
      </c>
      <c r="FG39" s="71" t="s">
        <v>2426</v>
      </c>
      <c r="FH39" s="71">
        <v>275</v>
      </c>
      <c r="FI39" s="71">
        <v>376</v>
      </c>
      <c r="FJ39" s="71">
        <v>482</v>
      </c>
      <c r="FK39" s="71">
        <v>537</v>
      </c>
      <c r="FL39" s="71">
        <v>749</v>
      </c>
      <c r="FM39" s="71">
        <v>2419</v>
      </c>
      <c r="FN39" s="71"/>
      <c r="FO39" s="71" t="s">
        <v>2426</v>
      </c>
      <c r="FP39" s="71">
        <v>54</v>
      </c>
      <c r="FQ39" s="71">
        <v>23</v>
      </c>
      <c r="FR39" s="71">
        <v>7</v>
      </c>
      <c r="FS39" s="71">
        <v>4</v>
      </c>
      <c r="FT39" s="71">
        <v>10</v>
      </c>
      <c r="FU39" s="71">
        <v>98</v>
      </c>
    </row>
    <row r="40" spans="2:177">
      <c r="B40" s="65" t="s">
        <v>994</v>
      </c>
      <c r="C40" s="65" t="s">
        <v>2426</v>
      </c>
      <c r="D40" s="65">
        <v>854</v>
      </c>
      <c r="E40" s="65">
        <v>771</v>
      </c>
      <c r="F40" s="65">
        <v>830</v>
      </c>
      <c r="G40" s="65">
        <v>882</v>
      </c>
      <c r="H40" s="65">
        <v>531</v>
      </c>
      <c r="I40" s="65">
        <v>3868</v>
      </c>
      <c r="K40" s="65" t="s">
        <v>2426</v>
      </c>
      <c r="L40" s="65">
        <v>149</v>
      </c>
      <c r="M40" s="65">
        <v>13</v>
      </c>
      <c r="N40" s="65">
        <v>4</v>
      </c>
      <c r="O40" s="65">
        <v>1</v>
      </c>
      <c r="P40" s="65">
        <v>0</v>
      </c>
      <c r="Q40" s="65">
        <v>167</v>
      </c>
      <c r="T40" s="66" t="s">
        <v>2189</v>
      </c>
      <c r="U40" s="66" t="s">
        <v>2427</v>
      </c>
      <c r="V40" s="66">
        <v>281</v>
      </c>
      <c r="W40" s="66">
        <v>118</v>
      </c>
      <c r="X40" s="66">
        <v>212</v>
      </c>
      <c r="Y40" s="66">
        <v>231</v>
      </c>
      <c r="Z40" s="66">
        <v>241</v>
      </c>
      <c r="AA40" s="66">
        <v>1083</v>
      </c>
      <c r="AB40" s="66"/>
      <c r="AC40" s="66" t="s">
        <v>2427</v>
      </c>
      <c r="AD40" s="66">
        <v>14</v>
      </c>
      <c r="AE40" s="66">
        <v>0</v>
      </c>
      <c r="AF40" s="66">
        <v>0</v>
      </c>
      <c r="AG40" s="66">
        <v>0</v>
      </c>
      <c r="AH40" s="66">
        <v>0</v>
      </c>
      <c r="AI40" s="66">
        <v>14</v>
      </c>
      <c r="AK40" s="67" t="s">
        <v>1289</v>
      </c>
      <c r="AL40" s="67" t="s">
        <v>2426</v>
      </c>
      <c r="AM40" s="67">
        <v>723</v>
      </c>
      <c r="AN40" s="67">
        <v>497</v>
      </c>
      <c r="AO40" s="67">
        <v>550</v>
      </c>
      <c r="AP40" s="67">
        <v>539</v>
      </c>
      <c r="AQ40" s="67">
        <v>333</v>
      </c>
      <c r="AR40" s="67">
        <v>2642</v>
      </c>
      <c r="AS40" s="67"/>
      <c r="AT40" s="67" t="s">
        <v>2426</v>
      </c>
      <c r="AU40" s="67">
        <v>66</v>
      </c>
      <c r="AV40" s="67">
        <v>3</v>
      </c>
      <c r="AW40" s="67">
        <v>1</v>
      </c>
      <c r="AX40" s="67">
        <v>0</v>
      </c>
      <c r="AY40" s="67">
        <v>0</v>
      </c>
      <c r="AZ40" s="67">
        <v>70</v>
      </c>
      <c r="BB40" s="70" t="s">
        <v>1461</v>
      </c>
      <c r="BC40" s="70" t="s">
        <v>2426</v>
      </c>
      <c r="BD40" s="70">
        <v>91</v>
      </c>
      <c r="BE40" s="70">
        <v>89</v>
      </c>
      <c r="BF40" s="70">
        <v>185</v>
      </c>
      <c r="BG40" s="70">
        <v>293</v>
      </c>
      <c r="BH40" s="70">
        <v>310</v>
      </c>
      <c r="BI40" s="70">
        <v>968</v>
      </c>
      <c r="BJ40" s="70"/>
      <c r="BK40" s="70" t="s">
        <v>2426</v>
      </c>
      <c r="BL40" s="70">
        <v>29</v>
      </c>
      <c r="BM40" s="70">
        <v>0</v>
      </c>
      <c r="BN40" s="70">
        <v>0</v>
      </c>
      <c r="BO40" s="70">
        <v>0</v>
      </c>
      <c r="BP40" s="70">
        <v>0</v>
      </c>
      <c r="BQ40" s="70">
        <v>29</v>
      </c>
      <c r="BS40" s="71" t="s">
        <v>1619</v>
      </c>
      <c r="BT40" s="71" t="s">
        <v>2427</v>
      </c>
      <c r="BU40" s="71">
        <v>90</v>
      </c>
      <c r="BV40" s="71">
        <v>165</v>
      </c>
      <c r="BW40" s="71">
        <v>374</v>
      </c>
      <c r="BX40" s="71">
        <v>537</v>
      </c>
      <c r="BY40" s="71">
        <v>515</v>
      </c>
      <c r="BZ40" s="71">
        <v>1681</v>
      </c>
      <c r="CA40" s="71"/>
      <c r="CB40" s="71" t="s">
        <v>2427</v>
      </c>
      <c r="CC40" s="71">
        <v>16</v>
      </c>
      <c r="CD40" s="71">
        <v>0</v>
      </c>
      <c r="CE40" s="71">
        <v>0</v>
      </c>
      <c r="CF40" s="71">
        <v>0</v>
      </c>
      <c r="CG40" s="71">
        <v>0</v>
      </c>
      <c r="CH40" s="71">
        <v>16</v>
      </c>
      <c r="CL40" s="57" t="s">
        <v>626</v>
      </c>
      <c r="CM40" s="57" t="s">
        <v>2426</v>
      </c>
      <c r="CN40" s="57" t="s">
        <v>356</v>
      </c>
      <c r="CO40" s="57" t="s">
        <v>356</v>
      </c>
      <c r="CP40" s="57" t="s">
        <v>356</v>
      </c>
      <c r="CQ40" s="57" t="s">
        <v>356</v>
      </c>
      <c r="CR40" s="57" t="s">
        <v>356</v>
      </c>
      <c r="CS40" s="57" t="s">
        <v>356</v>
      </c>
      <c r="CT40" s="57"/>
      <c r="CU40" s="57" t="s">
        <v>2426</v>
      </c>
      <c r="CV40" s="57" t="s">
        <v>356</v>
      </c>
      <c r="CW40" s="57" t="s">
        <v>356</v>
      </c>
      <c r="CX40" s="57" t="s">
        <v>356</v>
      </c>
      <c r="CY40" s="57" t="s">
        <v>356</v>
      </c>
      <c r="CZ40" s="57" t="s">
        <v>356</v>
      </c>
      <c r="DA40" s="57" t="s">
        <v>356</v>
      </c>
      <c r="DV40" s="80" t="s">
        <v>1900</v>
      </c>
      <c r="DW40" s="80" t="s">
        <v>2427</v>
      </c>
      <c r="DX40" s="80">
        <v>169</v>
      </c>
      <c r="DY40" s="80">
        <v>286</v>
      </c>
      <c r="DZ40" s="80">
        <v>387</v>
      </c>
      <c r="EA40" s="80">
        <v>495</v>
      </c>
      <c r="EB40" s="80">
        <v>342</v>
      </c>
      <c r="EC40" s="80">
        <v>1679</v>
      </c>
      <c r="ED40" s="80"/>
      <c r="EE40" s="80" t="s">
        <v>2427</v>
      </c>
      <c r="EF40" s="80">
        <v>10</v>
      </c>
      <c r="EG40" s="80">
        <v>6</v>
      </c>
      <c r="EH40" s="80">
        <v>0</v>
      </c>
      <c r="EI40" s="80">
        <v>0</v>
      </c>
      <c r="EJ40" s="80">
        <v>0</v>
      </c>
      <c r="EK40" s="80">
        <v>16</v>
      </c>
      <c r="EN40" s="57" t="s">
        <v>2379</v>
      </c>
      <c r="EO40" s="57" t="s">
        <v>2427</v>
      </c>
      <c r="EP40" s="57">
        <v>275</v>
      </c>
      <c r="EQ40" s="57">
        <v>419</v>
      </c>
      <c r="ER40" s="57">
        <v>578</v>
      </c>
      <c r="ES40" s="57">
        <v>715</v>
      </c>
      <c r="ET40" s="57">
        <v>813</v>
      </c>
      <c r="EU40" s="57">
        <v>2800</v>
      </c>
      <c r="EV40" s="57"/>
      <c r="EW40" s="57" t="s">
        <v>2427</v>
      </c>
      <c r="EX40" s="57">
        <v>65</v>
      </c>
      <c r="EY40" s="57">
        <v>32</v>
      </c>
      <c r="EZ40" s="57">
        <v>18</v>
      </c>
      <c r="FA40" s="57">
        <v>18</v>
      </c>
      <c r="FB40" s="57">
        <v>19</v>
      </c>
      <c r="FC40" s="57">
        <v>152</v>
      </c>
      <c r="FF40" s="71" t="s">
        <v>2123</v>
      </c>
      <c r="FG40" s="71" t="s">
        <v>2426</v>
      </c>
      <c r="FH40" s="71">
        <v>241</v>
      </c>
      <c r="FI40" s="71">
        <v>279</v>
      </c>
      <c r="FJ40" s="71">
        <v>381</v>
      </c>
      <c r="FK40" s="71">
        <v>439</v>
      </c>
      <c r="FL40" s="71">
        <v>572</v>
      </c>
      <c r="FM40" s="71">
        <v>1912</v>
      </c>
      <c r="FN40" s="71"/>
      <c r="FO40" s="71" t="s">
        <v>2426</v>
      </c>
      <c r="FP40" s="71">
        <v>34</v>
      </c>
      <c r="FQ40" s="71">
        <v>17</v>
      </c>
      <c r="FR40" s="71">
        <v>23</v>
      </c>
      <c r="FS40" s="71">
        <v>8</v>
      </c>
      <c r="FT40" s="71">
        <v>0</v>
      </c>
      <c r="FU40" s="71">
        <v>82</v>
      </c>
    </row>
    <row r="41" spans="2:177">
      <c r="B41" s="65" t="s">
        <v>1002</v>
      </c>
      <c r="C41" s="65" t="s">
        <v>2426</v>
      </c>
      <c r="D41" s="65">
        <v>214</v>
      </c>
      <c r="E41" s="65">
        <v>316</v>
      </c>
      <c r="F41" s="65">
        <v>434</v>
      </c>
      <c r="G41" s="65">
        <v>490</v>
      </c>
      <c r="H41" s="65">
        <v>379</v>
      </c>
      <c r="I41" s="65">
        <v>1833</v>
      </c>
      <c r="K41" s="65" t="s">
        <v>2426</v>
      </c>
      <c r="L41" s="65">
        <v>25</v>
      </c>
      <c r="M41" s="65">
        <v>6</v>
      </c>
      <c r="N41" s="65">
        <v>2</v>
      </c>
      <c r="O41" s="65">
        <v>1</v>
      </c>
      <c r="P41" s="65">
        <v>1</v>
      </c>
      <c r="Q41" s="65">
        <v>35</v>
      </c>
      <c r="T41" s="66" t="s">
        <v>2190</v>
      </c>
      <c r="U41" s="66" t="s">
        <v>2427</v>
      </c>
      <c r="V41" s="66">
        <v>415</v>
      </c>
      <c r="W41" s="66">
        <v>372</v>
      </c>
      <c r="X41" s="66">
        <v>396</v>
      </c>
      <c r="Y41" s="66">
        <v>468</v>
      </c>
      <c r="Z41" s="66">
        <v>324</v>
      </c>
      <c r="AA41" s="66">
        <v>1975</v>
      </c>
      <c r="AB41" s="66"/>
      <c r="AC41" s="66" t="s">
        <v>2427</v>
      </c>
      <c r="AD41" s="66">
        <v>33</v>
      </c>
      <c r="AE41" s="66">
        <v>4</v>
      </c>
      <c r="AF41" s="66">
        <v>0</v>
      </c>
      <c r="AG41" s="66">
        <v>0</v>
      </c>
      <c r="AH41" s="66">
        <v>0</v>
      </c>
      <c r="AI41" s="66">
        <v>37</v>
      </c>
      <c r="AK41" s="67" t="s">
        <v>2237</v>
      </c>
      <c r="AL41" s="67" t="s">
        <v>2426</v>
      </c>
      <c r="AM41" s="67" t="s">
        <v>435</v>
      </c>
      <c r="AN41" s="67" t="s">
        <v>435</v>
      </c>
      <c r="AO41" s="67" t="s">
        <v>435</v>
      </c>
      <c r="AP41" s="67" t="s">
        <v>435</v>
      </c>
      <c r="AQ41" s="67" t="s">
        <v>435</v>
      </c>
      <c r="AR41" s="67" t="s">
        <v>435</v>
      </c>
      <c r="AS41" s="67"/>
      <c r="AT41" s="67" t="s">
        <v>2426</v>
      </c>
      <c r="AU41" s="67" t="s">
        <v>435</v>
      </c>
      <c r="AV41" s="67" t="s">
        <v>435</v>
      </c>
      <c r="AW41" s="67" t="s">
        <v>435</v>
      </c>
      <c r="AX41" s="67" t="s">
        <v>435</v>
      </c>
      <c r="AY41" s="67" t="s">
        <v>435</v>
      </c>
      <c r="AZ41" s="67" t="s">
        <v>435</v>
      </c>
      <c r="BB41" s="70" t="s">
        <v>1464</v>
      </c>
      <c r="BC41" s="70" t="s">
        <v>2426</v>
      </c>
      <c r="BD41" s="70">
        <v>77</v>
      </c>
      <c r="BE41" s="70">
        <v>127</v>
      </c>
      <c r="BF41" s="70">
        <v>274</v>
      </c>
      <c r="BG41" s="70">
        <v>439</v>
      </c>
      <c r="BH41" s="70">
        <v>412</v>
      </c>
      <c r="BI41" s="70">
        <v>1329</v>
      </c>
      <c r="BJ41" s="70"/>
      <c r="BK41" s="70" t="s">
        <v>2426</v>
      </c>
      <c r="BL41" s="70">
        <v>19</v>
      </c>
      <c r="BM41" s="70">
        <v>5</v>
      </c>
      <c r="BN41" s="70">
        <v>0</v>
      </c>
      <c r="BO41" s="70">
        <v>0</v>
      </c>
      <c r="BP41" s="70">
        <v>0</v>
      </c>
      <c r="BQ41" s="70">
        <v>24</v>
      </c>
      <c r="BS41" s="71" t="s">
        <v>1621</v>
      </c>
      <c r="BT41" s="71" t="s">
        <v>2427</v>
      </c>
      <c r="BU41" s="71">
        <v>121</v>
      </c>
      <c r="BV41" s="71">
        <v>179</v>
      </c>
      <c r="BW41" s="71">
        <v>376</v>
      </c>
      <c r="BX41" s="71">
        <v>587</v>
      </c>
      <c r="BY41" s="71">
        <v>570</v>
      </c>
      <c r="BZ41" s="71">
        <v>1833</v>
      </c>
      <c r="CA41" s="71"/>
      <c r="CB41" s="71" t="s">
        <v>2427</v>
      </c>
      <c r="CC41" s="71">
        <v>30</v>
      </c>
      <c r="CD41" s="71">
        <v>0</v>
      </c>
      <c r="CE41" s="71">
        <v>0</v>
      </c>
      <c r="CF41" s="71">
        <v>0</v>
      </c>
      <c r="CG41" s="71">
        <v>0</v>
      </c>
      <c r="CH41" s="71">
        <v>30</v>
      </c>
      <c r="CL41" s="57" t="s">
        <v>628</v>
      </c>
      <c r="CM41" s="57" t="s">
        <v>2426</v>
      </c>
      <c r="CN41" s="57" t="s">
        <v>356</v>
      </c>
      <c r="CO41" s="57" t="s">
        <v>356</v>
      </c>
      <c r="CP41" s="57" t="s">
        <v>356</v>
      </c>
      <c r="CQ41" s="57" t="s">
        <v>356</v>
      </c>
      <c r="CR41" s="57" t="s">
        <v>356</v>
      </c>
      <c r="CS41" s="57" t="s">
        <v>356</v>
      </c>
      <c r="CT41" s="57"/>
      <c r="CU41" s="57" t="s">
        <v>2426</v>
      </c>
      <c r="CV41" s="57" t="s">
        <v>356</v>
      </c>
      <c r="CW41" s="57" t="s">
        <v>356</v>
      </c>
      <c r="CX41" s="57" t="s">
        <v>356</v>
      </c>
      <c r="CY41" s="57" t="s">
        <v>356</v>
      </c>
      <c r="CZ41" s="57" t="s">
        <v>356</v>
      </c>
      <c r="DA41" s="57" t="s">
        <v>356</v>
      </c>
      <c r="DD41" s="78" t="s">
        <v>412</v>
      </c>
      <c r="DE41" s="78" t="s">
        <v>2441</v>
      </c>
      <c r="DF41" s="78">
        <v>381</v>
      </c>
      <c r="DG41" s="78">
        <v>400</v>
      </c>
      <c r="DH41" s="78">
        <v>478</v>
      </c>
      <c r="DI41" s="78">
        <v>455</v>
      </c>
      <c r="DJ41" s="78">
        <v>360</v>
      </c>
      <c r="DK41" s="78">
        <v>2074</v>
      </c>
      <c r="DL41" s="78"/>
      <c r="DM41" s="78" t="s">
        <v>2441</v>
      </c>
      <c r="DN41" s="78">
        <v>56</v>
      </c>
      <c r="DO41" s="78">
        <v>2</v>
      </c>
      <c r="DP41" s="78">
        <v>0</v>
      </c>
      <c r="DQ41" s="78">
        <v>0</v>
      </c>
      <c r="DR41" s="78">
        <v>0</v>
      </c>
      <c r="DS41" s="78">
        <v>58</v>
      </c>
      <c r="DU41" s="21"/>
      <c r="DV41" s="80" t="s">
        <v>1904</v>
      </c>
      <c r="DW41" s="80" t="s">
        <v>2427</v>
      </c>
      <c r="DX41" s="80">
        <v>140</v>
      </c>
      <c r="DY41" s="80">
        <v>209</v>
      </c>
      <c r="DZ41" s="80">
        <v>260</v>
      </c>
      <c r="EA41" s="80">
        <v>357</v>
      </c>
      <c r="EB41" s="80">
        <v>255</v>
      </c>
      <c r="EC41" s="80">
        <v>1221</v>
      </c>
      <c r="ED41" s="80"/>
      <c r="EE41" s="80" t="s">
        <v>2427</v>
      </c>
      <c r="EF41" s="80">
        <v>10</v>
      </c>
      <c r="EG41" s="80">
        <v>5</v>
      </c>
      <c r="EH41" s="80">
        <v>0</v>
      </c>
      <c r="EI41" s="80">
        <v>0</v>
      </c>
      <c r="EJ41" s="80">
        <v>0</v>
      </c>
      <c r="EK41" s="80">
        <v>15</v>
      </c>
      <c r="EN41" s="57" t="s">
        <v>2380</v>
      </c>
      <c r="EO41" s="57" t="s">
        <v>2427</v>
      </c>
      <c r="EP41" s="57">
        <v>74</v>
      </c>
      <c r="EQ41" s="57">
        <v>118</v>
      </c>
      <c r="ER41" s="57">
        <v>175</v>
      </c>
      <c r="ES41" s="57">
        <v>256</v>
      </c>
      <c r="ET41" s="57">
        <v>316</v>
      </c>
      <c r="EU41" s="57">
        <v>939</v>
      </c>
      <c r="EV41" s="57"/>
      <c r="EW41" s="57" t="s">
        <v>2427</v>
      </c>
      <c r="EX41" s="57">
        <v>18</v>
      </c>
      <c r="EY41" s="57">
        <v>8</v>
      </c>
      <c r="EZ41" s="57">
        <v>6</v>
      </c>
      <c r="FA41" s="57">
        <v>7</v>
      </c>
      <c r="FB41" s="57">
        <v>3</v>
      </c>
      <c r="FC41" s="57">
        <v>42</v>
      </c>
      <c r="FF41" s="71" t="s">
        <v>2125</v>
      </c>
      <c r="FG41" s="71" t="s">
        <v>2426</v>
      </c>
      <c r="FH41" s="71">
        <v>162</v>
      </c>
      <c r="FI41" s="71">
        <v>227</v>
      </c>
      <c r="FJ41" s="71">
        <v>292</v>
      </c>
      <c r="FK41" s="71">
        <v>333</v>
      </c>
      <c r="FL41" s="71">
        <v>452</v>
      </c>
      <c r="FM41" s="71">
        <v>1466</v>
      </c>
      <c r="FN41" s="71"/>
      <c r="FO41" s="71" t="s">
        <v>2426</v>
      </c>
      <c r="FP41" s="71">
        <v>43</v>
      </c>
      <c r="FQ41" s="71">
        <v>9</v>
      </c>
      <c r="FR41" s="71">
        <v>4</v>
      </c>
      <c r="FS41" s="71">
        <v>4</v>
      </c>
      <c r="FT41" s="71">
        <v>7</v>
      </c>
      <c r="FU41" s="71">
        <v>67</v>
      </c>
    </row>
    <row r="42" spans="2:177">
      <c r="B42" s="65" t="s">
        <v>1007</v>
      </c>
      <c r="C42" s="65" t="s">
        <v>2426</v>
      </c>
      <c r="D42" s="65">
        <v>451</v>
      </c>
      <c r="E42" s="65">
        <v>525</v>
      </c>
      <c r="F42" s="65">
        <v>718</v>
      </c>
      <c r="G42" s="65">
        <v>843</v>
      </c>
      <c r="H42" s="65">
        <v>611</v>
      </c>
      <c r="I42" s="65">
        <v>3148</v>
      </c>
      <c r="K42" s="65" t="s">
        <v>2426</v>
      </c>
      <c r="L42" s="65">
        <v>99</v>
      </c>
      <c r="M42" s="65">
        <v>16</v>
      </c>
      <c r="N42" s="65">
        <v>3</v>
      </c>
      <c r="O42" s="65">
        <v>3</v>
      </c>
      <c r="P42" s="65">
        <v>1</v>
      </c>
      <c r="Q42" s="65">
        <v>122</v>
      </c>
      <c r="T42" s="66" t="s">
        <v>2191</v>
      </c>
      <c r="U42" s="66" t="s">
        <v>2427</v>
      </c>
      <c r="V42" s="66">
        <v>203</v>
      </c>
      <c r="W42" s="66">
        <v>140</v>
      </c>
      <c r="X42" s="66">
        <v>185</v>
      </c>
      <c r="Y42" s="66">
        <v>186</v>
      </c>
      <c r="Z42" s="66">
        <v>194</v>
      </c>
      <c r="AA42" s="66">
        <v>908</v>
      </c>
      <c r="AB42" s="66"/>
      <c r="AC42" s="66" t="s">
        <v>2427</v>
      </c>
      <c r="AD42" s="66">
        <v>7</v>
      </c>
      <c r="AE42" s="66">
        <v>0</v>
      </c>
      <c r="AF42" s="66">
        <v>0</v>
      </c>
      <c r="AG42" s="66">
        <v>0</v>
      </c>
      <c r="AH42" s="66">
        <v>0</v>
      </c>
      <c r="AI42" s="66">
        <v>7</v>
      </c>
      <c r="AK42" s="67" t="s">
        <v>2243</v>
      </c>
      <c r="AL42" s="67" t="s">
        <v>2426</v>
      </c>
      <c r="AM42" s="67">
        <v>823</v>
      </c>
      <c r="AN42" s="67">
        <v>1079</v>
      </c>
      <c r="AO42" s="67">
        <v>1656</v>
      </c>
      <c r="AP42" s="67">
        <v>1892</v>
      </c>
      <c r="AQ42" s="67">
        <v>1175</v>
      </c>
      <c r="AR42" s="67">
        <v>6625</v>
      </c>
      <c r="AS42" s="67"/>
      <c r="AT42" s="67" t="s">
        <v>2426</v>
      </c>
      <c r="AU42" s="67">
        <v>36</v>
      </c>
      <c r="AV42" s="67">
        <v>3</v>
      </c>
      <c r="AW42" s="67">
        <v>0</v>
      </c>
      <c r="AX42" s="67">
        <v>0</v>
      </c>
      <c r="AY42" s="67">
        <v>0</v>
      </c>
      <c r="AZ42" s="67">
        <v>39</v>
      </c>
      <c r="BB42" s="70" t="s">
        <v>1467</v>
      </c>
      <c r="BC42" s="70" t="s">
        <v>2426</v>
      </c>
      <c r="BD42" s="70">
        <v>166</v>
      </c>
      <c r="BE42" s="70">
        <v>142</v>
      </c>
      <c r="BF42" s="70">
        <v>280</v>
      </c>
      <c r="BG42" s="70">
        <v>389</v>
      </c>
      <c r="BH42" s="70">
        <v>378</v>
      </c>
      <c r="BI42" s="70">
        <v>1355</v>
      </c>
      <c r="BJ42" s="70"/>
      <c r="BK42" s="70" t="s">
        <v>2426</v>
      </c>
      <c r="BL42" s="70">
        <v>22</v>
      </c>
      <c r="BM42" s="70">
        <v>0</v>
      </c>
      <c r="BN42" s="70">
        <v>0</v>
      </c>
      <c r="BO42" s="70">
        <v>0</v>
      </c>
      <c r="BP42" s="70">
        <v>0</v>
      </c>
      <c r="BQ42" s="70">
        <v>22</v>
      </c>
      <c r="BS42" s="71" t="s">
        <v>1623</v>
      </c>
      <c r="BT42" s="71" t="s">
        <v>2427</v>
      </c>
      <c r="BU42" s="71">
        <v>31</v>
      </c>
      <c r="BV42" s="71">
        <v>52</v>
      </c>
      <c r="BW42" s="71">
        <v>113</v>
      </c>
      <c r="BX42" s="71">
        <v>220</v>
      </c>
      <c r="BY42" s="71">
        <v>209</v>
      </c>
      <c r="BZ42" s="71">
        <v>625</v>
      </c>
      <c r="CA42" s="71"/>
      <c r="CB42" s="71" t="s">
        <v>2427</v>
      </c>
      <c r="CC42" s="71">
        <v>7</v>
      </c>
      <c r="CD42" s="71">
        <v>0</v>
      </c>
      <c r="CE42" s="71">
        <v>0</v>
      </c>
      <c r="CF42" s="71">
        <v>0</v>
      </c>
      <c r="CG42" s="71">
        <v>0</v>
      </c>
      <c r="CH42" s="71">
        <v>7</v>
      </c>
      <c r="CL42" s="57" t="s">
        <v>632</v>
      </c>
      <c r="CM42" s="57" t="s">
        <v>2426</v>
      </c>
      <c r="CN42" s="57" t="s">
        <v>356</v>
      </c>
      <c r="CO42" s="57" t="s">
        <v>356</v>
      </c>
      <c r="CP42" s="57" t="s">
        <v>356</v>
      </c>
      <c r="CQ42" s="57" t="s">
        <v>356</v>
      </c>
      <c r="CR42" s="57" t="s">
        <v>356</v>
      </c>
      <c r="CS42" s="57" t="s">
        <v>356</v>
      </c>
      <c r="CT42" s="57"/>
      <c r="CU42" s="57" t="s">
        <v>2426</v>
      </c>
      <c r="CV42" s="57" t="s">
        <v>356</v>
      </c>
      <c r="CW42" s="57" t="s">
        <v>356</v>
      </c>
      <c r="CX42" s="57" t="s">
        <v>356</v>
      </c>
      <c r="CY42" s="57" t="s">
        <v>356</v>
      </c>
      <c r="CZ42" s="57" t="s">
        <v>356</v>
      </c>
      <c r="DA42" s="57" t="s">
        <v>356</v>
      </c>
      <c r="DD42" s="78" t="s">
        <v>1772</v>
      </c>
      <c r="DE42" s="78" t="s">
        <v>2441</v>
      </c>
      <c r="DF42" s="78">
        <v>107</v>
      </c>
      <c r="DG42" s="78">
        <v>139</v>
      </c>
      <c r="DH42" s="78">
        <v>181</v>
      </c>
      <c r="DI42" s="78">
        <v>231</v>
      </c>
      <c r="DJ42" s="78">
        <v>199</v>
      </c>
      <c r="DK42" s="78">
        <v>857</v>
      </c>
      <c r="DL42" s="78"/>
      <c r="DM42" s="78" t="s">
        <v>2441</v>
      </c>
      <c r="DN42" s="78">
        <v>10</v>
      </c>
      <c r="DO42" s="78">
        <v>2</v>
      </c>
      <c r="DP42" s="78">
        <v>0</v>
      </c>
      <c r="DQ42" s="78">
        <v>0</v>
      </c>
      <c r="DR42" s="78">
        <v>0</v>
      </c>
      <c r="DS42" s="78">
        <v>12</v>
      </c>
      <c r="DU42" s="21"/>
      <c r="DV42" s="80" t="s">
        <v>2367</v>
      </c>
      <c r="DW42" s="80" t="s">
        <v>2427</v>
      </c>
      <c r="DX42" s="80">
        <v>308</v>
      </c>
      <c r="DY42" s="80">
        <v>331</v>
      </c>
      <c r="DZ42" s="80">
        <v>427</v>
      </c>
      <c r="EA42" s="80">
        <v>561</v>
      </c>
      <c r="EB42" s="80">
        <v>457</v>
      </c>
      <c r="EC42" s="80">
        <v>2084</v>
      </c>
      <c r="ED42" s="80"/>
      <c r="EE42" s="80" t="s">
        <v>2427</v>
      </c>
      <c r="EF42" s="80">
        <v>21</v>
      </c>
      <c r="EG42" s="80">
        <v>0</v>
      </c>
      <c r="EH42" s="80">
        <v>0</v>
      </c>
      <c r="EI42" s="80">
        <v>0</v>
      </c>
      <c r="EJ42" s="80">
        <v>0</v>
      </c>
      <c r="EK42" s="80">
        <v>21</v>
      </c>
      <c r="EN42" s="57" t="s">
        <v>2381</v>
      </c>
      <c r="EO42" s="57" t="s">
        <v>2427</v>
      </c>
      <c r="EP42" s="57">
        <v>70</v>
      </c>
      <c r="EQ42" s="57">
        <v>128</v>
      </c>
      <c r="ER42" s="57">
        <v>215</v>
      </c>
      <c r="ES42" s="57">
        <v>270</v>
      </c>
      <c r="ET42" s="57">
        <v>349</v>
      </c>
      <c r="EU42" s="57">
        <v>1032</v>
      </c>
      <c r="EV42" s="57"/>
      <c r="EW42" s="57" t="s">
        <v>2427</v>
      </c>
      <c r="EX42" s="57">
        <v>9</v>
      </c>
      <c r="EY42" s="57">
        <v>6</v>
      </c>
      <c r="EZ42" s="57">
        <v>3</v>
      </c>
      <c r="FA42" s="57">
        <v>2</v>
      </c>
      <c r="FB42" s="57">
        <v>0</v>
      </c>
      <c r="FC42" s="57">
        <v>20</v>
      </c>
      <c r="FF42" s="71" t="s">
        <v>2127</v>
      </c>
      <c r="FG42" s="71" t="s">
        <v>2426</v>
      </c>
      <c r="FH42" s="71">
        <v>563</v>
      </c>
      <c r="FI42" s="71">
        <v>498</v>
      </c>
      <c r="FJ42" s="71">
        <v>446</v>
      </c>
      <c r="FK42" s="71">
        <v>467</v>
      </c>
      <c r="FL42" s="71">
        <v>574</v>
      </c>
      <c r="FM42" s="71">
        <v>2548</v>
      </c>
      <c r="FN42" s="71"/>
      <c r="FO42" s="71" t="s">
        <v>2426</v>
      </c>
      <c r="FP42" s="71">
        <v>49</v>
      </c>
      <c r="FQ42" s="71">
        <v>0</v>
      </c>
      <c r="FR42" s="71">
        <v>0</v>
      </c>
      <c r="FS42" s="71">
        <v>0</v>
      </c>
      <c r="FT42" s="71">
        <v>0</v>
      </c>
      <c r="FU42" s="71">
        <v>49</v>
      </c>
    </row>
    <row r="43" spans="2:177">
      <c r="B43" s="65" t="s">
        <v>1013</v>
      </c>
      <c r="C43" s="65" t="s">
        <v>2426</v>
      </c>
      <c r="D43" s="65">
        <v>156</v>
      </c>
      <c r="E43" s="65">
        <v>300</v>
      </c>
      <c r="F43" s="65">
        <v>405</v>
      </c>
      <c r="G43" s="65">
        <v>539</v>
      </c>
      <c r="H43" s="65">
        <v>408</v>
      </c>
      <c r="I43" s="65">
        <v>1808</v>
      </c>
      <c r="K43" s="65" t="s">
        <v>2426</v>
      </c>
      <c r="L43" s="65">
        <v>23</v>
      </c>
      <c r="M43" s="65">
        <v>8</v>
      </c>
      <c r="N43" s="65">
        <v>2</v>
      </c>
      <c r="O43" s="65">
        <v>0</v>
      </c>
      <c r="P43" s="65">
        <v>0</v>
      </c>
      <c r="Q43" s="65">
        <v>33</v>
      </c>
      <c r="T43" s="66" t="s">
        <v>1082</v>
      </c>
      <c r="U43" s="66" t="s">
        <v>2427</v>
      </c>
      <c r="V43" s="66">
        <v>718</v>
      </c>
      <c r="W43" s="66">
        <v>626</v>
      </c>
      <c r="X43" s="66">
        <v>713</v>
      </c>
      <c r="Y43" s="66">
        <v>855</v>
      </c>
      <c r="Z43" s="66">
        <v>571</v>
      </c>
      <c r="AA43" s="66">
        <v>3483</v>
      </c>
      <c r="AB43" s="66"/>
      <c r="AC43" s="66" t="s">
        <v>2427</v>
      </c>
      <c r="AD43" s="66">
        <v>28</v>
      </c>
      <c r="AE43" s="66">
        <v>3</v>
      </c>
      <c r="AF43" s="66">
        <v>0</v>
      </c>
      <c r="AG43" s="66">
        <v>0</v>
      </c>
      <c r="AH43" s="66">
        <v>0</v>
      </c>
      <c r="AI43" s="66">
        <v>31</v>
      </c>
      <c r="AK43" s="67" t="s">
        <v>2207</v>
      </c>
      <c r="AL43" s="67" t="s">
        <v>2426</v>
      </c>
      <c r="AM43" s="67">
        <v>559</v>
      </c>
      <c r="AN43" s="67">
        <v>623</v>
      </c>
      <c r="AO43" s="67">
        <v>754</v>
      </c>
      <c r="AP43" s="67">
        <v>963</v>
      </c>
      <c r="AQ43" s="67">
        <v>672</v>
      </c>
      <c r="AR43" s="67">
        <v>3571</v>
      </c>
      <c r="AS43" s="67"/>
      <c r="AT43" s="67" t="s">
        <v>2426</v>
      </c>
      <c r="AU43" s="67">
        <v>76</v>
      </c>
      <c r="AV43" s="67">
        <v>1</v>
      </c>
      <c r="AW43" s="67">
        <v>0</v>
      </c>
      <c r="AX43" s="67">
        <v>2</v>
      </c>
      <c r="AY43" s="67">
        <v>0</v>
      </c>
      <c r="AZ43" s="67">
        <v>79</v>
      </c>
      <c r="BB43" s="70" t="s">
        <v>1470</v>
      </c>
      <c r="BC43" s="70" t="s">
        <v>2426</v>
      </c>
      <c r="BD43" s="70">
        <v>136</v>
      </c>
      <c r="BE43" s="70">
        <v>182</v>
      </c>
      <c r="BF43" s="70">
        <v>387</v>
      </c>
      <c r="BG43" s="70">
        <v>540</v>
      </c>
      <c r="BH43" s="70">
        <v>432</v>
      </c>
      <c r="BI43" s="70">
        <v>1677</v>
      </c>
      <c r="BJ43" s="70"/>
      <c r="BK43" s="70" t="s">
        <v>2426</v>
      </c>
      <c r="BL43" s="70">
        <v>21</v>
      </c>
      <c r="BM43" s="70">
        <v>0</v>
      </c>
      <c r="BN43" s="70">
        <v>0</v>
      </c>
      <c r="BO43" s="70">
        <v>0</v>
      </c>
      <c r="BP43" s="70">
        <v>0</v>
      </c>
      <c r="BQ43" s="70">
        <v>21</v>
      </c>
      <c r="BS43" s="71" t="s">
        <v>1625</v>
      </c>
      <c r="BT43" s="71" t="s">
        <v>2427</v>
      </c>
      <c r="BU43" s="71">
        <v>207</v>
      </c>
      <c r="BV43" s="71">
        <v>179</v>
      </c>
      <c r="BW43" s="71">
        <v>263</v>
      </c>
      <c r="BX43" s="71">
        <v>350</v>
      </c>
      <c r="BY43" s="71">
        <v>311</v>
      </c>
      <c r="BZ43" s="71">
        <v>1310</v>
      </c>
      <c r="CA43" s="71"/>
      <c r="CB43" s="71" t="s">
        <v>2427</v>
      </c>
      <c r="CC43" s="71">
        <v>80</v>
      </c>
      <c r="CD43" s="71">
        <v>0</v>
      </c>
      <c r="CE43" s="71">
        <v>0</v>
      </c>
      <c r="CF43" s="71">
        <v>0</v>
      </c>
      <c r="CG43" s="71">
        <v>0</v>
      </c>
      <c r="CH43" s="71">
        <v>80</v>
      </c>
      <c r="CL43" s="57" t="s">
        <v>634</v>
      </c>
      <c r="CM43" s="57" t="s">
        <v>2426</v>
      </c>
      <c r="CN43" s="57" t="s">
        <v>356</v>
      </c>
      <c r="CO43" s="57" t="s">
        <v>356</v>
      </c>
      <c r="CP43" s="57" t="s">
        <v>356</v>
      </c>
      <c r="CQ43" s="57" t="s">
        <v>356</v>
      </c>
      <c r="CR43" s="57" t="s">
        <v>356</v>
      </c>
      <c r="CS43" s="57" t="s">
        <v>356</v>
      </c>
      <c r="CT43" s="57"/>
      <c r="CU43" s="57" t="s">
        <v>2426</v>
      </c>
      <c r="CV43" s="57" t="s">
        <v>356</v>
      </c>
      <c r="CW43" s="57" t="s">
        <v>356</v>
      </c>
      <c r="CX43" s="57" t="s">
        <v>356</v>
      </c>
      <c r="CY43" s="57" t="s">
        <v>356</v>
      </c>
      <c r="CZ43" s="57" t="s">
        <v>356</v>
      </c>
      <c r="DA43" s="57" t="s">
        <v>356</v>
      </c>
      <c r="DD43" s="78" t="s">
        <v>1778</v>
      </c>
      <c r="DE43" s="78" t="s">
        <v>2441</v>
      </c>
      <c r="DF43" s="78" t="s">
        <v>356</v>
      </c>
      <c r="DG43" s="78" t="s">
        <v>356</v>
      </c>
      <c r="DH43" s="78" t="s">
        <v>356</v>
      </c>
      <c r="DI43" s="78" t="s">
        <v>356</v>
      </c>
      <c r="DJ43" s="78" t="s">
        <v>356</v>
      </c>
      <c r="DK43" s="78" t="s">
        <v>356</v>
      </c>
      <c r="DL43" s="78"/>
      <c r="DM43" s="78" t="s">
        <v>2441</v>
      </c>
      <c r="DN43" s="78" t="s">
        <v>356</v>
      </c>
      <c r="DO43" s="78" t="s">
        <v>356</v>
      </c>
      <c r="DP43" s="78" t="s">
        <v>356</v>
      </c>
      <c r="DQ43" s="78" t="s">
        <v>356</v>
      </c>
      <c r="DR43" s="78" t="s">
        <v>356</v>
      </c>
      <c r="DS43" s="78" t="s">
        <v>356</v>
      </c>
      <c r="DU43" s="21"/>
      <c r="DV43" s="80" t="s">
        <v>1908</v>
      </c>
      <c r="DW43" s="80" t="s">
        <v>2427</v>
      </c>
      <c r="DX43" s="80">
        <v>138</v>
      </c>
      <c r="DY43" s="80">
        <v>144</v>
      </c>
      <c r="DZ43" s="80">
        <v>146</v>
      </c>
      <c r="EA43" s="80">
        <v>165</v>
      </c>
      <c r="EB43" s="80">
        <v>161</v>
      </c>
      <c r="EC43" s="80">
        <v>754</v>
      </c>
      <c r="ED43" s="80"/>
      <c r="EE43" s="80" t="s">
        <v>2427</v>
      </c>
      <c r="EF43" s="80">
        <v>12</v>
      </c>
      <c r="EG43" s="80">
        <v>1</v>
      </c>
      <c r="EH43" s="80">
        <v>0</v>
      </c>
      <c r="EI43" s="80">
        <v>0</v>
      </c>
      <c r="EJ43" s="80">
        <v>0</v>
      </c>
      <c r="EK43" s="80">
        <v>13</v>
      </c>
      <c r="EN43" s="57" t="s">
        <v>2382</v>
      </c>
      <c r="EO43" s="57" t="s">
        <v>2427</v>
      </c>
      <c r="EP43" s="57" t="s">
        <v>356</v>
      </c>
      <c r="EQ43" s="57" t="s">
        <v>356</v>
      </c>
      <c r="ER43" s="57" t="s">
        <v>356</v>
      </c>
      <c r="ES43" s="57" t="s">
        <v>356</v>
      </c>
      <c r="ET43" s="57" t="s">
        <v>356</v>
      </c>
      <c r="EU43" s="57" t="s">
        <v>356</v>
      </c>
      <c r="EV43" s="57"/>
      <c r="EW43" s="57" t="s">
        <v>2427</v>
      </c>
      <c r="EX43" s="57" t="s">
        <v>356</v>
      </c>
      <c r="EY43" s="57" t="s">
        <v>356</v>
      </c>
      <c r="EZ43" s="57" t="s">
        <v>356</v>
      </c>
      <c r="FA43" s="57" t="s">
        <v>356</v>
      </c>
      <c r="FB43" s="57" t="s">
        <v>356</v>
      </c>
      <c r="FC43" s="57" t="s">
        <v>356</v>
      </c>
      <c r="FF43" s="71" t="s">
        <v>2416</v>
      </c>
      <c r="FG43" s="71" t="s">
        <v>2426</v>
      </c>
      <c r="FH43" s="71">
        <v>289</v>
      </c>
      <c r="FI43" s="71">
        <v>368</v>
      </c>
      <c r="FJ43" s="71">
        <v>504</v>
      </c>
      <c r="FK43" s="71">
        <v>653</v>
      </c>
      <c r="FL43" s="71">
        <v>756</v>
      </c>
      <c r="FM43" s="71">
        <v>2570</v>
      </c>
      <c r="FN43" s="71"/>
      <c r="FO43" s="71" t="s">
        <v>2426</v>
      </c>
      <c r="FP43" s="71">
        <v>31</v>
      </c>
      <c r="FQ43" s="71">
        <v>5</v>
      </c>
      <c r="FR43" s="71">
        <v>0</v>
      </c>
      <c r="FS43" s="71">
        <v>0</v>
      </c>
      <c r="FT43" s="71">
        <v>0</v>
      </c>
      <c r="FU43" s="71">
        <v>36</v>
      </c>
    </row>
    <row r="44" spans="2:177">
      <c r="B44" s="65" t="s">
        <v>1018</v>
      </c>
      <c r="C44" s="65" t="s">
        <v>2426</v>
      </c>
      <c r="D44" s="65">
        <v>90</v>
      </c>
      <c r="E44" s="65">
        <v>145</v>
      </c>
      <c r="F44" s="65">
        <v>262</v>
      </c>
      <c r="G44" s="65">
        <v>375</v>
      </c>
      <c r="H44" s="65">
        <v>343</v>
      </c>
      <c r="I44" s="65">
        <v>1215</v>
      </c>
      <c r="K44" s="65" t="s">
        <v>2426</v>
      </c>
      <c r="L44" s="65">
        <v>14</v>
      </c>
      <c r="M44" s="65">
        <v>8</v>
      </c>
      <c r="N44" s="65">
        <v>6</v>
      </c>
      <c r="O44" s="65">
        <v>2</v>
      </c>
      <c r="P44" s="65">
        <v>2</v>
      </c>
      <c r="Q44" s="65">
        <v>32</v>
      </c>
      <c r="T44" s="66" t="s">
        <v>1087</v>
      </c>
      <c r="U44" s="66" t="s">
        <v>2427</v>
      </c>
      <c r="V44" s="66">
        <v>684</v>
      </c>
      <c r="W44" s="66">
        <v>867</v>
      </c>
      <c r="X44" s="66">
        <v>1075</v>
      </c>
      <c r="Y44" s="66">
        <v>1215</v>
      </c>
      <c r="Z44" s="66">
        <v>743</v>
      </c>
      <c r="AA44" s="66">
        <v>4584</v>
      </c>
      <c r="AB44" s="66"/>
      <c r="AC44" s="66" t="s">
        <v>2427</v>
      </c>
      <c r="AD44" s="66">
        <v>18</v>
      </c>
      <c r="AE44" s="66">
        <v>2</v>
      </c>
      <c r="AF44" s="66">
        <v>0</v>
      </c>
      <c r="AG44" s="66">
        <v>2</v>
      </c>
      <c r="AH44" s="66">
        <v>0</v>
      </c>
      <c r="AI44" s="66">
        <v>22</v>
      </c>
      <c r="AK44" s="67" t="s">
        <v>2222</v>
      </c>
      <c r="AL44" s="67" t="s">
        <v>2426</v>
      </c>
      <c r="AM44" s="67">
        <v>340</v>
      </c>
      <c r="AN44" s="67">
        <v>575</v>
      </c>
      <c r="AO44" s="67">
        <v>857</v>
      </c>
      <c r="AP44" s="67">
        <v>1043</v>
      </c>
      <c r="AQ44" s="67">
        <v>686</v>
      </c>
      <c r="AR44" s="67">
        <v>3501</v>
      </c>
      <c r="AS44" s="67"/>
      <c r="AT44" s="67" t="s">
        <v>2426</v>
      </c>
      <c r="AU44" s="67">
        <v>18</v>
      </c>
      <c r="AV44" s="67">
        <v>1</v>
      </c>
      <c r="AW44" s="67">
        <v>1</v>
      </c>
      <c r="AX44" s="67">
        <v>0</v>
      </c>
      <c r="AY44" s="67">
        <v>0</v>
      </c>
      <c r="AZ44" s="67">
        <v>20</v>
      </c>
      <c r="BB44" s="70" t="s">
        <v>1473</v>
      </c>
      <c r="BC44" s="70" t="s">
        <v>2426</v>
      </c>
      <c r="BD44" s="70">
        <v>2030</v>
      </c>
      <c r="BE44" s="70">
        <v>1233</v>
      </c>
      <c r="BF44" s="70">
        <v>1492</v>
      </c>
      <c r="BG44" s="70">
        <v>1427</v>
      </c>
      <c r="BH44" s="70">
        <v>947</v>
      </c>
      <c r="BI44" s="70">
        <v>7129</v>
      </c>
      <c r="BJ44" s="70"/>
      <c r="BK44" s="70" t="s">
        <v>2426</v>
      </c>
      <c r="BL44" s="70">
        <v>402</v>
      </c>
      <c r="BM44" s="70">
        <v>0</v>
      </c>
      <c r="BN44" s="70">
        <v>0</v>
      </c>
      <c r="BO44" s="70">
        <v>0</v>
      </c>
      <c r="BP44" s="70">
        <v>0</v>
      </c>
      <c r="BQ44" s="70">
        <v>402</v>
      </c>
      <c r="BS44" s="71" t="s">
        <v>1627</v>
      </c>
      <c r="BT44" s="71" t="s">
        <v>2427</v>
      </c>
      <c r="BU44" s="71">
        <v>134</v>
      </c>
      <c r="BV44" s="71">
        <v>98</v>
      </c>
      <c r="BW44" s="71">
        <v>167</v>
      </c>
      <c r="BX44" s="71">
        <v>241</v>
      </c>
      <c r="BY44" s="71">
        <v>223</v>
      </c>
      <c r="BZ44" s="71">
        <v>863</v>
      </c>
      <c r="CA44" s="71"/>
      <c r="CB44" s="71" t="s">
        <v>2427</v>
      </c>
      <c r="CC44" s="71">
        <v>27</v>
      </c>
      <c r="CD44" s="71">
        <v>0</v>
      </c>
      <c r="CE44" s="71">
        <v>0</v>
      </c>
      <c r="CF44" s="71">
        <v>0</v>
      </c>
      <c r="CG44" s="71">
        <v>0</v>
      </c>
      <c r="CH44" s="71">
        <v>27</v>
      </c>
      <c r="CL44" s="57" t="s">
        <v>636</v>
      </c>
      <c r="CM44" s="57" t="s">
        <v>2426</v>
      </c>
      <c r="CN44" s="57" t="s">
        <v>356</v>
      </c>
      <c r="CO44" s="57" t="s">
        <v>356</v>
      </c>
      <c r="CP44" s="57" t="s">
        <v>356</v>
      </c>
      <c r="CQ44" s="57" t="s">
        <v>356</v>
      </c>
      <c r="CR44" s="57" t="s">
        <v>356</v>
      </c>
      <c r="CS44" s="57" t="s">
        <v>356</v>
      </c>
      <c r="CT44" s="57"/>
      <c r="CU44" s="57" t="s">
        <v>2426</v>
      </c>
      <c r="CV44" s="57" t="s">
        <v>356</v>
      </c>
      <c r="CW44" s="57" t="s">
        <v>356</v>
      </c>
      <c r="CX44" s="57" t="s">
        <v>356</v>
      </c>
      <c r="CY44" s="57" t="s">
        <v>356</v>
      </c>
      <c r="CZ44" s="57" t="s">
        <v>356</v>
      </c>
      <c r="DA44" s="57" t="s">
        <v>356</v>
      </c>
      <c r="DD44" s="78" t="s">
        <v>1783</v>
      </c>
      <c r="DE44" s="78" t="s">
        <v>2441</v>
      </c>
      <c r="DF44" s="78">
        <v>869</v>
      </c>
      <c r="DG44" s="78">
        <v>969</v>
      </c>
      <c r="DH44" s="78">
        <v>946</v>
      </c>
      <c r="DI44" s="78">
        <v>1082</v>
      </c>
      <c r="DJ44" s="78">
        <v>895</v>
      </c>
      <c r="DK44" s="78">
        <v>4761</v>
      </c>
      <c r="DL44" s="78"/>
      <c r="DM44" s="78" t="s">
        <v>2441</v>
      </c>
      <c r="DN44" s="78">
        <v>154</v>
      </c>
      <c r="DO44" s="78">
        <v>46</v>
      </c>
      <c r="DP44" s="78">
        <v>0</v>
      </c>
      <c r="DQ44" s="78">
        <v>0</v>
      </c>
      <c r="DR44" s="78">
        <v>0</v>
      </c>
      <c r="DS44" s="78">
        <v>200</v>
      </c>
      <c r="DU44" s="21"/>
      <c r="DV44" s="80" t="s">
        <v>1911</v>
      </c>
      <c r="DW44" s="80" t="s">
        <v>2427</v>
      </c>
      <c r="DX44" s="80">
        <v>296</v>
      </c>
      <c r="DY44" s="80">
        <v>431</v>
      </c>
      <c r="DZ44" s="80">
        <v>493</v>
      </c>
      <c r="EA44" s="80">
        <v>479</v>
      </c>
      <c r="EB44" s="80">
        <v>284</v>
      </c>
      <c r="EC44" s="80">
        <v>1983</v>
      </c>
      <c r="ED44" s="80"/>
      <c r="EE44" s="80" t="s">
        <v>2427</v>
      </c>
      <c r="EF44" s="80">
        <v>14</v>
      </c>
      <c r="EG44" s="80">
        <v>2</v>
      </c>
      <c r="EH44" s="80">
        <v>0</v>
      </c>
      <c r="EI44" s="80">
        <v>0</v>
      </c>
      <c r="EJ44" s="80">
        <v>0</v>
      </c>
      <c r="EK44" s="80">
        <v>16</v>
      </c>
      <c r="EN44" s="57" t="s">
        <v>2383</v>
      </c>
      <c r="EO44" s="57" t="s">
        <v>2427</v>
      </c>
      <c r="EP44" s="57" t="s">
        <v>356</v>
      </c>
      <c r="EQ44" s="57" t="s">
        <v>356</v>
      </c>
      <c r="ER44" s="57" t="s">
        <v>356</v>
      </c>
      <c r="ES44" s="57" t="s">
        <v>356</v>
      </c>
      <c r="ET44" s="57" t="s">
        <v>356</v>
      </c>
      <c r="EU44" s="57" t="s">
        <v>356</v>
      </c>
      <c r="EV44" s="57"/>
      <c r="EW44" s="57" t="s">
        <v>2427</v>
      </c>
      <c r="EX44" s="57" t="s">
        <v>356</v>
      </c>
      <c r="EY44" s="57" t="s">
        <v>356</v>
      </c>
      <c r="EZ44" s="57" t="s">
        <v>356</v>
      </c>
      <c r="FA44" s="57" t="s">
        <v>356</v>
      </c>
      <c r="FB44" s="57" t="s">
        <v>356</v>
      </c>
      <c r="FC44" s="57" t="s">
        <v>356</v>
      </c>
      <c r="FF44" s="71" t="s">
        <v>2417</v>
      </c>
      <c r="FG44" s="71" t="s">
        <v>2426</v>
      </c>
      <c r="FH44" s="71">
        <v>276</v>
      </c>
      <c r="FI44" s="71">
        <v>359</v>
      </c>
      <c r="FJ44" s="71">
        <v>411</v>
      </c>
      <c r="FK44" s="71">
        <v>505</v>
      </c>
      <c r="FL44" s="71">
        <v>640</v>
      </c>
      <c r="FM44" s="71">
        <v>2191</v>
      </c>
      <c r="FN44" s="71"/>
      <c r="FO44" s="71" t="s">
        <v>2426</v>
      </c>
      <c r="FP44" s="71">
        <v>41</v>
      </c>
      <c r="FQ44" s="71">
        <v>9</v>
      </c>
      <c r="FR44" s="71">
        <v>5</v>
      </c>
      <c r="FS44" s="71">
        <v>11</v>
      </c>
      <c r="FT44" s="71">
        <v>14</v>
      </c>
      <c r="FU44" s="71">
        <v>80</v>
      </c>
    </row>
    <row r="45" spans="2:177">
      <c r="B45" s="65" t="s">
        <v>1024</v>
      </c>
      <c r="C45" s="65" t="s">
        <v>2426</v>
      </c>
      <c r="D45" s="65" t="s">
        <v>356</v>
      </c>
      <c r="E45" s="65" t="s">
        <v>356</v>
      </c>
      <c r="F45" s="65" t="s">
        <v>356</v>
      </c>
      <c r="G45" s="65" t="s">
        <v>356</v>
      </c>
      <c r="H45" s="65" t="s">
        <v>356</v>
      </c>
      <c r="I45" s="65" t="s">
        <v>356</v>
      </c>
      <c r="K45" s="65" t="s">
        <v>2426</v>
      </c>
      <c r="L45" s="65" t="s">
        <v>356</v>
      </c>
      <c r="M45" s="65" t="s">
        <v>356</v>
      </c>
      <c r="N45" s="65" t="s">
        <v>356</v>
      </c>
      <c r="O45" s="65" t="s">
        <v>356</v>
      </c>
      <c r="P45" s="65" t="s">
        <v>356</v>
      </c>
      <c r="Q45" s="65" t="s">
        <v>356</v>
      </c>
      <c r="T45" s="66" t="s">
        <v>2193</v>
      </c>
      <c r="U45" s="66" t="s">
        <v>2427</v>
      </c>
      <c r="V45" s="66">
        <v>698</v>
      </c>
      <c r="W45" s="66">
        <v>780</v>
      </c>
      <c r="X45" s="66">
        <v>945</v>
      </c>
      <c r="Y45" s="66">
        <v>1022</v>
      </c>
      <c r="Z45" s="66">
        <v>739</v>
      </c>
      <c r="AA45" s="66">
        <v>4184</v>
      </c>
      <c r="AB45" s="66"/>
      <c r="AC45" s="66" t="s">
        <v>2427</v>
      </c>
      <c r="AD45" s="66">
        <v>16</v>
      </c>
      <c r="AE45" s="66">
        <v>0</v>
      </c>
      <c r="AF45" s="66">
        <v>0</v>
      </c>
      <c r="AG45" s="66">
        <v>0</v>
      </c>
      <c r="AH45" s="66">
        <v>0</v>
      </c>
      <c r="AI45" s="66">
        <v>16</v>
      </c>
      <c r="AK45" s="67" t="s">
        <v>2442</v>
      </c>
      <c r="AL45" s="67" t="s">
        <v>2426</v>
      </c>
      <c r="AM45" s="67">
        <v>263</v>
      </c>
      <c r="AN45" s="67">
        <v>421</v>
      </c>
      <c r="AO45" s="67">
        <v>673</v>
      </c>
      <c r="AP45" s="67">
        <v>841</v>
      </c>
      <c r="AQ45" s="67">
        <v>583</v>
      </c>
      <c r="AR45" s="67">
        <v>2781</v>
      </c>
      <c r="AS45" s="67"/>
      <c r="AT45" s="67" t="s">
        <v>2426</v>
      </c>
      <c r="AU45" s="67">
        <v>22</v>
      </c>
      <c r="AV45" s="67">
        <v>0</v>
      </c>
      <c r="AW45" s="67">
        <v>0</v>
      </c>
      <c r="AX45" s="67">
        <v>0</v>
      </c>
      <c r="AY45" s="67">
        <v>0</v>
      </c>
      <c r="AZ45" s="67">
        <v>22</v>
      </c>
      <c r="BB45" s="70" t="s">
        <v>2248</v>
      </c>
      <c r="BC45" s="70" t="s">
        <v>2426</v>
      </c>
      <c r="BD45" s="70">
        <v>66</v>
      </c>
      <c r="BE45" s="70">
        <v>87</v>
      </c>
      <c r="BF45" s="70">
        <v>173</v>
      </c>
      <c r="BG45" s="70">
        <v>207</v>
      </c>
      <c r="BH45" s="70">
        <v>209</v>
      </c>
      <c r="BI45" s="70">
        <v>742</v>
      </c>
      <c r="BJ45" s="70"/>
      <c r="BK45" s="70" t="s">
        <v>2426</v>
      </c>
      <c r="BL45" s="70">
        <v>17</v>
      </c>
      <c r="BM45" s="70">
        <v>0</v>
      </c>
      <c r="BN45" s="70">
        <v>0</v>
      </c>
      <c r="BO45" s="70">
        <v>0</v>
      </c>
      <c r="BP45" s="70">
        <v>0</v>
      </c>
      <c r="BQ45" s="70">
        <v>17</v>
      </c>
      <c r="BS45" s="71" t="s">
        <v>1629</v>
      </c>
      <c r="BT45" s="71" t="s">
        <v>2427</v>
      </c>
      <c r="BU45" s="71">
        <v>63</v>
      </c>
      <c r="BV45" s="71">
        <v>30</v>
      </c>
      <c r="BW45" s="71">
        <v>65</v>
      </c>
      <c r="BX45" s="71">
        <v>105</v>
      </c>
      <c r="BY45" s="71">
        <v>106</v>
      </c>
      <c r="BZ45" s="71">
        <v>369</v>
      </c>
      <c r="CA45" s="71"/>
      <c r="CB45" s="71" t="s">
        <v>2427</v>
      </c>
      <c r="CC45" s="71">
        <v>16</v>
      </c>
      <c r="CD45" s="71">
        <v>0</v>
      </c>
      <c r="CE45" s="71">
        <v>0</v>
      </c>
      <c r="CF45" s="71">
        <v>0</v>
      </c>
      <c r="CG45" s="71">
        <v>0</v>
      </c>
      <c r="CH45" s="71">
        <v>16</v>
      </c>
      <c r="DD45" s="78" t="s">
        <v>1786</v>
      </c>
      <c r="DE45" s="78" t="s">
        <v>2441</v>
      </c>
      <c r="DF45" s="78">
        <v>186</v>
      </c>
      <c r="DG45" s="78">
        <v>245</v>
      </c>
      <c r="DH45" s="78">
        <v>368</v>
      </c>
      <c r="DI45" s="78">
        <v>470</v>
      </c>
      <c r="DJ45" s="78">
        <v>476</v>
      </c>
      <c r="DK45" s="78">
        <v>1745</v>
      </c>
      <c r="DL45" s="78"/>
      <c r="DM45" s="78" t="s">
        <v>2441</v>
      </c>
      <c r="DN45" s="78">
        <v>37</v>
      </c>
      <c r="DO45" s="78">
        <v>6</v>
      </c>
      <c r="DP45" s="78">
        <v>2</v>
      </c>
      <c r="DQ45" s="78">
        <v>1</v>
      </c>
      <c r="DR45" s="78">
        <v>2</v>
      </c>
      <c r="DS45" s="78">
        <v>48</v>
      </c>
      <c r="DU45" s="21"/>
      <c r="DV45" s="80" t="s">
        <v>1914</v>
      </c>
      <c r="DW45" s="80" t="s">
        <v>2427</v>
      </c>
      <c r="DX45" s="80">
        <v>573</v>
      </c>
      <c r="DY45" s="80">
        <v>790</v>
      </c>
      <c r="DZ45" s="80">
        <v>1219</v>
      </c>
      <c r="EA45" s="80">
        <v>1579</v>
      </c>
      <c r="EB45" s="80">
        <v>1315</v>
      </c>
      <c r="EC45" s="80">
        <v>5476</v>
      </c>
      <c r="ED45" s="80"/>
      <c r="EE45" s="80" t="s">
        <v>2427</v>
      </c>
      <c r="EF45" s="80">
        <v>25</v>
      </c>
      <c r="EG45" s="80">
        <v>4</v>
      </c>
      <c r="EH45" s="80">
        <v>0</v>
      </c>
      <c r="EI45" s="80">
        <v>0</v>
      </c>
      <c r="EJ45" s="80">
        <v>0</v>
      </c>
      <c r="EK45" s="80">
        <v>29</v>
      </c>
      <c r="EN45" s="57" t="s">
        <v>1955</v>
      </c>
      <c r="EO45" s="57" t="s">
        <v>2427</v>
      </c>
      <c r="EP45" s="57">
        <v>169</v>
      </c>
      <c r="EQ45" s="57">
        <v>250</v>
      </c>
      <c r="ER45" s="57">
        <v>290</v>
      </c>
      <c r="ES45" s="57">
        <v>467</v>
      </c>
      <c r="ET45" s="57">
        <v>522</v>
      </c>
      <c r="EU45" s="57">
        <v>1698</v>
      </c>
      <c r="EV45" s="57"/>
      <c r="EW45" s="57" t="s">
        <v>2427</v>
      </c>
      <c r="EX45" s="57">
        <v>33</v>
      </c>
      <c r="EY45" s="57">
        <v>31</v>
      </c>
      <c r="EZ45" s="57">
        <v>23</v>
      </c>
      <c r="FA45" s="57">
        <v>28</v>
      </c>
      <c r="FB45" s="57">
        <v>20</v>
      </c>
      <c r="FC45" s="57">
        <v>135</v>
      </c>
      <c r="FF45" s="71" t="s">
        <v>2129</v>
      </c>
      <c r="FG45" s="71" t="s">
        <v>2426</v>
      </c>
      <c r="FH45" s="71" t="s">
        <v>356</v>
      </c>
      <c r="FI45" s="71" t="s">
        <v>356</v>
      </c>
      <c r="FJ45" s="71" t="s">
        <v>356</v>
      </c>
      <c r="FK45" s="71" t="s">
        <v>356</v>
      </c>
      <c r="FL45" s="71" t="s">
        <v>356</v>
      </c>
      <c r="FM45" s="71" t="s">
        <v>356</v>
      </c>
      <c r="FN45" s="71"/>
      <c r="FO45" s="71" t="s">
        <v>2426</v>
      </c>
      <c r="FP45" s="71" t="s">
        <v>356</v>
      </c>
      <c r="FQ45" s="71" t="s">
        <v>356</v>
      </c>
      <c r="FR45" s="71" t="s">
        <v>356</v>
      </c>
      <c r="FS45" s="71" t="s">
        <v>356</v>
      </c>
      <c r="FT45" s="71" t="s">
        <v>356</v>
      </c>
      <c r="FU45" s="71" t="s">
        <v>356</v>
      </c>
    </row>
    <row r="46" spans="2:177">
      <c r="B46" s="65" t="s">
        <v>1029</v>
      </c>
      <c r="C46" s="65" t="s">
        <v>2426</v>
      </c>
      <c r="D46" s="65" t="s">
        <v>356</v>
      </c>
      <c r="E46" s="65" t="s">
        <v>356</v>
      </c>
      <c r="F46" s="65" t="s">
        <v>356</v>
      </c>
      <c r="G46" s="65" t="s">
        <v>356</v>
      </c>
      <c r="H46" s="65" t="s">
        <v>356</v>
      </c>
      <c r="I46" s="65" t="s">
        <v>356</v>
      </c>
      <c r="K46" s="65" t="s">
        <v>2426</v>
      </c>
      <c r="L46" s="65" t="s">
        <v>356</v>
      </c>
      <c r="M46" s="65" t="s">
        <v>356</v>
      </c>
      <c r="N46" s="65" t="s">
        <v>356</v>
      </c>
      <c r="O46" s="65" t="s">
        <v>356</v>
      </c>
      <c r="P46" s="65" t="s">
        <v>356</v>
      </c>
      <c r="Q46" s="65" t="s">
        <v>356</v>
      </c>
      <c r="T46" s="66" t="s">
        <v>1096</v>
      </c>
      <c r="U46" s="66" t="s">
        <v>2427</v>
      </c>
      <c r="V46" s="66">
        <v>706</v>
      </c>
      <c r="W46" s="66">
        <v>519</v>
      </c>
      <c r="X46" s="66">
        <v>777</v>
      </c>
      <c r="Y46" s="66">
        <v>792</v>
      </c>
      <c r="Z46" s="66">
        <v>549</v>
      </c>
      <c r="AA46" s="66">
        <v>3343</v>
      </c>
      <c r="AB46" s="66"/>
      <c r="AC46" s="66" t="s">
        <v>2427</v>
      </c>
      <c r="AD46" s="66">
        <v>28</v>
      </c>
      <c r="AE46" s="66">
        <v>0</v>
      </c>
      <c r="AF46" s="66">
        <v>0</v>
      </c>
      <c r="AG46" s="66">
        <v>0</v>
      </c>
      <c r="AH46" s="66">
        <v>0</v>
      </c>
      <c r="AI46" s="66">
        <v>28</v>
      </c>
      <c r="AK46" s="67" t="s">
        <v>2223</v>
      </c>
      <c r="AL46" s="67" t="s">
        <v>2426</v>
      </c>
      <c r="AM46" s="67">
        <v>216</v>
      </c>
      <c r="AN46" s="67">
        <v>406</v>
      </c>
      <c r="AO46" s="67">
        <v>670</v>
      </c>
      <c r="AP46" s="67">
        <v>851</v>
      </c>
      <c r="AQ46" s="67">
        <v>598</v>
      </c>
      <c r="AR46" s="67">
        <v>2741</v>
      </c>
      <c r="AS46" s="67"/>
      <c r="AT46" s="67" t="s">
        <v>2426</v>
      </c>
      <c r="AU46" s="67">
        <v>17</v>
      </c>
      <c r="AV46" s="67">
        <v>3</v>
      </c>
      <c r="AW46" s="67">
        <v>0</v>
      </c>
      <c r="AX46" s="67">
        <v>0</v>
      </c>
      <c r="AY46" s="67">
        <v>0</v>
      </c>
      <c r="AZ46" s="67">
        <v>20</v>
      </c>
      <c r="BB46" s="70" t="s">
        <v>1483</v>
      </c>
      <c r="BC46" s="70" t="s">
        <v>2426</v>
      </c>
      <c r="BD46" s="70">
        <v>103</v>
      </c>
      <c r="BE46" s="70">
        <v>76</v>
      </c>
      <c r="BF46" s="70">
        <v>139</v>
      </c>
      <c r="BG46" s="70">
        <v>167</v>
      </c>
      <c r="BH46" s="70">
        <v>166</v>
      </c>
      <c r="BI46" s="70">
        <v>651</v>
      </c>
      <c r="BJ46" s="70"/>
      <c r="BK46" s="70" t="s">
        <v>2426</v>
      </c>
      <c r="BL46" s="70">
        <v>32</v>
      </c>
      <c r="BM46" s="70">
        <v>0</v>
      </c>
      <c r="BN46" s="70">
        <v>0</v>
      </c>
      <c r="BO46" s="70">
        <v>0</v>
      </c>
      <c r="BP46" s="70">
        <v>0</v>
      </c>
      <c r="BQ46" s="70">
        <v>32</v>
      </c>
      <c r="BS46" s="71" t="s">
        <v>1631</v>
      </c>
      <c r="BT46" s="71" t="s">
        <v>2427</v>
      </c>
      <c r="BU46" s="71">
        <v>182</v>
      </c>
      <c r="BV46" s="71">
        <v>112</v>
      </c>
      <c r="BW46" s="71">
        <v>157</v>
      </c>
      <c r="BX46" s="71">
        <v>234</v>
      </c>
      <c r="BY46" s="71">
        <v>194</v>
      </c>
      <c r="BZ46" s="71">
        <v>879</v>
      </c>
      <c r="CA46" s="71"/>
      <c r="CB46" s="71" t="s">
        <v>2427</v>
      </c>
      <c r="CC46" s="71">
        <v>50</v>
      </c>
      <c r="CD46" s="71">
        <v>2</v>
      </c>
      <c r="CE46" s="71">
        <v>0</v>
      </c>
      <c r="CF46" s="71">
        <v>0</v>
      </c>
      <c r="CG46" s="71">
        <v>0</v>
      </c>
      <c r="CH46" s="71">
        <v>52</v>
      </c>
      <c r="CL46" s="57" t="s">
        <v>530</v>
      </c>
      <c r="CM46" s="57" t="s">
        <v>2427</v>
      </c>
      <c r="CN46" s="57">
        <v>147</v>
      </c>
      <c r="CO46" s="57">
        <v>63</v>
      </c>
      <c r="CP46" s="57">
        <v>149</v>
      </c>
      <c r="CQ46" s="57">
        <v>212</v>
      </c>
      <c r="CR46" s="57">
        <v>224</v>
      </c>
      <c r="CS46" s="57">
        <v>795</v>
      </c>
      <c r="CT46" s="57"/>
      <c r="CU46" s="57" t="s">
        <v>2427</v>
      </c>
      <c r="CV46" s="57">
        <v>43</v>
      </c>
      <c r="CW46" s="57">
        <v>0</v>
      </c>
      <c r="CX46" s="57">
        <v>0</v>
      </c>
      <c r="CY46" s="57">
        <v>0</v>
      </c>
      <c r="CZ46" s="57">
        <v>0</v>
      </c>
      <c r="DA46" s="57">
        <v>43</v>
      </c>
      <c r="DD46" s="78" t="s">
        <v>1791</v>
      </c>
      <c r="DE46" s="78" t="s">
        <v>2441</v>
      </c>
      <c r="DF46" s="78">
        <v>277</v>
      </c>
      <c r="DG46" s="78">
        <v>419</v>
      </c>
      <c r="DH46" s="78">
        <v>497</v>
      </c>
      <c r="DI46" s="78">
        <v>657</v>
      </c>
      <c r="DJ46" s="78">
        <v>560</v>
      </c>
      <c r="DK46" s="78">
        <v>2410</v>
      </c>
      <c r="DL46" s="78"/>
      <c r="DM46" s="78" t="s">
        <v>2441</v>
      </c>
      <c r="DN46" s="78">
        <v>36</v>
      </c>
      <c r="DO46" s="78">
        <v>9</v>
      </c>
      <c r="DP46" s="78">
        <v>0</v>
      </c>
      <c r="DQ46" s="78">
        <v>0</v>
      </c>
      <c r="DR46" s="78">
        <v>0</v>
      </c>
      <c r="DS46" s="78">
        <v>45</v>
      </c>
      <c r="DU46" s="21"/>
      <c r="DV46" s="80" t="s">
        <v>1917</v>
      </c>
      <c r="DW46" s="80" t="s">
        <v>2427</v>
      </c>
      <c r="DX46" s="80">
        <v>389</v>
      </c>
      <c r="DY46" s="80">
        <v>476</v>
      </c>
      <c r="DZ46" s="80">
        <v>494</v>
      </c>
      <c r="EA46" s="80">
        <v>548</v>
      </c>
      <c r="EB46" s="80">
        <v>410</v>
      </c>
      <c r="EC46" s="80">
        <v>2317</v>
      </c>
      <c r="ED46" s="80"/>
      <c r="EE46" s="80" t="s">
        <v>2427</v>
      </c>
      <c r="EF46" s="80">
        <v>19</v>
      </c>
      <c r="EG46" s="80">
        <v>0</v>
      </c>
      <c r="EH46" s="80">
        <v>0</v>
      </c>
      <c r="EI46" s="80">
        <v>0</v>
      </c>
      <c r="EJ46" s="80">
        <v>0</v>
      </c>
      <c r="EK46" s="80">
        <v>19</v>
      </c>
      <c r="EN46" s="57" t="s">
        <v>1959</v>
      </c>
      <c r="EO46" s="57" t="s">
        <v>2427</v>
      </c>
      <c r="EP46" s="57">
        <v>205</v>
      </c>
      <c r="EQ46" s="57">
        <v>302</v>
      </c>
      <c r="ER46" s="57">
        <v>460</v>
      </c>
      <c r="ES46" s="57">
        <v>571</v>
      </c>
      <c r="ET46" s="57">
        <v>651</v>
      </c>
      <c r="EU46" s="57">
        <v>2189</v>
      </c>
      <c r="EV46" s="57"/>
      <c r="EW46" s="57" t="s">
        <v>2427</v>
      </c>
      <c r="EX46" s="57">
        <v>53</v>
      </c>
      <c r="EY46" s="57">
        <v>28</v>
      </c>
      <c r="EZ46" s="57">
        <v>33</v>
      </c>
      <c r="FA46" s="57">
        <v>17</v>
      </c>
      <c r="FB46" s="57">
        <v>22</v>
      </c>
      <c r="FC46" s="57">
        <v>153</v>
      </c>
      <c r="FF46" s="71" t="s">
        <v>2134</v>
      </c>
      <c r="FG46" s="71" t="s">
        <v>2426</v>
      </c>
      <c r="FH46" s="71" t="s">
        <v>356</v>
      </c>
      <c r="FI46" s="71" t="s">
        <v>356</v>
      </c>
      <c r="FJ46" s="71" t="s">
        <v>356</v>
      </c>
      <c r="FK46" s="71" t="s">
        <v>356</v>
      </c>
      <c r="FL46" s="71" t="s">
        <v>356</v>
      </c>
      <c r="FM46" s="71" t="s">
        <v>356</v>
      </c>
      <c r="FN46" s="71"/>
      <c r="FO46" s="71" t="s">
        <v>2426</v>
      </c>
      <c r="FP46" s="71" t="s">
        <v>356</v>
      </c>
      <c r="FQ46" s="71" t="s">
        <v>356</v>
      </c>
      <c r="FR46" s="71" t="s">
        <v>356</v>
      </c>
      <c r="FS46" s="71" t="s">
        <v>356</v>
      </c>
      <c r="FT46" s="71" t="s">
        <v>356</v>
      </c>
      <c r="FU46" s="71" t="s">
        <v>356</v>
      </c>
    </row>
    <row r="47" spans="2:177">
      <c r="B47" s="65" t="s">
        <v>1046</v>
      </c>
      <c r="C47" s="65" t="s">
        <v>2426</v>
      </c>
      <c r="D47" s="65" t="s">
        <v>356</v>
      </c>
      <c r="E47" s="65" t="s">
        <v>356</v>
      </c>
      <c r="F47" s="65" t="s">
        <v>356</v>
      </c>
      <c r="G47" s="65" t="s">
        <v>356</v>
      </c>
      <c r="H47" s="65" t="s">
        <v>356</v>
      </c>
      <c r="I47" s="65" t="s">
        <v>356</v>
      </c>
      <c r="K47" s="65" t="s">
        <v>2426</v>
      </c>
      <c r="L47" s="65" t="s">
        <v>356</v>
      </c>
      <c r="M47" s="65" t="s">
        <v>356</v>
      </c>
      <c r="N47" s="65" t="s">
        <v>356</v>
      </c>
      <c r="O47" s="65" t="s">
        <v>356</v>
      </c>
      <c r="P47" s="65" t="s">
        <v>356</v>
      </c>
      <c r="Q47" s="65" t="s">
        <v>356</v>
      </c>
      <c r="T47" s="66" t="s">
        <v>1103</v>
      </c>
      <c r="U47" s="66" t="s">
        <v>2427</v>
      </c>
      <c r="V47" s="66" t="s">
        <v>356</v>
      </c>
      <c r="W47" s="66" t="s">
        <v>356</v>
      </c>
      <c r="X47" s="66" t="s">
        <v>356</v>
      </c>
      <c r="Y47" s="66" t="s">
        <v>356</v>
      </c>
      <c r="Z47" s="66" t="s">
        <v>356</v>
      </c>
      <c r="AA47" s="66" t="s">
        <v>356</v>
      </c>
      <c r="AB47" s="66"/>
      <c r="AC47" s="66" t="s">
        <v>2427</v>
      </c>
      <c r="AD47" s="66" t="s">
        <v>356</v>
      </c>
      <c r="AE47" s="66" t="s">
        <v>356</v>
      </c>
      <c r="AF47" s="66" t="s">
        <v>356</v>
      </c>
      <c r="AG47" s="66" t="s">
        <v>356</v>
      </c>
      <c r="AH47" s="66" t="s">
        <v>356</v>
      </c>
      <c r="AI47" s="66" t="s">
        <v>356</v>
      </c>
      <c r="BB47" s="70" t="s">
        <v>1488</v>
      </c>
      <c r="BC47" s="70" t="s">
        <v>2426</v>
      </c>
      <c r="BD47" s="70">
        <v>76</v>
      </c>
      <c r="BE47" s="70">
        <v>44</v>
      </c>
      <c r="BF47" s="70">
        <v>69</v>
      </c>
      <c r="BG47" s="70">
        <v>92</v>
      </c>
      <c r="BH47" s="70">
        <v>98</v>
      </c>
      <c r="BI47" s="70">
        <v>379</v>
      </c>
      <c r="BJ47" s="70"/>
      <c r="BK47" s="70" t="s">
        <v>2426</v>
      </c>
      <c r="BL47" s="70">
        <v>26</v>
      </c>
      <c r="BM47" s="70">
        <v>0</v>
      </c>
      <c r="BN47" s="70">
        <v>0</v>
      </c>
      <c r="BO47" s="70">
        <v>0</v>
      </c>
      <c r="BP47" s="70">
        <v>0</v>
      </c>
      <c r="BQ47" s="70">
        <v>26</v>
      </c>
      <c r="BS47" s="71" t="s">
        <v>1637</v>
      </c>
      <c r="BT47" s="71" t="s">
        <v>2427</v>
      </c>
      <c r="BU47" s="71">
        <v>143</v>
      </c>
      <c r="BV47" s="71">
        <v>86</v>
      </c>
      <c r="BW47" s="71">
        <v>162</v>
      </c>
      <c r="BX47" s="71">
        <v>213</v>
      </c>
      <c r="BY47" s="71">
        <v>181</v>
      </c>
      <c r="BZ47" s="71">
        <v>785</v>
      </c>
      <c r="CA47" s="71"/>
      <c r="CB47" s="71" t="s">
        <v>2427</v>
      </c>
      <c r="CC47" s="71">
        <v>27</v>
      </c>
      <c r="CD47" s="71">
        <v>1</v>
      </c>
      <c r="CE47" s="71">
        <v>0</v>
      </c>
      <c r="CF47" s="71">
        <v>0</v>
      </c>
      <c r="CG47" s="71">
        <v>0</v>
      </c>
      <c r="CH47" s="71">
        <v>28</v>
      </c>
      <c r="CL47" s="57" t="s">
        <v>532</v>
      </c>
      <c r="CM47" s="57" t="s">
        <v>2427</v>
      </c>
      <c r="CN47" s="57">
        <v>154</v>
      </c>
      <c r="CO47" s="57">
        <v>80</v>
      </c>
      <c r="CP47" s="57">
        <v>156</v>
      </c>
      <c r="CQ47" s="57">
        <v>295</v>
      </c>
      <c r="CR47" s="57">
        <v>302</v>
      </c>
      <c r="CS47" s="57">
        <v>987</v>
      </c>
      <c r="CT47" s="57"/>
      <c r="CU47" s="57" t="s">
        <v>2427</v>
      </c>
      <c r="CV47" s="57">
        <v>44</v>
      </c>
      <c r="CW47" s="57">
        <v>0</v>
      </c>
      <c r="CX47" s="57">
        <v>0</v>
      </c>
      <c r="CY47" s="57">
        <v>0</v>
      </c>
      <c r="CZ47" s="57">
        <v>0</v>
      </c>
      <c r="DA47" s="57">
        <v>44</v>
      </c>
      <c r="DD47" s="78" t="s">
        <v>1794</v>
      </c>
      <c r="DE47" s="78" t="s">
        <v>2441</v>
      </c>
      <c r="DF47" s="78">
        <v>116</v>
      </c>
      <c r="DG47" s="78">
        <v>166</v>
      </c>
      <c r="DH47" s="78">
        <v>275</v>
      </c>
      <c r="DI47" s="78">
        <v>404</v>
      </c>
      <c r="DJ47" s="78">
        <v>330</v>
      </c>
      <c r="DK47" s="78">
        <v>1291</v>
      </c>
      <c r="DL47" s="78"/>
      <c r="DM47" s="78" t="s">
        <v>2441</v>
      </c>
      <c r="DN47" s="78">
        <v>21</v>
      </c>
      <c r="DO47" s="78">
        <v>5</v>
      </c>
      <c r="DP47" s="78">
        <v>2</v>
      </c>
      <c r="DQ47" s="78">
        <v>0</v>
      </c>
      <c r="DR47" s="78">
        <v>0</v>
      </c>
      <c r="DS47" s="78">
        <v>28</v>
      </c>
      <c r="DU47" s="21"/>
      <c r="DV47" s="80" t="s">
        <v>1932</v>
      </c>
      <c r="DW47" s="80" t="s">
        <v>2427</v>
      </c>
      <c r="DX47" s="80">
        <v>165</v>
      </c>
      <c r="DY47" s="80">
        <v>94</v>
      </c>
      <c r="DZ47" s="80">
        <v>132</v>
      </c>
      <c r="EA47" s="80">
        <v>168</v>
      </c>
      <c r="EB47" s="80">
        <v>132</v>
      </c>
      <c r="EC47" s="80">
        <v>691</v>
      </c>
      <c r="ED47" s="80"/>
      <c r="EE47" s="80" t="s">
        <v>2427</v>
      </c>
      <c r="EF47" s="80">
        <v>24</v>
      </c>
      <c r="EG47" s="80">
        <v>0</v>
      </c>
      <c r="EH47" s="80">
        <v>0</v>
      </c>
      <c r="EI47" s="80">
        <v>0</v>
      </c>
      <c r="EJ47" s="80">
        <v>0</v>
      </c>
      <c r="EK47" s="80">
        <v>24</v>
      </c>
      <c r="EN47" s="57" t="s">
        <v>1962</v>
      </c>
      <c r="EO47" s="57" t="s">
        <v>2427</v>
      </c>
      <c r="EP47" s="57">
        <v>543</v>
      </c>
      <c r="EQ47" s="57">
        <v>779</v>
      </c>
      <c r="ER47" s="57">
        <v>952</v>
      </c>
      <c r="ES47" s="57">
        <v>1109</v>
      </c>
      <c r="ET47" s="57">
        <v>1104</v>
      </c>
      <c r="EU47" s="57">
        <v>4487</v>
      </c>
      <c r="EV47" s="57"/>
      <c r="EW47" s="57" t="s">
        <v>2427</v>
      </c>
      <c r="EX47" s="57">
        <v>75</v>
      </c>
      <c r="EY47" s="57">
        <v>55</v>
      </c>
      <c r="EZ47" s="57">
        <v>37</v>
      </c>
      <c r="FA47" s="57">
        <v>30</v>
      </c>
      <c r="FB47" s="57">
        <v>32</v>
      </c>
      <c r="FC47" s="57">
        <v>229</v>
      </c>
    </row>
    <row r="48" spans="2:177">
      <c r="B48" s="65" t="s">
        <v>76</v>
      </c>
      <c r="C48" s="65" t="s">
        <v>2426</v>
      </c>
      <c r="D48" s="65" t="s">
        <v>356</v>
      </c>
      <c r="E48" s="65" t="s">
        <v>356</v>
      </c>
      <c r="F48" s="65" t="s">
        <v>356</v>
      </c>
      <c r="G48" s="65" t="s">
        <v>356</v>
      </c>
      <c r="H48" s="65" t="s">
        <v>356</v>
      </c>
      <c r="I48" s="65" t="s">
        <v>356</v>
      </c>
      <c r="K48" s="65" t="s">
        <v>2426</v>
      </c>
      <c r="L48" s="65" t="s">
        <v>356</v>
      </c>
      <c r="M48" s="65" t="s">
        <v>356</v>
      </c>
      <c r="N48" s="65" t="s">
        <v>356</v>
      </c>
      <c r="O48" s="65" t="s">
        <v>356</v>
      </c>
      <c r="P48" s="65" t="s">
        <v>356</v>
      </c>
      <c r="Q48" s="65" t="s">
        <v>356</v>
      </c>
      <c r="T48" s="66" t="s">
        <v>2194</v>
      </c>
      <c r="U48" s="66" t="s">
        <v>2427</v>
      </c>
      <c r="V48" s="66" t="s">
        <v>356</v>
      </c>
      <c r="W48" s="66" t="s">
        <v>356</v>
      </c>
      <c r="X48" s="66" t="s">
        <v>356</v>
      </c>
      <c r="Y48" s="66" t="s">
        <v>356</v>
      </c>
      <c r="Z48" s="66" t="s">
        <v>356</v>
      </c>
      <c r="AA48" s="66" t="s">
        <v>356</v>
      </c>
      <c r="AB48" s="66"/>
      <c r="AC48" s="66" t="s">
        <v>2427</v>
      </c>
      <c r="AD48" s="66" t="s">
        <v>356</v>
      </c>
      <c r="AE48" s="66" t="s">
        <v>356</v>
      </c>
      <c r="AF48" s="66" t="s">
        <v>356</v>
      </c>
      <c r="AG48" s="66" t="s">
        <v>356</v>
      </c>
      <c r="AH48" s="66" t="s">
        <v>356</v>
      </c>
      <c r="AI48" s="66" t="s">
        <v>356</v>
      </c>
      <c r="AK48" s="67" t="s">
        <v>2202</v>
      </c>
      <c r="AL48" s="67" t="s">
        <v>2426</v>
      </c>
      <c r="AM48" s="67">
        <v>409</v>
      </c>
      <c r="AN48" s="67">
        <v>435</v>
      </c>
      <c r="AO48" s="67">
        <v>447</v>
      </c>
      <c r="AP48" s="67">
        <v>481</v>
      </c>
      <c r="AQ48" s="67">
        <v>505</v>
      </c>
      <c r="AR48" s="67">
        <v>2277</v>
      </c>
      <c r="AS48" s="67"/>
      <c r="AT48" s="67" t="s">
        <v>2426</v>
      </c>
      <c r="AU48" s="67">
        <v>57</v>
      </c>
      <c r="AV48" s="67">
        <v>21</v>
      </c>
      <c r="AW48" s="67">
        <v>9</v>
      </c>
      <c r="AX48" s="67">
        <v>11</v>
      </c>
      <c r="AY48" s="67">
        <v>25</v>
      </c>
      <c r="AZ48" s="67">
        <v>123</v>
      </c>
      <c r="BB48" s="70" t="s">
        <v>1494</v>
      </c>
      <c r="BC48" s="70" t="s">
        <v>2426</v>
      </c>
      <c r="BD48" s="70">
        <v>111</v>
      </c>
      <c r="BE48" s="70">
        <v>63</v>
      </c>
      <c r="BF48" s="70">
        <v>126</v>
      </c>
      <c r="BG48" s="70">
        <v>224</v>
      </c>
      <c r="BH48" s="70">
        <v>192</v>
      </c>
      <c r="BI48" s="70">
        <v>716</v>
      </c>
      <c r="BJ48" s="70"/>
      <c r="BK48" s="70" t="s">
        <v>2426</v>
      </c>
      <c r="BL48" s="70">
        <v>29</v>
      </c>
      <c r="BM48" s="70">
        <v>0</v>
      </c>
      <c r="BN48" s="70">
        <v>0</v>
      </c>
      <c r="BO48" s="70">
        <v>0</v>
      </c>
      <c r="BP48" s="70">
        <v>0</v>
      </c>
      <c r="BQ48" s="70">
        <v>29</v>
      </c>
      <c r="BS48" s="71" t="s">
        <v>1643</v>
      </c>
      <c r="BT48" s="71" t="s">
        <v>2427</v>
      </c>
      <c r="BU48" s="71">
        <v>88</v>
      </c>
      <c r="BV48" s="71">
        <v>66</v>
      </c>
      <c r="BW48" s="71">
        <v>169</v>
      </c>
      <c r="BX48" s="71">
        <v>238</v>
      </c>
      <c r="BY48" s="71">
        <v>204</v>
      </c>
      <c r="BZ48" s="71">
        <v>765</v>
      </c>
      <c r="CA48" s="71"/>
      <c r="CB48" s="71" t="s">
        <v>2427</v>
      </c>
      <c r="CC48" s="71">
        <v>23</v>
      </c>
      <c r="CD48" s="71">
        <v>0</v>
      </c>
      <c r="CE48" s="71">
        <v>0</v>
      </c>
      <c r="CF48" s="71">
        <v>0</v>
      </c>
      <c r="CG48" s="71">
        <v>0</v>
      </c>
      <c r="CH48" s="71">
        <v>23</v>
      </c>
      <c r="CL48" s="57" t="s">
        <v>535</v>
      </c>
      <c r="CM48" s="57" t="s">
        <v>2427</v>
      </c>
      <c r="CN48" s="57">
        <v>37</v>
      </c>
      <c r="CO48" s="57">
        <v>45</v>
      </c>
      <c r="CP48" s="57">
        <v>93</v>
      </c>
      <c r="CQ48" s="57">
        <v>136</v>
      </c>
      <c r="CR48" s="57">
        <v>174</v>
      </c>
      <c r="CS48" s="57">
        <v>485</v>
      </c>
      <c r="CT48" s="57"/>
      <c r="CU48" s="57" t="s">
        <v>2427</v>
      </c>
      <c r="CV48" s="57">
        <v>7</v>
      </c>
      <c r="CW48" s="57">
        <v>0</v>
      </c>
      <c r="CX48" s="57">
        <v>0</v>
      </c>
      <c r="CY48" s="57">
        <v>0</v>
      </c>
      <c r="CZ48" s="57">
        <v>0</v>
      </c>
      <c r="DA48" s="57">
        <v>7</v>
      </c>
      <c r="DD48" s="78" t="s">
        <v>1799</v>
      </c>
      <c r="DE48" s="78" t="s">
        <v>2441</v>
      </c>
      <c r="DF48" s="78" t="s">
        <v>356</v>
      </c>
      <c r="DG48" s="78" t="s">
        <v>356</v>
      </c>
      <c r="DH48" s="78" t="s">
        <v>356</v>
      </c>
      <c r="DI48" s="78" t="s">
        <v>356</v>
      </c>
      <c r="DJ48" s="78" t="s">
        <v>356</v>
      </c>
      <c r="DK48" s="78" t="s">
        <v>356</v>
      </c>
      <c r="DL48" s="78"/>
      <c r="DM48" s="78" t="s">
        <v>2441</v>
      </c>
      <c r="DN48" s="78" t="s">
        <v>356</v>
      </c>
      <c r="DO48" s="78" t="s">
        <v>356</v>
      </c>
      <c r="DP48" s="78" t="s">
        <v>356</v>
      </c>
      <c r="DQ48" s="78" t="s">
        <v>356</v>
      </c>
      <c r="DR48" s="78" t="s">
        <v>356</v>
      </c>
      <c r="DS48" s="78" t="s">
        <v>356</v>
      </c>
      <c r="DU48" s="21"/>
      <c r="DV48" s="80" t="s">
        <v>1936</v>
      </c>
      <c r="DW48" s="80" t="s">
        <v>2427</v>
      </c>
      <c r="DX48" s="80">
        <v>286</v>
      </c>
      <c r="DY48" s="80">
        <v>289</v>
      </c>
      <c r="DZ48" s="80">
        <v>329</v>
      </c>
      <c r="EA48" s="80">
        <v>371</v>
      </c>
      <c r="EB48" s="80">
        <v>249</v>
      </c>
      <c r="EC48" s="80">
        <v>1524</v>
      </c>
      <c r="ED48" s="80"/>
      <c r="EE48" s="80" t="s">
        <v>2427</v>
      </c>
      <c r="EF48" s="80">
        <v>32</v>
      </c>
      <c r="EG48" s="80">
        <v>0</v>
      </c>
      <c r="EH48" s="80">
        <v>0</v>
      </c>
      <c r="EI48" s="80">
        <v>0</v>
      </c>
      <c r="EJ48" s="80">
        <v>0</v>
      </c>
      <c r="EK48" s="80">
        <v>32</v>
      </c>
      <c r="EN48" s="57" t="s">
        <v>1965</v>
      </c>
      <c r="EO48" s="57" t="s">
        <v>2427</v>
      </c>
      <c r="EP48" s="57" t="s">
        <v>356</v>
      </c>
      <c r="EQ48" s="57" t="s">
        <v>356</v>
      </c>
      <c r="ER48" s="57" t="s">
        <v>356</v>
      </c>
      <c r="ES48" s="57" t="s">
        <v>356</v>
      </c>
      <c r="ET48" s="57" t="s">
        <v>356</v>
      </c>
      <c r="EU48" s="57" t="s">
        <v>356</v>
      </c>
      <c r="EV48" s="57"/>
      <c r="EW48" s="57" t="s">
        <v>2427</v>
      </c>
      <c r="EX48" s="57" t="s">
        <v>356</v>
      </c>
      <c r="EY48" s="57" t="s">
        <v>356</v>
      </c>
      <c r="EZ48" s="57" t="s">
        <v>356</v>
      </c>
      <c r="FA48" s="57" t="s">
        <v>356</v>
      </c>
      <c r="FB48" s="57" t="s">
        <v>356</v>
      </c>
      <c r="FC48" s="57" t="s">
        <v>356</v>
      </c>
      <c r="FF48" s="71" t="s">
        <v>2033</v>
      </c>
      <c r="FG48" s="71" t="s">
        <v>2427</v>
      </c>
      <c r="FH48" s="71">
        <v>1982</v>
      </c>
      <c r="FI48" s="71">
        <v>1159</v>
      </c>
      <c r="FJ48" s="71">
        <v>928</v>
      </c>
      <c r="FK48" s="71">
        <v>864</v>
      </c>
      <c r="FL48" s="71">
        <v>947</v>
      </c>
      <c r="FM48" s="71">
        <v>5880</v>
      </c>
      <c r="FN48" s="71"/>
      <c r="FO48" s="71" t="s">
        <v>2427</v>
      </c>
      <c r="FP48" s="71">
        <v>450</v>
      </c>
      <c r="FQ48" s="71">
        <v>0</v>
      </c>
      <c r="FR48" s="71">
        <v>0</v>
      </c>
      <c r="FS48" s="71">
        <v>0</v>
      </c>
      <c r="FT48" s="71">
        <v>0</v>
      </c>
      <c r="FU48" s="71">
        <v>450</v>
      </c>
    </row>
    <row r="49" spans="2:177">
      <c r="B49" s="65" t="s">
        <v>1057</v>
      </c>
      <c r="C49" s="65" t="s">
        <v>2426</v>
      </c>
      <c r="D49" s="65" t="s">
        <v>356</v>
      </c>
      <c r="E49" s="65" t="s">
        <v>356</v>
      </c>
      <c r="F49" s="65" t="s">
        <v>356</v>
      </c>
      <c r="G49" s="65" t="s">
        <v>356</v>
      </c>
      <c r="H49" s="65" t="s">
        <v>356</v>
      </c>
      <c r="I49" s="65" t="s">
        <v>356</v>
      </c>
      <c r="K49" s="65" t="s">
        <v>2426</v>
      </c>
      <c r="L49" s="65" t="s">
        <v>356</v>
      </c>
      <c r="M49" s="65" t="s">
        <v>356</v>
      </c>
      <c r="N49" s="65" t="s">
        <v>356</v>
      </c>
      <c r="O49" s="65" t="s">
        <v>356</v>
      </c>
      <c r="P49" s="65" t="s">
        <v>356</v>
      </c>
      <c r="Q49" s="65" t="s">
        <v>356</v>
      </c>
      <c r="T49" s="66" t="s">
        <v>2195</v>
      </c>
      <c r="U49" s="66" t="s">
        <v>2427</v>
      </c>
      <c r="V49" s="66" t="s">
        <v>356</v>
      </c>
      <c r="W49" s="66" t="s">
        <v>356</v>
      </c>
      <c r="X49" s="66" t="s">
        <v>356</v>
      </c>
      <c r="Y49" s="66" t="s">
        <v>356</v>
      </c>
      <c r="Z49" s="66" t="s">
        <v>356</v>
      </c>
      <c r="AA49" s="66" t="s">
        <v>356</v>
      </c>
      <c r="AB49" s="66"/>
      <c r="AC49" s="66" t="s">
        <v>2427</v>
      </c>
      <c r="AD49" s="66" t="s">
        <v>356</v>
      </c>
      <c r="AE49" s="66" t="s">
        <v>356</v>
      </c>
      <c r="AF49" s="66" t="s">
        <v>356</v>
      </c>
      <c r="AG49" s="66" t="s">
        <v>356</v>
      </c>
      <c r="AH49" s="66" t="s">
        <v>356</v>
      </c>
      <c r="AI49" s="66" t="s">
        <v>356</v>
      </c>
      <c r="AK49" s="67" t="s">
        <v>2204</v>
      </c>
      <c r="AL49" s="67" t="s">
        <v>2426</v>
      </c>
      <c r="AM49" s="67">
        <v>866</v>
      </c>
      <c r="AN49" s="67">
        <v>942</v>
      </c>
      <c r="AO49" s="67">
        <v>717</v>
      </c>
      <c r="AP49" s="67">
        <v>684</v>
      </c>
      <c r="AQ49" s="67">
        <v>785</v>
      </c>
      <c r="AR49" s="67">
        <v>3994</v>
      </c>
      <c r="AS49" s="67"/>
      <c r="AT49" s="67" t="s">
        <v>2426</v>
      </c>
      <c r="AU49" s="67">
        <v>68</v>
      </c>
      <c r="AV49" s="67">
        <v>22</v>
      </c>
      <c r="AW49" s="67">
        <v>3</v>
      </c>
      <c r="AX49" s="67">
        <v>5</v>
      </c>
      <c r="AY49" s="67">
        <v>8</v>
      </c>
      <c r="AZ49" s="67">
        <v>106</v>
      </c>
      <c r="BB49" s="70" t="s">
        <v>1511</v>
      </c>
      <c r="BC49" s="70" t="s">
        <v>2426</v>
      </c>
      <c r="BD49" s="70">
        <v>474</v>
      </c>
      <c r="BE49" s="70">
        <v>483</v>
      </c>
      <c r="BF49" s="70">
        <v>998</v>
      </c>
      <c r="BG49" s="70">
        <v>1505</v>
      </c>
      <c r="BH49" s="70">
        <v>1343</v>
      </c>
      <c r="BI49" s="70">
        <v>4803</v>
      </c>
      <c r="BJ49" s="70"/>
      <c r="BK49" s="70" t="s">
        <v>2426</v>
      </c>
      <c r="BL49" s="70">
        <v>83</v>
      </c>
      <c r="BM49" s="70">
        <v>0</v>
      </c>
      <c r="BN49" s="70">
        <v>0</v>
      </c>
      <c r="BO49" s="70">
        <v>0</v>
      </c>
      <c r="BP49" s="70">
        <v>0</v>
      </c>
      <c r="BQ49" s="70">
        <v>83</v>
      </c>
      <c r="BS49" s="71" t="s">
        <v>1648</v>
      </c>
      <c r="BT49" s="71" t="s">
        <v>2427</v>
      </c>
      <c r="BU49" s="71">
        <v>48</v>
      </c>
      <c r="BV49" s="71">
        <v>47</v>
      </c>
      <c r="BW49" s="71">
        <v>127</v>
      </c>
      <c r="BX49" s="71">
        <v>203</v>
      </c>
      <c r="BY49" s="71">
        <v>217</v>
      </c>
      <c r="BZ49" s="71">
        <v>642</v>
      </c>
      <c r="CA49" s="71"/>
      <c r="CB49" s="71" t="s">
        <v>2427</v>
      </c>
      <c r="CC49" s="71">
        <v>13</v>
      </c>
      <c r="CD49" s="71">
        <v>0</v>
      </c>
      <c r="CE49" s="71">
        <v>0</v>
      </c>
      <c r="CF49" s="71">
        <v>0</v>
      </c>
      <c r="CG49" s="71">
        <v>0</v>
      </c>
      <c r="CH49" s="71">
        <v>13</v>
      </c>
      <c r="CL49" s="57" t="s">
        <v>538</v>
      </c>
      <c r="CM49" s="57" t="s">
        <v>2427</v>
      </c>
      <c r="CN49" s="57">
        <v>119</v>
      </c>
      <c r="CO49" s="57">
        <v>78</v>
      </c>
      <c r="CP49" s="57">
        <v>155</v>
      </c>
      <c r="CQ49" s="57">
        <v>259</v>
      </c>
      <c r="CR49" s="57">
        <v>280</v>
      </c>
      <c r="CS49" s="57">
        <v>891</v>
      </c>
      <c r="CT49" s="57"/>
      <c r="CU49" s="57" t="s">
        <v>2427</v>
      </c>
      <c r="CV49" s="57">
        <v>21</v>
      </c>
      <c r="CW49" s="57">
        <v>0</v>
      </c>
      <c r="CX49" s="57">
        <v>0</v>
      </c>
      <c r="CY49" s="57">
        <v>0</v>
      </c>
      <c r="CZ49" s="57">
        <v>0</v>
      </c>
      <c r="DA49" s="57">
        <v>21</v>
      </c>
      <c r="DD49" s="78" t="s">
        <v>1803</v>
      </c>
      <c r="DE49" s="78" t="s">
        <v>2441</v>
      </c>
      <c r="DF49" s="78" t="s">
        <v>356</v>
      </c>
      <c r="DG49" s="78" t="s">
        <v>356</v>
      </c>
      <c r="DH49" s="78" t="s">
        <v>356</v>
      </c>
      <c r="DI49" s="78" t="s">
        <v>356</v>
      </c>
      <c r="DJ49" s="78" t="s">
        <v>356</v>
      </c>
      <c r="DK49" s="78" t="s">
        <v>356</v>
      </c>
      <c r="DL49" s="78"/>
      <c r="DM49" s="78" t="s">
        <v>2441</v>
      </c>
      <c r="DN49" s="78" t="s">
        <v>356</v>
      </c>
      <c r="DO49" s="78" t="s">
        <v>356</v>
      </c>
      <c r="DP49" s="78" t="s">
        <v>356</v>
      </c>
      <c r="DQ49" s="78" t="s">
        <v>356</v>
      </c>
      <c r="DR49" s="78" t="s">
        <v>356</v>
      </c>
      <c r="DS49" s="78" t="s">
        <v>356</v>
      </c>
      <c r="DU49" s="21"/>
      <c r="DV49" s="80" t="s">
        <v>1939</v>
      </c>
      <c r="DW49" s="80" t="s">
        <v>2427</v>
      </c>
      <c r="DX49" s="80">
        <v>137</v>
      </c>
      <c r="DY49" s="80">
        <v>119</v>
      </c>
      <c r="DZ49" s="80">
        <v>209</v>
      </c>
      <c r="EA49" s="80">
        <v>277</v>
      </c>
      <c r="EB49" s="80">
        <v>231</v>
      </c>
      <c r="EC49" s="80">
        <v>973</v>
      </c>
      <c r="ED49" s="80"/>
      <c r="EE49" s="80" t="s">
        <v>2427</v>
      </c>
      <c r="EF49" s="80">
        <v>20</v>
      </c>
      <c r="EG49" s="80">
        <v>0</v>
      </c>
      <c r="EH49" s="80">
        <v>0</v>
      </c>
      <c r="EI49" s="80">
        <v>0</v>
      </c>
      <c r="EJ49" s="80">
        <v>0</v>
      </c>
      <c r="EK49" s="80">
        <v>20</v>
      </c>
      <c r="EN49" s="57" t="s">
        <v>1968</v>
      </c>
      <c r="EO49" s="57" t="s">
        <v>2427</v>
      </c>
      <c r="EP49" s="57">
        <v>176</v>
      </c>
      <c r="EQ49" s="57">
        <v>265</v>
      </c>
      <c r="ER49" s="57">
        <v>359</v>
      </c>
      <c r="ES49" s="57">
        <v>394</v>
      </c>
      <c r="ET49" s="57">
        <v>524</v>
      </c>
      <c r="EU49" s="57">
        <v>1718</v>
      </c>
      <c r="EV49" s="57"/>
      <c r="EW49" s="57" t="s">
        <v>2427</v>
      </c>
      <c r="EX49" s="57">
        <v>50</v>
      </c>
      <c r="EY49" s="57">
        <v>29</v>
      </c>
      <c r="EZ49" s="57">
        <v>29</v>
      </c>
      <c r="FA49" s="57">
        <v>14</v>
      </c>
      <c r="FB49" s="57">
        <v>18</v>
      </c>
      <c r="FC49" s="57">
        <v>140</v>
      </c>
      <c r="FF49" s="71" t="s">
        <v>2036</v>
      </c>
      <c r="FG49" s="71" t="s">
        <v>2427</v>
      </c>
      <c r="FH49" s="71">
        <v>167</v>
      </c>
      <c r="FI49" s="71">
        <v>238</v>
      </c>
      <c r="FJ49" s="71">
        <v>349</v>
      </c>
      <c r="FK49" s="71">
        <v>421</v>
      </c>
      <c r="FL49" s="71">
        <v>507</v>
      </c>
      <c r="FM49" s="71">
        <v>1682</v>
      </c>
      <c r="FN49" s="71"/>
      <c r="FO49" s="71" t="s">
        <v>2427</v>
      </c>
      <c r="FP49" s="71">
        <v>13</v>
      </c>
      <c r="FQ49" s="71">
        <v>4</v>
      </c>
      <c r="FR49" s="71">
        <v>4</v>
      </c>
      <c r="FS49" s="71">
        <v>5</v>
      </c>
      <c r="FT49" s="71">
        <v>4</v>
      </c>
      <c r="FU49" s="71">
        <v>30</v>
      </c>
    </row>
    <row r="50" spans="2:177">
      <c r="B50" s="65" t="s">
        <v>162</v>
      </c>
      <c r="C50" s="65" t="s">
        <v>2426</v>
      </c>
      <c r="D50" s="65" t="s">
        <v>356</v>
      </c>
      <c r="E50" s="65" t="s">
        <v>356</v>
      </c>
      <c r="F50" s="65" t="s">
        <v>356</v>
      </c>
      <c r="G50" s="65" t="s">
        <v>356</v>
      </c>
      <c r="H50" s="65" t="s">
        <v>356</v>
      </c>
      <c r="I50" s="65" t="s">
        <v>356</v>
      </c>
      <c r="K50" s="65" t="s">
        <v>2426</v>
      </c>
      <c r="L50" s="65" t="s">
        <v>356</v>
      </c>
      <c r="M50" s="65" t="s">
        <v>356</v>
      </c>
      <c r="N50" s="65" t="s">
        <v>356</v>
      </c>
      <c r="O50" s="65" t="s">
        <v>356</v>
      </c>
      <c r="P50" s="65" t="s">
        <v>356</v>
      </c>
      <c r="Q50" s="65" t="s">
        <v>356</v>
      </c>
      <c r="T50" s="66" t="s">
        <v>1119</v>
      </c>
      <c r="U50" s="66" t="s">
        <v>2427</v>
      </c>
      <c r="V50" s="66">
        <v>267</v>
      </c>
      <c r="W50" s="66">
        <v>179</v>
      </c>
      <c r="X50" s="66">
        <v>331</v>
      </c>
      <c r="Y50" s="66">
        <v>505</v>
      </c>
      <c r="Z50" s="66">
        <v>410</v>
      </c>
      <c r="AA50" s="66">
        <v>1692</v>
      </c>
      <c r="AB50" s="66"/>
      <c r="AC50" s="66" t="s">
        <v>2427</v>
      </c>
      <c r="AD50" s="66">
        <v>26</v>
      </c>
      <c r="AE50" s="66">
        <v>0</v>
      </c>
      <c r="AF50" s="66">
        <v>0</v>
      </c>
      <c r="AG50" s="66">
        <v>0</v>
      </c>
      <c r="AH50" s="66">
        <v>0</v>
      </c>
      <c r="AI50" s="66">
        <v>26</v>
      </c>
      <c r="AK50" s="67" t="s">
        <v>2206</v>
      </c>
      <c r="AL50" s="67" t="s">
        <v>2426</v>
      </c>
      <c r="AM50" s="67">
        <v>744</v>
      </c>
      <c r="AN50" s="67">
        <v>1033</v>
      </c>
      <c r="AO50" s="67">
        <v>740</v>
      </c>
      <c r="AP50" s="67">
        <v>742</v>
      </c>
      <c r="AQ50" s="67">
        <v>864</v>
      </c>
      <c r="AR50" s="67">
        <v>4123</v>
      </c>
      <c r="AS50" s="67"/>
      <c r="AT50" s="67" t="s">
        <v>2426</v>
      </c>
      <c r="AU50" s="67">
        <v>53</v>
      </c>
      <c r="AV50" s="67">
        <v>12</v>
      </c>
      <c r="AW50" s="67">
        <v>5</v>
      </c>
      <c r="AX50" s="67">
        <v>8</v>
      </c>
      <c r="AY50" s="67">
        <v>18</v>
      </c>
      <c r="AZ50" s="67">
        <v>96</v>
      </c>
      <c r="BB50" s="70" t="s">
        <v>1515</v>
      </c>
      <c r="BC50" s="70" t="s">
        <v>2426</v>
      </c>
      <c r="BD50" s="70">
        <v>86</v>
      </c>
      <c r="BE50" s="70">
        <v>81</v>
      </c>
      <c r="BF50" s="70">
        <v>169</v>
      </c>
      <c r="BG50" s="70">
        <v>256</v>
      </c>
      <c r="BH50" s="70">
        <v>279</v>
      </c>
      <c r="BI50" s="70">
        <v>871</v>
      </c>
      <c r="BJ50" s="70"/>
      <c r="BK50" s="70" t="s">
        <v>2426</v>
      </c>
      <c r="BL50" s="70">
        <v>24</v>
      </c>
      <c r="BM50" s="70">
        <v>0</v>
      </c>
      <c r="BN50" s="70">
        <v>0</v>
      </c>
      <c r="BO50" s="70">
        <v>0</v>
      </c>
      <c r="BP50" s="70">
        <v>0</v>
      </c>
      <c r="BQ50" s="70">
        <v>24</v>
      </c>
      <c r="BS50" s="71" t="s">
        <v>1650</v>
      </c>
      <c r="BT50" s="71" t="s">
        <v>2427</v>
      </c>
      <c r="BU50" s="71">
        <v>50</v>
      </c>
      <c r="BV50" s="71">
        <v>66</v>
      </c>
      <c r="BW50" s="71">
        <v>122</v>
      </c>
      <c r="BX50" s="71">
        <v>184</v>
      </c>
      <c r="BY50" s="71">
        <v>183</v>
      </c>
      <c r="BZ50" s="71">
        <v>605</v>
      </c>
      <c r="CA50" s="71"/>
      <c r="CB50" s="71" t="s">
        <v>2427</v>
      </c>
      <c r="CC50" s="71">
        <v>12</v>
      </c>
      <c r="CD50" s="71">
        <v>0</v>
      </c>
      <c r="CE50" s="71">
        <v>0</v>
      </c>
      <c r="CF50" s="71">
        <v>0</v>
      </c>
      <c r="CG50" s="71">
        <v>0</v>
      </c>
      <c r="CH50" s="71">
        <v>12</v>
      </c>
      <c r="CL50" s="57" t="s">
        <v>540</v>
      </c>
      <c r="CM50" s="57" t="s">
        <v>2427</v>
      </c>
      <c r="CN50" s="57">
        <v>1643</v>
      </c>
      <c r="CO50" s="57">
        <v>661</v>
      </c>
      <c r="CP50" s="57">
        <v>795</v>
      </c>
      <c r="CQ50" s="57">
        <v>945</v>
      </c>
      <c r="CR50" s="57">
        <v>859</v>
      </c>
      <c r="CS50" s="57">
        <v>4903</v>
      </c>
      <c r="CT50" s="57"/>
      <c r="CU50" s="57" t="s">
        <v>2427</v>
      </c>
      <c r="CV50" s="57">
        <v>314</v>
      </c>
      <c r="CW50" s="57">
        <v>0</v>
      </c>
      <c r="CX50" s="57">
        <v>0</v>
      </c>
      <c r="CY50" s="57">
        <v>0</v>
      </c>
      <c r="CZ50" s="57">
        <v>0</v>
      </c>
      <c r="DA50" s="57">
        <v>314</v>
      </c>
      <c r="DD50" s="78" t="s">
        <v>1809</v>
      </c>
      <c r="DE50" s="78" t="s">
        <v>2441</v>
      </c>
      <c r="DF50" s="78" t="s">
        <v>356</v>
      </c>
      <c r="DG50" s="78" t="s">
        <v>356</v>
      </c>
      <c r="DH50" s="78" t="s">
        <v>356</v>
      </c>
      <c r="DI50" s="78" t="s">
        <v>356</v>
      </c>
      <c r="DJ50" s="78" t="s">
        <v>356</v>
      </c>
      <c r="DK50" s="78" t="s">
        <v>356</v>
      </c>
      <c r="DL50" s="78"/>
      <c r="DM50" s="78" t="s">
        <v>2441</v>
      </c>
      <c r="DN50" s="78" t="s">
        <v>356</v>
      </c>
      <c r="DO50" s="78" t="s">
        <v>356</v>
      </c>
      <c r="DP50" s="78" t="s">
        <v>356</v>
      </c>
      <c r="DQ50" s="78" t="s">
        <v>356</v>
      </c>
      <c r="DR50" s="78" t="s">
        <v>356</v>
      </c>
      <c r="DS50" s="78" t="s">
        <v>356</v>
      </c>
      <c r="DU50" s="21"/>
      <c r="DV50" s="80" t="s">
        <v>1897</v>
      </c>
      <c r="DW50" s="80" t="s">
        <v>2427</v>
      </c>
      <c r="DX50" s="80">
        <v>2837</v>
      </c>
      <c r="DY50" s="80">
        <v>1171</v>
      </c>
      <c r="DZ50" s="80">
        <v>1044</v>
      </c>
      <c r="EA50" s="80">
        <v>1022</v>
      </c>
      <c r="EB50" s="80">
        <v>1266</v>
      </c>
      <c r="EC50" s="80">
        <v>7340</v>
      </c>
      <c r="ED50" s="80"/>
      <c r="EE50" s="80" t="s">
        <v>2427</v>
      </c>
      <c r="EF50" s="80">
        <v>351</v>
      </c>
      <c r="EG50" s="80">
        <v>0</v>
      </c>
      <c r="EH50" s="80">
        <v>0</v>
      </c>
      <c r="EI50" s="80">
        <v>0</v>
      </c>
      <c r="EJ50" s="80">
        <v>0</v>
      </c>
      <c r="EK50" s="80">
        <v>351</v>
      </c>
      <c r="EN50" s="57" t="s">
        <v>2389</v>
      </c>
      <c r="EO50" s="57" t="s">
        <v>2427</v>
      </c>
      <c r="EP50" s="57">
        <v>69</v>
      </c>
      <c r="EQ50" s="57">
        <v>160</v>
      </c>
      <c r="ER50" s="57">
        <v>207</v>
      </c>
      <c r="ES50" s="57">
        <v>254</v>
      </c>
      <c r="ET50" s="57">
        <v>362</v>
      </c>
      <c r="EU50" s="57">
        <v>1052</v>
      </c>
      <c r="EV50" s="57"/>
      <c r="EW50" s="57" t="s">
        <v>2427</v>
      </c>
      <c r="EX50" s="57">
        <v>5</v>
      </c>
      <c r="EY50" s="57">
        <v>6</v>
      </c>
      <c r="EZ50" s="57">
        <v>2</v>
      </c>
      <c r="FA50" s="57">
        <v>1</v>
      </c>
      <c r="FB50" s="57">
        <v>5</v>
      </c>
      <c r="FC50" s="57">
        <v>19</v>
      </c>
      <c r="FF50" s="71" t="s">
        <v>2038</v>
      </c>
      <c r="FG50" s="71" t="s">
        <v>2427</v>
      </c>
      <c r="FH50" s="71" t="s">
        <v>356</v>
      </c>
      <c r="FI50" s="71" t="s">
        <v>356</v>
      </c>
      <c r="FJ50" s="71" t="s">
        <v>356</v>
      </c>
      <c r="FK50" s="71" t="s">
        <v>356</v>
      </c>
      <c r="FL50" s="71" t="s">
        <v>356</v>
      </c>
      <c r="FM50" s="71" t="s">
        <v>356</v>
      </c>
      <c r="FN50" s="71"/>
      <c r="FO50" s="71" t="s">
        <v>2427</v>
      </c>
      <c r="FP50" s="71" t="s">
        <v>356</v>
      </c>
      <c r="FQ50" s="71" t="s">
        <v>356</v>
      </c>
      <c r="FR50" s="71" t="s">
        <v>356</v>
      </c>
      <c r="FS50" s="71" t="s">
        <v>356</v>
      </c>
      <c r="FT50" s="71" t="s">
        <v>356</v>
      </c>
      <c r="FU50" s="71" t="s">
        <v>356</v>
      </c>
    </row>
    <row r="51" spans="2:177">
      <c r="B51" s="15"/>
      <c r="D51" s="15"/>
      <c r="E51" s="15"/>
      <c r="F51" s="15"/>
      <c r="G51" s="15"/>
      <c r="H51" s="15"/>
      <c r="I51" s="15"/>
      <c r="J51" s="15"/>
      <c r="L51" s="15"/>
      <c r="M51" s="15"/>
      <c r="N51" s="15"/>
      <c r="O51" s="15"/>
      <c r="P51" s="15"/>
      <c r="Q51" s="15"/>
      <c r="T51" s="66" t="s">
        <v>1125</v>
      </c>
      <c r="U51" s="66" t="s">
        <v>2427</v>
      </c>
      <c r="V51" s="66">
        <v>197</v>
      </c>
      <c r="W51" s="66">
        <v>249</v>
      </c>
      <c r="X51" s="66">
        <v>427</v>
      </c>
      <c r="Y51" s="66">
        <v>611</v>
      </c>
      <c r="Z51" s="66">
        <v>434</v>
      </c>
      <c r="AA51" s="66">
        <v>1918</v>
      </c>
      <c r="AB51" s="66"/>
      <c r="AC51" s="66" t="s">
        <v>2427</v>
      </c>
      <c r="AD51" s="66">
        <v>18</v>
      </c>
      <c r="AE51" s="66">
        <v>2</v>
      </c>
      <c r="AF51" s="66">
        <v>0</v>
      </c>
      <c r="AG51" s="66">
        <v>0</v>
      </c>
      <c r="AH51" s="66">
        <v>0</v>
      </c>
      <c r="AI51" s="66">
        <v>20</v>
      </c>
      <c r="AK51" s="67" t="s">
        <v>2208</v>
      </c>
      <c r="AL51" s="67" t="s">
        <v>2426</v>
      </c>
      <c r="AM51" s="67">
        <v>601</v>
      </c>
      <c r="AN51" s="67">
        <v>464</v>
      </c>
      <c r="AO51" s="67">
        <v>580</v>
      </c>
      <c r="AP51" s="67">
        <v>549</v>
      </c>
      <c r="AQ51" s="67">
        <v>757</v>
      </c>
      <c r="AR51" s="67">
        <v>2951</v>
      </c>
      <c r="AS51" s="67"/>
      <c r="AT51" s="67" t="s">
        <v>2426</v>
      </c>
      <c r="AU51" s="67">
        <v>63</v>
      </c>
      <c r="AV51" s="67">
        <v>12</v>
      </c>
      <c r="AW51" s="67">
        <v>11</v>
      </c>
      <c r="AX51" s="67">
        <v>4</v>
      </c>
      <c r="AY51" s="67">
        <v>16</v>
      </c>
      <c r="AZ51" s="67">
        <v>106</v>
      </c>
      <c r="BB51" s="70" t="s">
        <v>1520</v>
      </c>
      <c r="BC51" s="70" t="s">
        <v>2426</v>
      </c>
      <c r="BD51" s="70">
        <v>505</v>
      </c>
      <c r="BE51" s="70">
        <v>363</v>
      </c>
      <c r="BF51" s="70">
        <v>530</v>
      </c>
      <c r="BG51" s="70">
        <v>738</v>
      </c>
      <c r="BH51" s="70">
        <v>691</v>
      </c>
      <c r="BI51" s="70">
        <v>2827</v>
      </c>
      <c r="BJ51" s="70"/>
      <c r="BK51" s="70" t="s">
        <v>2426</v>
      </c>
      <c r="BL51" s="70">
        <v>63</v>
      </c>
      <c r="BM51" s="70">
        <v>0</v>
      </c>
      <c r="BN51" s="70">
        <v>0</v>
      </c>
      <c r="BO51" s="70">
        <v>0</v>
      </c>
      <c r="BP51" s="70">
        <v>0</v>
      </c>
      <c r="BQ51" s="70">
        <v>63</v>
      </c>
      <c r="BS51" s="71" t="s">
        <v>1655</v>
      </c>
      <c r="BT51" s="71" t="s">
        <v>2427</v>
      </c>
      <c r="BU51" s="71">
        <v>99</v>
      </c>
      <c r="BV51" s="71">
        <v>60</v>
      </c>
      <c r="BW51" s="71">
        <v>111</v>
      </c>
      <c r="BX51" s="71">
        <v>179</v>
      </c>
      <c r="BY51" s="71">
        <v>176</v>
      </c>
      <c r="BZ51" s="71">
        <v>625</v>
      </c>
      <c r="CA51" s="71"/>
      <c r="CB51" s="71" t="s">
        <v>2427</v>
      </c>
      <c r="CC51" s="71">
        <v>18</v>
      </c>
      <c r="CD51" s="71">
        <v>0</v>
      </c>
      <c r="CE51" s="71">
        <v>0</v>
      </c>
      <c r="CF51" s="71">
        <v>0</v>
      </c>
      <c r="CG51" s="71">
        <v>0</v>
      </c>
      <c r="CH51" s="71">
        <v>18</v>
      </c>
      <c r="CL51" s="57" t="s">
        <v>389</v>
      </c>
      <c r="CM51" s="57" t="s">
        <v>2427</v>
      </c>
      <c r="CN51" s="57">
        <v>489</v>
      </c>
      <c r="CO51" s="57">
        <v>320</v>
      </c>
      <c r="CP51" s="57">
        <v>375</v>
      </c>
      <c r="CQ51" s="57">
        <v>442</v>
      </c>
      <c r="CR51" s="57">
        <v>430</v>
      </c>
      <c r="CS51" s="57">
        <v>2056</v>
      </c>
      <c r="CT51" s="57"/>
      <c r="CU51" s="57" t="s">
        <v>2427</v>
      </c>
      <c r="CV51" s="57">
        <v>93</v>
      </c>
      <c r="CW51" s="57">
        <v>0</v>
      </c>
      <c r="CX51" s="57">
        <v>0</v>
      </c>
      <c r="CY51" s="57">
        <v>0</v>
      </c>
      <c r="CZ51" s="57">
        <v>0</v>
      </c>
      <c r="DA51" s="57">
        <v>93</v>
      </c>
      <c r="DD51" s="78" t="s">
        <v>1813</v>
      </c>
      <c r="DE51" s="78" t="s">
        <v>2441</v>
      </c>
      <c r="DF51" s="78" t="s">
        <v>356</v>
      </c>
      <c r="DG51" s="78" t="s">
        <v>356</v>
      </c>
      <c r="DH51" s="78" t="s">
        <v>356</v>
      </c>
      <c r="DI51" s="78" t="s">
        <v>356</v>
      </c>
      <c r="DJ51" s="78" t="s">
        <v>356</v>
      </c>
      <c r="DK51" s="78" t="s">
        <v>356</v>
      </c>
      <c r="DL51" s="78"/>
      <c r="DM51" s="78" t="s">
        <v>2441</v>
      </c>
      <c r="DN51" s="78" t="s">
        <v>356</v>
      </c>
      <c r="DO51" s="78" t="s">
        <v>356</v>
      </c>
      <c r="DP51" s="78" t="s">
        <v>356</v>
      </c>
      <c r="DQ51" s="78" t="s">
        <v>356</v>
      </c>
      <c r="DR51" s="78" t="s">
        <v>356</v>
      </c>
      <c r="DS51" s="78" t="s">
        <v>356</v>
      </c>
      <c r="DU51" s="21"/>
      <c r="EN51" s="57" t="s">
        <v>1975</v>
      </c>
      <c r="EO51" s="57" t="s">
        <v>2427</v>
      </c>
      <c r="EP51" s="57">
        <v>448</v>
      </c>
      <c r="EQ51" s="57">
        <v>596</v>
      </c>
      <c r="ER51" s="57">
        <v>705</v>
      </c>
      <c r="ES51" s="57">
        <v>813</v>
      </c>
      <c r="ET51" s="57">
        <v>997</v>
      </c>
      <c r="EU51" s="57">
        <v>3559</v>
      </c>
      <c r="EV51" s="57"/>
      <c r="EW51" s="57" t="s">
        <v>2427</v>
      </c>
      <c r="EX51" s="57">
        <v>74</v>
      </c>
      <c r="EY51" s="57">
        <v>30</v>
      </c>
      <c r="EZ51" s="57">
        <v>24</v>
      </c>
      <c r="FA51" s="57">
        <v>25</v>
      </c>
      <c r="FB51" s="57">
        <v>33</v>
      </c>
      <c r="FC51" s="57">
        <v>186</v>
      </c>
      <c r="FF51" s="71" t="s">
        <v>2041</v>
      </c>
      <c r="FG51" s="71" t="s">
        <v>2427</v>
      </c>
      <c r="FH51" s="71" t="s">
        <v>356</v>
      </c>
      <c r="FI51" s="71" t="s">
        <v>356</v>
      </c>
      <c r="FJ51" s="71" t="s">
        <v>356</v>
      </c>
      <c r="FK51" s="71" t="s">
        <v>356</v>
      </c>
      <c r="FL51" s="71" t="s">
        <v>356</v>
      </c>
      <c r="FM51" s="71" t="s">
        <v>356</v>
      </c>
      <c r="FN51" s="71"/>
      <c r="FO51" s="71" t="s">
        <v>2427</v>
      </c>
      <c r="FP51" s="71" t="s">
        <v>356</v>
      </c>
      <c r="FQ51" s="71" t="s">
        <v>356</v>
      </c>
      <c r="FR51" s="71" t="s">
        <v>356</v>
      </c>
      <c r="FS51" s="71" t="s">
        <v>356</v>
      </c>
      <c r="FT51" s="71" t="s">
        <v>356</v>
      </c>
      <c r="FU51" s="71" t="s">
        <v>356</v>
      </c>
    </row>
    <row r="52" spans="2:177">
      <c r="B52" s="65" t="s">
        <v>812</v>
      </c>
      <c r="C52" s="65" t="s">
        <v>2427</v>
      </c>
      <c r="D52" s="65">
        <v>103</v>
      </c>
      <c r="E52" s="65">
        <v>170</v>
      </c>
      <c r="F52" s="65">
        <v>284</v>
      </c>
      <c r="G52" s="65">
        <v>348</v>
      </c>
      <c r="H52" s="65">
        <v>336</v>
      </c>
      <c r="I52" s="65">
        <v>1241</v>
      </c>
      <c r="K52" s="65" t="s">
        <v>2427</v>
      </c>
      <c r="L52" s="65">
        <v>7</v>
      </c>
      <c r="M52" s="65">
        <v>1</v>
      </c>
      <c r="N52" s="65">
        <v>0</v>
      </c>
      <c r="O52" s="65">
        <v>0</v>
      </c>
      <c r="P52" s="65">
        <v>0</v>
      </c>
      <c r="Q52" s="65">
        <v>8</v>
      </c>
      <c r="T52" s="66" t="s">
        <v>1130</v>
      </c>
      <c r="U52" s="66" t="s">
        <v>2427</v>
      </c>
      <c r="V52" s="66">
        <v>1500</v>
      </c>
      <c r="W52" s="66">
        <v>1409</v>
      </c>
      <c r="X52" s="66">
        <v>1373</v>
      </c>
      <c r="Y52" s="66">
        <v>1382</v>
      </c>
      <c r="Z52" s="66">
        <v>1011</v>
      </c>
      <c r="AA52" s="66">
        <v>6675</v>
      </c>
      <c r="AB52" s="66"/>
      <c r="AC52" s="66" t="s">
        <v>2427</v>
      </c>
      <c r="AD52" s="66">
        <v>143</v>
      </c>
      <c r="AE52" s="66">
        <v>40</v>
      </c>
      <c r="AF52" s="66">
        <v>7</v>
      </c>
      <c r="AG52" s="66">
        <v>0</v>
      </c>
      <c r="AH52" s="66">
        <v>0</v>
      </c>
      <c r="AI52" s="66">
        <v>190</v>
      </c>
      <c r="AK52" s="67" t="s">
        <v>2210</v>
      </c>
      <c r="AL52" s="67" t="s">
        <v>2426</v>
      </c>
      <c r="AM52" s="67">
        <v>1021</v>
      </c>
      <c r="AN52" s="67">
        <v>956</v>
      </c>
      <c r="AO52" s="67">
        <v>850</v>
      </c>
      <c r="AP52" s="67">
        <v>809</v>
      </c>
      <c r="AQ52" s="67">
        <v>1126</v>
      </c>
      <c r="AR52" s="67">
        <v>4762</v>
      </c>
      <c r="AS52" s="67"/>
      <c r="AT52" s="67" t="s">
        <v>2426</v>
      </c>
      <c r="AU52" s="67">
        <v>82</v>
      </c>
      <c r="AV52" s="67">
        <v>4</v>
      </c>
      <c r="AW52" s="67">
        <v>3</v>
      </c>
      <c r="AX52" s="67">
        <v>1</v>
      </c>
      <c r="AY52" s="67">
        <v>9</v>
      </c>
      <c r="AZ52" s="67">
        <v>99</v>
      </c>
      <c r="BB52" s="70" t="s">
        <v>1523</v>
      </c>
      <c r="BC52" s="70" t="s">
        <v>2426</v>
      </c>
      <c r="BD52" s="70">
        <v>192</v>
      </c>
      <c r="BE52" s="70">
        <v>190</v>
      </c>
      <c r="BF52" s="70">
        <v>350</v>
      </c>
      <c r="BG52" s="70">
        <v>470</v>
      </c>
      <c r="BH52" s="70">
        <v>443</v>
      </c>
      <c r="BI52" s="70">
        <v>1645</v>
      </c>
      <c r="BJ52" s="70"/>
      <c r="BK52" s="70" t="s">
        <v>2426</v>
      </c>
      <c r="BL52" s="70">
        <v>40</v>
      </c>
      <c r="BM52" s="70">
        <v>0</v>
      </c>
      <c r="BN52" s="70">
        <v>0</v>
      </c>
      <c r="BO52" s="70">
        <v>0</v>
      </c>
      <c r="BP52" s="70">
        <v>0</v>
      </c>
      <c r="BQ52" s="70">
        <v>40</v>
      </c>
      <c r="BS52" s="71" t="s">
        <v>1661</v>
      </c>
      <c r="BT52" s="71" t="s">
        <v>2427</v>
      </c>
      <c r="BU52" s="71">
        <v>71</v>
      </c>
      <c r="BV52" s="71">
        <v>36</v>
      </c>
      <c r="BW52" s="71">
        <v>90</v>
      </c>
      <c r="BX52" s="71">
        <v>99</v>
      </c>
      <c r="BY52" s="71">
        <v>130</v>
      </c>
      <c r="BZ52" s="71">
        <v>426</v>
      </c>
      <c r="CA52" s="71"/>
      <c r="CB52" s="71" t="s">
        <v>2427</v>
      </c>
      <c r="CC52" s="71">
        <v>20</v>
      </c>
      <c r="CD52" s="71">
        <v>0</v>
      </c>
      <c r="CE52" s="71">
        <v>0</v>
      </c>
      <c r="CF52" s="71">
        <v>0</v>
      </c>
      <c r="CG52" s="71">
        <v>0</v>
      </c>
      <c r="CH52" s="71">
        <v>20</v>
      </c>
      <c r="CL52" s="57" t="s">
        <v>390</v>
      </c>
      <c r="CM52" s="57" t="s">
        <v>2427</v>
      </c>
      <c r="CN52" s="57">
        <v>469</v>
      </c>
      <c r="CO52" s="57">
        <v>276</v>
      </c>
      <c r="CP52" s="57">
        <v>428</v>
      </c>
      <c r="CQ52" s="57">
        <v>518</v>
      </c>
      <c r="CR52" s="57">
        <v>502</v>
      </c>
      <c r="CS52" s="57">
        <v>2193</v>
      </c>
      <c r="CT52" s="57"/>
      <c r="CU52" s="57" t="s">
        <v>2427</v>
      </c>
      <c r="CV52" s="57">
        <v>150</v>
      </c>
      <c r="CW52" s="57">
        <v>0</v>
      </c>
      <c r="CX52" s="57">
        <v>0</v>
      </c>
      <c r="CY52" s="57">
        <v>0</v>
      </c>
      <c r="CZ52" s="57">
        <v>0</v>
      </c>
      <c r="DA52" s="57">
        <v>150</v>
      </c>
      <c r="DD52" s="78" t="s">
        <v>1816</v>
      </c>
      <c r="DE52" s="78" t="s">
        <v>2441</v>
      </c>
      <c r="DF52" s="78" t="s">
        <v>356</v>
      </c>
      <c r="DG52" s="78" t="s">
        <v>356</v>
      </c>
      <c r="DH52" s="78" t="s">
        <v>356</v>
      </c>
      <c r="DI52" s="78" t="s">
        <v>356</v>
      </c>
      <c r="DJ52" s="78" t="s">
        <v>356</v>
      </c>
      <c r="DK52" s="78" t="s">
        <v>356</v>
      </c>
      <c r="DL52" s="78"/>
      <c r="DM52" s="78" t="s">
        <v>2441</v>
      </c>
      <c r="DN52" s="78" t="s">
        <v>356</v>
      </c>
      <c r="DO52" s="78" t="s">
        <v>356</v>
      </c>
      <c r="DP52" s="78" t="s">
        <v>356</v>
      </c>
      <c r="DQ52" s="78" t="s">
        <v>356</v>
      </c>
      <c r="DR52" s="78" t="s">
        <v>356</v>
      </c>
      <c r="DS52" s="78" t="s">
        <v>356</v>
      </c>
      <c r="DU52" s="21"/>
      <c r="DV52" s="80" t="s">
        <v>1843</v>
      </c>
      <c r="DW52" s="80" t="s">
        <v>2437</v>
      </c>
      <c r="DX52" s="80">
        <v>619</v>
      </c>
      <c r="DY52" s="80">
        <v>517</v>
      </c>
      <c r="DZ52" s="80">
        <v>565</v>
      </c>
      <c r="EA52" s="80">
        <v>618</v>
      </c>
      <c r="EB52" s="80">
        <v>471</v>
      </c>
      <c r="EC52" s="80">
        <v>2790</v>
      </c>
      <c r="ED52" s="80"/>
      <c r="EE52" s="80" t="s">
        <v>2437</v>
      </c>
      <c r="EF52" s="80">
        <v>58</v>
      </c>
      <c r="EG52" s="80">
        <v>3</v>
      </c>
      <c r="EH52" s="80">
        <v>0</v>
      </c>
      <c r="EI52" s="80">
        <v>0</v>
      </c>
      <c r="EJ52" s="80">
        <v>0</v>
      </c>
      <c r="EK52" s="80">
        <v>61</v>
      </c>
      <c r="EN52" s="57" t="s">
        <v>1978</v>
      </c>
      <c r="EO52" s="57" t="s">
        <v>2427</v>
      </c>
      <c r="EP52" s="57">
        <v>278</v>
      </c>
      <c r="EQ52" s="57">
        <v>483</v>
      </c>
      <c r="ER52" s="57">
        <v>557</v>
      </c>
      <c r="ES52" s="57">
        <v>683</v>
      </c>
      <c r="ET52" s="57">
        <v>853</v>
      </c>
      <c r="EU52" s="57">
        <v>2854</v>
      </c>
      <c r="EV52" s="57"/>
      <c r="EW52" s="57" t="s">
        <v>2427</v>
      </c>
      <c r="EX52" s="57">
        <v>68</v>
      </c>
      <c r="EY52" s="57">
        <v>46</v>
      </c>
      <c r="EZ52" s="57">
        <v>18</v>
      </c>
      <c r="FA52" s="57">
        <v>15</v>
      </c>
      <c r="FB52" s="57">
        <v>23</v>
      </c>
      <c r="FC52" s="57">
        <v>170</v>
      </c>
      <c r="FF52" s="71" t="s">
        <v>2044</v>
      </c>
      <c r="FG52" s="71" t="s">
        <v>2427</v>
      </c>
      <c r="FH52" s="71">
        <v>137</v>
      </c>
      <c r="FI52" s="71">
        <v>147</v>
      </c>
      <c r="FJ52" s="71">
        <v>264</v>
      </c>
      <c r="FK52" s="71">
        <v>372</v>
      </c>
      <c r="FL52" s="71">
        <v>408</v>
      </c>
      <c r="FM52" s="71">
        <v>1328</v>
      </c>
      <c r="FN52" s="71"/>
      <c r="FO52" s="71" t="s">
        <v>2427</v>
      </c>
      <c r="FP52" s="71">
        <v>26</v>
      </c>
      <c r="FQ52" s="71">
        <v>3</v>
      </c>
      <c r="FR52" s="71">
        <v>5</v>
      </c>
      <c r="FS52" s="71">
        <v>3</v>
      </c>
      <c r="FT52" s="71">
        <v>2</v>
      </c>
      <c r="FU52" s="71">
        <v>39</v>
      </c>
    </row>
    <row r="53" spans="2:177">
      <c r="B53" s="65" t="s">
        <v>821</v>
      </c>
      <c r="C53" s="65" t="s">
        <v>2427</v>
      </c>
      <c r="D53" s="65">
        <v>207</v>
      </c>
      <c r="E53" s="65">
        <v>422</v>
      </c>
      <c r="F53" s="65">
        <v>553</v>
      </c>
      <c r="G53" s="65">
        <v>698</v>
      </c>
      <c r="H53" s="65">
        <v>555</v>
      </c>
      <c r="I53" s="65">
        <v>2435</v>
      </c>
      <c r="K53" s="65" t="s">
        <v>2427</v>
      </c>
      <c r="L53" s="65">
        <v>7</v>
      </c>
      <c r="M53" s="65">
        <v>1</v>
      </c>
      <c r="N53" s="65">
        <v>0</v>
      </c>
      <c r="O53" s="65">
        <v>0</v>
      </c>
      <c r="P53" s="65">
        <v>0</v>
      </c>
      <c r="Q53" s="65">
        <v>8</v>
      </c>
      <c r="T53" s="66" t="s">
        <v>1136</v>
      </c>
      <c r="U53" s="66" t="s">
        <v>2427</v>
      </c>
      <c r="V53" s="66">
        <v>1452</v>
      </c>
      <c r="W53" s="66">
        <v>1157</v>
      </c>
      <c r="X53" s="66">
        <v>1382</v>
      </c>
      <c r="Y53" s="66">
        <v>1401</v>
      </c>
      <c r="Z53" s="66">
        <v>927</v>
      </c>
      <c r="AA53" s="66">
        <v>6319</v>
      </c>
      <c r="AB53" s="66"/>
      <c r="AC53" s="66" t="s">
        <v>2427</v>
      </c>
      <c r="AD53" s="66">
        <v>81</v>
      </c>
      <c r="AE53" s="66">
        <v>9</v>
      </c>
      <c r="AF53" s="66">
        <v>1</v>
      </c>
      <c r="AG53" s="66">
        <v>0</v>
      </c>
      <c r="AH53" s="66">
        <v>1</v>
      </c>
      <c r="AI53" s="66">
        <v>92</v>
      </c>
      <c r="AK53" s="67" t="s">
        <v>2212</v>
      </c>
      <c r="AL53" s="67" t="s">
        <v>2426</v>
      </c>
      <c r="AM53" s="67">
        <v>852</v>
      </c>
      <c r="AN53" s="67">
        <v>760</v>
      </c>
      <c r="AO53" s="67">
        <v>732</v>
      </c>
      <c r="AP53" s="67">
        <v>725</v>
      </c>
      <c r="AQ53" s="67">
        <v>909</v>
      </c>
      <c r="AR53" s="67">
        <v>3978</v>
      </c>
      <c r="AS53" s="67"/>
      <c r="AT53" s="67" t="s">
        <v>2426</v>
      </c>
      <c r="AU53" s="67">
        <v>58</v>
      </c>
      <c r="AV53" s="67">
        <v>6</v>
      </c>
      <c r="AW53" s="67">
        <v>3</v>
      </c>
      <c r="AX53" s="67">
        <v>12</v>
      </c>
      <c r="AY53" s="67">
        <v>11</v>
      </c>
      <c r="AZ53" s="67">
        <v>90</v>
      </c>
      <c r="BB53" s="70" t="s">
        <v>1527</v>
      </c>
      <c r="BC53" s="70" t="s">
        <v>2426</v>
      </c>
      <c r="BD53" s="70">
        <v>111</v>
      </c>
      <c r="BE53" s="70">
        <v>124</v>
      </c>
      <c r="BF53" s="70">
        <v>292</v>
      </c>
      <c r="BG53" s="70">
        <v>458</v>
      </c>
      <c r="BH53" s="70">
        <v>477</v>
      </c>
      <c r="BI53" s="70">
        <v>1462</v>
      </c>
      <c r="BJ53" s="70"/>
      <c r="BK53" s="70" t="s">
        <v>2426</v>
      </c>
      <c r="BL53" s="70">
        <v>20</v>
      </c>
      <c r="BM53" s="70">
        <v>0</v>
      </c>
      <c r="BN53" s="70">
        <v>0</v>
      </c>
      <c r="BO53" s="70">
        <v>0</v>
      </c>
      <c r="BP53" s="70">
        <v>0</v>
      </c>
      <c r="BQ53" s="70">
        <v>20</v>
      </c>
      <c r="CL53" s="57" t="s">
        <v>391</v>
      </c>
      <c r="CM53" s="57" t="s">
        <v>2427</v>
      </c>
      <c r="CN53" s="57">
        <v>138</v>
      </c>
      <c r="CO53" s="57">
        <v>77</v>
      </c>
      <c r="CP53" s="57">
        <v>115</v>
      </c>
      <c r="CQ53" s="57">
        <v>178</v>
      </c>
      <c r="CR53" s="57">
        <v>164</v>
      </c>
      <c r="CS53" s="57">
        <v>672</v>
      </c>
      <c r="CT53" s="57"/>
      <c r="CU53" s="57" t="s">
        <v>2427</v>
      </c>
      <c r="CV53" s="57">
        <v>18</v>
      </c>
      <c r="CW53" s="57">
        <v>0</v>
      </c>
      <c r="CX53" s="57">
        <v>0</v>
      </c>
      <c r="CY53" s="57">
        <v>0</v>
      </c>
      <c r="CZ53" s="57">
        <v>0</v>
      </c>
      <c r="DA53" s="57">
        <v>18</v>
      </c>
      <c r="DD53" s="78" t="s">
        <v>1820</v>
      </c>
      <c r="DE53" s="78" t="s">
        <v>2441</v>
      </c>
      <c r="DF53" s="78" t="s">
        <v>356</v>
      </c>
      <c r="DG53" s="78" t="s">
        <v>356</v>
      </c>
      <c r="DH53" s="78" t="s">
        <v>356</v>
      </c>
      <c r="DI53" s="78" t="s">
        <v>356</v>
      </c>
      <c r="DJ53" s="78" t="s">
        <v>356</v>
      </c>
      <c r="DK53" s="78" t="s">
        <v>356</v>
      </c>
      <c r="DL53" s="78"/>
      <c r="DM53" s="78" t="s">
        <v>2441</v>
      </c>
      <c r="DN53" s="78" t="s">
        <v>356</v>
      </c>
      <c r="DO53" s="78" t="s">
        <v>356</v>
      </c>
      <c r="DP53" s="78" t="s">
        <v>356</v>
      </c>
      <c r="DQ53" s="78" t="s">
        <v>356</v>
      </c>
      <c r="DR53" s="78" t="s">
        <v>356</v>
      </c>
      <c r="DS53" s="78" t="s">
        <v>356</v>
      </c>
      <c r="DU53" s="21"/>
      <c r="DV53" s="80" t="s">
        <v>1848</v>
      </c>
      <c r="DW53" s="80" t="s">
        <v>2437</v>
      </c>
      <c r="DX53" s="80">
        <v>260</v>
      </c>
      <c r="DY53" s="80">
        <v>317</v>
      </c>
      <c r="DZ53" s="80">
        <v>369</v>
      </c>
      <c r="EA53" s="80">
        <v>372</v>
      </c>
      <c r="EB53" s="80">
        <v>305</v>
      </c>
      <c r="EC53" s="80">
        <v>1623</v>
      </c>
      <c r="ED53" s="80"/>
      <c r="EE53" s="80" t="s">
        <v>2437</v>
      </c>
      <c r="EF53" s="80">
        <v>20</v>
      </c>
      <c r="EG53" s="80">
        <v>0</v>
      </c>
      <c r="EH53" s="80">
        <v>0</v>
      </c>
      <c r="EI53" s="80">
        <v>0</v>
      </c>
      <c r="EJ53" s="80">
        <v>0</v>
      </c>
      <c r="EK53" s="80">
        <v>20</v>
      </c>
      <c r="EN53" s="57" t="s">
        <v>1981</v>
      </c>
      <c r="EO53" s="57" t="s">
        <v>2427</v>
      </c>
      <c r="EP53" s="57">
        <v>170</v>
      </c>
      <c r="EQ53" s="57">
        <v>266</v>
      </c>
      <c r="ER53" s="57">
        <v>323</v>
      </c>
      <c r="ES53" s="57">
        <v>430</v>
      </c>
      <c r="ET53" s="57">
        <v>550</v>
      </c>
      <c r="EU53" s="57">
        <v>1739</v>
      </c>
      <c r="EV53" s="57"/>
      <c r="EW53" s="57" t="s">
        <v>2427</v>
      </c>
      <c r="EX53" s="57">
        <v>18</v>
      </c>
      <c r="EY53" s="57">
        <v>8</v>
      </c>
      <c r="EZ53" s="57">
        <v>1</v>
      </c>
      <c r="FA53" s="57">
        <v>5</v>
      </c>
      <c r="FB53" s="57">
        <v>2</v>
      </c>
      <c r="FC53" s="57">
        <v>34</v>
      </c>
      <c r="FF53" s="71" t="s">
        <v>2411</v>
      </c>
      <c r="FG53" s="71" t="s">
        <v>2427</v>
      </c>
      <c r="FH53" s="71">
        <v>142</v>
      </c>
      <c r="FI53" s="71">
        <v>248</v>
      </c>
      <c r="FJ53" s="71">
        <v>313</v>
      </c>
      <c r="FK53" s="71">
        <v>379</v>
      </c>
      <c r="FL53" s="71">
        <v>483</v>
      </c>
      <c r="FM53" s="71">
        <v>1565</v>
      </c>
      <c r="FN53" s="71"/>
      <c r="FO53" s="71" t="s">
        <v>2427</v>
      </c>
      <c r="FP53" s="71">
        <v>12</v>
      </c>
      <c r="FQ53" s="71">
        <v>6</v>
      </c>
      <c r="FR53" s="71">
        <v>2</v>
      </c>
      <c r="FS53" s="71">
        <v>7</v>
      </c>
      <c r="FT53" s="71">
        <v>1</v>
      </c>
      <c r="FU53" s="71">
        <v>28</v>
      </c>
    </row>
    <row r="54" spans="2:177">
      <c r="B54" s="65" t="s">
        <v>825</v>
      </c>
      <c r="C54" s="65" t="s">
        <v>2427</v>
      </c>
      <c r="D54" s="65">
        <v>1043</v>
      </c>
      <c r="E54" s="65">
        <v>759</v>
      </c>
      <c r="F54" s="65">
        <v>890</v>
      </c>
      <c r="G54" s="65">
        <v>852</v>
      </c>
      <c r="H54" s="65">
        <v>633</v>
      </c>
      <c r="I54" s="65">
        <v>4177</v>
      </c>
      <c r="K54" s="65" t="s">
        <v>2427</v>
      </c>
      <c r="L54" s="65">
        <v>115</v>
      </c>
      <c r="M54" s="65">
        <v>4</v>
      </c>
      <c r="N54" s="65">
        <v>1</v>
      </c>
      <c r="O54" s="65">
        <v>1</v>
      </c>
      <c r="P54" s="65">
        <v>1</v>
      </c>
      <c r="Q54" s="65">
        <v>122</v>
      </c>
      <c r="T54" s="66" t="s">
        <v>1141</v>
      </c>
      <c r="U54" s="66" t="s">
        <v>2427</v>
      </c>
      <c r="V54" s="66">
        <v>877</v>
      </c>
      <c r="W54" s="66">
        <v>477</v>
      </c>
      <c r="X54" s="66">
        <v>536</v>
      </c>
      <c r="Y54" s="66">
        <v>569</v>
      </c>
      <c r="Z54" s="66">
        <v>439</v>
      </c>
      <c r="AA54" s="66">
        <v>2898</v>
      </c>
      <c r="AB54" s="66"/>
      <c r="AC54" s="66" t="s">
        <v>2427</v>
      </c>
      <c r="AD54" s="66">
        <v>17</v>
      </c>
      <c r="AE54" s="66">
        <v>0</v>
      </c>
      <c r="AF54" s="66">
        <v>0</v>
      </c>
      <c r="AG54" s="66">
        <v>0</v>
      </c>
      <c r="AH54" s="66">
        <v>0</v>
      </c>
      <c r="AI54" s="66">
        <v>17</v>
      </c>
      <c r="AK54" s="67" t="s">
        <v>2214</v>
      </c>
      <c r="AL54" s="67" t="s">
        <v>2426</v>
      </c>
      <c r="AM54" s="67">
        <v>960</v>
      </c>
      <c r="AN54" s="67">
        <v>761</v>
      </c>
      <c r="AO54" s="67">
        <v>823</v>
      </c>
      <c r="AP54" s="67">
        <v>804</v>
      </c>
      <c r="AQ54" s="67">
        <v>905</v>
      </c>
      <c r="AR54" s="67">
        <v>4253</v>
      </c>
      <c r="AS54" s="67"/>
      <c r="AT54" s="67" t="s">
        <v>2426</v>
      </c>
      <c r="AU54" s="67">
        <v>123</v>
      </c>
      <c r="AV54" s="67">
        <v>22</v>
      </c>
      <c r="AW54" s="67">
        <v>12</v>
      </c>
      <c r="AX54" s="67">
        <v>12</v>
      </c>
      <c r="AY54" s="67">
        <v>17</v>
      </c>
      <c r="AZ54" s="67">
        <v>186</v>
      </c>
      <c r="BB54" s="70" t="s">
        <v>1530</v>
      </c>
      <c r="BC54" s="70" t="s">
        <v>2426</v>
      </c>
      <c r="BD54" s="70">
        <v>167</v>
      </c>
      <c r="BE54" s="70">
        <v>174</v>
      </c>
      <c r="BF54" s="70">
        <v>285</v>
      </c>
      <c r="BG54" s="70">
        <v>433</v>
      </c>
      <c r="BH54" s="70">
        <v>410</v>
      </c>
      <c r="BI54" s="70">
        <v>1469</v>
      </c>
      <c r="BJ54" s="70"/>
      <c r="BK54" s="70" t="s">
        <v>2426</v>
      </c>
      <c r="BL54" s="70">
        <v>39</v>
      </c>
      <c r="BM54" s="70">
        <v>0</v>
      </c>
      <c r="BN54" s="70">
        <v>0</v>
      </c>
      <c r="BO54" s="70">
        <v>0</v>
      </c>
      <c r="BP54" s="70">
        <v>0</v>
      </c>
      <c r="BQ54" s="70">
        <v>39</v>
      </c>
      <c r="BS54" s="71" t="s">
        <v>515</v>
      </c>
      <c r="BT54" s="71" t="s">
        <v>2437</v>
      </c>
      <c r="BU54" s="71">
        <v>91</v>
      </c>
      <c r="BV54" s="71">
        <v>74</v>
      </c>
      <c r="BW54" s="71">
        <v>96</v>
      </c>
      <c r="BX54" s="71">
        <v>96</v>
      </c>
      <c r="BY54" s="71">
        <v>126</v>
      </c>
      <c r="BZ54" s="71">
        <v>483</v>
      </c>
      <c r="CA54" s="71"/>
      <c r="CB54" s="71" t="s">
        <v>2437</v>
      </c>
      <c r="CC54" s="71">
        <v>23</v>
      </c>
      <c r="CD54" s="71">
        <v>0</v>
      </c>
      <c r="CE54" s="71">
        <v>0</v>
      </c>
      <c r="CF54" s="71">
        <v>0</v>
      </c>
      <c r="CG54" s="71">
        <v>0</v>
      </c>
      <c r="CH54" s="71">
        <v>23</v>
      </c>
      <c r="CL54" s="57" t="s">
        <v>393</v>
      </c>
      <c r="CM54" s="57" t="s">
        <v>2427</v>
      </c>
      <c r="CN54" s="57">
        <v>91</v>
      </c>
      <c r="CO54" s="57">
        <v>72</v>
      </c>
      <c r="CP54" s="57">
        <v>141</v>
      </c>
      <c r="CQ54" s="57">
        <v>201</v>
      </c>
      <c r="CR54" s="57">
        <v>218</v>
      </c>
      <c r="CS54" s="57">
        <v>723</v>
      </c>
      <c r="CT54" s="57"/>
      <c r="CU54" s="57" t="s">
        <v>2427</v>
      </c>
      <c r="CV54" s="57">
        <v>15</v>
      </c>
      <c r="CW54" s="57">
        <v>0</v>
      </c>
      <c r="CX54" s="57">
        <v>0</v>
      </c>
      <c r="CY54" s="57">
        <v>0</v>
      </c>
      <c r="CZ54" s="57">
        <v>0</v>
      </c>
      <c r="DA54" s="57">
        <v>15</v>
      </c>
      <c r="DD54" s="78" t="s">
        <v>1824</v>
      </c>
      <c r="DE54" s="78" t="s">
        <v>2441</v>
      </c>
      <c r="DF54" s="78">
        <v>176</v>
      </c>
      <c r="DG54" s="78">
        <v>172</v>
      </c>
      <c r="DH54" s="78">
        <v>193</v>
      </c>
      <c r="DI54" s="78">
        <v>214</v>
      </c>
      <c r="DJ54" s="78">
        <v>210</v>
      </c>
      <c r="DK54" s="78">
        <v>965</v>
      </c>
      <c r="DL54" s="78"/>
      <c r="DM54" s="78" t="s">
        <v>2441</v>
      </c>
      <c r="DN54" s="78">
        <v>25</v>
      </c>
      <c r="DO54" s="78">
        <v>9</v>
      </c>
      <c r="DP54" s="78">
        <v>2</v>
      </c>
      <c r="DQ54" s="78">
        <v>0</v>
      </c>
      <c r="DR54" s="78">
        <v>0</v>
      </c>
      <c r="DS54" s="78">
        <v>36</v>
      </c>
      <c r="DU54" s="21"/>
      <c r="DV54" s="80" t="s">
        <v>1852</v>
      </c>
      <c r="DW54" s="80" t="s">
        <v>2437</v>
      </c>
      <c r="DX54" s="80">
        <v>793</v>
      </c>
      <c r="DY54" s="80">
        <v>1011</v>
      </c>
      <c r="DZ54" s="80">
        <v>1000</v>
      </c>
      <c r="EA54" s="80">
        <v>1017</v>
      </c>
      <c r="EB54" s="80">
        <v>757</v>
      </c>
      <c r="EC54" s="80">
        <v>4578</v>
      </c>
      <c r="ED54" s="80"/>
      <c r="EE54" s="80" t="s">
        <v>2437</v>
      </c>
      <c r="EF54" s="80">
        <v>39</v>
      </c>
      <c r="EG54" s="80">
        <v>1</v>
      </c>
      <c r="EH54" s="80">
        <v>0</v>
      </c>
      <c r="EI54" s="80">
        <v>0</v>
      </c>
      <c r="EJ54" s="80">
        <v>0</v>
      </c>
      <c r="EK54" s="80">
        <v>40</v>
      </c>
      <c r="EN54" s="57" t="s">
        <v>2391</v>
      </c>
      <c r="EO54" s="57" t="s">
        <v>2427</v>
      </c>
      <c r="EP54" s="57" t="s">
        <v>356</v>
      </c>
      <c r="EQ54" s="57" t="s">
        <v>356</v>
      </c>
      <c r="ER54" s="57" t="s">
        <v>356</v>
      </c>
      <c r="ES54" s="57" t="s">
        <v>356</v>
      </c>
      <c r="ET54" s="57" t="s">
        <v>356</v>
      </c>
      <c r="EU54" s="57" t="s">
        <v>356</v>
      </c>
      <c r="EV54" s="57"/>
      <c r="EW54" s="57" t="s">
        <v>2427</v>
      </c>
      <c r="EX54" s="57" t="s">
        <v>356</v>
      </c>
      <c r="EY54" s="57" t="s">
        <v>356</v>
      </c>
      <c r="EZ54" s="57" t="s">
        <v>356</v>
      </c>
      <c r="FA54" s="57" t="s">
        <v>356</v>
      </c>
      <c r="FB54" s="57" t="s">
        <v>356</v>
      </c>
      <c r="FC54" s="57" t="s">
        <v>356</v>
      </c>
      <c r="FF54" s="71" t="s">
        <v>2412</v>
      </c>
      <c r="FG54" s="71" t="s">
        <v>2427</v>
      </c>
      <c r="FH54" s="71" t="s">
        <v>356</v>
      </c>
      <c r="FI54" s="71" t="s">
        <v>356</v>
      </c>
      <c r="FJ54" s="71" t="s">
        <v>356</v>
      </c>
      <c r="FK54" s="71" t="s">
        <v>356</v>
      </c>
      <c r="FL54" s="71" t="s">
        <v>356</v>
      </c>
      <c r="FM54" s="71" t="s">
        <v>356</v>
      </c>
      <c r="FN54" s="71"/>
      <c r="FO54" s="71" t="s">
        <v>2427</v>
      </c>
      <c r="FP54" s="71" t="s">
        <v>356</v>
      </c>
      <c r="FQ54" s="71" t="s">
        <v>356</v>
      </c>
      <c r="FR54" s="71" t="s">
        <v>356</v>
      </c>
      <c r="FS54" s="71" t="s">
        <v>356</v>
      </c>
      <c r="FT54" s="71" t="s">
        <v>356</v>
      </c>
      <c r="FU54" s="71" t="s">
        <v>356</v>
      </c>
    </row>
    <row r="55" spans="2:177">
      <c r="B55" s="65" t="s">
        <v>830</v>
      </c>
      <c r="C55" s="65" t="s">
        <v>2427</v>
      </c>
      <c r="D55" s="65">
        <v>843</v>
      </c>
      <c r="E55" s="65">
        <v>1058</v>
      </c>
      <c r="F55" s="65">
        <v>1488</v>
      </c>
      <c r="G55" s="65">
        <v>1567</v>
      </c>
      <c r="H55" s="65">
        <v>1038</v>
      </c>
      <c r="I55" s="65">
        <v>5994</v>
      </c>
      <c r="K55" s="65" t="s">
        <v>2427</v>
      </c>
      <c r="L55" s="65">
        <v>49</v>
      </c>
      <c r="M55" s="65">
        <v>11</v>
      </c>
      <c r="N55" s="65">
        <v>1</v>
      </c>
      <c r="O55" s="65">
        <v>0</v>
      </c>
      <c r="P55" s="65">
        <v>0</v>
      </c>
      <c r="Q55" s="65">
        <v>61</v>
      </c>
      <c r="T55" s="66" t="s">
        <v>2197</v>
      </c>
      <c r="U55" s="66" t="s">
        <v>2427</v>
      </c>
      <c r="V55" s="66">
        <v>198</v>
      </c>
      <c r="W55" s="66">
        <v>255</v>
      </c>
      <c r="X55" s="66">
        <v>377</v>
      </c>
      <c r="Y55" s="66">
        <v>431</v>
      </c>
      <c r="Z55" s="66">
        <v>347</v>
      </c>
      <c r="AA55" s="66">
        <v>1608</v>
      </c>
      <c r="AB55" s="66"/>
      <c r="AC55" s="66" t="s">
        <v>2427</v>
      </c>
      <c r="AD55" s="66">
        <v>9</v>
      </c>
      <c r="AE55" s="66">
        <v>1</v>
      </c>
      <c r="AF55" s="66">
        <v>1</v>
      </c>
      <c r="AG55" s="66">
        <v>0</v>
      </c>
      <c r="AH55" s="66">
        <v>0</v>
      </c>
      <c r="AI55" s="66">
        <v>11</v>
      </c>
      <c r="AK55" s="67" t="s">
        <v>2216</v>
      </c>
      <c r="AL55" s="67" t="s">
        <v>2426</v>
      </c>
      <c r="AM55" s="67">
        <v>602</v>
      </c>
      <c r="AN55" s="67">
        <v>441</v>
      </c>
      <c r="AO55" s="67">
        <v>197</v>
      </c>
      <c r="AP55" s="67">
        <v>114</v>
      </c>
      <c r="AQ55" s="67">
        <v>167</v>
      </c>
      <c r="AR55" s="67">
        <v>1521</v>
      </c>
      <c r="AS55" s="67"/>
      <c r="AT55" s="67" t="s">
        <v>2426</v>
      </c>
      <c r="AU55" s="67">
        <v>103</v>
      </c>
      <c r="AV55" s="67">
        <v>31</v>
      </c>
      <c r="AW55" s="67">
        <v>14</v>
      </c>
      <c r="AX55" s="67">
        <v>7</v>
      </c>
      <c r="AY55" s="67">
        <v>11</v>
      </c>
      <c r="AZ55" s="67">
        <v>166</v>
      </c>
      <c r="BB55" s="70" t="s">
        <v>1534</v>
      </c>
      <c r="BC55" s="70" t="s">
        <v>2426</v>
      </c>
      <c r="BD55" s="70">
        <v>180</v>
      </c>
      <c r="BE55" s="70">
        <v>182</v>
      </c>
      <c r="BF55" s="70">
        <v>387</v>
      </c>
      <c r="BG55" s="70">
        <v>625</v>
      </c>
      <c r="BH55" s="70">
        <v>626</v>
      </c>
      <c r="BI55" s="70">
        <v>2000</v>
      </c>
      <c r="BJ55" s="70"/>
      <c r="BK55" s="70" t="s">
        <v>2426</v>
      </c>
      <c r="BL55" s="70">
        <v>39</v>
      </c>
      <c r="BM55" s="70">
        <v>0</v>
      </c>
      <c r="BN55" s="70">
        <v>0</v>
      </c>
      <c r="BO55" s="70">
        <v>0</v>
      </c>
      <c r="BP55" s="70">
        <v>0</v>
      </c>
      <c r="BQ55" s="70">
        <v>39</v>
      </c>
      <c r="BS55" s="71" t="s">
        <v>516</v>
      </c>
      <c r="BT55" s="71" t="s">
        <v>2437</v>
      </c>
      <c r="BU55" s="71">
        <v>651</v>
      </c>
      <c r="BV55" s="71">
        <v>661</v>
      </c>
      <c r="BW55" s="71">
        <v>647</v>
      </c>
      <c r="BX55" s="71">
        <v>558</v>
      </c>
      <c r="BY55" s="71">
        <v>409</v>
      </c>
      <c r="BZ55" s="71">
        <v>2926</v>
      </c>
      <c r="CA55" s="71"/>
      <c r="CB55" s="71" t="s">
        <v>2437</v>
      </c>
      <c r="CC55" s="71">
        <v>179</v>
      </c>
      <c r="CD55" s="71">
        <v>12</v>
      </c>
      <c r="CE55" s="71">
        <v>0</v>
      </c>
      <c r="CF55" s="71">
        <v>0</v>
      </c>
      <c r="CG55" s="71">
        <v>0</v>
      </c>
      <c r="CH55" s="71">
        <v>191</v>
      </c>
      <c r="CL55" s="57" t="s">
        <v>392</v>
      </c>
      <c r="CM55" s="57" t="s">
        <v>2427</v>
      </c>
      <c r="CN55" s="57">
        <v>130</v>
      </c>
      <c r="CO55" s="57">
        <v>64</v>
      </c>
      <c r="CP55" s="57">
        <v>85</v>
      </c>
      <c r="CQ55" s="57">
        <v>116</v>
      </c>
      <c r="CR55" s="57">
        <v>145</v>
      </c>
      <c r="CS55" s="57">
        <v>540</v>
      </c>
      <c r="CT55" s="57"/>
      <c r="CU55" s="57" t="s">
        <v>2427</v>
      </c>
      <c r="CV55" s="57">
        <v>61</v>
      </c>
      <c r="CW55" s="57">
        <v>0</v>
      </c>
      <c r="CX55" s="57">
        <v>0</v>
      </c>
      <c r="CY55" s="57">
        <v>0</v>
      </c>
      <c r="CZ55" s="57">
        <v>0</v>
      </c>
      <c r="DA55" s="57">
        <v>61</v>
      </c>
      <c r="DD55" s="78" t="s">
        <v>1828</v>
      </c>
      <c r="DE55" s="78" t="s">
        <v>2441</v>
      </c>
      <c r="DF55" s="78">
        <v>218</v>
      </c>
      <c r="DG55" s="78">
        <v>353</v>
      </c>
      <c r="DH55" s="78">
        <v>496</v>
      </c>
      <c r="DI55" s="78">
        <v>584</v>
      </c>
      <c r="DJ55" s="78">
        <v>482</v>
      </c>
      <c r="DK55" s="78">
        <v>2133</v>
      </c>
      <c r="DL55" s="78"/>
      <c r="DM55" s="78" t="s">
        <v>2441</v>
      </c>
      <c r="DN55" s="78">
        <v>30</v>
      </c>
      <c r="DO55" s="78">
        <v>3</v>
      </c>
      <c r="DP55" s="78">
        <v>3</v>
      </c>
      <c r="DQ55" s="78">
        <v>0</v>
      </c>
      <c r="DR55" s="78">
        <v>0</v>
      </c>
      <c r="DS55" s="78">
        <v>36</v>
      </c>
      <c r="DU55" s="21"/>
      <c r="DV55" s="80" t="s">
        <v>1856</v>
      </c>
      <c r="DW55" s="80" t="s">
        <v>2437</v>
      </c>
      <c r="DX55" s="80">
        <v>403</v>
      </c>
      <c r="DY55" s="80">
        <v>439</v>
      </c>
      <c r="DZ55" s="80">
        <v>657</v>
      </c>
      <c r="EA55" s="80">
        <v>681</v>
      </c>
      <c r="EB55" s="80">
        <v>637</v>
      </c>
      <c r="EC55" s="80">
        <v>2817</v>
      </c>
      <c r="ED55" s="80"/>
      <c r="EE55" s="80" t="s">
        <v>2437</v>
      </c>
      <c r="EF55" s="80">
        <v>39</v>
      </c>
      <c r="EG55" s="80">
        <v>2</v>
      </c>
      <c r="EH55" s="80">
        <v>0</v>
      </c>
      <c r="EI55" s="80">
        <v>0</v>
      </c>
      <c r="EJ55" s="80">
        <v>0</v>
      </c>
      <c r="EK55" s="80">
        <v>41</v>
      </c>
      <c r="EN55" s="57" t="s">
        <v>2392</v>
      </c>
      <c r="EO55" s="57" t="s">
        <v>2427</v>
      </c>
      <c r="EP55" s="57" t="s">
        <v>356</v>
      </c>
      <c r="EQ55" s="57" t="s">
        <v>356</v>
      </c>
      <c r="ER55" s="57" t="s">
        <v>356</v>
      </c>
      <c r="ES55" s="57" t="s">
        <v>356</v>
      </c>
      <c r="ET55" s="57" t="s">
        <v>356</v>
      </c>
      <c r="EU55" s="57" t="s">
        <v>356</v>
      </c>
      <c r="EV55" s="57"/>
      <c r="EW55" s="57" t="s">
        <v>2427</v>
      </c>
      <c r="EX55" s="57" t="s">
        <v>356</v>
      </c>
      <c r="EY55" s="57" t="s">
        <v>356</v>
      </c>
      <c r="EZ55" s="57" t="s">
        <v>356</v>
      </c>
      <c r="FA55" s="57" t="s">
        <v>356</v>
      </c>
      <c r="FB55" s="57" t="s">
        <v>356</v>
      </c>
      <c r="FC55" s="57" t="s">
        <v>356</v>
      </c>
      <c r="FF55" s="71" t="s">
        <v>2047</v>
      </c>
      <c r="FG55" s="71" t="s">
        <v>2427</v>
      </c>
      <c r="FH55" s="71">
        <v>1016</v>
      </c>
      <c r="FI55" s="71">
        <v>858</v>
      </c>
      <c r="FJ55" s="71">
        <v>774</v>
      </c>
      <c r="FK55" s="71">
        <v>814</v>
      </c>
      <c r="FL55" s="71">
        <v>1094</v>
      </c>
      <c r="FM55" s="71">
        <v>4556</v>
      </c>
      <c r="FN55" s="71"/>
      <c r="FO55" s="71" t="s">
        <v>2427</v>
      </c>
      <c r="FP55" s="71">
        <v>168</v>
      </c>
      <c r="FQ55" s="71">
        <v>0</v>
      </c>
      <c r="FR55" s="71">
        <v>0</v>
      </c>
      <c r="FS55" s="71">
        <v>0</v>
      </c>
      <c r="FT55" s="71">
        <v>0</v>
      </c>
      <c r="FU55" s="71">
        <v>168</v>
      </c>
    </row>
    <row r="56" spans="2:177">
      <c r="B56" s="65" t="s">
        <v>834</v>
      </c>
      <c r="C56" s="65" t="s">
        <v>2427</v>
      </c>
      <c r="D56" s="65">
        <v>813</v>
      </c>
      <c r="E56" s="65">
        <v>960</v>
      </c>
      <c r="F56" s="65">
        <v>1200</v>
      </c>
      <c r="G56" s="65">
        <v>1437</v>
      </c>
      <c r="H56" s="65">
        <v>951</v>
      </c>
      <c r="I56" s="65">
        <v>5361</v>
      </c>
      <c r="K56" s="65" t="s">
        <v>2427</v>
      </c>
      <c r="L56" s="65">
        <v>63</v>
      </c>
      <c r="M56" s="65">
        <v>3</v>
      </c>
      <c r="N56" s="65">
        <v>1</v>
      </c>
      <c r="O56" s="65">
        <v>0</v>
      </c>
      <c r="P56" s="65">
        <v>1</v>
      </c>
      <c r="Q56" s="65">
        <v>68</v>
      </c>
      <c r="T56" s="66" t="s">
        <v>2198</v>
      </c>
      <c r="U56" s="66" t="s">
        <v>2427</v>
      </c>
      <c r="V56" s="66">
        <v>131</v>
      </c>
      <c r="W56" s="66">
        <v>188</v>
      </c>
      <c r="X56" s="66">
        <v>288</v>
      </c>
      <c r="Y56" s="66">
        <v>362</v>
      </c>
      <c r="Z56" s="66">
        <v>284</v>
      </c>
      <c r="AA56" s="66">
        <v>1253</v>
      </c>
      <c r="AB56" s="66"/>
      <c r="AC56" s="66" t="s">
        <v>2427</v>
      </c>
      <c r="AD56" s="66">
        <v>9</v>
      </c>
      <c r="AE56" s="66">
        <v>2</v>
      </c>
      <c r="AF56" s="66">
        <v>1</v>
      </c>
      <c r="AG56" s="66">
        <v>0</v>
      </c>
      <c r="AH56" s="66">
        <v>1</v>
      </c>
      <c r="AI56" s="66">
        <v>13</v>
      </c>
      <c r="AK56" s="67" t="s">
        <v>2218</v>
      </c>
      <c r="AL56" s="67" t="s">
        <v>2426</v>
      </c>
      <c r="AM56" s="67">
        <v>523</v>
      </c>
      <c r="AN56" s="67">
        <v>634</v>
      </c>
      <c r="AO56" s="67">
        <v>613</v>
      </c>
      <c r="AP56" s="67">
        <v>552</v>
      </c>
      <c r="AQ56" s="67">
        <v>665</v>
      </c>
      <c r="AR56" s="67">
        <v>2987</v>
      </c>
      <c r="AS56" s="67"/>
      <c r="AT56" s="67" t="s">
        <v>2426</v>
      </c>
      <c r="AU56" s="67">
        <v>50</v>
      </c>
      <c r="AV56" s="67">
        <v>24</v>
      </c>
      <c r="AW56" s="67">
        <v>17</v>
      </c>
      <c r="AX56" s="67">
        <v>6</v>
      </c>
      <c r="AY56" s="67">
        <v>18</v>
      </c>
      <c r="AZ56" s="67">
        <v>115</v>
      </c>
      <c r="BB56" s="70" t="s">
        <v>1538</v>
      </c>
      <c r="BC56" s="70" t="s">
        <v>2426</v>
      </c>
      <c r="BD56" s="70">
        <v>57</v>
      </c>
      <c r="BE56" s="70">
        <v>85</v>
      </c>
      <c r="BF56" s="70">
        <v>178</v>
      </c>
      <c r="BG56" s="70">
        <v>283</v>
      </c>
      <c r="BH56" s="70">
        <v>277</v>
      </c>
      <c r="BI56" s="70">
        <v>880</v>
      </c>
      <c r="BJ56" s="70"/>
      <c r="BK56" s="70" t="s">
        <v>2426</v>
      </c>
      <c r="BL56" s="70">
        <v>15</v>
      </c>
      <c r="BM56" s="70">
        <v>0</v>
      </c>
      <c r="BN56" s="70">
        <v>0</v>
      </c>
      <c r="BO56" s="70">
        <v>0</v>
      </c>
      <c r="BP56" s="70">
        <v>0</v>
      </c>
      <c r="BQ56" s="70">
        <v>15</v>
      </c>
      <c r="BS56" s="71" t="s">
        <v>517</v>
      </c>
      <c r="BT56" s="71" t="s">
        <v>2437</v>
      </c>
      <c r="BU56" s="71">
        <v>1110</v>
      </c>
      <c r="BV56" s="71">
        <v>816</v>
      </c>
      <c r="BW56" s="71">
        <v>792</v>
      </c>
      <c r="BX56" s="71">
        <v>606</v>
      </c>
      <c r="BY56" s="71">
        <v>430</v>
      </c>
      <c r="BZ56" s="71">
        <v>3754</v>
      </c>
      <c r="CA56" s="71"/>
      <c r="CB56" s="71" t="s">
        <v>2437</v>
      </c>
      <c r="CC56" s="71">
        <v>262</v>
      </c>
      <c r="CD56" s="71">
        <v>11</v>
      </c>
      <c r="CE56" s="71">
        <v>0</v>
      </c>
      <c r="CF56" s="71">
        <v>0</v>
      </c>
      <c r="CG56" s="71">
        <v>0</v>
      </c>
      <c r="CH56" s="71">
        <v>273</v>
      </c>
      <c r="CL56" s="57" t="s">
        <v>396</v>
      </c>
      <c r="CM56" s="57" t="s">
        <v>2427</v>
      </c>
      <c r="CN56" s="57">
        <v>89</v>
      </c>
      <c r="CO56" s="57">
        <v>46</v>
      </c>
      <c r="CP56" s="57">
        <v>92</v>
      </c>
      <c r="CQ56" s="57">
        <v>107</v>
      </c>
      <c r="CR56" s="57">
        <v>110</v>
      </c>
      <c r="CS56" s="57">
        <v>444</v>
      </c>
      <c r="CT56" s="57"/>
      <c r="CU56" s="57" t="s">
        <v>2427</v>
      </c>
      <c r="CV56" s="57">
        <v>21</v>
      </c>
      <c r="CW56" s="57">
        <v>0</v>
      </c>
      <c r="CX56" s="57">
        <v>0</v>
      </c>
      <c r="CY56" s="57">
        <v>0</v>
      </c>
      <c r="CZ56" s="57">
        <v>0</v>
      </c>
      <c r="DA56" s="57">
        <v>21</v>
      </c>
      <c r="DD56" s="78" t="s">
        <v>1831</v>
      </c>
      <c r="DE56" s="78" t="s">
        <v>2441</v>
      </c>
      <c r="DF56" s="78">
        <v>346</v>
      </c>
      <c r="DG56" s="78">
        <v>459</v>
      </c>
      <c r="DH56" s="78">
        <v>492</v>
      </c>
      <c r="DI56" s="78">
        <v>531</v>
      </c>
      <c r="DJ56" s="78">
        <v>421</v>
      </c>
      <c r="DK56" s="78">
        <v>2249</v>
      </c>
      <c r="DL56" s="78"/>
      <c r="DM56" s="78" t="s">
        <v>2441</v>
      </c>
      <c r="DN56" s="78">
        <v>35</v>
      </c>
      <c r="DO56" s="78">
        <v>3</v>
      </c>
      <c r="DP56" s="78">
        <v>3</v>
      </c>
      <c r="DQ56" s="78">
        <v>0</v>
      </c>
      <c r="DR56" s="78">
        <v>0</v>
      </c>
      <c r="DS56" s="78">
        <v>41</v>
      </c>
      <c r="DU56" s="21"/>
      <c r="DV56" s="80" t="s">
        <v>1861</v>
      </c>
      <c r="DW56" s="80" t="s">
        <v>2437</v>
      </c>
      <c r="DX56" s="80">
        <v>890</v>
      </c>
      <c r="DY56" s="80">
        <v>436</v>
      </c>
      <c r="DZ56" s="80">
        <v>448</v>
      </c>
      <c r="EA56" s="80">
        <v>425</v>
      </c>
      <c r="EB56" s="80">
        <v>308</v>
      </c>
      <c r="EC56" s="80">
        <v>2507</v>
      </c>
      <c r="ED56" s="80"/>
      <c r="EE56" s="80" t="s">
        <v>2437</v>
      </c>
      <c r="EF56" s="80">
        <v>19</v>
      </c>
      <c r="EG56" s="80">
        <v>0</v>
      </c>
      <c r="EH56" s="80">
        <v>0</v>
      </c>
      <c r="EI56" s="80">
        <v>0</v>
      </c>
      <c r="EJ56" s="80">
        <v>0</v>
      </c>
      <c r="EK56" s="80">
        <v>19</v>
      </c>
      <c r="EN56" s="57" t="s">
        <v>2393</v>
      </c>
      <c r="EO56" s="57" t="s">
        <v>2427</v>
      </c>
      <c r="EP56" s="57" t="s">
        <v>356</v>
      </c>
      <c r="EQ56" s="57" t="s">
        <v>356</v>
      </c>
      <c r="ER56" s="57" t="s">
        <v>356</v>
      </c>
      <c r="ES56" s="57" t="s">
        <v>356</v>
      </c>
      <c r="ET56" s="57" t="s">
        <v>356</v>
      </c>
      <c r="EU56" s="57" t="s">
        <v>356</v>
      </c>
      <c r="EV56" s="57"/>
      <c r="EW56" s="57" t="s">
        <v>2427</v>
      </c>
      <c r="EX56" s="57" t="s">
        <v>356</v>
      </c>
      <c r="EY56" s="57" t="s">
        <v>356</v>
      </c>
      <c r="EZ56" s="57" t="s">
        <v>356</v>
      </c>
      <c r="FA56" s="57" t="s">
        <v>356</v>
      </c>
      <c r="FB56" s="57" t="s">
        <v>356</v>
      </c>
      <c r="FC56" s="57" t="s">
        <v>356</v>
      </c>
      <c r="FF56" s="71" t="s">
        <v>2050</v>
      </c>
      <c r="FG56" s="71" t="s">
        <v>2427</v>
      </c>
      <c r="FH56" s="71">
        <v>210</v>
      </c>
      <c r="FI56" s="71">
        <v>341</v>
      </c>
      <c r="FJ56" s="71">
        <v>330</v>
      </c>
      <c r="FK56" s="71">
        <v>381</v>
      </c>
      <c r="FL56" s="71">
        <v>496</v>
      </c>
      <c r="FM56" s="71">
        <v>1758</v>
      </c>
      <c r="FN56" s="71"/>
      <c r="FO56" s="71" t="s">
        <v>2427</v>
      </c>
      <c r="FP56" s="71">
        <v>56</v>
      </c>
      <c r="FQ56" s="71">
        <v>0</v>
      </c>
      <c r="FR56" s="71">
        <v>0</v>
      </c>
      <c r="FS56" s="71">
        <v>0</v>
      </c>
      <c r="FT56" s="71">
        <v>0</v>
      </c>
      <c r="FU56" s="71">
        <v>56</v>
      </c>
    </row>
    <row r="57" spans="2:177">
      <c r="B57" s="65" t="s">
        <v>840</v>
      </c>
      <c r="C57" s="65" t="s">
        <v>2427</v>
      </c>
      <c r="D57" s="65" t="s">
        <v>356</v>
      </c>
      <c r="E57" s="65" t="s">
        <v>356</v>
      </c>
      <c r="F57" s="65" t="s">
        <v>356</v>
      </c>
      <c r="G57" s="65" t="s">
        <v>356</v>
      </c>
      <c r="H57" s="65" t="s">
        <v>356</v>
      </c>
      <c r="I57" s="65" t="s">
        <v>356</v>
      </c>
      <c r="K57" s="65" t="s">
        <v>2427</v>
      </c>
      <c r="L57" s="65" t="s">
        <v>356</v>
      </c>
      <c r="M57" s="65" t="s">
        <v>356</v>
      </c>
      <c r="N57" s="65" t="s">
        <v>356</v>
      </c>
      <c r="O57" s="65" t="s">
        <v>356</v>
      </c>
      <c r="P57" s="65" t="s">
        <v>356</v>
      </c>
      <c r="Q57" s="65" t="s">
        <v>356</v>
      </c>
      <c r="T57" s="66" t="s">
        <v>1144</v>
      </c>
      <c r="U57" s="66" t="s">
        <v>2427</v>
      </c>
      <c r="V57" s="66">
        <v>1128</v>
      </c>
      <c r="W57" s="66">
        <v>996</v>
      </c>
      <c r="X57" s="66">
        <v>1433</v>
      </c>
      <c r="Y57" s="66">
        <v>1700</v>
      </c>
      <c r="Z57" s="66">
        <v>1332</v>
      </c>
      <c r="AA57" s="66">
        <v>6589</v>
      </c>
      <c r="AB57" s="66"/>
      <c r="AC57" s="66" t="s">
        <v>2427</v>
      </c>
      <c r="AD57" s="66">
        <v>34</v>
      </c>
      <c r="AE57" s="66">
        <v>0</v>
      </c>
      <c r="AF57" s="66">
        <v>0</v>
      </c>
      <c r="AG57" s="66">
        <v>0</v>
      </c>
      <c r="AH57" s="66">
        <v>0</v>
      </c>
      <c r="AI57" s="66">
        <v>34</v>
      </c>
      <c r="AK57" s="67" t="s">
        <v>2220</v>
      </c>
      <c r="AL57" s="67" t="s">
        <v>2426</v>
      </c>
      <c r="AM57" s="67">
        <v>721</v>
      </c>
      <c r="AN57" s="67">
        <v>851</v>
      </c>
      <c r="AO57" s="67">
        <v>652</v>
      </c>
      <c r="AP57" s="67">
        <v>666</v>
      </c>
      <c r="AQ57" s="67">
        <v>872</v>
      </c>
      <c r="AR57" s="67">
        <v>3762</v>
      </c>
      <c r="AS57" s="67"/>
      <c r="AT57" s="67" t="s">
        <v>2426</v>
      </c>
      <c r="AU57" s="67">
        <v>57</v>
      </c>
      <c r="AV57" s="67">
        <v>12</v>
      </c>
      <c r="AW57" s="67">
        <v>3</v>
      </c>
      <c r="AX57" s="67">
        <v>6</v>
      </c>
      <c r="AY57" s="67">
        <v>8</v>
      </c>
      <c r="AZ57" s="67">
        <v>86</v>
      </c>
      <c r="BB57" s="70" t="s">
        <v>43</v>
      </c>
      <c r="BC57" s="70" t="s">
        <v>2426</v>
      </c>
      <c r="BD57" s="70">
        <v>359</v>
      </c>
      <c r="BE57" s="70">
        <v>468</v>
      </c>
      <c r="BF57" s="70">
        <v>860</v>
      </c>
      <c r="BG57" s="70">
        <v>1189</v>
      </c>
      <c r="BH57" s="70">
        <v>1206</v>
      </c>
      <c r="BI57" s="70">
        <v>4082</v>
      </c>
      <c r="BJ57" s="70"/>
      <c r="BK57" s="70" t="s">
        <v>2426</v>
      </c>
      <c r="BL57" s="70">
        <v>55</v>
      </c>
      <c r="BM57" s="70">
        <v>2</v>
      </c>
      <c r="BN57" s="70">
        <v>0</v>
      </c>
      <c r="BO57" s="70">
        <v>0</v>
      </c>
      <c r="BP57" s="70">
        <v>0</v>
      </c>
      <c r="BQ57" s="70">
        <v>57</v>
      </c>
      <c r="BS57" s="71" t="s">
        <v>519</v>
      </c>
      <c r="BT57" s="71" t="s">
        <v>2437</v>
      </c>
      <c r="BU57" s="71" t="s">
        <v>356</v>
      </c>
      <c r="BV57" s="71" t="s">
        <v>356</v>
      </c>
      <c r="BW57" s="71" t="s">
        <v>356</v>
      </c>
      <c r="BX57" s="71" t="s">
        <v>356</v>
      </c>
      <c r="BY57" s="71" t="s">
        <v>356</v>
      </c>
      <c r="BZ57" s="71" t="s">
        <v>356</v>
      </c>
      <c r="CA57" s="71"/>
      <c r="CB57" s="71" t="s">
        <v>2437</v>
      </c>
      <c r="CC57" s="71" t="s">
        <v>356</v>
      </c>
      <c r="CD57" s="71" t="s">
        <v>356</v>
      </c>
      <c r="CE57" s="71" t="s">
        <v>356</v>
      </c>
      <c r="CF57" s="71" t="s">
        <v>356</v>
      </c>
      <c r="CG57" s="71" t="s">
        <v>356</v>
      </c>
      <c r="CH57" s="71" t="s">
        <v>356</v>
      </c>
      <c r="CL57" s="57" t="s">
        <v>394</v>
      </c>
      <c r="CM57" s="57" t="s">
        <v>2427</v>
      </c>
      <c r="CN57" s="57">
        <v>54</v>
      </c>
      <c r="CO57" s="57">
        <v>51</v>
      </c>
      <c r="CP57" s="57">
        <v>94</v>
      </c>
      <c r="CQ57" s="57">
        <v>132</v>
      </c>
      <c r="CR57" s="57">
        <v>173</v>
      </c>
      <c r="CS57" s="57">
        <v>504</v>
      </c>
      <c r="CT57" s="57"/>
      <c r="CU57" s="57" t="s">
        <v>2427</v>
      </c>
      <c r="CV57" s="57">
        <v>12</v>
      </c>
      <c r="CW57" s="57">
        <v>0</v>
      </c>
      <c r="CX57" s="57">
        <v>0</v>
      </c>
      <c r="CY57" s="57">
        <v>0</v>
      </c>
      <c r="CZ57" s="57">
        <v>0</v>
      </c>
      <c r="DA57" s="57">
        <v>12</v>
      </c>
      <c r="DD57" s="78" t="s">
        <v>1835</v>
      </c>
      <c r="DE57" s="78" t="s">
        <v>2441</v>
      </c>
      <c r="DF57" s="78">
        <v>265</v>
      </c>
      <c r="DG57" s="78">
        <v>281</v>
      </c>
      <c r="DH57" s="78">
        <v>378</v>
      </c>
      <c r="DI57" s="78">
        <v>506</v>
      </c>
      <c r="DJ57" s="78">
        <v>528</v>
      </c>
      <c r="DK57" s="78">
        <v>1958</v>
      </c>
      <c r="DL57" s="78"/>
      <c r="DM57" s="78" t="s">
        <v>2441</v>
      </c>
      <c r="DN57" s="78">
        <v>35</v>
      </c>
      <c r="DO57" s="78">
        <v>2</v>
      </c>
      <c r="DP57" s="78">
        <v>1</v>
      </c>
      <c r="DQ57" s="78">
        <v>1</v>
      </c>
      <c r="DR57" s="78">
        <v>0</v>
      </c>
      <c r="DS57" s="78">
        <v>39</v>
      </c>
      <c r="DV57" s="80" t="s">
        <v>1865</v>
      </c>
      <c r="DW57" s="80" t="s">
        <v>2437</v>
      </c>
      <c r="DX57" s="80">
        <v>198</v>
      </c>
      <c r="DY57" s="80">
        <v>204</v>
      </c>
      <c r="DZ57" s="80">
        <v>226</v>
      </c>
      <c r="EA57" s="80">
        <v>247</v>
      </c>
      <c r="EB57" s="80">
        <v>194</v>
      </c>
      <c r="EC57" s="80">
        <v>1069</v>
      </c>
      <c r="ED57" s="80"/>
      <c r="EE57" s="80" t="s">
        <v>2437</v>
      </c>
      <c r="EF57" s="80">
        <v>14</v>
      </c>
      <c r="EG57" s="80">
        <v>0</v>
      </c>
      <c r="EH57" s="80">
        <v>0</v>
      </c>
      <c r="EI57" s="80">
        <v>0</v>
      </c>
      <c r="EJ57" s="80">
        <v>0</v>
      </c>
      <c r="EK57" s="80">
        <v>14</v>
      </c>
      <c r="EN57" s="57" t="s">
        <v>1990</v>
      </c>
      <c r="EO57" s="57" t="s">
        <v>2427</v>
      </c>
      <c r="EP57" s="57">
        <v>297</v>
      </c>
      <c r="EQ57" s="57">
        <v>500</v>
      </c>
      <c r="ER57" s="57">
        <v>639</v>
      </c>
      <c r="ES57" s="57">
        <v>678</v>
      </c>
      <c r="ET57" s="57">
        <v>851</v>
      </c>
      <c r="EU57" s="57">
        <v>2965</v>
      </c>
      <c r="EV57" s="57"/>
      <c r="EW57" s="57" t="s">
        <v>2427</v>
      </c>
      <c r="EX57" s="57">
        <v>49</v>
      </c>
      <c r="EY57" s="57">
        <v>19</v>
      </c>
      <c r="EZ57" s="57">
        <v>12</v>
      </c>
      <c r="FA57" s="57">
        <v>5</v>
      </c>
      <c r="FB57" s="57">
        <v>14</v>
      </c>
      <c r="FC57" s="57">
        <v>99</v>
      </c>
      <c r="FF57" s="71" t="s">
        <v>2052</v>
      </c>
      <c r="FG57" s="71" t="s">
        <v>2427</v>
      </c>
      <c r="FH57" s="71">
        <v>203</v>
      </c>
      <c r="FI57" s="71">
        <v>238</v>
      </c>
      <c r="FJ57" s="71">
        <v>233</v>
      </c>
      <c r="FK57" s="71">
        <v>282</v>
      </c>
      <c r="FL57" s="71">
        <v>317</v>
      </c>
      <c r="FM57" s="71">
        <v>1273</v>
      </c>
      <c r="FN57" s="71"/>
      <c r="FO57" s="71" t="s">
        <v>2427</v>
      </c>
      <c r="FP57" s="71">
        <v>48</v>
      </c>
      <c r="FQ57" s="71">
        <v>29</v>
      </c>
      <c r="FR57" s="71">
        <v>14</v>
      </c>
      <c r="FS57" s="71">
        <v>5</v>
      </c>
      <c r="FT57" s="71">
        <v>0</v>
      </c>
      <c r="FU57" s="71">
        <v>96</v>
      </c>
    </row>
    <row r="58" spans="2:177">
      <c r="B58" s="65" t="s">
        <v>845</v>
      </c>
      <c r="C58" s="65" t="s">
        <v>2427</v>
      </c>
      <c r="D58" s="65" t="s">
        <v>356</v>
      </c>
      <c r="E58" s="65" t="s">
        <v>356</v>
      </c>
      <c r="F58" s="65" t="s">
        <v>356</v>
      </c>
      <c r="G58" s="65" t="s">
        <v>356</v>
      </c>
      <c r="H58" s="65" t="s">
        <v>356</v>
      </c>
      <c r="I58" s="65" t="s">
        <v>356</v>
      </c>
      <c r="K58" s="65" t="s">
        <v>2427</v>
      </c>
      <c r="L58" s="65" t="s">
        <v>356</v>
      </c>
      <c r="M58" s="65" t="s">
        <v>356</v>
      </c>
      <c r="N58" s="65" t="s">
        <v>356</v>
      </c>
      <c r="O58" s="65" t="s">
        <v>356</v>
      </c>
      <c r="P58" s="65" t="s">
        <v>356</v>
      </c>
      <c r="Q58" s="65" t="s">
        <v>356</v>
      </c>
      <c r="T58" s="66" t="s">
        <v>2199</v>
      </c>
      <c r="U58" s="66" t="s">
        <v>2427</v>
      </c>
      <c r="V58" s="66" t="s">
        <v>356</v>
      </c>
      <c r="W58" s="66" t="s">
        <v>356</v>
      </c>
      <c r="X58" s="66" t="s">
        <v>356</v>
      </c>
      <c r="Y58" s="66" t="s">
        <v>356</v>
      </c>
      <c r="Z58" s="66" t="s">
        <v>356</v>
      </c>
      <c r="AA58" s="66" t="s">
        <v>356</v>
      </c>
      <c r="AB58" s="66"/>
      <c r="AC58" s="66" t="s">
        <v>2427</v>
      </c>
      <c r="AD58" s="66" t="s">
        <v>356</v>
      </c>
      <c r="AE58" s="66" t="s">
        <v>356</v>
      </c>
      <c r="AF58" s="66" t="s">
        <v>356</v>
      </c>
      <c r="AG58" s="66" t="s">
        <v>356</v>
      </c>
      <c r="AH58" s="66" t="s">
        <v>356</v>
      </c>
      <c r="AI58" s="66" t="s">
        <v>356</v>
      </c>
      <c r="BB58" s="70" t="s">
        <v>1545</v>
      </c>
      <c r="BC58" s="70" t="s">
        <v>2426</v>
      </c>
      <c r="BD58" s="70">
        <v>315</v>
      </c>
      <c r="BE58" s="70">
        <v>440</v>
      </c>
      <c r="BF58" s="70">
        <v>694</v>
      </c>
      <c r="BG58" s="70">
        <v>969</v>
      </c>
      <c r="BH58" s="70">
        <v>908</v>
      </c>
      <c r="BI58" s="70">
        <v>3326</v>
      </c>
      <c r="BJ58" s="70"/>
      <c r="BK58" s="70" t="s">
        <v>2426</v>
      </c>
      <c r="BL58" s="70">
        <v>39</v>
      </c>
      <c r="BM58" s="70">
        <v>0</v>
      </c>
      <c r="BN58" s="70">
        <v>0</v>
      </c>
      <c r="BO58" s="70">
        <v>0</v>
      </c>
      <c r="BP58" s="70">
        <v>0</v>
      </c>
      <c r="BQ58" s="70">
        <v>39</v>
      </c>
      <c r="BS58" s="71" t="s">
        <v>1585</v>
      </c>
      <c r="BT58" s="71" t="s">
        <v>2437</v>
      </c>
      <c r="BU58" s="71">
        <v>1513</v>
      </c>
      <c r="BV58" s="71">
        <v>903</v>
      </c>
      <c r="BW58" s="71">
        <v>891</v>
      </c>
      <c r="BX58" s="71">
        <v>835</v>
      </c>
      <c r="BY58" s="71">
        <v>636</v>
      </c>
      <c r="BZ58" s="71">
        <v>4778</v>
      </c>
      <c r="CA58" s="71"/>
      <c r="CB58" s="71" t="s">
        <v>2437</v>
      </c>
      <c r="CC58" s="71">
        <v>485</v>
      </c>
      <c r="CD58" s="71">
        <v>3</v>
      </c>
      <c r="CE58" s="71">
        <v>0</v>
      </c>
      <c r="CF58" s="71">
        <v>0</v>
      </c>
      <c r="CG58" s="71">
        <v>0</v>
      </c>
      <c r="CH58" s="71">
        <v>488</v>
      </c>
      <c r="CL58" s="57" t="s">
        <v>565</v>
      </c>
      <c r="CM58" s="57" t="s">
        <v>2427</v>
      </c>
      <c r="CN58" s="57">
        <v>235</v>
      </c>
      <c r="CO58" s="57">
        <v>118</v>
      </c>
      <c r="CP58" s="57">
        <v>158</v>
      </c>
      <c r="CQ58" s="57">
        <v>209</v>
      </c>
      <c r="CR58" s="57">
        <v>321</v>
      </c>
      <c r="CS58" s="57">
        <v>1041</v>
      </c>
      <c r="CT58" s="57"/>
      <c r="CU58" s="57" t="s">
        <v>2427</v>
      </c>
      <c r="CV58" s="57">
        <v>55</v>
      </c>
      <c r="CW58" s="57">
        <v>0</v>
      </c>
      <c r="CX58" s="57">
        <v>0</v>
      </c>
      <c r="CY58" s="57">
        <v>0</v>
      </c>
      <c r="CZ58" s="57">
        <v>0</v>
      </c>
      <c r="DA58" s="57">
        <v>55</v>
      </c>
      <c r="DD58" s="78" t="s">
        <v>1839</v>
      </c>
      <c r="DE58" s="78" t="s">
        <v>2441</v>
      </c>
      <c r="DF58" s="78">
        <v>300</v>
      </c>
      <c r="DG58" s="78">
        <v>367</v>
      </c>
      <c r="DH58" s="78">
        <v>452</v>
      </c>
      <c r="DI58" s="78">
        <v>460</v>
      </c>
      <c r="DJ58" s="78">
        <v>391</v>
      </c>
      <c r="DK58" s="78">
        <v>1970</v>
      </c>
      <c r="DL58" s="78"/>
      <c r="DM58" s="78" t="s">
        <v>2441</v>
      </c>
      <c r="DN58" s="78">
        <v>32</v>
      </c>
      <c r="DO58" s="78">
        <v>8</v>
      </c>
      <c r="DP58" s="78">
        <v>0</v>
      </c>
      <c r="DQ58" s="78">
        <v>1</v>
      </c>
      <c r="DR58" s="78">
        <v>0</v>
      </c>
      <c r="DS58" s="78">
        <v>41</v>
      </c>
      <c r="DV58" s="80" t="s">
        <v>1869</v>
      </c>
      <c r="DW58" s="80" t="s">
        <v>2437</v>
      </c>
      <c r="DX58" s="80">
        <v>221</v>
      </c>
      <c r="DY58" s="80">
        <v>260</v>
      </c>
      <c r="DZ58" s="80">
        <v>384</v>
      </c>
      <c r="EA58" s="80">
        <v>463</v>
      </c>
      <c r="EB58" s="80">
        <v>412</v>
      </c>
      <c r="EC58" s="80">
        <v>1740</v>
      </c>
      <c r="ED58" s="80"/>
      <c r="EE58" s="80" t="s">
        <v>2437</v>
      </c>
      <c r="EF58" s="80">
        <v>20</v>
      </c>
      <c r="EG58" s="80">
        <v>0</v>
      </c>
      <c r="EH58" s="80">
        <v>0</v>
      </c>
      <c r="EI58" s="80">
        <v>0</v>
      </c>
      <c r="EJ58" s="80">
        <v>0</v>
      </c>
      <c r="EK58" s="80">
        <v>20</v>
      </c>
      <c r="EN58" s="57" t="s">
        <v>1993</v>
      </c>
      <c r="EO58" s="57" t="s">
        <v>2427</v>
      </c>
      <c r="EP58" s="57">
        <v>635</v>
      </c>
      <c r="EQ58" s="57">
        <v>739</v>
      </c>
      <c r="ER58" s="57">
        <v>895</v>
      </c>
      <c r="ES58" s="57">
        <v>1022</v>
      </c>
      <c r="ET58" s="57">
        <v>1107</v>
      </c>
      <c r="EU58" s="57">
        <v>4398</v>
      </c>
      <c r="EV58" s="57"/>
      <c r="EW58" s="57" t="s">
        <v>2427</v>
      </c>
      <c r="EX58" s="57">
        <v>75</v>
      </c>
      <c r="EY58" s="57">
        <v>37</v>
      </c>
      <c r="EZ58" s="57">
        <v>30</v>
      </c>
      <c r="FA58" s="57">
        <v>35</v>
      </c>
      <c r="FB58" s="57">
        <v>24</v>
      </c>
      <c r="FC58" s="57">
        <v>201</v>
      </c>
      <c r="FF58" s="71" t="s">
        <v>2054</v>
      </c>
      <c r="FG58" s="71" t="s">
        <v>2427</v>
      </c>
      <c r="FH58" s="71">
        <v>459</v>
      </c>
      <c r="FI58" s="71">
        <v>463</v>
      </c>
      <c r="FJ58" s="71">
        <v>417</v>
      </c>
      <c r="FK58" s="71">
        <v>462</v>
      </c>
      <c r="FL58" s="71">
        <v>647</v>
      </c>
      <c r="FM58" s="71">
        <v>2448</v>
      </c>
      <c r="FN58" s="71"/>
      <c r="FO58" s="71" t="s">
        <v>2427</v>
      </c>
      <c r="FP58" s="71">
        <v>112</v>
      </c>
      <c r="FQ58" s="71">
        <v>0</v>
      </c>
      <c r="FR58" s="71">
        <v>0</v>
      </c>
      <c r="FS58" s="71">
        <v>0</v>
      </c>
      <c r="FT58" s="71">
        <v>0</v>
      </c>
      <c r="FU58" s="71">
        <v>112</v>
      </c>
    </row>
    <row r="59" spans="2:177">
      <c r="B59" s="65" t="s">
        <v>848</v>
      </c>
      <c r="C59" s="65" t="s">
        <v>2427</v>
      </c>
      <c r="D59" s="65" t="s">
        <v>356</v>
      </c>
      <c r="E59" s="65" t="s">
        <v>356</v>
      </c>
      <c r="F59" s="65" t="s">
        <v>356</v>
      </c>
      <c r="G59" s="65" t="s">
        <v>356</v>
      </c>
      <c r="H59" s="65" t="s">
        <v>356</v>
      </c>
      <c r="I59" s="65" t="s">
        <v>356</v>
      </c>
      <c r="K59" s="65" t="s">
        <v>2427</v>
      </c>
      <c r="L59" s="65" t="s">
        <v>356</v>
      </c>
      <c r="M59" s="65" t="s">
        <v>356</v>
      </c>
      <c r="N59" s="65" t="s">
        <v>356</v>
      </c>
      <c r="O59" s="65" t="s">
        <v>356</v>
      </c>
      <c r="P59" s="65" t="s">
        <v>356</v>
      </c>
      <c r="Q59" s="65" t="s">
        <v>356</v>
      </c>
      <c r="T59" s="66" t="s">
        <v>2434</v>
      </c>
      <c r="U59" s="66" t="s">
        <v>2427</v>
      </c>
      <c r="V59" s="66">
        <v>233</v>
      </c>
      <c r="W59" s="66">
        <v>494</v>
      </c>
      <c r="X59" s="66">
        <v>793</v>
      </c>
      <c r="Y59" s="66">
        <v>887</v>
      </c>
      <c r="Z59" s="66">
        <v>565</v>
      </c>
      <c r="AA59" s="66">
        <v>2972</v>
      </c>
      <c r="AB59" s="66"/>
      <c r="AC59" s="66" t="s">
        <v>2427</v>
      </c>
      <c r="AD59" s="66">
        <v>5</v>
      </c>
      <c r="AE59" s="66">
        <v>3</v>
      </c>
      <c r="AF59" s="66">
        <v>1</v>
      </c>
      <c r="AG59" s="66">
        <v>0</v>
      </c>
      <c r="AH59" s="66">
        <v>0</v>
      </c>
      <c r="AI59" s="66">
        <v>9</v>
      </c>
      <c r="AK59" s="67" t="s">
        <v>1255</v>
      </c>
      <c r="AL59" s="67" t="s">
        <v>2427</v>
      </c>
      <c r="AM59" s="67">
        <v>349</v>
      </c>
      <c r="AN59" s="67">
        <v>540</v>
      </c>
      <c r="AO59" s="67">
        <v>852</v>
      </c>
      <c r="AP59" s="67">
        <v>996</v>
      </c>
      <c r="AQ59" s="67">
        <v>689</v>
      </c>
      <c r="AR59" s="67">
        <v>3426</v>
      </c>
      <c r="AS59" s="67"/>
      <c r="AT59" s="67" t="s">
        <v>2427</v>
      </c>
      <c r="AU59" s="67">
        <v>60</v>
      </c>
      <c r="AV59" s="67">
        <v>4</v>
      </c>
      <c r="AW59" s="67">
        <v>1</v>
      </c>
      <c r="AX59" s="67">
        <v>0</v>
      </c>
      <c r="AY59" s="67">
        <v>1</v>
      </c>
      <c r="AZ59" s="67">
        <v>66</v>
      </c>
      <c r="BB59" s="70" t="s">
        <v>1548</v>
      </c>
      <c r="BC59" s="70" t="s">
        <v>2426</v>
      </c>
      <c r="BD59" s="70">
        <v>172</v>
      </c>
      <c r="BE59" s="70">
        <v>219</v>
      </c>
      <c r="BF59" s="70">
        <v>435</v>
      </c>
      <c r="BG59" s="70">
        <v>729</v>
      </c>
      <c r="BH59" s="70">
        <v>682</v>
      </c>
      <c r="BI59" s="70">
        <v>2237</v>
      </c>
      <c r="BJ59" s="70"/>
      <c r="BK59" s="70" t="s">
        <v>2426</v>
      </c>
      <c r="BL59" s="70">
        <v>36</v>
      </c>
      <c r="BM59" s="70">
        <v>0</v>
      </c>
      <c r="BN59" s="70">
        <v>0</v>
      </c>
      <c r="BO59" s="70">
        <v>0</v>
      </c>
      <c r="BP59" s="70">
        <v>0</v>
      </c>
      <c r="BQ59" s="70">
        <v>36</v>
      </c>
      <c r="BR59" s="16" t="s">
        <v>2792</v>
      </c>
      <c r="BS59" s="71" t="s">
        <v>2568</v>
      </c>
      <c r="BT59" s="71" t="s">
        <v>2437</v>
      </c>
      <c r="BU59" s="71">
        <v>31</v>
      </c>
      <c r="BV59" s="71">
        <v>40</v>
      </c>
      <c r="BW59" s="71">
        <v>77</v>
      </c>
      <c r="BX59" s="71">
        <v>105</v>
      </c>
      <c r="BY59" s="71">
        <v>90</v>
      </c>
      <c r="BZ59" s="71">
        <v>343</v>
      </c>
      <c r="CA59" s="71"/>
      <c r="CB59" s="71" t="s">
        <v>2437</v>
      </c>
      <c r="CC59" s="71">
        <v>10</v>
      </c>
      <c r="CD59" s="71">
        <v>0</v>
      </c>
      <c r="CE59" s="71">
        <v>0</v>
      </c>
      <c r="CF59" s="71">
        <v>0</v>
      </c>
      <c r="CG59" s="71">
        <v>0</v>
      </c>
      <c r="CH59" s="71">
        <v>10</v>
      </c>
      <c r="CL59" s="57" t="s">
        <v>569</v>
      </c>
      <c r="CM59" s="57" t="s">
        <v>2427</v>
      </c>
      <c r="CN59" s="57">
        <v>284</v>
      </c>
      <c r="CO59" s="57">
        <v>225</v>
      </c>
      <c r="CP59" s="57">
        <v>298</v>
      </c>
      <c r="CQ59" s="57">
        <v>398</v>
      </c>
      <c r="CR59" s="57">
        <v>313</v>
      </c>
      <c r="CS59" s="57">
        <v>1518</v>
      </c>
      <c r="CT59" s="57"/>
      <c r="CU59" s="57" t="s">
        <v>2427</v>
      </c>
      <c r="CV59" s="57">
        <v>25</v>
      </c>
      <c r="CW59" s="57">
        <v>0</v>
      </c>
      <c r="CX59" s="57">
        <v>0</v>
      </c>
      <c r="CY59" s="57">
        <v>0</v>
      </c>
      <c r="CZ59" s="57">
        <v>0</v>
      </c>
      <c r="DA59" s="57">
        <v>25</v>
      </c>
      <c r="DV59" s="80" t="s">
        <v>1873</v>
      </c>
      <c r="DW59" s="80" t="s">
        <v>2437</v>
      </c>
      <c r="DX59" s="80">
        <v>336</v>
      </c>
      <c r="DY59" s="80">
        <v>56</v>
      </c>
      <c r="DZ59" s="80">
        <v>406</v>
      </c>
      <c r="EA59" s="80">
        <v>411</v>
      </c>
      <c r="EB59" s="80">
        <v>326</v>
      </c>
      <c r="EC59" s="80">
        <v>1835</v>
      </c>
      <c r="ED59" s="80"/>
      <c r="EE59" s="80" t="s">
        <v>2437</v>
      </c>
      <c r="EF59" s="80">
        <v>9</v>
      </c>
      <c r="EG59" s="80">
        <v>0</v>
      </c>
      <c r="EH59" s="80">
        <v>0</v>
      </c>
      <c r="EI59" s="80">
        <v>0</v>
      </c>
      <c r="EJ59" s="80">
        <v>0</v>
      </c>
      <c r="EK59" s="80">
        <v>9</v>
      </c>
      <c r="EN59" s="57" t="s">
        <v>1996</v>
      </c>
      <c r="EO59" s="57" t="s">
        <v>2427</v>
      </c>
      <c r="EP59" s="57">
        <v>322</v>
      </c>
      <c r="EQ59" s="57">
        <v>379</v>
      </c>
      <c r="ER59" s="57">
        <v>429</v>
      </c>
      <c r="ES59" s="57">
        <v>459</v>
      </c>
      <c r="ET59" s="57">
        <v>560</v>
      </c>
      <c r="EU59" s="57">
        <v>2149</v>
      </c>
      <c r="EV59" s="57"/>
      <c r="EW59" s="57" t="s">
        <v>2427</v>
      </c>
      <c r="EX59" s="57">
        <v>16</v>
      </c>
      <c r="EY59" s="57">
        <v>9</v>
      </c>
      <c r="EZ59" s="57">
        <v>8</v>
      </c>
      <c r="FA59" s="57">
        <v>6</v>
      </c>
      <c r="FB59" s="57">
        <v>12</v>
      </c>
      <c r="FC59" s="57">
        <v>51</v>
      </c>
      <c r="FF59" s="71" t="s">
        <v>2056</v>
      </c>
      <c r="FG59" s="71" t="s">
        <v>2427</v>
      </c>
      <c r="FH59" s="71">
        <v>500</v>
      </c>
      <c r="FI59" s="71">
        <v>602</v>
      </c>
      <c r="FJ59" s="71">
        <v>520</v>
      </c>
      <c r="FK59" s="71">
        <v>583</v>
      </c>
      <c r="FL59" s="71">
        <v>816</v>
      </c>
      <c r="FM59" s="71">
        <v>3021</v>
      </c>
      <c r="FN59" s="71"/>
      <c r="FO59" s="71" t="s">
        <v>2427</v>
      </c>
      <c r="FP59" s="71">
        <v>77</v>
      </c>
      <c r="FQ59" s="71">
        <v>27</v>
      </c>
      <c r="FR59" s="71">
        <v>0</v>
      </c>
      <c r="FS59" s="71">
        <v>0</v>
      </c>
      <c r="FT59" s="71">
        <v>0</v>
      </c>
      <c r="FU59" s="71">
        <v>104</v>
      </c>
    </row>
    <row r="60" spans="2:177">
      <c r="B60" s="65" t="s">
        <v>851</v>
      </c>
      <c r="C60" s="65" t="s">
        <v>2427</v>
      </c>
      <c r="D60" s="65" t="s">
        <v>356</v>
      </c>
      <c r="E60" s="65" t="s">
        <v>356</v>
      </c>
      <c r="F60" s="65" t="s">
        <v>356</v>
      </c>
      <c r="G60" s="65" t="s">
        <v>356</v>
      </c>
      <c r="H60" s="65" t="s">
        <v>356</v>
      </c>
      <c r="I60" s="65" t="s">
        <v>356</v>
      </c>
      <c r="K60" s="65" t="s">
        <v>2427</v>
      </c>
      <c r="L60" s="65" t="s">
        <v>356</v>
      </c>
      <c r="M60" s="65" t="s">
        <v>356</v>
      </c>
      <c r="N60" s="65" t="s">
        <v>356</v>
      </c>
      <c r="O60" s="65" t="s">
        <v>356</v>
      </c>
      <c r="P60" s="65" t="s">
        <v>356</v>
      </c>
      <c r="Q60" s="65" t="s">
        <v>356</v>
      </c>
      <c r="T60" s="66" t="s">
        <v>2200</v>
      </c>
      <c r="U60" s="66" t="s">
        <v>2427</v>
      </c>
      <c r="V60" s="66">
        <v>212</v>
      </c>
      <c r="W60" s="66">
        <v>370</v>
      </c>
      <c r="X60" s="66">
        <v>625</v>
      </c>
      <c r="Y60" s="66">
        <v>707</v>
      </c>
      <c r="Z60" s="66">
        <v>502</v>
      </c>
      <c r="AA60" s="66">
        <v>2416</v>
      </c>
      <c r="AB60" s="66"/>
      <c r="AC60" s="66" t="s">
        <v>2427</v>
      </c>
      <c r="AD60" s="66">
        <v>7</v>
      </c>
      <c r="AE60" s="66">
        <v>1</v>
      </c>
      <c r="AF60" s="66">
        <v>1</v>
      </c>
      <c r="AG60" s="66">
        <v>0</v>
      </c>
      <c r="AH60" s="66">
        <v>0</v>
      </c>
      <c r="AI60" s="66">
        <v>9</v>
      </c>
      <c r="AK60" s="67" t="s">
        <v>2221</v>
      </c>
      <c r="AL60" s="67" t="s">
        <v>2427</v>
      </c>
      <c r="AM60" s="67">
        <v>303</v>
      </c>
      <c r="AN60" s="67">
        <v>518</v>
      </c>
      <c r="AO60" s="67">
        <v>898</v>
      </c>
      <c r="AP60" s="67">
        <v>1276</v>
      </c>
      <c r="AQ60" s="67">
        <v>945</v>
      </c>
      <c r="AR60" s="67">
        <v>3940</v>
      </c>
      <c r="AS60" s="67"/>
      <c r="AT60" s="67" t="s">
        <v>2427</v>
      </c>
      <c r="AU60" s="67">
        <v>22</v>
      </c>
      <c r="AV60" s="67">
        <v>3</v>
      </c>
      <c r="AW60" s="67">
        <v>0</v>
      </c>
      <c r="AX60" s="67">
        <v>0</v>
      </c>
      <c r="AY60" s="67">
        <v>0</v>
      </c>
      <c r="AZ60" s="67">
        <v>25</v>
      </c>
      <c r="BB60" s="70" t="s">
        <v>1552</v>
      </c>
      <c r="BC60" s="70" t="s">
        <v>2426</v>
      </c>
      <c r="BD60" s="70">
        <v>53</v>
      </c>
      <c r="BE60" s="70">
        <v>73</v>
      </c>
      <c r="BF60" s="70">
        <v>138</v>
      </c>
      <c r="BG60" s="70">
        <v>267</v>
      </c>
      <c r="BH60" s="70">
        <v>260</v>
      </c>
      <c r="BI60" s="70">
        <v>791</v>
      </c>
      <c r="BJ60" s="70"/>
      <c r="BK60" s="70" t="s">
        <v>2426</v>
      </c>
      <c r="BL60" s="70">
        <v>16</v>
      </c>
      <c r="BM60" s="70">
        <v>0</v>
      </c>
      <c r="BN60" s="70">
        <v>0</v>
      </c>
      <c r="BO60" s="70">
        <v>0</v>
      </c>
      <c r="BP60" s="70">
        <v>0</v>
      </c>
      <c r="BQ60" s="70">
        <v>16</v>
      </c>
      <c r="BS60" s="71" t="s">
        <v>1599</v>
      </c>
      <c r="BT60" s="71" t="s">
        <v>2437</v>
      </c>
      <c r="BU60" s="71" t="s">
        <v>356</v>
      </c>
      <c r="BV60" s="71" t="s">
        <v>356</v>
      </c>
      <c r="BW60" s="71" t="s">
        <v>356</v>
      </c>
      <c r="BX60" s="71" t="s">
        <v>356</v>
      </c>
      <c r="BY60" s="71" t="s">
        <v>356</v>
      </c>
      <c r="BZ60" s="71" t="s">
        <v>356</v>
      </c>
      <c r="CA60" s="71"/>
      <c r="CB60" s="71" t="s">
        <v>2437</v>
      </c>
      <c r="CC60" s="71" t="s">
        <v>356</v>
      </c>
      <c r="CD60" s="71" t="s">
        <v>356</v>
      </c>
      <c r="CE60" s="71" t="s">
        <v>356</v>
      </c>
      <c r="CF60" s="71" t="s">
        <v>356</v>
      </c>
      <c r="CG60" s="71" t="s">
        <v>356</v>
      </c>
      <c r="CH60" s="71" t="s">
        <v>356</v>
      </c>
      <c r="CL60" s="57" t="s">
        <v>571</v>
      </c>
      <c r="CM60" s="57" t="s">
        <v>2427</v>
      </c>
      <c r="CN60" s="57">
        <v>192</v>
      </c>
      <c r="CO60" s="57">
        <v>178</v>
      </c>
      <c r="CP60" s="57">
        <v>280</v>
      </c>
      <c r="CQ60" s="57">
        <v>379</v>
      </c>
      <c r="CR60" s="57">
        <v>337</v>
      </c>
      <c r="CS60" s="57">
        <v>1366</v>
      </c>
      <c r="CT60" s="57"/>
      <c r="CU60" s="57" t="s">
        <v>2427</v>
      </c>
      <c r="CV60" s="57">
        <v>23</v>
      </c>
      <c r="CW60" s="57">
        <v>0</v>
      </c>
      <c r="CX60" s="57">
        <v>0</v>
      </c>
      <c r="CY60" s="57">
        <v>0</v>
      </c>
      <c r="CZ60" s="57">
        <v>0</v>
      </c>
      <c r="DA60" s="57">
        <v>23</v>
      </c>
      <c r="DD60" s="78" t="s">
        <v>412</v>
      </c>
      <c r="DE60" s="78" t="s">
        <v>811</v>
      </c>
      <c r="DF60" s="78">
        <v>515</v>
      </c>
      <c r="DG60" s="78">
        <v>417</v>
      </c>
      <c r="DH60" s="78">
        <v>470</v>
      </c>
      <c r="DI60" s="78">
        <v>517</v>
      </c>
      <c r="DJ60" s="78">
        <v>379</v>
      </c>
      <c r="DK60" s="78">
        <v>2298</v>
      </c>
      <c r="DL60" s="78"/>
      <c r="DM60" s="78" t="s">
        <v>811</v>
      </c>
      <c r="DN60" s="78">
        <v>39</v>
      </c>
      <c r="DO60" s="78">
        <v>3</v>
      </c>
      <c r="DP60" s="78">
        <v>0</v>
      </c>
      <c r="DQ60" s="78">
        <v>0</v>
      </c>
      <c r="DR60" s="78">
        <v>0</v>
      </c>
      <c r="DS60" s="78">
        <v>42</v>
      </c>
      <c r="DU60" s="21"/>
      <c r="DV60" s="80" t="s">
        <v>2355</v>
      </c>
      <c r="DW60" s="80" t="s">
        <v>2437</v>
      </c>
      <c r="DX60" s="80">
        <v>208</v>
      </c>
      <c r="DY60" s="80">
        <v>250</v>
      </c>
      <c r="DZ60" s="80">
        <v>356</v>
      </c>
      <c r="EA60" s="80">
        <v>436</v>
      </c>
      <c r="EB60" s="80">
        <v>376</v>
      </c>
      <c r="EC60" s="80">
        <v>1626</v>
      </c>
      <c r="ED60" s="80"/>
      <c r="EE60" s="80" t="s">
        <v>2437</v>
      </c>
      <c r="EF60" s="80">
        <v>16</v>
      </c>
      <c r="EG60" s="80">
        <v>0</v>
      </c>
      <c r="EH60" s="80">
        <v>0</v>
      </c>
      <c r="EI60" s="80">
        <v>0</v>
      </c>
      <c r="EJ60" s="80">
        <v>0</v>
      </c>
      <c r="EK60" s="80">
        <v>16</v>
      </c>
      <c r="EN60" s="57" t="s">
        <v>1999</v>
      </c>
      <c r="EO60" s="57" t="s">
        <v>2427</v>
      </c>
      <c r="EP60" s="57">
        <v>100</v>
      </c>
      <c r="EQ60" s="57">
        <v>126</v>
      </c>
      <c r="ER60" s="57">
        <v>184</v>
      </c>
      <c r="ES60" s="57">
        <v>215</v>
      </c>
      <c r="ET60" s="57">
        <v>252</v>
      </c>
      <c r="EU60" s="57">
        <v>877</v>
      </c>
      <c r="EV60" s="57"/>
      <c r="EW60" s="57" t="s">
        <v>2427</v>
      </c>
      <c r="EX60" s="57">
        <v>28</v>
      </c>
      <c r="EY60" s="57">
        <v>5</v>
      </c>
      <c r="EZ60" s="57">
        <v>1</v>
      </c>
      <c r="FA60" s="57">
        <v>0</v>
      </c>
      <c r="FB60" s="57">
        <v>0</v>
      </c>
      <c r="FC60" s="57">
        <v>34</v>
      </c>
      <c r="FF60" s="71" t="s">
        <v>2058</v>
      </c>
      <c r="FG60" s="71" t="s">
        <v>2427</v>
      </c>
      <c r="FH60" s="71" t="s">
        <v>356</v>
      </c>
      <c r="FI60" s="71" t="s">
        <v>356</v>
      </c>
      <c r="FJ60" s="71" t="s">
        <v>356</v>
      </c>
      <c r="FK60" s="71" t="s">
        <v>356</v>
      </c>
      <c r="FL60" s="71" t="s">
        <v>356</v>
      </c>
      <c r="FM60" s="71" t="s">
        <v>356</v>
      </c>
      <c r="FN60" s="71"/>
      <c r="FO60" s="71" t="s">
        <v>2427</v>
      </c>
      <c r="FP60" s="71" t="s">
        <v>356</v>
      </c>
      <c r="FQ60" s="71" t="s">
        <v>356</v>
      </c>
      <c r="FR60" s="71" t="s">
        <v>356</v>
      </c>
      <c r="FS60" s="71" t="s">
        <v>356</v>
      </c>
      <c r="FT60" s="71" t="s">
        <v>356</v>
      </c>
      <c r="FU60" s="71" t="s">
        <v>356</v>
      </c>
    </row>
    <row r="61" spans="2:177">
      <c r="B61" s="65" t="s">
        <v>853</v>
      </c>
      <c r="C61" s="65" t="s">
        <v>2427</v>
      </c>
      <c r="D61" s="65" t="s">
        <v>356</v>
      </c>
      <c r="E61" s="65" t="s">
        <v>356</v>
      </c>
      <c r="F61" s="65" t="s">
        <v>356</v>
      </c>
      <c r="G61" s="65" t="s">
        <v>356</v>
      </c>
      <c r="H61" s="65" t="s">
        <v>356</v>
      </c>
      <c r="I61" s="65" t="s">
        <v>356</v>
      </c>
      <c r="K61" s="65" t="s">
        <v>2427</v>
      </c>
      <c r="L61" s="65" t="s">
        <v>356</v>
      </c>
      <c r="M61" s="65" t="s">
        <v>356</v>
      </c>
      <c r="N61" s="65" t="s">
        <v>356</v>
      </c>
      <c r="O61" s="65" t="s">
        <v>356</v>
      </c>
      <c r="P61" s="65" t="s">
        <v>356</v>
      </c>
      <c r="Q61" s="65" t="s">
        <v>356</v>
      </c>
      <c r="T61" s="66" t="s">
        <v>1148</v>
      </c>
      <c r="U61" s="66" t="s">
        <v>2427</v>
      </c>
      <c r="V61" s="66">
        <v>939</v>
      </c>
      <c r="W61" s="66">
        <v>446</v>
      </c>
      <c r="X61" s="66">
        <v>448</v>
      </c>
      <c r="Y61" s="66">
        <v>412</v>
      </c>
      <c r="Z61" s="66">
        <v>300</v>
      </c>
      <c r="AA61" s="66">
        <v>2545</v>
      </c>
      <c r="AB61" s="66"/>
      <c r="AC61" s="66" t="s">
        <v>2427</v>
      </c>
      <c r="AD61" s="66">
        <v>44</v>
      </c>
      <c r="AE61" s="66">
        <v>0</v>
      </c>
      <c r="AF61" s="66">
        <v>0</v>
      </c>
      <c r="AG61" s="66">
        <v>0</v>
      </c>
      <c r="AH61" s="66">
        <v>0</v>
      </c>
      <c r="AI61" s="66">
        <v>44</v>
      </c>
      <c r="AK61" s="67" t="s">
        <v>2232</v>
      </c>
      <c r="AL61" s="67" t="s">
        <v>2427</v>
      </c>
      <c r="AM61" s="67">
        <v>223</v>
      </c>
      <c r="AN61" s="67">
        <v>329</v>
      </c>
      <c r="AO61" s="67">
        <v>507</v>
      </c>
      <c r="AP61" s="67">
        <v>571</v>
      </c>
      <c r="AQ61" s="67">
        <v>424</v>
      </c>
      <c r="AR61" s="67">
        <v>2054</v>
      </c>
      <c r="AS61" s="67"/>
      <c r="AT61" s="67" t="s">
        <v>2427</v>
      </c>
      <c r="AU61" s="67">
        <v>19</v>
      </c>
      <c r="AV61" s="67">
        <v>0</v>
      </c>
      <c r="AW61" s="67">
        <v>0</v>
      </c>
      <c r="AX61" s="67">
        <v>0</v>
      </c>
      <c r="AY61" s="67">
        <v>0</v>
      </c>
      <c r="AZ61" s="67">
        <v>19</v>
      </c>
      <c r="BB61" s="70" t="s">
        <v>1555</v>
      </c>
      <c r="BC61" s="70" t="s">
        <v>2426</v>
      </c>
      <c r="BD61" s="70" t="s">
        <v>356</v>
      </c>
      <c r="BE61" s="70" t="s">
        <v>356</v>
      </c>
      <c r="BF61" s="70" t="s">
        <v>356</v>
      </c>
      <c r="BG61" s="70" t="s">
        <v>356</v>
      </c>
      <c r="BH61" s="70" t="s">
        <v>356</v>
      </c>
      <c r="BI61" s="70" t="s">
        <v>356</v>
      </c>
      <c r="BJ61" s="70"/>
      <c r="BK61" s="70" t="s">
        <v>2426</v>
      </c>
      <c r="BL61" s="70" t="s">
        <v>356</v>
      </c>
      <c r="BM61" s="70" t="s">
        <v>356</v>
      </c>
      <c r="BN61" s="70" t="s">
        <v>356</v>
      </c>
      <c r="BO61" s="70" t="s">
        <v>356</v>
      </c>
      <c r="BP61" s="70" t="s">
        <v>356</v>
      </c>
      <c r="BQ61" s="70" t="s">
        <v>356</v>
      </c>
      <c r="BS61" s="71" t="s">
        <v>1601</v>
      </c>
      <c r="BT61" s="71" t="s">
        <v>2437</v>
      </c>
      <c r="BU61" s="71">
        <v>1038</v>
      </c>
      <c r="BV61" s="71">
        <v>382</v>
      </c>
      <c r="BW61" s="71">
        <v>517</v>
      </c>
      <c r="BX61" s="71">
        <v>687</v>
      </c>
      <c r="BY61" s="71">
        <v>636</v>
      </c>
      <c r="BZ61" s="71">
        <v>3260</v>
      </c>
      <c r="CA61" s="71"/>
      <c r="CB61" s="71" t="s">
        <v>2437</v>
      </c>
      <c r="CC61" s="71">
        <v>295</v>
      </c>
      <c r="CD61" s="71">
        <v>0</v>
      </c>
      <c r="CE61" s="71">
        <v>0</v>
      </c>
      <c r="CF61" s="71">
        <v>0</v>
      </c>
      <c r="CG61" s="71">
        <v>0</v>
      </c>
      <c r="CH61" s="71">
        <v>295</v>
      </c>
      <c r="CL61" s="57" t="s">
        <v>574</v>
      </c>
      <c r="CM61" s="57" t="s">
        <v>2427</v>
      </c>
      <c r="CN61" s="57">
        <v>233</v>
      </c>
      <c r="CO61" s="57">
        <v>414</v>
      </c>
      <c r="CP61" s="57">
        <v>510</v>
      </c>
      <c r="CQ61" s="57">
        <v>647</v>
      </c>
      <c r="CR61" s="57">
        <v>528</v>
      </c>
      <c r="CS61" s="57">
        <v>2332</v>
      </c>
      <c r="CT61" s="57"/>
      <c r="CU61" s="57" t="s">
        <v>2427</v>
      </c>
      <c r="CV61" s="57">
        <v>15</v>
      </c>
      <c r="CW61" s="57">
        <v>0</v>
      </c>
      <c r="CX61" s="57">
        <v>0</v>
      </c>
      <c r="CY61" s="57">
        <v>0</v>
      </c>
      <c r="CZ61" s="57">
        <v>0</v>
      </c>
      <c r="DA61" s="57">
        <v>15</v>
      </c>
      <c r="DD61" s="78" t="s">
        <v>1772</v>
      </c>
      <c r="DE61" s="78" t="s">
        <v>811</v>
      </c>
      <c r="DF61" s="78">
        <v>104</v>
      </c>
      <c r="DG61" s="78">
        <v>138</v>
      </c>
      <c r="DH61" s="78">
        <v>233</v>
      </c>
      <c r="DI61" s="78">
        <v>282</v>
      </c>
      <c r="DJ61" s="78">
        <v>277</v>
      </c>
      <c r="DK61" s="78">
        <v>1034</v>
      </c>
      <c r="DL61" s="78"/>
      <c r="DM61" s="78" t="s">
        <v>811</v>
      </c>
      <c r="DN61" s="78">
        <v>10</v>
      </c>
      <c r="DO61" s="78">
        <v>4</v>
      </c>
      <c r="DP61" s="78">
        <v>2</v>
      </c>
      <c r="DQ61" s="78">
        <v>2</v>
      </c>
      <c r="DR61" s="78">
        <v>0</v>
      </c>
      <c r="DS61" s="78">
        <v>18</v>
      </c>
      <c r="DU61" s="21"/>
      <c r="DV61" s="80" t="s">
        <v>1883</v>
      </c>
      <c r="DW61" s="80" t="s">
        <v>2437</v>
      </c>
      <c r="DX61" s="80">
        <v>1491</v>
      </c>
      <c r="DY61" s="80">
        <v>1039</v>
      </c>
      <c r="DZ61" s="80">
        <v>1275</v>
      </c>
      <c r="EA61" s="80">
        <v>1334</v>
      </c>
      <c r="EB61" s="80">
        <v>1000</v>
      </c>
      <c r="EC61" s="80">
        <v>6139</v>
      </c>
      <c r="ED61" s="80"/>
      <c r="EE61" s="80" t="s">
        <v>2437</v>
      </c>
      <c r="EF61" s="80">
        <v>46</v>
      </c>
      <c r="EG61" s="80">
        <v>0</v>
      </c>
      <c r="EH61" s="80">
        <v>0</v>
      </c>
      <c r="EI61" s="80">
        <v>0</v>
      </c>
      <c r="EJ61" s="80">
        <v>0</v>
      </c>
      <c r="EK61" s="80">
        <v>46</v>
      </c>
      <c r="EN61" s="57" t="s">
        <v>2003</v>
      </c>
      <c r="EO61" s="57" t="s">
        <v>2427</v>
      </c>
      <c r="EP61" s="57">
        <v>86</v>
      </c>
      <c r="EQ61" s="57">
        <v>128</v>
      </c>
      <c r="ER61" s="57">
        <v>186</v>
      </c>
      <c r="ES61" s="57">
        <v>255</v>
      </c>
      <c r="ET61" s="57">
        <v>292</v>
      </c>
      <c r="EU61" s="57">
        <v>947</v>
      </c>
      <c r="EV61" s="57"/>
      <c r="EW61" s="57" t="s">
        <v>2427</v>
      </c>
      <c r="EX61" s="57">
        <v>12</v>
      </c>
      <c r="EY61" s="57">
        <v>13</v>
      </c>
      <c r="EZ61" s="57">
        <v>7</v>
      </c>
      <c r="FA61" s="57">
        <v>9</v>
      </c>
      <c r="FB61" s="57">
        <v>12</v>
      </c>
      <c r="FC61" s="57">
        <v>53</v>
      </c>
      <c r="FF61" s="71" t="s">
        <v>2060</v>
      </c>
      <c r="FG61" s="71" t="s">
        <v>2427</v>
      </c>
      <c r="FH61" s="71">
        <v>1849</v>
      </c>
      <c r="FI61" s="71">
        <v>1445</v>
      </c>
      <c r="FJ61" s="71">
        <v>954</v>
      </c>
      <c r="FK61" s="71">
        <v>877</v>
      </c>
      <c r="FL61" s="71">
        <v>955</v>
      </c>
      <c r="FM61" s="71">
        <v>6080</v>
      </c>
      <c r="FN61" s="71"/>
      <c r="FO61" s="71" t="s">
        <v>2427</v>
      </c>
      <c r="FP61" s="71">
        <v>320</v>
      </c>
      <c r="FQ61" s="71">
        <v>104</v>
      </c>
      <c r="FR61" s="71">
        <v>36</v>
      </c>
      <c r="FS61" s="71">
        <v>0</v>
      </c>
      <c r="FT61" s="71">
        <v>0</v>
      </c>
      <c r="FU61" s="71">
        <v>460</v>
      </c>
    </row>
    <row r="62" spans="2:177">
      <c r="B62" s="65" t="s">
        <v>856</v>
      </c>
      <c r="C62" s="65" t="s">
        <v>2427</v>
      </c>
      <c r="D62" s="65" t="s">
        <v>356</v>
      </c>
      <c r="E62" s="65" t="s">
        <v>356</v>
      </c>
      <c r="F62" s="65" t="s">
        <v>356</v>
      </c>
      <c r="G62" s="65" t="s">
        <v>356</v>
      </c>
      <c r="H62" s="65" t="s">
        <v>356</v>
      </c>
      <c r="I62" s="65" t="s">
        <v>356</v>
      </c>
      <c r="K62" s="65" t="s">
        <v>2427</v>
      </c>
      <c r="L62" s="65" t="s">
        <v>356</v>
      </c>
      <c r="M62" s="65" t="s">
        <v>356</v>
      </c>
      <c r="N62" s="65" t="s">
        <v>356</v>
      </c>
      <c r="O62" s="65" t="s">
        <v>356</v>
      </c>
      <c r="P62" s="65" t="s">
        <v>356</v>
      </c>
      <c r="Q62" s="65" t="s">
        <v>356</v>
      </c>
      <c r="T62" s="66" t="s">
        <v>1154</v>
      </c>
      <c r="U62" s="66" t="s">
        <v>2427</v>
      </c>
      <c r="V62" s="66">
        <v>98</v>
      </c>
      <c r="W62" s="66">
        <v>156</v>
      </c>
      <c r="X62" s="66">
        <v>297</v>
      </c>
      <c r="Y62" s="66">
        <v>381</v>
      </c>
      <c r="Z62" s="66">
        <v>327</v>
      </c>
      <c r="AA62" s="66">
        <v>1259</v>
      </c>
      <c r="AB62" s="66"/>
      <c r="AC62" s="66" t="s">
        <v>2427</v>
      </c>
      <c r="AD62" s="66">
        <v>8</v>
      </c>
      <c r="AE62" s="66">
        <v>6</v>
      </c>
      <c r="AF62" s="66">
        <v>0</v>
      </c>
      <c r="AG62" s="66">
        <v>0</v>
      </c>
      <c r="AH62" s="66">
        <v>0</v>
      </c>
      <c r="AI62" s="66">
        <v>14</v>
      </c>
      <c r="AK62" s="67" t="s">
        <v>2228</v>
      </c>
      <c r="AL62" s="67" t="s">
        <v>2427</v>
      </c>
      <c r="AM62" s="67">
        <v>266</v>
      </c>
      <c r="AN62" s="67">
        <v>442</v>
      </c>
      <c r="AO62" s="67">
        <v>653</v>
      </c>
      <c r="AP62" s="67">
        <v>871</v>
      </c>
      <c r="AQ62" s="67">
        <v>582</v>
      </c>
      <c r="AR62" s="67">
        <v>2814</v>
      </c>
      <c r="AS62" s="67"/>
      <c r="AT62" s="67" t="s">
        <v>2427</v>
      </c>
      <c r="AU62" s="67">
        <v>17</v>
      </c>
      <c r="AV62" s="67">
        <v>5</v>
      </c>
      <c r="AW62" s="67">
        <v>1</v>
      </c>
      <c r="AX62" s="67">
        <v>1</v>
      </c>
      <c r="AY62" s="67">
        <v>0</v>
      </c>
      <c r="AZ62" s="67">
        <v>24</v>
      </c>
      <c r="BB62" s="70" t="s">
        <v>1558</v>
      </c>
      <c r="BC62" s="70" t="s">
        <v>2426</v>
      </c>
      <c r="BD62" s="70">
        <v>272</v>
      </c>
      <c r="BE62" s="70">
        <v>106</v>
      </c>
      <c r="BF62" s="70">
        <v>148</v>
      </c>
      <c r="BG62" s="70">
        <v>187</v>
      </c>
      <c r="BH62" s="70">
        <v>237</v>
      </c>
      <c r="BI62" s="70">
        <v>950</v>
      </c>
      <c r="BJ62" s="70"/>
      <c r="BK62" s="70" t="s">
        <v>2426</v>
      </c>
      <c r="BL62" s="70">
        <v>45</v>
      </c>
      <c r="BM62" s="70">
        <v>0</v>
      </c>
      <c r="BN62" s="70">
        <v>0</v>
      </c>
      <c r="BO62" s="70">
        <v>0</v>
      </c>
      <c r="BP62" s="70">
        <v>0</v>
      </c>
      <c r="BQ62" s="70">
        <v>45</v>
      </c>
      <c r="BS62" s="71" t="s">
        <v>1606</v>
      </c>
      <c r="BT62" s="71" t="s">
        <v>2437</v>
      </c>
      <c r="BU62" s="71">
        <v>65</v>
      </c>
      <c r="BV62" s="71">
        <v>131</v>
      </c>
      <c r="BW62" s="71">
        <v>244</v>
      </c>
      <c r="BX62" s="71">
        <v>369</v>
      </c>
      <c r="BY62" s="71">
        <v>306</v>
      </c>
      <c r="BZ62" s="71">
        <v>1115</v>
      </c>
      <c r="CA62" s="71"/>
      <c r="CB62" s="71" t="s">
        <v>2437</v>
      </c>
      <c r="CC62" s="71">
        <v>15</v>
      </c>
      <c r="CD62" s="71">
        <v>0</v>
      </c>
      <c r="CE62" s="71">
        <v>0</v>
      </c>
      <c r="CF62" s="71">
        <v>0</v>
      </c>
      <c r="CG62" s="71">
        <v>0</v>
      </c>
      <c r="CH62" s="71">
        <v>15</v>
      </c>
      <c r="CL62" s="57" t="s">
        <v>578</v>
      </c>
      <c r="CM62" s="57" t="s">
        <v>2427</v>
      </c>
      <c r="CN62" s="57">
        <v>145</v>
      </c>
      <c r="CO62" s="57">
        <v>157</v>
      </c>
      <c r="CP62" s="57">
        <v>296</v>
      </c>
      <c r="CQ62" s="57">
        <v>374</v>
      </c>
      <c r="CR62" s="57">
        <v>287</v>
      </c>
      <c r="CS62" s="57">
        <v>1259</v>
      </c>
      <c r="CT62" s="57"/>
      <c r="CU62" s="57" t="s">
        <v>2427</v>
      </c>
      <c r="CV62" s="57">
        <v>18</v>
      </c>
      <c r="CW62" s="57">
        <v>0</v>
      </c>
      <c r="CX62" s="57">
        <v>0</v>
      </c>
      <c r="CY62" s="57">
        <v>0</v>
      </c>
      <c r="CZ62" s="57">
        <v>0</v>
      </c>
      <c r="DA62" s="57">
        <v>18</v>
      </c>
      <c r="DD62" s="78" t="s">
        <v>1778</v>
      </c>
      <c r="DE62" s="78" t="s">
        <v>27</v>
      </c>
      <c r="DF62" s="78">
        <v>433</v>
      </c>
      <c r="DG62" s="78">
        <v>430</v>
      </c>
      <c r="DH62" s="78">
        <v>522</v>
      </c>
      <c r="DI62" s="78">
        <v>524</v>
      </c>
      <c r="DJ62" s="78">
        <v>421</v>
      </c>
      <c r="DK62" s="78">
        <v>2330</v>
      </c>
      <c r="DL62" s="78"/>
      <c r="DM62" s="78" t="s">
        <v>27</v>
      </c>
      <c r="DN62" s="78">
        <v>12</v>
      </c>
      <c r="DO62" s="78">
        <v>0</v>
      </c>
      <c r="DP62" s="78">
        <v>0</v>
      </c>
      <c r="DQ62" s="78">
        <v>0</v>
      </c>
      <c r="DR62" s="78">
        <v>0</v>
      </c>
      <c r="DS62" s="78">
        <v>12</v>
      </c>
      <c r="DU62" s="21"/>
      <c r="DV62" s="80" t="s">
        <v>2359</v>
      </c>
      <c r="DW62" s="80" t="s">
        <v>2437</v>
      </c>
      <c r="DX62" s="80" t="s">
        <v>356</v>
      </c>
      <c r="DY62" s="80" t="s">
        <v>356</v>
      </c>
      <c r="DZ62" s="80" t="s">
        <v>356</v>
      </c>
      <c r="EA62" s="80" t="s">
        <v>356</v>
      </c>
      <c r="EB62" s="80" t="s">
        <v>356</v>
      </c>
      <c r="EC62" s="80" t="s">
        <v>356</v>
      </c>
      <c r="ED62" s="80"/>
      <c r="EE62" s="80" t="s">
        <v>2437</v>
      </c>
      <c r="EF62" s="80" t="s">
        <v>356</v>
      </c>
      <c r="EG62" s="80" t="s">
        <v>356</v>
      </c>
      <c r="EH62" s="80" t="s">
        <v>356</v>
      </c>
      <c r="EI62" s="80" t="s">
        <v>356</v>
      </c>
      <c r="EJ62" s="80" t="s">
        <v>356</v>
      </c>
      <c r="EK62" s="80" t="s">
        <v>356</v>
      </c>
      <c r="EN62" s="57" t="s">
        <v>2006</v>
      </c>
      <c r="EO62" s="57" t="s">
        <v>2427</v>
      </c>
      <c r="EP62" s="57">
        <v>96</v>
      </c>
      <c r="EQ62" s="57">
        <v>136</v>
      </c>
      <c r="ER62" s="57">
        <v>190</v>
      </c>
      <c r="ES62" s="57">
        <v>280</v>
      </c>
      <c r="ET62" s="57">
        <v>352</v>
      </c>
      <c r="EU62" s="57">
        <v>1054</v>
      </c>
      <c r="EV62" s="57"/>
      <c r="EW62" s="57" t="s">
        <v>2427</v>
      </c>
      <c r="EX62" s="57">
        <v>17</v>
      </c>
      <c r="EY62" s="57">
        <v>9</v>
      </c>
      <c r="EZ62" s="57">
        <v>6</v>
      </c>
      <c r="FA62" s="57">
        <v>4</v>
      </c>
      <c r="FB62" s="57">
        <v>2</v>
      </c>
      <c r="FC62" s="57">
        <v>38</v>
      </c>
      <c r="FF62" s="71" t="s">
        <v>2063</v>
      </c>
      <c r="FG62" s="71" t="s">
        <v>2427</v>
      </c>
      <c r="FH62" s="71">
        <v>307</v>
      </c>
      <c r="FI62" s="71">
        <v>526</v>
      </c>
      <c r="FJ62" s="71">
        <v>679</v>
      </c>
      <c r="FK62" s="71">
        <v>650</v>
      </c>
      <c r="FL62" s="71">
        <v>706</v>
      </c>
      <c r="FM62" s="71">
        <v>2868</v>
      </c>
      <c r="FN62" s="71"/>
      <c r="FO62" s="71" t="s">
        <v>2427</v>
      </c>
      <c r="FP62" s="71">
        <v>41</v>
      </c>
      <c r="FQ62" s="71">
        <v>4</v>
      </c>
      <c r="FR62" s="71">
        <v>0</v>
      </c>
      <c r="FS62" s="71">
        <v>0</v>
      </c>
      <c r="FT62" s="71">
        <v>0</v>
      </c>
      <c r="FU62" s="71">
        <v>45</v>
      </c>
    </row>
    <row r="63" spans="2:177">
      <c r="B63" s="65" t="s">
        <v>859</v>
      </c>
      <c r="C63" s="65" t="s">
        <v>2427</v>
      </c>
      <c r="D63" s="65" t="s">
        <v>356</v>
      </c>
      <c r="E63" s="65" t="s">
        <v>356</v>
      </c>
      <c r="F63" s="65" t="s">
        <v>356</v>
      </c>
      <c r="G63" s="65" t="s">
        <v>356</v>
      </c>
      <c r="H63" s="65" t="s">
        <v>356</v>
      </c>
      <c r="I63" s="65" t="s">
        <v>356</v>
      </c>
      <c r="K63" s="65" t="s">
        <v>2427</v>
      </c>
      <c r="L63" s="65" t="s">
        <v>356</v>
      </c>
      <c r="M63" s="65" t="s">
        <v>356</v>
      </c>
      <c r="N63" s="65" t="s">
        <v>356</v>
      </c>
      <c r="O63" s="65" t="s">
        <v>356</v>
      </c>
      <c r="P63" s="65" t="s">
        <v>356</v>
      </c>
      <c r="Q63" s="65" t="s">
        <v>356</v>
      </c>
      <c r="AK63" s="67" t="s">
        <v>2245</v>
      </c>
      <c r="AL63" s="67" t="s">
        <v>2427</v>
      </c>
      <c r="AM63" s="67">
        <v>225</v>
      </c>
      <c r="AN63" s="67">
        <v>254</v>
      </c>
      <c r="AO63" s="67">
        <v>456</v>
      </c>
      <c r="AP63" s="67">
        <v>557</v>
      </c>
      <c r="AQ63" s="67">
        <v>433</v>
      </c>
      <c r="AR63" s="67">
        <v>1925</v>
      </c>
      <c r="AS63" s="67"/>
      <c r="AT63" s="67" t="s">
        <v>2427</v>
      </c>
      <c r="AU63" s="67">
        <v>34</v>
      </c>
      <c r="AV63" s="67">
        <v>0</v>
      </c>
      <c r="AW63" s="67">
        <v>0</v>
      </c>
      <c r="AX63" s="67">
        <v>0</v>
      </c>
      <c r="AY63" s="67">
        <v>0</v>
      </c>
      <c r="AZ63" s="67">
        <v>34</v>
      </c>
      <c r="BS63" s="71" t="s">
        <v>1608</v>
      </c>
      <c r="BT63" s="71" t="s">
        <v>2437</v>
      </c>
      <c r="BU63" s="71">
        <v>115</v>
      </c>
      <c r="BV63" s="71">
        <v>79</v>
      </c>
      <c r="BW63" s="71">
        <v>209</v>
      </c>
      <c r="BX63" s="71">
        <v>314</v>
      </c>
      <c r="BY63" s="71">
        <v>264</v>
      </c>
      <c r="BZ63" s="71">
        <v>981</v>
      </c>
      <c r="CA63" s="71"/>
      <c r="CB63" s="71" t="s">
        <v>2437</v>
      </c>
      <c r="CC63" s="71">
        <v>45</v>
      </c>
      <c r="CD63" s="71">
        <v>0</v>
      </c>
      <c r="CE63" s="71">
        <v>0</v>
      </c>
      <c r="CF63" s="71">
        <v>0</v>
      </c>
      <c r="CG63" s="71">
        <v>0</v>
      </c>
      <c r="CH63" s="71">
        <v>45</v>
      </c>
      <c r="CL63" s="57" t="s">
        <v>582</v>
      </c>
      <c r="CM63" s="57" t="s">
        <v>2427</v>
      </c>
      <c r="CN63" s="57">
        <v>137</v>
      </c>
      <c r="CO63" s="57">
        <v>85</v>
      </c>
      <c r="CP63" s="57">
        <v>118</v>
      </c>
      <c r="CQ63" s="57">
        <v>161</v>
      </c>
      <c r="CR63" s="57">
        <v>194</v>
      </c>
      <c r="CS63" s="57">
        <v>695</v>
      </c>
      <c r="CT63" s="57"/>
      <c r="CU63" s="57" t="s">
        <v>2427</v>
      </c>
      <c r="CV63" s="57">
        <v>43</v>
      </c>
      <c r="CW63" s="57">
        <v>0</v>
      </c>
      <c r="CX63" s="57">
        <v>0</v>
      </c>
      <c r="CY63" s="57">
        <v>0</v>
      </c>
      <c r="CZ63" s="57">
        <v>0</v>
      </c>
      <c r="DA63" s="57">
        <v>43</v>
      </c>
      <c r="DD63" s="78" t="s">
        <v>1783</v>
      </c>
      <c r="DE63" s="78" t="s">
        <v>27</v>
      </c>
      <c r="DF63" s="78">
        <v>1182</v>
      </c>
      <c r="DG63" s="78">
        <v>1117</v>
      </c>
      <c r="DH63" s="78">
        <v>990</v>
      </c>
      <c r="DI63" s="78">
        <v>1157</v>
      </c>
      <c r="DJ63" s="78">
        <v>964</v>
      </c>
      <c r="DK63" s="78">
        <v>5410</v>
      </c>
      <c r="DL63" s="78"/>
      <c r="DM63" s="78" t="s">
        <v>27</v>
      </c>
      <c r="DN63" s="78">
        <v>165</v>
      </c>
      <c r="DO63" s="78">
        <v>10</v>
      </c>
      <c r="DP63" s="78">
        <v>0</v>
      </c>
      <c r="DQ63" s="78">
        <v>0</v>
      </c>
      <c r="DR63" s="78">
        <v>0</v>
      </c>
      <c r="DS63" s="78">
        <v>175</v>
      </c>
      <c r="DU63" s="21"/>
      <c r="DV63" s="80" t="s">
        <v>1890</v>
      </c>
      <c r="DW63" s="80" t="s">
        <v>2437</v>
      </c>
      <c r="DX63" s="80">
        <v>188</v>
      </c>
      <c r="DY63" s="80">
        <v>238</v>
      </c>
      <c r="DZ63" s="80">
        <v>353</v>
      </c>
      <c r="EA63" s="80">
        <v>404</v>
      </c>
      <c r="EB63" s="80">
        <v>271</v>
      </c>
      <c r="EC63" s="80">
        <v>1454</v>
      </c>
      <c r="ED63" s="80"/>
      <c r="EE63" s="80" t="s">
        <v>2437</v>
      </c>
      <c r="EF63" s="80">
        <v>11</v>
      </c>
      <c r="EG63" s="80">
        <v>0</v>
      </c>
      <c r="EH63" s="80">
        <v>0</v>
      </c>
      <c r="EI63" s="80">
        <v>0</v>
      </c>
      <c r="EJ63" s="80">
        <v>0</v>
      </c>
      <c r="EK63" s="80">
        <v>11</v>
      </c>
      <c r="EN63" s="57" t="s">
        <v>2010</v>
      </c>
      <c r="EO63" s="57" t="s">
        <v>2427</v>
      </c>
      <c r="EP63" s="57">
        <v>98</v>
      </c>
      <c r="EQ63" s="57">
        <v>137</v>
      </c>
      <c r="ER63" s="57">
        <v>188</v>
      </c>
      <c r="ES63" s="57">
        <v>242</v>
      </c>
      <c r="ET63" s="57">
        <v>347</v>
      </c>
      <c r="EU63" s="57">
        <v>1012</v>
      </c>
      <c r="EV63" s="57"/>
      <c r="EW63" s="57" t="s">
        <v>2427</v>
      </c>
      <c r="EX63" s="57">
        <v>9</v>
      </c>
      <c r="EY63" s="57">
        <v>4</v>
      </c>
      <c r="EZ63" s="57">
        <v>0</v>
      </c>
      <c r="FA63" s="57">
        <v>0</v>
      </c>
      <c r="FB63" s="57">
        <v>0</v>
      </c>
      <c r="FC63" s="57">
        <v>13</v>
      </c>
      <c r="FF63" s="71" t="s">
        <v>2065</v>
      </c>
      <c r="FG63" s="71" t="s">
        <v>2427</v>
      </c>
      <c r="FH63" s="71">
        <v>306</v>
      </c>
      <c r="FI63" s="71">
        <v>542</v>
      </c>
      <c r="FJ63" s="71">
        <v>676</v>
      </c>
      <c r="FK63" s="71">
        <v>682</v>
      </c>
      <c r="FL63" s="71">
        <v>795</v>
      </c>
      <c r="FM63" s="71">
        <v>3001</v>
      </c>
      <c r="FN63" s="71"/>
      <c r="FO63" s="71" t="s">
        <v>2427</v>
      </c>
      <c r="FP63" s="71">
        <v>15</v>
      </c>
      <c r="FQ63" s="71">
        <v>0</v>
      </c>
      <c r="FR63" s="71">
        <v>0</v>
      </c>
      <c r="FS63" s="71">
        <v>0</v>
      </c>
      <c r="FT63" s="71">
        <v>0</v>
      </c>
      <c r="FU63" s="71">
        <v>15</v>
      </c>
    </row>
    <row r="64" spans="2:177">
      <c r="B64" s="65" t="s">
        <v>863</v>
      </c>
      <c r="C64" s="65" t="s">
        <v>2427</v>
      </c>
      <c r="D64" s="65" t="s">
        <v>356</v>
      </c>
      <c r="E64" s="65" t="s">
        <v>356</v>
      </c>
      <c r="F64" s="65" t="s">
        <v>356</v>
      </c>
      <c r="G64" s="65" t="s">
        <v>356</v>
      </c>
      <c r="H64" s="65" t="s">
        <v>356</v>
      </c>
      <c r="I64" s="65" t="s">
        <v>356</v>
      </c>
      <c r="K64" s="65" t="s">
        <v>2427</v>
      </c>
      <c r="L64" s="65" t="s">
        <v>356</v>
      </c>
      <c r="M64" s="65" t="s">
        <v>356</v>
      </c>
      <c r="N64" s="65" t="s">
        <v>356</v>
      </c>
      <c r="O64" s="65" t="s">
        <v>356</v>
      </c>
      <c r="P64" s="65" t="s">
        <v>356</v>
      </c>
      <c r="Q64" s="65" t="s">
        <v>356</v>
      </c>
      <c r="T64" s="66" t="s">
        <v>1063</v>
      </c>
      <c r="U64" s="66" t="s">
        <v>2437</v>
      </c>
      <c r="V64" s="66">
        <v>765</v>
      </c>
      <c r="W64" s="66">
        <v>826</v>
      </c>
      <c r="X64" s="66">
        <v>1021</v>
      </c>
      <c r="Y64" s="66">
        <v>1045</v>
      </c>
      <c r="Z64" s="66">
        <v>643</v>
      </c>
      <c r="AA64" s="66">
        <v>4300</v>
      </c>
      <c r="AB64" s="66"/>
      <c r="AC64" s="66" t="s">
        <v>2437</v>
      </c>
      <c r="AD64" s="66">
        <v>47</v>
      </c>
      <c r="AE64" s="66">
        <v>3</v>
      </c>
      <c r="AF64" s="66">
        <v>2</v>
      </c>
      <c r="AG64" s="66">
        <v>0</v>
      </c>
      <c r="AH64" s="66">
        <v>1</v>
      </c>
      <c r="AI64" s="66">
        <v>53</v>
      </c>
      <c r="AK64" s="67" t="s">
        <v>2224</v>
      </c>
      <c r="AL64" s="67" t="s">
        <v>2427</v>
      </c>
      <c r="AM64" s="67">
        <v>245</v>
      </c>
      <c r="AN64" s="67">
        <v>286</v>
      </c>
      <c r="AO64" s="67">
        <v>553</v>
      </c>
      <c r="AP64" s="67">
        <v>660</v>
      </c>
      <c r="AQ64" s="67">
        <v>553</v>
      </c>
      <c r="AR64" s="67">
        <v>2297</v>
      </c>
      <c r="AS64" s="67"/>
      <c r="AT64" s="67" t="s">
        <v>2427</v>
      </c>
      <c r="AU64" s="67">
        <v>24</v>
      </c>
      <c r="AV64" s="67">
        <v>0</v>
      </c>
      <c r="AW64" s="67">
        <v>0</v>
      </c>
      <c r="AX64" s="67">
        <v>0</v>
      </c>
      <c r="AY64" s="67">
        <v>0</v>
      </c>
      <c r="AZ64" s="67">
        <v>24</v>
      </c>
      <c r="BB64" s="70" t="s">
        <v>1292</v>
      </c>
      <c r="BC64" s="70" t="s">
        <v>2427</v>
      </c>
      <c r="BD64" s="70">
        <v>188</v>
      </c>
      <c r="BE64" s="70">
        <v>240</v>
      </c>
      <c r="BF64" s="70">
        <v>446</v>
      </c>
      <c r="BG64" s="70">
        <v>659</v>
      </c>
      <c r="BH64" s="70">
        <v>637</v>
      </c>
      <c r="BI64" s="70">
        <v>2170</v>
      </c>
      <c r="BJ64" s="70"/>
      <c r="BK64" s="70" t="s">
        <v>2427</v>
      </c>
      <c r="BL64" s="70">
        <v>20</v>
      </c>
      <c r="BM64" s="70">
        <v>0</v>
      </c>
      <c r="BN64" s="70">
        <v>0</v>
      </c>
      <c r="BO64" s="70">
        <v>0</v>
      </c>
      <c r="BP64" s="70">
        <v>0</v>
      </c>
      <c r="BQ64" s="70">
        <v>20</v>
      </c>
      <c r="BS64" s="71" t="s">
        <v>1613</v>
      </c>
      <c r="BT64" s="71" t="s">
        <v>2437</v>
      </c>
      <c r="BU64" s="71">
        <v>73</v>
      </c>
      <c r="BV64" s="71">
        <v>57</v>
      </c>
      <c r="BW64" s="71">
        <v>83</v>
      </c>
      <c r="BX64" s="71">
        <v>166</v>
      </c>
      <c r="BY64" s="71">
        <v>194</v>
      </c>
      <c r="BZ64" s="71">
        <v>573</v>
      </c>
      <c r="CA64" s="71"/>
      <c r="CB64" s="71" t="s">
        <v>2437</v>
      </c>
      <c r="CC64" s="71">
        <v>20</v>
      </c>
      <c r="CD64" s="71">
        <v>0</v>
      </c>
      <c r="CE64" s="71">
        <v>0</v>
      </c>
      <c r="CF64" s="71">
        <v>0</v>
      </c>
      <c r="CG64" s="71">
        <v>0</v>
      </c>
      <c r="CH64" s="71">
        <v>20</v>
      </c>
      <c r="CL64" s="57" t="s">
        <v>2284</v>
      </c>
      <c r="CM64" s="57" t="s">
        <v>2427</v>
      </c>
      <c r="CN64" s="57">
        <v>49</v>
      </c>
      <c r="CO64" s="57">
        <v>84</v>
      </c>
      <c r="CP64" s="57">
        <v>169</v>
      </c>
      <c r="CQ64" s="57">
        <v>283</v>
      </c>
      <c r="CR64" s="57">
        <v>283</v>
      </c>
      <c r="CS64" s="57">
        <v>868</v>
      </c>
      <c r="CT64" s="57"/>
      <c r="CU64" s="57" t="s">
        <v>2427</v>
      </c>
      <c r="CV64" s="57">
        <v>7</v>
      </c>
      <c r="CW64" s="57">
        <v>0</v>
      </c>
      <c r="CX64" s="57">
        <v>0</v>
      </c>
      <c r="CY64" s="57">
        <v>0</v>
      </c>
      <c r="CZ64" s="57">
        <v>0</v>
      </c>
      <c r="DA64" s="57">
        <v>7</v>
      </c>
      <c r="DD64" s="78" t="s">
        <v>1786</v>
      </c>
      <c r="DE64" s="78" t="s">
        <v>27</v>
      </c>
      <c r="DF64" s="78">
        <v>221</v>
      </c>
      <c r="DG64" s="78">
        <v>270</v>
      </c>
      <c r="DH64" s="78">
        <v>353</v>
      </c>
      <c r="DI64" s="78">
        <v>461</v>
      </c>
      <c r="DJ64" s="78">
        <v>449</v>
      </c>
      <c r="DK64" s="78">
        <v>1754</v>
      </c>
      <c r="DL64" s="78"/>
      <c r="DM64" s="78" t="s">
        <v>27</v>
      </c>
      <c r="DN64" s="78">
        <v>47</v>
      </c>
      <c r="DO64" s="78">
        <v>0</v>
      </c>
      <c r="DP64" s="78">
        <v>0</v>
      </c>
      <c r="DQ64" s="78">
        <v>0</v>
      </c>
      <c r="DR64" s="78">
        <v>0</v>
      </c>
      <c r="DS64" s="78">
        <v>47</v>
      </c>
      <c r="DU64" s="21"/>
      <c r="DV64" s="80" t="s">
        <v>1894</v>
      </c>
      <c r="DW64" s="80" t="s">
        <v>2437</v>
      </c>
      <c r="DX64" s="80">
        <v>131</v>
      </c>
      <c r="DY64" s="80">
        <v>215</v>
      </c>
      <c r="DZ64" s="80">
        <v>372</v>
      </c>
      <c r="EA64" s="80">
        <v>439</v>
      </c>
      <c r="EB64" s="80">
        <v>364</v>
      </c>
      <c r="EC64" s="80">
        <v>1521</v>
      </c>
      <c r="ED64" s="80"/>
      <c r="EE64" s="80" t="s">
        <v>2437</v>
      </c>
      <c r="EF64" s="80">
        <v>15</v>
      </c>
      <c r="EG64" s="80">
        <v>1</v>
      </c>
      <c r="EH64" s="80">
        <v>0</v>
      </c>
      <c r="EI64" s="80">
        <v>0</v>
      </c>
      <c r="EJ64" s="80">
        <v>0</v>
      </c>
      <c r="EK64" s="80">
        <v>16</v>
      </c>
      <c r="EN64" s="57" t="s">
        <v>2400</v>
      </c>
      <c r="EO64" s="57" t="s">
        <v>2427</v>
      </c>
      <c r="EP64" s="57">
        <v>158</v>
      </c>
      <c r="EQ64" s="57">
        <v>185</v>
      </c>
      <c r="ER64" s="57">
        <v>190</v>
      </c>
      <c r="ES64" s="57">
        <v>217</v>
      </c>
      <c r="ET64" s="57">
        <v>271</v>
      </c>
      <c r="EU64" s="57">
        <v>1021</v>
      </c>
      <c r="EV64" s="57"/>
      <c r="EW64" s="57" t="s">
        <v>2427</v>
      </c>
      <c r="EX64" s="57">
        <v>51</v>
      </c>
      <c r="EY64" s="57">
        <v>13</v>
      </c>
      <c r="EZ64" s="57">
        <v>8</v>
      </c>
      <c r="FA64" s="57">
        <v>2</v>
      </c>
      <c r="FB64" s="57">
        <v>6</v>
      </c>
      <c r="FC64" s="57">
        <v>80</v>
      </c>
      <c r="FF64" s="71" t="s">
        <v>2067</v>
      </c>
      <c r="FG64" s="71" t="s">
        <v>2427</v>
      </c>
      <c r="FH64" s="71">
        <v>445</v>
      </c>
      <c r="FI64" s="71">
        <v>665</v>
      </c>
      <c r="FJ64" s="71">
        <v>791</v>
      </c>
      <c r="FK64" s="71">
        <v>791</v>
      </c>
      <c r="FL64" s="71">
        <v>910</v>
      </c>
      <c r="FM64" s="71">
        <v>3602</v>
      </c>
      <c r="FN64" s="71"/>
      <c r="FO64" s="71" t="s">
        <v>2427</v>
      </c>
      <c r="FP64" s="71">
        <v>50</v>
      </c>
      <c r="FQ64" s="71">
        <v>1</v>
      </c>
      <c r="FR64" s="71">
        <v>0</v>
      </c>
      <c r="FS64" s="71">
        <v>0</v>
      </c>
      <c r="FT64" s="71">
        <v>0</v>
      </c>
      <c r="FU64" s="71">
        <v>51</v>
      </c>
    </row>
    <row r="65" spans="1:177">
      <c r="B65" s="65" t="s">
        <v>866</v>
      </c>
      <c r="C65" s="65" t="s">
        <v>2427</v>
      </c>
      <c r="D65" s="65" t="s">
        <v>356</v>
      </c>
      <c r="E65" s="65" t="s">
        <v>356</v>
      </c>
      <c r="F65" s="65" t="s">
        <v>356</v>
      </c>
      <c r="G65" s="65" t="s">
        <v>356</v>
      </c>
      <c r="H65" s="65" t="s">
        <v>356</v>
      </c>
      <c r="I65" s="65" t="s">
        <v>356</v>
      </c>
      <c r="K65" s="65" t="s">
        <v>2427</v>
      </c>
      <c r="L65" s="65" t="s">
        <v>356</v>
      </c>
      <c r="M65" s="65" t="s">
        <v>356</v>
      </c>
      <c r="N65" s="65" t="s">
        <v>356</v>
      </c>
      <c r="O65" s="65" t="s">
        <v>356</v>
      </c>
      <c r="P65" s="65" t="s">
        <v>356</v>
      </c>
      <c r="Q65" s="65" t="s">
        <v>356</v>
      </c>
      <c r="T65" s="66" t="s">
        <v>2184</v>
      </c>
      <c r="U65" s="66" t="s">
        <v>2437</v>
      </c>
      <c r="V65" s="66">
        <v>285</v>
      </c>
      <c r="W65" s="66">
        <v>368</v>
      </c>
      <c r="X65" s="66">
        <v>475</v>
      </c>
      <c r="Y65" s="66">
        <v>491</v>
      </c>
      <c r="Z65" s="66">
        <v>323</v>
      </c>
      <c r="AA65" s="66">
        <v>1942</v>
      </c>
      <c r="AB65" s="66"/>
      <c r="AC65" s="66" t="s">
        <v>2437</v>
      </c>
      <c r="AD65" s="66">
        <v>20</v>
      </c>
      <c r="AE65" s="66">
        <v>0</v>
      </c>
      <c r="AF65" s="66">
        <v>0</v>
      </c>
      <c r="AG65" s="66">
        <v>0</v>
      </c>
      <c r="AH65" s="66">
        <v>0</v>
      </c>
      <c r="AI65" s="66">
        <v>20</v>
      </c>
      <c r="AK65" s="67" t="s">
        <v>2203</v>
      </c>
      <c r="AL65" s="67" t="s">
        <v>2427</v>
      </c>
      <c r="AM65" s="67">
        <v>458</v>
      </c>
      <c r="AN65" s="67">
        <v>656</v>
      </c>
      <c r="AO65" s="67">
        <v>906</v>
      </c>
      <c r="AP65" s="67">
        <v>1122</v>
      </c>
      <c r="AQ65" s="67">
        <v>656</v>
      </c>
      <c r="AR65" s="67">
        <v>3798</v>
      </c>
      <c r="AS65" s="67"/>
      <c r="AT65" s="67" t="s">
        <v>2427</v>
      </c>
      <c r="AU65" s="67">
        <v>34</v>
      </c>
      <c r="AV65" s="67">
        <v>2</v>
      </c>
      <c r="AW65" s="67">
        <v>0</v>
      </c>
      <c r="AX65" s="67">
        <v>0</v>
      </c>
      <c r="AY65" s="67">
        <v>0</v>
      </c>
      <c r="AZ65" s="67">
        <v>36</v>
      </c>
      <c r="BB65" s="70" t="s">
        <v>1295</v>
      </c>
      <c r="BC65" s="70" t="s">
        <v>2427</v>
      </c>
      <c r="BD65" s="70">
        <v>375</v>
      </c>
      <c r="BE65" s="70">
        <v>233</v>
      </c>
      <c r="BF65" s="70">
        <v>413</v>
      </c>
      <c r="BG65" s="70">
        <v>474</v>
      </c>
      <c r="BH65" s="70">
        <v>421</v>
      </c>
      <c r="BI65" s="70">
        <v>1916</v>
      </c>
      <c r="BJ65" s="70"/>
      <c r="BK65" s="70" t="s">
        <v>2427</v>
      </c>
      <c r="BL65" s="70">
        <v>83</v>
      </c>
      <c r="BM65" s="70">
        <v>0</v>
      </c>
      <c r="BN65" s="70">
        <v>0</v>
      </c>
      <c r="BO65" s="70">
        <v>0</v>
      </c>
      <c r="BP65" s="70">
        <v>0</v>
      </c>
      <c r="BQ65" s="70">
        <v>83</v>
      </c>
      <c r="BS65" s="71" t="s">
        <v>1617</v>
      </c>
      <c r="BT65" s="71" t="s">
        <v>2437</v>
      </c>
      <c r="BU65" s="71">
        <v>106</v>
      </c>
      <c r="BV65" s="71">
        <v>87</v>
      </c>
      <c r="BW65" s="71">
        <v>153</v>
      </c>
      <c r="BX65" s="71">
        <v>226</v>
      </c>
      <c r="BY65" s="71">
        <v>212</v>
      </c>
      <c r="BZ65" s="71">
        <v>784</v>
      </c>
      <c r="CA65" s="71"/>
      <c r="CB65" s="71" t="s">
        <v>2437</v>
      </c>
      <c r="CC65" s="71">
        <v>32</v>
      </c>
      <c r="CD65" s="71">
        <v>0</v>
      </c>
      <c r="CE65" s="71">
        <v>0</v>
      </c>
      <c r="CF65" s="71">
        <v>0</v>
      </c>
      <c r="CG65" s="71">
        <v>0</v>
      </c>
      <c r="CH65" s="71">
        <v>32</v>
      </c>
      <c r="CL65" s="57" t="s">
        <v>554</v>
      </c>
      <c r="CM65" s="57" t="s">
        <v>2427</v>
      </c>
      <c r="CN65" s="57">
        <v>68</v>
      </c>
      <c r="CO65" s="57">
        <v>90</v>
      </c>
      <c r="CP65" s="57">
        <v>217</v>
      </c>
      <c r="CQ65" s="57">
        <v>367</v>
      </c>
      <c r="CR65" s="57">
        <v>299</v>
      </c>
      <c r="CS65" s="57">
        <v>1041</v>
      </c>
      <c r="CT65" s="57"/>
      <c r="CU65" s="57" t="s">
        <v>2427</v>
      </c>
      <c r="CV65" s="57">
        <v>25</v>
      </c>
      <c r="CW65" s="57">
        <v>0</v>
      </c>
      <c r="CX65" s="57">
        <v>0</v>
      </c>
      <c r="CY65" s="57">
        <v>0</v>
      </c>
      <c r="CZ65" s="57">
        <v>0</v>
      </c>
      <c r="DA65" s="57">
        <v>25</v>
      </c>
      <c r="DD65" s="78" t="s">
        <v>1791</v>
      </c>
      <c r="DE65" s="78" t="s">
        <v>27</v>
      </c>
      <c r="DF65" s="78">
        <v>252</v>
      </c>
      <c r="DG65" s="78">
        <v>432</v>
      </c>
      <c r="DH65" s="78">
        <v>530</v>
      </c>
      <c r="DI65" s="78">
        <v>708</v>
      </c>
      <c r="DJ65" s="78">
        <v>607</v>
      </c>
      <c r="DK65" s="78">
        <v>2529</v>
      </c>
      <c r="DL65" s="78"/>
      <c r="DM65" s="78" t="s">
        <v>27</v>
      </c>
      <c r="DN65" s="78">
        <v>11</v>
      </c>
      <c r="DO65" s="78">
        <v>19</v>
      </c>
      <c r="DP65" s="78">
        <v>5</v>
      </c>
      <c r="DQ65" s="78">
        <v>1</v>
      </c>
      <c r="DR65" s="78">
        <v>0</v>
      </c>
      <c r="DS65" s="78">
        <v>36</v>
      </c>
      <c r="DU65" s="21"/>
      <c r="DV65" s="80" t="s">
        <v>1900</v>
      </c>
      <c r="DW65" s="80" t="s">
        <v>2437</v>
      </c>
      <c r="DX65" s="80">
        <v>203</v>
      </c>
      <c r="DY65" s="80">
        <v>264</v>
      </c>
      <c r="DZ65" s="80">
        <v>311</v>
      </c>
      <c r="EA65" s="80">
        <v>390</v>
      </c>
      <c r="EB65" s="80">
        <v>300</v>
      </c>
      <c r="EC65" s="80">
        <v>1468</v>
      </c>
      <c r="ED65" s="80"/>
      <c r="EE65" s="80" t="s">
        <v>2437</v>
      </c>
      <c r="EF65" s="80">
        <v>19</v>
      </c>
      <c r="EG65" s="80">
        <v>2</v>
      </c>
      <c r="EH65" s="80">
        <v>0</v>
      </c>
      <c r="EI65" s="80">
        <v>0</v>
      </c>
      <c r="EJ65" s="80">
        <v>0</v>
      </c>
      <c r="EK65" s="80">
        <v>21</v>
      </c>
      <c r="EN65" s="57" t="s">
        <v>2013</v>
      </c>
      <c r="EO65" s="57" t="s">
        <v>2427</v>
      </c>
      <c r="EP65" s="57">
        <v>758</v>
      </c>
      <c r="EQ65" s="57">
        <v>773</v>
      </c>
      <c r="ER65" s="57">
        <v>732</v>
      </c>
      <c r="ES65" s="57">
        <v>715</v>
      </c>
      <c r="ET65" s="57">
        <v>756</v>
      </c>
      <c r="EU65" s="57">
        <v>3734</v>
      </c>
      <c r="EV65" s="57"/>
      <c r="EW65" s="57" t="s">
        <v>2427</v>
      </c>
      <c r="EX65" s="57">
        <v>54</v>
      </c>
      <c r="EY65" s="57">
        <v>8</v>
      </c>
      <c r="EZ65" s="57">
        <v>1</v>
      </c>
      <c r="FA65" s="57">
        <v>0</v>
      </c>
      <c r="FB65" s="57">
        <v>0</v>
      </c>
      <c r="FC65" s="57">
        <v>63</v>
      </c>
      <c r="FF65" s="71" t="s">
        <v>2069</v>
      </c>
      <c r="FG65" s="71" t="s">
        <v>2427</v>
      </c>
      <c r="FH65" s="71">
        <v>496</v>
      </c>
      <c r="FI65" s="71">
        <v>729</v>
      </c>
      <c r="FJ65" s="71">
        <v>885</v>
      </c>
      <c r="FK65" s="71">
        <v>793</v>
      </c>
      <c r="FL65" s="71">
        <v>950</v>
      </c>
      <c r="FM65" s="71">
        <v>3853</v>
      </c>
      <c r="FN65" s="71"/>
      <c r="FO65" s="71" t="s">
        <v>2427</v>
      </c>
      <c r="FP65" s="71">
        <v>46</v>
      </c>
      <c r="FQ65" s="71">
        <v>4</v>
      </c>
      <c r="FR65" s="71">
        <v>0</v>
      </c>
      <c r="FS65" s="71">
        <v>0</v>
      </c>
      <c r="FT65" s="71">
        <v>0</v>
      </c>
      <c r="FU65" s="71">
        <v>50</v>
      </c>
    </row>
    <row r="66" spans="1:177">
      <c r="B66" s="65" t="s">
        <v>869</v>
      </c>
      <c r="C66" s="65" t="s">
        <v>2427</v>
      </c>
      <c r="D66" s="65">
        <v>473</v>
      </c>
      <c r="E66" s="65">
        <v>594</v>
      </c>
      <c r="F66" s="65">
        <v>837</v>
      </c>
      <c r="G66" s="65">
        <v>913</v>
      </c>
      <c r="H66" s="65">
        <v>717</v>
      </c>
      <c r="I66" s="65">
        <v>3534</v>
      </c>
      <c r="K66" s="65" t="s">
        <v>2427</v>
      </c>
      <c r="L66" s="65">
        <v>29</v>
      </c>
      <c r="M66" s="65">
        <v>0</v>
      </c>
      <c r="N66" s="65">
        <v>0</v>
      </c>
      <c r="O66" s="65">
        <v>0</v>
      </c>
      <c r="P66" s="65">
        <v>0</v>
      </c>
      <c r="Q66" s="65">
        <v>29</v>
      </c>
      <c r="T66" s="66" t="s">
        <v>2185</v>
      </c>
      <c r="U66" s="66" t="s">
        <v>2437</v>
      </c>
      <c r="V66" s="66">
        <v>152</v>
      </c>
      <c r="W66" s="66">
        <v>220</v>
      </c>
      <c r="X66" s="66">
        <v>339</v>
      </c>
      <c r="Y66" s="66">
        <v>346</v>
      </c>
      <c r="Z66" s="66">
        <v>253</v>
      </c>
      <c r="AA66" s="66">
        <v>1310</v>
      </c>
      <c r="AB66" s="66"/>
      <c r="AC66" s="66" t="s">
        <v>2437</v>
      </c>
      <c r="AD66" s="66">
        <v>8</v>
      </c>
      <c r="AE66" s="66">
        <v>3</v>
      </c>
      <c r="AF66" s="66">
        <v>1</v>
      </c>
      <c r="AG66" s="66">
        <v>0</v>
      </c>
      <c r="AH66" s="66">
        <v>1</v>
      </c>
      <c r="AI66" s="66">
        <v>13</v>
      </c>
      <c r="AK66" s="67" t="s">
        <v>1258</v>
      </c>
      <c r="AL66" s="67" t="s">
        <v>2427</v>
      </c>
      <c r="AM66" s="67">
        <v>214</v>
      </c>
      <c r="AN66" s="67">
        <v>214</v>
      </c>
      <c r="AO66" s="67">
        <v>383</v>
      </c>
      <c r="AP66" s="67">
        <v>596</v>
      </c>
      <c r="AQ66" s="67">
        <v>495</v>
      </c>
      <c r="AR66" s="67">
        <v>1902</v>
      </c>
      <c r="AS66" s="67"/>
      <c r="AT66" s="67" t="s">
        <v>2427</v>
      </c>
      <c r="AU66" s="67">
        <v>53</v>
      </c>
      <c r="AV66" s="67">
        <v>1</v>
      </c>
      <c r="AW66" s="67">
        <v>0</v>
      </c>
      <c r="AX66" s="67">
        <v>0</v>
      </c>
      <c r="AY66" s="67">
        <v>0</v>
      </c>
      <c r="AZ66" s="67">
        <v>54</v>
      </c>
      <c r="BB66" s="70" t="s">
        <v>1299</v>
      </c>
      <c r="BC66" s="70" t="s">
        <v>2427</v>
      </c>
      <c r="BD66" s="70">
        <v>374</v>
      </c>
      <c r="BE66" s="70">
        <v>292</v>
      </c>
      <c r="BF66" s="70">
        <v>558</v>
      </c>
      <c r="BG66" s="70">
        <v>803</v>
      </c>
      <c r="BH66" s="70">
        <v>634</v>
      </c>
      <c r="BI66" s="70">
        <v>2661</v>
      </c>
      <c r="BJ66" s="70"/>
      <c r="BK66" s="70" t="s">
        <v>2427</v>
      </c>
      <c r="BL66" s="70">
        <v>17</v>
      </c>
      <c r="BM66" s="70">
        <v>0</v>
      </c>
      <c r="BN66" s="70">
        <v>0</v>
      </c>
      <c r="BO66" s="70">
        <v>0</v>
      </c>
      <c r="BP66" s="70">
        <v>0</v>
      </c>
      <c r="BQ66" s="70">
        <v>17</v>
      </c>
      <c r="BS66" s="71" t="s">
        <v>1619</v>
      </c>
      <c r="BT66" s="71" t="s">
        <v>2437</v>
      </c>
      <c r="BU66" s="71">
        <v>82</v>
      </c>
      <c r="BV66" s="71">
        <v>187</v>
      </c>
      <c r="BW66" s="71">
        <v>357</v>
      </c>
      <c r="BX66" s="71">
        <v>536</v>
      </c>
      <c r="BY66" s="71">
        <v>489</v>
      </c>
      <c r="BZ66" s="71">
        <v>1651</v>
      </c>
      <c r="CA66" s="71"/>
      <c r="CB66" s="71" t="s">
        <v>2437</v>
      </c>
      <c r="CC66" s="71">
        <v>10</v>
      </c>
      <c r="CD66" s="71">
        <v>0</v>
      </c>
      <c r="CE66" s="71">
        <v>0</v>
      </c>
      <c r="CF66" s="71">
        <v>0</v>
      </c>
      <c r="CG66" s="71">
        <v>0</v>
      </c>
      <c r="CH66" s="71">
        <v>10</v>
      </c>
      <c r="CL66" s="57" t="s">
        <v>585</v>
      </c>
      <c r="CM66" s="57" t="s">
        <v>2427</v>
      </c>
      <c r="CN66" s="57" t="s">
        <v>356</v>
      </c>
      <c r="CO66" s="57" t="s">
        <v>356</v>
      </c>
      <c r="CP66" s="57" t="s">
        <v>356</v>
      </c>
      <c r="CQ66" s="57" t="s">
        <v>356</v>
      </c>
      <c r="CR66" s="57" t="s">
        <v>356</v>
      </c>
      <c r="CS66" s="57" t="s">
        <v>356</v>
      </c>
      <c r="CT66" s="57"/>
      <c r="CU66" s="57" t="s">
        <v>2427</v>
      </c>
      <c r="CV66" s="57" t="s">
        <v>356</v>
      </c>
      <c r="CW66" s="57" t="s">
        <v>356</v>
      </c>
      <c r="CX66" s="57" t="s">
        <v>356</v>
      </c>
      <c r="CY66" s="57" t="s">
        <v>356</v>
      </c>
      <c r="CZ66" s="57" t="s">
        <v>356</v>
      </c>
      <c r="DA66" s="57" t="s">
        <v>356</v>
      </c>
      <c r="DD66" s="78" t="s">
        <v>1794</v>
      </c>
      <c r="DE66" s="78" t="s">
        <v>27</v>
      </c>
      <c r="DF66" s="78">
        <v>196</v>
      </c>
      <c r="DG66" s="78">
        <v>210</v>
      </c>
      <c r="DH66" s="78">
        <v>244</v>
      </c>
      <c r="DI66" s="78">
        <v>375</v>
      </c>
      <c r="DJ66" s="78">
        <v>413</v>
      </c>
      <c r="DK66" s="78">
        <v>1438</v>
      </c>
      <c r="DL66" s="78"/>
      <c r="DM66" s="78" t="s">
        <v>27</v>
      </c>
      <c r="DN66" s="78">
        <v>13</v>
      </c>
      <c r="DO66" s="78">
        <v>5</v>
      </c>
      <c r="DP66" s="78">
        <v>3</v>
      </c>
      <c r="DQ66" s="78">
        <v>1</v>
      </c>
      <c r="DR66" s="78">
        <v>0</v>
      </c>
      <c r="DS66" s="78">
        <v>22</v>
      </c>
      <c r="DU66" s="21"/>
      <c r="DV66" s="80" t="s">
        <v>1904</v>
      </c>
      <c r="DW66" s="80" t="s">
        <v>2437</v>
      </c>
      <c r="DX66" s="80">
        <v>123</v>
      </c>
      <c r="DY66" s="80">
        <v>169</v>
      </c>
      <c r="DZ66" s="80">
        <v>208</v>
      </c>
      <c r="EA66" s="80">
        <v>263</v>
      </c>
      <c r="EB66" s="80">
        <v>262</v>
      </c>
      <c r="EC66" s="80">
        <v>1025</v>
      </c>
      <c r="ED66" s="80"/>
      <c r="EE66" s="80" t="s">
        <v>2437</v>
      </c>
      <c r="EF66" s="80">
        <v>11</v>
      </c>
      <c r="EG66" s="80">
        <v>1</v>
      </c>
      <c r="EH66" s="80">
        <v>0</v>
      </c>
      <c r="EI66" s="80">
        <v>0</v>
      </c>
      <c r="EJ66" s="80">
        <v>0</v>
      </c>
      <c r="EK66" s="80">
        <v>12</v>
      </c>
      <c r="EN66" s="57" t="s">
        <v>2402</v>
      </c>
      <c r="EO66" s="57" t="s">
        <v>2427</v>
      </c>
      <c r="EP66" s="57" t="s">
        <v>356</v>
      </c>
      <c r="EQ66" s="57" t="s">
        <v>356</v>
      </c>
      <c r="ER66" s="57" t="s">
        <v>356</v>
      </c>
      <c r="ES66" s="57" t="s">
        <v>356</v>
      </c>
      <c r="ET66" s="57" t="s">
        <v>356</v>
      </c>
      <c r="EU66" s="57" t="s">
        <v>356</v>
      </c>
      <c r="EV66" s="57"/>
      <c r="EW66" s="57" t="s">
        <v>2427</v>
      </c>
      <c r="EX66" s="57" t="s">
        <v>356</v>
      </c>
      <c r="EY66" s="57" t="s">
        <v>356</v>
      </c>
      <c r="EZ66" s="57" t="s">
        <v>356</v>
      </c>
      <c r="FA66" s="57" t="s">
        <v>356</v>
      </c>
      <c r="FB66" s="57" t="s">
        <v>356</v>
      </c>
      <c r="FC66" s="57" t="s">
        <v>356</v>
      </c>
      <c r="FF66" s="71" t="s">
        <v>2072</v>
      </c>
      <c r="FG66" s="71" t="s">
        <v>2427</v>
      </c>
      <c r="FH66" s="71">
        <v>449</v>
      </c>
      <c r="FI66" s="71">
        <v>572</v>
      </c>
      <c r="FJ66" s="71">
        <v>660</v>
      </c>
      <c r="FK66" s="71">
        <v>775</v>
      </c>
      <c r="FL66" s="71">
        <v>966</v>
      </c>
      <c r="FM66" s="71">
        <v>3422</v>
      </c>
      <c r="FN66" s="71"/>
      <c r="FO66" s="71" t="s">
        <v>2427</v>
      </c>
      <c r="FP66" s="71">
        <v>98</v>
      </c>
      <c r="FQ66" s="71">
        <v>44</v>
      </c>
      <c r="FR66" s="71">
        <v>23</v>
      </c>
      <c r="FS66" s="71">
        <v>16</v>
      </c>
      <c r="FT66" s="71">
        <v>14</v>
      </c>
      <c r="FU66" s="71">
        <v>195</v>
      </c>
    </row>
    <row r="67" spans="1:177">
      <c r="B67" s="65" t="s">
        <v>877</v>
      </c>
      <c r="C67" s="65" t="s">
        <v>2427</v>
      </c>
      <c r="D67" s="65">
        <v>447</v>
      </c>
      <c r="E67" s="65">
        <v>536</v>
      </c>
      <c r="F67" s="65">
        <v>681</v>
      </c>
      <c r="G67" s="65">
        <v>814</v>
      </c>
      <c r="H67" s="65">
        <v>601</v>
      </c>
      <c r="I67" s="65">
        <v>3079</v>
      </c>
      <c r="K67" s="65" t="s">
        <v>2427</v>
      </c>
      <c r="L67" s="65">
        <v>20</v>
      </c>
      <c r="M67" s="65">
        <v>0</v>
      </c>
      <c r="N67" s="65">
        <v>0</v>
      </c>
      <c r="O67" s="65">
        <v>0</v>
      </c>
      <c r="P67" s="65">
        <v>0</v>
      </c>
      <c r="Q67" s="65">
        <v>20</v>
      </c>
      <c r="T67" s="66" t="s">
        <v>2186</v>
      </c>
      <c r="U67" s="66" t="s">
        <v>2437</v>
      </c>
      <c r="V67" s="66">
        <v>80</v>
      </c>
      <c r="W67" s="66">
        <v>176</v>
      </c>
      <c r="X67" s="66">
        <v>294</v>
      </c>
      <c r="Y67" s="66">
        <v>301</v>
      </c>
      <c r="Z67" s="66">
        <v>204</v>
      </c>
      <c r="AA67" s="66">
        <v>1055</v>
      </c>
      <c r="AB67" s="66"/>
      <c r="AC67" s="66" t="s">
        <v>2437</v>
      </c>
      <c r="AD67" s="66">
        <v>10</v>
      </c>
      <c r="AE67" s="66">
        <v>2</v>
      </c>
      <c r="AF67" s="66">
        <v>2</v>
      </c>
      <c r="AG67" s="66">
        <v>0</v>
      </c>
      <c r="AH67" s="66">
        <v>1</v>
      </c>
      <c r="AI67" s="66">
        <v>15</v>
      </c>
      <c r="AK67" s="67" t="s">
        <v>2235</v>
      </c>
      <c r="AL67" s="67" t="s">
        <v>2427</v>
      </c>
      <c r="AM67" s="67">
        <v>671</v>
      </c>
      <c r="AN67" s="67">
        <v>486</v>
      </c>
      <c r="AO67" s="67">
        <v>499</v>
      </c>
      <c r="AP67" s="67">
        <v>548</v>
      </c>
      <c r="AQ67" s="67">
        <v>467</v>
      </c>
      <c r="AR67" s="67">
        <v>2671</v>
      </c>
      <c r="AS67" s="67"/>
      <c r="AT67" s="67" t="s">
        <v>2427</v>
      </c>
      <c r="AU67" s="67">
        <v>71</v>
      </c>
      <c r="AV67" s="67">
        <v>13</v>
      </c>
      <c r="AW67" s="67">
        <v>6</v>
      </c>
      <c r="AX67" s="67">
        <v>0</v>
      </c>
      <c r="AY67" s="67">
        <v>0</v>
      </c>
      <c r="AZ67" s="67">
        <v>90</v>
      </c>
      <c r="BB67" s="70" t="s">
        <v>1302</v>
      </c>
      <c r="BC67" s="70" t="s">
        <v>2427</v>
      </c>
      <c r="BD67" s="70">
        <v>208</v>
      </c>
      <c r="BE67" s="70">
        <v>221</v>
      </c>
      <c r="BF67" s="70">
        <v>406</v>
      </c>
      <c r="BG67" s="70">
        <v>576</v>
      </c>
      <c r="BH67" s="70">
        <v>518</v>
      </c>
      <c r="BI67" s="70">
        <v>1929</v>
      </c>
      <c r="BJ67" s="70"/>
      <c r="BK67" s="70" t="s">
        <v>2427</v>
      </c>
      <c r="BL67" s="70">
        <v>21</v>
      </c>
      <c r="BM67" s="70">
        <v>0</v>
      </c>
      <c r="BN67" s="70">
        <v>0</v>
      </c>
      <c r="BO67" s="70">
        <v>0</v>
      </c>
      <c r="BP67" s="70">
        <v>0</v>
      </c>
      <c r="BQ67" s="70">
        <v>21</v>
      </c>
      <c r="BS67" s="71" t="s">
        <v>1621</v>
      </c>
      <c r="BT67" s="71" t="s">
        <v>2437</v>
      </c>
      <c r="BU67" s="71">
        <v>134</v>
      </c>
      <c r="BV67" s="71">
        <v>191</v>
      </c>
      <c r="BW67" s="71">
        <v>380</v>
      </c>
      <c r="BX67" s="71">
        <v>548</v>
      </c>
      <c r="BY67" s="71">
        <v>519</v>
      </c>
      <c r="BZ67" s="71">
        <v>1772</v>
      </c>
      <c r="CA67" s="71"/>
      <c r="CB67" s="71" t="s">
        <v>2437</v>
      </c>
      <c r="CC67" s="71">
        <v>17</v>
      </c>
      <c r="CD67" s="71">
        <v>0</v>
      </c>
      <c r="CE67" s="71">
        <v>0</v>
      </c>
      <c r="CF67" s="71">
        <v>0</v>
      </c>
      <c r="CG67" s="71">
        <v>0</v>
      </c>
      <c r="CH67" s="71">
        <v>17</v>
      </c>
      <c r="CL67" s="57" t="s">
        <v>588</v>
      </c>
      <c r="CM67" s="57" t="s">
        <v>2427</v>
      </c>
      <c r="CN67" s="57">
        <v>69</v>
      </c>
      <c r="CO67" s="57">
        <v>150</v>
      </c>
      <c r="CP67" s="57">
        <v>306</v>
      </c>
      <c r="CQ67" s="57">
        <v>443</v>
      </c>
      <c r="CR67" s="57">
        <v>410</v>
      </c>
      <c r="CS67" s="57">
        <v>1378</v>
      </c>
      <c r="CT67" s="57"/>
      <c r="CU67" s="57" t="s">
        <v>2427</v>
      </c>
      <c r="CV67" s="57">
        <v>18</v>
      </c>
      <c r="CW67" s="57">
        <v>0</v>
      </c>
      <c r="CX67" s="57">
        <v>0</v>
      </c>
      <c r="CY67" s="57">
        <v>0</v>
      </c>
      <c r="CZ67" s="57">
        <v>0</v>
      </c>
      <c r="DA67" s="57">
        <v>18</v>
      </c>
      <c r="DD67" s="78" t="s">
        <v>1799</v>
      </c>
      <c r="DE67" s="78" t="s">
        <v>27</v>
      </c>
      <c r="DF67" s="78">
        <v>132</v>
      </c>
      <c r="DG67" s="78">
        <v>189</v>
      </c>
      <c r="DH67" s="78">
        <v>268</v>
      </c>
      <c r="DI67" s="78">
        <v>347</v>
      </c>
      <c r="DJ67" s="78">
        <v>335</v>
      </c>
      <c r="DK67" s="78">
        <v>1271</v>
      </c>
      <c r="DL67" s="78"/>
      <c r="DM67" s="78" t="s">
        <v>27</v>
      </c>
      <c r="DN67" s="78">
        <v>7</v>
      </c>
      <c r="DO67" s="78">
        <v>10</v>
      </c>
      <c r="DP67" s="78">
        <v>4</v>
      </c>
      <c r="DQ67" s="78">
        <v>0</v>
      </c>
      <c r="DR67" s="78">
        <v>0</v>
      </c>
      <c r="DS67" s="78">
        <v>21</v>
      </c>
      <c r="DU67" s="21"/>
      <c r="DV67" s="80" t="s">
        <v>2367</v>
      </c>
      <c r="DW67" s="80" t="s">
        <v>2437</v>
      </c>
      <c r="DX67" s="80">
        <v>225</v>
      </c>
      <c r="DY67" s="80">
        <v>250</v>
      </c>
      <c r="DZ67" s="80">
        <v>357</v>
      </c>
      <c r="EA67" s="80">
        <v>428</v>
      </c>
      <c r="EB67" s="80">
        <v>398</v>
      </c>
      <c r="EC67" s="80">
        <v>1658</v>
      </c>
      <c r="ED67" s="80"/>
      <c r="EE67" s="80" t="s">
        <v>2437</v>
      </c>
      <c r="EF67" s="80">
        <v>21</v>
      </c>
      <c r="EG67" s="80">
        <v>0</v>
      </c>
      <c r="EH67" s="80">
        <v>0</v>
      </c>
      <c r="EI67" s="80">
        <v>0</v>
      </c>
      <c r="EJ67" s="80">
        <v>0</v>
      </c>
      <c r="EK67" s="80">
        <v>21</v>
      </c>
      <c r="EN67" s="57" t="s">
        <v>2017</v>
      </c>
      <c r="EO67" s="57" t="s">
        <v>2427</v>
      </c>
      <c r="EP67" s="57" t="s">
        <v>356</v>
      </c>
      <c r="EQ67" s="57" t="s">
        <v>356</v>
      </c>
      <c r="ER67" s="57" t="s">
        <v>356</v>
      </c>
      <c r="ES67" s="57" t="s">
        <v>356</v>
      </c>
      <c r="ET67" s="57" t="s">
        <v>356</v>
      </c>
      <c r="EU67" s="57" t="s">
        <v>356</v>
      </c>
      <c r="EV67" s="57"/>
      <c r="EW67" s="57" t="s">
        <v>2427</v>
      </c>
      <c r="EX67" s="57" t="s">
        <v>356</v>
      </c>
      <c r="EY67" s="57" t="s">
        <v>356</v>
      </c>
      <c r="EZ67" s="57" t="s">
        <v>356</v>
      </c>
      <c r="FA67" s="57" t="s">
        <v>356</v>
      </c>
      <c r="FB67" s="57" t="s">
        <v>356</v>
      </c>
      <c r="FC67" s="57" t="s">
        <v>356</v>
      </c>
      <c r="FF67" s="71" t="s">
        <v>2075</v>
      </c>
      <c r="FG67" s="71" t="s">
        <v>2427</v>
      </c>
      <c r="FH67" s="71">
        <v>580</v>
      </c>
      <c r="FI67" s="71">
        <v>621</v>
      </c>
      <c r="FJ67" s="71">
        <v>671</v>
      </c>
      <c r="FK67" s="71">
        <v>739</v>
      </c>
      <c r="FL67" s="71">
        <v>878</v>
      </c>
      <c r="FM67" s="71">
        <v>3489</v>
      </c>
      <c r="FN67" s="71"/>
      <c r="FO67" s="71" t="s">
        <v>2427</v>
      </c>
      <c r="FP67" s="71">
        <v>109</v>
      </c>
      <c r="FQ67" s="71">
        <v>20</v>
      </c>
      <c r="FR67" s="71">
        <v>11</v>
      </c>
      <c r="FS67" s="71">
        <v>8</v>
      </c>
      <c r="FT67" s="71">
        <v>5</v>
      </c>
      <c r="FU67" s="71">
        <v>153</v>
      </c>
    </row>
    <row r="68" spans="1:177">
      <c r="B68" s="65" t="s">
        <v>880</v>
      </c>
      <c r="C68" s="65" t="s">
        <v>2427</v>
      </c>
      <c r="D68" s="65">
        <v>349</v>
      </c>
      <c r="E68" s="65">
        <v>424</v>
      </c>
      <c r="F68" s="65">
        <v>561</v>
      </c>
      <c r="G68" s="65">
        <v>596</v>
      </c>
      <c r="H68" s="65">
        <v>526</v>
      </c>
      <c r="I68" s="65">
        <v>2456</v>
      </c>
      <c r="K68" s="65" t="s">
        <v>2427</v>
      </c>
      <c r="L68" s="65">
        <v>26</v>
      </c>
      <c r="M68" s="65">
        <v>0</v>
      </c>
      <c r="N68" s="65">
        <v>0</v>
      </c>
      <c r="O68" s="65">
        <v>0</v>
      </c>
      <c r="P68" s="65">
        <v>0</v>
      </c>
      <c r="Q68" s="65">
        <v>26</v>
      </c>
      <c r="T68" s="66" t="s">
        <v>2187</v>
      </c>
      <c r="U68" s="66" t="s">
        <v>2437</v>
      </c>
      <c r="V68" s="66">
        <v>76</v>
      </c>
      <c r="W68" s="66">
        <v>177</v>
      </c>
      <c r="X68" s="66">
        <v>362</v>
      </c>
      <c r="Y68" s="66">
        <v>509</v>
      </c>
      <c r="Z68" s="66">
        <v>398</v>
      </c>
      <c r="AA68" s="66">
        <v>1522</v>
      </c>
      <c r="AB68" s="66"/>
      <c r="AC68" s="66" t="s">
        <v>2437</v>
      </c>
      <c r="AD68" s="66">
        <v>10</v>
      </c>
      <c r="AE68" s="66">
        <v>2</v>
      </c>
      <c r="AF68" s="66">
        <v>2</v>
      </c>
      <c r="AG68" s="66">
        <v>1</v>
      </c>
      <c r="AH68" s="66">
        <v>1</v>
      </c>
      <c r="AI68" s="66">
        <v>16</v>
      </c>
      <c r="AK68" s="67" t="s">
        <v>2213</v>
      </c>
      <c r="AL68" s="67" t="s">
        <v>2427</v>
      </c>
      <c r="AM68" s="67">
        <v>500</v>
      </c>
      <c r="AN68" s="67">
        <v>435</v>
      </c>
      <c r="AO68" s="67">
        <v>760</v>
      </c>
      <c r="AP68" s="67">
        <v>895</v>
      </c>
      <c r="AQ68" s="67">
        <v>669</v>
      </c>
      <c r="AR68" s="67">
        <v>3259</v>
      </c>
      <c r="AS68" s="67"/>
      <c r="AT68" s="67" t="s">
        <v>2427</v>
      </c>
      <c r="AU68" s="67">
        <v>46</v>
      </c>
      <c r="AV68" s="67">
        <v>1</v>
      </c>
      <c r="AW68" s="67">
        <v>3</v>
      </c>
      <c r="AX68" s="67">
        <v>0</v>
      </c>
      <c r="AY68" s="67">
        <v>0</v>
      </c>
      <c r="AZ68" s="67">
        <v>50</v>
      </c>
      <c r="BB68" s="70" t="s">
        <v>1305</v>
      </c>
      <c r="BC68" s="70" t="s">
        <v>2427</v>
      </c>
      <c r="BD68" s="70">
        <v>376</v>
      </c>
      <c r="BE68" s="70">
        <v>274</v>
      </c>
      <c r="BF68" s="70">
        <v>392</v>
      </c>
      <c r="BG68" s="70">
        <v>441</v>
      </c>
      <c r="BH68" s="70">
        <v>348</v>
      </c>
      <c r="BI68" s="70">
        <v>1831</v>
      </c>
      <c r="BJ68" s="70"/>
      <c r="BK68" s="70" t="s">
        <v>2427</v>
      </c>
      <c r="BL68" s="70">
        <v>50</v>
      </c>
      <c r="BM68" s="70">
        <v>2</v>
      </c>
      <c r="BN68" s="70">
        <v>0</v>
      </c>
      <c r="BO68" s="70">
        <v>0</v>
      </c>
      <c r="BP68" s="70">
        <v>0</v>
      </c>
      <c r="BQ68" s="70">
        <v>52</v>
      </c>
      <c r="BS68" s="71" t="s">
        <v>1623</v>
      </c>
      <c r="BT68" s="71" t="s">
        <v>2437</v>
      </c>
      <c r="BU68" s="71">
        <v>45</v>
      </c>
      <c r="BV68" s="71">
        <v>91</v>
      </c>
      <c r="BW68" s="71">
        <v>207</v>
      </c>
      <c r="BX68" s="71">
        <v>284</v>
      </c>
      <c r="BY68" s="71">
        <v>297</v>
      </c>
      <c r="BZ68" s="71">
        <v>924</v>
      </c>
      <c r="CA68" s="71"/>
      <c r="CB68" s="71" t="s">
        <v>2437</v>
      </c>
      <c r="CC68" s="71">
        <v>3</v>
      </c>
      <c r="CD68" s="71">
        <v>0</v>
      </c>
      <c r="CE68" s="71">
        <v>0</v>
      </c>
      <c r="CF68" s="71">
        <v>0</v>
      </c>
      <c r="CG68" s="71">
        <v>0</v>
      </c>
      <c r="CH68" s="71">
        <v>3</v>
      </c>
      <c r="CL68" s="57" t="s">
        <v>590</v>
      </c>
      <c r="CM68" s="57" t="s">
        <v>2427</v>
      </c>
      <c r="CN68" s="57">
        <v>1081</v>
      </c>
      <c r="CO68" s="57">
        <v>637</v>
      </c>
      <c r="CP68" s="57">
        <v>756</v>
      </c>
      <c r="CQ68" s="57">
        <v>848</v>
      </c>
      <c r="CR68" s="57">
        <v>641</v>
      </c>
      <c r="CS68" s="57">
        <v>3963</v>
      </c>
      <c r="CT68" s="57"/>
      <c r="CU68" s="57" t="s">
        <v>2427</v>
      </c>
      <c r="CV68" s="57">
        <v>357</v>
      </c>
      <c r="CW68" s="57">
        <v>6</v>
      </c>
      <c r="CX68" s="57">
        <v>0</v>
      </c>
      <c r="CY68" s="57">
        <v>0</v>
      </c>
      <c r="CZ68" s="57">
        <v>0</v>
      </c>
      <c r="DA68" s="57">
        <v>363</v>
      </c>
      <c r="DD68" s="78" t="s">
        <v>1803</v>
      </c>
      <c r="DE68" s="78" t="s">
        <v>27</v>
      </c>
      <c r="DF68" s="78">
        <v>102</v>
      </c>
      <c r="DG68" s="78">
        <v>118</v>
      </c>
      <c r="DH68" s="78">
        <v>156</v>
      </c>
      <c r="DI68" s="78">
        <v>199</v>
      </c>
      <c r="DJ68" s="78">
        <v>173</v>
      </c>
      <c r="DK68" s="78">
        <v>748</v>
      </c>
      <c r="DL68" s="78"/>
      <c r="DM68" s="78" t="s">
        <v>27</v>
      </c>
      <c r="DN68" s="78">
        <v>6</v>
      </c>
      <c r="DO68" s="78">
        <v>11</v>
      </c>
      <c r="DP68" s="78">
        <v>0</v>
      </c>
      <c r="DQ68" s="78">
        <v>0</v>
      </c>
      <c r="DR68" s="78">
        <v>0</v>
      </c>
      <c r="DS68" s="78">
        <v>17</v>
      </c>
      <c r="DU68" s="21"/>
      <c r="DV68" s="80" t="s">
        <v>1908</v>
      </c>
      <c r="DW68" s="80" t="s">
        <v>2437</v>
      </c>
      <c r="DX68" s="80">
        <v>178</v>
      </c>
      <c r="DY68" s="80">
        <v>141</v>
      </c>
      <c r="DZ68" s="80">
        <v>152</v>
      </c>
      <c r="EA68" s="80">
        <v>169</v>
      </c>
      <c r="EB68" s="80">
        <v>136</v>
      </c>
      <c r="EC68" s="80">
        <v>776</v>
      </c>
      <c r="ED68" s="80"/>
      <c r="EE68" s="80" t="s">
        <v>2437</v>
      </c>
      <c r="EF68" s="80">
        <v>14</v>
      </c>
      <c r="EG68" s="80">
        <v>0</v>
      </c>
      <c r="EH68" s="80">
        <v>0</v>
      </c>
      <c r="EI68" s="80">
        <v>0</v>
      </c>
      <c r="EJ68" s="80">
        <v>0</v>
      </c>
      <c r="EK68" s="80">
        <v>14</v>
      </c>
      <c r="EN68" s="57" t="s">
        <v>2021</v>
      </c>
      <c r="EO68" s="57" t="s">
        <v>2427</v>
      </c>
      <c r="EP68" s="57">
        <v>194</v>
      </c>
      <c r="EQ68" s="57">
        <v>305</v>
      </c>
      <c r="ER68" s="57">
        <v>349</v>
      </c>
      <c r="ES68" s="57">
        <v>473</v>
      </c>
      <c r="ET68" s="57">
        <v>560</v>
      </c>
      <c r="EU68" s="57">
        <v>1881</v>
      </c>
      <c r="EV68" s="57"/>
      <c r="EW68" s="57" t="s">
        <v>2427</v>
      </c>
      <c r="EX68" s="57">
        <v>30</v>
      </c>
      <c r="EY68" s="57">
        <v>15</v>
      </c>
      <c r="EZ68" s="57">
        <v>6</v>
      </c>
      <c r="FA68" s="57">
        <v>4</v>
      </c>
      <c r="FB68" s="57">
        <v>7</v>
      </c>
      <c r="FC68" s="57">
        <v>62</v>
      </c>
      <c r="FF68" s="71" t="s">
        <v>2077</v>
      </c>
      <c r="FG68" s="71" t="s">
        <v>2427</v>
      </c>
      <c r="FH68" s="71">
        <v>523</v>
      </c>
      <c r="FI68" s="71">
        <v>640</v>
      </c>
      <c r="FJ68" s="71">
        <v>708</v>
      </c>
      <c r="FK68" s="71">
        <v>806</v>
      </c>
      <c r="FL68" s="71">
        <v>976</v>
      </c>
      <c r="FM68" s="71">
        <v>3653</v>
      </c>
      <c r="FN68" s="71"/>
      <c r="FO68" s="71" t="s">
        <v>2427</v>
      </c>
      <c r="FP68" s="71">
        <v>66</v>
      </c>
      <c r="FQ68" s="71">
        <v>21</v>
      </c>
      <c r="FR68" s="71">
        <v>13</v>
      </c>
      <c r="FS68" s="71">
        <v>14</v>
      </c>
      <c r="FT68" s="71">
        <v>9</v>
      </c>
      <c r="FU68" s="71">
        <v>123</v>
      </c>
    </row>
    <row r="69" spans="1:177">
      <c r="B69" s="65" t="s">
        <v>885</v>
      </c>
      <c r="C69" s="65" t="s">
        <v>2427</v>
      </c>
      <c r="D69" s="65">
        <v>267</v>
      </c>
      <c r="E69" s="65">
        <v>294</v>
      </c>
      <c r="F69" s="65">
        <v>409</v>
      </c>
      <c r="G69" s="65">
        <v>507</v>
      </c>
      <c r="H69" s="65">
        <v>382</v>
      </c>
      <c r="I69" s="65">
        <v>1859</v>
      </c>
      <c r="K69" s="65" t="s">
        <v>2427</v>
      </c>
      <c r="L69" s="65">
        <v>18</v>
      </c>
      <c r="M69" s="65">
        <v>0</v>
      </c>
      <c r="N69" s="65">
        <v>0</v>
      </c>
      <c r="O69" s="65">
        <v>0</v>
      </c>
      <c r="P69" s="65">
        <v>0</v>
      </c>
      <c r="Q69" s="65">
        <v>18</v>
      </c>
      <c r="T69" s="66" t="s">
        <v>1071</v>
      </c>
      <c r="U69" s="66" t="s">
        <v>2437</v>
      </c>
      <c r="V69" s="66">
        <v>102</v>
      </c>
      <c r="W69" s="66">
        <v>130</v>
      </c>
      <c r="X69" s="66">
        <v>231</v>
      </c>
      <c r="Y69" s="66">
        <v>260</v>
      </c>
      <c r="Z69" s="66">
        <v>229</v>
      </c>
      <c r="AA69" s="66">
        <v>952</v>
      </c>
      <c r="AB69" s="66"/>
      <c r="AC69" s="66" t="s">
        <v>2437</v>
      </c>
      <c r="AD69" s="66">
        <v>7</v>
      </c>
      <c r="AE69" s="66">
        <v>0</v>
      </c>
      <c r="AF69" s="66">
        <v>1</v>
      </c>
      <c r="AG69" s="66">
        <v>0</v>
      </c>
      <c r="AH69" s="66">
        <v>0</v>
      </c>
      <c r="AI69" s="66">
        <v>8</v>
      </c>
      <c r="AK69" s="67" t="s">
        <v>2238</v>
      </c>
      <c r="AL69" s="67" t="s">
        <v>2427</v>
      </c>
      <c r="AM69" s="67">
        <v>575</v>
      </c>
      <c r="AN69" s="67">
        <v>564</v>
      </c>
      <c r="AO69" s="67">
        <v>760</v>
      </c>
      <c r="AP69" s="67">
        <v>836</v>
      </c>
      <c r="AQ69" s="67">
        <v>602</v>
      </c>
      <c r="AR69" s="67">
        <v>3337</v>
      </c>
      <c r="AS69" s="67"/>
      <c r="AT69" s="67" t="s">
        <v>2427</v>
      </c>
      <c r="AU69" s="67">
        <v>18</v>
      </c>
      <c r="AV69" s="67">
        <v>4</v>
      </c>
      <c r="AW69" s="67">
        <v>1</v>
      </c>
      <c r="AX69" s="67">
        <v>0</v>
      </c>
      <c r="AY69" s="67">
        <v>2</v>
      </c>
      <c r="AZ69" s="67">
        <v>25</v>
      </c>
      <c r="BB69" s="70" t="s">
        <v>1308</v>
      </c>
      <c r="BC69" s="70" t="s">
        <v>2427</v>
      </c>
      <c r="BD69" s="70">
        <v>278</v>
      </c>
      <c r="BE69" s="70">
        <v>295</v>
      </c>
      <c r="BF69" s="70">
        <v>318</v>
      </c>
      <c r="BG69" s="70">
        <v>320</v>
      </c>
      <c r="BH69" s="70">
        <v>262</v>
      </c>
      <c r="BI69" s="70">
        <v>1473</v>
      </c>
      <c r="BJ69" s="70"/>
      <c r="BK69" s="70" t="s">
        <v>2427</v>
      </c>
      <c r="BL69" s="70">
        <v>22</v>
      </c>
      <c r="BM69" s="70">
        <v>0</v>
      </c>
      <c r="BN69" s="70">
        <v>0</v>
      </c>
      <c r="BO69" s="70">
        <v>0</v>
      </c>
      <c r="BP69" s="70">
        <v>0</v>
      </c>
      <c r="BQ69" s="70">
        <v>22</v>
      </c>
      <c r="BS69" s="71" t="s">
        <v>1625</v>
      </c>
      <c r="BT69" s="71" t="s">
        <v>2437</v>
      </c>
      <c r="BU69" s="71">
        <v>229</v>
      </c>
      <c r="BV69" s="71">
        <v>184</v>
      </c>
      <c r="BW69" s="71">
        <v>242</v>
      </c>
      <c r="BX69" s="71">
        <v>326</v>
      </c>
      <c r="BY69" s="71">
        <v>296</v>
      </c>
      <c r="BZ69" s="71">
        <v>1277</v>
      </c>
      <c r="CA69" s="71"/>
      <c r="CB69" s="71" t="s">
        <v>2437</v>
      </c>
      <c r="CC69" s="71">
        <v>55</v>
      </c>
      <c r="CD69" s="71">
        <v>0</v>
      </c>
      <c r="CE69" s="71">
        <v>0</v>
      </c>
      <c r="CF69" s="71">
        <v>0</v>
      </c>
      <c r="CG69" s="71">
        <v>0</v>
      </c>
      <c r="CH69" s="71">
        <v>55</v>
      </c>
      <c r="CL69" s="57" t="s">
        <v>592</v>
      </c>
      <c r="CM69" s="57" t="s">
        <v>2427</v>
      </c>
      <c r="CN69" s="57">
        <v>54</v>
      </c>
      <c r="CO69" s="57">
        <v>40</v>
      </c>
      <c r="CP69" s="57">
        <v>71</v>
      </c>
      <c r="CQ69" s="57">
        <v>74</v>
      </c>
      <c r="CR69" s="57">
        <v>103</v>
      </c>
      <c r="CS69" s="57">
        <v>342</v>
      </c>
      <c r="CT69" s="57"/>
      <c r="CU69" s="57" t="s">
        <v>2427</v>
      </c>
      <c r="CV69" s="57">
        <v>19</v>
      </c>
      <c r="CW69" s="57">
        <v>0</v>
      </c>
      <c r="CX69" s="57">
        <v>0</v>
      </c>
      <c r="CY69" s="57">
        <v>0</v>
      </c>
      <c r="CZ69" s="57">
        <v>0</v>
      </c>
      <c r="DA69" s="57">
        <v>19</v>
      </c>
      <c r="DD69" s="78" t="s">
        <v>1809</v>
      </c>
      <c r="DE69" s="78" t="s">
        <v>27</v>
      </c>
      <c r="DF69" s="78">
        <v>455</v>
      </c>
      <c r="DG69" s="78">
        <v>593</v>
      </c>
      <c r="DH69" s="78">
        <v>779</v>
      </c>
      <c r="DI69" s="78">
        <v>933</v>
      </c>
      <c r="DJ69" s="78">
        <v>843</v>
      </c>
      <c r="DK69" s="78">
        <v>3603</v>
      </c>
      <c r="DL69" s="78"/>
      <c r="DM69" s="78" t="s">
        <v>27</v>
      </c>
      <c r="DN69" s="78">
        <v>22</v>
      </c>
      <c r="DO69" s="78">
        <v>3</v>
      </c>
      <c r="DP69" s="78">
        <v>0</v>
      </c>
      <c r="DQ69" s="78">
        <v>0</v>
      </c>
      <c r="DR69" s="78">
        <v>0</v>
      </c>
      <c r="DS69" s="78">
        <v>25</v>
      </c>
      <c r="DU69" s="21"/>
      <c r="DV69" s="80" t="s">
        <v>1911</v>
      </c>
      <c r="DW69" s="80" t="s">
        <v>2437</v>
      </c>
      <c r="DX69" s="80">
        <v>354</v>
      </c>
      <c r="DY69" s="80">
        <v>424</v>
      </c>
      <c r="DZ69" s="80">
        <v>439</v>
      </c>
      <c r="EA69" s="80">
        <v>395</v>
      </c>
      <c r="EB69" s="80">
        <v>285</v>
      </c>
      <c r="EC69" s="80">
        <v>1897</v>
      </c>
      <c r="ED69" s="80"/>
      <c r="EE69" s="80" t="s">
        <v>2437</v>
      </c>
      <c r="EF69" s="80">
        <v>8</v>
      </c>
      <c r="EG69" s="80">
        <v>5</v>
      </c>
      <c r="EH69" s="80">
        <v>0</v>
      </c>
      <c r="EI69" s="80">
        <v>0</v>
      </c>
      <c r="EJ69" s="80">
        <v>0</v>
      </c>
      <c r="EK69" s="80">
        <v>13</v>
      </c>
      <c r="EN69" s="57" t="s">
        <v>2406</v>
      </c>
      <c r="EO69" s="57" t="s">
        <v>2427</v>
      </c>
      <c r="EP69" s="57" t="s">
        <v>356</v>
      </c>
      <c r="EQ69" s="57" t="s">
        <v>356</v>
      </c>
      <c r="ER69" s="57" t="s">
        <v>356</v>
      </c>
      <c r="ES69" s="57" t="s">
        <v>356</v>
      </c>
      <c r="ET69" s="57" t="s">
        <v>356</v>
      </c>
      <c r="EU69" s="57" t="s">
        <v>356</v>
      </c>
      <c r="EV69" s="57"/>
      <c r="EW69" s="57" t="s">
        <v>2427</v>
      </c>
      <c r="EX69" s="57" t="s">
        <v>356</v>
      </c>
      <c r="EY69" s="57" t="s">
        <v>356</v>
      </c>
      <c r="EZ69" s="57" t="s">
        <v>356</v>
      </c>
      <c r="FA69" s="57" t="s">
        <v>356</v>
      </c>
      <c r="FB69" s="57" t="s">
        <v>356</v>
      </c>
      <c r="FC69" s="57" t="s">
        <v>356</v>
      </c>
      <c r="FF69" s="71" t="s">
        <v>2079</v>
      </c>
      <c r="FG69" s="71" t="s">
        <v>2427</v>
      </c>
      <c r="FH69" s="71">
        <v>1938</v>
      </c>
      <c r="FI69" s="71">
        <v>1021</v>
      </c>
      <c r="FJ69" s="71">
        <v>789</v>
      </c>
      <c r="FK69" s="71">
        <v>768</v>
      </c>
      <c r="FL69" s="71">
        <v>776</v>
      </c>
      <c r="FM69" s="71">
        <v>5292</v>
      </c>
      <c r="FN69" s="71"/>
      <c r="FO69" s="71" t="s">
        <v>2427</v>
      </c>
      <c r="FP69" s="71">
        <v>345</v>
      </c>
      <c r="FQ69" s="71">
        <v>0</v>
      </c>
      <c r="FR69" s="71">
        <v>0</v>
      </c>
      <c r="FS69" s="71">
        <v>0</v>
      </c>
      <c r="FT69" s="71">
        <v>0</v>
      </c>
      <c r="FU69" s="71">
        <v>345</v>
      </c>
    </row>
    <row r="70" spans="1:177">
      <c r="B70" s="65" t="s">
        <v>891</v>
      </c>
      <c r="C70" s="65" t="s">
        <v>2427</v>
      </c>
      <c r="D70" s="65">
        <v>312</v>
      </c>
      <c r="E70" s="65">
        <v>377</v>
      </c>
      <c r="F70" s="65">
        <v>468</v>
      </c>
      <c r="G70" s="65">
        <v>482</v>
      </c>
      <c r="H70" s="65">
        <v>439</v>
      </c>
      <c r="I70" s="65">
        <v>2078</v>
      </c>
      <c r="K70" s="65" t="s">
        <v>2427</v>
      </c>
      <c r="L70" s="65">
        <v>50</v>
      </c>
      <c r="M70" s="65">
        <v>10</v>
      </c>
      <c r="N70" s="65">
        <v>4</v>
      </c>
      <c r="O70" s="65">
        <v>0</v>
      </c>
      <c r="P70" s="65">
        <v>0</v>
      </c>
      <c r="Q70" s="65">
        <v>64</v>
      </c>
      <c r="T70" s="66" t="s">
        <v>2188</v>
      </c>
      <c r="U70" s="66" t="s">
        <v>2437</v>
      </c>
      <c r="V70" s="66">
        <v>135</v>
      </c>
      <c r="W70" s="66">
        <v>257</v>
      </c>
      <c r="X70" s="66">
        <v>445</v>
      </c>
      <c r="Y70" s="66">
        <v>560</v>
      </c>
      <c r="Z70" s="66">
        <v>398</v>
      </c>
      <c r="AA70" s="66">
        <v>1795</v>
      </c>
      <c r="AB70" s="66"/>
      <c r="AC70" s="66" t="s">
        <v>2437</v>
      </c>
      <c r="AD70" s="66">
        <v>9</v>
      </c>
      <c r="AE70" s="66">
        <v>3</v>
      </c>
      <c r="AF70" s="66">
        <v>2</v>
      </c>
      <c r="AG70" s="66">
        <v>0</v>
      </c>
      <c r="AH70" s="66">
        <v>0</v>
      </c>
      <c r="AI70" s="66">
        <v>14</v>
      </c>
      <c r="AK70" s="67" t="s">
        <v>1261</v>
      </c>
      <c r="AL70" s="67" t="s">
        <v>2427</v>
      </c>
      <c r="AM70" s="67">
        <v>237</v>
      </c>
      <c r="AN70" s="67">
        <v>285</v>
      </c>
      <c r="AO70" s="67">
        <v>446</v>
      </c>
      <c r="AP70" s="67">
        <v>548</v>
      </c>
      <c r="AQ70" s="67">
        <v>487</v>
      </c>
      <c r="AR70" s="67">
        <v>2003</v>
      </c>
      <c r="AS70" s="67"/>
      <c r="AT70" s="67" t="s">
        <v>2427</v>
      </c>
      <c r="AU70" s="67">
        <v>30</v>
      </c>
      <c r="AV70" s="67">
        <v>9</v>
      </c>
      <c r="AW70" s="67">
        <v>2</v>
      </c>
      <c r="AX70" s="67">
        <v>4</v>
      </c>
      <c r="AY70" s="67">
        <v>0</v>
      </c>
      <c r="AZ70" s="67">
        <v>45</v>
      </c>
      <c r="BB70" s="70" t="s">
        <v>1312</v>
      </c>
      <c r="BC70" s="70" t="s">
        <v>2427</v>
      </c>
      <c r="BD70" s="70">
        <v>403</v>
      </c>
      <c r="BE70" s="70">
        <v>280</v>
      </c>
      <c r="BF70" s="70">
        <v>412</v>
      </c>
      <c r="BG70" s="70">
        <v>497</v>
      </c>
      <c r="BH70" s="70">
        <v>465</v>
      </c>
      <c r="BI70" s="70">
        <v>2057</v>
      </c>
      <c r="BJ70" s="70"/>
      <c r="BK70" s="70" t="s">
        <v>2427</v>
      </c>
      <c r="BL70" s="70">
        <v>49</v>
      </c>
      <c r="BM70" s="70">
        <v>0</v>
      </c>
      <c r="BN70" s="70">
        <v>0</v>
      </c>
      <c r="BO70" s="70">
        <v>0</v>
      </c>
      <c r="BP70" s="70">
        <v>0</v>
      </c>
      <c r="BQ70" s="70">
        <v>49</v>
      </c>
      <c r="BS70" s="71" t="s">
        <v>1627</v>
      </c>
      <c r="BT70" s="71" t="s">
        <v>2437</v>
      </c>
      <c r="BU70" s="71">
        <v>72</v>
      </c>
      <c r="BV70" s="71">
        <v>83</v>
      </c>
      <c r="BW70" s="71">
        <v>186</v>
      </c>
      <c r="BX70" s="71">
        <v>238</v>
      </c>
      <c r="BY70" s="71">
        <v>199</v>
      </c>
      <c r="BZ70" s="71">
        <v>778</v>
      </c>
      <c r="CA70" s="71"/>
      <c r="CB70" s="71" t="s">
        <v>2437</v>
      </c>
      <c r="CC70" s="71">
        <v>27</v>
      </c>
      <c r="CD70" s="71">
        <v>0</v>
      </c>
      <c r="CE70" s="71">
        <v>0</v>
      </c>
      <c r="CF70" s="71">
        <v>0</v>
      </c>
      <c r="CG70" s="71">
        <v>0</v>
      </c>
      <c r="CH70" s="71">
        <v>27</v>
      </c>
      <c r="CL70" s="57" t="s">
        <v>595</v>
      </c>
      <c r="CM70" s="57" t="s">
        <v>2427</v>
      </c>
      <c r="CN70" s="57">
        <v>221</v>
      </c>
      <c r="CO70" s="57">
        <v>100</v>
      </c>
      <c r="CP70" s="57">
        <v>144</v>
      </c>
      <c r="CQ70" s="57">
        <v>214</v>
      </c>
      <c r="CR70" s="57">
        <v>316</v>
      </c>
      <c r="CS70" s="57">
        <v>995</v>
      </c>
      <c r="CT70" s="57"/>
      <c r="CU70" s="57" t="s">
        <v>2427</v>
      </c>
      <c r="CV70" s="57">
        <v>67</v>
      </c>
      <c r="CW70" s="57">
        <v>0</v>
      </c>
      <c r="CX70" s="57">
        <v>0</v>
      </c>
      <c r="CY70" s="57">
        <v>0</v>
      </c>
      <c r="CZ70" s="57">
        <v>0</v>
      </c>
      <c r="DA70" s="57">
        <v>67</v>
      </c>
      <c r="DD70" s="78" t="s">
        <v>1813</v>
      </c>
      <c r="DE70" s="78" t="s">
        <v>27</v>
      </c>
      <c r="DF70" s="78">
        <v>299</v>
      </c>
      <c r="DG70" s="78">
        <v>432</v>
      </c>
      <c r="DH70" s="78">
        <v>625</v>
      </c>
      <c r="DI70" s="78">
        <v>657</v>
      </c>
      <c r="DJ70" s="78">
        <v>608</v>
      </c>
      <c r="DK70" s="78">
        <v>2621</v>
      </c>
      <c r="DL70" s="78"/>
      <c r="DM70" s="78" t="s">
        <v>27</v>
      </c>
      <c r="DN70" s="78">
        <v>24</v>
      </c>
      <c r="DO70" s="78">
        <v>6</v>
      </c>
      <c r="DP70" s="78">
        <v>0</v>
      </c>
      <c r="DQ70" s="78">
        <v>0</v>
      </c>
      <c r="DR70" s="78">
        <v>0</v>
      </c>
      <c r="DS70" s="78">
        <v>30</v>
      </c>
      <c r="DU70" s="21"/>
      <c r="DV70" s="80" t="s">
        <v>1914</v>
      </c>
      <c r="DW70" s="80" t="s">
        <v>2437</v>
      </c>
      <c r="DX70" s="80">
        <v>481</v>
      </c>
      <c r="DY70" s="80">
        <v>689</v>
      </c>
      <c r="DZ70" s="80">
        <v>1066</v>
      </c>
      <c r="EA70" s="80">
        <v>1307</v>
      </c>
      <c r="EB70" s="80">
        <v>1146</v>
      </c>
      <c r="EC70" s="80">
        <v>4689</v>
      </c>
      <c r="ED70" s="80"/>
      <c r="EE70" s="80" t="s">
        <v>2437</v>
      </c>
      <c r="EF70" s="80">
        <v>21</v>
      </c>
      <c r="EG70" s="80">
        <v>5</v>
      </c>
      <c r="EH70" s="80">
        <v>0</v>
      </c>
      <c r="EI70" s="80">
        <v>0</v>
      </c>
      <c r="EJ70" s="80">
        <v>0</v>
      </c>
      <c r="EK70" s="80">
        <v>26</v>
      </c>
      <c r="EN70" s="57" t="s">
        <v>2408</v>
      </c>
      <c r="EO70" s="57" t="s">
        <v>2427</v>
      </c>
      <c r="EP70" s="57" t="s">
        <v>356</v>
      </c>
      <c r="EQ70" s="57" t="s">
        <v>356</v>
      </c>
      <c r="ER70" s="57" t="s">
        <v>356</v>
      </c>
      <c r="ES70" s="57" t="s">
        <v>356</v>
      </c>
      <c r="ET70" s="57" t="s">
        <v>356</v>
      </c>
      <c r="EU70" s="57" t="s">
        <v>356</v>
      </c>
      <c r="EV70" s="57"/>
      <c r="EW70" s="57" t="s">
        <v>2427</v>
      </c>
      <c r="EX70" s="57" t="s">
        <v>356</v>
      </c>
      <c r="EY70" s="57" t="s">
        <v>356</v>
      </c>
      <c r="EZ70" s="57" t="s">
        <v>356</v>
      </c>
      <c r="FA70" s="57" t="s">
        <v>356</v>
      </c>
      <c r="FB70" s="57" t="s">
        <v>356</v>
      </c>
      <c r="FC70" s="57" t="s">
        <v>356</v>
      </c>
      <c r="FF70" s="71" t="s">
        <v>2082</v>
      </c>
      <c r="FG70" s="71" t="s">
        <v>2427</v>
      </c>
      <c r="FH70" s="71">
        <v>654</v>
      </c>
      <c r="FI70" s="71">
        <v>987</v>
      </c>
      <c r="FJ70" s="71">
        <v>704</v>
      </c>
      <c r="FK70" s="71">
        <v>588</v>
      </c>
      <c r="FL70" s="71">
        <v>608</v>
      </c>
      <c r="FM70" s="71">
        <v>3541</v>
      </c>
      <c r="FN70" s="71"/>
      <c r="FO70" s="71" t="s">
        <v>2427</v>
      </c>
      <c r="FP70" s="71">
        <v>110</v>
      </c>
      <c r="FQ70" s="71">
        <v>1</v>
      </c>
      <c r="FR70" s="71">
        <v>0</v>
      </c>
      <c r="FS70" s="71">
        <v>0</v>
      </c>
      <c r="FT70" s="71">
        <v>0</v>
      </c>
      <c r="FU70" s="71">
        <v>111</v>
      </c>
    </row>
    <row r="71" spans="1:177">
      <c r="B71" s="65" t="s">
        <v>901</v>
      </c>
      <c r="C71" s="65" t="s">
        <v>2427</v>
      </c>
      <c r="D71" s="65">
        <v>109</v>
      </c>
      <c r="E71" s="65">
        <v>120</v>
      </c>
      <c r="F71" s="65">
        <v>163</v>
      </c>
      <c r="G71" s="65">
        <v>235</v>
      </c>
      <c r="H71" s="65">
        <v>233</v>
      </c>
      <c r="I71" s="65">
        <v>860</v>
      </c>
      <c r="K71" s="65" t="s">
        <v>2427</v>
      </c>
      <c r="L71" s="65">
        <v>48</v>
      </c>
      <c r="M71" s="65">
        <v>1</v>
      </c>
      <c r="N71" s="65">
        <v>1</v>
      </c>
      <c r="O71" s="65">
        <v>1</v>
      </c>
      <c r="P71" s="65">
        <v>0</v>
      </c>
      <c r="Q71" s="65">
        <v>51</v>
      </c>
      <c r="T71" s="66" t="s">
        <v>2189</v>
      </c>
      <c r="U71" s="66" t="s">
        <v>2437</v>
      </c>
      <c r="V71" s="66">
        <v>237</v>
      </c>
      <c r="W71" s="66">
        <v>121</v>
      </c>
      <c r="X71" s="66">
        <v>145</v>
      </c>
      <c r="Y71" s="66">
        <v>215</v>
      </c>
      <c r="Z71" s="66">
        <v>202</v>
      </c>
      <c r="AA71" s="66">
        <v>920</v>
      </c>
      <c r="AB71" s="66"/>
      <c r="AC71" s="66" t="s">
        <v>2437</v>
      </c>
      <c r="AD71" s="66">
        <v>12</v>
      </c>
      <c r="AE71" s="66">
        <v>0</v>
      </c>
      <c r="AF71" s="66">
        <v>0</v>
      </c>
      <c r="AG71" s="66">
        <v>0</v>
      </c>
      <c r="AH71" s="66">
        <v>0</v>
      </c>
      <c r="AI71" s="66">
        <v>12</v>
      </c>
      <c r="AK71" s="67" t="s">
        <v>1264</v>
      </c>
      <c r="AL71" s="67" t="s">
        <v>2427</v>
      </c>
      <c r="AM71" s="67">
        <v>1106</v>
      </c>
      <c r="AN71" s="67">
        <v>447</v>
      </c>
      <c r="AO71" s="67">
        <v>546</v>
      </c>
      <c r="AP71" s="67">
        <v>582</v>
      </c>
      <c r="AQ71" s="67">
        <v>482</v>
      </c>
      <c r="AR71" s="67">
        <v>3163</v>
      </c>
      <c r="AS71" s="67"/>
      <c r="AT71" s="67" t="s">
        <v>2427</v>
      </c>
      <c r="AU71" s="67">
        <v>68</v>
      </c>
      <c r="AV71" s="67">
        <v>0</v>
      </c>
      <c r="AW71" s="67">
        <v>0</v>
      </c>
      <c r="AX71" s="67">
        <v>0</v>
      </c>
      <c r="AY71" s="67">
        <v>0</v>
      </c>
      <c r="AZ71" s="67">
        <v>68</v>
      </c>
      <c r="BB71" s="70" t="s">
        <v>1314</v>
      </c>
      <c r="BC71" s="70" t="s">
        <v>2427</v>
      </c>
      <c r="BD71" s="70">
        <v>459</v>
      </c>
      <c r="BE71" s="70">
        <v>317</v>
      </c>
      <c r="BF71" s="70">
        <v>480</v>
      </c>
      <c r="BG71" s="70">
        <v>566</v>
      </c>
      <c r="BH71" s="70">
        <v>546</v>
      </c>
      <c r="BI71" s="70">
        <v>2368</v>
      </c>
      <c r="BJ71" s="70"/>
      <c r="BK71" s="70" t="s">
        <v>2427</v>
      </c>
      <c r="BL71" s="70">
        <v>21</v>
      </c>
      <c r="BM71" s="70">
        <v>0</v>
      </c>
      <c r="BN71" s="70">
        <v>0</v>
      </c>
      <c r="BO71" s="70">
        <v>0</v>
      </c>
      <c r="BP71" s="70">
        <v>0</v>
      </c>
      <c r="BQ71" s="70">
        <v>21</v>
      </c>
      <c r="BS71" s="71" t="s">
        <v>1629</v>
      </c>
      <c r="BT71" s="71" t="s">
        <v>2437</v>
      </c>
      <c r="BU71" s="71">
        <v>68</v>
      </c>
      <c r="BV71" s="71">
        <v>44</v>
      </c>
      <c r="BW71" s="71">
        <v>68</v>
      </c>
      <c r="BX71" s="71">
        <v>81</v>
      </c>
      <c r="BY71" s="71">
        <v>109</v>
      </c>
      <c r="BZ71" s="71">
        <v>370</v>
      </c>
      <c r="CA71" s="71"/>
      <c r="CB71" s="71" t="s">
        <v>2437</v>
      </c>
      <c r="CC71" s="71">
        <v>20</v>
      </c>
      <c r="CD71" s="71">
        <v>0</v>
      </c>
      <c r="CE71" s="71">
        <v>0</v>
      </c>
      <c r="CF71" s="71">
        <v>0</v>
      </c>
      <c r="CG71" s="71">
        <v>0</v>
      </c>
      <c r="CH71" s="71">
        <v>20</v>
      </c>
      <c r="CL71" s="57" t="s">
        <v>406</v>
      </c>
      <c r="CM71" s="57" t="s">
        <v>2427</v>
      </c>
      <c r="CN71" s="57" t="s">
        <v>356</v>
      </c>
      <c r="CO71" s="57" t="s">
        <v>356</v>
      </c>
      <c r="CP71" s="57" t="s">
        <v>356</v>
      </c>
      <c r="CQ71" s="57" t="s">
        <v>356</v>
      </c>
      <c r="CR71" s="57" t="s">
        <v>356</v>
      </c>
      <c r="CS71" s="57" t="s">
        <v>356</v>
      </c>
      <c r="CT71" s="57"/>
      <c r="CU71" s="57" t="s">
        <v>2427</v>
      </c>
      <c r="CV71" s="57" t="s">
        <v>356</v>
      </c>
      <c r="CW71" s="57" t="s">
        <v>356</v>
      </c>
      <c r="CX71" s="57" t="s">
        <v>356</v>
      </c>
      <c r="CY71" s="57" t="s">
        <v>356</v>
      </c>
      <c r="CZ71" s="57" t="s">
        <v>356</v>
      </c>
      <c r="DA71" s="57" t="s">
        <v>356</v>
      </c>
      <c r="DD71" s="78" t="s">
        <v>1816</v>
      </c>
      <c r="DE71" s="78" t="s">
        <v>27</v>
      </c>
      <c r="DF71" s="78">
        <v>130</v>
      </c>
      <c r="DG71" s="78">
        <v>243</v>
      </c>
      <c r="DH71" s="78">
        <v>367</v>
      </c>
      <c r="DI71" s="78">
        <v>456</v>
      </c>
      <c r="DJ71" s="78">
        <v>417</v>
      </c>
      <c r="DK71" s="78">
        <v>1613</v>
      </c>
      <c r="DL71" s="78"/>
      <c r="DM71" s="78" t="s">
        <v>27</v>
      </c>
      <c r="DN71" s="78">
        <v>4</v>
      </c>
      <c r="DO71" s="78">
        <v>5</v>
      </c>
      <c r="DP71" s="78">
        <v>3</v>
      </c>
      <c r="DQ71" s="78">
        <v>3</v>
      </c>
      <c r="DR71" s="78">
        <v>2</v>
      </c>
      <c r="DS71" s="78">
        <v>17</v>
      </c>
      <c r="DU71" s="21"/>
      <c r="DV71" s="80" t="s">
        <v>1917</v>
      </c>
      <c r="DW71" s="80" t="s">
        <v>2437</v>
      </c>
      <c r="DX71" s="80">
        <v>303</v>
      </c>
      <c r="DY71" s="80">
        <v>410</v>
      </c>
      <c r="DZ71" s="80">
        <v>465</v>
      </c>
      <c r="EA71" s="80">
        <v>450</v>
      </c>
      <c r="EB71" s="80">
        <v>361</v>
      </c>
      <c r="EC71" s="80">
        <v>1989</v>
      </c>
      <c r="ED71" s="80"/>
      <c r="EE71" s="80" t="s">
        <v>2437</v>
      </c>
      <c r="EF71" s="80">
        <v>21</v>
      </c>
      <c r="EG71" s="80">
        <v>0</v>
      </c>
      <c r="EH71" s="80">
        <v>0</v>
      </c>
      <c r="EI71" s="80">
        <v>0</v>
      </c>
      <c r="EJ71" s="80">
        <v>0</v>
      </c>
      <c r="EK71" s="80">
        <v>21</v>
      </c>
      <c r="EN71" s="57" t="s">
        <v>2024</v>
      </c>
      <c r="EO71" s="57" t="s">
        <v>2427</v>
      </c>
      <c r="EP71" s="57" t="s">
        <v>356</v>
      </c>
      <c r="EQ71" s="57" t="s">
        <v>356</v>
      </c>
      <c r="ER71" s="57" t="s">
        <v>356</v>
      </c>
      <c r="ES71" s="57" t="s">
        <v>356</v>
      </c>
      <c r="ET71" s="57" t="s">
        <v>356</v>
      </c>
      <c r="EU71" s="57" t="s">
        <v>356</v>
      </c>
      <c r="EV71" s="57"/>
      <c r="EW71" s="57" t="s">
        <v>2427</v>
      </c>
      <c r="EX71" s="57" t="s">
        <v>356</v>
      </c>
      <c r="EY71" s="57" t="s">
        <v>356</v>
      </c>
      <c r="EZ71" s="57" t="s">
        <v>356</v>
      </c>
      <c r="FA71" s="57" t="s">
        <v>356</v>
      </c>
      <c r="FB71" s="57" t="s">
        <v>356</v>
      </c>
      <c r="FC71" s="57" t="s">
        <v>356</v>
      </c>
      <c r="FE71" s="16" t="s">
        <v>2431</v>
      </c>
      <c r="FF71" s="71" t="s">
        <v>2085</v>
      </c>
      <c r="FG71" s="71" t="s">
        <v>2427</v>
      </c>
      <c r="FH71" s="71" t="s">
        <v>356</v>
      </c>
      <c r="FI71" s="71" t="s">
        <v>356</v>
      </c>
      <c r="FJ71" s="71" t="s">
        <v>356</v>
      </c>
      <c r="FK71" s="71" t="s">
        <v>356</v>
      </c>
      <c r="FL71" s="71" t="s">
        <v>356</v>
      </c>
      <c r="FM71" s="71" t="s">
        <v>356</v>
      </c>
      <c r="FN71" s="71"/>
      <c r="FO71" s="71" t="s">
        <v>2427</v>
      </c>
      <c r="FP71" s="71" t="s">
        <v>356</v>
      </c>
      <c r="FQ71" s="71" t="s">
        <v>356</v>
      </c>
      <c r="FR71" s="71" t="s">
        <v>356</v>
      </c>
      <c r="FS71" s="71" t="s">
        <v>356</v>
      </c>
      <c r="FT71" s="71" t="s">
        <v>356</v>
      </c>
      <c r="FU71" s="71" t="s">
        <v>356</v>
      </c>
    </row>
    <row r="72" spans="1:177">
      <c r="B72" s="65" t="s">
        <v>912</v>
      </c>
      <c r="C72" s="65" t="s">
        <v>2427</v>
      </c>
      <c r="D72" s="65">
        <v>81</v>
      </c>
      <c r="E72" s="65">
        <v>188</v>
      </c>
      <c r="F72" s="65">
        <v>268</v>
      </c>
      <c r="G72" s="65">
        <v>327</v>
      </c>
      <c r="H72" s="65">
        <v>259</v>
      </c>
      <c r="I72" s="65">
        <v>1123</v>
      </c>
      <c r="K72" s="65" t="s">
        <v>2427</v>
      </c>
      <c r="L72" s="65">
        <v>8</v>
      </c>
      <c r="M72" s="65">
        <v>4</v>
      </c>
      <c r="N72" s="65">
        <v>1</v>
      </c>
      <c r="O72" s="65">
        <v>1</v>
      </c>
      <c r="P72" s="65">
        <v>0</v>
      </c>
      <c r="Q72" s="65">
        <v>14</v>
      </c>
      <c r="T72" s="66" t="s">
        <v>2190</v>
      </c>
      <c r="U72" s="66" t="s">
        <v>2437</v>
      </c>
      <c r="V72" s="66">
        <v>234</v>
      </c>
      <c r="W72" s="66">
        <v>264</v>
      </c>
      <c r="X72" s="66">
        <v>284</v>
      </c>
      <c r="Y72" s="66">
        <v>298</v>
      </c>
      <c r="Z72" s="66">
        <v>225</v>
      </c>
      <c r="AA72" s="66">
        <v>1305</v>
      </c>
      <c r="AB72" s="66"/>
      <c r="AC72" s="66" t="s">
        <v>2437</v>
      </c>
      <c r="AD72" s="66">
        <v>34</v>
      </c>
      <c r="AE72" s="66">
        <v>4</v>
      </c>
      <c r="AF72" s="66">
        <v>0</v>
      </c>
      <c r="AG72" s="66">
        <v>0</v>
      </c>
      <c r="AH72" s="66">
        <v>0</v>
      </c>
      <c r="AI72" s="66">
        <v>38</v>
      </c>
      <c r="AK72" s="67" t="s">
        <v>1269</v>
      </c>
      <c r="AL72" s="67" t="s">
        <v>2427</v>
      </c>
      <c r="AM72" s="67">
        <v>326</v>
      </c>
      <c r="AN72" s="67">
        <v>361</v>
      </c>
      <c r="AO72" s="67">
        <v>482</v>
      </c>
      <c r="AP72" s="67">
        <v>694</v>
      </c>
      <c r="AQ72" s="67">
        <v>562</v>
      </c>
      <c r="AR72" s="67">
        <v>2425</v>
      </c>
      <c r="AS72" s="67"/>
      <c r="AT72" s="67" t="s">
        <v>2427</v>
      </c>
      <c r="AU72" s="67">
        <v>26</v>
      </c>
      <c r="AV72" s="67">
        <v>10</v>
      </c>
      <c r="AW72" s="67">
        <v>3</v>
      </c>
      <c r="AX72" s="67">
        <v>0</v>
      </c>
      <c r="AY72" s="67">
        <v>1</v>
      </c>
      <c r="AZ72" s="67">
        <v>40</v>
      </c>
      <c r="BB72" s="70" t="s">
        <v>1317</v>
      </c>
      <c r="BC72" s="70" t="s">
        <v>2427</v>
      </c>
      <c r="BD72" s="70">
        <v>147</v>
      </c>
      <c r="BE72" s="70">
        <v>220</v>
      </c>
      <c r="BF72" s="70">
        <v>350</v>
      </c>
      <c r="BG72" s="70">
        <v>496</v>
      </c>
      <c r="BH72" s="70">
        <v>484</v>
      </c>
      <c r="BI72" s="70">
        <v>1697</v>
      </c>
      <c r="BJ72" s="70"/>
      <c r="BK72" s="70" t="s">
        <v>2427</v>
      </c>
      <c r="BL72" s="70">
        <v>20</v>
      </c>
      <c r="BM72" s="70">
        <v>0</v>
      </c>
      <c r="BN72" s="70">
        <v>0</v>
      </c>
      <c r="BO72" s="70">
        <v>0</v>
      </c>
      <c r="BP72" s="70">
        <v>0</v>
      </c>
      <c r="BQ72" s="70">
        <v>20</v>
      </c>
      <c r="BS72" s="71" t="s">
        <v>1631</v>
      </c>
      <c r="BT72" s="71" t="s">
        <v>2437</v>
      </c>
      <c r="BU72" s="71">
        <v>107</v>
      </c>
      <c r="BV72" s="71">
        <v>109</v>
      </c>
      <c r="BW72" s="71">
        <v>115</v>
      </c>
      <c r="BX72" s="71">
        <v>165</v>
      </c>
      <c r="BY72" s="71">
        <v>148</v>
      </c>
      <c r="BZ72" s="71">
        <v>644</v>
      </c>
      <c r="CA72" s="71"/>
      <c r="CB72" s="71" t="s">
        <v>2437</v>
      </c>
      <c r="CC72" s="71">
        <v>41</v>
      </c>
      <c r="CD72" s="71">
        <v>1</v>
      </c>
      <c r="CE72" s="71">
        <v>0</v>
      </c>
      <c r="CF72" s="71">
        <v>0</v>
      </c>
      <c r="CG72" s="71">
        <v>0</v>
      </c>
      <c r="CH72" s="71">
        <v>42</v>
      </c>
      <c r="CL72" s="57" t="s">
        <v>564</v>
      </c>
      <c r="CM72" s="57" t="s">
        <v>2427</v>
      </c>
      <c r="CN72" s="57">
        <v>401</v>
      </c>
      <c r="CO72" s="57">
        <v>63</v>
      </c>
      <c r="CP72" s="57">
        <v>157</v>
      </c>
      <c r="CQ72" s="57">
        <v>185</v>
      </c>
      <c r="CR72" s="57">
        <v>376</v>
      </c>
      <c r="CS72" s="57">
        <v>1182</v>
      </c>
      <c r="CT72" s="57"/>
      <c r="CU72" s="57" t="s">
        <v>2427</v>
      </c>
      <c r="CV72" s="57">
        <v>138</v>
      </c>
      <c r="CW72" s="57">
        <v>0</v>
      </c>
      <c r="CX72" s="57">
        <v>0</v>
      </c>
      <c r="CY72" s="57">
        <v>0</v>
      </c>
      <c r="CZ72" s="57">
        <v>0</v>
      </c>
      <c r="DA72" s="57">
        <v>138</v>
      </c>
      <c r="DD72" s="78" t="s">
        <v>1820</v>
      </c>
      <c r="DE72" s="78" t="s">
        <v>27</v>
      </c>
      <c r="DF72" s="78">
        <v>143</v>
      </c>
      <c r="DG72" s="78">
        <v>186</v>
      </c>
      <c r="DH72" s="78">
        <v>291</v>
      </c>
      <c r="DI72" s="78">
        <v>312</v>
      </c>
      <c r="DJ72" s="78">
        <v>287</v>
      </c>
      <c r="DK72" s="78">
        <v>1219</v>
      </c>
      <c r="DL72" s="78"/>
      <c r="DM72" s="78" t="s">
        <v>27</v>
      </c>
      <c r="DN72" s="78">
        <v>13</v>
      </c>
      <c r="DO72" s="78">
        <v>5</v>
      </c>
      <c r="DP72" s="78">
        <v>6</v>
      </c>
      <c r="DQ72" s="78">
        <v>0</v>
      </c>
      <c r="DR72" s="78">
        <v>0</v>
      </c>
      <c r="DS72" s="78">
        <v>24</v>
      </c>
      <c r="DU72" s="21"/>
      <c r="DV72" s="80" t="s">
        <v>1932</v>
      </c>
      <c r="DW72" s="80" t="s">
        <v>2437</v>
      </c>
      <c r="DX72" s="80">
        <v>164</v>
      </c>
      <c r="DY72" s="80">
        <v>107</v>
      </c>
      <c r="DZ72" s="80">
        <v>104</v>
      </c>
      <c r="EA72" s="80">
        <v>105</v>
      </c>
      <c r="EB72" s="80">
        <v>119</v>
      </c>
      <c r="EC72" s="80">
        <v>599</v>
      </c>
      <c r="ED72" s="80"/>
      <c r="EE72" s="80" t="s">
        <v>2437</v>
      </c>
      <c r="EF72" s="80">
        <v>31</v>
      </c>
      <c r="EG72" s="80">
        <v>1</v>
      </c>
      <c r="EH72" s="80">
        <v>0</v>
      </c>
      <c r="EI72" s="80">
        <v>0</v>
      </c>
      <c r="EJ72" s="80">
        <v>0</v>
      </c>
      <c r="EK72" s="80">
        <v>32</v>
      </c>
      <c r="EN72" s="57" t="s">
        <v>2027</v>
      </c>
      <c r="EO72" s="57" t="s">
        <v>2427</v>
      </c>
      <c r="EP72" s="57" t="s">
        <v>356</v>
      </c>
      <c r="EQ72" s="57" t="s">
        <v>356</v>
      </c>
      <c r="ER72" s="57" t="s">
        <v>356</v>
      </c>
      <c r="ES72" s="57" t="s">
        <v>356</v>
      </c>
      <c r="ET72" s="57" t="s">
        <v>356</v>
      </c>
      <c r="EU72" s="57" t="s">
        <v>356</v>
      </c>
      <c r="EV72" s="57"/>
      <c r="EW72" s="57" t="s">
        <v>2427</v>
      </c>
      <c r="EX72" s="57" t="s">
        <v>356</v>
      </c>
      <c r="EY72" s="57" t="s">
        <v>356</v>
      </c>
      <c r="EZ72" s="57" t="s">
        <v>356</v>
      </c>
      <c r="FA72" s="57" t="s">
        <v>356</v>
      </c>
      <c r="FB72" s="57" t="s">
        <v>356</v>
      </c>
      <c r="FC72" s="57" t="s">
        <v>356</v>
      </c>
      <c r="FE72" s="16" t="s">
        <v>2433</v>
      </c>
      <c r="FF72" s="71" t="s">
        <v>2414</v>
      </c>
      <c r="FG72" s="71" t="s">
        <v>2427</v>
      </c>
      <c r="FH72" s="71">
        <v>167</v>
      </c>
      <c r="FI72" s="71">
        <v>263</v>
      </c>
      <c r="FJ72" s="71">
        <v>302</v>
      </c>
      <c r="FK72" s="71">
        <v>379</v>
      </c>
      <c r="FL72" s="71">
        <v>403</v>
      </c>
      <c r="FM72" s="71">
        <v>1514</v>
      </c>
      <c r="FN72" s="71"/>
      <c r="FO72" s="71" t="s">
        <v>2427</v>
      </c>
      <c r="FP72" s="71">
        <v>49</v>
      </c>
      <c r="FQ72" s="71">
        <v>12</v>
      </c>
      <c r="FR72" s="71">
        <v>5</v>
      </c>
      <c r="FS72" s="71">
        <v>4</v>
      </c>
      <c r="FT72" s="71">
        <v>1</v>
      </c>
      <c r="FU72" s="71">
        <v>71</v>
      </c>
    </row>
    <row r="73" spans="1:177">
      <c r="B73" s="65" t="s">
        <v>919</v>
      </c>
      <c r="C73" s="65" t="s">
        <v>2427</v>
      </c>
      <c r="D73" s="65">
        <v>123</v>
      </c>
      <c r="E73" s="65">
        <v>184</v>
      </c>
      <c r="F73" s="65">
        <v>291</v>
      </c>
      <c r="G73" s="65">
        <v>328</v>
      </c>
      <c r="H73" s="65">
        <v>267</v>
      </c>
      <c r="I73" s="65">
        <v>1193</v>
      </c>
      <c r="K73" s="65" t="s">
        <v>2427</v>
      </c>
      <c r="L73" s="65">
        <v>20</v>
      </c>
      <c r="M73" s="65">
        <v>4</v>
      </c>
      <c r="N73" s="65">
        <v>1</v>
      </c>
      <c r="O73" s="65">
        <v>2</v>
      </c>
      <c r="P73" s="65">
        <v>0</v>
      </c>
      <c r="Q73" s="65">
        <v>27</v>
      </c>
      <c r="T73" s="66" t="s">
        <v>2191</v>
      </c>
      <c r="U73" s="66" t="s">
        <v>2437</v>
      </c>
      <c r="V73" s="66">
        <v>135</v>
      </c>
      <c r="W73" s="66">
        <v>97</v>
      </c>
      <c r="X73" s="66">
        <v>141</v>
      </c>
      <c r="Y73" s="66">
        <v>176</v>
      </c>
      <c r="Z73" s="66">
        <v>186</v>
      </c>
      <c r="AA73" s="66">
        <v>735</v>
      </c>
      <c r="AB73" s="66"/>
      <c r="AC73" s="66" t="s">
        <v>2437</v>
      </c>
      <c r="AD73" s="66">
        <v>7</v>
      </c>
      <c r="AE73" s="66">
        <v>0</v>
      </c>
      <c r="AF73" s="66">
        <v>0</v>
      </c>
      <c r="AG73" s="66">
        <v>0</v>
      </c>
      <c r="AH73" s="66">
        <v>0</v>
      </c>
      <c r="AI73" s="66">
        <v>7</v>
      </c>
      <c r="AK73" s="67" t="s">
        <v>2242</v>
      </c>
      <c r="AL73" s="67" t="s">
        <v>2427</v>
      </c>
      <c r="AM73" s="67">
        <v>706</v>
      </c>
      <c r="AN73" s="67">
        <v>1021</v>
      </c>
      <c r="AO73" s="67">
        <v>1525</v>
      </c>
      <c r="AP73" s="67">
        <v>1770</v>
      </c>
      <c r="AQ73" s="67">
        <v>1074</v>
      </c>
      <c r="AR73" s="67">
        <v>6096</v>
      </c>
      <c r="AS73" s="67"/>
      <c r="AT73" s="67" t="s">
        <v>2427</v>
      </c>
      <c r="AU73" s="67">
        <v>33</v>
      </c>
      <c r="AV73" s="67">
        <v>5</v>
      </c>
      <c r="AW73" s="67">
        <v>3</v>
      </c>
      <c r="AX73" s="67">
        <v>1</v>
      </c>
      <c r="AY73" s="67">
        <v>1</v>
      </c>
      <c r="AZ73" s="67">
        <v>43</v>
      </c>
      <c r="BB73" s="70" t="s">
        <v>1320</v>
      </c>
      <c r="BC73" s="70" t="s">
        <v>2427</v>
      </c>
      <c r="BD73" s="70">
        <v>202</v>
      </c>
      <c r="BE73" s="70">
        <v>106</v>
      </c>
      <c r="BF73" s="70">
        <v>137</v>
      </c>
      <c r="BG73" s="70">
        <v>197</v>
      </c>
      <c r="BH73" s="70">
        <v>201</v>
      </c>
      <c r="BI73" s="70">
        <v>843</v>
      </c>
      <c r="BJ73" s="70"/>
      <c r="BK73" s="70" t="s">
        <v>2427</v>
      </c>
      <c r="BL73" s="70">
        <v>26</v>
      </c>
      <c r="BM73" s="70">
        <v>0</v>
      </c>
      <c r="BN73" s="70">
        <v>0</v>
      </c>
      <c r="BO73" s="70">
        <v>0</v>
      </c>
      <c r="BP73" s="70">
        <v>0</v>
      </c>
      <c r="BQ73" s="70">
        <v>26</v>
      </c>
      <c r="BS73" s="71" t="s">
        <v>1637</v>
      </c>
      <c r="BT73" s="71" t="s">
        <v>2437</v>
      </c>
      <c r="BU73" s="71">
        <v>55</v>
      </c>
      <c r="BV73" s="71">
        <v>71</v>
      </c>
      <c r="BW73" s="71">
        <v>112</v>
      </c>
      <c r="BX73" s="71">
        <v>157</v>
      </c>
      <c r="BY73" s="71">
        <v>149</v>
      </c>
      <c r="BZ73" s="71">
        <v>544</v>
      </c>
      <c r="CA73" s="71"/>
      <c r="CB73" s="71" t="s">
        <v>2437</v>
      </c>
      <c r="CC73" s="71">
        <v>17</v>
      </c>
      <c r="CD73" s="71">
        <v>1</v>
      </c>
      <c r="CE73" s="71">
        <v>0</v>
      </c>
      <c r="CF73" s="71">
        <v>0</v>
      </c>
      <c r="CG73" s="71">
        <v>0</v>
      </c>
      <c r="CH73" s="71">
        <v>18</v>
      </c>
      <c r="CL73" s="57" t="s">
        <v>409</v>
      </c>
      <c r="CM73" s="57" t="s">
        <v>2427</v>
      </c>
      <c r="CN73" s="57">
        <v>1146</v>
      </c>
      <c r="CO73" s="57">
        <v>833</v>
      </c>
      <c r="CP73" s="57">
        <v>1086</v>
      </c>
      <c r="CQ73" s="57">
        <v>1097</v>
      </c>
      <c r="CR73" s="57">
        <v>875</v>
      </c>
      <c r="CS73" s="57">
        <v>5037</v>
      </c>
      <c r="CT73" s="57"/>
      <c r="CU73" s="57" t="s">
        <v>2427</v>
      </c>
      <c r="CV73" s="57">
        <v>166</v>
      </c>
      <c r="CW73" s="57">
        <v>0</v>
      </c>
      <c r="CX73" s="57">
        <v>0</v>
      </c>
      <c r="CY73" s="57">
        <v>0</v>
      </c>
      <c r="CZ73" s="57">
        <v>0</v>
      </c>
      <c r="DA73" s="57">
        <v>166</v>
      </c>
      <c r="DD73" s="78" t="s">
        <v>1824</v>
      </c>
      <c r="DE73" s="78" t="s">
        <v>27</v>
      </c>
      <c r="DF73" s="78">
        <v>165</v>
      </c>
      <c r="DG73" s="78">
        <v>168</v>
      </c>
      <c r="DH73" s="78">
        <v>226</v>
      </c>
      <c r="DI73" s="78">
        <v>225</v>
      </c>
      <c r="DJ73" s="78">
        <v>167</v>
      </c>
      <c r="DK73" s="78">
        <v>951</v>
      </c>
      <c r="DL73" s="78"/>
      <c r="DM73" s="78" t="s">
        <v>27</v>
      </c>
      <c r="DN73" s="78">
        <v>23</v>
      </c>
      <c r="DO73" s="78">
        <v>0</v>
      </c>
      <c r="DP73" s="78">
        <v>0</v>
      </c>
      <c r="DQ73" s="78">
        <v>0</v>
      </c>
      <c r="DR73" s="78">
        <v>0</v>
      </c>
      <c r="DS73" s="78">
        <v>23</v>
      </c>
      <c r="DU73" s="21"/>
      <c r="DV73" s="80" t="s">
        <v>1936</v>
      </c>
      <c r="DW73" s="80" t="s">
        <v>2437</v>
      </c>
      <c r="DX73" s="80">
        <v>298</v>
      </c>
      <c r="DY73" s="80">
        <v>264</v>
      </c>
      <c r="DZ73" s="80">
        <v>326</v>
      </c>
      <c r="EA73" s="80">
        <v>274</v>
      </c>
      <c r="EB73" s="80">
        <v>223</v>
      </c>
      <c r="EC73" s="80">
        <v>1385</v>
      </c>
      <c r="ED73" s="80"/>
      <c r="EE73" s="80" t="s">
        <v>2437</v>
      </c>
      <c r="EF73" s="80">
        <v>27</v>
      </c>
      <c r="EG73" s="80">
        <v>0</v>
      </c>
      <c r="EH73" s="80">
        <v>0</v>
      </c>
      <c r="EI73" s="80">
        <v>0</v>
      </c>
      <c r="EJ73" s="80">
        <v>0</v>
      </c>
      <c r="EK73" s="80">
        <v>27</v>
      </c>
      <c r="FF73" s="71" t="s">
        <v>2091</v>
      </c>
      <c r="FG73" s="71" t="s">
        <v>2427</v>
      </c>
      <c r="FH73" s="71" t="s">
        <v>356</v>
      </c>
      <c r="FI73" s="71" t="s">
        <v>356</v>
      </c>
      <c r="FJ73" s="71" t="s">
        <v>356</v>
      </c>
      <c r="FK73" s="71" t="s">
        <v>356</v>
      </c>
      <c r="FL73" s="71" t="s">
        <v>356</v>
      </c>
      <c r="FM73" s="71" t="s">
        <v>356</v>
      </c>
      <c r="FN73" s="71"/>
      <c r="FO73" s="71" t="s">
        <v>2427</v>
      </c>
      <c r="FP73" s="71" t="s">
        <v>356</v>
      </c>
      <c r="FQ73" s="71" t="s">
        <v>356</v>
      </c>
      <c r="FR73" s="71" t="s">
        <v>356</v>
      </c>
      <c r="FS73" s="71" t="s">
        <v>356</v>
      </c>
      <c r="FT73" s="71" t="s">
        <v>356</v>
      </c>
      <c r="FU73" s="71" t="s">
        <v>356</v>
      </c>
    </row>
    <row r="74" spans="1:177">
      <c r="A74" s="16" t="s">
        <v>2428</v>
      </c>
      <c r="B74" s="65" t="s">
        <v>2429</v>
      </c>
      <c r="C74" s="65" t="s">
        <v>2427</v>
      </c>
      <c r="D74" s="65">
        <v>70</v>
      </c>
      <c r="E74" s="65">
        <v>110</v>
      </c>
      <c r="F74" s="65">
        <v>197</v>
      </c>
      <c r="G74" s="65">
        <v>267</v>
      </c>
      <c r="H74" s="65">
        <v>209</v>
      </c>
      <c r="I74" s="65">
        <v>853</v>
      </c>
      <c r="K74" s="65" t="s">
        <v>2427</v>
      </c>
      <c r="L74" s="65">
        <v>8</v>
      </c>
      <c r="M74" s="65">
        <v>1</v>
      </c>
      <c r="N74" s="65">
        <v>2</v>
      </c>
      <c r="O74" s="65">
        <v>2</v>
      </c>
      <c r="P74" s="65">
        <v>0</v>
      </c>
      <c r="Q74" s="65">
        <v>13</v>
      </c>
      <c r="T74" s="66" t="s">
        <v>1082</v>
      </c>
      <c r="U74" s="66" t="s">
        <v>2437</v>
      </c>
      <c r="V74" s="66">
        <v>553</v>
      </c>
      <c r="W74" s="66">
        <v>640</v>
      </c>
      <c r="X74" s="66">
        <v>714</v>
      </c>
      <c r="Y74" s="66">
        <v>765</v>
      </c>
      <c r="Z74" s="66">
        <v>544</v>
      </c>
      <c r="AA74" s="66">
        <v>3216</v>
      </c>
      <c r="AB74" s="66"/>
      <c r="AC74" s="66" t="s">
        <v>2437</v>
      </c>
      <c r="AD74" s="66">
        <v>23</v>
      </c>
      <c r="AE74" s="66">
        <v>4</v>
      </c>
      <c r="AF74" s="66">
        <v>1</v>
      </c>
      <c r="AG74" s="66">
        <v>1</v>
      </c>
      <c r="AH74" s="66">
        <v>0</v>
      </c>
      <c r="AI74" s="66">
        <v>29</v>
      </c>
      <c r="AK74" s="67" t="s">
        <v>2205</v>
      </c>
      <c r="AL74" s="67" t="s">
        <v>2427</v>
      </c>
      <c r="AM74" s="67">
        <v>270</v>
      </c>
      <c r="AN74" s="67">
        <v>506</v>
      </c>
      <c r="AO74" s="67">
        <v>814</v>
      </c>
      <c r="AP74" s="67">
        <v>1011</v>
      </c>
      <c r="AQ74" s="67">
        <v>632</v>
      </c>
      <c r="AR74" s="67">
        <v>3233</v>
      </c>
      <c r="AS74" s="67"/>
      <c r="AT74" s="67" t="s">
        <v>2427</v>
      </c>
      <c r="AU74" s="67">
        <v>20</v>
      </c>
      <c r="AV74" s="67">
        <v>3</v>
      </c>
      <c r="AW74" s="67">
        <v>1</v>
      </c>
      <c r="AX74" s="67">
        <v>0</v>
      </c>
      <c r="AY74" s="67">
        <v>0</v>
      </c>
      <c r="AZ74" s="67">
        <v>24</v>
      </c>
      <c r="BB74" s="70" t="s">
        <v>1323</v>
      </c>
      <c r="BC74" s="70" t="s">
        <v>2427</v>
      </c>
      <c r="BD74" s="70">
        <v>264</v>
      </c>
      <c r="BE74" s="70">
        <v>263</v>
      </c>
      <c r="BF74" s="70">
        <v>492</v>
      </c>
      <c r="BG74" s="70">
        <v>609</v>
      </c>
      <c r="BH74" s="70">
        <v>573</v>
      </c>
      <c r="BI74" s="70">
        <v>2201</v>
      </c>
      <c r="BJ74" s="70"/>
      <c r="BK74" s="70" t="s">
        <v>2427</v>
      </c>
      <c r="BL74" s="70">
        <v>22</v>
      </c>
      <c r="BM74" s="70">
        <v>0</v>
      </c>
      <c r="BN74" s="70">
        <v>0</v>
      </c>
      <c r="BO74" s="70">
        <v>0</v>
      </c>
      <c r="BP74" s="70">
        <v>0</v>
      </c>
      <c r="BQ74" s="70">
        <v>22</v>
      </c>
      <c r="BS74" s="71" t="s">
        <v>1643</v>
      </c>
      <c r="BT74" s="71" t="s">
        <v>2437</v>
      </c>
      <c r="BU74" s="71">
        <v>64</v>
      </c>
      <c r="BV74" s="71">
        <v>68</v>
      </c>
      <c r="BW74" s="71">
        <v>172</v>
      </c>
      <c r="BX74" s="71">
        <v>269</v>
      </c>
      <c r="BY74" s="71">
        <v>232</v>
      </c>
      <c r="BZ74" s="71">
        <v>805</v>
      </c>
      <c r="CA74" s="71"/>
      <c r="CB74" s="71" t="s">
        <v>2437</v>
      </c>
      <c r="CC74" s="71">
        <v>19</v>
      </c>
      <c r="CD74" s="71">
        <v>0</v>
      </c>
      <c r="CE74" s="71">
        <v>0</v>
      </c>
      <c r="CF74" s="71">
        <v>0</v>
      </c>
      <c r="CG74" s="71">
        <v>0</v>
      </c>
      <c r="CH74" s="71">
        <v>19</v>
      </c>
      <c r="CL74" s="57" t="s">
        <v>410</v>
      </c>
      <c r="CM74" s="57" t="s">
        <v>2427</v>
      </c>
      <c r="CN74" s="57">
        <v>132</v>
      </c>
      <c r="CO74" s="57">
        <v>135</v>
      </c>
      <c r="CP74" s="57">
        <v>211</v>
      </c>
      <c r="CQ74" s="57">
        <v>377</v>
      </c>
      <c r="CR74" s="57">
        <v>366</v>
      </c>
      <c r="CS74" s="57">
        <v>1221</v>
      </c>
      <c r="CT74" s="57"/>
      <c r="CU74" s="57" t="s">
        <v>2427</v>
      </c>
      <c r="CV74" s="57">
        <v>20</v>
      </c>
      <c r="CW74" s="57">
        <v>0</v>
      </c>
      <c r="CX74" s="57">
        <v>0</v>
      </c>
      <c r="CY74" s="57">
        <v>0</v>
      </c>
      <c r="CZ74" s="57">
        <v>0</v>
      </c>
      <c r="DA74" s="57">
        <v>20</v>
      </c>
      <c r="DD74" s="78" t="s">
        <v>1828</v>
      </c>
      <c r="DE74" s="78" t="s">
        <v>27</v>
      </c>
      <c r="DF74" s="78">
        <v>232</v>
      </c>
      <c r="DG74" s="78">
        <v>370</v>
      </c>
      <c r="DH74" s="78">
        <v>521</v>
      </c>
      <c r="DI74" s="78">
        <v>640</v>
      </c>
      <c r="DJ74" s="78">
        <v>497</v>
      </c>
      <c r="DK74" s="78">
        <v>2260</v>
      </c>
      <c r="DL74" s="78"/>
      <c r="DM74" s="78" t="s">
        <v>27</v>
      </c>
      <c r="DN74" s="78">
        <v>21</v>
      </c>
      <c r="DO74" s="78">
        <v>6</v>
      </c>
      <c r="DP74" s="78">
        <v>0</v>
      </c>
      <c r="DQ74" s="78">
        <v>0</v>
      </c>
      <c r="DR74" s="78">
        <v>0</v>
      </c>
      <c r="DS74" s="78">
        <v>27</v>
      </c>
      <c r="DU74" s="21"/>
      <c r="DV74" s="80" t="s">
        <v>1939</v>
      </c>
      <c r="DW74" s="80" t="s">
        <v>2437</v>
      </c>
      <c r="DX74" s="80">
        <v>147</v>
      </c>
      <c r="DY74" s="80">
        <v>121</v>
      </c>
      <c r="DZ74" s="80">
        <v>177</v>
      </c>
      <c r="EA74" s="80">
        <v>182</v>
      </c>
      <c r="EB74" s="80">
        <v>177</v>
      </c>
      <c r="EC74" s="80">
        <v>804</v>
      </c>
      <c r="ED74" s="80"/>
      <c r="EE74" s="80" t="s">
        <v>2437</v>
      </c>
      <c r="EF74" s="80">
        <v>15</v>
      </c>
      <c r="EG74" s="80">
        <v>0</v>
      </c>
      <c r="EH74" s="80">
        <v>0</v>
      </c>
      <c r="EI74" s="80">
        <v>0</v>
      </c>
      <c r="EJ74" s="80">
        <v>0</v>
      </c>
      <c r="EK74" s="80">
        <v>15</v>
      </c>
      <c r="EN74" s="57" t="s">
        <v>2376</v>
      </c>
      <c r="EO74" s="57" t="s">
        <v>2437</v>
      </c>
      <c r="EP74" s="57">
        <v>626</v>
      </c>
      <c r="EQ74" s="57">
        <v>979</v>
      </c>
      <c r="ER74" s="57">
        <v>1135</v>
      </c>
      <c r="ES74" s="57">
        <v>1339</v>
      </c>
      <c r="ET74" s="57">
        <v>1395</v>
      </c>
      <c r="EU74" s="57">
        <v>5474</v>
      </c>
      <c r="EV74" s="57"/>
      <c r="EW74" s="57" t="s">
        <v>2437</v>
      </c>
      <c r="EX74" s="57">
        <v>133</v>
      </c>
      <c r="EY74" s="57">
        <v>65</v>
      </c>
      <c r="EZ74" s="57">
        <v>38</v>
      </c>
      <c r="FA74" s="57">
        <v>48</v>
      </c>
      <c r="FB74" s="57">
        <v>28</v>
      </c>
      <c r="FC74" s="57">
        <v>312</v>
      </c>
      <c r="FF74" s="71" t="s">
        <v>2093</v>
      </c>
      <c r="FG74" s="71" t="s">
        <v>2427</v>
      </c>
      <c r="FH74" s="71" t="s">
        <v>356</v>
      </c>
      <c r="FI74" s="71" t="s">
        <v>356</v>
      </c>
      <c r="FJ74" s="71" t="s">
        <v>356</v>
      </c>
      <c r="FK74" s="71" t="s">
        <v>356</v>
      </c>
      <c r="FL74" s="71" t="s">
        <v>356</v>
      </c>
      <c r="FM74" s="71" t="s">
        <v>356</v>
      </c>
      <c r="FN74" s="71"/>
      <c r="FO74" s="71" t="s">
        <v>2427</v>
      </c>
      <c r="FP74" s="71" t="s">
        <v>356</v>
      </c>
      <c r="FQ74" s="71" t="s">
        <v>356</v>
      </c>
      <c r="FR74" s="71" t="s">
        <v>356</v>
      </c>
      <c r="FS74" s="71" t="s">
        <v>356</v>
      </c>
      <c r="FT74" s="71" t="s">
        <v>356</v>
      </c>
      <c r="FU74" s="71" t="s">
        <v>356</v>
      </c>
    </row>
    <row r="75" spans="1:177">
      <c r="B75" s="65" t="s">
        <v>2430</v>
      </c>
      <c r="C75" s="65" t="s">
        <v>2427</v>
      </c>
      <c r="D75" s="65">
        <v>867</v>
      </c>
      <c r="E75" s="65">
        <v>698</v>
      </c>
      <c r="F75" s="65">
        <v>596</v>
      </c>
      <c r="G75" s="65">
        <v>716</v>
      </c>
      <c r="H75" s="65">
        <v>912</v>
      </c>
      <c r="I75" s="65">
        <v>3789</v>
      </c>
      <c r="K75" s="65" t="s">
        <v>2427</v>
      </c>
      <c r="L75" s="65">
        <v>412</v>
      </c>
      <c r="M75" s="65">
        <v>152</v>
      </c>
      <c r="N75" s="65">
        <v>163</v>
      </c>
      <c r="O75" s="65">
        <v>198</v>
      </c>
      <c r="P75" s="65">
        <v>226</v>
      </c>
      <c r="Q75" s="65">
        <v>1151</v>
      </c>
      <c r="T75" s="66" t="s">
        <v>1087</v>
      </c>
      <c r="U75" s="66" t="s">
        <v>2437</v>
      </c>
      <c r="V75" s="66">
        <v>1873</v>
      </c>
      <c r="W75" s="66">
        <v>1371</v>
      </c>
      <c r="X75" s="66">
        <v>1531</v>
      </c>
      <c r="Y75" s="66">
        <v>1528</v>
      </c>
      <c r="Z75" s="66">
        <v>1067</v>
      </c>
      <c r="AA75" s="66">
        <v>7370</v>
      </c>
      <c r="AB75" s="66"/>
      <c r="AC75" s="66" t="s">
        <v>2437</v>
      </c>
      <c r="AD75" s="66">
        <v>157</v>
      </c>
      <c r="AE75" s="66">
        <v>7</v>
      </c>
      <c r="AF75" s="66">
        <v>1</v>
      </c>
      <c r="AG75" s="66">
        <v>2</v>
      </c>
      <c r="AH75" s="66">
        <v>0</v>
      </c>
      <c r="AI75" s="66">
        <v>167</v>
      </c>
      <c r="AK75" s="67" t="s">
        <v>2219</v>
      </c>
      <c r="AL75" s="67" t="s">
        <v>2427</v>
      </c>
      <c r="AM75" s="67">
        <v>128</v>
      </c>
      <c r="AN75" s="67">
        <v>259</v>
      </c>
      <c r="AO75" s="67">
        <v>545</v>
      </c>
      <c r="AP75" s="67">
        <v>798</v>
      </c>
      <c r="AQ75" s="67">
        <v>562</v>
      </c>
      <c r="AR75" s="67">
        <v>2292</v>
      </c>
      <c r="AS75" s="67"/>
      <c r="AT75" s="67" t="s">
        <v>2427</v>
      </c>
      <c r="AU75" s="67">
        <v>22</v>
      </c>
      <c r="AV75" s="67">
        <v>1</v>
      </c>
      <c r="AW75" s="67">
        <v>0</v>
      </c>
      <c r="AX75" s="67">
        <v>0</v>
      </c>
      <c r="AY75" s="67">
        <v>1</v>
      </c>
      <c r="AZ75" s="67">
        <v>24</v>
      </c>
      <c r="BB75" s="70" t="s">
        <v>1326</v>
      </c>
      <c r="BC75" s="70" t="s">
        <v>2427</v>
      </c>
      <c r="BD75" s="70">
        <v>215</v>
      </c>
      <c r="BE75" s="70">
        <v>136</v>
      </c>
      <c r="BF75" s="70">
        <v>197</v>
      </c>
      <c r="BG75" s="70">
        <v>244</v>
      </c>
      <c r="BH75" s="70">
        <v>240</v>
      </c>
      <c r="BI75" s="70">
        <v>1032</v>
      </c>
      <c r="BJ75" s="70"/>
      <c r="BK75" s="70" t="s">
        <v>2427</v>
      </c>
      <c r="BL75" s="70">
        <v>18</v>
      </c>
      <c r="BM75" s="70">
        <v>0</v>
      </c>
      <c r="BN75" s="70">
        <v>0</v>
      </c>
      <c r="BO75" s="70">
        <v>0</v>
      </c>
      <c r="BP75" s="70">
        <v>0</v>
      </c>
      <c r="BQ75" s="70">
        <v>18</v>
      </c>
      <c r="BS75" s="71" t="s">
        <v>1648</v>
      </c>
      <c r="BT75" s="71" t="s">
        <v>2437</v>
      </c>
      <c r="BU75" s="71">
        <v>47</v>
      </c>
      <c r="BV75" s="71">
        <v>58</v>
      </c>
      <c r="BW75" s="71">
        <v>147</v>
      </c>
      <c r="BX75" s="71">
        <v>198</v>
      </c>
      <c r="BY75" s="71">
        <v>198</v>
      </c>
      <c r="BZ75" s="71">
        <v>648</v>
      </c>
      <c r="CA75" s="71"/>
      <c r="CB75" s="71" t="s">
        <v>2437</v>
      </c>
      <c r="CC75" s="71">
        <v>13</v>
      </c>
      <c r="CD75" s="71">
        <v>0</v>
      </c>
      <c r="CE75" s="71">
        <v>0</v>
      </c>
      <c r="CF75" s="71">
        <v>0</v>
      </c>
      <c r="CG75" s="71">
        <v>0</v>
      </c>
      <c r="CH75" s="71">
        <v>13</v>
      </c>
      <c r="CL75" s="57" t="s">
        <v>601</v>
      </c>
      <c r="CM75" s="57" t="s">
        <v>2427</v>
      </c>
      <c r="CN75" s="57">
        <v>100</v>
      </c>
      <c r="CO75" s="57">
        <v>98</v>
      </c>
      <c r="CP75" s="57">
        <v>212</v>
      </c>
      <c r="CQ75" s="57">
        <v>249</v>
      </c>
      <c r="CR75" s="57">
        <v>264</v>
      </c>
      <c r="CS75" s="57">
        <v>923</v>
      </c>
      <c r="CT75" s="57"/>
      <c r="CU75" s="57" t="s">
        <v>2427</v>
      </c>
      <c r="CV75" s="57">
        <v>28</v>
      </c>
      <c r="CW75" s="57">
        <v>0</v>
      </c>
      <c r="CX75" s="57">
        <v>0</v>
      </c>
      <c r="CY75" s="57">
        <v>0</v>
      </c>
      <c r="CZ75" s="57">
        <v>0</v>
      </c>
      <c r="DA75" s="57">
        <v>28</v>
      </c>
      <c r="DD75" s="78" t="s">
        <v>1831</v>
      </c>
      <c r="DE75" s="78" t="s">
        <v>27</v>
      </c>
      <c r="DF75" s="78">
        <v>373</v>
      </c>
      <c r="DG75" s="78">
        <v>427</v>
      </c>
      <c r="DH75" s="78">
        <v>483</v>
      </c>
      <c r="DI75" s="78">
        <v>489</v>
      </c>
      <c r="DJ75" s="78">
        <v>399</v>
      </c>
      <c r="DK75" s="78">
        <v>2171</v>
      </c>
      <c r="DL75" s="78"/>
      <c r="DM75" s="78" t="s">
        <v>27</v>
      </c>
      <c r="DN75" s="78">
        <v>34</v>
      </c>
      <c r="DO75" s="78">
        <v>2</v>
      </c>
      <c r="DP75" s="78">
        <v>0</v>
      </c>
      <c r="DQ75" s="78">
        <v>0</v>
      </c>
      <c r="DR75" s="78">
        <v>0</v>
      </c>
      <c r="DS75" s="78">
        <v>36</v>
      </c>
      <c r="DU75" s="21"/>
      <c r="DV75" s="80" t="s">
        <v>1897</v>
      </c>
      <c r="DW75" s="80" t="s">
        <v>2437</v>
      </c>
      <c r="DX75" s="80">
        <v>2631</v>
      </c>
      <c r="DY75" s="80">
        <v>1168</v>
      </c>
      <c r="DZ75" s="80">
        <v>921</v>
      </c>
      <c r="EA75" s="80">
        <v>850</v>
      </c>
      <c r="EB75" s="80">
        <v>1115</v>
      </c>
      <c r="EC75" s="80">
        <v>6685</v>
      </c>
      <c r="ED75" s="80"/>
      <c r="EE75" s="80" t="s">
        <v>2437</v>
      </c>
      <c r="EF75" s="80">
        <v>312</v>
      </c>
      <c r="EG75" s="80">
        <v>27</v>
      </c>
      <c r="EH75" s="80">
        <v>0</v>
      </c>
      <c r="EI75" s="80">
        <v>0</v>
      </c>
      <c r="EJ75" s="80">
        <v>0</v>
      </c>
      <c r="EK75" s="80">
        <v>339</v>
      </c>
      <c r="EN75" s="57" t="s">
        <v>2378</v>
      </c>
      <c r="EO75" s="57" t="s">
        <v>2437</v>
      </c>
      <c r="EP75" s="57">
        <v>149</v>
      </c>
      <c r="EQ75" s="57">
        <v>259</v>
      </c>
      <c r="ER75" s="57">
        <v>350</v>
      </c>
      <c r="ES75" s="57">
        <v>436</v>
      </c>
      <c r="ET75" s="57">
        <v>484</v>
      </c>
      <c r="EU75" s="57">
        <v>1678</v>
      </c>
      <c r="EV75" s="57"/>
      <c r="EW75" s="57" t="s">
        <v>2437</v>
      </c>
      <c r="EX75" s="57">
        <v>32</v>
      </c>
      <c r="EY75" s="57">
        <v>18</v>
      </c>
      <c r="EZ75" s="57">
        <v>9</v>
      </c>
      <c r="FA75" s="57">
        <v>8</v>
      </c>
      <c r="FB75" s="57">
        <v>15</v>
      </c>
      <c r="FC75" s="57">
        <v>82</v>
      </c>
      <c r="FF75" s="71" t="s">
        <v>2095</v>
      </c>
      <c r="FG75" s="71" t="s">
        <v>2427</v>
      </c>
      <c r="FH75" s="71" t="s">
        <v>356</v>
      </c>
      <c r="FI75" s="71" t="s">
        <v>356</v>
      </c>
      <c r="FJ75" s="71" t="s">
        <v>356</v>
      </c>
      <c r="FK75" s="71" t="s">
        <v>356</v>
      </c>
      <c r="FL75" s="71" t="s">
        <v>356</v>
      </c>
      <c r="FM75" s="71" t="s">
        <v>356</v>
      </c>
      <c r="FN75" s="71"/>
      <c r="FO75" s="71" t="s">
        <v>2427</v>
      </c>
      <c r="FP75" s="71" t="s">
        <v>356</v>
      </c>
      <c r="FQ75" s="71" t="s">
        <v>356</v>
      </c>
      <c r="FR75" s="71" t="s">
        <v>356</v>
      </c>
      <c r="FS75" s="71" t="s">
        <v>356</v>
      </c>
      <c r="FT75" s="71" t="s">
        <v>356</v>
      </c>
      <c r="FU75" s="71" t="s">
        <v>356</v>
      </c>
    </row>
    <row r="76" spans="1:177">
      <c r="B76" s="65" t="s">
        <v>2432</v>
      </c>
      <c r="C76" s="65" t="s">
        <v>2427</v>
      </c>
      <c r="D76" s="65">
        <v>663</v>
      </c>
      <c r="E76" s="65">
        <v>590</v>
      </c>
      <c r="F76" s="65">
        <v>536</v>
      </c>
      <c r="G76" s="65">
        <v>640</v>
      </c>
      <c r="H76" s="65">
        <v>851</v>
      </c>
      <c r="I76" s="65">
        <v>3280</v>
      </c>
      <c r="K76" s="65" t="s">
        <v>2427</v>
      </c>
      <c r="L76" s="65">
        <v>284</v>
      </c>
      <c r="M76" s="65">
        <v>88</v>
      </c>
      <c r="N76" s="65">
        <v>25</v>
      </c>
      <c r="O76" s="65">
        <v>17</v>
      </c>
      <c r="P76" s="65">
        <v>38</v>
      </c>
      <c r="Q76" s="65">
        <v>452</v>
      </c>
      <c r="T76" s="66" t="s">
        <v>2193</v>
      </c>
      <c r="U76" s="66" t="s">
        <v>2437</v>
      </c>
      <c r="V76" s="66">
        <v>550</v>
      </c>
      <c r="W76" s="66">
        <v>571</v>
      </c>
      <c r="X76" s="66">
        <v>737</v>
      </c>
      <c r="Y76" s="66">
        <v>736</v>
      </c>
      <c r="Z76" s="66">
        <v>546</v>
      </c>
      <c r="AA76" s="66">
        <v>3140</v>
      </c>
      <c r="AB76" s="66"/>
      <c r="AC76" s="66" t="s">
        <v>2437</v>
      </c>
      <c r="AD76" s="66">
        <v>14</v>
      </c>
      <c r="AE76" s="66">
        <v>0</v>
      </c>
      <c r="AF76" s="66">
        <v>0</v>
      </c>
      <c r="AG76" s="66">
        <v>0</v>
      </c>
      <c r="AH76" s="66">
        <v>0</v>
      </c>
      <c r="AI76" s="66">
        <v>14</v>
      </c>
      <c r="AK76" s="67" t="s">
        <v>1272</v>
      </c>
      <c r="AL76" s="67" t="s">
        <v>2427</v>
      </c>
      <c r="AM76" s="67">
        <v>520</v>
      </c>
      <c r="AN76" s="67">
        <v>277</v>
      </c>
      <c r="AO76" s="67">
        <v>433</v>
      </c>
      <c r="AP76" s="67">
        <v>559</v>
      </c>
      <c r="AQ76" s="67">
        <v>530</v>
      </c>
      <c r="AR76" s="67">
        <v>2319</v>
      </c>
      <c r="AS76" s="67"/>
      <c r="AT76" s="67" t="s">
        <v>2427</v>
      </c>
      <c r="AU76" s="67">
        <v>109</v>
      </c>
      <c r="AV76" s="67">
        <v>1</v>
      </c>
      <c r="AW76" s="67">
        <v>0</v>
      </c>
      <c r="AX76" s="67">
        <v>0</v>
      </c>
      <c r="AY76" s="67">
        <v>0</v>
      </c>
      <c r="AZ76" s="67">
        <v>110</v>
      </c>
      <c r="BB76" s="70" t="s">
        <v>1329</v>
      </c>
      <c r="BC76" s="70" t="s">
        <v>2427</v>
      </c>
      <c r="BD76" s="70">
        <v>36</v>
      </c>
      <c r="BE76" s="70">
        <v>37</v>
      </c>
      <c r="BF76" s="70">
        <v>69</v>
      </c>
      <c r="BG76" s="70">
        <v>95</v>
      </c>
      <c r="BH76" s="70">
        <v>163</v>
      </c>
      <c r="BI76" s="70">
        <v>400</v>
      </c>
      <c r="BJ76" s="70"/>
      <c r="BK76" s="70" t="s">
        <v>2427</v>
      </c>
      <c r="BL76" s="70">
        <v>1</v>
      </c>
      <c r="BM76" s="70">
        <v>0</v>
      </c>
      <c r="BN76" s="70">
        <v>0</v>
      </c>
      <c r="BO76" s="70">
        <v>0</v>
      </c>
      <c r="BP76" s="70">
        <v>0</v>
      </c>
      <c r="BQ76" s="70">
        <v>1</v>
      </c>
      <c r="BS76" s="71" t="s">
        <v>1650</v>
      </c>
      <c r="BT76" s="71" t="s">
        <v>2437</v>
      </c>
      <c r="BU76" s="71">
        <v>62</v>
      </c>
      <c r="BV76" s="71">
        <v>86</v>
      </c>
      <c r="BW76" s="71">
        <v>142</v>
      </c>
      <c r="BX76" s="71">
        <v>170</v>
      </c>
      <c r="BY76" s="71">
        <v>174</v>
      </c>
      <c r="BZ76" s="71">
        <v>634</v>
      </c>
      <c r="CA76" s="71"/>
      <c r="CB76" s="71" t="s">
        <v>2437</v>
      </c>
      <c r="CC76" s="71">
        <v>15</v>
      </c>
      <c r="CD76" s="71">
        <v>0</v>
      </c>
      <c r="CE76" s="71">
        <v>0</v>
      </c>
      <c r="CF76" s="71">
        <v>0</v>
      </c>
      <c r="CG76" s="71">
        <v>0</v>
      </c>
      <c r="CH76" s="71">
        <v>15</v>
      </c>
      <c r="CL76" s="57" t="s">
        <v>608</v>
      </c>
      <c r="CM76" s="57" t="s">
        <v>2427</v>
      </c>
      <c r="CN76" s="57">
        <v>141</v>
      </c>
      <c r="CO76" s="57">
        <v>180</v>
      </c>
      <c r="CP76" s="57">
        <v>291</v>
      </c>
      <c r="CQ76" s="57">
        <v>413</v>
      </c>
      <c r="CR76" s="57">
        <v>378</v>
      </c>
      <c r="CS76" s="57">
        <v>1403</v>
      </c>
      <c r="CT76" s="57"/>
      <c r="CU76" s="57" t="s">
        <v>2427</v>
      </c>
      <c r="CV76" s="57">
        <v>25</v>
      </c>
      <c r="CW76" s="57">
        <v>0</v>
      </c>
      <c r="CX76" s="57">
        <v>0</v>
      </c>
      <c r="CY76" s="57">
        <v>0</v>
      </c>
      <c r="CZ76" s="57">
        <v>0</v>
      </c>
      <c r="DA76" s="57">
        <v>25</v>
      </c>
      <c r="DD76" s="78" t="s">
        <v>1835</v>
      </c>
      <c r="DE76" s="78" t="s">
        <v>27</v>
      </c>
      <c r="DF76" s="78">
        <v>193</v>
      </c>
      <c r="DG76" s="78">
        <v>238</v>
      </c>
      <c r="DH76" s="78">
        <v>316</v>
      </c>
      <c r="DI76" s="78">
        <v>431</v>
      </c>
      <c r="DJ76" s="78">
        <v>444</v>
      </c>
      <c r="DK76" s="78">
        <v>1622</v>
      </c>
      <c r="DL76" s="78"/>
      <c r="DM76" s="78" t="s">
        <v>27</v>
      </c>
      <c r="DN76" s="78">
        <v>22</v>
      </c>
      <c r="DO76" s="78">
        <v>13</v>
      </c>
      <c r="DP76" s="78">
        <v>1</v>
      </c>
      <c r="DQ76" s="78">
        <v>0</v>
      </c>
      <c r="DR76" s="78">
        <v>0</v>
      </c>
      <c r="DS76" s="78">
        <v>36</v>
      </c>
      <c r="EN76" s="57" t="s">
        <v>2379</v>
      </c>
      <c r="EO76" s="57" t="s">
        <v>2437</v>
      </c>
      <c r="EP76" s="57">
        <v>236</v>
      </c>
      <c r="EQ76" s="57">
        <v>382</v>
      </c>
      <c r="ER76" s="57">
        <v>542</v>
      </c>
      <c r="ES76" s="57">
        <v>687</v>
      </c>
      <c r="ET76" s="57">
        <v>695</v>
      </c>
      <c r="EU76" s="57">
        <v>2542</v>
      </c>
      <c r="EV76" s="57"/>
      <c r="EW76" s="57" t="s">
        <v>2437</v>
      </c>
      <c r="EX76" s="57">
        <v>44</v>
      </c>
      <c r="EY76" s="57">
        <v>19</v>
      </c>
      <c r="EZ76" s="57">
        <v>8</v>
      </c>
      <c r="FA76" s="57">
        <v>8</v>
      </c>
      <c r="FB76" s="57">
        <v>9</v>
      </c>
      <c r="FC76" s="57">
        <v>88</v>
      </c>
      <c r="FF76" s="71" t="s">
        <v>2415</v>
      </c>
      <c r="FG76" s="71" t="s">
        <v>2427</v>
      </c>
      <c r="FH76" s="71">
        <v>194</v>
      </c>
      <c r="FI76" s="71">
        <v>313</v>
      </c>
      <c r="FJ76" s="71">
        <v>348</v>
      </c>
      <c r="FK76" s="71">
        <v>416</v>
      </c>
      <c r="FL76" s="71">
        <v>479</v>
      </c>
      <c r="FM76" s="71">
        <v>1750</v>
      </c>
      <c r="FN76" s="71"/>
      <c r="FO76" s="71" t="s">
        <v>2427</v>
      </c>
      <c r="FP76" s="71">
        <v>26</v>
      </c>
      <c r="FQ76" s="71">
        <v>5</v>
      </c>
      <c r="FR76" s="71">
        <v>2</v>
      </c>
      <c r="FS76" s="71">
        <v>3</v>
      </c>
      <c r="FT76" s="71">
        <v>3</v>
      </c>
      <c r="FU76" s="71">
        <v>39</v>
      </c>
    </row>
    <row r="77" spans="1:177">
      <c r="B77" s="65" t="s">
        <v>925</v>
      </c>
      <c r="C77" s="65" t="s">
        <v>2427</v>
      </c>
      <c r="D77" s="65">
        <v>233</v>
      </c>
      <c r="E77" s="65">
        <v>344</v>
      </c>
      <c r="F77" s="65">
        <v>523</v>
      </c>
      <c r="G77" s="65">
        <v>687</v>
      </c>
      <c r="H77" s="65">
        <v>561</v>
      </c>
      <c r="I77" s="65">
        <v>2348</v>
      </c>
      <c r="K77" s="65" t="s">
        <v>2427</v>
      </c>
      <c r="L77" s="65">
        <v>12</v>
      </c>
      <c r="M77" s="65">
        <v>3</v>
      </c>
      <c r="N77" s="65">
        <v>1</v>
      </c>
      <c r="O77" s="65">
        <v>0</v>
      </c>
      <c r="P77" s="65">
        <v>0</v>
      </c>
      <c r="Q77" s="65">
        <v>16</v>
      </c>
      <c r="T77" s="66" t="s">
        <v>1096</v>
      </c>
      <c r="U77" s="66" t="s">
        <v>2437</v>
      </c>
      <c r="V77" s="66">
        <v>590</v>
      </c>
      <c r="W77" s="66">
        <v>425</v>
      </c>
      <c r="X77" s="66">
        <v>624</v>
      </c>
      <c r="Y77" s="66">
        <v>716</v>
      </c>
      <c r="Z77" s="66">
        <v>517</v>
      </c>
      <c r="AA77" s="66">
        <v>2872</v>
      </c>
      <c r="AB77" s="66"/>
      <c r="AC77" s="66" t="s">
        <v>2437</v>
      </c>
      <c r="AD77" s="66">
        <v>16</v>
      </c>
      <c r="AE77" s="66">
        <v>0</v>
      </c>
      <c r="AF77" s="66">
        <v>0</v>
      </c>
      <c r="AG77" s="66">
        <v>0</v>
      </c>
      <c r="AH77" s="66">
        <v>0</v>
      </c>
      <c r="AI77" s="66">
        <v>16</v>
      </c>
      <c r="AK77" s="67" t="s">
        <v>1276</v>
      </c>
      <c r="AL77" s="67" t="s">
        <v>2427</v>
      </c>
      <c r="AM77" s="67">
        <v>368</v>
      </c>
      <c r="AN77" s="67">
        <v>267</v>
      </c>
      <c r="AO77" s="67">
        <v>428</v>
      </c>
      <c r="AP77" s="67">
        <v>528</v>
      </c>
      <c r="AQ77" s="67">
        <v>509</v>
      </c>
      <c r="AR77" s="67">
        <v>2100</v>
      </c>
      <c r="AS77" s="67"/>
      <c r="AT77" s="67" t="s">
        <v>2427</v>
      </c>
      <c r="AU77" s="67">
        <v>95</v>
      </c>
      <c r="AV77" s="67">
        <v>0</v>
      </c>
      <c r="AW77" s="67">
        <v>0</v>
      </c>
      <c r="AX77" s="67">
        <v>0</v>
      </c>
      <c r="AY77" s="67">
        <v>0</v>
      </c>
      <c r="AZ77" s="67">
        <v>95</v>
      </c>
      <c r="BB77" s="70" t="s">
        <v>1333</v>
      </c>
      <c r="BC77" s="70" t="s">
        <v>2427</v>
      </c>
      <c r="BD77" s="70">
        <v>162</v>
      </c>
      <c r="BE77" s="70">
        <v>167</v>
      </c>
      <c r="BF77" s="70">
        <v>345</v>
      </c>
      <c r="BG77" s="70">
        <v>472</v>
      </c>
      <c r="BH77" s="70">
        <v>497</v>
      </c>
      <c r="BI77" s="70">
        <v>1643</v>
      </c>
      <c r="BJ77" s="70"/>
      <c r="BK77" s="70" t="s">
        <v>2427</v>
      </c>
      <c r="BL77" s="70">
        <v>31</v>
      </c>
      <c r="BM77" s="70">
        <v>0</v>
      </c>
      <c r="BN77" s="70">
        <v>0</v>
      </c>
      <c r="BO77" s="70">
        <v>0</v>
      </c>
      <c r="BP77" s="70">
        <v>0</v>
      </c>
      <c r="BQ77" s="70">
        <v>31</v>
      </c>
      <c r="BS77" s="71" t="s">
        <v>1655</v>
      </c>
      <c r="BT77" s="71" t="s">
        <v>2437</v>
      </c>
      <c r="BU77" s="71">
        <v>63</v>
      </c>
      <c r="BV77" s="71">
        <v>63</v>
      </c>
      <c r="BW77" s="71">
        <v>106</v>
      </c>
      <c r="BX77" s="71">
        <v>185</v>
      </c>
      <c r="BY77" s="71">
        <v>167</v>
      </c>
      <c r="BZ77" s="71">
        <v>584</v>
      </c>
      <c r="CA77" s="71"/>
      <c r="CB77" s="71" t="s">
        <v>2437</v>
      </c>
      <c r="CC77" s="71">
        <v>22</v>
      </c>
      <c r="CD77" s="71">
        <v>0</v>
      </c>
      <c r="CE77" s="71">
        <v>0</v>
      </c>
      <c r="CF77" s="71">
        <v>0</v>
      </c>
      <c r="CG77" s="71">
        <v>0</v>
      </c>
      <c r="CH77" s="71">
        <v>22</v>
      </c>
      <c r="CL77" s="57" t="s">
        <v>611</v>
      </c>
      <c r="CM77" s="57" t="s">
        <v>2427</v>
      </c>
      <c r="CN77" s="57" t="s">
        <v>356</v>
      </c>
      <c r="CO77" s="57" t="s">
        <v>356</v>
      </c>
      <c r="CP77" s="57" t="s">
        <v>356</v>
      </c>
      <c r="CQ77" s="57" t="s">
        <v>356</v>
      </c>
      <c r="CR77" s="57" t="s">
        <v>356</v>
      </c>
      <c r="CS77" s="57" t="s">
        <v>356</v>
      </c>
      <c r="CT77" s="57"/>
      <c r="CU77" s="57" t="s">
        <v>2427</v>
      </c>
      <c r="CV77" s="57" t="s">
        <v>356</v>
      </c>
      <c r="CW77" s="57" t="s">
        <v>356</v>
      </c>
      <c r="CX77" s="57" t="s">
        <v>356</v>
      </c>
      <c r="CY77" s="57" t="s">
        <v>356</v>
      </c>
      <c r="CZ77" s="57" t="s">
        <v>356</v>
      </c>
      <c r="DA77" s="57" t="s">
        <v>356</v>
      </c>
      <c r="DD77" s="78" t="s">
        <v>1839</v>
      </c>
      <c r="DE77" s="78" t="s">
        <v>27</v>
      </c>
      <c r="DF77" s="78">
        <v>227</v>
      </c>
      <c r="DG77" s="78">
        <v>317</v>
      </c>
      <c r="DH77" s="78">
        <v>455</v>
      </c>
      <c r="DI77" s="78">
        <v>522</v>
      </c>
      <c r="DJ77" s="78">
        <v>349</v>
      </c>
      <c r="DK77" s="78">
        <v>1870</v>
      </c>
      <c r="DL77" s="78"/>
      <c r="DM77" s="78" t="s">
        <v>27</v>
      </c>
      <c r="DN77" s="78">
        <v>8</v>
      </c>
      <c r="DO77" s="78">
        <v>2</v>
      </c>
      <c r="DP77" s="78">
        <v>3</v>
      </c>
      <c r="DQ77" s="78">
        <v>1</v>
      </c>
      <c r="DR77" s="78">
        <v>0</v>
      </c>
      <c r="DS77" s="78">
        <v>14</v>
      </c>
      <c r="DV77" s="80" t="s">
        <v>1843</v>
      </c>
      <c r="DW77" s="80" t="s">
        <v>2441</v>
      </c>
      <c r="DX77" s="80">
        <v>561</v>
      </c>
      <c r="DY77" s="80">
        <v>473</v>
      </c>
      <c r="DZ77" s="80">
        <v>544</v>
      </c>
      <c r="EA77" s="80">
        <v>539</v>
      </c>
      <c r="EB77" s="80">
        <v>434</v>
      </c>
      <c r="EC77" s="80">
        <v>2551</v>
      </c>
      <c r="ED77" s="80"/>
      <c r="EE77" s="80" t="s">
        <v>2441</v>
      </c>
      <c r="EF77" s="80">
        <v>61</v>
      </c>
      <c r="EG77" s="80">
        <v>0</v>
      </c>
      <c r="EH77" s="80">
        <v>0</v>
      </c>
      <c r="EI77" s="80">
        <v>0</v>
      </c>
      <c r="EJ77" s="80">
        <v>0</v>
      </c>
      <c r="EK77" s="80">
        <v>61</v>
      </c>
      <c r="EN77" s="57" t="s">
        <v>2380</v>
      </c>
      <c r="EO77" s="57" t="s">
        <v>2437</v>
      </c>
      <c r="EP77" s="57">
        <v>76</v>
      </c>
      <c r="EQ77" s="57">
        <v>159</v>
      </c>
      <c r="ER77" s="57">
        <v>176</v>
      </c>
      <c r="ES77" s="57">
        <v>248</v>
      </c>
      <c r="ET77" s="57">
        <v>282</v>
      </c>
      <c r="EU77" s="57">
        <v>941</v>
      </c>
      <c r="EV77" s="57"/>
      <c r="EW77" s="57" t="s">
        <v>2437</v>
      </c>
      <c r="EX77" s="57">
        <v>19</v>
      </c>
      <c r="EY77" s="57">
        <v>11</v>
      </c>
      <c r="EZ77" s="57">
        <v>5</v>
      </c>
      <c r="FA77" s="57">
        <v>1</v>
      </c>
      <c r="FB77" s="57">
        <v>3</v>
      </c>
      <c r="FC77" s="57">
        <v>39</v>
      </c>
      <c r="FF77" s="71" t="s">
        <v>2106</v>
      </c>
      <c r="FG77" s="71" t="s">
        <v>2427</v>
      </c>
      <c r="FH77" s="71">
        <v>604</v>
      </c>
      <c r="FI77" s="71">
        <v>710</v>
      </c>
      <c r="FJ77" s="71">
        <v>748</v>
      </c>
      <c r="FK77" s="71">
        <v>850</v>
      </c>
      <c r="FL77" s="71">
        <v>918</v>
      </c>
      <c r="FM77" s="71">
        <v>3830</v>
      </c>
      <c r="FN77" s="71"/>
      <c r="FO77" s="71" t="s">
        <v>2427</v>
      </c>
      <c r="FP77" s="71">
        <v>112</v>
      </c>
      <c r="FQ77" s="71">
        <v>54</v>
      </c>
      <c r="FR77" s="71">
        <v>30</v>
      </c>
      <c r="FS77" s="71">
        <v>25</v>
      </c>
      <c r="FT77" s="71">
        <v>17</v>
      </c>
      <c r="FU77" s="71">
        <v>238</v>
      </c>
    </row>
    <row r="78" spans="1:177">
      <c r="B78" s="65" t="s">
        <v>930</v>
      </c>
      <c r="C78" s="65" t="s">
        <v>2427</v>
      </c>
      <c r="D78" s="65">
        <v>756</v>
      </c>
      <c r="E78" s="65">
        <v>684</v>
      </c>
      <c r="F78" s="65">
        <v>750</v>
      </c>
      <c r="G78" s="65">
        <v>720</v>
      </c>
      <c r="H78" s="65">
        <v>476</v>
      </c>
      <c r="I78" s="65">
        <v>3386</v>
      </c>
      <c r="K78" s="65" t="s">
        <v>2427</v>
      </c>
      <c r="L78" s="65">
        <v>31</v>
      </c>
      <c r="M78" s="65">
        <v>5</v>
      </c>
      <c r="N78" s="65">
        <v>1</v>
      </c>
      <c r="O78" s="65">
        <v>1</v>
      </c>
      <c r="P78" s="65">
        <v>0</v>
      </c>
      <c r="Q78" s="65">
        <v>38</v>
      </c>
      <c r="T78" s="66" t="s">
        <v>1103</v>
      </c>
      <c r="U78" s="66" t="s">
        <v>2437</v>
      </c>
      <c r="V78" s="66">
        <v>121</v>
      </c>
      <c r="W78" s="66">
        <v>115</v>
      </c>
      <c r="X78" s="66">
        <v>127</v>
      </c>
      <c r="Y78" s="66">
        <v>162</v>
      </c>
      <c r="Z78" s="66">
        <v>171</v>
      </c>
      <c r="AA78" s="66">
        <v>696</v>
      </c>
      <c r="AB78" s="66"/>
      <c r="AC78" s="66" t="s">
        <v>2437</v>
      </c>
      <c r="AD78" s="66">
        <v>10</v>
      </c>
      <c r="AE78" s="66">
        <v>0</v>
      </c>
      <c r="AF78" s="66">
        <v>0</v>
      </c>
      <c r="AG78" s="66">
        <v>0</v>
      </c>
      <c r="AH78" s="66">
        <v>0</v>
      </c>
      <c r="AI78" s="66">
        <v>10</v>
      </c>
      <c r="AK78" s="67" t="s">
        <v>1279</v>
      </c>
      <c r="AL78" s="67" t="s">
        <v>2427</v>
      </c>
      <c r="AM78" s="67">
        <v>524</v>
      </c>
      <c r="AN78" s="67">
        <v>328</v>
      </c>
      <c r="AO78" s="67">
        <v>485</v>
      </c>
      <c r="AP78" s="67">
        <v>588</v>
      </c>
      <c r="AQ78" s="67">
        <v>561</v>
      </c>
      <c r="AR78" s="67">
        <v>2486</v>
      </c>
      <c r="AS78" s="67"/>
      <c r="AT78" s="67" t="s">
        <v>2427</v>
      </c>
      <c r="AU78" s="67">
        <v>145</v>
      </c>
      <c r="AV78" s="67">
        <v>1</v>
      </c>
      <c r="AW78" s="67">
        <v>0</v>
      </c>
      <c r="AX78" s="67">
        <v>0</v>
      </c>
      <c r="AY78" s="67">
        <v>1</v>
      </c>
      <c r="AZ78" s="67">
        <v>147</v>
      </c>
      <c r="BB78" s="70" t="s">
        <v>1337</v>
      </c>
      <c r="BC78" s="70" t="s">
        <v>2427</v>
      </c>
      <c r="BD78" s="70">
        <v>88</v>
      </c>
      <c r="BE78" s="70">
        <v>111</v>
      </c>
      <c r="BF78" s="70">
        <v>207</v>
      </c>
      <c r="BG78" s="70">
        <v>285</v>
      </c>
      <c r="BH78" s="70">
        <v>274</v>
      </c>
      <c r="BI78" s="70">
        <v>965</v>
      </c>
      <c r="BJ78" s="70"/>
      <c r="BK78" s="70" t="s">
        <v>2427</v>
      </c>
      <c r="BL78" s="70">
        <v>13</v>
      </c>
      <c r="BM78" s="70">
        <v>0</v>
      </c>
      <c r="BN78" s="70">
        <v>0</v>
      </c>
      <c r="BO78" s="70">
        <v>0</v>
      </c>
      <c r="BP78" s="70">
        <v>0</v>
      </c>
      <c r="BQ78" s="70">
        <v>13</v>
      </c>
      <c r="BS78" s="71" t="s">
        <v>1661</v>
      </c>
      <c r="BT78" s="71" t="s">
        <v>2437</v>
      </c>
      <c r="BU78" s="71">
        <v>64</v>
      </c>
      <c r="BV78" s="71">
        <v>45</v>
      </c>
      <c r="BW78" s="71">
        <v>91</v>
      </c>
      <c r="BX78" s="71">
        <v>125</v>
      </c>
      <c r="BY78" s="71">
        <v>130</v>
      </c>
      <c r="BZ78" s="71">
        <v>455</v>
      </c>
      <c r="CA78" s="71"/>
      <c r="CB78" s="71" t="s">
        <v>2437</v>
      </c>
      <c r="CC78" s="71">
        <v>20</v>
      </c>
      <c r="CD78" s="71">
        <v>0</v>
      </c>
      <c r="CE78" s="71">
        <v>0</v>
      </c>
      <c r="CF78" s="71">
        <v>0</v>
      </c>
      <c r="CG78" s="71">
        <v>0</v>
      </c>
      <c r="CH78" s="71">
        <v>20</v>
      </c>
      <c r="CJ78" s="21"/>
      <c r="CL78" s="57" t="s">
        <v>613</v>
      </c>
      <c r="CM78" s="57" t="s">
        <v>2427</v>
      </c>
      <c r="CN78" s="57">
        <v>191</v>
      </c>
      <c r="CO78" s="57">
        <v>87</v>
      </c>
      <c r="CP78" s="57">
        <v>150</v>
      </c>
      <c r="CQ78" s="57">
        <v>158</v>
      </c>
      <c r="CR78" s="57">
        <v>170</v>
      </c>
      <c r="CS78" s="57">
        <v>756</v>
      </c>
      <c r="CT78" s="57"/>
      <c r="CU78" s="57" t="s">
        <v>2427</v>
      </c>
      <c r="CV78" s="57">
        <v>64</v>
      </c>
      <c r="CW78" s="57">
        <v>0</v>
      </c>
      <c r="CX78" s="57">
        <v>0</v>
      </c>
      <c r="CY78" s="57">
        <v>0</v>
      </c>
      <c r="CZ78" s="57">
        <v>0</v>
      </c>
      <c r="DA78" s="57">
        <v>64</v>
      </c>
      <c r="DV78" s="80" t="s">
        <v>1848</v>
      </c>
      <c r="DW78" s="80" t="s">
        <v>2441</v>
      </c>
      <c r="DX78" s="80">
        <v>196</v>
      </c>
      <c r="DY78" s="80">
        <v>252</v>
      </c>
      <c r="DZ78" s="80">
        <v>321</v>
      </c>
      <c r="EA78" s="80">
        <v>366</v>
      </c>
      <c r="EB78" s="80">
        <v>326</v>
      </c>
      <c r="EC78" s="80">
        <v>1461</v>
      </c>
      <c r="ED78" s="80"/>
      <c r="EE78" s="80" t="s">
        <v>2441</v>
      </c>
      <c r="EF78" s="80">
        <v>15</v>
      </c>
      <c r="EG78" s="80">
        <v>0</v>
      </c>
      <c r="EH78" s="80">
        <v>0</v>
      </c>
      <c r="EI78" s="80">
        <v>0</v>
      </c>
      <c r="EJ78" s="80">
        <v>0</v>
      </c>
      <c r="EK78" s="80">
        <v>15</v>
      </c>
      <c r="EN78" s="57" t="s">
        <v>2381</v>
      </c>
      <c r="EO78" s="57" t="s">
        <v>2437</v>
      </c>
      <c r="EP78" s="57">
        <v>133</v>
      </c>
      <c r="EQ78" s="57">
        <v>202</v>
      </c>
      <c r="ER78" s="57">
        <v>255</v>
      </c>
      <c r="ES78" s="57">
        <v>324</v>
      </c>
      <c r="ET78" s="57">
        <v>335</v>
      </c>
      <c r="EU78" s="57">
        <v>1249</v>
      </c>
      <c r="EV78" s="57"/>
      <c r="EW78" s="57" t="s">
        <v>2437</v>
      </c>
      <c r="EX78" s="57">
        <v>21</v>
      </c>
      <c r="EY78" s="57">
        <v>7</v>
      </c>
      <c r="EZ78" s="57">
        <v>3</v>
      </c>
      <c r="FA78" s="57">
        <v>1</v>
      </c>
      <c r="FB78" s="57">
        <v>2</v>
      </c>
      <c r="FC78" s="57">
        <v>34</v>
      </c>
      <c r="FF78" s="71" t="s">
        <v>2107</v>
      </c>
      <c r="FG78" s="71" t="s">
        <v>2427</v>
      </c>
      <c r="FH78" s="71">
        <v>543</v>
      </c>
      <c r="FI78" s="71">
        <v>587</v>
      </c>
      <c r="FJ78" s="71">
        <v>462</v>
      </c>
      <c r="FK78" s="71">
        <v>537</v>
      </c>
      <c r="FL78" s="71">
        <v>593</v>
      </c>
      <c r="FM78" s="71">
        <v>2722</v>
      </c>
      <c r="FN78" s="71"/>
      <c r="FO78" s="71" t="s">
        <v>2427</v>
      </c>
      <c r="FP78" s="71">
        <v>84</v>
      </c>
      <c r="FQ78" s="71">
        <v>21</v>
      </c>
      <c r="FR78" s="71">
        <v>7</v>
      </c>
      <c r="FS78" s="71">
        <v>4</v>
      </c>
      <c r="FT78" s="71">
        <v>5</v>
      </c>
      <c r="FU78" s="71">
        <v>121</v>
      </c>
    </row>
    <row r="79" spans="1:177">
      <c r="B79" s="65" t="s">
        <v>935</v>
      </c>
      <c r="C79" s="65" t="s">
        <v>2427</v>
      </c>
      <c r="D79" s="65">
        <v>170</v>
      </c>
      <c r="E79" s="65">
        <v>291</v>
      </c>
      <c r="F79" s="65">
        <v>414</v>
      </c>
      <c r="G79" s="65">
        <v>505</v>
      </c>
      <c r="H79" s="65">
        <v>319</v>
      </c>
      <c r="I79" s="65">
        <v>1699</v>
      </c>
      <c r="K79" s="65" t="s">
        <v>2427</v>
      </c>
      <c r="L79" s="65">
        <v>22</v>
      </c>
      <c r="M79" s="65">
        <v>0</v>
      </c>
      <c r="N79" s="65">
        <v>2</v>
      </c>
      <c r="O79" s="65">
        <v>0</v>
      </c>
      <c r="P79" s="65">
        <v>0</v>
      </c>
      <c r="Q79" s="65">
        <v>24</v>
      </c>
      <c r="T79" s="66" t="s">
        <v>2194</v>
      </c>
      <c r="U79" s="66" t="s">
        <v>2437</v>
      </c>
      <c r="V79" s="66" t="s">
        <v>356</v>
      </c>
      <c r="W79" s="66" t="s">
        <v>356</v>
      </c>
      <c r="X79" s="66" t="s">
        <v>356</v>
      </c>
      <c r="Y79" s="66" t="s">
        <v>356</v>
      </c>
      <c r="Z79" s="66" t="s">
        <v>356</v>
      </c>
      <c r="AA79" s="66" t="s">
        <v>356</v>
      </c>
      <c r="AB79" s="66"/>
      <c r="AC79" s="66" t="s">
        <v>2437</v>
      </c>
      <c r="AD79" s="66" t="s">
        <v>356</v>
      </c>
      <c r="AE79" s="66" t="s">
        <v>356</v>
      </c>
      <c r="AF79" s="66" t="s">
        <v>356</v>
      </c>
      <c r="AG79" s="66" t="s">
        <v>356</v>
      </c>
      <c r="AH79" s="66" t="s">
        <v>356</v>
      </c>
      <c r="AI79" s="66" t="s">
        <v>356</v>
      </c>
      <c r="AK79" s="67" t="s">
        <v>1282</v>
      </c>
      <c r="AL79" s="67" t="s">
        <v>2427</v>
      </c>
      <c r="AM79" s="67">
        <v>1046</v>
      </c>
      <c r="AN79" s="67">
        <v>841</v>
      </c>
      <c r="AO79" s="67">
        <v>994</v>
      </c>
      <c r="AP79" s="67">
        <v>1016</v>
      </c>
      <c r="AQ79" s="67">
        <v>776</v>
      </c>
      <c r="AR79" s="67">
        <v>4673</v>
      </c>
      <c r="AS79" s="67"/>
      <c r="AT79" s="67" t="s">
        <v>2427</v>
      </c>
      <c r="AU79" s="67">
        <v>168</v>
      </c>
      <c r="AV79" s="67">
        <v>2</v>
      </c>
      <c r="AW79" s="67">
        <v>0</v>
      </c>
      <c r="AX79" s="67">
        <v>0</v>
      </c>
      <c r="AY79" s="67">
        <v>0</v>
      </c>
      <c r="AZ79" s="67">
        <v>170</v>
      </c>
      <c r="BB79" s="70" t="s">
        <v>1341</v>
      </c>
      <c r="BC79" s="70" t="s">
        <v>2427</v>
      </c>
      <c r="BD79" s="70">
        <v>941</v>
      </c>
      <c r="BE79" s="70">
        <v>480</v>
      </c>
      <c r="BF79" s="70">
        <v>732</v>
      </c>
      <c r="BG79" s="70">
        <v>966</v>
      </c>
      <c r="BH79" s="70">
        <v>883</v>
      </c>
      <c r="BI79" s="70">
        <v>4002</v>
      </c>
      <c r="BJ79" s="70"/>
      <c r="BK79" s="70" t="s">
        <v>2427</v>
      </c>
      <c r="BL79" s="70">
        <v>218</v>
      </c>
      <c r="BM79" s="70">
        <v>0</v>
      </c>
      <c r="BN79" s="70">
        <v>0</v>
      </c>
      <c r="BO79" s="70">
        <v>0</v>
      </c>
      <c r="BP79" s="70">
        <v>0</v>
      </c>
      <c r="BQ79" s="70">
        <v>218</v>
      </c>
      <c r="CJ79" s="21"/>
      <c r="CL79" s="57" t="s">
        <v>615</v>
      </c>
      <c r="CM79" s="57" t="s">
        <v>2427</v>
      </c>
      <c r="CN79" s="57">
        <v>1229</v>
      </c>
      <c r="CO79" s="57">
        <v>1246</v>
      </c>
      <c r="CP79" s="57">
        <v>1350</v>
      </c>
      <c r="CQ79" s="57">
        <v>1392</v>
      </c>
      <c r="CR79" s="57">
        <v>1046</v>
      </c>
      <c r="CS79" s="57">
        <v>6263</v>
      </c>
      <c r="CT79" s="57"/>
      <c r="CU79" s="57" t="s">
        <v>2427</v>
      </c>
      <c r="CV79" s="57">
        <v>296</v>
      </c>
      <c r="CW79" s="57">
        <v>14</v>
      </c>
      <c r="CX79" s="57">
        <v>0</v>
      </c>
      <c r="CY79" s="57">
        <v>0</v>
      </c>
      <c r="CZ79" s="57">
        <v>0</v>
      </c>
      <c r="DA79" s="57">
        <v>310</v>
      </c>
      <c r="DD79" s="78" t="s">
        <v>412</v>
      </c>
      <c r="DE79" s="78" t="s">
        <v>2513</v>
      </c>
      <c r="DF79" s="78">
        <v>464</v>
      </c>
      <c r="DG79" s="78">
        <v>409</v>
      </c>
      <c r="DH79" s="78">
        <v>522</v>
      </c>
      <c r="DI79" s="78">
        <v>496</v>
      </c>
      <c r="DJ79" s="78">
        <v>394</v>
      </c>
      <c r="DK79" s="78">
        <v>2285</v>
      </c>
      <c r="DL79" s="78"/>
      <c r="DM79" s="78" t="s">
        <v>2513</v>
      </c>
      <c r="DN79" s="78">
        <v>44</v>
      </c>
      <c r="DO79" s="78">
        <v>0</v>
      </c>
      <c r="DP79" s="78">
        <v>0</v>
      </c>
      <c r="DQ79" s="78">
        <v>0</v>
      </c>
      <c r="DR79" s="78">
        <v>0</v>
      </c>
      <c r="DS79" s="78">
        <v>44</v>
      </c>
      <c r="DV79" s="80" t="s">
        <v>1852</v>
      </c>
      <c r="DW79" s="80" t="s">
        <v>2441</v>
      </c>
      <c r="DX79" s="80">
        <v>787</v>
      </c>
      <c r="DY79" s="80">
        <v>796</v>
      </c>
      <c r="DZ79" s="80">
        <v>920</v>
      </c>
      <c r="EA79" s="80">
        <v>921</v>
      </c>
      <c r="EB79" s="80">
        <v>670</v>
      </c>
      <c r="EC79" s="80">
        <v>4094</v>
      </c>
      <c r="ED79" s="80"/>
      <c r="EE79" s="80" t="s">
        <v>2441</v>
      </c>
      <c r="EF79" s="80">
        <v>39</v>
      </c>
      <c r="EG79" s="80">
        <v>3</v>
      </c>
      <c r="EH79" s="80">
        <v>0</v>
      </c>
      <c r="EI79" s="80">
        <v>0</v>
      </c>
      <c r="EJ79" s="80">
        <v>0</v>
      </c>
      <c r="EK79" s="80">
        <v>42</v>
      </c>
      <c r="EN79" s="57" t="s">
        <v>2382</v>
      </c>
      <c r="EO79" s="57" t="s">
        <v>2437</v>
      </c>
      <c r="EP79" s="57">
        <v>44</v>
      </c>
      <c r="EQ79" s="57">
        <v>95</v>
      </c>
      <c r="ER79" s="57">
        <v>129</v>
      </c>
      <c r="ES79" s="57">
        <v>184</v>
      </c>
      <c r="ET79" s="57">
        <v>247</v>
      </c>
      <c r="EU79" s="57">
        <v>699</v>
      </c>
      <c r="EV79" s="57"/>
      <c r="EW79" s="57" t="s">
        <v>2437</v>
      </c>
      <c r="EX79" s="57">
        <v>7</v>
      </c>
      <c r="EY79" s="57">
        <v>3</v>
      </c>
      <c r="EZ79" s="57">
        <v>1</v>
      </c>
      <c r="FA79" s="57">
        <v>1</v>
      </c>
      <c r="FB79" s="57">
        <v>0</v>
      </c>
      <c r="FC79" s="57">
        <v>12</v>
      </c>
      <c r="FF79" s="71" t="s">
        <v>2108</v>
      </c>
      <c r="FG79" s="71" t="s">
        <v>2427</v>
      </c>
      <c r="FH79" s="71">
        <v>167</v>
      </c>
      <c r="FI79" s="71">
        <v>293</v>
      </c>
      <c r="FJ79" s="71">
        <v>347</v>
      </c>
      <c r="FK79" s="71">
        <v>413</v>
      </c>
      <c r="FL79" s="71">
        <v>545</v>
      </c>
      <c r="FM79" s="71">
        <v>1765</v>
      </c>
      <c r="FN79" s="71"/>
      <c r="FO79" s="71" t="s">
        <v>2427</v>
      </c>
      <c r="FP79" s="71">
        <v>29</v>
      </c>
      <c r="FQ79" s="71">
        <v>10</v>
      </c>
      <c r="FR79" s="71">
        <v>6</v>
      </c>
      <c r="FS79" s="71">
        <v>4</v>
      </c>
      <c r="FT79" s="71">
        <v>3</v>
      </c>
      <c r="FU79" s="71">
        <v>52</v>
      </c>
    </row>
    <row r="80" spans="1:177">
      <c r="A80" s="21" t="s">
        <v>2438</v>
      </c>
      <c r="B80" s="127" t="s">
        <v>2166</v>
      </c>
      <c r="C80" s="65" t="s">
        <v>2427</v>
      </c>
      <c r="D80" s="65">
        <v>276</v>
      </c>
      <c r="E80" s="65">
        <v>454</v>
      </c>
      <c r="F80" s="65">
        <v>609</v>
      </c>
      <c r="G80" s="65">
        <v>709</v>
      </c>
      <c r="H80" s="65">
        <v>540</v>
      </c>
      <c r="I80" s="65">
        <v>2588</v>
      </c>
      <c r="K80" s="65" t="s">
        <v>2427</v>
      </c>
      <c r="L80" s="65">
        <v>34</v>
      </c>
      <c r="M80" s="65">
        <v>2</v>
      </c>
      <c r="N80" s="65">
        <v>1</v>
      </c>
      <c r="O80" s="65">
        <v>0</v>
      </c>
      <c r="P80" s="65">
        <v>0</v>
      </c>
      <c r="Q80" s="65">
        <v>37</v>
      </c>
      <c r="T80" s="66" t="s">
        <v>2195</v>
      </c>
      <c r="U80" s="66" t="s">
        <v>2437</v>
      </c>
      <c r="V80" s="66" t="s">
        <v>356</v>
      </c>
      <c r="W80" s="66" t="s">
        <v>356</v>
      </c>
      <c r="X80" s="66" t="s">
        <v>356</v>
      </c>
      <c r="Y80" s="66" t="s">
        <v>356</v>
      </c>
      <c r="Z80" s="66" t="s">
        <v>356</v>
      </c>
      <c r="AA80" s="66" t="s">
        <v>356</v>
      </c>
      <c r="AB80" s="66"/>
      <c r="AC80" s="66" t="s">
        <v>2437</v>
      </c>
      <c r="AD80" s="66" t="s">
        <v>356</v>
      </c>
      <c r="AE80" s="66" t="s">
        <v>356</v>
      </c>
      <c r="AF80" s="66" t="s">
        <v>356</v>
      </c>
      <c r="AG80" s="66" t="s">
        <v>356</v>
      </c>
      <c r="AH80" s="66" t="s">
        <v>356</v>
      </c>
      <c r="AI80" s="66" t="s">
        <v>356</v>
      </c>
      <c r="AK80" s="67" t="s">
        <v>2244</v>
      </c>
      <c r="AL80" s="67" t="s">
        <v>2427</v>
      </c>
      <c r="AM80" s="67">
        <v>277</v>
      </c>
      <c r="AN80" s="67">
        <v>281</v>
      </c>
      <c r="AO80" s="67">
        <v>393</v>
      </c>
      <c r="AP80" s="67">
        <v>524</v>
      </c>
      <c r="AQ80" s="67">
        <v>510</v>
      </c>
      <c r="AR80" s="67">
        <v>1985</v>
      </c>
      <c r="AS80" s="67"/>
      <c r="AT80" s="67" t="s">
        <v>2427</v>
      </c>
      <c r="AU80" s="67">
        <v>44</v>
      </c>
      <c r="AV80" s="67">
        <v>1</v>
      </c>
      <c r="AW80" s="67">
        <v>0</v>
      </c>
      <c r="AX80" s="67">
        <v>0</v>
      </c>
      <c r="AY80" s="67">
        <v>0</v>
      </c>
      <c r="AZ80" s="67">
        <v>45</v>
      </c>
      <c r="BB80" s="70" t="s">
        <v>1344</v>
      </c>
      <c r="BC80" s="70" t="s">
        <v>2427</v>
      </c>
      <c r="BD80" s="70">
        <v>30</v>
      </c>
      <c r="BE80" s="70">
        <v>34</v>
      </c>
      <c r="BF80" s="70">
        <v>85</v>
      </c>
      <c r="BG80" s="70">
        <v>127</v>
      </c>
      <c r="BH80" s="70">
        <v>183</v>
      </c>
      <c r="BI80" s="70">
        <v>459</v>
      </c>
      <c r="BJ80" s="70"/>
      <c r="BK80" s="70" t="s">
        <v>2427</v>
      </c>
      <c r="BL80" s="70">
        <v>10</v>
      </c>
      <c r="BM80" s="70">
        <v>0</v>
      </c>
      <c r="BN80" s="70">
        <v>0</v>
      </c>
      <c r="BO80" s="70">
        <v>0</v>
      </c>
      <c r="BP80" s="70">
        <v>0</v>
      </c>
      <c r="BQ80" s="70">
        <v>10</v>
      </c>
      <c r="BS80" s="71" t="s">
        <v>515</v>
      </c>
      <c r="BT80" s="71" t="s">
        <v>2441</v>
      </c>
      <c r="BU80" s="71">
        <v>126</v>
      </c>
      <c r="BV80" s="71">
        <v>77</v>
      </c>
      <c r="BW80" s="71">
        <v>82</v>
      </c>
      <c r="BX80" s="71">
        <v>98</v>
      </c>
      <c r="BY80" s="71">
        <v>107</v>
      </c>
      <c r="BZ80" s="71">
        <v>490</v>
      </c>
      <c r="CA80" s="71"/>
      <c r="CB80" s="71" t="s">
        <v>2441</v>
      </c>
      <c r="CC80" s="71">
        <v>23</v>
      </c>
      <c r="CD80" s="71">
        <v>0</v>
      </c>
      <c r="CE80" s="71">
        <v>0</v>
      </c>
      <c r="CF80" s="71">
        <v>0</v>
      </c>
      <c r="CG80" s="71">
        <v>0</v>
      </c>
      <c r="CH80" s="71">
        <v>23</v>
      </c>
      <c r="CJ80" s="21"/>
      <c r="CL80" s="57" t="s">
        <v>617</v>
      </c>
      <c r="CM80" s="57" t="s">
        <v>2427</v>
      </c>
      <c r="CN80" s="57">
        <v>567</v>
      </c>
      <c r="CO80" s="57">
        <v>490</v>
      </c>
      <c r="CP80" s="57">
        <v>922</v>
      </c>
      <c r="CQ80" s="57">
        <v>1319</v>
      </c>
      <c r="CR80" s="57">
        <v>1286</v>
      </c>
      <c r="CS80" s="57">
        <v>4584</v>
      </c>
      <c r="CT80" s="57"/>
      <c r="CU80" s="57" t="s">
        <v>2427</v>
      </c>
      <c r="CV80" s="57">
        <v>152</v>
      </c>
      <c r="CW80" s="57">
        <v>0</v>
      </c>
      <c r="CX80" s="57">
        <v>0</v>
      </c>
      <c r="CY80" s="57">
        <v>0</v>
      </c>
      <c r="CZ80" s="57">
        <v>0</v>
      </c>
      <c r="DA80" s="57">
        <v>152</v>
      </c>
      <c r="DD80" s="78" t="s">
        <v>1772</v>
      </c>
      <c r="DE80" s="78" t="s">
        <v>2513</v>
      </c>
      <c r="DF80" s="78">
        <v>194</v>
      </c>
      <c r="DG80" s="78">
        <v>247</v>
      </c>
      <c r="DH80" s="78">
        <v>270</v>
      </c>
      <c r="DI80" s="78">
        <v>304</v>
      </c>
      <c r="DJ80" s="78">
        <v>308</v>
      </c>
      <c r="DK80" s="78">
        <v>1323</v>
      </c>
      <c r="DL80" s="78"/>
      <c r="DM80" s="78" t="s">
        <v>2513</v>
      </c>
      <c r="DN80" s="78">
        <v>19</v>
      </c>
      <c r="DO80" s="78">
        <v>2</v>
      </c>
      <c r="DP80" s="78">
        <v>0</v>
      </c>
      <c r="DQ80" s="78">
        <v>0</v>
      </c>
      <c r="DR80" s="78">
        <v>0</v>
      </c>
      <c r="DS80" s="78">
        <v>21</v>
      </c>
      <c r="DV80" s="80" t="s">
        <v>1856</v>
      </c>
      <c r="DW80" s="80" t="s">
        <v>2441</v>
      </c>
      <c r="DX80" s="80">
        <v>421</v>
      </c>
      <c r="DY80" s="80">
        <v>414</v>
      </c>
      <c r="DZ80" s="80">
        <v>561</v>
      </c>
      <c r="EA80" s="80">
        <v>685</v>
      </c>
      <c r="EB80" s="80">
        <v>544</v>
      </c>
      <c r="EC80" s="80">
        <v>2625</v>
      </c>
      <c r="ED80" s="80"/>
      <c r="EE80" s="80" t="s">
        <v>2441</v>
      </c>
      <c r="EF80" s="80">
        <v>46</v>
      </c>
      <c r="EG80" s="80">
        <v>0</v>
      </c>
      <c r="EH80" s="80">
        <v>0</v>
      </c>
      <c r="EI80" s="80">
        <v>0</v>
      </c>
      <c r="EJ80" s="80">
        <v>0</v>
      </c>
      <c r="EK80" s="80">
        <v>46</v>
      </c>
      <c r="EN80" s="57" t="s">
        <v>2383</v>
      </c>
      <c r="EO80" s="57" t="s">
        <v>2437</v>
      </c>
      <c r="EP80" s="57">
        <v>268</v>
      </c>
      <c r="EQ80" s="57">
        <v>526</v>
      </c>
      <c r="ER80" s="57">
        <v>667</v>
      </c>
      <c r="ES80" s="57">
        <v>770</v>
      </c>
      <c r="ET80" s="57">
        <v>822</v>
      </c>
      <c r="EU80" s="57">
        <v>3053</v>
      </c>
      <c r="EV80" s="57"/>
      <c r="EW80" s="57" t="s">
        <v>2437</v>
      </c>
      <c r="EX80" s="57">
        <v>35</v>
      </c>
      <c r="EY80" s="57">
        <v>19</v>
      </c>
      <c r="EZ80" s="57">
        <v>10</v>
      </c>
      <c r="FA80" s="57">
        <v>8</v>
      </c>
      <c r="FB80" s="57">
        <v>11</v>
      </c>
      <c r="FC80" s="57">
        <v>83</v>
      </c>
      <c r="FF80" s="71" t="s">
        <v>2110</v>
      </c>
      <c r="FG80" s="71" t="s">
        <v>2427</v>
      </c>
      <c r="FH80" s="71">
        <v>318</v>
      </c>
      <c r="FI80" s="71">
        <v>506</v>
      </c>
      <c r="FJ80" s="71">
        <v>540</v>
      </c>
      <c r="FK80" s="71">
        <v>573</v>
      </c>
      <c r="FL80" s="71">
        <v>770</v>
      </c>
      <c r="FM80" s="71">
        <v>2707</v>
      </c>
      <c r="FN80" s="71"/>
      <c r="FO80" s="71" t="s">
        <v>2427</v>
      </c>
      <c r="FP80" s="71">
        <v>50</v>
      </c>
      <c r="FQ80" s="71">
        <v>30</v>
      </c>
      <c r="FR80" s="71">
        <v>15</v>
      </c>
      <c r="FS80" s="71">
        <v>13</v>
      </c>
      <c r="FT80" s="71">
        <v>13</v>
      </c>
      <c r="FU80" s="71">
        <v>121</v>
      </c>
    </row>
    <row r="81" spans="2:177">
      <c r="B81" s="65" t="s">
        <v>940</v>
      </c>
      <c r="C81" s="65" t="s">
        <v>2427</v>
      </c>
      <c r="D81" s="65">
        <v>824</v>
      </c>
      <c r="E81" s="65">
        <v>846</v>
      </c>
      <c r="F81" s="65">
        <v>1177</v>
      </c>
      <c r="G81" s="65">
        <v>1396</v>
      </c>
      <c r="H81" s="65">
        <v>958</v>
      </c>
      <c r="I81" s="65">
        <v>5201</v>
      </c>
      <c r="K81" s="65" t="s">
        <v>2427</v>
      </c>
      <c r="L81" s="65">
        <v>41</v>
      </c>
      <c r="M81" s="65">
        <v>2</v>
      </c>
      <c r="N81" s="65">
        <v>2</v>
      </c>
      <c r="O81" s="65">
        <v>0</v>
      </c>
      <c r="P81" s="65">
        <v>1</v>
      </c>
      <c r="Q81" s="65">
        <v>46</v>
      </c>
      <c r="T81" s="66" t="s">
        <v>1119</v>
      </c>
      <c r="U81" s="66" t="s">
        <v>2437</v>
      </c>
      <c r="V81" s="66">
        <v>193</v>
      </c>
      <c r="W81" s="66">
        <v>139</v>
      </c>
      <c r="X81" s="66">
        <v>247</v>
      </c>
      <c r="Y81" s="66">
        <v>408</v>
      </c>
      <c r="Z81" s="66">
        <v>332</v>
      </c>
      <c r="AA81" s="66">
        <v>1319</v>
      </c>
      <c r="AB81" s="66"/>
      <c r="AC81" s="66" t="s">
        <v>2437</v>
      </c>
      <c r="AD81" s="66">
        <v>28</v>
      </c>
      <c r="AE81" s="66">
        <v>1</v>
      </c>
      <c r="AF81" s="66">
        <v>0</v>
      </c>
      <c r="AG81" s="66">
        <v>0</v>
      </c>
      <c r="AH81" s="66">
        <v>0</v>
      </c>
      <c r="AI81" s="66">
        <v>29</v>
      </c>
      <c r="AK81" s="67" t="s">
        <v>2209</v>
      </c>
      <c r="AL81" s="67" t="s">
        <v>2427</v>
      </c>
      <c r="AM81" s="67">
        <v>548</v>
      </c>
      <c r="AN81" s="67">
        <v>441</v>
      </c>
      <c r="AO81" s="67">
        <v>862</v>
      </c>
      <c r="AP81" s="67">
        <v>1256</v>
      </c>
      <c r="AQ81" s="67">
        <v>1059</v>
      </c>
      <c r="AR81" s="67">
        <v>4166</v>
      </c>
      <c r="AS81" s="67"/>
      <c r="AT81" s="67" t="s">
        <v>2427</v>
      </c>
      <c r="AU81" s="67">
        <v>35</v>
      </c>
      <c r="AV81" s="67">
        <v>0</v>
      </c>
      <c r="AW81" s="67">
        <v>0</v>
      </c>
      <c r="AX81" s="67">
        <v>0</v>
      </c>
      <c r="AY81" s="67">
        <v>0</v>
      </c>
      <c r="AZ81" s="67">
        <v>35</v>
      </c>
      <c r="BB81" s="70" t="s">
        <v>1347</v>
      </c>
      <c r="BC81" s="70" t="s">
        <v>2427</v>
      </c>
      <c r="BD81" s="70">
        <v>367</v>
      </c>
      <c r="BE81" s="70">
        <v>439</v>
      </c>
      <c r="BF81" s="70">
        <v>661</v>
      </c>
      <c r="BG81" s="70">
        <v>927</v>
      </c>
      <c r="BH81" s="70">
        <v>913</v>
      </c>
      <c r="BI81" s="70">
        <v>3307</v>
      </c>
      <c r="BJ81" s="70"/>
      <c r="BK81" s="70" t="s">
        <v>2427</v>
      </c>
      <c r="BL81" s="70">
        <v>53</v>
      </c>
      <c r="BM81" s="70">
        <v>1</v>
      </c>
      <c r="BN81" s="70">
        <v>0</v>
      </c>
      <c r="BO81" s="70">
        <v>0</v>
      </c>
      <c r="BP81" s="70">
        <v>0</v>
      </c>
      <c r="BQ81" s="70">
        <v>54</v>
      </c>
      <c r="BS81" s="71" t="s">
        <v>516</v>
      </c>
      <c r="BT81" s="71" t="s">
        <v>2441</v>
      </c>
      <c r="BU81" s="71">
        <v>903</v>
      </c>
      <c r="BV81" s="71">
        <v>761</v>
      </c>
      <c r="BW81" s="71">
        <v>671</v>
      </c>
      <c r="BX81" s="71">
        <v>545</v>
      </c>
      <c r="BY81" s="71">
        <v>347</v>
      </c>
      <c r="BZ81" s="71">
        <v>3227</v>
      </c>
      <c r="CA81" s="71"/>
      <c r="CB81" s="71" t="s">
        <v>2441</v>
      </c>
      <c r="CC81" s="71">
        <v>156</v>
      </c>
      <c r="CD81" s="71">
        <v>3</v>
      </c>
      <c r="CE81" s="71">
        <v>0</v>
      </c>
      <c r="CF81" s="71">
        <v>0</v>
      </c>
      <c r="CG81" s="71">
        <v>0</v>
      </c>
      <c r="CH81" s="71">
        <v>159</v>
      </c>
      <c r="CJ81" s="21"/>
      <c r="CL81" s="57" t="s">
        <v>619</v>
      </c>
      <c r="CM81" s="57" t="s">
        <v>2427</v>
      </c>
      <c r="CN81" s="57">
        <v>250</v>
      </c>
      <c r="CO81" s="57">
        <v>326</v>
      </c>
      <c r="CP81" s="57">
        <v>631</v>
      </c>
      <c r="CQ81" s="57">
        <v>924</v>
      </c>
      <c r="CR81" s="57">
        <v>945</v>
      </c>
      <c r="CS81" s="57">
        <v>3076</v>
      </c>
      <c r="CT81" s="57"/>
      <c r="CU81" s="57" t="s">
        <v>2427</v>
      </c>
      <c r="CV81" s="57">
        <v>22</v>
      </c>
      <c r="CW81" s="57">
        <v>0</v>
      </c>
      <c r="CX81" s="57">
        <v>0</v>
      </c>
      <c r="CY81" s="57">
        <v>0</v>
      </c>
      <c r="CZ81" s="57">
        <v>0</v>
      </c>
      <c r="DA81" s="57">
        <v>22</v>
      </c>
      <c r="DD81" s="78" t="s">
        <v>1778</v>
      </c>
      <c r="DE81" s="78" t="s">
        <v>2513</v>
      </c>
      <c r="DF81" s="78">
        <v>481</v>
      </c>
      <c r="DG81" s="78">
        <v>490</v>
      </c>
      <c r="DH81" s="78">
        <v>628</v>
      </c>
      <c r="DI81" s="78">
        <v>644</v>
      </c>
      <c r="DJ81" s="78">
        <v>518</v>
      </c>
      <c r="DK81" s="78">
        <v>2761</v>
      </c>
      <c r="DL81" s="78"/>
      <c r="DM81" s="78" t="s">
        <v>2513</v>
      </c>
      <c r="DN81" s="78">
        <v>12</v>
      </c>
      <c r="DO81" s="78">
        <v>0</v>
      </c>
      <c r="DP81" s="78">
        <v>0</v>
      </c>
      <c r="DQ81" s="78">
        <v>0</v>
      </c>
      <c r="DR81" s="78">
        <v>0</v>
      </c>
      <c r="DS81" s="78">
        <v>12</v>
      </c>
      <c r="DV81" s="80" t="s">
        <v>1861</v>
      </c>
      <c r="DW81" s="80" t="s">
        <v>2441</v>
      </c>
      <c r="DX81" s="80">
        <v>803</v>
      </c>
      <c r="DY81" s="80">
        <v>351</v>
      </c>
      <c r="DZ81" s="80">
        <v>379</v>
      </c>
      <c r="EA81" s="80">
        <v>415</v>
      </c>
      <c r="EB81" s="80">
        <v>282</v>
      </c>
      <c r="EC81" s="80">
        <v>2230</v>
      </c>
      <c r="ED81" s="80"/>
      <c r="EE81" s="80" t="s">
        <v>2441</v>
      </c>
      <c r="EF81" s="80">
        <v>20</v>
      </c>
      <c r="EG81" s="80">
        <v>0</v>
      </c>
      <c r="EH81" s="80">
        <v>0</v>
      </c>
      <c r="EI81" s="80">
        <v>0</v>
      </c>
      <c r="EJ81" s="80">
        <v>0</v>
      </c>
      <c r="EK81" s="80">
        <v>20</v>
      </c>
      <c r="EN81" s="57" t="s">
        <v>1955</v>
      </c>
      <c r="EO81" s="57" t="s">
        <v>2437</v>
      </c>
      <c r="EP81" s="57">
        <v>135</v>
      </c>
      <c r="EQ81" s="57">
        <v>221</v>
      </c>
      <c r="ER81" s="57">
        <v>299</v>
      </c>
      <c r="ES81" s="57">
        <v>334</v>
      </c>
      <c r="ET81" s="57">
        <v>384</v>
      </c>
      <c r="EU81" s="57">
        <v>1373</v>
      </c>
      <c r="EV81" s="57"/>
      <c r="EW81" s="57" t="s">
        <v>2437</v>
      </c>
      <c r="EX81" s="57">
        <v>36</v>
      </c>
      <c r="EY81" s="57">
        <v>16</v>
      </c>
      <c r="EZ81" s="57">
        <v>9</v>
      </c>
      <c r="FA81" s="57">
        <v>12</v>
      </c>
      <c r="FB81" s="57">
        <v>16</v>
      </c>
      <c r="FC81" s="57">
        <v>89</v>
      </c>
      <c r="FF81" s="71" t="s">
        <v>2112</v>
      </c>
      <c r="FG81" s="71" t="s">
        <v>2427</v>
      </c>
      <c r="FH81" s="71">
        <v>375</v>
      </c>
      <c r="FI81" s="71">
        <v>433</v>
      </c>
      <c r="FJ81" s="71">
        <v>418</v>
      </c>
      <c r="FK81" s="71">
        <v>463</v>
      </c>
      <c r="FL81" s="71">
        <v>544</v>
      </c>
      <c r="FM81" s="71">
        <v>2233</v>
      </c>
      <c r="FN81" s="71"/>
      <c r="FO81" s="71" t="s">
        <v>2427</v>
      </c>
      <c r="FP81" s="71">
        <v>51</v>
      </c>
      <c r="FQ81" s="71">
        <v>20</v>
      </c>
      <c r="FR81" s="71">
        <v>9</v>
      </c>
      <c r="FS81" s="71">
        <v>8</v>
      </c>
      <c r="FT81" s="71">
        <v>5</v>
      </c>
      <c r="FU81" s="71">
        <v>93</v>
      </c>
    </row>
    <row r="82" spans="2:177">
      <c r="B82" s="65" t="s">
        <v>946</v>
      </c>
      <c r="C82" s="65" t="s">
        <v>2427</v>
      </c>
      <c r="D82" s="65">
        <v>358</v>
      </c>
      <c r="E82" s="65">
        <v>431</v>
      </c>
      <c r="F82" s="65">
        <v>609</v>
      </c>
      <c r="G82" s="65">
        <v>727</v>
      </c>
      <c r="H82" s="65">
        <v>643</v>
      </c>
      <c r="I82" s="65">
        <v>2768</v>
      </c>
      <c r="K82" s="65" t="s">
        <v>2427</v>
      </c>
      <c r="L82" s="65">
        <v>55</v>
      </c>
      <c r="M82" s="65">
        <v>10</v>
      </c>
      <c r="N82" s="65">
        <v>1</v>
      </c>
      <c r="O82" s="65">
        <v>1</v>
      </c>
      <c r="P82" s="65">
        <v>0</v>
      </c>
      <c r="Q82" s="65">
        <v>67</v>
      </c>
      <c r="T82" s="66" t="s">
        <v>1125</v>
      </c>
      <c r="U82" s="66" t="s">
        <v>2437</v>
      </c>
      <c r="V82" s="66">
        <v>197</v>
      </c>
      <c r="W82" s="66">
        <v>257</v>
      </c>
      <c r="X82" s="66">
        <v>430</v>
      </c>
      <c r="Y82" s="66">
        <v>531</v>
      </c>
      <c r="Z82" s="66">
        <v>472</v>
      </c>
      <c r="AA82" s="66">
        <v>1887</v>
      </c>
      <c r="AB82" s="66"/>
      <c r="AC82" s="66" t="s">
        <v>2437</v>
      </c>
      <c r="AD82" s="66">
        <v>20</v>
      </c>
      <c r="AE82" s="66">
        <v>1</v>
      </c>
      <c r="AF82" s="66">
        <v>1</v>
      </c>
      <c r="AG82" s="66">
        <v>0</v>
      </c>
      <c r="AH82" s="66">
        <v>0</v>
      </c>
      <c r="AI82" s="66">
        <v>22</v>
      </c>
      <c r="AK82" s="67" t="s">
        <v>2215</v>
      </c>
      <c r="AL82" s="67" t="s">
        <v>2427</v>
      </c>
      <c r="AM82" s="67">
        <v>282</v>
      </c>
      <c r="AN82" s="67">
        <v>414</v>
      </c>
      <c r="AO82" s="67">
        <v>664</v>
      </c>
      <c r="AP82" s="67">
        <v>910</v>
      </c>
      <c r="AQ82" s="67">
        <v>784</v>
      </c>
      <c r="AR82" s="67">
        <v>3054</v>
      </c>
      <c r="AS82" s="67"/>
      <c r="AT82" s="67" t="s">
        <v>2427</v>
      </c>
      <c r="AU82" s="67">
        <v>21</v>
      </c>
      <c r="AV82" s="67">
        <v>2</v>
      </c>
      <c r="AW82" s="67">
        <v>6</v>
      </c>
      <c r="AX82" s="67">
        <v>1</v>
      </c>
      <c r="AY82" s="67">
        <v>0</v>
      </c>
      <c r="AZ82" s="67">
        <v>30</v>
      </c>
      <c r="BB82" s="70" t="s">
        <v>1350</v>
      </c>
      <c r="BC82" s="70" t="s">
        <v>2427</v>
      </c>
      <c r="BD82" s="70">
        <v>128</v>
      </c>
      <c r="BE82" s="70">
        <v>71</v>
      </c>
      <c r="BF82" s="70">
        <v>147</v>
      </c>
      <c r="BG82" s="70">
        <v>192</v>
      </c>
      <c r="BH82" s="70">
        <v>172</v>
      </c>
      <c r="BI82" s="70">
        <v>710</v>
      </c>
      <c r="BJ82" s="70"/>
      <c r="BK82" s="70" t="s">
        <v>2427</v>
      </c>
      <c r="BL82" s="70">
        <v>45</v>
      </c>
      <c r="BM82" s="70">
        <v>0</v>
      </c>
      <c r="BN82" s="70">
        <v>0</v>
      </c>
      <c r="BO82" s="70">
        <v>0</v>
      </c>
      <c r="BP82" s="70">
        <v>0</v>
      </c>
      <c r="BQ82" s="70">
        <v>45</v>
      </c>
      <c r="BS82" s="71" t="s">
        <v>517</v>
      </c>
      <c r="BT82" s="71" t="s">
        <v>2441</v>
      </c>
      <c r="BU82" s="71">
        <v>1048</v>
      </c>
      <c r="BV82" s="71">
        <v>870</v>
      </c>
      <c r="BW82" s="71">
        <v>727</v>
      </c>
      <c r="BX82" s="71">
        <v>589</v>
      </c>
      <c r="BY82" s="71">
        <v>381</v>
      </c>
      <c r="BZ82" s="71">
        <v>3615</v>
      </c>
      <c r="CA82" s="71"/>
      <c r="CB82" s="71" t="s">
        <v>2441</v>
      </c>
      <c r="CC82" s="71">
        <v>260</v>
      </c>
      <c r="CD82" s="71">
        <v>8</v>
      </c>
      <c r="CE82" s="71">
        <v>0</v>
      </c>
      <c r="CF82" s="71">
        <v>0</v>
      </c>
      <c r="CG82" s="71">
        <v>0</v>
      </c>
      <c r="CH82" s="71">
        <v>268</v>
      </c>
      <c r="CJ82" s="21"/>
      <c r="CL82" s="57" t="s">
        <v>621</v>
      </c>
      <c r="CM82" s="57" t="s">
        <v>2427</v>
      </c>
      <c r="CN82" s="57">
        <v>128</v>
      </c>
      <c r="CO82" s="57">
        <v>61</v>
      </c>
      <c r="CP82" s="57">
        <v>82</v>
      </c>
      <c r="CQ82" s="57">
        <v>128</v>
      </c>
      <c r="CR82" s="57">
        <v>122</v>
      </c>
      <c r="CS82" s="57">
        <v>521</v>
      </c>
      <c r="CT82" s="57"/>
      <c r="CU82" s="57" t="s">
        <v>2427</v>
      </c>
      <c r="CV82" s="57">
        <v>54</v>
      </c>
      <c r="CW82" s="57">
        <v>0</v>
      </c>
      <c r="CX82" s="57">
        <v>0</v>
      </c>
      <c r="CY82" s="57">
        <v>0</v>
      </c>
      <c r="CZ82" s="57">
        <v>0</v>
      </c>
      <c r="DA82" s="57">
        <v>54</v>
      </c>
      <c r="DD82" s="78" t="s">
        <v>1783</v>
      </c>
      <c r="DE82" s="78" t="s">
        <v>2513</v>
      </c>
      <c r="DF82" s="78">
        <v>1066</v>
      </c>
      <c r="DG82" s="78">
        <v>981</v>
      </c>
      <c r="DH82" s="78">
        <v>934</v>
      </c>
      <c r="DI82" s="78">
        <v>1077</v>
      </c>
      <c r="DJ82" s="78">
        <v>921</v>
      </c>
      <c r="DK82" s="78">
        <v>4979</v>
      </c>
      <c r="DL82" s="78"/>
      <c r="DM82" s="78" t="s">
        <v>2513</v>
      </c>
      <c r="DN82" s="78">
        <v>181</v>
      </c>
      <c r="DO82" s="78">
        <v>0</v>
      </c>
      <c r="DP82" s="78">
        <v>0</v>
      </c>
      <c r="DQ82" s="78">
        <v>0</v>
      </c>
      <c r="DR82" s="78">
        <v>0</v>
      </c>
      <c r="DS82" s="78">
        <v>181</v>
      </c>
      <c r="DV82" s="80" t="s">
        <v>1865</v>
      </c>
      <c r="DW82" s="80" t="s">
        <v>2441</v>
      </c>
      <c r="DX82" s="80">
        <v>198</v>
      </c>
      <c r="DY82" s="80">
        <v>138</v>
      </c>
      <c r="DZ82" s="80">
        <v>206</v>
      </c>
      <c r="EA82" s="80">
        <v>244</v>
      </c>
      <c r="EB82" s="80">
        <v>200</v>
      </c>
      <c r="EC82" s="80">
        <v>986</v>
      </c>
      <c r="ED82" s="80"/>
      <c r="EE82" s="80" t="s">
        <v>2441</v>
      </c>
      <c r="EF82" s="80">
        <v>13</v>
      </c>
      <c r="EG82" s="80">
        <v>0</v>
      </c>
      <c r="EH82" s="80">
        <v>0</v>
      </c>
      <c r="EI82" s="80">
        <v>0</v>
      </c>
      <c r="EJ82" s="80">
        <v>0</v>
      </c>
      <c r="EK82" s="80">
        <v>13</v>
      </c>
      <c r="EN82" s="57" t="s">
        <v>1959</v>
      </c>
      <c r="EO82" s="57" t="s">
        <v>2437</v>
      </c>
      <c r="EP82" s="57">
        <v>197</v>
      </c>
      <c r="EQ82" s="57">
        <v>303</v>
      </c>
      <c r="ER82" s="57">
        <v>336</v>
      </c>
      <c r="ES82" s="57">
        <v>397</v>
      </c>
      <c r="ET82" s="57">
        <v>525</v>
      </c>
      <c r="EU82" s="57">
        <v>1758</v>
      </c>
      <c r="EV82" s="57"/>
      <c r="EW82" s="57" t="s">
        <v>2437</v>
      </c>
      <c r="EX82" s="57">
        <v>62</v>
      </c>
      <c r="EY82" s="57">
        <v>35</v>
      </c>
      <c r="EZ82" s="57">
        <v>13</v>
      </c>
      <c r="FA82" s="57">
        <v>12</v>
      </c>
      <c r="FB82" s="57">
        <v>18</v>
      </c>
      <c r="FC82" s="57">
        <v>140</v>
      </c>
      <c r="FF82" s="71" t="s">
        <v>2115</v>
      </c>
      <c r="FG82" s="71" t="s">
        <v>2427</v>
      </c>
      <c r="FH82" s="71">
        <v>348</v>
      </c>
      <c r="FI82" s="71">
        <v>474</v>
      </c>
      <c r="FJ82" s="71">
        <v>517</v>
      </c>
      <c r="FK82" s="71">
        <v>566</v>
      </c>
      <c r="FL82" s="71">
        <v>666</v>
      </c>
      <c r="FM82" s="71">
        <v>2571</v>
      </c>
      <c r="FN82" s="71"/>
      <c r="FO82" s="71" t="s">
        <v>2427</v>
      </c>
      <c r="FP82" s="71">
        <v>41</v>
      </c>
      <c r="FQ82" s="71">
        <v>19</v>
      </c>
      <c r="FR82" s="71">
        <v>9</v>
      </c>
      <c r="FS82" s="71">
        <v>6</v>
      </c>
      <c r="FT82" s="71">
        <v>7</v>
      </c>
      <c r="FU82" s="71">
        <v>82</v>
      </c>
    </row>
    <row r="83" spans="2:177">
      <c r="B83" s="65" t="s">
        <v>955</v>
      </c>
      <c r="C83" s="65" t="s">
        <v>2427</v>
      </c>
      <c r="D83" s="65" t="s">
        <v>356</v>
      </c>
      <c r="E83" s="65" t="s">
        <v>356</v>
      </c>
      <c r="F83" s="65" t="s">
        <v>356</v>
      </c>
      <c r="G83" s="65" t="s">
        <v>356</v>
      </c>
      <c r="H83" s="65" t="s">
        <v>356</v>
      </c>
      <c r="I83" s="65" t="s">
        <v>356</v>
      </c>
      <c r="K83" s="65" t="s">
        <v>2427</v>
      </c>
      <c r="L83" s="65" t="s">
        <v>356</v>
      </c>
      <c r="M83" s="65" t="s">
        <v>356</v>
      </c>
      <c r="N83" s="65" t="s">
        <v>356</v>
      </c>
      <c r="O83" s="65" t="s">
        <v>356</v>
      </c>
      <c r="P83" s="65" t="s">
        <v>356</v>
      </c>
      <c r="Q83" s="65" t="s">
        <v>356</v>
      </c>
      <c r="T83" s="66" t="s">
        <v>1130</v>
      </c>
      <c r="U83" s="66" t="s">
        <v>2437</v>
      </c>
      <c r="V83" s="66">
        <v>1075</v>
      </c>
      <c r="W83" s="66">
        <v>1200</v>
      </c>
      <c r="X83" s="66">
        <v>1206</v>
      </c>
      <c r="Y83" s="66">
        <v>1156</v>
      </c>
      <c r="Z83" s="66">
        <v>938</v>
      </c>
      <c r="AA83" s="66">
        <v>5575</v>
      </c>
      <c r="AB83" s="66"/>
      <c r="AC83" s="66" t="s">
        <v>2437</v>
      </c>
      <c r="AD83" s="66">
        <v>184</v>
      </c>
      <c r="AE83" s="66">
        <v>21</v>
      </c>
      <c r="AF83" s="66">
        <v>8</v>
      </c>
      <c r="AG83" s="66">
        <v>3</v>
      </c>
      <c r="AH83" s="66">
        <v>2</v>
      </c>
      <c r="AI83" s="66">
        <v>218</v>
      </c>
      <c r="AK83" s="67" t="s">
        <v>2239</v>
      </c>
      <c r="AL83" s="67" t="s">
        <v>2427</v>
      </c>
      <c r="AM83" s="67">
        <v>700</v>
      </c>
      <c r="AN83" s="67">
        <v>825</v>
      </c>
      <c r="AO83" s="67">
        <v>974</v>
      </c>
      <c r="AP83" s="67">
        <v>917</v>
      </c>
      <c r="AQ83" s="67">
        <v>562</v>
      </c>
      <c r="AR83" s="67">
        <v>3978</v>
      </c>
      <c r="AS83" s="67"/>
      <c r="AT83" s="67" t="s">
        <v>2427</v>
      </c>
      <c r="AU83" s="67">
        <v>28</v>
      </c>
      <c r="AV83" s="67">
        <v>2</v>
      </c>
      <c r="AW83" s="67">
        <v>0</v>
      </c>
      <c r="AX83" s="67">
        <v>0</v>
      </c>
      <c r="AY83" s="67">
        <v>0</v>
      </c>
      <c r="AZ83" s="67">
        <v>30</v>
      </c>
      <c r="BB83" s="70" t="s">
        <v>1356</v>
      </c>
      <c r="BC83" s="70" t="s">
        <v>2427</v>
      </c>
      <c r="BD83" s="70">
        <v>234</v>
      </c>
      <c r="BE83" s="70">
        <v>205</v>
      </c>
      <c r="BF83" s="70">
        <v>340</v>
      </c>
      <c r="BG83" s="70">
        <v>434</v>
      </c>
      <c r="BH83" s="70">
        <v>356</v>
      </c>
      <c r="BI83" s="70">
        <v>1569</v>
      </c>
      <c r="BJ83" s="70"/>
      <c r="BK83" s="70" t="s">
        <v>2427</v>
      </c>
      <c r="BL83" s="70">
        <v>81</v>
      </c>
      <c r="BM83" s="70">
        <v>2</v>
      </c>
      <c r="BN83" s="70">
        <v>0</v>
      </c>
      <c r="BO83" s="70">
        <v>0</v>
      </c>
      <c r="BP83" s="70">
        <v>0</v>
      </c>
      <c r="BQ83" s="70">
        <v>83</v>
      </c>
      <c r="BS83" s="71" t="s">
        <v>368</v>
      </c>
      <c r="BT83" s="71" t="s">
        <v>2441</v>
      </c>
      <c r="BU83" s="71">
        <v>197</v>
      </c>
      <c r="BV83" s="71">
        <v>287</v>
      </c>
      <c r="BW83" s="71">
        <v>318</v>
      </c>
      <c r="BX83" s="71">
        <v>293</v>
      </c>
      <c r="BY83" s="71">
        <v>234</v>
      </c>
      <c r="BZ83" s="71">
        <v>1329</v>
      </c>
      <c r="CA83" s="71"/>
      <c r="CB83" s="71" t="s">
        <v>2441</v>
      </c>
      <c r="CC83" s="71">
        <v>41</v>
      </c>
      <c r="CD83" s="71">
        <v>0</v>
      </c>
      <c r="CE83" s="71">
        <v>0</v>
      </c>
      <c r="CF83" s="71">
        <v>0</v>
      </c>
      <c r="CG83" s="71">
        <v>0</v>
      </c>
      <c r="CH83" s="71">
        <v>41</v>
      </c>
      <c r="CJ83" s="21"/>
      <c r="CL83" s="57" t="s">
        <v>623</v>
      </c>
      <c r="CM83" s="57" t="s">
        <v>2427</v>
      </c>
      <c r="CN83" s="57">
        <v>111</v>
      </c>
      <c r="CO83" s="57">
        <v>130</v>
      </c>
      <c r="CP83" s="57">
        <v>253</v>
      </c>
      <c r="CQ83" s="57">
        <v>426</v>
      </c>
      <c r="CR83" s="57">
        <v>381</v>
      </c>
      <c r="CS83" s="57">
        <v>1301</v>
      </c>
      <c r="CT83" s="57"/>
      <c r="CU83" s="57" t="s">
        <v>2427</v>
      </c>
      <c r="CV83" s="57">
        <v>18</v>
      </c>
      <c r="CW83" s="57">
        <v>0</v>
      </c>
      <c r="CX83" s="57">
        <v>0</v>
      </c>
      <c r="CY83" s="57">
        <v>0</v>
      </c>
      <c r="CZ83" s="57">
        <v>0</v>
      </c>
      <c r="DA83" s="57">
        <v>18</v>
      </c>
      <c r="DD83" s="78" t="s">
        <v>1786</v>
      </c>
      <c r="DE83" s="78" t="s">
        <v>2513</v>
      </c>
      <c r="DF83" s="78">
        <v>225</v>
      </c>
      <c r="DG83" s="78">
        <v>270</v>
      </c>
      <c r="DH83" s="78">
        <v>332</v>
      </c>
      <c r="DI83" s="78">
        <v>413</v>
      </c>
      <c r="DJ83" s="78">
        <v>332</v>
      </c>
      <c r="DK83" s="78">
        <v>1572</v>
      </c>
      <c r="DL83" s="78"/>
      <c r="DM83" s="78" t="s">
        <v>2513</v>
      </c>
      <c r="DN83" s="78">
        <v>46</v>
      </c>
      <c r="DO83" s="78">
        <v>5</v>
      </c>
      <c r="DP83" s="78">
        <v>0</v>
      </c>
      <c r="DQ83" s="78">
        <v>0</v>
      </c>
      <c r="DR83" s="78">
        <v>0</v>
      </c>
      <c r="DS83" s="78">
        <v>51</v>
      </c>
      <c r="DV83" s="80" t="s">
        <v>1869</v>
      </c>
      <c r="DW83" s="80" t="s">
        <v>2441</v>
      </c>
      <c r="DX83" s="80">
        <v>315</v>
      </c>
      <c r="DY83" s="80">
        <v>338</v>
      </c>
      <c r="DZ83" s="80">
        <v>431</v>
      </c>
      <c r="EA83" s="80">
        <v>469</v>
      </c>
      <c r="EB83" s="80">
        <v>427</v>
      </c>
      <c r="EC83" s="80">
        <v>1980</v>
      </c>
      <c r="ED83" s="80"/>
      <c r="EE83" s="80" t="s">
        <v>2441</v>
      </c>
      <c r="EF83" s="80">
        <v>20</v>
      </c>
      <c r="EG83" s="80">
        <v>0</v>
      </c>
      <c r="EH83" s="80">
        <v>0</v>
      </c>
      <c r="EI83" s="80">
        <v>0</v>
      </c>
      <c r="EJ83" s="80">
        <v>0</v>
      </c>
      <c r="EK83" s="80">
        <v>20</v>
      </c>
      <c r="EN83" s="57" t="s">
        <v>1962</v>
      </c>
      <c r="EO83" s="57" t="s">
        <v>2437</v>
      </c>
      <c r="EP83" s="57">
        <v>480</v>
      </c>
      <c r="EQ83" s="57">
        <v>685</v>
      </c>
      <c r="ER83" s="57">
        <v>862</v>
      </c>
      <c r="ES83" s="57">
        <v>885</v>
      </c>
      <c r="ET83" s="57">
        <v>866</v>
      </c>
      <c r="EU83" s="57">
        <v>3778</v>
      </c>
      <c r="EV83" s="57"/>
      <c r="EW83" s="57" t="s">
        <v>2437</v>
      </c>
      <c r="EX83" s="57">
        <v>81</v>
      </c>
      <c r="EY83" s="57">
        <v>42</v>
      </c>
      <c r="EZ83" s="57">
        <v>24</v>
      </c>
      <c r="FA83" s="57">
        <v>31</v>
      </c>
      <c r="FB83" s="57">
        <v>21</v>
      </c>
      <c r="FC83" s="57">
        <v>199</v>
      </c>
      <c r="FF83" s="71" t="s">
        <v>2117</v>
      </c>
      <c r="FG83" s="71" t="s">
        <v>2427</v>
      </c>
      <c r="FH83" s="71">
        <v>139</v>
      </c>
      <c r="FI83" s="71">
        <v>176</v>
      </c>
      <c r="FJ83" s="71">
        <v>246</v>
      </c>
      <c r="FK83" s="71">
        <v>318</v>
      </c>
      <c r="FL83" s="71">
        <v>403</v>
      </c>
      <c r="FM83" s="71">
        <v>1282</v>
      </c>
      <c r="FN83" s="71"/>
      <c r="FO83" s="71" t="s">
        <v>2427</v>
      </c>
      <c r="FP83" s="71">
        <v>19</v>
      </c>
      <c r="FQ83" s="71">
        <v>4</v>
      </c>
      <c r="FR83" s="71">
        <v>2</v>
      </c>
      <c r="FS83" s="71">
        <v>3</v>
      </c>
      <c r="FT83" s="71">
        <v>1</v>
      </c>
      <c r="FU83" s="71">
        <v>29</v>
      </c>
    </row>
    <row r="84" spans="2:177">
      <c r="B84" s="65" t="s">
        <v>959</v>
      </c>
      <c r="C84" s="65" t="s">
        <v>2427</v>
      </c>
      <c r="D84" s="65" t="s">
        <v>356</v>
      </c>
      <c r="E84" s="65" t="s">
        <v>356</v>
      </c>
      <c r="F84" s="65" t="s">
        <v>356</v>
      </c>
      <c r="G84" s="65" t="s">
        <v>356</v>
      </c>
      <c r="H84" s="65" t="s">
        <v>356</v>
      </c>
      <c r="I84" s="65" t="s">
        <v>356</v>
      </c>
      <c r="K84" s="65" t="s">
        <v>2427</v>
      </c>
      <c r="L84" s="65" t="s">
        <v>356</v>
      </c>
      <c r="M84" s="65" t="s">
        <v>356</v>
      </c>
      <c r="N84" s="65" t="s">
        <v>356</v>
      </c>
      <c r="O84" s="65" t="s">
        <v>356</v>
      </c>
      <c r="P84" s="65" t="s">
        <v>356</v>
      </c>
      <c r="Q84" s="65" t="s">
        <v>356</v>
      </c>
      <c r="T84" s="66" t="s">
        <v>1136</v>
      </c>
      <c r="U84" s="66" t="s">
        <v>2437</v>
      </c>
      <c r="V84" s="66">
        <v>1346</v>
      </c>
      <c r="W84" s="66">
        <v>980</v>
      </c>
      <c r="X84" s="66">
        <v>1117</v>
      </c>
      <c r="Y84" s="66">
        <v>1214</v>
      </c>
      <c r="Z84" s="66">
        <v>839</v>
      </c>
      <c r="AA84" s="66">
        <v>5496</v>
      </c>
      <c r="AB84" s="66"/>
      <c r="AC84" s="66" t="s">
        <v>2437</v>
      </c>
      <c r="AD84" s="66">
        <v>104</v>
      </c>
      <c r="AE84" s="66">
        <v>3</v>
      </c>
      <c r="AF84" s="66">
        <v>0</v>
      </c>
      <c r="AG84" s="66">
        <v>1</v>
      </c>
      <c r="AH84" s="66">
        <v>0</v>
      </c>
      <c r="AI84" s="66">
        <v>108</v>
      </c>
      <c r="AK84" s="67" t="s">
        <v>2233</v>
      </c>
      <c r="AL84" s="67" t="s">
        <v>2427</v>
      </c>
      <c r="AM84" s="67">
        <v>322</v>
      </c>
      <c r="AN84" s="67">
        <v>462</v>
      </c>
      <c r="AO84" s="67">
        <v>738</v>
      </c>
      <c r="AP84" s="67">
        <v>886</v>
      </c>
      <c r="AQ84" s="67">
        <v>493</v>
      </c>
      <c r="AR84" s="67">
        <v>2901</v>
      </c>
      <c r="AS84" s="67"/>
      <c r="AT84" s="67" t="s">
        <v>2427</v>
      </c>
      <c r="AU84" s="67">
        <v>37</v>
      </c>
      <c r="AV84" s="67">
        <v>0</v>
      </c>
      <c r="AW84" s="67">
        <v>0</v>
      </c>
      <c r="AX84" s="67">
        <v>0</v>
      </c>
      <c r="AY84" s="67">
        <v>0</v>
      </c>
      <c r="AZ84" s="67">
        <v>37</v>
      </c>
      <c r="BB84" s="70" t="s">
        <v>1359</v>
      </c>
      <c r="BC84" s="70" t="s">
        <v>2427</v>
      </c>
      <c r="BD84" s="70">
        <v>127</v>
      </c>
      <c r="BE84" s="70">
        <v>50</v>
      </c>
      <c r="BF84" s="70">
        <v>117</v>
      </c>
      <c r="BG84" s="70">
        <v>147</v>
      </c>
      <c r="BH84" s="70">
        <v>151</v>
      </c>
      <c r="BI84" s="70">
        <v>592</v>
      </c>
      <c r="BJ84" s="70"/>
      <c r="BK84" s="70" t="s">
        <v>2427</v>
      </c>
      <c r="BL84" s="70">
        <v>32</v>
      </c>
      <c r="BM84" s="70">
        <v>0</v>
      </c>
      <c r="BN84" s="70">
        <v>0</v>
      </c>
      <c r="BO84" s="70">
        <v>0</v>
      </c>
      <c r="BP84" s="70">
        <v>0</v>
      </c>
      <c r="BQ84" s="70">
        <v>32</v>
      </c>
      <c r="BS84" s="71" t="s">
        <v>1585</v>
      </c>
      <c r="BT84" s="71" t="s">
        <v>2441</v>
      </c>
      <c r="BU84" s="71">
        <v>1662</v>
      </c>
      <c r="BV84" s="71">
        <v>866</v>
      </c>
      <c r="BW84" s="71">
        <v>845</v>
      </c>
      <c r="BX84" s="71">
        <v>684</v>
      </c>
      <c r="BY84" s="71">
        <v>560</v>
      </c>
      <c r="BZ84" s="71">
        <v>4617</v>
      </c>
      <c r="CA84" s="71"/>
      <c r="CB84" s="71" t="s">
        <v>2441</v>
      </c>
      <c r="CC84" s="71">
        <v>386</v>
      </c>
      <c r="CD84" s="71">
        <v>4</v>
      </c>
      <c r="CE84" s="71">
        <v>0</v>
      </c>
      <c r="CF84" s="71">
        <v>0</v>
      </c>
      <c r="CG84" s="71">
        <v>0</v>
      </c>
      <c r="CH84" s="71">
        <v>390</v>
      </c>
      <c r="CJ84" s="21"/>
      <c r="CL84" s="57" t="s">
        <v>626</v>
      </c>
      <c r="CM84" s="57" t="s">
        <v>2427</v>
      </c>
      <c r="CN84" s="57">
        <v>48</v>
      </c>
      <c r="CO84" s="57">
        <v>48</v>
      </c>
      <c r="CP84" s="57">
        <v>105</v>
      </c>
      <c r="CQ84" s="57">
        <v>153</v>
      </c>
      <c r="CR84" s="57">
        <v>177</v>
      </c>
      <c r="CS84" s="57">
        <v>531</v>
      </c>
      <c r="CT84" s="57"/>
      <c r="CU84" s="57" t="s">
        <v>2427</v>
      </c>
      <c r="CV84" s="57">
        <v>10</v>
      </c>
      <c r="CW84" s="57">
        <v>0</v>
      </c>
      <c r="CX84" s="57">
        <v>0</v>
      </c>
      <c r="CY84" s="57">
        <v>0</v>
      </c>
      <c r="CZ84" s="57">
        <v>0</v>
      </c>
      <c r="DA84" s="57">
        <v>10</v>
      </c>
      <c r="DD84" s="78" t="s">
        <v>1791</v>
      </c>
      <c r="DE84" s="78" t="s">
        <v>2513</v>
      </c>
      <c r="DF84" s="78">
        <v>221</v>
      </c>
      <c r="DG84" s="78">
        <v>382</v>
      </c>
      <c r="DH84" s="78">
        <v>454</v>
      </c>
      <c r="DI84" s="78">
        <v>613</v>
      </c>
      <c r="DJ84" s="78">
        <v>551</v>
      </c>
      <c r="DK84" s="78">
        <v>2221</v>
      </c>
      <c r="DL84" s="78"/>
      <c r="DM84" s="78" t="s">
        <v>2513</v>
      </c>
      <c r="DN84" s="78">
        <v>23</v>
      </c>
      <c r="DO84" s="78">
        <v>17</v>
      </c>
      <c r="DP84" s="78">
        <v>0</v>
      </c>
      <c r="DQ84" s="78">
        <v>0</v>
      </c>
      <c r="DR84" s="78">
        <v>0</v>
      </c>
      <c r="DS84" s="78">
        <v>40</v>
      </c>
      <c r="DV84" s="80" t="s">
        <v>1873</v>
      </c>
      <c r="DW84" s="80" t="s">
        <v>2441</v>
      </c>
      <c r="DX84" s="80">
        <v>336</v>
      </c>
      <c r="DY84" s="80">
        <v>356</v>
      </c>
      <c r="DZ84" s="80">
        <v>406</v>
      </c>
      <c r="EA84" s="80">
        <v>411</v>
      </c>
      <c r="EB84" s="80">
        <v>326</v>
      </c>
      <c r="EC84" s="80">
        <v>1835</v>
      </c>
      <c r="ED84" s="80"/>
      <c r="EE84" s="80" t="s">
        <v>2441</v>
      </c>
      <c r="EF84" s="80">
        <v>9</v>
      </c>
      <c r="EG84" s="80">
        <v>0</v>
      </c>
      <c r="EH84" s="80">
        <v>0</v>
      </c>
      <c r="EI84" s="80">
        <v>0</v>
      </c>
      <c r="EJ84" s="80">
        <v>0</v>
      </c>
      <c r="EK84" s="80">
        <v>9</v>
      </c>
      <c r="EN84" s="57" t="s">
        <v>1965</v>
      </c>
      <c r="EO84" s="57" t="s">
        <v>2437</v>
      </c>
      <c r="EP84" s="57">
        <v>58</v>
      </c>
      <c r="EQ84" s="57">
        <v>114</v>
      </c>
      <c r="ER84" s="57">
        <v>116</v>
      </c>
      <c r="ES84" s="57">
        <v>157</v>
      </c>
      <c r="ET84" s="57">
        <v>197</v>
      </c>
      <c r="EU84" s="57">
        <v>642</v>
      </c>
      <c r="EV84" s="57"/>
      <c r="EW84" s="57" t="s">
        <v>2437</v>
      </c>
      <c r="EX84" s="57">
        <v>14</v>
      </c>
      <c r="EY84" s="57">
        <v>1</v>
      </c>
      <c r="EZ84" s="57">
        <v>2</v>
      </c>
      <c r="FA84" s="57">
        <v>5</v>
      </c>
      <c r="FB84" s="57">
        <v>1</v>
      </c>
      <c r="FC84" s="57">
        <v>23</v>
      </c>
      <c r="FF84" s="71" t="s">
        <v>2119</v>
      </c>
      <c r="FG84" s="71" t="s">
        <v>2427</v>
      </c>
      <c r="FH84" s="71">
        <v>442</v>
      </c>
      <c r="FI84" s="71">
        <v>372</v>
      </c>
      <c r="FJ84" s="71">
        <v>500</v>
      </c>
      <c r="FK84" s="71">
        <v>547</v>
      </c>
      <c r="FL84" s="71">
        <v>794</v>
      </c>
      <c r="FM84" s="71">
        <v>2655</v>
      </c>
      <c r="FN84" s="71"/>
      <c r="FO84" s="71" t="s">
        <v>2427</v>
      </c>
      <c r="FP84" s="71">
        <v>25</v>
      </c>
      <c r="FQ84" s="71">
        <v>7</v>
      </c>
      <c r="FR84" s="71">
        <v>9</v>
      </c>
      <c r="FS84" s="71">
        <v>11</v>
      </c>
      <c r="FT84" s="71">
        <v>16</v>
      </c>
      <c r="FU84" s="71">
        <v>68</v>
      </c>
    </row>
    <row r="85" spans="2:177">
      <c r="B85" s="65" t="s">
        <v>962</v>
      </c>
      <c r="C85" s="65" t="s">
        <v>2427</v>
      </c>
      <c r="D85" s="65" t="s">
        <v>356</v>
      </c>
      <c r="E85" s="65" t="s">
        <v>356</v>
      </c>
      <c r="F85" s="65" t="s">
        <v>356</v>
      </c>
      <c r="G85" s="65" t="s">
        <v>356</v>
      </c>
      <c r="H85" s="65" t="s">
        <v>356</v>
      </c>
      <c r="I85" s="65" t="s">
        <v>356</v>
      </c>
      <c r="K85" s="65" t="s">
        <v>2427</v>
      </c>
      <c r="L85" s="65" t="s">
        <v>356</v>
      </c>
      <c r="M85" s="65" t="s">
        <v>356</v>
      </c>
      <c r="N85" s="65" t="s">
        <v>356</v>
      </c>
      <c r="O85" s="65" t="s">
        <v>356</v>
      </c>
      <c r="P85" s="65" t="s">
        <v>356</v>
      </c>
      <c r="Q85" s="65" t="s">
        <v>356</v>
      </c>
      <c r="T85" s="66" t="s">
        <v>1141</v>
      </c>
      <c r="U85" s="66" t="s">
        <v>2437</v>
      </c>
      <c r="V85" s="66">
        <v>716</v>
      </c>
      <c r="W85" s="66">
        <v>415</v>
      </c>
      <c r="X85" s="66">
        <v>463</v>
      </c>
      <c r="Y85" s="66">
        <v>500</v>
      </c>
      <c r="Z85" s="66">
        <v>395</v>
      </c>
      <c r="AA85" s="66">
        <v>2489</v>
      </c>
      <c r="AB85" s="66"/>
      <c r="AC85" s="66" t="s">
        <v>2437</v>
      </c>
      <c r="AD85" s="66">
        <v>13</v>
      </c>
      <c r="AE85" s="66">
        <v>0</v>
      </c>
      <c r="AF85" s="66">
        <v>0</v>
      </c>
      <c r="AG85" s="66">
        <v>0</v>
      </c>
      <c r="AH85" s="66">
        <v>0</v>
      </c>
      <c r="AI85" s="66">
        <v>13</v>
      </c>
      <c r="AK85" s="67" t="s">
        <v>2229</v>
      </c>
      <c r="AL85" s="67" t="s">
        <v>2427</v>
      </c>
      <c r="AM85" s="67">
        <v>406</v>
      </c>
      <c r="AN85" s="67">
        <v>508</v>
      </c>
      <c r="AO85" s="67">
        <v>806</v>
      </c>
      <c r="AP85" s="67">
        <v>931</v>
      </c>
      <c r="AQ85" s="67">
        <v>550</v>
      </c>
      <c r="AR85" s="67">
        <v>3201</v>
      </c>
      <c r="AS85" s="67"/>
      <c r="AT85" s="67" t="s">
        <v>2427</v>
      </c>
      <c r="AU85" s="67">
        <v>52</v>
      </c>
      <c r="AV85" s="67">
        <v>4</v>
      </c>
      <c r="AW85" s="67">
        <v>2</v>
      </c>
      <c r="AX85" s="67">
        <v>1</v>
      </c>
      <c r="AY85" s="67">
        <v>2</v>
      </c>
      <c r="AZ85" s="67">
        <v>61</v>
      </c>
      <c r="BB85" s="70" t="s">
        <v>1362</v>
      </c>
      <c r="BC85" s="70" t="s">
        <v>2427</v>
      </c>
      <c r="BD85" s="70">
        <v>62</v>
      </c>
      <c r="BE85" s="70">
        <v>63</v>
      </c>
      <c r="BF85" s="70">
        <v>78</v>
      </c>
      <c r="BG85" s="70">
        <v>151</v>
      </c>
      <c r="BH85" s="70">
        <v>116</v>
      </c>
      <c r="BI85" s="70">
        <v>470</v>
      </c>
      <c r="BJ85" s="70"/>
      <c r="BK85" s="70" t="s">
        <v>2427</v>
      </c>
      <c r="BL85" s="70">
        <v>19</v>
      </c>
      <c r="BM85" s="70">
        <v>0</v>
      </c>
      <c r="BN85" s="70">
        <v>0</v>
      </c>
      <c r="BO85" s="70">
        <v>0</v>
      </c>
      <c r="BP85" s="70">
        <v>0</v>
      </c>
      <c r="BQ85" s="70">
        <v>19</v>
      </c>
      <c r="BR85" s="16" t="s">
        <v>2792</v>
      </c>
      <c r="BS85" s="71" t="s">
        <v>2568</v>
      </c>
      <c r="BT85" s="71" t="s">
        <v>2441</v>
      </c>
      <c r="BU85" s="71">
        <v>36</v>
      </c>
      <c r="BV85" s="71">
        <v>38</v>
      </c>
      <c r="BW85" s="71">
        <v>66</v>
      </c>
      <c r="BX85" s="71">
        <v>114</v>
      </c>
      <c r="BY85" s="71">
        <v>111</v>
      </c>
      <c r="BZ85" s="71">
        <v>365</v>
      </c>
      <c r="CA85" s="71"/>
      <c r="CB85" s="71" t="s">
        <v>2441</v>
      </c>
      <c r="CC85" s="71">
        <v>10</v>
      </c>
      <c r="CD85" s="71">
        <v>0</v>
      </c>
      <c r="CE85" s="71">
        <v>0</v>
      </c>
      <c r="CF85" s="71">
        <v>0</v>
      </c>
      <c r="CG85" s="71">
        <v>0</v>
      </c>
      <c r="CH85" s="71">
        <v>10</v>
      </c>
      <c r="CJ85" s="21"/>
      <c r="CL85" s="57" t="s">
        <v>628</v>
      </c>
      <c r="CM85" s="57" t="s">
        <v>2427</v>
      </c>
      <c r="CN85" s="57">
        <v>71</v>
      </c>
      <c r="CO85" s="57">
        <v>76</v>
      </c>
      <c r="CP85" s="57">
        <v>150</v>
      </c>
      <c r="CQ85" s="57">
        <v>159</v>
      </c>
      <c r="CR85" s="57">
        <v>163</v>
      </c>
      <c r="CS85" s="57">
        <v>619</v>
      </c>
      <c r="CT85" s="57"/>
      <c r="CU85" s="57" t="s">
        <v>2427</v>
      </c>
      <c r="CV85" s="57">
        <v>14</v>
      </c>
      <c r="CW85" s="57">
        <v>0</v>
      </c>
      <c r="CX85" s="57">
        <v>0</v>
      </c>
      <c r="CY85" s="57">
        <v>0</v>
      </c>
      <c r="CZ85" s="57">
        <v>0</v>
      </c>
      <c r="DA85" s="57">
        <v>14</v>
      </c>
      <c r="DD85" s="78" t="s">
        <v>1794</v>
      </c>
      <c r="DE85" s="78" t="s">
        <v>2513</v>
      </c>
      <c r="DF85" s="78">
        <v>196</v>
      </c>
      <c r="DG85" s="78">
        <v>260</v>
      </c>
      <c r="DH85" s="78">
        <v>290</v>
      </c>
      <c r="DI85" s="78">
        <v>374</v>
      </c>
      <c r="DJ85" s="78">
        <v>401</v>
      </c>
      <c r="DK85" s="78">
        <v>1521</v>
      </c>
      <c r="DL85" s="78"/>
      <c r="DM85" s="78" t="s">
        <v>2513</v>
      </c>
      <c r="DN85" s="78">
        <v>15</v>
      </c>
      <c r="DO85" s="78">
        <v>15</v>
      </c>
      <c r="DP85" s="78">
        <v>0</v>
      </c>
      <c r="DQ85" s="78">
        <v>0</v>
      </c>
      <c r="DR85" s="78">
        <v>0</v>
      </c>
      <c r="DS85" s="78">
        <v>30</v>
      </c>
      <c r="DV85" s="80" t="s">
        <v>1883</v>
      </c>
      <c r="DW85" s="80" t="s">
        <v>2441</v>
      </c>
      <c r="DX85" s="80">
        <v>1406</v>
      </c>
      <c r="DY85" s="80">
        <v>919</v>
      </c>
      <c r="DZ85" s="80">
        <v>1197</v>
      </c>
      <c r="EA85" s="80">
        <v>1245</v>
      </c>
      <c r="EB85" s="80">
        <v>923</v>
      </c>
      <c r="EC85" s="80">
        <v>5690</v>
      </c>
      <c r="ED85" s="80"/>
      <c r="EE85" s="80" t="s">
        <v>2441</v>
      </c>
      <c r="EF85" s="80">
        <v>51</v>
      </c>
      <c r="EG85" s="80">
        <v>0</v>
      </c>
      <c r="EH85" s="80">
        <v>0</v>
      </c>
      <c r="EI85" s="80">
        <v>0</v>
      </c>
      <c r="EJ85" s="80">
        <v>0</v>
      </c>
      <c r="EK85" s="80">
        <v>51</v>
      </c>
      <c r="EN85" s="57" t="s">
        <v>1968</v>
      </c>
      <c r="EO85" s="57" t="s">
        <v>2437</v>
      </c>
      <c r="EP85" s="57">
        <v>168</v>
      </c>
      <c r="EQ85" s="57">
        <v>271</v>
      </c>
      <c r="ER85" s="57">
        <v>339</v>
      </c>
      <c r="ES85" s="57">
        <v>389</v>
      </c>
      <c r="ET85" s="57">
        <v>450</v>
      </c>
      <c r="EU85" s="57">
        <v>1617</v>
      </c>
      <c r="EV85" s="57"/>
      <c r="EW85" s="57" t="s">
        <v>2437</v>
      </c>
      <c r="EX85" s="57">
        <v>40</v>
      </c>
      <c r="EY85" s="57">
        <v>19</v>
      </c>
      <c r="EZ85" s="57">
        <v>15</v>
      </c>
      <c r="FA85" s="57">
        <v>9</v>
      </c>
      <c r="FB85" s="57">
        <v>5</v>
      </c>
      <c r="FC85" s="57">
        <v>88</v>
      </c>
      <c r="FF85" s="71" t="s">
        <v>2121</v>
      </c>
      <c r="FG85" s="71" t="s">
        <v>2427</v>
      </c>
      <c r="FH85" s="71">
        <v>199</v>
      </c>
      <c r="FI85" s="71">
        <v>268</v>
      </c>
      <c r="FJ85" s="71">
        <v>382</v>
      </c>
      <c r="FK85" s="71">
        <v>485</v>
      </c>
      <c r="FL85" s="71">
        <v>594</v>
      </c>
      <c r="FM85" s="71">
        <v>1928</v>
      </c>
      <c r="FN85" s="71"/>
      <c r="FO85" s="71" t="s">
        <v>2427</v>
      </c>
      <c r="FP85" s="71">
        <v>33</v>
      </c>
      <c r="FQ85" s="71">
        <v>5</v>
      </c>
      <c r="FR85" s="71">
        <v>9</v>
      </c>
      <c r="FS85" s="71">
        <v>1</v>
      </c>
      <c r="FT85" s="71">
        <v>1</v>
      </c>
      <c r="FU85" s="71">
        <v>49</v>
      </c>
    </row>
    <row r="86" spans="2:177">
      <c r="B86" s="65" t="s">
        <v>974</v>
      </c>
      <c r="C86" s="65" t="s">
        <v>2427</v>
      </c>
      <c r="D86" s="65" t="s">
        <v>356</v>
      </c>
      <c r="E86" s="65" t="s">
        <v>356</v>
      </c>
      <c r="F86" s="65" t="s">
        <v>356</v>
      </c>
      <c r="G86" s="65" t="s">
        <v>356</v>
      </c>
      <c r="H86" s="65" t="s">
        <v>356</v>
      </c>
      <c r="I86" s="65" t="s">
        <v>356</v>
      </c>
      <c r="K86" s="65" t="s">
        <v>2427</v>
      </c>
      <c r="L86" s="65" t="s">
        <v>356</v>
      </c>
      <c r="M86" s="65" t="s">
        <v>356</v>
      </c>
      <c r="N86" s="65" t="s">
        <v>356</v>
      </c>
      <c r="O86" s="65" t="s">
        <v>356</v>
      </c>
      <c r="P86" s="65" t="s">
        <v>356</v>
      </c>
      <c r="Q86" s="65" t="s">
        <v>356</v>
      </c>
      <c r="T86" s="66" t="s">
        <v>2197</v>
      </c>
      <c r="U86" s="66" t="s">
        <v>2437</v>
      </c>
      <c r="V86" s="66">
        <v>139</v>
      </c>
      <c r="W86" s="66">
        <v>207</v>
      </c>
      <c r="X86" s="66">
        <v>327</v>
      </c>
      <c r="Y86" s="66">
        <v>343</v>
      </c>
      <c r="Z86" s="66">
        <v>280</v>
      </c>
      <c r="AA86" s="66">
        <v>1296</v>
      </c>
      <c r="AB86" s="66"/>
      <c r="AC86" s="66" t="s">
        <v>2437</v>
      </c>
      <c r="AD86" s="66">
        <v>11</v>
      </c>
      <c r="AE86" s="66">
        <v>0</v>
      </c>
      <c r="AF86" s="66">
        <v>1</v>
      </c>
      <c r="AG86" s="66">
        <v>0</v>
      </c>
      <c r="AH86" s="66">
        <v>0</v>
      </c>
      <c r="AI86" s="66">
        <v>12</v>
      </c>
      <c r="AK86" s="67" t="s">
        <v>1285</v>
      </c>
      <c r="AL86" s="67" t="s">
        <v>2427</v>
      </c>
      <c r="AM86" s="67">
        <v>413</v>
      </c>
      <c r="AN86" s="67">
        <v>536</v>
      </c>
      <c r="AO86" s="67">
        <v>710</v>
      </c>
      <c r="AP86" s="67">
        <v>890</v>
      </c>
      <c r="AQ86" s="67">
        <v>590</v>
      </c>
      <c r="AR86" s="67">
        <v>3139</v>
      </c>
      <c r="AS86" s="67"/>
      <c r="AT86" s="67" t="s">
        <v>2427</v>
      </c>
      <c r="AU86" s="67">
        <v>46</v>
      </c>
      <c r="AV86" s="67">
        <v>1</v>
      </c>
      <c r="AW86" s="67">
        <v>1</v>
      </c>
      <c r="AX86" s="67">
        <v>1</v>
      </c>
      <c r="AY86" s="67">
        <v>0</v>
      </c>
      <c r="AZ86" s="67">
        <v>49</v>
      </c>
      <c r="BB86" s="70" t="s">
        <v>1367</v>
      </c>
      <c r="BC86" s="70" t="s">
        <v>2427</v>
      </c>
      <c r="BD86" s="70">
        <v>63</v>
      </c>
      <c r="BE86" s="70">
        <v>58</v>
      </c>
      <c r="BF86" s="70">
        <v>118</v>
      </c>
      <c r="BG86" s="70">
        <v>153</v>
      </c>
      <c r="BH86" s="70">
        <v>159</v>
      </c>
      <c r="BI86" s="70">
        <v>551</v>
      </c>
      <c r="BJ86" s="70"/>
      <c r="BK86" s="70" t="s">
        <v>2427</v>
      </c>
      <c r="BL86" s="70">
        <v>12</v>
      </c>
      <c r="BM86" s="70">
        <v>0</v>
      </c>
      <c r="BN86" s="70">
        <v>0</v>
      </c>
      <c r="BO86" s="70">
        <v>0</v>
      </c>
      <c r="BP86" s="70">
        <v>0</v>
      </c>
      <c r="BQ86" s="70">
        <v>12</v>
      </c>
      <c r="BS86" s="71" t="s">
        <v>1599</v>
      </c>
      <c r="BT86" s="71" t="s">
        <v>2441</v>
      </c>
      <c r="BU86" s="71">
        <v>671</v>
      </c>
      <c r="BV86" s="71">
        <v>346</v>
      </c>
      <c r="BW86" s="71">
        <v>378</v>
      </c>
      <c r="BX86" s="71">
        <v>364</v>
      </c>
      <c r="BY86" s="71">
        <v>304</v>
      </c>
      <c r="BZ86" s="71">
        <v>2063</v>
      </c>
      <c r="CA86" s="71"/>
      <c r="CB86" s="71" t="s">
        <v>2441</v>
      </c>
      <c r="CC86" s="71">
        <v>181</v>
      </c>
      <c r="CD86" s="71">
        <v>1</v>
      </c>
      <c r="CE86" s="71">
        <v>0</v>
      </c>
      <c r="CF86" s="71">
        <v>0</v>
      </c>
      <c r="CG86" s="71">
        <v>0</v>
      </c>
      <c r="CH86" s="71">
        <v>182</v>
      </c>
      <c r="CJ86" s="21"/>
      <c r="CL86" s="57" t="s">
        <v>632</v>
      </c>
      <c r="CM86" s="57" t="s">
        <v>2427</v>
      </c>
      <c r="CN86" s="57">
        <v>58</v>
      </c>
      <c r="CO86" s="57">
        <v>70</v>
      </c>
      <c r="CP86" s="57">
        <v>142</v>
      </c>
      <c r="CQ86" s="57">
        <v>190</v>
      </c>
      <c r="CR86" s="57">
        <v>142</v>
      </c>
      <c r="CS86" s="57">
        <v>602</v>
      </c>
      <c r="CT86" s="57"/>
      <c r="CU86" s="57" t="s">
        <v>2427</v>
      </c>
      <c r="CV86" s="57">
        <v>2</v>
      </c>
      <c r="CW86" s="57">
        <v>0</v>
      </c>
      <c r="CX86" s="57">
        <v>0</v>
      </c>
      <c r="CY86" s="57">
        <v>0</v>
      </c>
      <c r="CZ86" s="57">
        <v>0</v>
      </c>
      <c r="DA86" s="57">
        <v>2</v>
      </c>
      <c r="DD86" s="78" t="s">
        <v>1799</v>
      </c>
      <c r="DE86" s="78" t="s">
        <v>2513</v>
      </c>
      <c r="DF86" s="78">
        <v>342</v>
      </c>
      <c r="DG86" s="78">
        <v>392</v>
      </c>
      <c r="DH86" s="78">
        <v>408</v>
      </c>
      <c r="DI86" s="78">
        <v>465</v>
      </c>
      <c r="DJ86" s="78">
        <v>438</v>
      </c>
      <c r="DK86" s="78">
        <v>2045</v>
      </c>
      <c r="DL86" s="78"/>
      <c r="DM86" s="78" t="s">
        <v>2513</v>
      </c>
      <c r="DN86" s="78">
        <v>12</v>
      </c>
      <c r="DO86" s="78">
        <v>13</v>
      </c>
      <c r="DP86" s="78">
        <v>0</v>
      </c>
      <c r="DQ86" s="78">
        <v>0</v>
      </c>
      <c r="DR86" s="78">
        <v>0</v>
      </c>
      <c r="DS86" s="78">
        <v>25</v>
      </c>
      <c r="DV86" s="80" t="s">
        <v>2359</v>
      </c>
      <c r="DW86" s="80" t="s">
        <v>2441</v>
      </c>
      <c r="DX86" s="80">
        <v>308</v>
      </c>
      <c r="DY86" s="80">
        <v>324</v>
      </c>
      <c r="DZ86" s="80">
        <v>393</v>
      </c>
      <c r="EA86" s="80">
        <v>349</v>
      </c>
      <c r="EB86" s="80">
        <v>286</v>
      </c>
      <c r="EC86" s="80">
        <v>1660</v>
      </c>
      <c r="ED86" s="80"/>
      <c r="EE86" s="80" t="s">
        <v>2441</v>
      </c>
      <c r="EF86" s="80">
        <v>10</v>
      </c>
      <c r="EG86" s="80">
        <v>0</v>
      </c>
      <c r="EH86" s="80">
        <v>0</v>
      </c>
      <c r="EI86" s="80">
        <v>0</v>
      </c>
      <c r="EJ86" s="80">
        <v>0</v>
      </c>
      <c r="EK86" s="80">
        <v>10</v>
      </c>
      <c r="EN86" s="57" t="s">
        <v>2389</v>
      </c>
      <c r="EO86" s="57" t="s">
        <v>2437</v>
      </c>
      <c r="EP86" s="57">
        <v>78</v>
      </c>
      <c r="EQ86" s="57">
        <v>168</v>
      </c>
      <c r="ER86" s="57">
        <v>243</v>
      </c>
      <c r="ES86" s="57">
        <v>319</v>
      </c>
      <c r="ET86" s="57">
        <v>347</v>
      </c>
      <c r="EU86" s="57">
        <v>1155</v>
      </c>
      <c r="EV86" s="57"/>
      <c r="EW86" s="57" t="s">
        <v>2437</v>
      </c>
      <c r="EX86" s="57">
        <v>8</v>
      </c>
      <c r="EY86" s="57">
        <v>8</v>
      </c>
      <c r="EZ86" s="57">
        <v>1</v>
      </c>
      <c r="FA86" s="57">
        <v>5</v>
      </c>
      <c r="FB86" s="57">
        <v>4</v>
      </c>
      <c r="FC86" s="57">
        <v>26</v>
      </c>
      <c r="FF86" s="71" t="s">
        <v>2123</v>
      </c>
      <c r="FG86" s="71" t="s">
        <v>2427</v>
      </c>
      <c r="FH86" s="71">
        <v>174</v>
      </c>
      <c r="FI86" s="71">
        <v>286</v>
      </c>
      <c r="FJ86" s="71">
        <v>309</v>
      </c>
      <c r="FK86" s="71">
        <v>383</v>
      </c>
      <c r="FL86" s="71">
        <v>492</v>
      </c>
      <c r="FM86" s="71">
        <v>1644</v>
      </c>
      <c r="FN86" s="71"/>
      <c r="FO86" s="71" t="s">
        <v>2427</v>
      </c>
      <c r="FP86" s="71">
        <v>20</v>
      </c>
      <c r="FQ86" s="71">
        <v>10</v>
      </c>
      <c r="FR86" s="71">
        <v>4</v>
      </c>
      <c r="FS86" s="71">
        <v>1</v>
      </c>
      <c r="FT86" s="71">
        <v>4</v>
      </c>
      <c r="FU86" s="71">
        <v>39</v>
      </c>
    </row>
    <row r="87" spans="2:177">
      <c r="B87" s="65" t="s">
        <v>979</v>
      </c>
      <c r="C87" s="65" t="s">
        <v>2427</v>
      </c>
      <c r="D87" s="65">
        <v>502</v>
      </c>
      <c r="E87" s="65">
        <v>527</v>
      </c>
      <c r="F87" s="65">
        <v>641</v>
      </c>
      <c r="G87" s="65">
        <v>787</v>
      </c>
      <c r="H87" s="65">
        <v>621</v>
      </c>
      <c r="I87" s="65">
        <v>3078</v>
      </c>
      <c r="K87" s="65" t="s">
        <v>2427</v>
      </c>
      <c r="L87" s="65">
        <v>99</v>
      </c>
      <c r="M87" s="65">
        <v>12</v>
      </c>
      <c r="N87" s="65">
        <v>5</v>
      </c>
      <c r="O87" s="65">
        <v>0</v>
      </c>
      <c r="P87" s="65">
        <v>1</v>
      </c>
      <c r="Q87" s="65">
        <v>117</v>
      </c>
      <c r="T87" s="66" t="s">
        <v>2198</v>
      </c>
      <c r="U87" s="66" t="s">
        <v>2437</v>
      </c>
      <c r="V87" s="66">
        <v>122</v>
      </c>
      <c r="W87" s="66">
        <v>210</v>
      </c>
      <c r="X87" s="66">
        <v>279</v>
      </c>
      <c r="Y87" s="66">
        <v>360</v>
      </c>
      <c r="Z87" s="66">
        <v>258</v>
      </c>
      <c r="AA87" s="66">
        <v>1229</v>
      </c>
      <c r="AB87" s="66"/>
      <c r="AC87" s="66" t="s">
        <v>2437</v>
      </c>
      <c r="AD87" s="66">
        <v>13</v>
      </c>
      <c r="AE87" s="66">
        <v>3</v>
      </c>
      <c r="AF87" s="66">
        <v>0</v>
      </c>
      <c r="AG87" s="66">
        <v>0</v>
      </c>
      <c r="AH87" s="66">
        <v>0</v>
      </c>
      <c r="AI87" s="66">
        <v>16</v>
      </c>
      <c r="AK87" s="67" t="s">
        <v>2227</v>
      </c>
      <c r="AL87" s="67" t="s">
        <v>2427</v>
      </c>
      <c r="AM87" s="67">
        <v>224</v>
      </c>
      <c r="AN87" s="67">
        <v>301</v>
      </c>
      <c r="AO87" s="67">
        <v>452</v>
      </c>
      <c r="AP87" s="67">
        <v>632</v>
      </c>
      <c r="AQ87" s="67">
        <v>421</v>
      </c>
      <c r="AR87" s="67">
        <v>2030</v>
      </c>
      <c r="AS87" s="67"/>
      <c r="AT87" s="67" t="s">
        <v>2427</v>
      </c>
      <c r="AU87" s="67">
        <v>32</v>
      </c>
      <c r="AV87" s="67">
        <v>1</v>
      </c>
      <c r="AW87" s="67">
        <v>0</v>
      </c>
      <c r="AX87" s="67">
        <v>0</v>
      </c>
      <c r="AY87" s="67">
        <v>0</v>
      </c>
      <c r="AZ87" s="67">
        <v>33</v>
      </c>
      <c r="BB87" s="70" t="s">
        <v>1372</v>
      </c>
      <c r="BC87" s="70" t="s">
        <v>2427</v>
      </c>
      <c r="BD87" s="70">
        <v>65</v>
      </c>
      <c r="BE87" s="70">
        <v>29</v>
      </c>
      <c r="BF87" s="70">
        <v>83</v>
      </c>
      <c r="BG87" s="70">
        <v>153</v>
      </c>
      <c r="BH87" s="70">
        <v>146</v>
      </c>
      <c r="BI87" s="70">
        <v>476</v>
      </c>
      <c r="BJ87" s="70"/>
      <c r="BK87" s="70" t="s">
        <v>2427</v>
      </c>
      <c r="BL87" s="70">
        <v>16</v>
      </c>
      <c r="BM87" s="70">
        <v>0</v>
      </c>
      <c r="BN87" s="70">
        <v>0</v>
      </c>
      <c r="BO87" s="70">
        <v>0</v>
      </c>
      <c r="BP87" s="70">
        <v>0</v>
      </c>
      <c r="BQ87" s="70">
        <v>16</v>
      </c>
      <c r="BS87" s="71" t="s">
        <v>1601</v>
      </c>
      <c r="BT87" s="71" t="s">
        <v>2441</v>
      </c>
      <c r="BU87" s="71">
        <v>1176</v>
      </c>
      <c r="BV87" s="71">
        <v>479</v>
      </c>
      <c r="BW87" s="71">
        <v>477</v>
      </c>
      <c r="BX87" s="71">
        <v>685</v>
      </c>
      <c r="BY87" s="71">
        <v>546</v>
      </c>
      <c r="BZ87" s="71">
        <v>3363</v>
      </c>
      <c r="CA87" s="71"/>
      <c r="CB87" s="71" t="s">
        <v>2441</v>
      </c>
      <c r="CC87" s="71">
        <v>340</v>
      </c>
      <c r="CD87" s="71">
        <v>0</v>
      </c>
      <c r="CE87" s="71">
        <v>0</v>
      </c>
      <c r="CF87" s="71">
        <v>0</v>
      </c>
      <c r="CG87" s="71">
        <v>0</v>
      </c>
      <c r="CH87" s="71">
        <v>340</v>
      </c>
      <c r="CJ87" s="21"/>
      <c r="CL87" s="57" t="s">
        <v>634</v>
      </c>
      <c r="CM87" s="57" t="s">
        <v>2427</v>
      </c>
      <c r="CN87" s="57">
        <v>33</v>
      </c>
      <c r="CO87" s="57">
        <v>47</v>
      </c>
      <c r="CP87" s="57">
        <v>68</v>
      </c>
      <c r="CQ87" s="57">
        <v>105</v>
      </c>
      <c r="CR87" s="57">
        <v>95</v>
      </c>
      <c r="CS87" s="57">
        <v>348</v>
      </c>
      <c r="CT87" s="57"/>
      <c r="CU87" s="57" t="s">
        <v>2427</v>
      </c>
      <c r="CV87" s="57">
        <v>11</v>
      </c>
      <c r="CW87" s="57">
        <v>0</v>
      </c>
      <c r="CX87" s="57">
        <v>0</v>
      </c>
      <c r="CY87" s="57">
        <v>0</v>
      </c>
      <c r="CZ87" s="57">
        <v>0</v>
      </c>
      <c r="DA87" s="57">
        <v>11</v>
      </c>
      <c r="DD87" s="78" t="s">
        <v>1803</v>
      </c>
      <c r="DE87" s="78" t="s">
        <v>2513</v>
      </c>
      <c r="DF87" s="78">
        <v>124</v>
      </c>
      <c r="DG87" s="78">
        <v>191</v>
      </c>
      <c r="DH87" s="78">
        <v>246</v>
      </c>
      <c r="DI87" s="78">
        <v>273</v>
      </c>
      <c r="DJ87" s="78">
        <v>273</v>
      </c>
      <c r="DK87" s="78">
        <v>1107</v>
      </c>
      <c r="DL87" s="78"/>
      <c r="DM87" s="78" t="s">
        <v>2513</v>
      </c>
      <c r="DN87" s="78">
        <v>18</v>
      </c>
      <c r="DO87" s="78">
        <v>0</v>
      </c>
      <c r="DP87" s="78">
        <v>0</v>
      </c>
      <c r="DQ87" s="78">
        <v>0</v>
      </c>
      <c r="DR87" s="78">
        <v>0</v>
      </c>
      <c r="DS87" s="78">
        <v>18</v>
      </c>
      <c r="DV87" s="80" t="s">
        <v>1890</v>
      </c>
      <c r="DW87" s="80" t="s">
        <v>2441</v>
      </c>
      <c r="DX87" s="80">
        <v>175</v>
      </c>
      <c r="DY87" s="80">
        <v>215</v>
      </c>
      <c r="DZ87" s="80">
        <v>298</v>
      </c>
      <c r="EA87" s="80">
        <v>397</v>
      </c>
      <c r="EB87" s="80">
        <v>279</v>
      </c>
      <c r="EC87" s="80">
        <v>1364</v>
      </c>
      <c r="ED87" s="80"/>
      <c r="EE87" s="80" t="s">
        <v>2441</v>
      </c>
      <c r="EF87" s="80">
        <v>12</v>
      </c>
      <c r="EG87" s="80">
        <v>0</v>
      </c>
      <c r="EH87" s="80">
        <v>0</v>
      </c>
      <c r="EI87" s="80">
        <v>0</v>
      </c>
      <c r="EJ87" s="80">
        <v>0</v>
      </c>
      <c r="EK87" s="80">
        <v>12</v>
      </c>
      <c r="EN87" s="57" t="s">
        <v>1975</v>
      </c>
      <c r="EO87" s="57" t="s">
        <v>2437</v>
      </c>
      <c r="EP87" s="57">
        <v>517</v>
      </c>
      <c r="EQ87" s="57">
        <v>586</v>
      </c>
      <c r="ER87" s="57">
        <v>664</v>
      </c>
      <c r="ES87" s="57">
        <v>774</v>
      </c>
      <c r="ET87" s="57">
        <v>925</v>
      </c>
      <c r="EU87" s="57">
        <v>3466</v>
      </c>
      <c r="EV87" s="57"/>
      <c r="EW87" s="57" t="s">
        <v>2437</v>
      </c>
      <c r="EX87" s="57">
        <v>62</v>
      </c>
      <c r="EY87" s="57">
        <v>26</v>
      </c>
      <c r="EZ87" s="57">
        <v>11</v>
      </c>
      <c r="FA87" s="57">
        <v>11</v>
      </c>
      <c r="FB87" s="57">
        <v>16</v>
      </c>
      <c r="FC87" s="57">
        <v>126</v>
      </c>
      <c r="FF87" s="71" t="s">
        <v>2125</v>
      </c>
      <c r="FG87" s="71" t="s">
        <v>2427</v>
      </c>
      <c r="FH87" s="71">
        <v>117</v>
      </c>
      <c r="FI87" s="71">
        <v>161</v>
      </c>
      <c r="FJ87" s="71">
        <v>262</v>
      </c>
      <c r="FK87" s="71">
        <v>291</v>
      </c>
      <c r="FL87" s="71">
        <v>408</v>
      </c>
      <c r="FM87" s="71">
        <v>1239</v>
      </c>
      <c r="FN87" s="71"/>
      <c r="FO87" s="71" t="s">
        <v>2427</v>
      </c>
      <c r="FP87" s="71">
        <v>24</v>
      </c>
      <c r="FQ87" s="71">
        <v>8</v>
      </c>
      <c r="FR87" s="71">
        <v>3</v>
      </c>
      <c r="FS87" s="71">
        <v>3</v>
      </c>
      <c r="FT87" s="71">
        <v>2</v>
      </c>
      <c r="FU87" s="71">
        <v>40</v>
      </c>
    </row>
    <row r="88" spans="2:177">
      <c r="B88" s="65" t="s">
        <v>985</v>
      </c>
      <c r="C88" s="65" t="s">
        <v>2427</v>
      </c>
      <c r="D88" s="65">
        <v>217</v>
      </c>
      <c r="E88" s="65">
        <v>390</v>
      </c>
      <c r="F88" s="65">
        <v>527</v>
      </c>
      <c r="G88" s="65">
        <v>561</v>
      </c>
      <c r="H88" s="65">
        <v>425</v>
      </c>
      <c r="I88" s="65">
        <v>2120</v>
      </c>
      <c r="K88" s="65" t="s">
        <v>2427</v>
      </c>
      <c r="L88" s="65">
        <v>29</v>
      </c>
      <c r="M88" s="65">
        <v>11</v>
      </c>
      <c r="N88" s="65">
        <v>6</v>
      </c>
      <c r="O88" s="65">
        <v>0</v>
      </c>
      <c r="P88" s="65">
        <v>0</v>
      </c>
      <c r="Q88" s="65">
        <v>46</v>
      </c>
      <c r="T88" s="66" t="s">
        <v>1144</v>
      </c>
      <c r="U88" s="66" t="s">
        <v>2437</v>
      </c>
      <c r="V88" s="66">
        <v>1101</v>
      </c>
      <c r="W88" s="66">
        <v>966</v>
      </c>
      <c r="X88" s="66">
        <v>1374</v>
      </c>
      <c r="Y88" s="66">
        <v>1713</v>
      </c>
      <c r="Z88" s="66">
        <v>1234</v>
      </c>
      <c r="AA88" s="66">
        <v>6388</v>
      </c>
      <c r="AB88" s="66"/>
      <c r="AC88" s="66" t="s">
        <v>2437</v>
      </c>
      <c r="AD88" s="66">
        <v>32</v>
      </c>
      <c r="AE88" s="66">
        <v>1</v>
      </c>
      <c r="AF88" s="66">
        <v>0</v>
      </c>
      <c r="AG88" s="66">
        <v>0</v>
      </c>
      <c r="AH88" s="66">
        <v>0</v>
      </c>
      <c r="AI88" s="66">
        <v>33</v>
      </c>
      <c r="AK88" s="67" t="s">
        <v>2211</v>
      </c>
      <c r="AL88" s="67" t="s">
        <v>2427</v>
      </c>
      <c r="AM88" s="67">
        <v>80</v>
      </c>
      <c r="AN88" s="67">
        <v>176</v>
      </c>
      <c r="AO88" s="67">
        <v>308</v>
      </c>
      <c r="AP88" s="67">
        <v>443</v>
      </c>
      <c r="AQ88" s="67">
        <v>393</v>
      </c>
      <c r="AR88" s="67">
        <v>1400</v>
      </c>
      <c r="AS88" s="67"/>
      <c r="AT88" s="67" t="s">
        <v>2427</v>
      </c>
      <c r="AU88" s="67">
        <v>12</v>
      </c>
      <c r="AV88" s="67">
        <v>6</v>
      </c>
      <c r="AW88" s="67">
        <v>0</v>
      </c>
      <c r="AX88" s="67">
        <v>0</v>
      </c>
      <c r="AY88" s="67">
        <v>0</v>
      </c>
      <c r="AZ88" s="67">
        <v>18</v>
      </c>
      <c r="BB88" s="70" t="s">
        <v>1376</v>
      </c>
      <c r="BC88" s="70" t="s">
        <v>2427</v>
      </c>
      <c r="BD88" s="70">
        <v>501</v>
      </c>
      <c r="BE88" s="70">
        <v>384</v>
      </c>
      <c r="BF88" s="70">
        <v>384</v>
      </c>
      <c r="BG88" s="70">
        <v>415</v>
      </c>
      <c r="BH88" s="70">
        <v>375</v>
      </c>
      <c r="BI88" s="70">
        <v>2059</v>
      </c>
      <c r="BJ88" s="70"/>
      <c r="BK88" s="70" t="s">
        <v>2427</v>
      </c>
      <c r="BL88" s="70">
        <v>27</v>
      </c>
      <c r="BM88" s="70">
        <v>0</v>
      </c>
      <c r="BN88" s="70">
        <v>0</v>
      </c>
      <c r="BO88" s="70">
        <v>0</v>
      </c>
      <c r="BP88" s="70">
        <v>0</v>
      </c>
      <c r="BQ88" s="70">
        <v>27</v>
      </c>
      <c r="BS88" s="71" t="s">
        <v>1606</v>
      </c>
      <c r="BT88" s="71" t="s">
        <v>2441</v>
      </c>
      <c r="BU88" s="71">
        <v>130</v>
      </c>
      <c r="BV88" s="71">
        <v>133</v>
      </c>
      <c r="BW88" s="71">
        <v>285</v>
      </c>
      <c r="BX88" s="71">
        <v>384</v>
      </c>
      <c r="BY88" s="71">
        <v>300</v>
      </c>
      <c r="BZ88" s="71">
        <v>1232</v>
      </c>
      <c r="CA88" s="71"/>
      <c r="CB88" s="71" t="s">
        <v>2441</v>
      </c>
      <c r="CC88" s="71">
        <v>35</v>
      </c>
      <c r="CD88" s="71">
        <v>0</v>
      </c>
      <c r="CE88" s="71">
        <v>0</v>
      </c>
      <c r="CF88" s="71">
        <v>0</v>
      </c>
      <c r="CG88" s="71">
        <v>0</v>
      </c>
      <c r="CH88" s="71">
        <v>35</v>
      </c>
      <c r="CJ88" s="21"/>
      <c r="CL88" s="57" t="s">
        <v>636</v>
      </c>
      <c r="CM88" s="57" t="s">
        <v>2427</v>
      </c>
      <c r="CN88" s="57">
        <v>50</v>
      </c>
      <c r="CO88" s="57">
        <v>62</v>
      </c>
      <c r="CP88" s="57">
        <v>90</v>
      </c>
      <c r="CQ88" s="57">
        <v>139</v>
      </c>
      <c r="CR88" s="57">
        <v>157</v>
      </c>
      <c r="CS88" s="57">
        <v>498</v>
      </c>
      <c r="CT88" s="57"/>
      <c r="CU88" s="57" t="s">
        <v>2427</v>
      </c>
      <c r="CV88" s="57">
        <v>14</v>
      </c>
      <c r="CW88" s="57">
        <v>1</v>
      </c>
      <c r="CX88" s="57">
        <v>0</v>
      </c>
      <c r="CY88" s="57">
        <v>0</v>
      </c>
      <c r="CZ88" s="57">
        <v>0</v>
      </c>
      <c r="DA88" s="57">
        <v>15</v>
      </c>
      <c r="DD88" s="78" t="s">
        <v>1809</v>
      </c>
      <c r="DE88" s="78" t="s">
        <v>2513</v>
      </c>
      <c r="DF88" s="78">
        <v>420</v>
      </c>
      <c r="DG88" s="78">
        <v>598</v>
      </c>
      <c r="DH88" s="78">
        <v>885</v>
      </c>
      <c r="DI88" s="78">
        <v>1105</v>
      </c>
      <c r="DJ88" s="78">
        <v>1012</v>
      </c>
      <c r="DK88" s="78">
        <v>4020</v>
      </c>
      <c r="DL88" s="78"/>
      <c r="DM88" s="78" t="s">
        <v>2513</v>
      </c>
      <c r="DN88" s="78">
        <v>21</v>
      </c>
      <c r="DO88" s="78">
        <v>2</v>
      </c>
      <c r="DP88" s="78">
        <v>2</v>
      </c>
      <c r="DQ88" s="78">
        <v>0</v>
      </c>
      <c r="DR88" s="78">
        <v>0</v>
      </c>
      <c r="DS88" s="78">
        <v>25</v>
      </c>
      <c r="DV88" s="80" t="s">
        <v>1894</v>
      </c>
      <c r="DW88" s="80" t="s">
        <v>2441</v>
      </c>
      <c r="DX88" s="80">
        <v>173</v>
      </c>
      <c r="DY88" s="80">
        <v>246</v>
      </c>
      <c r="DZ88" s="80">
        <v>310</v>
      </c>
      <c r="EA88" s="80">
        <v>456</v>
      </c>
      <c r="EB88" s="80">
        <v>358</v>
      </c>
      <c r="EC88" s="80">
        <v>1543</v>
      </c>
      <c r="ED88" s="80"/>
      <c r="EE88" s="80" t="s">
        <v>2441</v>
      </c>
      <c r="EF88" s="80">
        <v>12</v>
      </c>
      <c r="EG88" s="80">
        <v>0</v>
      </c>
      <c r="EH88" s="80">
        <v>0</v>
      </c>
      <c r="EI88" s="80">
        <v>0</v>
      </c>
      <c r="EJ88" s="80">
        <v>0</v>
      </c>
      <c r="EK88" s="80">
        <v>12</v>
      </c>
      <c r="EN88" s="57" t="s">
        <v>1978</v>
      </c>
      <c r="EO88" s="57" t="s">
        <v>2437</v>
      </c>
      <c r="EP88" s="57">
        <v>240</v>
      </c>
      <c r="EQ88" s="57">
        <v>416</v>
      </c>
      <c r="ER88" s="57">
        <v>514</v>
      </c>
      <c r="ES88" s="57">
        <v>577</v>
      </c>
      <c r="ET88" s="57">
        <v>740</v>
      </c>
      <c r="EU88" s="57">
        <v>2487</v>
      </c>
      <c r="EV88" s="57"/>
      <c r="EW88" s="57" t="s">
        <v>2437</v>
      </c>
      <c r="EX88" s="57">
        <v>58</v>
      </c>
      <c r="EY88" s="57">
        <v>26</v>
      </c>
      <c r="EZ88" s="57">
        <v>10</v>
      </c>
      <c r="FA88" s="57">
        <v>19</v>
      </c>
      <c r="FB88" s="57">
        <v>9</v>
      </c>
      <c r="FC88" s="57">
        <v>122</v>
      </c>
      <c r="FF88" s="71" t="s">
        <v>2127</v>
      </c>
      <c r="FG88" s="71" t="s">
        <v>2427</v>
      </c>
      <c r="FH88" s="71">
        <v>497</v>
      </c>
      <c r="FI88" s="71">
        <v>529</v>
      </c>
      <c r="FJ88" s="71">
        <v>428</v>
      </c>
      <c r="FK88" s="71">
        <v>462</v>
      </c>
      <c r="FL88" s="71">
        <v>530</v>
      </c>
      <c r="FM88" s="71">
        <v>2446</v>
      </c>
      <c r="FN88" s="71"/>
      <c r="FO88" s="71" t="s">
        <v>2427</v>
      </c>
      <c r="FP88" s="71">
        <v>54</v>
      </c>
      <c r="FQ88" s="71">
        <v>22</v>
      </c>
      <c r="FR88" s="71">
        <v>6</v>
      </c>
      <c r="FS88" s="71">
        <v>8</v>
      </c>
      <c r="FT88" s="71">
        <v>0</v>
      </c>
      <c r="FU88" s="71">
        <v>90</v>
      </c>
    </row>
    <row r="89" spans="2:177">
      <c r="B89" s="65" t="s">
        <v>989</v>
      </c>
      <c r="C89" s="65" t="s">
        <v>2427</v>
      </c>
      <c r="D89" s="65">
        <v>540</v>
      </c>
      <c r="E89" s="65">
        <v>614</v>
      </c>
      <c r="F89" s="65">
        <v>637</v>
      </c>
      <c r="G89" s="65">
        <v>611</v>
      </c>
      <c r="H89" s="65">
        <v>400</v>
      </c>
      <c r="I89" s="65">
        <v>2802</v>
      </c>
      <c r="K89" s="65" t="s">
        <v>2427</v>
      </c>
      <c r="L89" s="65">
        <v>80</v>
      </c>
      <c r="M89" s="65">
        <v>8</v>
      </c>
      <c r="N89" s="65">
        <v>2</v>
      </c>
      <c r="O89" s="65">
        <v>0</v>
      </c>
      <c r="P89" s="65">
        <v>1</v>
      </c>
      <c r="Q89" s="65">
        <v>91</v>
      </c>
      <c r="T89" s="66" t="s">
        <v>2199</v>
      </c>
      <c r="U89" s="66" t="s">
        <v>2437</v>
      </c>
      <c r="V89" s="66">
        <v>201</v>
      </c>
      <c r="W89" s="66">
        <v>250</v>
      </c>
      <c r="X89" s="66">
        <v>374</v>
      </c>
      <c r="Y89" s="66">
        <v>451</v>
      </c>
      <c r="Z89" s="66">
        <v>374</v>
      </c>
      <c r="AA89" s="66">
        <v>1650</v>
      </c>
      <c r="AB89" s="66"/>
      <c r="AC89" s="66" t="s">
        <v>2437</v>
      </c>
      <c r="AD89" s="66">
        <v>21</v>
      </c>
      <c r="AE89" s="66">
        <v>3</v>
      </c>
      <c r="AF89" s="66">
        <v>1</v>
      </c>
      <c r="AG89" s="66">
        <v>0</v>
      </c>
      <c r="AH89" s="66">
        <v>0</v>
      </c>
      <c r="AI89" s="66">
        <v>25</v>
      </c>
      <c r="AK89" s="67" t="s">
        <v>2230</v>
      </c>
      <c r="AL89" s="67" t="s">
        <v>2427</v>
      </c>
      <c r="AM89" s="67">
        <v>56</v>
      </c>
      <c r="AN89" s="67">
        <v>102</v>
      </c>
      <c r="AO89" s="67">
        <v>156</v>
      </c>
      <c r="AP89" s="67">
        <v>182</v>
      </c>
      <c r="AQ89" s="67">
        <v>139</v>
      </c>
      <c r="AR89" s="67">
        <v>635</v>
      </c>
      <c r="AS89" s="67"/>
      <c r="AT89" s="67" t="s">
        <v>2427</v>
      </c>
      <c r="AU89" s="67">
        <v>8</v>
      </c>
      <c r="AV89" s="67">
        <v>6</v>
      </c>
      <c r="AW89" s="67">
        <v>1</v>
      </c>
      <c r="AX89" s="67">
        <v>2</v>
      </c>
      <c r="AY89" s="67">
        <v>0</v>
      </c>
      <c r="AZ89" s="67">
        <v>17</v>
      </c>
      <c r="BB89" s="70" t="s">
        <v>1380</v>
      </c>
      <c r="BC89" s="70" t="s">
        <v>2427</v>
      </c>
      <c r="BD89" s="70">
        <v>235</v>
      </c>
      <c r="BE89" s="70">
        <v>198</v>
      </c>
      <c r="BF89" s="70">
        <v>325</v>
      </c>
      <c r="BG89" s="70">
        <v>387</v>
      </c>
      <c r="BH89" s="70">
        <v>311</v>
      </c>
      <c r="BI89" s="70">
        <v>1456</v>
      </c>
      <c r="BJ89" s="70"/>
      <c r="BK89" s="70" t="s">
        <v>2427</v>
      </c>
      <c r="BL89" s="70">
        <v>19</v>
      </c>
      <c r="BM89" s="70">
        <v>0</v>
      </c>
      <c r="BN89" s="70">
        <v>0</v>
      </c>
      <c r="BO89" s="70">
        <v>0</v>
      </c>
      <c r="BP89" s="70">
        <v>0</v>
      </c>
      <c r="BQ89" s="70">
        <v>19</v>
      </c>
      <c r="BS89" s="71" t="s">
        <v>1608</v>
      </c>
      <c r="BT89" s="71" t="s">
        <v>2441</v>
      </c>
      <c r="BU89" s="71">
        <v>185</v>
      </c>
      <c r="BV89" s="71">
        <v>147</v>
      </c>
      <c r="BW89" s="71">
        <v>206</v>
      </c>
      <c r="BX89" s="71">
        <v>300</v>
      </c>
      <c r="BY89" s="71">
        <v>259</v>
      </c>
      <c r="BZ89" s="71">
        <v>1097</v>
      </c>
      <c r="CA89" s="71"/>
      <c r="CB89" s="71" t="s">
        <v>2441</v>
      </c>
      <c r="CC89" s="71">
        <v>45</v>
      </c>
      <c r="CD89" s="71">
        <v>0</v>
      </c>
      <c r="CE89" s="71">
        <v>0</v>
      </c>
      <c r="CF89" s="71">
        <v>0</v>
      </c>
      <c r="CG89" s="71">
        <v>0</v>
      </c>
      <c r="CH89" s="71">
        <v>45</v>
      </c>
      <c r="CJ89" s="21"/>
      <c r="DD89" s="78" t="s">
        <v>1813</v>
      </c>
      <c r="DE89" s="78" t="s">
        <v>2513</v>
      </c>
      <c r="DF89" s="78">
        <v>517</v>
      </c>
      <c r="DG89" s="78">
        <v>680</v>
      </c>
      <c r="DH89" s="78">
        <v>731</v>
      </c>
      <c r="DI89" s="78">
        <v>939</v>
      </c>
      <c r="DJ89" s="78">
        <v>790</v>
      </c>
      <c r="DK89" s="78">
        <v>3657</v>
      </c>
      <c r="DL89" s="78"/>
      <c r="DM89" s="78" t="s">
        <v>2513</v>
      </c>
      <c r="DN89" s="78">
        <v>26</v>
      </c>
      <c r="DO89" s="78">
        <v>2</v>
      </c>
      <c r="DP89" s="78">
        <v>0</v>
      </c>
      <c r="DQ89" s="78">
        <v>0</v>
      </c>
      <c r="DR89" s="78">
        <v>0</v>
      </c>
      <c r="DS89" s="78">
        <v>28</v>
      </c>
      <c r="DV89" s="80" t="s">
        <v>1897</v>
      </c>
      <c r="DW89" s="80" t="s">
        <v>2441</v>
      </c>
      <c r="DX89" s="80">
        <v>2268</v>
      </c>
      <c r="DY89" s="80">
        <v>1000</v>
      </c>
      <c r="DZ89" s="80">
        <v>837</v>
      </c>
      <c r="EA89" s="80">
        <v>847</v>
      </c>
      <c r="EB89" s="80">
        <v>999</v>
      </c>
      <c r="EC89" s="80">
        <v>5951</v>
      </c>
      <c r="ED89" s="80"/>
      <c r="EE89" s="80" t="s">
        <v>2441</v>
      </c>
      <c r="EF89" s="80">
        <v>355</v>
      </c>
      <c r="EG89" s="80">
        <v>29</v>
      </c>
      <c r="EH89" s="80">
        <v>0</v>
      </c>
      <c r="EI89" s="80">
        <v>0</v>
      </c>
      <c r="EJ89" s="80">
        <v>0</v>
      </c>
      <c r="EK89" s="80">
        <v>384</v>
      </c>
      <c r="EN89" s="57" t="s">
        <v>1981</v>
      </c>
      <c r="EO89" s="57" t="s">
        <v>2437</v>
      </c>
      <c r="EP89" s="57">
        <v>131</v>
      </c>
      <c r="EQ89" s="57">
        <v>260</v>
      </c>
      <c r="ER89" s="57">
        <v>293</v>
      </c>
      <c r="ES89" s="57">
        <v>387</v>
      </c>
      <c r="ET89" s="57">
        <v>421</v>
      </c>
      <c r="EU89" s="57">
        <v>1492</v>
      </c>
      <c r="EV89" s="57"/>
      <c r="EW89" s="57" t="s">
        <v>2437</v>
      </c>
      <c r="EX89" s="57">
        <v>8</v>
      </c>
      <c r="EY89" s="57">
        <v>2</v>
      </c>
      <c r="EZ89" s="57">
        <v>3</v>
      </c>
      <c r="FA89" s="57">
        <v>0</v>
      </c>
      <c r="FB89" s="57">
        <v>0</v>
      </c>
      <c r="FC89" s="57">
        <v>13</v>
      </c>
      <c r="FF89" s="71" t="s">
        <v>2416</v>
      </c>
      <c r="FG89" s="71" t="s">
        <v>2427</v>
      </c>
      <c r="FH89" s="71">
        <v>238</v>
      </c>
      <c r="FI89" s="71">
        <v>359</v>
      </c>
      <c r="FJ89" s="71">
        <v>455</v>
      </c>
      <c r="FK89" s="71">
        <v>554</v>
      </c>
      <c r="FL89" s="71">
        <v>713</v>
      </c>
      <c r="FM89" s="71">
        <v>2319</v>
      </c>
      <c r="FN89" s="71"/>
      <c r="FO89" s="71" t="s">
        <v>2427</v>
      </c>
      <c r="FP89" s="71">
        <v>24</v>
      </c>
      <c r="FQ89" s="71">
        <v>4</v>
      </c>
      <c r="FR89" s="71">
        <v>4</v>
      </c>
      <c r="FS89" s="71">
        <v>3</v>
      </c>
      <c r="FT89" s="71">
        <v>4</v>
      </c>
      <c r="FU89" s="71">
        <v>39</v>
      </c>
    </row>
    <row r="90" spans="2:177">
      <c r="B90" s="65" t="s">
        <v>994</v>
      </c>
      <c r="C90" s="65" t="s">
        <v>2427</v>
      </c>
      <c r="D90" s="65">
        <v>687</v>
      </c>
      <c r="E90" s="65">
        <v>585</v>
      </c>
      <c r="F90" s="65">
        <v>711</v>
      </c>
      <c r="G90" s="65">
        <v>740</v>
      </c>
      <c r="H90" s="65">
        <v>484</v>
      </c>
      <c r="I90" s="65">
        <v>3207</v>
      </c>
      <c r="K90" s="65" t="s">
        <v>2427</v>
      </c>
      <c r="L90" s="65">
        <v>123</v>
      </c>
      <c r="M90" s="65">
        <v>8</v>
      </c>
      <c r="N90" s="65">
        <v>5</v>
      </c>
      <c r="O90" s="65">
        <v>4</v>
      </c>
      <c r="P90" s="65">
        <v>1</v>
      </c>
      <c r="Q90" s="65">
        <v>141</v>
      </c>
      <c r="T90" s="66" t="s">
        <v>2434</v>
      </c>
      <c r="U90" s="66" t="s">
        <v>2437</v>
      </c>
      <c r="V90" s="66">
        <v>192</v>
      </c>
      <c r="W90" s="66">
        <v>371</v>
      </c>
      <c r="X90" s="66">
        <v>621</v>
      </c>
      <c r="Y90" s="66">
        <v>713</v>
      </c>
      <c r="Z90" s="66">
        <v>479</v>
      </c>
      <c r="AA90" s="66">
        <v>2376</v>
      </c>
      <c r="AB90" s="66"/>
      <c r="AC90" s="66" t="s">
        <v>2437</v>
      </c>
      <c r="AD90" s="66">
        <v>9</v>
      </c>
      <c r="AE90" s="66">
        <v>1</v>
      </c>
      <c r="AF90" s="66">
        <v>1</v>
      </c>
      <c r="AG90" s="66">
        <v>0</v>
      </c>
      <c r="AH90" s="66">
        <v>0</v>
      </c>
      <c r="AI90" s="66">
        <v>11</v>
      </c>
      <c r="AK90" s="67" t="s">
        <v>2225</v>
      </c>
      <c r="AL90" s="67" t="s">
        <v>2427</v>
      </c>
      <c r="AM90" s="67">
        <v>121</v>
      </c>
      <c r="AN90" s="67">
        <v>146</v>
      </c>
      <c r="AO90" s="67">
        <v>232</v>
      </c>
      <c r="AP90" s="67">
        <v>340</v>
      </c>
      <c r="AQ90" s="67">
        <v>292</v>
      </c>
      <c r="AR90" s="67">
        <v>1131</v>
      </c>
      <c r="AS90" s="67"/>
      <c r="AT90" s="67" t="s">
        <v>2427</v>
      </c>
      <c r="AU90" s="67">
        <v>50</v>
      </c>
      <c r="AV90" s="67">
        <v>0</v>
      </c>
      <c r="AW90" s="67">
        <v>2</v>
      </c>
      <c r="AX90" s="67">
        <v>0</v>
      </c>
      <c r="AY90" s="67">
        <v>2</v>
      </c>
      <c r="AZ90" s="67">
        <v>54</v>
      </c>
      <c r="BB90" s="70" t="s">
        <v>1385</v>
      </c>
      <c r="BC90" s="70" t="s">
        <v>2427</v>
      </c>
      <c r="BD90" s="70">
        <v>118</v>
      </c>
      <c r="BE90" s="70">
        <v>157</v>
      </c>
      <c r="BF90" s="70">
        <v>280</v>
      </c>
      <c r="BG90" s="70">
        <v>322</v>
      </c>
      <c r="BH90" s="70">
        <v>270</v>
      </c>
      <c r="BI90" s="70">
        <v>1147</v>
      </c>
      <c r="BJ90" s="70"/>
      <c r="BK90" s="70" t="s">
        <v>2427</v>
      </c>
      <c r="BL90" s="70">
        <v>11</v>
      </c>
      <c r="BM90" s="70">
        <v>0</v>
      </c>
      <c r="BN90" s="70">
        <v>0</v>
      </c>
      <c r="BO90" s="70">
        <v>0</v>
      </c>
      <c r="BP90" s="70">
        <v>0</v>
      </c>
      <c r="BQ90" s="70">
        <v>11</v>
      </c>
      <c r="BS90" s="71" t="s">
        <v>1613</v>
      </c>
      <c r="BT90" s="71" t="s">
        <v>2441</v>
      </c>
      <c r="BU90" s="71">
        <v>119</v>
      </c>
      <c r="BV90" s="71">
        <v>48</v>
      </c>
      <c r="BW90" s="71">
        <v>91</v>
      </c>
      <c r="BX90" s="71">
        <v>171</v>
      </c>
      <c r="BY90" s="71">
        <v>211</v>
      </c>
      <c r="BZ90" s="71">
        <v>640</v>
      </c>
      <c r="CA90" s="71"/>
      <c r="CB90" s="71" t="s">
        <v>2441</v>
      </c>
      <c r="CC90" s="71">
        <v>20</v>
      </c>
      <c r="CD90" s="71">
        <v>0</v>
      </c>
      <c r="CE90" s="71">
        <v>0</v>
      </c>
      <c r="CF90" s="71">
        <v>0</v>
      </c>
      <c r="CG90" s="71">
        <v>0</v>
      </c>
      <c r="CH90" s="71">
        <v>20</v>
      </c>
      <c r="CJ90" s="21"/>
      <c r="CL90" s="57" t="s">
        <v>530</v>
      </c>
      <c r="CM90" s="57" t="s">
        <v>2437</v>
      </c>
      <c r="CN90" s="57">
        <v>110</v>
      </c>
      <c r="CO90" s="57">
        <v>66</v>
      </c>
      <c r="CP90" s="57">
        <v>116</v>
      </c>
      <c r="CQ90" s="57">
        <v>187</v>
      </c>
      <c r="CR90" s="57">
        <v>195</v>
      </c>
      <c r="CS90" s="57">
        <v>674</v>
      </c>
      <c r="CT90" s="57"/>
      <c r="CU90" s="57" t="s">
        <v>2437</v>
      </c>
      <c r="CV90" s="57">
        <v>41</v>
      </c>
      <c r="CW90" s="57">
        <v>0</v>
      </c>
      <c r="CX90" s="57">
        <v>0</v>
      </c>
      <c r="CY90" s="57">
        <v>0</v>
      </c>
      <c r="CZ90" s="57">
        <v>0</v>
      </c>
      <c r="DA90" s="57">
        <v>41</v>
      </c>
      <c r="DD90" s="78" t="s">
        <v>1816</v>
      </c>
      <c r="DE90" s="78" t="s">
        <v>2513</v>
      </c>
      <c r="DF90" s="78">
        <v>111</v>
      </c>
      <c r="DG90" s="78">
        <v>244</v>
      </c>
      <c r="DH90" s="78">
        <v>391</v>
      </c>
      <c r="DI90" s="78">
        <v>527</v>
      </c>
      <c r="DJ90" s="78">
        <v>457</v>
      </c>
      <c r="DK90" s="78">
        <v>1730</v>
      </c>
      <c r="DL90" s="78"/>
      <c r="DM90" s="78" t="s">
        <v>2513</v>
      </c>
      <c r="DN90" s="78">
        <v>0</v>
      </c>
      <c r="DO90" s="78">
        <v>6</v>
      </c>
      <c r="DP90" s="78">
        <v>5</v>
      </c>
      <c r="DQ90" s="78">
        <v>3</v>
      </c>
      <c r="DR90" s="78">
        <v>4</v>
      </c>
      <c r="DS90" s="78">
        <v>18</v>
      </c>
      <c r="DV90" s="80" t="s">
        <v>1900</v>
      </c>
      <c r="DW90" s="80" t="s">
        <v>2441</v>
      </c>
      <c r="DX90" s="80">
        <v>197</v>
      </c>
      <c r="DY90" s="80">
        <v>220</v>
      </c>
      <c r="DZ90" s="80">
        <v>339</v>
      </c>
      <c r="EA90" s="80">
        <v>371</v>
      </c>
      <c r="EB90" s="80">
        <v>248</v>
      </c>
      <c r="EC90" s="80">
        <v>1375</v>
      </c>
      <c r="ED90" s="80"/>
      <c r="EE90" s="80" t="s">
        <v>2441</v>
      </c>
      <c r="EF90" s="80">
        <v>19</v>
      </c>
      <c r="EG90" s="80">
        <v>2</v>
      </c>
      <c r="EH90" s="80">
        <v>0</v>
      </c>
      <c r="EI90" s="80">
        <v>0</v>
      </c>
      <c r="EJ90" s="80">
        <v>0</v>
      </c>
      <c r="EK90" s="80">
        <v>21</v>
      </c>
      <c r="EN90" s="57" t="s">
        <v>2391</v>
      </c>
      <c r="EO90" s="57" t="s">
        <v>2437</v>
      </c>
      <c r="EP90" s="57">
        <v>20</v>
      </c>
      <c r="EQ90" s="57">
        <v>52</v>
      </c>
      <c r="ER90" s="57">
        <v>82</v>
      </c>
      <c r="ES90" s="57">
        <v>139</v>
      </c>
      <c r="ET90" s="57">
        <v>162</v>
      </c>
      <c r="EU90" s="57">
        <v>455</v>
      </c>
      <c r="EV90" s="57"/>
      <c r="EW90" s="57" t="s">
        <v>2437</v>
      </c>
      <c r="EX90" s="57">
        <v>1</v>
      </c>
      <c r="EY90" s="57">
        <v>5</v>
      </c>
      <c r="EZ90" s="57">
        <v>0</v>
      </c>
      <c r="FA90" s="57">
        <v>1</v>
      </c>
      <c r="FB90" s="57">
        <v>0</v>
      </c>
      <c r="FC90" s="57">
        <v>7</v>
      </c>
      <c r="FF90" s="71" t="s">
        <v>2417</v>
      </c>
      <c r="FG90" s="71" t="s">
        <v>2427</v>
      </c>
      <c r="FH90" s="71">
        <v>226</v>
      </c>
      <c r="FI90" s="71">
        <v>307</v>
      </c>
      <c r="FJ90" s="71">
        <v>399</v>
      </c>
      <c r="FK90" s="71">
        <v>457</v>
      </c>
      <c r="FL90" s="71">
        <v>628</v>
      </c>
      <c r="FM90" s="71">
        <v>2017</v>
      </c>
      <c r="FN90" s="71"/>
      <c r="FO90" s="71" t="s">
        <v>2427</v>
      </c>
      <c r="FP90" s="71">
        <v>22</v>
      </c>
      <c r="FQ90" s="71">
        <v>7</v>
      </c>
      <c r="FR90" s="71">
        <v>1</v>
      </c>
      <c r="FS90" s="71">
        <v>2</v>
      </c>
      <c r="FT90" s="71">
        <v>7</v>
      </c>
      <c r="FU90" s="71">
        <v>39</v>
      </c>
    </row>
    <row r="91" spans="2:177">
      <c r="B91" s="65" t="s">
        <v>1002</v>
      </c>
      <c r="C91" s="65" t="s">
        <v>2427</v>
      </c>
      <c r="D91" s="65">
        <v>182</v>
      </c>
      <c r="E91" s="65">
        <v>274</v>
      </c>
      <c r="F91" s="65">
        <v>339</v>
      </c>
      <c r="G91" s="65">
        <v>424</v>
      </c>
      <c r="H91" s="65">
        <v>327</v>
      </c>
      <c r="I91" s="65">
        <v>1546</v>
      </c>
      <c r="K91" s="65" t="s">
        <v>2427</v>
      </c>
      <c r="L91" s="65">
        <v>26</v>
      </c>
      <c r="M91" s="65">
        <v>4</v>
      </c>
      <c r="N91" s="65">
        <v>3</v>
      </c>
      <c r="O91" s="65">
        <v>2</v>
      </c>
      <c r="P91" s="65">
        <v>0</v>
      </c>
      <c r="Q91" s="65">
        <v>35</v>
      </c>
      <c r="T91" s="66" t="s">
        <v>2200</v>
      </c>
      <c r="U91" s="66" t="s">
        <v>2437</v>
      </c>
      <c r="V91" s="66">
        <v>203</v>
      </c>
      <c r="W91" s="66">
        <v>379</v>
      </c>
      <c r="X91" s="66">
        <v>557</v>
      </c>
      <c r="Y91" s="66">
        <v>669</v>
      </c>
      <c r="Z91" s="66">
        <v>454</v>
      </c>
      <c r="AA91" s="66">
        <v>2262</v>
      </c>
      <c r="AB91" s="66"/>
      <c r="AC91" s="66" t="s">
        <v>2437</v>
      </c>
      <c r="AD91" s="66">
        <v>9</v>
      </c>
      <c r="AE91" s="66">
        <v>1</v>
      </c>
      <c r="AF91" s="66">
        <v>0</v>
      </c>
      <c r="AG91" s="66">
        <v>0</v>
      </c>
      <c r="AH91" s="66">
        <v>0</v>
      </c>
      <c r="AI91" s="66">
        <v>10</v>
      </c>
      <c r="AK91" s="67" t="s">
        <v>2226</v>
      </c>
      <c r="AL91" s="67" t="s">
        <v>2427</v>
      </c>
      <c r="AM91" s="67">
        <v>188</v>
      </c>
      <c r="AN91" s="67">
        <v>314</v>
      </c>
      <c r="AO91" s="67">
        <v>511</v>
      </c>
      <c r="AP91" s="67">
        <v>698</v>
      </c>
      <c r="AQ91" s="67">
        <v>503</v>
      </c>
      <c r="AR91" s="67">
        <v>2214</v>
      </c>
      <c r="AS91" s="67"/>
      <c r="AT91" s="67" t="s">
        <v>2427</v>
      </c>
      <c r="AU91" s="67">
        <v>19</v>
      </c>
      <c r="AV91" s="67">
        <v>1</v>
      </c>
      <c r="AW91" s="67">
        <v>0</v>
      </c>
      <c r="AX91" s="67">
        <v>0</v>
      </c>
      <c r="AY91" s="67">
        <v>0</v>
      </c>
      <c r="AZ91" s="67">
        <v>20</v>
      </c>
      <c r="BB91" s="70" t="s">
        <v>362</v>
      </c>
      <c r="BC91" s="70" t="s">
        <v>2427</v>
      </c>
      <c r="BD91" s="70">
        <v>170</v>
      </c>
      <c r="BE91" s="70">
        <v>172</v>
      </c>
      <c r="BF91" s="70">
        <v>254</v>
      </c>
      <c r="BG91" s="70">
        <v>279</v>
      </c>
      <c r="BH91" s="70">
        <v>267</v>
      </c>
      <c r="BI91" s="70">
        <v>1142</v>
      </c>
      <c r="BJ91" s="70"/>
      <c r="BK91" s="70" t="s">
        <v>2427</v>
      </c>
      <c r="BL91" s="70">
        <v>18</v>
      </c>
      <c r="BM91" s="70">
        <v>0</v>
      </c>
      <c r="BN91" s="70">
        <v>0</v>
      </c>
      <c r="BO91" s="70">
        <v>0</v>
      </c>
      <c r="BP91" s="70">
        <v>0</v>
      </c>
      <c r="BQ91" s="70">
        <v>18</v>
      </c>
      <c r="BS91" s="71" t="s">
        <v>1617</v>
      </c>
      <c r="BT91" s="71" t="s">
        <v>2441</v>
      </c>
      <c r="BU91" s="71">
        <v>129</v>
      </c>
      <c r="BV91" s="71">
        <v>103</v>
      </c>
      <c r="BW91" s="71">
        <v>189</v>
      </c>
      <c r="BX91" s="71">
        <v>217</v>
      </c>
      <c r="BY91" s="71">
        <v>209</v>
      </c>
      <c r="BZ91" s="71">
        <v>847</v>
      </c>
      <c r="CA91" s="71"/>
      <c r="CB91" s="71" t="s">
        <v>2441</v>
      </c>
      <c r="CC91" s="71">
        <v>40</v>
      </c>
      <c r="CD91" s="71">
        <v>0</v>
      </c>
      <c r="CE91" s="71">
        <v>0</v>
      </c>
      <c r="CF91" s="71">
        <v>0</v>
      </c>
      <c r="CG91" s="71">
        <v>0</v>
      </c>
      <c r="CH91" s="71">
        <v>40</v>
      </c>
      <c r="CJ91" s="21"/>
      <c r="CL91" s="57" t="s">
        <v>532</v>
      </c>
      <c r="CM91" s="57" t="s">
        <v>2437</v>
      </c>
      <c r="CN91" s="57">
        <v>86</v>
      </c>
      <c r="CO91" s="57">
        <v>58</v>
      </c>
      <c r="CP91" s="57">
        <v>137</v>
      </c>
      <c r="CQ91" s="57">
        <v>211</v>
      </c>
      <c r="CR91" s="57">
        <v>209</v>
      </c>
      <c r="CS91" s="57">
        <v>701</v>
      </c>
      <c r="CT91" s="57"/>
      <c r="CU91" s="57" t="s">
        <v>2437</v>
      </c>
      <c r="CV91" s="57">
        <v>47</v>
      </c>
      <c r="CW91" s="57">
        <v>0</v>
      </c>
      <c r="CX91" s="57">
        <v>0</v>
      </c>
      <c r="CY91" s="57">
        <v>0</v>
      </c>
      <c r="CZ91" s="57">
        <v>0</v>
      </c>
      <c r="DA91" s="57">
        <v>47</v>
      </c>
      <c r="DD91" s="78" t="s">
        <v>1820</v>
      </c>
      <c r="DE91" s="78" t="s">
        <v>2513</v>
      </c>
      <c r="DF91" s="78">
        <v>162</v>
      </c>
      <c r="DG91" s="78">
        <v>322</v>
      </c>
      <c r="DH91" s="78">
        <v>387</v>
      </c>
      <c r="DI91" s="78">
        <v>426</v>
      </c>
      <c r="DJ91" s="78">
        <v>367</v>
      </c>
      <c r="DK91" s="78">
        <v>1664</v>
      </c>
      <c r="DL91" s="78"/>
      <c r="DM91" s="78" t="s">
        <v>2513</v>
      </c>
      <c r="DN91" s="78">
        <v>24</v>
      </c>
      <c r="DO91" s="78">
        <v>4</v>
      </c>
      <c r="DP91" s="78">
        <v>0</v>
      </c>
      <c r="DQ91" s="78">
        <v>0</v>
      </c>
      <c r="DR91" s="78">
        <v>0</v>
      </c>
      <c r="DS91" s="78">
        <v>28</v>
      </c>
      <c r="DV91" s="80" t="s">
        <v>1904</v>
      </c>
      <c r="DW91" s="80" t="s">
        <v>2441</v>
      </c>
      <c r="DX91" s="80">
        <v>101</v>
      </c>
      <c r="DY91" s="80">
        <v>124</v>
      </c>
      <c r="DZ91" s="80">
        <v>217</v>
      </c>
      <c r="EA91" s="80">
        <v>232</v>
      </c>
      <c r="EB91" s="80">
        <v>212</v>
      </c>
      <c r="EC91" s="80">
        <v>886</v>
      </c>
      <c r="ED91" s="80"/>
      <c r="EE91" s="80" t="s">
        <v>2441</v>
      </c>
      <c r="EF91" s="80">
        <v>10</v>
      </c>
      <c r="EG91" s="80">
        <v>1</v>
      </c>
      <c r="EH91" s="80">
        <v>0</v>
      </c>
      <c r="EI91" s="80">
        <v>0</v>
      </c>
      <c r="EJ91" s="80">
        <v>0</v>
      </c>
      <c r="EK91" s="80">
        <v>11</v>
      </c>
      <c r="EN91" s="57" t="s">
        <v>2392</v>
      </c>
      <c r="EO91" s="57" t="s">
        <v>2437</v>
      </c>
      <c r="EP91" s="57">
        <v>54</v>
      </c>
      <c r="EQ91" s="57">
        <v>118</v>
      </c>
      <c r="ER91" s="57">
        <v>178</v>
      </c>
      <c r="ES91" s="57">
        <v>255</v>
      </c>
      <c r="ET91" s="57">
        <v>313</v>
      </c>
      <c r="EU91" s="57">
        <v>918</v>
      </c>
      <c r="EV91" s="57"/>
      <c r="EW91" s="57" t="s">
        <v>2437</v>
      </c>
      <c r="EX91" s="57">
        <v>4</v>
      </c>
      <c r="EY91" s="57">
        <v>4</v>
      </c>
      <c r="EZ91" s="57">
        <v>2</v>
      </c>
      <c r="FA91" s="57">
        <v>3</v>
      </c>
      <c r="FB91" s="57">
        <v>1</v>
      </c>
      <c r="FC91" s="57">
        <v>14</v>
      </c>
      <c r="FF91" s="71" t="s">
        <v>2129</v>
      </c>
      <c r="FG91" s="71" t="s">
        <v>2427</v>
      </c>
      <c r="FH91" s="71" t="s">
        <v>356</v>
      </c>
      <c r="FI91" s="71" t="s">
        <v>356</v>
      </c>
      <c r="FJ91" s="71" t="s">
        <v>356</v>
      </c>
      <c r="FK91" s="71" t="s">
        <v>356</v>
      </c>
      <c r="FL91" s="71" t="s">
        <v>356</v>
      </c>
      <c r="FM91" s="71" t="s">
        <v>356</v>
      </c>
      <c r="FN91" s="71"/>
      <c r="FO91" s="71" t="s">
        <v>2427</v>
      </c>
      <c r="FP91" s="71" t="s">
        <v>356</v>
      </c>
      <c r="FQ91" s="71" t="s">
        <v>356</v>
      </c>
      <c r="FR91" s="71" t="s">
        <v>356</v>
      </c>
      <c r="FS91" s="71" t="s">
        <v>356</v>
      </c>
      <c r="FT91" s="71" t="s">
        <v>356</v>
      </c>
      <c r="FU91" s="71" t="s">
        <v>356</v>
      </c>
    </row>
    <row r="92" spans="2:177">
      <c r="B92" s="65" t="s">
        <v>1007</v>
      </c>
      <c r="C92" s="65" t="s">
        <v>2427</v>
      </c>
      <c r="D92" s="65">
        <v>208</v>
      </c>
      <c r="E92" s="65">
        <v>346</v>
      </c>
      <c r="F92" s="65">
        <v>507</v>
      </c>
      <c r="G92" s="65">
        <v>656</v>
      </c>
      <c r="H92" s="65">
        <v>524</v>
      </c>
      <c r="I92" s="65">
        <v>2241</v>
      </c>
      <c r="K92" s="65" t="s">
        <v>2427</v>
      </c>
      <c r="L92" s="65">
        <v>43</v>
      </c>
      <c r="M92" s="65">
        <v>7</v>
      </c>
      <c r="N92" s="65">
        <v>3</v>
      </c>
      <c r="O92" s="65">
        <v>5</v>
      </c>
      <c r="P92" s="65">
        <v>3</v>
      </c>
      <c r="Q92" s="65">
        <v>61</v>
      </c>
      <c r="T92" s="66" t="s">
        <v>1148</v>
      </c>
      <c r="U92" s="66" t="s">
        <v>2437</v>
      </c>
      <c r="V92" s="66">
        <v>725</v>
      </c>
      <c r="W92" s="66">
        <v>409</v>
      </c>
      <c r="X92" s="66">
        <v>418</v>
      </c>
      <c r="Y92" s="66">
        <v>394</v>
      </c>
      <c r="Z92" s="66">
        <v>236</v>
      </c>
      <c r="AA92" s="66">
        <v>2182</v>
      </c>
      <c r="AB92" s="66"/>
      <c r="AC92" s="66" t="s">
        <v>2437</v>
      </c>
      <c r="AD92" s="66">
        <v>49</v>
      </c>
      <c r="AE92" s="66">
        <v>0</v>
      </c>
      <c r="AF92" s="66">
        <v>0</v>
      </c>
      <c r="AG92" s="66">
        <v>0</v>
      </c>
      <c r="AH92" s="66">
        <v>0</v>
      </c>
      <c r="AI92" s="66">
        <v>49</v>
      </c>
      <c r="AK92" s="67" t="s">
        <v>2231</v>
      </c>
      <c r="AL92" s="67" t="s">
        <v>2427</v>
      </c>
      <c r="AM92" s="67">
        <v>144</v>
      </c>
      <c r="AN92" s="67">
        <v>174</v>
      </c>
      <c r="AO92" s="67">
        <v>232</v>
      </c>
      <c r="AP92" s="67">
        <v>305</v>
      </c>
      <c r="AQ92" s="67">
        <v>218</v>
      </c>
      <c r="AR92" s="67">
        <v>1073</v>
      </c>
      <c r="AS92" s="67"/>
      <c r="AT92" s="67" t="s">
        <v>2427</v>
      </c>
      <c r="AU92" s="67">
        <v>20</v>
      </c>
      <c r="AV92" s="67">
        <v>0</v>
      </c>
      <c r="AW92" s="67">
        <v>0</v>
      </c>
      <c r="AX92" s="67">
        <v>0</v>
      </c>
      <c r="AY92" s="67">
        <v>0</v>
      </c>
      <c r="AZ92" s="67">
        <v>20</v>
      </c>
      <c r="BB92" s="70" t="s">
        <v>1394</v>
      </c>
      <c r="BC92" s="70" t="s">
        <v>2427</v>
      </c>
      <c r="BD92" s="70">
        <v>475</v>
      </c>
      <c r="BE92" s="70">
        <v>567</v>
      </c>
      <c r="BF92" s="70">
        <v>730</v>
      </c>
      <c r="BG92" s="70">
        <v>858</v>
      </c>
      <c r="BH92" s="70">
        <v>697</v>
      </c>
      <c r="BI92" s="70">
        <v>3327</v>
      </c>
      <c r="BJ92" s="70"/>
      <c r="BK92" s="70" t="s">
        <v>2427</v>
      </c>
      <c r="BL92" s="70">
        <v>21</v>
      </c>
      <c r="BM92" s="70">
        <v>0</v>
      </c>
      <c r="BN92" s="70">
        <v>0</v>
      </c>
      <c r="BO92" s="70">
        <v>0</v>
      </c>
      <c r="BP92" s="70">
        <v>0</v>
      </c>
      <c r="BQ92" s="70">
        <v>21</v>
      </c>
      <c r="BS92" s="71" t="s">
        <v>1619</v>
      </c>
      <c r="BT92" s="71" t="s">
        <v>2441</v>
      </c>
      <c r="BU92" s="71">
        <v>107</v>
      </c>
      <c r="BV92" s="71">
        <v>161</v>
      </c>
      <c r="BW92" s="71">
        <v>359</v>
      </c>
      <c r="BX92" s="71">
        <v>525</v>
      </c>
      <c r="BY92" s="71">
        <v>473</v>
      </c>
      <c r="BZ92" s="71">
        <v>1625</v>
      </c>
      <c r="CA92" s="71"/>
      <c r="CB92" s="71" t="s">
        <v>2441</v>
      </c>
      <c r="CC92" s="71">
        <v>24</v>
      </c>
      <c r="CD92" s="71">
        <v>0</v>
      </c>
      <c r="CE92" s="71">
        <v>0</v>
      </c>
      <c r="CF92" s="71">
        <v>0</v>
      </c>
      <c r="CG92" s="71">
        <v>0</v>
      </c>
      <c r="CH92" s="71">
        <v>24</v>
      </c>
      <c r="CJ92" s="21"/>
      <c r="CL92" s="57" t="s">
        <v>535</v>
      </c>
      <c r="CM92" s="57" t="s">
        <v>2437</v>
      </c>
      <c r="CN92" s="57">
        <v>45</v>
      </c>
      <c r="CO92" s="57">
        <v>33</v>
      </c>
      <c r="CP92" s="57">
        <v>57</v>
      </c>
      <c r="CQ92" s="57">
        <v>128</v>
      </c>
      <c r="CR92" s="57">
        <v>141</v>
      </c>
      <c r="CS92" s="57">
        <v>404</v>
      </c>
      <c r="CT92" s="57"/>
      <c r="CU92" s="57" t="s">
        <v>2437</v>
      </c>
      <c r="CV92" s="57">
        <v>7</v>
      </c>
      <c r="CW92" s="57">
        <v>0</v>
      </c>
      <c r="CX92" s="57">
        <v>0</v>
      </c>
      <c r="CY92" s="57">
        <v>0</v>
      </c>
      <c r="CZ92" s="57">
        <v>0</v>
      </c>
      <c r="DA92" s="57">
        <v>7</v>
      </c>
      <c r="DD92" s="78" t="s">
        <v>1824</v>
      </c>
      <c r="DE92" s="78" t="s">
        <v>2513</v>
      </c>
      <c r="DF92" s="78">
        <v>125</v>
      </c>
      <c r="DG92" s="78">
        <v>159</v>
      </c>
      <c r="DH92" s="78">
        <v>180</v>
      </c>
      <c r="DI92" s="78">
        <v>199</v>
      </c>
      <c r="DJ92" s="78">
        <v>161</v>
      </c>
      <c r="DK92" s="78">
        <v>824</v>
      </c>
      <c r="DL92" s="78"/>
      <c r="DM92" s="78" t="s">
        <v>2513</v>
      </c>
      <c r="DN92" s="78">
        <v>20</v>
      </c>
      <c r="DO92" s="78">
        <v>3</v>
      </c>
      <c r="DP92" s="78">
        <v>0</v>
      </c>
      <c r="DQ92" s="78">
        <v>0</v>
      </c>
      <c r="DR92" s="78">
        <v>0</v>
      </c>
      <c r="DS92" s="78">
        <v>23</v>
      </c>
      <c r="DV92" s="80" t="s">
        <v>1908</v>
      </c>
      <c r="DW92" s="80" t="s">
        <v>2441</v>
      </c>
      <c r="DX92" s="80">
        <v>177</v>
      </c>
      <c r="DY92" s="80">
        <v>162</v>
      </c>
      <c r="DZ92" s="80">
        <v>148</v>
      </c>
      <c r="EA92" s="80">
        <v>175</v>
      </c>
      <c r="EB92" s="80">
        <v>165</v>
      </c>
      <c r="EC92" s="80">
        <v>827</v>
      </c>
      <c r="ED92" s="80"/>
      <c r="EE92" s="80" t="s">
        <v>2441</v>
      </c>
      <c r="EF92" s="80">
        <v>12</v>
      </c>
      <c r="EG92" s="80">
        <v>0</v>
      </c>
      <c r="EH92" s="80">
        <v>0</v>
      </c>
      <c r="EI92" s="80">
        <v>0</v>
      </c>
      <c r="EJ92" s="80">
        <v>0</v>
      </c>
      <c r="EK92" s="80">
        <v>12</v>
      </c>
      <c r="EN92" s="57" t="s">
        <v>2393</v>
      </c>
      <c r="EO92" s="57" t="s">
        <v>2437</v>
      </c>
      <c r="EP92" s="57">
        <v>28</v>
      </c>
      <c r="EQ92" s="57">
        <v>86</v>
      </c>
      <c r="ER92" s="57">
        <v>159</v>
      </c>
      <c r="ES92" s="57">
        <v>174</v>
      </c>
      <c r="ET92" s="57">
        <v>197</v>
      </c>
      <c r="EU92" s="57">
        <v>644</v>
      </c>
      <c r="EV92" s="57"/>
      <c r="EW92" s="57" t="s">
        <v>2437</v>
      </c>
      <c r="EX92" s="57">
        <v>2</v>
      </c>
      <c r="EY92" s="57">
        <v>2</v>
      </c>
      <c r="EZ92" s="57">
        <v>1</v>
      </c>
      <c r="FA92" s="57">
        <v>3</v>
      </c>
      <c r="FB92" s="57">
        <v>1</v>
      </c>
      <c r="FC92" s="57">
        <v>9</v>
      </c>
      <c r="FF92" s="71" t="s">
        <v>2134</v>
      </c>
      <c r="FG92" s="71" t="s">
        <v>2427</v>
      </c>
      <c r="FH92" s="71" t="s">
        <v>356</v>
      </c>
      <c r="FI92" s="71" t="s">
        <v>356</v>
      </c>
      <c r="FJ92" s="71" t="s">
        <v>356</v>
      </c>
      <c r="FK92" s="71" t="s">
        <v>356</v>
      </c>
      <c r="FL92" s="71" t="s">
        <v>356</v>
      </c>
      <c r="FM92" s="71" t="s">
        <v>356</v>
      </c>
      <c r="FN92" s="71"/>
      <c r="FO92" s="71" t="s">
        <v>2427</v>
      </c>
      <c r="FP92" s="71" t="s">
        <v>356</v>
      </c>
      <c r="FQ92" s="71" t="s">
        <v>356</v>
      </c>
      <c r="FR92" s="71" t="s">
        <v>356</v>
      </c>
      <c r="FS92" s="71" t="s">
        <v>356</v>
      </c>
      <c r="FT92" s="71" t="s">
        <v>356</v>
      </c>
      <c r="FU92" s="71" t="s">
        <v>356</v>
      </c>
    </row>
    <row r="93" spans="2:177">
      <c r="B93" s="65" t="s">
        <v>1013</v>
      </c>
      <c r="C93" s="65" t="s">
        <v>2427</v>
      </c>
      <c r="D93" s="65">
        <v>137</v>
      </c>
      <c r="E93" s="65">
        <v>232</v>
      </c>
      <c r="F93" s="65">
        <v>314</v>
      </c>
      <c r="G93" s="65">
        <v>433</v>
      </c>
      <c r="H93" s="65">
        <v>345</v>
      </c>
      <c r="I93" s="65">
        <v>1461</v>
      </c>
      <c r="K93" s="65" t="s">
        <v>2427</v>
      </c>
      <c r="L93" s="65">
        <v>23</v>
      </c>
      <c r="M93" s="65">
        <v>4</v>
      </c>
      <c r="N93" s="65">
        <v>5</v>
      </c>
      <c r="O93" s="65">
        <v>1</v>
      </c>
      <c r="P93" s="65">
        <v>2</v>
      </c>
      <c r="Q93" s="65">
        <v>35</v>
      </c>
      <c r="T93" s="66" t="s">
        <v>1154</v>
      </c>
      <c r="U93" s="66" t="s">
        <v>2437</v>
      </c>
      <c r="V93" s="66">
        <v>611</v>
      </c>
      <c r="W93" s="66">
        <v>601</v>
      </c>
      <c r="X93" s="66">
        <v>536</v>
      </c>
      <c r="Y93" s="66">
        <v>650</v>
      </c>
      <c r="Z93" s="66">
        <v>528</v>
      </c>
      <c r="AA93" s="66">
        <v>2926</v>
      </c>
      <c r="AB93" s="66"/>
      <c r="AC93" s="66" t="s">
        <v>2437</v>
      </c>
      <c r="AD93" s="66">
        <v>13</v>
      </c>
      <c r="AE93" s="66">
        <v>2</v>
      </c>
      <c r="AF93" s="66">
        <v>1</v>
      </c>
      <c r="AG93" s="66">
        <v>0</v>
      </c>
      <c r="AH93" s="66">
        <v>0</v>
      </c>
      <c r="AI93" s="66">
        <v>16</v>
      </c>
      <c r="AK93" s="67" t="s">
        <v>2241</v>
      </c>
      <c r="AL93" s="67" t="s">
        <v>2427</v>
      </c>
      <c r="AM93" s="67" t="s">
        <v>435</v>
      </c>
      <c r="AN93" s="67" t="s">
        <v>435</v>
      </c>
      <c r="AO93" s="67" t="s">
        <v>435</v>
      </c>
      <c r="AP93" s="67" t="s">
        <v>435</v>
      </c>
      <c r="AQ93" s="67" t="s">
        <v>435</v>
      </c>
      <c r="AR93" s="67" t="s">
        <v>435</v>
      </c>
      <c r="AS93" s="67"/>
      <c r="AT93" s="67" t="s">
        <v>2427</v>
      </c>
      <c r="AU93" s="67" t="s">
        <v>435</v>
      </c>
      <c r="AV93" s="67" t="s">
        <v>435</v>
      </c>
      <c r="AW93" s="67" t="s">
        <v>435</v>
      </c>
      <c r="AX93" s="67" t="s">
        <v>435</v>
      </c>
      <c r="AY93" s="67" t="s">
        <v>435</v>
      </c>
      <c r="AZ93" s="67" t="s">
        <v>435</v>
      </c>
      <c r="BB93" s="70" t="s">
        <v>2246</v>
      </c>
      <c r="BC93" s="70" t="s">
        <v>2427</v>
      </c>
      <c r="BD93" s="70">
        <v>2232</v>
      </c>
      <c r="BE93" s="70">
        <v>1409</v>
      </c>
      <c r="BF93" s="70">
        <v>1366</v>
      </c>
      <c r="BG93" s="70">
        <v>1237</v>
      </c>
      <c r="BH93" s="70">
        <v>855</v>
      </c>
      <c r="BI93" s="70">
        <v>7099</v>
      </c>
      <c r="BJ93" s="70"/>
      <c r="BK93" s="70" t="s">
        <v>2427</v>
      </c>
      <c r="BL93" s="70">
        <v>217</v>
      </c>
      <c r="BM93" s="70">
        <v>7</v>
      </c>
      <c r="BN93" s="70">
        <v>1</v>
      </c>
      <c r="BO93" s="70">
        <v>0</v>
      </c>
      <c r="BP93" s="70">
        <v>0</v>
      </c>
      <c r="BQ93" s="70">
        <v>225</v>
      </c>
      <c r="BS93" s="71" t="s">
        <v>1621</v>
      </c>
      <c r="BT93" s="71" t="s">
        <v>2441</v>
      </c>
      <c r="BU93" s="71">
        <v>138</v>
      </c>
      <c r="BV93" s="71">
        <v>218</v>
      </c>
      <c r="BW93" s="71">
        <v>387</v>
      </c>
      <c r="BX93" s="71">
        <v>535</v>
      </c>
      <c r="BY93" s="71">
        <v>498</v>
      </c>
      <c r="BZ93" s="71">
        <v>1776</v>
      </c>
      <c r="CA93" s="71"/>
      <c r="CB93" s="71" t="s">
        <v>2441</v>
      </c>
      <c r="CC93" s="71">
        <v>25</v>
      </c>
      <c r="CD93" s="71">
        <v>0</v>
      </c>
      <c r="CE93" s="71">
        <v>0</v>
      </c>
      <c r="CF93" s="71">
        <v>0</v>
      </c>
      <c r="CG93" s="71">
        <v>0</v>
      </c>
      <c r="CH93" s="71">
        <v>25</v>
      </c>
      <c r="CJ93" s="21"/>
      <c r="CL93" s="57" t="s">
        <v>538</v>
      </c>
      <c r="CM93" s="57" t="s">
        <v>2437</v>
      </c>
      <c r="CN93" s="57">
        <v>83</v>
      </c>
      <c r="CO93" s="57">
        <v>63</v>
      </c>
      <c r="CP93" s="57">
        <v>146</v>
      </c>
      <c r="CQ93" s="57">
        <v>225</v>
      </c>
      <c r="CR93" s="57">
        <v>259</v>
      </c>
      <c r="CS93" s="57">
        <v>776</v>
      </c>
      <c r="CT93" s="57"/>
      <c r="CU93" s="57" t="s">
        <v>2437</v>
      </c>
      <c r="CV93" s="57">
        <v>22</v>
      </c>
      <c r="CW93" s="57">
        <v>0</v>
      </c>
      <c r="CX93" s="57">
        <v>0</v>
      </c>
      <c r="CY93" s="57">
        <v>0</v>
      </c>
      <c r="CZ93" s="57">
        <v>0</v>
      </c>
      <c r="DA93" s="57">
        <v>22</v>
      </c>
      <c r="DD93" s="78" t="s">
        <v>1828</v>
      </c>
      <c r="DE93" s="78" t="s">
        <v>2513</v>
      </c>
      <c r="DF93" s="78">
        <v>227</v>
      </c>
      <c r="DG93" s="78">
        <v>339</v>
      </c>
      <c r="DH93" s="78">
        <v>440</v>
      </c>
      <c r="DI93" s="78">
        <v>563</v>
      </c>
      <c r="DJ93" s="78">
        <v>486</v>
      </c>
      <c r="DK93" s="78">
        <v>2055</v>
      </c>
      <c r="DL93" s="78"/>
      <c r="DM93" s="78" t="s">
        <v>2513</v>
      </c>
      <c r="DN93" s="78">
        <v>33</v>
      </c>
      <c r="DO93" s="78">
        <v>2</v>
      </c>
      <c r="DP93" s="78">
        <v>0</v>
      </c>
      <c r="DQ93" s="78">
        <v>0</v>
      </c>
      <c r="DR93" s="78">
        <v>0</v>
      </c>
      <c r="DS93" s="78">
        <v>35</v>
      </c>
      <c r="DV93" s="80" t="s">
        <v>1911</v>
      </c>
      <c r="DW93" s="80" t="s">
        <v>2441</v>
      </c>
      <c r="DX93" s="80">
        <v>296</v>
      </c>
      <c r="DY93" s="80">
        <v>412</v>
      </c>
      <c r="DZ93" s="80">
        <v>414</v>
      </c>
      <c r="EA93" s="80">
        <v>442</v>
      </c>
      <c r="EB93" s="80">
        <v>283</v>
      </c>
      <c r="EC93" s="80">
        <v>1847</v>
      </c>
      <c r="ED93" s="80"/>
      <c r="EE93" s="80" t="s">
        <v>2441</v>
      </c>
      <c r="EF93" s="80">
        <v>13</v>
      </c>
      <c r="EG93" s="80">
        <v>3</v>
      </c>
      <c r="EH93" s="80">
        <v>0</v>
      </c>
      <c r="EI93" s="80">
        <v>0</v>
      </c>
      <c r="EJ93" s="80">
        <v>0</v>
      </c>
      <c r="EK93" s="80">
        <v>16</v>
      </c>
      <c r="EN93" s="57" t="s">
        <v>1990</v>
      </c>
      <c r="EO93" s="57" t="s">
        <v>2437</v>
      </c>
      <c r="EP93" s="57">
        <v>191</v>
      </c>
      <c r="EQ93" s="57">
        <v>373</v>
      </c>
      <c r="ER93" s="57">
        <v>502</v>
      </c>
      <c r="ES93" s="57">
        <v>614</v>
      </c>
      <c r="ET93" s="57">
        <v>645</v>
      </c>
      <c r="EU93" s="57">
        <v>2325</v>
      </c>
      <c r="EV93" s="57"/>
      <c r="EW93" s="57" t="s">
        <v>2437</v>
      </c>
      <c r="EX93" s="57">
        <v>35</v>
      </c>
      <c r="EY93" s="57">
        <v>14</v>
      </c>
      <c r="EZ93" s="57">
        <v>6</v>
      </c>
      <c r="FA93" s="57">
        <v>5</v>
      </c>
      <c r="FB93" s="57">
        <v>3</v>
      </c>
      <c r="FC93" s="57">
        <v>63</v>
      </c>
    </row>
    <row r="94" spans="2:177">
      <c r="B94" s="65" t="s">
        <v>1018</v>
      </c>
      <c r="C94" s="65" t="s">
        <v>2427</v>
      </c>
      <c r="D94" s="65">
        <v>208</v>
      </c>
      <c r="E94" s="65">
        <v>195</v>
      </c>
      <c r="F94" s="65">
        <v>300</v>
      </c>
      <c r="G94" s="65">
        <v>370</v>
      </c>
      <c r="H94" s="65">
        <v>328</v>
      </c>
      <c r="I94" s="65">
        <v>1401</v>
      </c>
      <c r="K94" s="65" t="s">
        <v>2427</v>
      </c>
      <c r="L94" s="65">
        <v>29</v>
      </c>
      <c r="M94" s="65">
        <v>3</v>
      </c>
      <c r="N94" s="65">
        <v>2</v>
      </c>
      <c r="O94" s="65">
        <v>0</v>
      </c>
      <c r="P94" s="65">
        <v>0</v>
      </c>
      <c r="Q94" s="65">
        <v>34</v>
      </c>
      <c r="AK94" s="67" t="s">
        <v>2236</v>
      </c>
      <c r="AL94" s="67" t="s">
        <v>2427</v>
      </c>
      <c r="AM94" s="67">
        <v>834</v>
      </c>
      <c r="AN94" s="67">
        <v>690</v>
      </c>
      <c r="AO94" s="67">
        <v>1069</v>
      </c>
      <c r="AP94" s="67">
        <v>1291</v>
      </c>
      <c r="AQ94" s="67">
        <v>863</v>
      </c>
      <c r="AR94" s="67">
        <v>4747</v>
      </c>
      <c r="AS94" s="67"/>
      <c r="AT94" s="67" t="s">
        <v>2427</v>
      </c>
      <c r="AU94" s="67">
        <v>34</v>
      </c>
      <c r="AV94" s="67">
        <v>0</v>
      </c>
      <c r="AW94" s="67">
        <v>0</v>
      </c>
      <c r="AX94" s="67">
        <v>0</v>
      </c>
      <c r="AY94" s="67">
        <v>0</v>
      </c>
      <c r="AZ94" s="67">
        <v>34</v>
      </c>
      <c r="BB94" s="70" t="s">
        <v>1418</v>
      </c>
      <c r="BC94" s="70" t="s">
        <v>2427</v>
      </c>
      <c r="BD94" s="70">
        <v>204</v>
      </c>
      <c r="BE94" s="70">
        <v>120</v>
      </c>
      <c r="BF94" s="70">
        <v>197</v>
      </c>
      <c r="BG94" s="70">
        <v>286</v>
      </c>
      <c r="BH94" s="70">
        <v>240</v>
      </c>
      <c r="BI94" s="70">
        <v>1047</v>
      </c>
      <c r="BJ94" s="70"/>
      <c r="BK94" s="70" t="s">
        <v>2427</v>
      </c>
      <c r="BL94" s="70">
        <v>27</v>
      </c>
      <c r="BM94" s="70">
        <v>0</v>
      </c>
      <c r="BN94" s="70">
        <v>0</v>
      </c>
      <c r="BO94" s="70">
        <v>0</v>
      </c>
      <c r="BP94" s="70">
        <v>0</v>
      </c>
      <c r="BQ94" s="70">
        <v>27</v>
      </c>
      <c r="BS94" s="71" t="s">
        <v>1623</v>
      </c>
      <c r="BT94" s="71" t="s">
        <v>2441</v>
      </c>
      <c r="BU94" s="71">
        <v>31</v>
      </c>
      <c r="BV94" s="71">
        <v>85</v>
      </c>
      <c r="BW94" s="71">
        <v>181</v>
      </c>
      <c r="BX94" s="71">
        <v>305</v>
      </c>
      <c r="BY94" s="71">
        <v>283</v>
      </c>
      <c r="BZ94" s="71">
        <v>885</v>
      </c>
      <c r="CA94" s="71"/>
      <c r="CB94" s="71" t="s">
        <v>2441</v>
      </c>
      <c r="CC94" s="71">
        <v>4</v>
      </c>
      <c r="CD94" s="71">
        <v>0</v>
      </c>
      <c r="CE94" s="71">
        <v>0</v>
      </c>
      <c r="CF94" s="71">
        <v>0</v>
      </c>
      <c r="CG94" s="71">
        <v>0</v>
      </c>
      <c r="CH94" s="71">
        <v>4</v>
      </c>
      <c r="CJ94" s="21"/>
      <c r="CL94" s="57" t="s">
        <v>540</v>
      </c>
      <c r="CM94" s="57" t="s">
        <v>2437</v>
      </c>
      <c r="CN94" s="57">
        <v>1091</v>
      </c>
      <c r="CO94" s="57">
        <v>464</v>
      </c>
      <c r="CP94" s="57">
        <v>590</v>
      </c>
      <c r="CQ94" s="57">
        <v>739</v>
      </c>
      <c r="CR94" s="57">
        <v>633</v>
      </c>
      <c r="CS94" s="57">
        <v>3517</v>
      </c>
      <c r="CT94" s="57"/>
      <c r="CU94" s="57" t="s">
        <v>2437</v>
      </c>
      <c r="CV94" s="57">
        <v>311</v>
      </c>
      <c r="CW94" s="57">
        <v>0</v>
      </c>
      <c r="CX94" s="57">
        <v>0</v>
      </c>
      <c r="CY94" s="57">
        <v>0</v>
      </c>
      <c r="CZ94" s="57">
        <v>0</v>
      </c>
      <c r="DA94" s="57">
        <v>311</v>
      </c>
      <c r="DD94" s="78" t="s">
        <v>1831</v>
      </c>
      <c r="DE94" s="78" t="s">
        <v>2513</v>
      </c>
      <c r="DF94" s="78">
        <v>356</v>
      </c>
      <c r="DG94" s="78">
        <v>402</v>
      </c>
      <c r="DH94" s="78">
        <v>479</v>
      </c>
      <c r="DI94" s="78">
        <v>513</v>
      </c>
      <c r="DJ94" s="78">
        <v>388</v>
      </c>
      <c r="DK94" s="78">
        <v>2138</v>
      </c>
      <c r="DL94" s="78"/>
      <c r="DM94" s="78" t="s">
        <v>2513</v>
      </c>
      <c r="DN94" s="78">
        <v>35</v>
      </c>
      <c r="DO94" s="78">
        <v>3</v>
      </c>
      <c r="DP94" s="78">
        <v>0</v>
      </c>
      <c r="DQ94" s="78">
        <v>0</v>
      </c>
      <c r="DR94" s="78">
        <v>0</v>
      </c>
      <c r="DS94" s="78">
        <v>38</v>
      </c>
      <c r="DV94" s="80" t="s">
        <v>1914</v>
      </c>
      <c r="DW94" s="80" t="s">
        <v>2441</v>
      </c>
      <c r="DX94" s="80">
        <v>496</v>
      </c>
      <c r="DY94" s="80">
        <v>620</v>
      </c>
      <c r="DZ94" s="80">
        <v>1002</v>
      </c>
      <c r="EA94" s="80">
        <v>1263</v>
      </c>
      <c r="EB94" s="80">
        <v>1000</v>
      </c>
      <c r="EC94" s="80">
        <v>4381</v>
      </c>
      <c r="ED94" s="80"/>
      <c r="EE94" s="80" t="s">
        <v>2441</v>
      </c>
      <c r="EF94" s="80">
        <v>21</v>
      </c>
      <c r="EG94" s="80">
        <v>4</v>
      </c>
      <c r="EH94" s="80">
        <v>0</v>
      </c>
      <c r="EI94" s="80">
        <v>0</v>
      </c>
      <c r="EJ94" s="80">
        <v>0</v>
      </c>
      <c r="EK94" s="80">
        <v>25</v>
      </c>
      <c r="EN94" s="57" t="s">
        <v>1993</v>
      </c>
      <c r="EO94" s="57" t="s">
        <v>2437</v>
      </c>
      <c r="EP94" s="57">
        <v>690</v>
      </c>
      <c r="EQ94" s="57">
        <v>765</v>
      </c>
      <c r="ER94" s="57">
        <v>897</v>
      </c>
      <c r="ES94" s="57">
        <v>908</v>
      </c>
      <c r="ET94" s="57">
        <v>988</v>
      </c>
      <c r="EU94" s="57">
        <v>4248</v>
      </c>
      <c r="EV94" s="57"/>
      <c r="EW94" s="57" t="s">
        <v>2437</v>
      </c>
      <c r="EX94" s="57">
        <v>82</v>
      </c>
      <c r="EY94" s="57">
        <v>21</v>
      </c>
      <c r="EZ94" s="57">
        <v>10</v>
      </c>
      <c r="FA94" s="57">
        <v>9</v>
      </c>
      <c r="FB94" s="57">
        <v>16</v>
      </c>
      <c r="FC94" s="57">
        <v>138</v>
      </c>
      <c r="FF94" s="71" t="s">
        <v>2033</v>
      </c>
      <c r="FG94" s="71" t="s">
        <v>2437</v>
      </c>
      <c r="FH94" s="71">
        <v>2334</v>
      </c>
      <c r="FI94" s="71">
        <v>1213</v>
      </c>
      <c r="FJ94" s="71">
        <v>815</v>
      </c>
      <c r="FK94" s="71">
        <v>656</v>
      </c>
      <c r="FL94" s="71">
        <v>794</v>
      </c>
      <c r="FM94" s="71">
        <v>5812</v>
      </c>
      <c r="FN94" s="71"/>
      <c r="FO94" s="71" t="s">
        <v>2437</v>
      </c>
      <c r="FP94" s="71">
        <v>490</v>
      </c>
      <c r="FQ94" s="71">
        <v>0</v>
      </c>
      <c r="FR94" s="71">
        <v>0</v>
      </c>
      <c r="FS94" s="71">
        <v>0</v>
      </c>
      <c r="FT94" s="71">
        <v>0</v>
      </c>
      <c r="FU94" s="71">
        <v>490</v>
      </c>
    </row>
    <row r="95" spans="2:177">
      <c r="B95" s="65" t="s">
        <v>1024</v>
      </c>
      <c r="C95" s="65" t="s">
        <v>2427</v>
      </c>
      <c r="D95" s="65">
        <v>155</v>
      </c>
      <c r="E95" s="65">
        <v>229</v>
      </c>
      <c r="F95" s="65">
        <v>385</v>
      </c>
      <c r="G95" s="65">
        <v>539</v>
      </c>
      <c r="H95" s="65">
        <v>414</v>
      </c>
      <c r="I95" s="65">
        <v>1722</v>
      </c>
      <c r="K95" s="65" t="s">
        <v>2427</v>
      </c>
      <c r="L95" s="65">
        <v>42</v>
      </c>
      <c r="M95" s="65">
        <v>4</v>
      </c>
      <c r="N95" s="65">
        <v>3</v>
      </c>
      <c r="O95" s="65">
        <v>4</v>
      </c>
      <c r="P95" s="65">
        <v>1</v>
      </c>
      <c r="Q95" s="65">
        <v>54</v>
      </c>
      <c r="T95" s="66" t="s">
        <v>1063</v>
      </c>
      <c r="U95" s="66" t="s">
        <v>2441</v>
      </c>
      <c r="V95" s="66">
        <v>535</v>
      </c>
      <c r="W95" s="66">
        <v>679</v>
      </c>
      <c r="X95" s="66">
        <v>835</v>
      </c>
      <c r="Y95" s="66">
        <v>873</v>
      </c>
      <c r="Z95" s="66">
        <v>561</v>
      </c>
      <c r="AA95" s="66">
        <v>3483</v>
      </c>
      <c r="AB95" s="66"/>
      <c r="AC95" s="66" t="s">
        <v>2441</v>
      </c>
      <c r="AD95" s="66">
        <v>61</v>
      </c>
      <c r="AE95" s="66">
        <v>2</v>
      </c>
      <c r="AF95" s="66">
        <v>1</v>
      </c>
      <c r="AG95" s="66">
        <v>0</v>
      </c>
      <c r="AH95" s="66">
        <v>0</v>
      </c>
      <c r="AI95" s="66">
        <v>64</v>
      </c>
      <c r="AK95" s="67" t="s">
        <v>2234</v>
      </c>
      <c r="AL95" s="67" t="s">
        <v>2427</v>
      </c>
      <c r="AM95" s="67" t="s">
        <v>435</v>
      </c>
      <c r="AN95" s="67" t="s">
        <v>435</v>
      </c>
      <c r="AO95" s="67" t="s">
        <v>435</v>
      </c>
      <c r="AP95" s="67" t="s">
        <v>435</v>
      </c>
      <c r="AQ95" s="67" t="s">
        <v>435</v>
      </c>
      <c r="AR95" s="67" t="s">
        <v>435</v>
      </c>
      <c r="AS95" s="67"/>
      <c r="AT95" s="67" t="s">
        <v>2427</v>
      </c>
      <c r="AU95" s="67" t="s">
        <v>435</v>
      </c>
      <c r="AV95" s="67" t="s">
        <v>435</v>
      </c>
      <c r="AW95" s="67" t="s">
        <v>435</v>
      </c>
      <c r="AX95" s="67" t="s">
        <v>435</v>
      </c>
      <c r="AY95" s="67" t="s">
        <v>435</v>
      </c>
      <c r="AZ95" s="67" t="s">
        <v>435</v>
      </c>
      <c r="BB95" s="70" t="s">
        <v>1424</v>
      </c>
      <c r="BC95" s="70" t="s">
        <v>2427</v>
      </c>
      <c r="BD95" s="70">
        <v>471</v>
      </c>
      <c r="BE95" s="70">
        <v>643</v>
      </c>
      <c r="BF95" s="70">
        <v>815</v>
      </c>
      <c r="BG95" s="70">
        <v>846</v>
      </c>
      <c r="BH95" s="70">
        <v>531</v>
      </c>
      <c r="BI95" s="70">
        <v>3306</v>
      </c>
      <c r="BJ95" s="70"/>
      <c r="BK95" s="70" t="s">
        <v>2427</v>
      </c>
      <c r="BL95" s="70">
        <v>26</v>
      </c>
      <c r="BM95" s="70">
        <v>0</v>
      </c>
      <c r="BN95" s="70">
        <v>0</v>
      </c>
      <c r="BO95" s="70">
        <v>0</v>
      </c>
      <c r="BP95" s="70">
        <v>0</v>
      </c>
      <c r="BQ95" s="70">
        <v>26</v>
      </c>
      <c r="BS95" s="71" t="s">
        <v>1625</v>
      </c>
      <c r="BT95" s="71" t="s">
        <v>2441</v>
      </c>
      <c r="BU95" s="71">
        <v>233</v>
      </c>
      <c r="BV95" s="71">
        <v>158</v>
      </c>
      <c r="BW95" s="71">
        <v>288</v>
      </c>
      <c r="BX95" s="71">
        <v>328</v>
      </c>
      <c r="BY95" s="71">
        <v>307</v>
      </c>
      <c r="BZ95" s="71">
        <v>1314</v>
      </c>
      <c r="CA95" s="71"/>
      <c r="CB95" s="71" t="s">
        <v>2441</v>
      </c>
      <c r="CC95" s="71">
        <v>70</v>
      </c>
      <c r="CD95" s="71">
        <v>0</v>
      </c>
      <c r="CE95" s="71">
        <v>0</v>
      </c>
      <c r="CF95" s="71">
        <v>0</v>
      </c>
      <c r="CG95" s="71">
        <v>0</v>
      </c>
      <c r="CH95" s="71">
        <v>70</v>
      </c>
      <c r="CJ95" s="21"/>
      <c r="CL95" s="57" t="s">
        <v>389</v>
      </c>
      <c r="CM95" s="57" t="s">
        <v>2437</v>
      </c>
      <c r="CN95" s="57">
        <v>361</v>
      </c>
      <c r="CO95" s="57">
        <v>218</v>
      </c>
      <c r="CP95" s="57">
        <v>341</v>
      </c>
      <c r="CQ95" s="57">
        <v>443</v>
      </c>
      <c r="CR95" s="57">
        <v>381</v>
      </c>
      <c r="CS95" s="57">
        <v>1744</v>
      </c>
      <c r="CT95" s="57"/>
      <c r="CU95" s="57" t="s">
        <v>2437</v>
      </c>
      <c r="CV95" s="57">
        <v>121</v>
      </c>
      <c r="CW95" s="57">
        <v>0</v>
      </c>
      <c r="CX95" s="57">
        <v>0</v>
      </c>
      <c r="CY95" s="57">
        <v>0</v>
      </c>
      <c r="CZ95" s="57">
        <v>0</v>
      </c>
      <c r="DA95" s="57">
        <v>121</v>
      </c>
      <c r="DD95" s="78" t="s">
        <v>1835</v>
      </c>
      <c r="DE95" s="78" t="s">
        <v>2513</v>
      </c>
      <c r="DF95" s="78">
        <v>149</v>
      </c>
      <c r="DG95" s="78">
        <v>245</v>
      </c>
      <c r="DH95" s="78">
        <v>336</v>
      </c>
      <c r="DI95" s="78">
        <v>376</v>
      </c>
      <c r="DJ95" s="78">
        <v>430</v>
      </c>
      <c r="DK95" s="78">
        <v>1536</v>
      </c>
      <c r="DL95" s="78"/>
      <c r="DM95" s="78" t="s">
        <v>2513</v>
      </c>
      <c r="DN95" s="78">
        <v>22</v>
      </c>
      <c r="DO95" s="78">
        <v>12</v>
      </c>
      <c r="DP95" s="78">
        <v>2</v>
      </c>
      <c r="DQ95" s="78">
        <v>2</v>
      </c>
      <c r="DR95" s="78">
        <v>1</v>
      </c>
      <c r="DS95" s="78">
        <v>39</v>
      </c>
      <c r="DV95" s="80" t="s">
        <v>1917</v>
      </c>
      <c r="DW95" s="80" t="s">
        <v>2441</v>
      </c>
      <c r="DX95" s="80">
        <v>267</v>
      </c>
      <c r="DY95" s="80">
        <v>353</v>
      </c>
      <c r="DZ95" s="80">
        <v>413</v>
      </c>
      <c r="EA95" s="80">
        <v>465</v>
      </c>
      <c r="EB95" s="80">
        <v>370</v>
      </c>
      <c r="EC95" s="80">
        <v>1868</v>
      </c>
      <c r="ED95" s="80"/>
      <c r="EE95" s="80" t="s">
        <v>2441</v>
      </c>
      <c r="EF95" s="80">
        <v>18</v>
      </c>
      <c r="EG95" s="80">
        <v>3</v>
      </c>
      <c r="EH95" s="80">
        <v>0</v>
      </c>
      <c r="EI95" s="80">
        <v>0</v>
      </c>
      <c r="EJ95" s="80">
        <v>0</v>
      </c>
      <c r="EK95" s="80">
        <v>21</v>
      </c>
      <c r="EN95" s="57" t="s">
        <v>1996</v>
      </c>
      <c r="EO95" s="57" t="s">
        <v>2437</v>
      </c>
      <c r="EP95" s="57">
        <v>260</v>
      </c>
      <c r="EQ95" s="57">
        <v>376</v>
      </c>
      <c r="ER95" s="57">
        <v>370</v>
      </c>
      <c r="ES95" s="57">
        <v>463</v>
      </c>
      <c r="ET95" s="57">
        <v>463</v>
      </c>
      <c r="EU95" s="57">
        <v>1932</v>
      </c>
      <c r="EV95" s="57"/>
      <c r="EW95" s="57" t="s">
        <v>2437</v>
      </c>
      <c r="EX95" s="57">
        <v>9</v>
      </c>
      <c r="EY95" s="57">
        <v>9</v>
      </c>
      <c r="EZ95" s="57">
        <v>5</v>
      </c>
      <c r="FA95" s="57">
        <v>4</v>
      </c>
      <c r="FB95" s="57">
        <v>9</v>
      </c>
      <c r="FC95" s="57">
        <v>36</v>
      </c>
      <c r="FF95" s="71" t="s">
        <v>2036</v>
      </c>
      <c r="FG95" s="71" t="s">
        <v>2437</v>
      </c>
      <c r="FH95" s="71">
        <v>191</v>
      </c>
      <c r="FI95" s="71">
        <v>231</v>
      </c>
      <c r="FJ95" s="71">
        <v>302</v>
      </c>
      <c r="FK95" s="71">
        <v>344</v>
      </c>
      <c r="FL95" s="71">
        <v>438</v>
      </c>
      <c r="FM95" s="71">
        <v>1506</v>
      </c>
      <c r="FN95" s="71"/>
      <c r="FO95" s="71" t="s">
        <v>2437</v>
      </c>
      <c r="FP95" s="71">
        <v>18</v>
      </c>
      <c r="FQ95" s="71">
        <v>7</v>
      </c>
      <c r="FR95" s="71">
        <v>8</v>
      </c>
      <c r="FS95" s="71">
        <v>2</v>
      </c>
      <c r="FT95" s="71">
        <v>4</v>
      </c>
      <c r="FU95" s="71">
        <v>39</v>
      </c>
    </row>
    <row r="96" spans="2:177">
      <c r="B96" s="65" t="s">
        <v>1029</v>
      </c>
      <c r="C96" s="65" t="s">
        <v>2427</v>
      </c>
      <c r="D96" s="65" t="s">
        <v>356</v>
      </c>
      <c r="E96" s="65" t="s">
        <v>356</v>
      </c>
      <c r="F96" s="65" t="s">
        <v>356</v>
      </c>
      <c r="G96" s="65" t="s">
        <v>356</v>
      </c>
      <c r="H96" s="65" t="s">
        <v>356</v>
      </c>
      <c r="I96" s="65" t="s">
        <v>356</v>
      </c>
      <c r="K96" s="65" t="s">
        <v>2427</v>
      </c>
      <c r="L96" s="65" t="s">
        <v>356</v>
      </c>
      <c r="M96" s="65" t="s">
        <v>356</v>
      </c>
      <c r="N96" s="65" t="s">
        <v>356</v>
      </c>
      <c r="O96" s="65" t="s">
        <v>356</v>
      </c>
      <c r="P96" s="65" t="s">
        <v>356</v>
      </c>
      <c r="Q96" s="65" t="s">
        <v>356</v>
      </c>
      <c r="T96" s="66" t="s">
        <v>1071</v>
      </c>
      <c r="U96" s="66" t="s">
        <v>2441</v>
      </c>
      <c r="V96" s="66">
        <v>108</v>
      </c>
      <c r="W96" s="66">
        <v>137</v>
      </c>
      <c r="X96" s="66">
        <v>209</v>
      </c>
      <c r="Y96" s="66">
        <v>285</v>
      </c>
      <c r="Z96" s="66">
        <v>246</v>
      </c>
      <c r="AA96" s="66">
        <v>985</v>
      </c>
      <c r="AB96" s="66"/>
      <c r="AC96" s="66" t="s">
        <v>2441</v>
      </c>
      <c r="AD96" s="66">
        <v>10</v>
      </c>
      <c r="AE96" s="66">
        <v>0</v>
      </c>
      <c r="AF96" s="66">
        <v>0</v>
      </c>
      <c r="AG96" s="66">
        <v>0</v>
      </c>
      <c r="AH96" s="66">
        <v>0</v>
      </c>
      <c r="AI96" s="66">
        <v>10</v>
      </c>
      <c r="AK96" s="67" t="s">
        <v>2217</v>
      </c>
      <c r="AL96" s="67" t="s">
        <v>2427</v>
      </c>
      <c r="AM96" s="67" t="s">
        <v>435</v>
      </c>
      <c r="AN96" s="67" t="s">
        <v>435</v>
      </c>
      <c r="AO96" s="67" t="s">
        <v>435</v>
      </c>
      <c r="AP96" s="67" t="s">
        <v>435</v>
      </c>
      <c r="AQ96" s="67" t="s">
        <v>435</v>
      </c>
      <c r="AR96" s="67" t="s">
        <v>435</v>
      </c>
      <c r="AS96" s="67"/>
      <c r="AT96" s="67" t="s">
        <v>2427</v>
      </c>
      <c r="AU96" s="67" t="s">
        <v>435</v>
      </c>
      <c r="AV96" s="67" t="s">
        <v>435</v>
      </c>
      <c r="AW96" s="67" t="s">
        <v>435</v>
      </c>
      <c r="AX96" s="67" t="s">
        <v>435</v>
      </c>
      <c r="AY96" s="67" t="s">
        <v>435</v>
      </c>
      <c r="AZ96" s="67" t="s">
        <v>435</v>
      </c>
      <c r="BB96" s="70" t="s">
        <v>474</v>
      </c>
      <c r="BC96" s="70" t="s">
        <v>2427</v>
      </c>
      <c r="BD96" s="70">
        <v>182</v>
      </c>
      <c r="BE96" s="70">
        <v>204</v>
      </c>
      <c r="BF96" s="70">
        <v>425</v>
      </c>
      <c r="BG96" s="70">
        <v>597</v>
      </c>
      <c r="BH96" s="70">
        <v>460</v>
      </c>
      <c r="BI96" s="70">
        <v>1868</v>
      </c>
      <c r="BJ96" s="70"/>
      <c r="BK96" s="70" t="s">
        <v>2427</v>
      </c>
      <c r="BL96" s="70">
        <v>28</v>
      </c>
      <c r="BM96" s="70">
        <v>0</v>
      </c>
      <c r="BN96" s="70">
        <v>0</v>
      </c>
      <c r="BO96" s="70">
        <v>0</v>
      </c>
      <c r="BP96" s="70">
        <v>0</v>
      </c>
      <c r="BQ96" s="70">
        <v>28</v>
      </c>
      <c r="BS96" s="71" t="s">
        <v>1627</v>
      </c>
      <c r="BT96" s="71" t="s">
        <v>2441</v>
      </c>
      <c r="BU96" s="71">
        <v>144</v>
      </c>
      <c r="BV96" s="71">
        <v>114</v>
      </c>
      <c r="BW96" s="71">
        <v>170</v>
      </c>
      <c r="BX96" s="71">
        <v>205</v>
      </c>
      <c r="BY96" s="71">
        <v>206</v>
      </c>
      <c r="BZ96" s="71">
        <v>839</v>
      </c>
      <c r="CA96" s="71"/>
      <c r="CB96" s="71" t="s">
        <v>2441</v>
      </c>
      <c r="CC96" s="71">
        <v>27</v>
      </c>
      <c r="CD96" s="71">
        <v>0</v>
      </c>
      <c r="CE96" s="71">
        <v>0</v>
      </c>
      <c r="CF96" s="71">
        <v>0</v>
      </c>
      <c r="CG96" s="71">
        <v>0</v>
      </c>
      <c r="CH96" s="71">
        <v>27</v>
      </c>
      <c r="CJ96" s="21"/>
      <c r="CL96" s="57" t="s">
        <v>390</v>
      </c>
      <c r="CM96" s="57" t="s">
        <v>2437</v>
      </c>
      <c r="CN96" s="57">
        <v>435</v>
      </c>
      <c r="CO96" s="57">
        <v>247</v>
      </c>
      <c r="CP96" s="57">
        <v>360</v>
      </c>
      <c r="CQ96" s="57">
        <v>473</v>
      </c>
      <c r="CR96" s="57">
        <v>458</v>
      </c>
      <c r="CS96" s="57">
        <v>1973</v>
      </c>
      <c r="CT96" s="57"/>
      <c r="CU96" s="57" t="s">
        <v>2437</v>
      </c>
      <c r="CV96" s="57">
        <v>157</v>
      </c>
      <c r="CW96" s="57">
        <v>0</v>
      </c>
      <c r="CX96" s="57">
        <v>0</v>
      </c>
      <c r="CY96" s="57">
        <v>0</v>
      </c>
      <c r="CZ96" s="57">
        <v>0</v>
      </c>
      <c r="DA96" s="57">
        <v>157</v>
      </c>
      <c r="DD96" s="78" t="s">
        <v>1839</v>
      </c>
      <c r="DE96" s="78" t="s">
        <v>2513</v>
      </c>
      <c r="DF96" s="78">
        <v>193</v>
      </c>
      <c r="DG96" s="78">
        <v>319</v>
      </c>
      <c r="DH96" s="78">
        <v>422</v>
      </c>
      <c r="DI96" s="78">
        <v>470</v>
      </c>
      <c r="DJ96" s="78">
        <v>349</v>
      </c>
      <c r="DK96" s="78">
        <v>1753</v>
      </c>
      <c r="DL96" s="78"/>
      <c r="DM96" s="78" t="s">
        <v>2513</v>
      </c>
      <c r="DN96" s="78">
        <v>17</v>
      </c>
      <c r="DO96" s="78">
        <v>3</v>
      </c>
      <c r="DP96" s="78">
        <v>1</v>
      </c>
      <c r="DQ96" s="78">
        <v>0</v>
      </c>
      <c r="DR96" s="78">
        <v>0</v>
      </c>
      <c r="DS96" s="78">
        <v>21</v>
      </c>
      <c r="DV96" s="80" t="s">
        <v>1922</v>
      </c>
      <c r="DW96" s="80" t="s">
        <v>2441</v>
      </c>
      <c r="DX96" s="80" t="s">
        <v>356</v>
      </c>
      <c r="DY96" s="80" t="s">
        <v>356</v>
      </c>
      <c r="DZ96" s="80" t="s">
        <v>356</v>
      </c>
      <c r="EA96" s="80" t="s">
        <v>356</v>
      </c>
      <c r="EB96" s="80" t="s">
        <v>356</v>
      </c>
      <c r="EC96" s="80" t="s">
        <v>356</v>
      </c>
      <c r="ED96" s="80"/>
      <c r="EE96" s="80" t="s">
        <v>2441</v>
      </c>
      <c r="EF96" s="80" t="s">
        <v>356</v>
      </c>
      <c r="EG96" s="80" t="s">
        <v>356</v>
      </c>
      <c r="EH96" s="80" t="s">
        <v>356</v>
      </c>
      <c r="EI96" s="80" t="s">
        <v>356</v>
      </c>
      <c r="EJ96" s="80" t="s">
        <v>356</v>
      </c>
      <c r="EK96" s="80" t="s">
        <v>356</v>
      </c>
      <c r="EN96" s="57" t="s">
        <v>1999</v>
      </c>
      <c r="EO96" s="57" t="s">
        <v>2437</v>
      </c>
      <c r="EP96" s="57">
        <v>116</v>
      </c>
      <c r="EQ96" s="57">
        <v>139</v>
      </c>
      <c r="ER96" s="57">
        <v>137</v>
      </c>
      <c r="ES96" s="57">
        <v>149</v>
      </c>
      <c r="ET96" s="57">
        <v>198</v>
      </c>
      <c r="EU96" s="57">
        <v>739</v>
      </c>
      <c r="EV96" s="57"/>
      <c r="EW96" s="57" t="s">
        <v>2437</v>
      </c>
      <c r="EX96" s="57">
        <v>27</v>
      </c>
      <c r="EY96" s="57">
        <v>5</v>
      </c>
      <c r="EZ96" s="57">
        <v>0</v>
      </c>
      <c r="FA96" s="57">
        <v>0</v>
      </c>
      <c r="FB96" s="57">
        <v>0</v>
      </c>
      <c r="FC96" s="57">
        <v>32</v>
      </c>
      <c r="FF96" s="71" t="s">
        <v>2038</v>
      </c>
      <c r="FG96" s="71" t="s">
        <v>2437</v>
      </c>
      <c r="FH96" s="71" t="s">
        <v>356</v>
      </c>
      <c r="FI96" s="71" t="s">
        <v>356</v>
      </c>
      <c r="FJ96" s="71" t="s">
        <v>356</v>
      </c>
      <c r="FK96" s="71" t="s">
        <v>356</v>
      </c>
      <c r="FL96" s="71" t="s">
        <v>356</v>
      </c>
      <c r="FM96" s="71" t="s">
        <v>356</v>
      </c>
      <c r="FN96" s="71"/>
      <c r="FO96" s="71" t="s">
        <v>2437</v>
      </c>
      <c r="FP96" s="71" t="s">
        <v>356</v>
      </c>
      <c r="FQ96" s="71" t="s">
        <v>356</v>
      </c>
      <c r="FR96" s="71" t="s">
        <v>356</v>
      </c>
      <c r="FS96" s="71" t="s">
        <v>356</v>
      </c>
      <c r="FT96" s="71" t="s">
        <v>356</v>
      </c>
      <c r="FU96" s="71" t="s">
        <v>356</v>
      </c>
    </row>
    <row r="97" spans="2:177">
      <c r="B97" s="65" t="s">
        <v>1046</v>
      </c>
      <c r="C97" s="65" t="s">
        <v>2427</v>
      </c>
      <c r="D97" s="65">
        <v>175</v>
      </c>
      <c r="E97" s="65">
        <v>139</v>
      </c>
      <c r="F97" s="65">
        <v>202</v>
      </c>
      <c r="G97" s="65">
        <v>325</v>
      </c>
      <c r="H97" s="65">
        <v>370</v>
      </c>
      <c r="I97" s="65">
        <v>1211</v>
      </c>
      <c r="K97" s="65" t="s">
        <v>2427</v>
      </c>
      <c r="L97" s="65">
        <v>15</v>
      </c>
      <c r="M97" s="65">
        <v>0</v>
      </c>
      <c r="N97" s="65">
        <v>0</v>
      </c>
      <c r="O97" s="65">
        <v>0</v>
      </c>
      <c r="P97" s="65">
        <v>0</v>
      </c>
      <c r="Q97" s="65">
        <v>15</v>
      </c>
      <c r="T97" s="66" t="s">
        <v>1076</v>
      </c>
      <c r="U97" s="66" t="s">
        <v>2441</v>
      </c>
      <c r="V97" s="66" t="s">
        <v>356</v>
      </c>
      <c r="W97" s="66" t="s">
        <v>356</v>
      </c>
      <c r="X97" s="66" t="s">
        <v>356</v>
      </c>
      <c r="Y97" s="66" t="s">
        <v>356</v>
      </c>
      <c r="Z97" s="66" t="s">
        <v>356</v>
      </c>
      <c r="AA97" s="66" t="s">
        <v>356</v>
      </c>
      <c r="AB97" s="66"/>
      <c r="AC97" s="66" t="s">
        <v>2441</v>
      </c>
      <c r="AD97" s="66" t="s">
        <v>356</v>
      </c>
      <c r="AE97" s="66" t="s">
        <v>356</v>
      </c>
      <c r="AF97" s="66" t="s">
        <v>356</v>
      </c>
      <c r="AG97" s="66" t="s">
        <v>356</v>
      </c>
      <c r="AH97" s="66" t="s">
        <v>356</v>
      </c>
      <c r="AI97" s="66" t="s">
        <v>356</v>
      </c>
      <c r="AK97" s="67" t="s">
        <v>1289</v>
      </c>
      <c r="AL97" s="67" t="s">
        <v>2427</v>
      </c>
      <c r="AM97" s="67">
        <v>642</v>
      </c>
      <c r="AN97" s="67">
        <v>499</v>
      </c>
      <c r="AO97" s="67">
        <v>504</v>
      </c>
      <c r="AP97" s="67">
        <v>502</v>
      </c>
      <c r="AQ97" s="67">
        <v>323</v>
      </c>
      <c r="AR97" s="67">
        <v>2470</v>
      </c>
      <c r="AS97" s="67"/>
      <c r="AT97" s="67" t="s">
        <v>2427</v>
      </c>
      <c r="AU97" s="67">
        <v>86</v>
      </c>
      <c r="AV97" s="67">
        <v>3</v>
      </c>
      <c r="AW97" s="67">
        <v>2</v>
      </c>
      <c r="AX97" s="67">
        <v>0</v>
      </c>
      <c r="AY97" s="67">
        <v>0</v>
      </c>
      <c r="AZ97" s="67">
        <v>91</v>
      </c>
      <c r="BB97" s="70" t="s">
        <v>1440</v>
      </c>
      <c r="BC97" s="70" t="s">
        <v>2427</v>
      </c>
      <c r="BD97" s="70">
        <v>262</v>
      </c>
      <c r="BE97" s="70">
        <v>336</v>
      </c>
      <c r="BF97" s="70">
        <v>562</v>
      </c>
      <c r="BG97" s="70">
        <v>750</v>
      </c>
      <c r="BH97" s="70">
        <v>628</v>
      </c>
      <c r="BI97" s="70">
        <v>2538</v>
      </c>
      <c r="BJ97" s="70"/>
      <c r="BK97" s="70" t="s">
        <v>2427</v>
      </c>
      <c r="BL97" s="70">
        <v>31</v>
      </c>
      <c r="BM97" s="70">
        <v>0</v>
      </c>
      <c r="BN97" s="70">
        <v>0</v>
      </c>
      <c r="BO97" s="70">
        <v>0</v>
      </c>
      <c r="BP97" s="70">
        <v>0</v>
      </c>
      <c r="BQ97" s="70">
        <v>31</v>
      </c>
      <c r="BS97" s="71" t="s">
        <v>1629</v>
      </c>
      <c r="BT97" s="71" t="s">
        <v>2441</v>
      </c>
      <c r="BU97" s="71">
        <v>104</v>
      </c>
      <c r="BV97" s="71">
        <v>36</v>
      </c>
      <c r="BW97" s="71">
        <v>73</v>
      </c>
      <c r="BX97" s="71">
        <v>94</v>
      </c>
      <c r="BY97" s="71">
        <v>104</v>
      </c>
      <c r="BZ97" s="71">
        <v>411</v>
      </c>
      <c r="CA97" s="71"/>
      <c r="CB97" s="71" t="s">
        <v>2441</v>
      </c>
      <c r="CC97" s="71">
        <v>20</v>
      </c>
      <c r="CD97" s="71">
        <v>0</v>
      </c>
      <c r="CE97" s="71">
        <v>0</v>
      </c>
      <c r="CF97" s="71">
        <v>0</v>
      </c>
      <c r="CG97" s="71">
        <v>0</v>
      </c>
      <c r="CH97" s="71">
        <v>20</v>
      </c>
      <c r="CJ97" s="21"/>
      <c r="CL97" s="57" t="s">
        <v>391</v>
      </c>
      <c r="CM97" s="57" t="s">
        <v>2437</v>
      </c>
      <c r="CN97" s="57">
        <v>97</v>
      </c>
      <c r="CO97" s="57">
        <v>58</v>
      </c>
      <c r="CP97" s="57">
        <v>124</v>
      </c>
      <c r="CQ97" s="57">
        <v>191</v>
      </c>
      <c r="CR97" s="57">
        <v>189</v>
      </c>
      <c r="CS97" s="57">
        <v>659</v>
      </c>
      <c r="CT97" s="57"/>
      <c r="CU97" s="57" t="s">
        <v>2437</v>
      </c>
      <c r="CV97" s="57">
        <v>24</v>
      </c>
      <c r="CW97" s="57">
        <v>0</v>
      </c>
      <c r="CX97" s="57">
        <v>0</v>
      </c>
      <c r="CY97" s="57">
        <v>0</v>
      </c>
      <c r="CZ97" s="57">
        <v>0</v>
      </c>
      <c r="DA97" s="57">
        <v>24</v>
      </c>
      <c r="DV97" s="80" t="s">
        <v>1925</v>
      </c>
      <c r="DW97" s="80" t="s">
        <v>2441</v>
      </c>
      <c r="DX97" s="80" t="s">
        <v>356</v>
      </c>
      <c r="DY97" s="80" t="s">
        <v>356</v>
      </c>
      <c r="DZ97" s="80" t="s">
        <v>356</v>
      </c>
      <c r="EA97" s="80" t="s">
        <v>356</v>
      </c>
      <c r="EB97" s="80" t="s">
        <v>356</v>
      </c>
      <c r="EC97" s="80" t="s">
        <v>356</v>
      </c>
      <c r="ED97" s="80"/>
      <c r="EE97" s="80" t="s">
        <v>2441</v>
      </c>
      <c r="EF97" s="80" t="s">
        <v>356</v>
      </c>
      <c r="EG97" s="80" t="s">
        <v>356</v>
      </c>
      <c r="EH97" s="80" t="s">
        <v>356</v>
      </c>
      <c r="EI97" s="80" t="s">
        <v>356</v>
      </c>
      <c r="EJ97" s="80" t="s">
        <v>356</v>
      </c>
      <c r="EK97" s="80" t="s">
        <v>356</v>
      </c>
      <c r="EN97" s="57" t="s">
        <v>2003</v>
      </c>
      <c r="EO97" s="57" t="s">
        <v>2437</v>
      </c>
      <c r="EP97" s="57">
        <v>87</v>
      </c>
      <c r="EQ97" s="57">
        <v>139</v>
      </c>
      <c r="ER97" s="57">
        <v>145</v>
      </c>
      <c r="ES97" s="57">
        <v>192</v>
      </c>
      <c r="ET97" s="57">
        <v>209</v>
      </c>
      <c r="EU97" s="57">
        <v>772</v>
      </c>
      <c r="EV97" s="57"/>
      <c r="EW97" s="57" t="s">
        <v>2437</v>
      </c>
      <c r="EX97" s="57">
        <v>32</v>
      </c>
      <c r="EY97" s="57">
        <v>16</v>
      </c>
      <c r="EZ97" s="57">
        <v>4</v>
      </c>
      <c r="FA97" s="57">
        <v>0</v>
      </c>
      <c r="FB97" s="57">
        <v>4</v>
      </c>
      <c r="FC97" s="57">
        <v>56</v>
      </c>
      <c r="FF97" s="71" t="s">
        <v>2041</v>
      </c>
      <c r="FG97" s="71" t="s">
        <v>2437</v>
      </c>
      <c r="FH97" s="71" t="s">
        <v>356</v>
      </c>
      <c r="FI97" s="71" t="s">
        <v>356</v>
      </c>
      <c r="FJ97" s="71" t="s">
        <v>356</v>
      </c>
      <c r="FK97" s="71" t="s">
        <v>356</v>
      </c>
      <c r="FL97" s="71" t="s">
        <v>356</v>
      </c>
      <c r="FM97" s="71" t="s">
        <v>356</v>
      </c>
      <c r="FN97" s="71"/>
      <c r="FO97" s="71" t="s">
        <v>2437</v>
      </c>
      <c r="FP97" s="71" t="s">
        <v>356</v>
      </c>
      <c r="FQ97" s="71" t="s">
        <v>356</v>
      </c>
      <c r="FR97" s="71" t="s">
        <v>356</v>
      </c>
      <c r="FS97" s="71" t="s">
        <v>356</v>
      </c>
      <c r="FT97" s="71" t="s">
        <v>356</v>
      </c>
      <c r="FU97" s="71" t="s">
        <v>356</v>
      </c>
    </row>
    <row r="98" spans="2:177">
      <c r="B98" s="65" t="s">
        <v>76</v>
      </c>
      <c r="C98" s="65" t="s">
        <v>2427</v>
      </c>
      <c r="D98" s="65" t="s">
        <v>356</v>
      </c>
      <c r="E98" s="65" t="s">
        <v>356</v>
      </c>
      <c r="F98" s="65" t="s">
        <v>356</v>
      </c>
      <c r="G98" s="65" t="s">
        <v>356</v>
      </c>
      <c r="H98" s="65" t="s">
        <v>356</v>
      </c>
      <c r="I98" s="65" t="s">
        <v>356</v>
      </c>
      <c r="K98" s="65" t="s">
        <v>2427</v>
      </c>
      <c r="L98" s="65" t="s">
        <v>356</v>
      </c>
      <c r="M98" s="65" t="s">
        <v>356</v>
      </c>
      <c r="N98" s="65" t="s">
        <v>356</v>
      </c>
      <c r="O98" s="65" t="s">
        <v>356</v>
      </c>
      <c r="P98" s="65" t="s">
        <v>356</v>
      </c>
      <c r="Q98" s="65" t="s">
        <v>356</v>
      </c>
      <c r="T98" s="66" t="s">
        <v>1082</v>
      </c>
      <c r="U98" s="66" t="s">
        <v>2441</v>
      </c>
      <c r="V98" s="66">
        <v>396</v>
      </c>
      <c r="W98" s="66">
        <v>551</v>
      </c>
      <c r="X98" s="66">
        <v>631</v>
      </c>
      <c r="Y98" s="66">
        <v>773</v>
      </c>
      <c r="Z98" s="66">
        <v>585</v>
      </c>
      <c r="AA98" s="66">
        <v>2936</v>
      </c>
      <c r="AB98" s="66"/>
      <c r="AC98" s="66" t="s">
        <v>2441</v>
      </c>
      <c r="AD98" s="66">
        <v>36</v>
      </c>
      <c r="AE98" s="66">
        <v>9</v>
      </c>
      <c r="AF98" s="66">
        <v>2</v>
      </c>
      <c r="AG98" s="66">
        <v>1</v>
      </c>
      <c r="AH98" s="66">
        <v>0</v>
      </c>
      <c r="AI98" s="66">
        <v>48</v>
      </c>
      <c r="AK98" s="67" t="s">
        <v>2237</v>
      </c>
      <c r="AL98" s="67" t="s">
        <v>2427</v>
      </c>
      <c r="AM98" s="67">
        <v>1370</v>
      </c>
      <c r="AN98" s="67">
        <v>1058</v>
      </c>
      <c r="AO98" s="67">
        <v>1606</v>
      </c>
      <c r="AP98" s="67">
        <v>1926</v>
      </c>
      <c r="AQ98" s="67">
        <v>1428</v>
      </c>
      <c r="AR98" s="67">
        <v>7388</v>
      </c>
      <c r="AS98" s="67"/>
      <c r="AT98" s="67" t="s">
        <v>2427</v>
      </c>
      <c r="AU98" s="67">
        <v>45</v>
      </c>
      <c r="AV98" s="67">
        <v>0</v>
      </c>
      <c r="AW98" s="67">
        <v>0</v>
      </c>
      <c r="AX98" s="67">
        <v>0</v>
      </c>
      <c r="AY98" s="67">
        <v>0</v>
      </c>
      <c r="AZ98" s="67">
        <v>45</v>
      </c>
      <c r="BB98" s="70" t="s">
        <v>1445</v>
      </c>
      <c r="BC98" s="70" t="s">
        <v>2427</v>
      </c>
      <c r="BD98" s="70">
        <v>218</v>
      </c>
      <c r="BE98" s="70">
        <v>257</v>
      </c>
      <c r="BF98" s="70">
        <v>379</v>
      </c>
      <c r="BG98" s="70">
        <v>395</v>
      </c>
      <c r="BH98" s="70">
        <v>341</v>
      </c>
      <c r="BI98" s="70">
        <v>1590</v>
      </c>
      <c r="BJ98" s="70"/>
      <c r="BK98" s="70" t="s">
        <v>2427</v>
      </c>
      <c r="BL98" s="70">
        <v>27</v>
      </c>
      <c r="BM98" s="70">
        <v>0</v>
      </c>
      <c r="BN98" s="70">
        <v>0</v>
      </c>
      <c r="BO98" s="70">
        <v>0</v>
      </c>
      <c r="BP98" s="70">
        <v>0</v>
      </c>
      <c r="BQ98" s="70">
        <v>27</v>
      </c>
      <c r="BS98" s="71" t="s">
        <v>1631</v>
      </c>
      <c r="BT98" s="71" t="s">
        <v>2441</v>
      </c>
      <c r="BU98" s="71">
        <v>110</v>
      </c>
      <c r="BV98" s="71">
        <v>69</v>
      </c>
      <c r="BW98" s="71">
        <v>79</v>
      </c>
      <c r="BX98" s="71">
        <v>95</v>
      </c>
      <c r="BY98" s="71">
        <v>113</v>
      </c>
      <c r="BZ98" s="71">
        <v>466</v>
      </c>
      <c r="CA98" s="71"/>
      <c r="CB98" s="71" t="s">
        <v>2441</v>
      </c>
      <c r="CC98" s="71">
        <v>50</v>
      </c>
      <c r="CD98" s="71">
        <v>2</v>
      </c>
      <c r="CE98" s="71">
        <v>2</v>
      </c>
      <c r="CF98" s="71">
        <v>1</v>
      </c>
      <c r="CG98" s="71">
        <v>1</v>
      </c>
      <c r="CH98" s="71">
        <v>56</v>
      </c>
      <c r="CJ98" s="21"/>
      <c r="CL98" s="57" t="s">
        <v>393</v>
      </c>
      <c r="CM98" s="57" t="s">
        <v>2437</v>
      </c>
      <c r="CN98" s="57">
        <v>64</v>
      </c>
      <c r="CO98" s="57">
        <v>67</v>
      </c>
      <c r="CP98" s="57">
        <v>128</v>
      </c>
      <c r="CQ98" s="57">
        <v>215</v>
      </c>
      <c r="CR98" s="57">
        <v>201</v>
      </c>
      <c r="CS98" s="57">
        <v>675</v>
      </c>
      <c r="CT98" s="57"/>
      <c r="CU98" s="57" t="s">
        <v>2437</v>
      </c>
      <c r="CV98" s="57">
        <v>22</v>
      </c>
      <c r="CW98" s="57">
        <v>0</v>
      </c>
      <c r="CX98" s="57">
        <v>0</v>
      </c>
      <c r="CY98" s="57">
        <v>0</v>
      </c>
      <c r="CZ98" s="57">
        <v>0</v>
      </c>
      <c r="DA98" s="57">
        <v>22</v>
      </c>
      <c r="DV98" s="80" t="s">
        <v>1928</v>
      </c>
      <c r="DW98" s="80" t="s">
        <v>2441</v>
      </c>
      <c r="DX98" s="80" t="s">
        <v>356</v>
      </c>
      <c r="DY98" s="80" t="s">
        <v>356</v>
      </c>
      <c r="DZ98" s="80" t="s">
        <v>356</v>
      </c>
      <c r="EA98" s="80" t="s">
        <v>356</v>
      </c>
      <c r="EB98" s="80" t="s">
        <v>356</v>
      </c>
      <c r="EC98" s="80" t="s">
        <v>356</v>
      </c>
      <c r="ED98" s="80"/>
      <c r="EE98" s="80" t="s">
        <v>2441</v>
      </c>
      <c r="EF98" s="80" t="s">
        <v>356</v>
      </c>
      <c r="EG98" s="80" t="s">
        <v>356</v>
      </c>
      <c r="EH98" s="80" t="s">
        <v>356</v>
      </c>
      <c r="EI98" s="80" t="s">
        <v>356</v>
      </c>
      <c r="EJ98" s="80" t="s">
        <v>356</v>
      </c>
      <c r="EK98" s="80" t="s">
        <v>356</v>
      </c>
      <c r="EN98" s="57" t="s">
        <v>2006</v>
      </c>
      <c r="EO98" s="57" t="s">
        <v>2437</v>
      </c>
      <c r="EP98" s="57">
        <v>54</v>
      </c>
      <c r="EQ98" s="57">
        <v>94</v>
      </c>
      <c r="ER98" s="57">
        <v>156</v>
      </c>
      <c r="ES98" s="57">
        <v>208</v>
      </c>
      <c r="ET98" s="57">
        <v>255</v>
      </c>
      <c r="EU98" s="57">
        <v>767</v>
      </c>
      <c r="EV98" s="57"/>
      <c r="EW98" s="57" t="s">
        <v>2437</v>
      </c>
      <c r="EX98" s="57">
        <v>11</v>
      </c>
      <c r="EY98" s="57">
        <v>6</v>
      </c>
      <c r="EZ98" s="57">
        <v>3</v>
      </c>
      <c r="FA98" s="57">
        <v>4</v>
      </c>
      <c r="FB98" s="57">
        <v>4</v>
      </c>
      <c r="FC98" s="57">
        <v>28</v>
      </c>
      <c r="FF98" s="71" t="s">
        <v>2044</v>
      </c>
      <c r="FG98" s="71" t="s">
        <v>2437</v>
      </c>
      <c r="FH98" s="71">
        <v>118</v>
      </c>
      <c r="FI98" s="71">
        <v>148</v>
      </c>
      <c r="FJ98" s="71">
        <v>198</v>
      </c>
      <c r="FK98" s="71">
        <v>298</v>
      </c>
      <c r="FL98" s="71">
        <v>348</v>
      </c>
      <c r="FM98" s="71">
        <v>1110</v>
      </c>
      <c r="FN98" s="71"/>
      <c r="FO98" s="71" t="s">
        <v>2437</v>
      </c>
      <c r="FP98" s="71">
        <v>21</v>
      </c>
      <c r="FQ98" s="71">
        <v>6</v>
      </c>
      <c r="FR98" s="71">
        <v>3</v>
      </c>
      <c r="FS98" s="71">
        <v>3</v>
      </c>
      <c r="FT98" s="71">
        <v>1</v>
      </c>
      <c r="FU98" s="71">
        <v>34</v>
      </c>
    </row>
    <row r="99" spans="2:177">
      <c r="B99" s="65" t="s">
        <v>1057</v>
      </c>
      <c r="C99" s="65" t="s">
        <v>2427</v>
      </c>
      <c r="D99" s="65" t="s">
        <v>356</v>
      </c>
      <c r="E99" s="65" t="s">
        <v>356</v>
      </c>
      <c r="F99" s="65" t="s">
        <v>356</v>
      </c>
      <c r="G99" s="65" t="s">
        <v>356</v>
      </c>
      <c r="H99" s="65" t="s">
        <v>356</v>
      </c>
      <c r="I99" s="65" t="s">
        <v>356</v>
      </c>
      <c r="K99" s="65" t="s">
        <v>2427</v>
      </c>
      <c r="L99" s="65" t="s">
        <v>356</v>
      </c>
      <c r="M99" s="65" t="s">
        <v>356</v>
      </c>
      <c r="N99" s="65" t="s">
        <v>356</v>
      </c>
      <c r="O99" s="65" t="s">
        <v>356</v>
      </c>
      <c r="P99" s="65" t="s">
        <v>356</v>
      </c>
      <c r="Q99" s="65" t="s">
        <v>356</v>
      </c>
      <c r="T99" s="66" t="s">
        <v>1087</v>
      </c>
      <c r="U99" s="66" t="s">
        <v>2441</v>
      </c>
      <c r="V99" s="66">
        <v>1258</v>
      </c>
      <c r="W99" s="66">
        <v>1183</v>
      </c>
      <c r="X99" s="66">
        <v>1400</v>
      </c>
      <c r="Y99" s="66">
        <v>1464</v>
      </c>
      <c r="Z99" s="66">
        <v>1076</v>
      </c>
      <c r="AA99" s="66">
        <v>6381</v>
      </c>
      <c r="AB99" s="66"/>
      <c r="AC99" s="66" t="s">
        <v>2441</v>
      </c>
      <c r="AD99" s="66">
        <v>158</v>
      </c>
      <c r="AE99" s="66">
        <v>39</v>
      </c>
      <c r="AF99" s="66">
        <v>10</v>
      </c>
      <c r="AG99" s="66">
        <v>3</v>
      </c>
      <c r="AH99" s="66">
        <v>3</v>
      </c>
      <c r="AI99" s="66">
        <v>213</v>
      </c>
      <c r="AK99" s="67" t="s">
        <v>2243</v>
      </c>
      <c r="AL99" s="67" t="s">
        <v>2427</v>
      </c>
      <c r="AM99" s="67">
        <v>854</v>
      </c>
      <c r="AN99" s="67">
        <v>1101</v>
      </c>
      <c r="AO99" s="67">
        <v>1546</v>
      </c>
      <c r="AP99" s="67">
        <v>1763</v>
      </c>
      <c r="AQ99" s="67">
        <v>1076</v>
      </c>
      <c r="AR99" s="67">
        <v>6340</v>
      </c>
      <c r="AS99" s="67"/>
      <c r="AT99" s="67" t="s">
        <v>2427</v>
      </c>
      <c r="AU99" s="67">
        <v>42</v>
      </c>
      <c r="AV99" s="67">
        <v>7</v>
      </c>
      <c r="AW99" s="67">
        <v>0</v>
      </c>
      <c r="AX99" s="67">
        <v>0</v>
      </c>
      <c r="AY99" s="67">
        <v>0</v>
      </c>
      <c r="AZ99" s="67">
        <v>49</v>
      </c>
      <c r="BB99" s="70" t="s">
        <v>1449</v>
      </c>
      <c r="BC99" s="70" t="s">
        <v>2427</v>
      </c>
      <c r="BD99" s="70">
        <v>548</v>
      </c>
      <c r="BE99" s="70">
        <v>59</v>
      </c>
      <c r="BF99" s="70">
        <v>106</v>
      </c>
      <c r="BG99" s="70">
        <v>134</v>
      </c>
      <c r="BH99" s="70">
        <v>255</v>
      </c>
      <c r="BI99" s="70">
        <v>1102</v>
      </c>
      <c r="BJ99" s="70"/>
      <c r="BK99" s="70" t="s">
        <v>2427</v>
      </c>
      <c r="BL99" s="70">
        <v>192</v>
      </c>
      <c r="BM99" s="70">
        <v>0</v>
      </c>
      <c r="BN99" s="70">
        <v>0</v>
      </c>
      <c r="BO99" s="70">
        <v>0</v>
      </c>
      <c r="BP99" s="70">
        <v>0</v>
      </c>
      <c r="BQ99" s="70">
        <v>192</v>
      </c>
      <c r="BS99" s="71" t="s">
        <v>1637</v>
      </c>
      <c r="BT99" s="71" t="s">
        <v>2441</v>
      </c>
      <c r="BU99" s="71">
        <v>55</v>
      </c>
      <c r="BV99" s="71">
        <v>60</v>
      </c>
      <c r="BW99" s="71">
        <v>86</v>
      </c>
      <c r="BX99" s="71">
        <v>94</v>
      </c>
      <c r="BY99" s="71">
        <v>107</v>
      </c>
      <c r="BZ99" s="71">
        <v>402</v>
      </c>
      <c r="CA99" s="71"/>
      <c r="CB99" s="71" t="s">
        <v>2441</v>
      </c>
      <c r="CC99" s="71">
        <v>25</v>
      </c>
      <c r="CD99" s="71">
        <v>0</v>
      </c>
      <c r="CE99" s="71">
        <v>0</v>
      </c>
      <c r="CF99" s="71">
        <v>0</v>
      </c>
      <c r="CG99" s="71">
        <v>0</v>
      </c>
      <c r="CH99" s="71">
        <v>25</v>
      </c>
      <c r="CL99" s="57" t="s">
        <v>392</v>
      </c>
      <c r="CM99" s="57" t="s">
        <v>2437</v>
      </c>
      <c r="CN99" s="57">
        <v>126</v>
      </c>
      <c r="CO99" s="57">
        <v>65</v>
      </c>
      <c r="CP99" s="57">
        <v>85</v>
      </c>
      <c r="CQ99" s="57">
        <v>118</v>
      </c>
      <c r="CR99" s="57">
        <v>135</v>
      </c>
      <c r="CS99" s="57">
        <v>529</v>
      </c>
      <c r="CT99" s="57"/>
      <c r="CU99" s="57" t="s">
        <v>2437</v>
      </c>
      <c r="CV99" s="57">
        <v>67</v>
      </c>
      <c r="CW99" s="57">
        <v>0</v>
      </c>
      <c r="CX99" s="57">
        <v>0</v>
      </c>
      <c r="CY99" s="57">
        <v>0</v>
      </c>
      <c r="CZ99" s="57">
        <v>0</v>
      </c>
      <c r="DA99" s="57">
        <v>67</v>
      </c>
      <c r="DV99" s="80" t="s">
        <v>1932</v>
      </c>
      <c r="DW99" s="80" t="s">
        <v>2441</v>
      </c>
      <c r="DX99" s="80">
        <v>159</v>
      </c>
      <c r="DY99" s="80">
        <v>102</v>
      </c>
      <c r="DZ99" s="80">
        <v>102</v>
      </c>
      <c r="EA99" s="80">
        <v>144</v>
      </c>
      <c r="EB99" s="80">
        <v>120</v>
      </c>
      <c r="EC99" s="80">
        <v>627</v>
      </c>
      <c r="ED99" s="80"/>
      <c r="EE99" s="80" t="s">
        <v>2441</v>
      </c>
      <c r="EF99" s="80">
        <v>29</v>
      </c>
      <c r="EG99" s="80">
        <v>0</v>
      </c>
      <c r="EH99" s="80">
        <v>0</v>
      </c>
      <c r="EI99" s="80">
        <v>0</v>
      </c>
      <c r="EJ99" s="80">
        <v>0</v>
      </c>
      <c r="EK99" s="80">
        <v>29</v>
      </c>
      <c r="EN99" s="57" t="s">
        <v>2010</v>
      </c>
      <c r="EO99" s="57" t="s">
        <v>2437</v>
      </c>
      <c r="EP99" s="57">
        <v>146</v>
      </c>
      <c r="EQ99" s="57">
        <v>168</v>
      </c>
      <c r="ER99" s="57">
        <v>210</v>
      </c>
      <c r="ES99" s="57">
        <v>231</v>
      </c>
      <c r="ET99" s="57">
        <v>272</v>
      </c>
      <c r="EU99" s="57">
        <v>1027</v>
      </c>
      <c r="EV99" s="57"/>
      <c r="EW99" s="57" t="s">
        <v>2437</v>
      </c>
      <c r="EX99" s="57">
        <v>27</v>
      </c>
      <c r="EY99" s="57">
        <v>7</v>
      </c>
      <c r="EZ99" s="57">
        <v>1</v>
      </c>
      <c r="FA99" s="57">
        <v>0</v>
      </c>
      <c r="FB99" s="57">
        <v>0</v>
      </c>
      <c r="FC99" s="57">
        <v>35</v>
      </c>
      <c r="FF99" s="71" t="s">
        <v>2411</v>
      </c>
      <c r="FG99" s="71" t="s">
        <v>2437</v>
      </c>
      <c r="FH99" s="71">
        <v>111</v>
      </c>
      <c r="FI99" s="71">
        <v>180</v>
      </c>
      <c r="FJ99" s="71">
        <v>252</v>
      </c>
      <c r="FK99" s="71">
        <v>371</v>
      </c>
      <c r="FL99" s="71">
        <v>398</v>
      </c>
      <c r="FM99" s="71">
        <v>1312</v>
      </c>
      <c r="FN99" s="71"/>
      <c r="FO99" s="71" t="s">
        <v>2437</v>
      </c>
      <c r="FP99" s="71">
        <v>5</v>
      </c>
      <c r="FQ99" s="71">
        <v>7</v>
      </c>
      <c r="FR99" s="71">
        <v>1</v>
      </c>
      <c r="FS99" s="71">
        <v>1</v>
      </c>
      <c r="FT99" s="71">
        <v>3</v>
      </c>
      <c r="FU99" s="71">
        <v>17</v>
      </c>
    </row>
    <row r="100" spans="2:177">
      <c r="B100" s="65" t="s">
        <v>162</v>
      </c>
      <c r="C100" s="65" t="s">
        <v>2427</v>
      </c>
      <c r="D100" s="65" t="s">
        <v>356</v>
      </c>
      <c r="E100" s="65" t="s">
        <v>356</v>
      </c>
      <c r="F100" s="65" t="s">
        <v>356</v>
      </c>
      <c r="G100" s="65" t="s">
        <v>356</v>
      </c>
      <c r="H100" s="65" t="s">
        <v>356</v>
      </c>
      <c r="I100" s="65" t="s">
        <v>356</v>
      </c>
      <c r="K100" s="65" t="s">
        <v>2427</v>
      </c>
      <c r="L100" s="65" t="s">
        <v>356</v>
      </c>
      <c r="M100" s="65" t="s">
        <v>356</v>
      </c>
      <c r="N100" s="65" t="s">
        <v>356</v>
      </c>
      <c r="O100" s="65" t="s">
        <v>356</v>
      </c>
      <c r="P100" s="65" t="s">
        <v>356</v>
      </c>
      <c r="Q100" s="65" t="s">
        <v>356</v>
      </c>
      <c r="T100" s="66" t="s">
        <v>1090</v>
      </c>
      <c r="U100" s="66" t="s">
        <v>2441</v>
      </c>
      <c r="V100" s="66">
        <v>560</v>
      </c>
      <c r="W100" s="66">
        <v>583</v>
      </c>
      <c r="X100" s="66">
        <v>871</v>
      </c>
      <c r="Y100" s="66">
        <v>1122</v>
      </c>
      <c r="Z100" s="66">
        <v>883</v>
      </c>
      <c r="AA100" s="66">
        <v>4019</v>
      </c>
      <c r="AB100" s="66"/>
      <c r="AC100" s="66" t="s">
        <v>2441</v>
      </c>
      <c r="AD100" s="66">
        <v>84</v>
      </c>
      <c r="AE100" s="66">
        <v>3</v>
      </c>
      <c r="AF100" s="66">
        <v>1</v>
      </c>
      <c r="AG100" s="66">
        <v>1</v>
      </c>
      <c r="AH100" s="66">
        <v>0</v>
      </c>
      <c r="AI100" s="66">
        <v>89</v>
      </c>
      <c r="AK100" s="67" t="s">
        <v>2207</v>
      </c>
      <c r="AL100" s="67" t="s">
        <v>2427</v>
      </c>
      <c r="AM100" s="67">
        <v>727</v>
      </c>
      <c r="AN100" s="67">
        <v>622</v>
      </c>
      <c r="AO100" s="67">
        <v>831</v>
      </c>
      <c r="AP100" s="67">
        <v>918</v>
      </c>
      <c r="AQ100" s="67">
        <v>601</v>
      </c>
      <c r="AR100" s="67">
        <v>3699</v>
      </c>
      <c r="AS100" s="67"/>
      <c r="AT100" s="67" t="s">
        <v>2427</v>
      </c>
      <c r="AU100" s="67">
        <v>78</v>
      </c>
      <c r="AV100" s="67">
        <v>3</v>
      </c>
      <c r="AW100" s="67">
        <v>0</v>
      </c>
      <c r="AX100" s="67">
        <v>0</v>
      </c>
      <c r="AY100" s="67">
        <v>0</v>
      </c>
      <c r="AZ100" s="67">
        <v>81</v>
      </c>
      <c r="BB100" s="70" t="s">
        <v>487</v>
      </c>
      <c r="BC100" s="70" t="s">
        <v>2427</v>
      </c>
      <c r="BD100" s="70">
        <v>90</v>
      </c>
      <c r="BE100" s="70">
        <v>26</v>
      </c>
      <c r="BF100" s="70">
        <v>46</v>
      </c>
      <c r="BG100" s="70">
        <v>50</v>
      </c>
      <c r="BH100" s="70">
        <v>121</v>
      </c>
      <c r="BI100" s="70">
        <v>333</v>
      </c>
      <c r="BJ100" s="70"/>
      <c r="BK100" s="70" t="s">
        <v>2427</v>
      </c>
      <c r="BL100" s="70">
        <v>47</v>
      </c>
      <c r="BM100" s="70">
        <v>0</v>
      </c>
      <c r="BN100" s="70">
        <v>0</v>
      </c>
      <c r="BO100" s="70">
        <v>0</v>
      </c>
      <c r="BP100" s="70">
        <v>0</v>
      </c>
      <c r="BQ100" s="70">
        <v>47</v>
      </c>
      <c r="BS100" s="71" t="s">
        <v>1643</v>
      </c>
      <c r="BT100" s="71" t="s">
        <v>2441</v>
      </c>
      <c r="BU100" s="71">
        <v>97</v>
      </c>
      <c r="BV100" s="71">
        <v>72</v>
      </c>
      <c r="BW100" s="71">
        <v>158</v>
      </c>
      <c r="BX100" s="71">
        <v>205</v>
      </c>
      <c r="BY100" s="71">
        <v>215</v>
      </c>
      <c r="BZ100" s="71">
        <v>747</v>
      </c>
      <c r="CA100" s="71"/>
      <c r="CB100" s="71" t="s">
        <v>2441</v>
      </c>
      <c r="CC100" s="71">
        <v>25</v>
      </c>
      <c r="CD100" s="71">
        <v>0</v>
      </c>
      <c r="CE100" s="71">
        <v>0</v>
      </c>
      <c r="CF100" s="71">
        <v>0</v>
      </c>
      <c r="CG100" s="71">
        <v>0</v>
      </c>
      <c r="CH100" s="71">
        <v>25</v>
      </c>
      <c r="CL100" s="57" t="s">
        <v>396</v>
      </c>
      <c r="CM100" s="57" t="s">
        <v>2437</v>
      </c>
      <c r="CN100" s="57">
        <v>65</v>
      </c>
      <c r="CO100" s="57">
        <v>46</v>
      </c>
      <c r="CP100" s="57">
        <v>81</v>
      </c>
      <c r="CQ100" s="57">
        <v>112</v>
      </c>
      <c r="CR100" s="57">
        <v>122</v>
      </c>
      <c r="CS100" s="57">
        <v>426</v>
      </c>
      <c r="CT100" s="57"/>
      <c r="CU100" s="57" t="s">
        <v>2437</v>
      </c>
      <c r="CV100" s="57">
        <v>20</v>
      </c>
      <c r="CW100" s="57">
        <v>0</v>
      </c>
      <c r="CX100" s="57">
        <v>0</v>
      </c>
      <c r="CY100" s="57">
        <v>0</v>
      </c>
      <c r="CZ100" s="57">
        <v>0</v>
      </c>
      <c r="DA100" s="57">
        <v>20</v>
      </c>
      <c r="DV100" s="80" t="s">
        <v>1936</v>
      </c>
      <c r="DW100" s="80" t="s">
        <v>2441</v>
      </c>
      <c r="DX100" s="80">
        <v>292</v>
      </c>
      <c r="DY100" s="80">
        <v>238</v>
      </c>
      <c r="DZ100" s="80">
        <v>314</v>
      </c>
      <c r="EA100" s="80">
        <v>300</v>
      </c>
      <c r="EB100" s="80">
        <v>233</v>
      </c>
      <c r="EC100" s="80">
        <v>1377</v>
      </c>
      <c r="ED100" s="80"/>
      <c r="EE100" s="80" t="s">
        <v>2441</v>
      </c>
      <c r="EF100" s="80">
        <v>30</v>
      </c>
      <c r="EG100" s="80">
        <v>0</v>
      </c>
      <c r="EH100" s="80">
        <v>0</v>
      </c>
      <c r="EI100" s="80">
        <v>0</v>
      </c>
      <c r="EJ100" s="80">
        <v>0</v>
      </c>
      <c r="EK100" s="80">
        <v>30</v>
      </c>
      <c r="EN100" s="57" t="s">
        <v>2400</v>
      </c>
      <c r="EO100" s="57" t="s">
        <v>2437</v>
      </c>
      <c r="EP100" s="57">
        <v>104</v>
      </c>
      <c r="EQ100" s="57">
        <v>146</v>
      </c>
      <c r="ER100" s="57">
        <v>172</v>
      </c>
      <c r="ES100" s="57">
        <v>168</v>
      </c>
      <c r="ET100" s="57">
        <v>223</v>
      </c>
      <c r="EU100" s="57">
        <v>813</v>
      </c>
      <c r="EV100" s="57"/>
      <c r="EW100" s="57" t="s">
        <v>2437</v>
      </c>
      <c r="EX100" s="57">
        <v>30</v>
      </c>
      <c r="EY100" s="57">
        <v>8</v>
      </c>
      <c r="EZ100" s="57">
        <v>4</v>
      </c>
      <c r="FA100" s="57">
        <v>0</v>
      </c>
      <c r="FB100" s="57">
        <v>4</v>
      </c>
      <c r="FC100" s="57">
        <v>46</v>
      </c>
      <c r="FF100" s="71" t="s">
        <v>2412</v>
      </c>
      <c r="FG100" s="71" t="s">
        <v>2437</v>
      </c>
      <c r="FH100" s="71">
        <v>240</v>
      </c>
      <c r="FI100" s="71">
        <v>380</v>
      </c>
      <c r="FJ100" s="71">
        <v>431</v>
      </c>
      <c r="FK100" s="71">
        <v>490</v>
      </c>
      <c r="FL100" s="71">
        <v>695</v>
      </c>
      <c r="FM100" s="71">
        <v>2236</v>
      </c>
      <c r="FN100" s="71"/>
      <c r="FO100" s="71" t="s">
        <v>2437</v>
      </c>
      <c r="FP100" s="71">
        <v>32</v>
      </c>
      <c r="FQ100" s="71">
        <v>17</v>
      </c>
      <c r="FR100" s="71">
        <v>1</v>
      </c>
      <c r="FS100" s="71">
        <v>0</v>
      </c>
      <c r="FT100" s="71">
        <v>0</v>
      </c>
      <c r="FU100" s="71">
        <v>50</v>
      </c>
    </row>
    <row r="101" spans="2:177">
      <c r="B101" s="15"/>
      <c r="D101" s="15"/>
      <c r="E101" s="15"/>
      <c r="F101" s="15"/>
      <c r="G101" s="15"/>
      <c r="H101" s="15"/>
      <c r="I101" s="15"/>
      <c r="J101" s="15"/>
      <c r="L101" s="15"/>
      <c r="M101" s="15"/>
      <c r="N101" s="15"/>
      <c r="O101" s="15"/>
      <c r="P101" s="15"/>
      <c r="Q101" s="15"/>
      <c r="T101" s="66" t="s">
        <v>1096</v>
      </c>
      <c r="U101" s="66" t="s">
        <v>2441</v>
      </c>
      <c r="V101" s="66">
        <v>499</v>
      </c>
      <c r="W101" s="66">
        <v>359</v>
      </c>
      <c r="X101" s="66">
        <v>544</v>
      </c>
      <c r="Y101" s="66">
        <v>663</v>
      </c>
      <c r="Z101" s="66">
        <v>516</v>
      </c>
      <c r="AA101" s="66">
        <v>2581</v>
      </c>
      <c r="AB101" s="66"/>
      <c r="AC101" s="66" t="s">
        <v>2441</v>
      </c>
      <c r="AD101" s="66">
        <v>23</v>
      </c>
      <c r="AE101" s="66">
        <v>0</v>
      </c>
      <c r="AF101" s="66">
        <v>0</v>
      </c>
      <c r="AG101" s="66">
        <v>0</v>
      </c>
      <c r="AH101" s="66">
        <v>0</v>
      </c>
      <c r="AI101" s="66">
        <v>23</v>
      </c>
      <c r="AK101" s="67" t="s">
        <v>2222</v>
      </c>
      <c r="AL101" s="67" t="s">
        <v>2427</v>
      </c>
      <c r="AM101" s="67">
        <v>360</v>
      </c>
      <c r="AN101" s="67">
        <v>603</v>
      </c>
      <c r="AO101" s="67">
        <v>864</v>
      </c>
      <c r="AP101" s="67">
        <v>916</v>
      </c>
      <c r="AQ101" s="67">
        <v>614</v>
      </c>
      <c r="AR101" s="67">
        <v>3357</v>
      </c>
      <c r="AS101" s="67"/>
      <c r="AT101" s="67" t="s">
        <v>2427</v>
      </c>
      <c r="AU101" s="67">
        <v>20</v>
      </c>
      <c r="AV101" s="67">
        <v>2</v>
      </c>
      <c r="AW101" s="67">
        <v>0</v>
      </c>
      <c r="AX101" s="67">
        <v>0</v>
      </c>
      <c r="AY101" s="67">
        <v>0</v>
      </c>
      <c r="AZ101" s="67">
        <v>22</v>
      </c>
      <c r="BB101" s="70" t="s">
        <v>1458</v>
      </c>
      <c r="BC101" s="70" t="s">
        <v>2427</v>
      </c>
      <c r="BD101" s="70">
        <v>736</v>
      </c>
      <c r="BE101" s="70">
        <v>604</v>
      </c>
      <c r="BF101" s="70">
        <v>848</v>
      </c>
      <c r="BG101" s="70">
        <v>864</v>
      </c>
      <c r="BH101" s="70">
        <v>710</v>
      </c>
      <c r="BI101" s="70">
        <v>3762</v>
      </c>
      <c r="BJ101" s="70"/>
      <c r="BK101" s="70" t="s">
        <v>2427</v>
      </c>
      <c r="BL101" s="70">
        <v>192</v>
      </c>
      <c r="BM101" s="70">
        <v>0</v>
      </c>
      <c r="BN101" s="70">
        <v>0</v>
      </c>
      <c r="BO101" s="70">
        <v>0</v>
      </c>
      <c r="BP101" s="70">
        <v>0</v>
      </c>
      <c r="BQ101" s="70">
        <v>192</v>
      </c>
      <c r="BS101" s="71" t="s">
        <v>1648</v>
      </c>
      <c r="BT101" s="71" t="s">
        <v>2441</v>
      </c>
      <c r="BU101" s="71">
        <v>66</v>
      </c>
      <c r="BV101" s="71">
        <v>52</v>
      </c>
      <c r="BW101" s="71">
        <v>128</v>
      </c>
      <c r="BX101" s="71">
        <v>204</v>
      </c>
      <c r="BY101" s="71">
        <v>188</v>
      </c>
      <c r="BZ101" s="71">
        <v>638</v>
      </c>
      <c r="CA101" s="71"/>
      <c r="CB101" s="71" t="s">
        <v>2441</v>
      </c>
      <c r="CC101" s="71">
        <v>15</v>
      </c>
      <c r="CD101" s="71">
        <v>0</v>
      </c>
      <c r="CE101" s="71">
        <v>0</v>
      </c>
      <c r="CF101" s="71">
        <v>0</v>
      </c>
      <c r="CG101" s="71">
        <v>0</v>
      </c>
      <c r="CH101" s="71">
        <v>15</v>
      </c>
      <c r="CL101" s="57" t="s">
        <v>394</v>
      </c>
      <c r="CM101" s="57" t="s">
        <v>2437</v>
      </c>
      <c r="CN101" s="57">
        <v>47</v>
      </c>
      <c r="CO101" s="57">
        <v>37</v>
      </c>
      <c r="CP101" s="57">
        <v>97</v>
      </c>
      <c r="CQ101" s="57">
        <v>136</v>
      </c>
      <c r="CR101" s="57">
        <v>180</v>
      </c>
      <c r="CS101" s="57">
        <v>497</v>
      </c>
      <c r="CT101" s="57"/>
      <c r="CU101" s="57" t="s">
        <v>2437</v>
      </c>
      <c r="CV101" s="57">
        <v>6</v>
      </c>
      <c r="CW101" s="57">
        <v>0</v>
      </c>
      <c r="CX101" s="57">
        <v>0</v>
      </c>
      <c r="CY101" s="57">
        <v>0</v>
      </c>
      <c r="CZ101" s="57">
        <v>0</v>
      </c>
      <c r="DA101" s="57">
        <v>6</v>
      </c>
      <c r="DV101" s="80" t="s">
        <v>1939</v>
      </c>
      <c r="DW101" s="80" t="s">
        <v>2441</v>
      </c>
      <c r="DX101" s="80">
        <v>95</v>
      </c>
      <c r="DY101" s="80">
        <v>86</v>
      </c>
      <c r="DZ101" s="80">
        <v>136</v>
      </c>
      <c r="EA101" s="80">
        <v>177</v>
      </c>
      <c r="EB101" s="80">
        <v>146</v>
      </c>
      <c r="EC101" s="80">
        <v>640</v>
      </c>
      <c r="ED101" s="80"/>
      <c r="EE101" s="80" t="s">
        <v>2441</v>
      </c>
      <c r="EF101" s="80">
        <v>11</v>
      </c>
      <c r="EG101" s="80">
        <v>0</v>
      </c>
      <c r="EH101" s="80">
        <v>0</v>
      </c>
      <c r="EI101" s="80">
        <v>0</v>
      </c>
      <c r="EJ101" s="80">
        <v>0</v>
      </c>
      <c r="EK101" s="80">
        <v>11</v>
      </c>
      <c r="EN101" s="57" t="s">
        <v>2013</v>
      </c>
      <c r="EO101" s="57" t="s">
        <v>2437</v>
      </c>
      <c r="EP101" s="57">
        <v>762</v>
      </c>
      <c r="EQ101" s="57">
        <v>708</v>
      </c>
      <c r="ER101" s="57">
        <v>584</v>
      </c>
      <c r="ES101" s="57">
        <v>661</v>
      </c>
      <c r="ET101" s="57">
        <v>682</v>
      </c>
      <c r="EU101" s="57">
        <v>3397</v>
      </c>
      <c r="EV101" s="57"/>
      <c r="EW101" s="57" t="s">
        <v>2437</v>
      </c>
      <c r="EX101" s="57">
        <v>90</v>
      </c>
      <c r="EY101" s="57">
        <v>8</v>
      </c>
      <c r="EZ101" s="57">
        <v>0</v>
      </c>
      <c r="FA101" s="57">
        <v>0</v>
      </c>
      <c r="FB101" s="57">
        <v>0</v>
      </c>
      <c r="FC101" s="57">
        <v>98</v>
      </c>
      <c r="FF101" s="71" t="s">
        <v>2047</v>
      </c>
      <c r="FG101" s="71" t="s">
        <v>2437</v>
      </c>
      <c r="FH101" s="71">
        <v>844</v>
      </c>
      <c r="FI101" s="71">
        <v>750</v>
      </c>
      <c r="FJ101" s="71">
        <v>620</v>
      </c>
      <c r="FK101" s="71">
        <v>632</v>
      </c>
      <c r="FL101" s="71">
        <v>842</v>
      </c>
      <c r="FM101" s="71">
        <v>3688</v>
      </c>
      <c r="FN101" s="71"/>
      <c r="FO101" s="71" t="s">
        <v>2437</v>
      </c>
      <c r="FP101" s="71">
        <v>189</v>
      </c>
      <c r="FQ101" s="71">
        <v>0</v>
      </c>
      <c r="FR101" s="71">
        <v>0</v>
      </c>
      <c r="FS101" s="71">
        <v>0</v>
      </c>
      <c r="FT101" s="71">
        <v>0</v>
      </c>
      <c r="FU101" s="71">
        <v>189</v>
      </c>
    </row>
    <row r="102" spans="2:177">
      <c r="B102" s="65" t="s">
        <v>812</v>
      </c>
      <c r="C102" s="65" t="s">
        <v>2437</v>
      </c>
      <c r="D102" s="65">
        <v>113</v>
      </c>
      <c r="E102" s="65">
        <v>145</v>
      </c>
      <c r="F102" s="65">
        <v>248</v>
      </c>
      <c r="G102" s="65">
        <v>334</v>
      </c>
      <c r="H102" s="65">
        <v>289</v>
      </c>
      <c r="I102" s="65">
        <v>1129</v>
      </c>
      <c r="K102" s="65" t="s">
        <v>2437</v>
      </c>
      <c r="L102" s="65">
        <v>7</v>
      </c>
      <c r="M102" s="65">
        <v>0</v>
      </c>
      <c r="N102" s="65">
        <v>1</v>
      </c>
      <c r="O102" s="65">
        <v>1</v>
      </c>
      <c r="P102" s="65">
        <v>0</v>
      </c>
      <c r="Q102" s="65">
        <v>9</v>
      </c>
      <c r="T102" s="66" t="s">
        <v>1103</v>
      </c>
      <c r="U102" s="66" t="s">
        <v>2441</v>
      </c>
      <c r="V102" s="66">
        <v>102</v>
      </c>
      <c r="W102" s="66">
        <v>67</v>
      </c>
      <c r="X102" s="66">
        <v>131</v>
      </c>
      <c r="Y102" s="66">
        <v>145</v>
      </c>
      <c r="Z102" s="66">
        <v>153</v>
      </c>
      <c r="AA102" s="66">
        <v>598</v>
      </c>
      <c r="AB102" s="66"/>
      <c r="AC102" s="66" t="s">
        <v>2441</v>
      </c>
      <c r="AD102" s="66">
        <v>10</v>
      </c>
      <c r="AE102" s="66">
        <v>0</v>
      </c>
      <c r="AF102" s="66">
        <v>0</v>
      </c>
      <c r="AG102" s="66">
        <v>0</v>
      </c>
      <c r="AH102" s="66">
        <v>0</v>
      </c>
      <c r="AI102" s="66">
        <v>10</v>
      </c>
      <c r="AK102" s="67" t="s">
        <v>2442</v>
      </c>
      <c r="AL102" s="67" t="s">
        <v>2427</v>
      </c>
      <c r="AM102" s="67">
        <v>190</v>
      </c>
      <c r="AN102" s="67">
        <v>339</v>
      </c>
      <c r="AO102" s="67">
        <v>549</v>
      </c>
      <c r="AP102" s="67">
        <v>821</v>
      </c>
      <c r="AQ102" s="67">
        <v>571</v>
      </c>
      <c r="AR102" s="67">
        <v>2470</v>
      </c>
      <c r="AS102" s="67"/>
      <c r="AT102" s="67" t="s">
        <v>2427</v>
      </c>
      <c r="AU102" s="67">
        <v>18</v>
      </c>
      <c r="AV102" s="67">
        <v>4</v>
      </c>
      <c r="AW102" s="67">
        <v>2</v>
      </c>
      <c r="AX102" s="67">
        <v>2</v>
      </c>
      <c r="AY102" s="67">
        <v>1</v>
      </c>
      <c r="AZ102" s="67">
        <v>27</v>
      </c>
      <c r="BB102" s="70" t="s">
        <v>1461</v>
      </c>
      <c r="BC102" s="70" t="s">
        <v>2427</v>
      </c>
      <c r="BD102" s="70">
        <v>173</v>
      </c>
      <c r="BE102" s="70">
        <v>134</v>
      </c>
      <c r="BF102" s="70">
        <v>249</v>
      </c>
      <c r="BG102" s="70">
        <v>354</v>
      </c>
      <c r="BH102" s="70">
        <v>360</v>
      </c>
      <c r="BI102" s="70">
        <v>1270</v>
      </c>
      <c r="BJ102" s="70"/>
      <c r="BK102" s="70" t="s">
        <v>2427</v>
      </c>
      <c r="BL102" s="70">
        <v>24</v>
      </c>
      <c r="BM102" s="70">
        <v>0</v>
      </c>
      <c r="BN102" s="70">
        <v>0</v>
      </c>
      <c r="BO102" s="70">
        <v>0</v>
      </c>
      <c r="BP102" s="70">
        <v>0</v>
      </c>
      <c r="BQ102" s="70">
        <v>24</v>
      </c>
      <c r="BS102" s="71" t="s">
        <v>1650</v>
      </c>
      <c r="BT102" s="71" t="s">
        <v>2441</v>
      </c>
      <c r="BU102" s="71">
        <v>58</v>
      </c>
      <c r="BV102" s="71">
        <v>81</v>
      </c>
      <c r="BW102" s="71">
        <v>133</v>
      </c>
      <c r="BX102" s="71">
        <v>163</v>
      </c>
      <c r="BY102" s="71">
        <v>174</v>
      </c>
      <c r="BZ102" s="71">
        <v>609</v>
      </c>
      <c r="CA102" s="71"/>
      <c r="CB102" s="71" t="s">
        <v>2441</v>
      </c>
      <c r="CC102" s="71">
        <v>14</v>
      </c>
      <c r="CD102" s="71">
        <v>0</v>
      </c>
      <c r="CE102" s="71">
        <v>0</v>
      </c>
      <c r="CF102" s="71">
        <v>0</v>
      </c>
      <c r="CG102" s="71">
        <v>0</v>
      </c>
      <c r="CH102" s="71">
        <v>14</v>
      </c>
      <c r="CL102" s="57" t="s">
        <v>565</v>
      </c>
      <c r="CM102" s="57" t="s">
        <v>2437</v>
      </c>
      <c r="CN102" s="57">
        <v>208</v>
      </c>
      <c r="CO102" s="57">
        <v>92</v>
      </c>
      <c r="CP102" s="57">
        <v>150</v>
      </c>
      <c r="CQ102" s="57">
        <v>191</v>
      </c>
      <c r="CR102" s="57">
        <v>312</v>
      </c>
      <c r="CS102" s="57">
        <v>953</v>
      </c>
      <c r="CT102" s="57"/>
      <c r="CU102" s="57" t="s">
        <v>2437</v>
      </c>
      <c r="CV102" s="57">
        <v>56</v>
      </c>
      <c r="CW102" s="57">
        <v>0</v>
      </c>
      <c r="CX102" s="57">
        <v>0</v>
      </c>
      <c r="CY102" s="57">
        <v>0</v>
      </c>
      <c r="CZ102" s="57">
        <v>0</v>
      </c>
      <c r="DA102" s="57">
        <v>56</v>
      </c>
      <c r="EN102" s="57" t="s">
        <v>2402</v>
      </c>
      <c r="EO102" s="57" t="s">
        <v>2437</v>
      </c>
      <c r="EP102" s="57" t="s">
        <v>356</v>
      </c>
      <c r="EQ102" s="57" t="s">
        <v>356</v>
      </c>
      <c r="ER102" s="57" t="s">
        <v>356</v>
      </c>
      <c r="ES102" s="57" t="s">
        <v>356</v>
      </c>
      <c r="ET102" s="57" t="s">
        <v>356</v>
      </c>
      <c r="EU102" s="57" t="s">
        <v>356</v>
      </c>
      <c r="EV102" s="57"/>
      <c r="EW102" s="57" t="s">
        <v>2437</v>
      </c>
      <c r="EX102" s="57" t="s">
        <v>356</v>
      </c>
      <c r="EY102" s="57" t="s">
        <v>356</v>
      </c>
      <c r="EZ102" s="57" t="s">
        <v>356</v>
      </c>
      <c r="FA102" s="57" t="s">
        <v>356</v>
      </c>
      <c r="FB102" s="57" t="s">
        <v>356</v>
      </c>
      <c r="FC102" s="57" t="s">
        <v>356</v>
      </c>
      <c r="FF102" s="71" t="s">
        <v>2050</v>
      </c>
      <c r="FG102" s="71" t="s">
        <v>2437</v>
      </c>
      <c r="FH102" s="71">
        <v>194</v>
      </c>
      <c r="FI102" s="71">
        <v>291</v>
      </c>
      <c r="FJ102" s="71">
        <v>272</v>
      </c>
      <c r="FK102" s="71">
        <v>352</v>
      </c>
      <c r="FL102" s="71">
        <v>418</v>
      </c>
      <c r="FM102" s="71">
        <v>1527</v>
      </c>
      <c r="FN102" s="71"/>
      <c r="FO102" s="71" t="s">
        <v>2437</v>
      </c>
      <c r="FP102" s="71">
        <v>39</v>
      </c>
      <c r="FQ102" s="71">
        <v>24</v>
      </c>
      <c r="FR102" s="71">
        <v>0</v>
      </c>
      <c r="FS102" s="71">
        <v>0</v>
      </c>
      <c r="FT102" s="71">
        <v>0</v>
      </c>
      <c r="FU102" s="71">
        <v>63</v>
      </c>
    </row>
    <row r="103" spans="2:177">
      <c r="B103" s="65" t="s">
        <v>821</v>
      </c>
      <c r="C103" s="65" t="s">
        <v>2437</v>
      </c>
      <c r="D103" s="65">
        <v>158</v>
      </c>
      <c r="E103" s="65">
        <v>322</v>
      </c>
      <c r="F103" s="65">
        <v>438</v>
      </c>
      <c r="G103" s="65">
        <v>608</v>
      </c>
      <c r="H103" s="65">
        <v>490</v>
      </c>
      <c r="I103" s="65">
        <v>2016</v>
      </c>
      <c r="K103" s="65" t="s">
        <v>2437</v>
      </c>
      <c r="L103" s="65">
        <v>8</v>
      </c>
      <c r="M103" s="65">
        <v>0</v>
      </c>
      <c r="N103" s="65">
        <v>0</v>
      </c>
      <c r="O103" s="65">
        <v>0</v>
      </c>
      <c r="P103" s="65">
        <v>0</v>
      </c>
      <c r="Q103" s="65">
        <v>8</v>
      </c>
      <c r="T103" s="66" t="s">
        <v>1109</v>
      </c>
      <c r="U103" s="66" t="s">
        <v>2441</v>
      </c>
      <c r="V103" s="66">
        <v>480</v>
      </c>
      <c r="W103" s="66">
        <v>509</v>
      </c>
      <c r="X103" s="66">
        <v>678</v>
      </c>
      <c r="Y103" s="66">
        <v>771</v>
      </c>
      <c r="Z103" s="66">
        <v>581</v>
      </c>
      <c r="AA103" s="66">
        <v>3019</v>
      </c>
      <c r="AB103" s="66"/>
      <c r="AC103" s="66" t="s">
        <v>2441</v>
      </c>
      <c r="AD103" s="66">
        <v>11</v>
      </c>
      <c r="AE103" s="66">
        <v>0</v>
      </c>
      <c r="AF103" s="66">
        <v>0</v>
      </c>
      <c r="AG103" s="66">
        <v>0</v>
      </c>
      <c r="AH103" s="66">
        <v>0</v>
      </c>
      <c r="AI103" s="66">
        <v>11</v>
      </c>
      <c r="AK103" s="67" t="s">
        <v>2223</v>
      </c>
      <c r="AL103" s="67" t="s">
        <v>2427</v>
      </c>
      <c r="AM103" s="67">
        <v>214</v>
      </c>
      <c r="AN103" s="67">
        <v>419</v>
      </c>
      <c r="AO103" s="67">
        <v>578</v>
      </c>
      <c r="AP103" s="67">
        <v>747</v>
      </c>
      <c r="AQ103" s="67">
        <v>552</v>
      </c>
      <c r="AR103" s="67">
        <v>2510</v>
      </c>
      <c r="AS103" s="67"/>
      <c r="AT103" s="67" t="s">
        <v>2427</v>
      </c>
      <c r="AU103" s="67">
        <v>16</v>
      </c>
      <c r="AV103" s="67">
        <v>4</v>
      </c>
      <c r="AW103" s="67">
        <v>1</v>
      </c>
      <c r="AX103" s="67">
        <v>1</v>
      </c>
      <c r="AY103" s="67">
        <v>0</v>
      </c>
      <c r="AZ103" s="67">
        <v>22</v>
      </c>
      <c r="BB103" s="70" t="s">
        <v>1464</v>
      </c>
      <c r="BC103" s="70" t="s">
        <v>2427</v>
      </c>
      <c r="BD103" s="70">
        <v>51</v>
      </c>
      <c r="BE103" s="70">
        <v>145</v>
      </c>
      <c r="BF103" s="70">
        <v>300</v>
      </c>
      <c r="BG103" s="70">
        <v>490</v>
      </c>
      <c r="BH103" s="70">
        <v>478</v>
      </c>
      <c r="BI103" s="70">
        <v>1464</v>
      </c>
      <c r="BJ103" s="70"/>
      <c r="BK103" s="70" t="s">
        <v>2427</v>
      </c>
      <c r="BL103" s="70">
        <v>17</v>
      </c>
      <c r="BM103" s="70">
        <v>2</v>
      </c>
      <c r="BN103" s="70">
        <v>6</v>
      </c>
      <c r="BO103" s="70">
        <v>0</v>
      </c>
      <c r="BP103" s="70">
        <v>0</v>
      </c>
      <c r="BQ103" s="70">
        <v>25</v>
      </c>
      <c r="BS103" s="71" t="s">
        <v>1655</v>
      </c>
      <c r="BT103" s="71" t="s">
        <v>2441</v>
      </c>
      <c r="BU103" s="71">
        <v>72</v>
      </c>
      <c r="BV103" s="71">
        <v>71</v>
      </c>
      <c r="BW103" s="71">
        <v>116</v>
      </c>
      <c r="BX103" s="71">
        <v>143</v>
      </c>
      <c r="BY103" s="71">
        <v>148</v>
      </c>
      <c r="BZ103" s="71">
        <v>550</v>
      </c>
      <c r="CA103" s="71"/>
      <c r="CB103" s="71" t="s">
        <v>2441</v>
      </c>
      <c r="CC103" s="71">
        <v>24</v>
      </c>
      <c r="CD103" s="71">
        <v>0</v>
      </c>
      <c r="CE103" s="71">
        <v>0</v>
      </c>
      <c r="CF103" s="71">
        <v>0</v>
      </c>
      <c r="CG103" s="71">
        <v>0</v>
      </c>
      <c r="CH103" s="71">
        <v>24</v>
      </c>
      <c r="CL103" s="57" t="s">
        <v>569</v>
      </c>
      <c r="CM103" s="57" t="s">
        <v>2437</v>
      </c>
      <c r="CN103" s="57">
        <v>244</v>
      </c>
      <c r="CO103" s="57">
        <v>189</v>
      </c>
      <c r="CP103" s="57">
        <v>248</v>
      </c>
      <c r="CQ103" s="57">
        <v>302</v>
      </c>
      <c r="CR103" s="57">
        <v>273</v>
      </c>
      <c r="CS103" s="57">
        <v>1256</v>
      </c>
      <c r="CT103" s="57"/>
      <c r="CU103" s="57" t="s">
        <v>2437</v>
      </c>
      <c r="CV103" s="57">
        <v>26</v>
      </c>
      <c r="CW103" s="57">
        <v>0</v>
      </c>
      <c r="CX103" s="57">
        <v>0</v>
      </c>
      <c r="CY103" s="57">
        <v>0</v>
      </c>
      <c r="CZ103" s="57">
        <v>0</v>
      </c>
      <c r="DA103" s="57">
        <v>26</v>
      </c>
      <c r="DV103" s="80" t="s">
        <v>1843</v>
      </c>
      <c r="DW103" s="80" t="s">
        <v>811</v>
      </c>
      <c r="DX103" s="80">
        <v>652</v>
      </c>
      <c r="DY103" s="80">
        <v>490</v>
      </c>
      <c r="DZ103" s="80">
        <v>600</v>
      </c>
      <c r="EA103" s="80">
        <v>617</v>
      </c>
      <c r="EB103" s="80">
        <v>471</v>
      </c>
      <c r="EC103" s="80">
        <v>2830</v>
      </c>
      <c r="ED103" s="80"/>
      <c r="EE103" s="80" t="s">
        <v>811</v>
      </c>
      <c r="EF103" s="80">
        <v>51</v>
      </c>
      <c r="EG103" s="80">
        <v>0</v>
      </c>
      <c r="EH103" s="80">
        <v>0</v>
      </c>
      <c r="EI103" s="80">
        <v>0</v>
      </c>
      <c r="EJ103" s="80">
        <v>0</v>
      </c>
      <c r="EK103" s="80">
        <v>51</v>
      </c>
      <c r="EN103" s="57" t="s">
        <v>2017</v>
      </c>
      <c r="EO103" s="57" t="s">
        <v>2437</v>
      </c>
      <c r="EP103" s="57" t="s">
        <v>356</v>
      </c>
      <c r="EQ103" s="57" t="s">
        <v>356</v>
      </c>
      <c r="ER103" s="57" t="s">
        <v>356</v>
      </c>
      <c r="ES103" s="57" t="s">
        <v>356</v>
      </c>
      <c r="ET103" s="57" t="s">
        <v>356</v>
      </c>
      <c r="EU103" s="57" t="s">
        <v>356</v>
      </c>
      <c r="EV103" s="57"/>
      <c r="EW103" s="57" t="s">
        <v>2437</v>
      </c>
      <c r="EX103" s="57" t="s">
        <v>356</v>
      </c>
      <c r="EY103" s="57" t="s">
        <v>356</v>
      </c>
      <c r="EZ103" s="57" t="s">
        <v>356</v>
      </c>
      <c r="FA103" s="57" t="s">
        <v>356</v>
      </c>
      <c r="FB103" s="57" t="s">
        <v>356</v>
      </c>
      <c r="FC103" s="57" t="s">
        <v>356</v>
      </c>
      <c r="FF103" s="71" t="s">
        <v>2052</v>
      </c>
      <c r="FG103" s="71" t="s">
        <v>2437</v>
      </c>
      <c r="FH103" s="71">
        <v>181</v>
      </c>
      <c r="FI103" s="71">
        <v>225</v>
      </c>
      <c r="FJ103" s="71">
        <v>200</v>
      </c>
      <c r="FK103" s="71">
        <v>232</v>
      </c>
      <c r="FL103" s="71">
        <v>298</v>
      </c>
      <c r="FM103" s="71">
        <v>1136</v>
      </c>
      <c r="FN103" s="71"/>
      <c r="FO103" s="71" t="s">
        <v>2437</v>
      </c>
      <c r="FP103" s="71">
        <v>49</v>
      </c>
      <c r="FQ103" s="71">
        <v>14</v>
      </c>
      <c r="FR103" s="71">
        <v>4</v>
      </c>
      <c r="FS103" s="71">
        <v>2</v>
      </c>
      <c r="FT103" s="71">
        <v>0</v>
      </c>
      <c r="FU103" s="71">
        <v>69</v>
      </c>
    </row>
    <row r="104" spans="2:177">
      <c r="B104" s="65" t="s">
        <v>825</v>
      </c>
      <c r="C104" s="65" t="s">
        <v>2437</v>
      </c>
      <c r="D104" s="65">
        <v>721</v>
      </c>
      <c r="E104" s="65">
        <v>750</v>
      </c>
      <c r="F104" s="65">
        <v>769</v>
      </c>
      <c r="G104" s="65">
        <v>856</v>
      </c>
      <c r="H104" s="65">
        <v>595</v>
      </c>
      <c r="I104" s="65">
        <v>3691</v>
      </c>
      <c r="K104" s="65" t="s">
        <v>2437</v>
      </c>
      <c r="L104" s="65">
        <v>126</v>
      </c>
      <c r="M104" s="65">
        <v>3</v>
      </c>
      <c r="N104" s="65">
        <v>0</v>
      </c>
      <c r="O104" s="65">
        <v>0</v>
      </c>
      <c r="P104" s="65">
        <v>0</v>
      </c>
      <c r="Q104" s="65">
        <v>129</v>
      </c>
      <c r="T104" s="66" t="s">
        <v>1119</v>
      </c>
      <c r="U104" s="66" t="s">
        <v>2441</v>
      </c>
      <c r="V104" s="66">
        <v>196</v>
      </c>
      <c r="W104" s="66">
        <v>145</v>
      </c>
      <c r="X104" s="66">
        <v>255</v>
      </c>
      <c r="Y104" s="66">
        <v>341</v>
      </c>
      <c r="Z104" s="66">
        <v>282</v>
      </c>
      <c r="AA104" s="66">
        <v>1219</v>
      </c>
      <c r="AB104" s="66"/>
      <c r="AC104" s="66" t="s">
        <v>2441</v>
      </c>
      <c r="AD104" s="66">
        <v>29</v>
      </c>
      <c r="AE104" s="66">
        <v>0</v>
      </c>
      <c r="AF104" s="66">
        <v>1</v>
      </c>
      <c r="AG104" s="66">
        <v>0</v>
      </c>
      <c r="AH104" s="66">
        <v>0</v>
      </c>
      <c r="AI104" s="66">
        <v>30</v>
      </c>
      <c r="BB104" s="70" t="s">
        <v>1467</v>
      </c>
      <c r="BC104" s="70" t="s">
        <v>2427</v>
      </c>
      <c r="BD104" s="70">
        <v>114</v>
      </c>
      <c r="BE104" s="70">
        <v>119</v>
      </c>
      <c r="BF104" s="70">
        <v>260</v>
      </c>
      <c r="BG104" s="70">
        <v>344</v>
      </c>
      <c r="BH104" s="70">
        <v>337</v>
      </c>
      <c r="BI104" s="70">
        <v>1174</v>
      </c>
      <c r="BJ104" s="70"/>
      <c r="BK104" s="70" t="s">
        <v>2427</v>
      </c>
      <c r="BL104" s="70">
        <v>21</v>
      </c>
      <c r="BM104" s="70">
        <v>0</v>
      </c>
      <c r="BN104" s="70">
        <v>0</v>
      </c>
      <c r="BO104" s="70">
        <v>0</v>
      </c>
      <c r="BP104" s="70">
        <v>0</v>
      </c>
      <c r="BQ104" s="70">
        <v>21</v>
      </c>
      <c r="BS104" s="71" t="s">
        <v>1657</v>
      </c>
      <c r="BT104" s="71" t="s">
        <v>2441</v>
      </c>
      <c r="BU104" s="71" t="s">
        <v>356</v>
      </c>
      <c r="BV104" s="71" t="s">
        <v>356</v>
      </c>
      <c r="BW104" s="71" t="s">
        <v>356</v>
      </c>
      <c r="BX104" s="71" t="s">
        <v>356</v>
      </c>
      <c r="BY104" s="71" t="s">
        <v>356</v>
      </c>
      <c r="BZ104" s="71" t="s">
        <v>356</v>
      </c>
      <c r="CA104" s="71"/>
      <c r="CB104" s="71" t="s">
        <v>2441</v>
      </c>
      <c r="CC104" s="71" t="s">
        <v>356</v>
      </c>
      <c r="CD104" s="71" t="s">
        <v>356</v>
      </c>
      <c r="CE104" s="71" t="s">
        <v>356</v>
      </c>
      <c r="CF104" s="71" t="s">
        <v>356</v>
      </c>
      <c r="CG104" s="71" t="s">
        <v>356</v>
      </c>
      <c r="CH104" s="71" t="s">
        <v>356</v>
      </c>
      <c r="CL104" s="57" t="s">
        <v>571</v>
      </c>
      <c r="CM104" s="57" t="s">
        <v>2437</v>
      </c>
      <c r="CN104" s="57">
        <v>118</v>
      </c>
      <c r="CO104" s="57">
        <v>95</v>
      </c>
      <c r="CP104" s="57">
        <v>192</v>
      </c>
      <c r="CQ104" s="57">
        <v>251</v>
      </c>
      <c r="CR104" s="57">
        <v>245</v>
      </c>
      <c r="CS104" s="57">
        <v>901</v>
      </c>
      <c r="CT104" s="57"/>
      <c r="CU104" s="57" t="s">
        <v>2437</v>
      </c>
      <c r="CV104" s="57">
        <v>21</v>
      </c>
      <c r="CW104" s="57">
        <v>0</v>
      </c>
      <c r="CX104" s="57">
        <v>0</v>
      </c>
      <c r="CY104" s="57">
        <v>0</v>
      </c>
      <c r="CZ104" s="57">
        <v>0</v>
      </c>
      <c r="DA104" s="57">
        <v>21</v>
      </c>
      <c r="DV104" s="80" t="s">
        <v>1848</v>
      </c>
      <c r="DW104" s="80" t="s">
        <v>811</v>
      </c>
      <c r="DX104" s="80">
        <v>217</v>
      </c>
      <c r="DY104" s="80">
        <v>249</v>
      </c>
      <c r="DZ104" s="80">
        <v>328</v>
      </c>
      <c r="EA104" s="80">
        <v>406</v>
      </c>
      <c r="EB104" s="80">
        <v>288</v>
      </c>
      <c r="EC104" s="80">
        <v>1488</v>
      </c>
      <c r="ED104" s="80"/>
      <c r="EE104" s="80" t="s">
        <v>811</v>
      </c>
      <c r="EF104" s="80">
        <v>13</v>
      </c>
      <c r="EG104" s="80">
        <v>1</v>
      </c>
      <c r="EH104" s="80">
        <v>0</v>
      </c>
      <c r="EI104" s="80">
        <v>0</v>
      </c>
      <c r="EJ104" s="80">
        <v>0</v>
      </c>
      <c r="EK104" s="80">
        <v>14</v>
      </c>
      <c r="EN104" s="57" t="s">
        <v>2021</v>
      </c>
      <c r="EO104" s="57" t="s">
        <v>2437</v>
      </c>
      <c r="EP104" s="57">
        <v>168</v>
      </c>
      <c r="EQ104" s="57">
        <v>243</v>
      </c>
      <c r="ER104" s="57">
        <v>338</v>
      </c>
      <c r="ES104" s="57">
        <v>419</v>
      </c>
      <c r="ET104" s="57">
        <v>417</v>
      </c>
      <c r="EU104" s="57">
        <v>1585</v>
      </c>
      <c r="EV104" s="57"/>
      <c r="EW104" s="57" t="s">
        <v>2437</v>
      </c>
      <c r="EX104" s="57">
        <v>32</v>
      </c>
      <c r="EY104" s="57">
        <v>8</v>
      </c>
      <c r="EZ104" s="57">
        <v>4</v>
      </c>
      <c r="FA104" s="57">
        <v>3</v>
      </c>
      <c r="FB104" s="57">
        <v>6</v>
      </c>
      <c r="FC104" s="57">
        <v>53</v>
      </c>
      <c r="FF104" s="71" t="s">
        <v>2054</v>
      </c>
      <c r="FG104" s="71" t="s">
        <v>2437</v>
      </c>
      <c r="FH104" s="71">
        <v>404</v>
      </c>
      <c r="FI104" s="71">
        <v>408</v>
      </c>
      <c r="FJ104" s="71">
        <v>407</v>
      </c>
      <c r="FK104" s="71">
        <v>364</v>
      </c>
      <c r="FL104" s="71">
        <v>563</v>
      </c>
      <c r="FM104" s="71">
        <v>2146</v>
      </c>
      <c r="FN104" s="71"/>
      <c r="FO104" s="71" t="s">
        <v>2437</v>
      </c>
      <c r="FP104" s="71">
        <v>104</v>
      </c>
      <c r="FQ104" s="71">
        <v>22</v>
      </c>
      <c r="FR104" s="71">
        <v>0</v>
      </c>
      <c r="FS104" s="71">
        <v>0</v>
      </c>
      <c r="FT104" s="71">
        <v>0</v>
      </c>
      <c r="FU104" s="71">
        <v>126</v>
      </c>
    </row>
    <row r="105" spans="2:177">
      <c r="B105" s="65" t="s">
        <v>830</v>
      </c>
      <c r="C105" s="65" t="s">
        <v>2437</v>
      </c>
      <c r="D105" s="65">
        <v>615</v>
      </c>
      <c r="E105" s="65">
        <v>838</v>
      </c>
      <c r="F105" s="65">
        <v>1298</v>
      </c>
      <c r="G105" s="65">
        <v>1577</v>
      </c>
      <c r="H105" s="65">
        <v>956</v>
      </c>
      <c r="I105" s="65">
        <v>5284</v>
      </c>
      <c r="K105" s="65" t="s">
        <v>2437</v>
      </c>
      <c r="L105" s="65">
        <v>52</v>
      </c>
      <c r="M105" s="65">
        <v>3</v>
      </c>
      <c r="N105" s="65">
        <v>0</v>
      </c>
      <c r="O105" s="65">
        <v>1</v>
      </c>
      <c r="P105" s="65">
        <v>0</v>
      </c>
      <c r="Q105" s="65">
        <v>56</v>
      </c>
      <c r="T105" s="66" t="s">
        <v>1125</v>
      </c>
      <c r="U105" s="66" t="s">
        <v>2441</v>
      </c>
      <c r="V105" s="66">
        <v>206</v>
      </c>
      <c r="W105" s="66">
        <v>227</v>
      </c>
      <c r="X105" s="66">
        <v>360</v>
      </c>
      <c r="Y105" s="66">
        <v>490</v>
      </c>
      <c r="Z105" s="66">
        <v>390</v>
      </c>
      <c r="AA105" s="66">
        <v>1673</v>
      </c>
      <c r="AB105" s="66"/>
      <c r="AC105" s="66" t="s">
        <v>2441</v>
      </c>
      <c r="AD105" s="66">
        <v>16</v>
      </c>
      <c r="AE105" s="66">
        <v>4</v>
      </c>
      <c r="AF105" s="66">
        <v>0</v>
      </c>
      <c r="AG105" s="66">
        <v>0</v>
      </c>
      <c r="AH105" s="66">
        <v>0</v>
      </c>
      <c r="AI105" s="66">
        <v>20</v>
      </c>
      <c r="AK105" s="67" t="s">
        <v>2202</v>
      </c>
      <c r="AL105" s="67" t="s">
        <v>2427</v>
      </c>
      <c r="AM105" s="67">
        <v>393</v>
      </c>
      <c r="AN105" s="67">
        <v>376</v>
      </c>
      <c r="AO105" s="67">
        <v>369</v>
      </c>
      <c r="AP105" s="67">
        <v>406</v>
      </c>
      <c r="AQ105" s="67">
        <v>529</v>
      </c>
      <c r="AR105" s="67">
        <v>2073</v>
      </c>
      <c r="AS105" s="67"/>
      <c r="AT105" s="67" t="s">
        <v>2427</v>
      </c>
      <c r="AU105" s="67">
        <v>127</v>
      </c>
      <c r="AV105" s="67">
        <v>60</v>
      </c>
      <c r="AW105" s="67">
        <v>43</v>
      </c>
      <c r="AX105" s="67">
        <v>38</v>
      </c>
      <c r="AY105" s="67">
        <v>55</v>
      </c>
      <c r="AZ105" s="67">
        <v>323</v>
      </c>
      <c r="BB105" s="70" t="s">
        <v>1470</v>
      </c>
      <c r="BC105" s="70" t="s">
        <v>2427</v>
      </c>
      <c r="BD105" s="70">
        <v>105</v>
      </c>
      <c r="BE105" s="70">
        <v>206</v>
      </c>
      <c r="BF105" s="70">
        <v>344</v>
      </c>
      <c r="BG105" s="70">
        <v>464</v>
      </c>
      <c r="BH105" s="70">
        <v>368</v>
      </c>
      <c r="BI105" s="70">
        <v>1487</v>
      </c>
      <c r="BJ105" s="70"/>
      <c r="BK105" s="70" t="s">
        <v>2427</v>
      </c>
      <c r="BL105" s="70">
        <v>21</v>
      </c>
      <c r="BM105" s="70">
        <v>0</v>
      </c>
      <c r="BN105" s="70">
        <v>0</v>
      </c>
      <c r="BO105" s="70">
        <v>0</v>
      </c>
      <c r="BP105" s="70">
        <v>0</v>
      </c>
      <c r="BQ105" s="70">
        <v>21</v>
      </c>
      <c r="BS105" s="71" t="s">
        <v>1661</v>
      </c>
      <c r="BT105" s="71" t="s">
        <v>2443</v>
      </c>
      <c r="BU105" s="71">
        <v>71</v>
      </c>
      <c r="BV105" s="71">
        <v>50</v>
      </c>
      <c r="BW105" s="71">
        <v>68</v>
      </c>
      <c r="BX105" s="71">
        <v>107</v>
      </c>
      <c r="BY105" s="71">
        <v>126</v>
      </c>
      <c r="BZ105" s="71">
        <v>422</v>
      </c>
      <c r="CA105" s="71"/>
      <c r="CB105" s="71" t="s">
        <v>2441</v>
      </c>
      <c r="CC105" s="71">
        <v>28</v>
      </c>
      <c r="CD105" s="71">
        <v>0</v>
      </c>
      <c r="CE105" s="71">
        <v>0</v>
      </c>
      <c r="CF105" s="71">
        <v>0</v>
      </c>
      <c r="CG105" s="71">
        <v>0</v>
      </c>
      <c r="CH105" s="71">
        <v>28</v>
      </c>
      <c r="CL105" s="57" t="s">
        <v>574</v>
      </c>
      <c r="CM105" s="57" t="s">
        <v>2437</v>
      </c>
      <c r="CN105" s="57">
        <v>288</v>
      </c>
      <c r="CO105" s="57">
        <v>468</v>
      </c>
      <c r="CP105" s="57">
        <v>727</v>
      </c>
      <c r="CQ105" s="57">
        <v>967</v>
      </c>
      <c r="CR105" s="57">
        <v>770</v>
      </c>
      <c r="CS105" s="57">
        <v>3220</v>
      </c>
      <c r="CT105" s="57"/>
      <c r="CU105" s="57" t="s">
        <v>2437</v>
      </c>
      <c r="CV105" s="57">
        <v>19</v>
      </c>
      <c r="CW105" s="57">
        <v>0</v>
      </c>
      <c r="CX105" s="57">
        <v>0</v>
      </c>
      <c r="CY105" s="57">
        <v>0</v>
      </c>
      <c r="CZ105" s="57">
        <v>0</v>
      </c>
      <c r="DA105" s="57">
        <v>19</v>
      </c>
      <c r="DV105" s="80" t="s">
        <v>1852</v>
      </c>
      <c r="DW105" s="80" t="s">
        <v>27</v>
      </c>
      <c r="DX105" s="80">
        <v>789</v>
      </c>
      <c r="DY105" s="80">
        <v>905</v>
      </c>
      <c r="DZ105" s="80">
        <v>1000</v>
      </c>
      <c r="EA105" s="80">
        <v>981</v>
      </c>
      <c r="EB105" s="80">
        <v>697</v>
      </c>
      <c r="EC105" s="80">
        <v>4372</v>
      </c>
      <c r="ED105" s="80"/>
      <c r="EE105" s="80" t="s">
        <v>27</v>
      </c>
      <c r="EF105" s="80">
        <v>24</v>
      </c>
      <c r="EG105" s="80">
        <v>6</v>
      </c>
      <c r="EH105" s="80">
        <v>0</v>
      </c>
      <c r="EI105" s="80">
        <v>0</v>
      </c>
      <c r="EJ105" s="80">
        <v>0</v>
      </c>
      <c r="EK105" s="80">
        <v>30</v>
      </c>
      <c r="EN105" s="57" t="s">
        <v>2406</v>
      </c>
      <c r="EO105" s="57" t="s">
        <v>2437</v>
      </c>
      <c r="EP105" s="57" t="s">
        <v>356</v>
      </c>
      <c r="EQ105" s="57" t="s">
        <v>356</v>
      </c>
      <c r="ER105" s="57" t="s">
        <v>356</v>
      </c>
      <c r="ES105" s="57" t="s">
        <v>356</v>
      </c>
      <c r="ET105" s="57" t="s">
        <v>356</v>
      </c>
      <c r="EU105" s="57" t="s">
        <v>356</v>
      </c>
      <c r="EV105" s="57"/>
      <c r="EW105" s="57" t="s">
        <v>2437</v>
      </c>
      <c r="EX105" s="57" t="s">
        <v>356</v>
      </c>
      <c r="EY105" s="57" t="s">
        <v>356</v>
      </c>
      <c r="EZ105" s="57" t="s">
        <v>356</v>
      </c>
      <c r="FA105" s="57" t="s">
        <v>356</v>
      </c>
      <c r="FB105" s="57" t="s">
        <v>356</v>
      </c>
      <c r="FC105" s="57" t="s">
        <v>356</v>
      </c>
      <c r="FF105" s="71" t="s">
        <v>2056</v>
      </c>
      <c r="FG105" s="71" t="s">
        <v>2437</v>
      </c>
      <c r="FH105" s="71">
        <v>428</v>
      </c>
      <c r="FI105" s="71">
        <v>513</v>
      </c>
      <c r="FJ105" s="71">
        <v>466</v>
      </c>
      <c r="FK105" s="71">
        <v>458</v>
      </c>
      <c r="FL105" s="71">
        <v>575</v>
      </c>
      <c r="FM105" s="71">
        <v>2440</v>
      </c>
      <c r="FN105" s="71"/>
      <c r="FO105" s="71" t="s">
        <v>2437</v>
      </c>
      <c r="FP105" s="71">
        <v>101</v>
      </c>
      <c r="FQ105" s="71">
        <v>16</v>
      </c>
      <c r="FR105" s="71">
        <v>0</v>
      </c>
      <c r="FS105" s="71">
        <v>0</v>
      </c>
      <c r="FT105" s="71">
        <v>0</v>
      </c>
      <c r="FU105" s="71">
        <v>117</v>
      </c>
    </row>
    <row r="106" spans="2:177">
      <c r="B106" s="65" t="s">
        <v>834</v>
      </c>
      <c r="C106" s="65" t="s">
        <v>2437</v>
      </c>
      <c r="D106" s="65">
        <v>617</v>
      </c>
      <c r="E106" s="65">
        <v>736</v>
      </c>
      <c r="F106" s="65">
        <v>1120</v>
      </c>
      <c r="G106" s="65">
        <v>1271</v>
      </c>
      <c r="H106" s="65">
        <v>859</v>
      </c>
      <c r="I106" s="65">
        <v>4603</v>
      </c>
      <c r="K106" s="65" t="s">
        <v>2437</v>
      </c>
      <c r="L106" s="65">
        <v>53</v>
      </c>
      <c r="M106" s="65">
        <v>2</v>
      </c>
      <c r="N106" s="65">
        <v>0</v>
      </c>
      <c r="O106" s="65">
        <v>0</v>
      </c>
      <c r="P106" s="65">
        <v>0</v>
      </c>
      <c r="Q106" s="65">
        <v>55</v>
      </c>
      <c r="T106" s="66" t="s">
        <v>1130</v>
      </c>
      <c r="U106" s="66" t="s">
        <v>2441</v>
      </c>
      <c r="V106" s="66">
        <v>665</v>
      </c>
      <c r="W106" s="66">
        <v>927</v>
      </c>
      <c r="X106" s="66">
        <v>1020</v>
      </c>
      <c r="Y106" s="66">
        <v>1082</v>
      </c>
      <c r="Z106" s="66">
        <v>830</v>
      </c>
      <c r="AA106" s="66">
        <v>4524</v>
      </c>
      <c r="AB106" s="66"/>
      <c r="AC106" s="66" t="s">
        <v>2441</v>
      </c>
      <c r="AD106" s="66">
        <v>186</v>
      </c>
      <c r="AE106" s="66">
        <v>39</v>
      </c>
      <c r="AF106" s="66">
        <v>14</v>
      </c>
      <c r="AG106" s="66">
        <v>7</v>
      </c>
      <c r="AH106" s="66">
        <v>3</v>
      </c>
      <c r="AI106" s="66">
        <v>249</v>
      </c>
      <c r="AK106" s="67" t="s">
        <v>2204</v>
      </c>
      <c r="AL106" s="67" t="s">
        <v>2427</v>
      </c>
      <c r="AM106" s="67">
        <v>658</v>
      </c>
      <c r="AN106" s="67">
        <v>765</v>
      </c>
      <c r="AO106" s="67">
        <v>561</v>
      </c>
      <c r="AP106" s="67">
        <v>587</v>
      </c>
      <c r="AQ106" s="67">
        <v>628</v>
      </c>
      <c r="AR106" s="67">
        <v>3199</v>
      </c>
      <c r="AS106" s="67"/>
      <c r="AT106" s="67" t="s">
        <v>2427</v>
      </c>
      <c r="AU106" s="67">
        <v>116</v>
      </c>
      <c r="AV106" s="67">
        <v>17</v>
      </c>
      <c r="AW106" s="67">
        <v>8</v>
      </c>
      <c r="AX106" s="67">
        <v>17</v>
      </c>
      <c r="AY106" s="67">
        <v>17</v>
      </c>
      <c r="AZ106" s="67">
        <v>175</v>
      </c>
      <c r="BB106" s="70" t="s">
        <v>1473</v>
      </c>
      <c r="BC106" s="70" t="s">
        <v>2427</v>
      </c>
      <c r="BD106" s="70">
        <v>1901</v>
      </c>
      <c r="BE106" s="70">
        <v>1174</v>
      </c>
      <c r="BF106" s="70">
        <v>1386</v>
      </c>
      <c r="BG106" s="70">
        <v>1332</v>
      </c>
      <c r="BH106" s="70">
        <v>965</v>
      </c>
      <c r="BI106" s="70">
        <v>6758</v>
      </c>
      <c r="BJ106" s="70"/>
      <c r="BK106" s="70" t="s">
        <v>2427</v>
      </c>
      <c r="BL106" s="70">
        <v>376</v>
      </c>
      <c r="BM106" s="70">
        <v>0</v>
      </c>
      <c r="BN106" s="70">
        <v>0</v>
      </c>
      <c r="BO106" s="70">
        <v>0</v>
      </c>
      <c r="BP106" s="70">
        <v>0</v>
      </c>
      <c r="BQ106" s="70">
        <v>376</v>
      </c>
      <c r="CL106" s="57" t="s">
        <v>578</v>
      </c>
      <c r="CM106" s="57" t="s">
        <v>2437</v>
      </c>
      <c r="CN106" s="57">
        <v>101</v>
      </c>
      <c r="CO106" s="57">
        <v>122</v>
      </c>
      <c r="CP106" s="57">
        <v>209</v>
      </c>
      <c r="CQ106" s="57">
        <v>277</v>
      </c>
      <c r="CR106" s="57">
        <v>239</v>
      </c>
      <c r="CS106" s="57">
        <v>948</v>
      </c>
      <c r="CT106" s="57"/>
      <c r="CU106" s="57" t="s">
        <v>2437</v>
      </c>
      <c r="CV106" s="57">
        <v>18</v>
      </c>
      <c r="CW106" s="57">
        <v>0</v>
      </c>
      <c r="CX106" s="57">
        <v>0</v>
      </c>
      <c r="CY106" s="57">
        <v>0</v>
      </c>
      <c r="CZ106" s="57">
        <v>0</v>
      </c>
      <c r="DA106" s="57">
        <v>18</v>
      </c>
      <c r="DV106" s="80" t="s">
        <v>1856</v>
      </c>
      <c r="DW106" s="80" t="s">
        <v>27</v>
      </c>
      <c r="DX106" s="80">
        <v>560</v>
      </c>
      <c r="DY106" s="80">
        <v>482</v>
      </c>
      <c r="DZ106" s="80">
        <v>687</v>
      </c>
      <c r="EA106" s="80">
        <v>726</v>
      </c>
      <c r="EB106" s="80">
        <v>678</v>
      </c>
      <c r="EC106" s="80">
        <v>3133</v>
      </c>
      <c r="ED106" s="80"/>
      <c r="EE106" s="80" t="s">
        <v>27</v>
      </c>
      <c r="EF106" s="80">
        <v>35</v>
      </c>
      <c r="EG106" s="80">
        <v>0</v>
      </c>
      <c r="EH106" s="80">
        <v>0</v>
      </c>
      <c r="EI106" s="80">
        <v>0</v>
      </c>
      <c r="EJ106" s="80">
        <v>0</v>
      </c>
      <c r="EK106" s="80">
        <v>35</v>
      </c>
      <c r="EN106" s="57" t="s">
        <v>2408</v>
      </c>
      <c r="EO106" s="57" t="s">
        <v>2437</v>
      </c>
      <c r="EP106" s="57" t="s">
        <v>356</v>
      </c>
      <c r="EQ106" s="57" t="s">
        <v>356</v>
      </c>
      <c r="ER106" s="57" t="s">
        <v>356</v>
      </c>
      <c r="ES106" s="57" t="s">
        <v>356</v>
      </c>
      <c r="ET106" s="57" t="s">
        <v>356</v>
      </c>
      <c r="EU106" s="57" t="s">
        <v>356</v>
      </c>
      <c r="EV106" s="57"/>
      <c r="EW106" s="57" t="s">
        <v>2437</v>
      </c>
      <c r="EX106" s="57" t="s">
        <v>356</v>
      </c>
      <c r="EY106" s="57" t="s">
        <v>356</v>
      </c>
      <c r="EZ106" s="57" t="s">
        <v>356</v>
      </c>
      <c r="FA106" s="57" t="s">
        <v>356</v>
      </c>
      <c r="FB106" s="57" t="s">
        <v>356</v>
      </c>
      <c r="FC106" s="57" t="s">
        <v>356</v>
      </c>
      <c r="FF106" s="71" t="s">
        <v>2058</v>
      </c>
      <c r="FG106" s="71" t="s">
        <v>2437</v>
      </c>
      <c r="FH106" s="71" t="s">
        <v>356</v>
      </c>
      <c r="FI106" s="71" t="s">
        <v>356</v>
      </c>
      <c r="FJ106" s="71" t="s">
        <v>356</v>
      </c>
      <c r="FK106" s="71" t="s">
        <v>356</v>
      </c>
      <c r="FL106" s="71" t="s">
        <v>356</v>
      </c>
      <c r="FM106" s="71" t="s">
        <v>356</v>
      </c>
      <c r="FN106" s="71"/>
      <c r="FO106" s="71" t="s">
        <v>2437</v>
      </c>
      <c r="FP106" s="71" t="s">
        <v>356</v>
      </c>
      <c r="FQ106" s="71" t="s">
        <v>356</v>
      </c>
      <c r="FR106" s="71" t="s">
        <v>356</v>
      </c>
      <c r="FS106" s="71" t="s">
        <v>356</v>
      </c>
      <c r="FT106" s="71" t="s">
        <v>356</v>
      </c>
      <c r="FU106" s="71" t="s">
        <v>356</v>
      </c>
    </row>
    <row r="107" spans="2:177">
      <c r="B107" s="65" t="s">
        <v>840</v>
      </c>
      <c r="C107" s="65" t="s">
        <v>2437</v>
      </c>
      <c r="D107" s="65">
        <v>769</v>
      </c>
      <c r="E107" s="65">
        <v>677</v>
      </c>
      <c r="F107" s="65">
        <v>756</v>
      </c>
      <c r="G107" s="65">
        <v>878</v>
      </c>
      <c r="H107" s="65">
        <v>566</v>
      </c>
      <c r="I107" s="65">
        <v>3646</v>
      </c>
      <c r="K107" s="65" t="s">
        <v>2437</v>
      </c>
      <c r="L107" s="65">
        <v>72</v>
      </c>
      <c r="M107" s="65">
        <v>2</v>
      </c>
      <c r="N107" s="65">
        <v>0</v>
      </c>
      <c r="O107" s="65">
        <v>0</v>
      </c>
      <c r="P107" s="65">
        <v>0</v>
      </c>
      <c r="Q107" s="65">
        <v>74</v>
      </c>
      <c r="T107" s="66" t="s">
        <v>1136</v>
      </c>
      <c r="U107" s="66" t="s">
        <v>2441</v>
      </c>
      <c r="V107" s="66">
        <v>872</v>
      </c>
      <c r="W107" s="66">
        <v>723</v>
      </c>
      <c r="X107" s="66">
        <v>887</v>
      </c>
      <c r="Y107" s="66">
        <v>1040</v>
      </c>
      <c r="Z107" s="66">
        <v>727</v>
      </c>
      <c r="AA107" s="66">
        <v>4249</v>
      </c>
      <c r="AB107" s="66"/>
      <c r="AC107" s="66" t="s">
        <v>2441</v>
      </c>
      <c r="AD107" s="66">
        <v>97</v>
      </c>
      <c r="AE107" s="66">
        <v>4</v>
      </c>
      <c r="AF107" s="66">
        <v>1</v>
      </c>
      <c r="AG107" s="66">
        <v>0</v>
      </c>
      <c r="AH107" s="66">
        <v>0</v>
      </c>
      <c r="AI107" s="66">
        <v>102</v>
      </c>
      <c r="AK107" s="67" t="s">
        <v>2206</v>
      </c>
      <c r="AL107" s="67" t="s">
        <v>2427</v>
      </c>
      <c r="AM107" s="67">
        <v>522</v>
      </c>
      <c r="AN107" s="67">
        <v>742</v>
      </c>
      <c r="AO107" s="67">
        <v>601</v>
      </c>
      <c r="AP107" s="67">
        <v>598</v>
      </c>
      <c r="AQ107" s="67">
        <v>734</v>
      </c>
      <c r="AR107" s="67">
        <v>3197</v>
      </c>
      <c r="AS107" s="67"/>
      <c r="AT107" s="67" t="s">
        <v>2427</v>
      </c>
      <c r="AU107" s="67">
        <v>84</v>
      </c>
      <c r="AV107" s="67">
        <v>20</v>
      </c>
      <c r="AW107" s="67">
        <v>22</v>
      </c>
      <c r="AX107" s="67">
        <v>27</v>
      </c>
      <c r="AY107" s="67">
        <v>30</v>
      </c>
      <c r="AZ107" s="67">
        <v>183</v>
      </c>
      <c r="BB107" s="70" t="s">
        <v>2248</v>
      </c>
      <c r="BC107" s="70" t="s">
        <v>2427</v>
      </c>
      <c r="BD107" s="70">
        <v>85</v>
      </c>
      <c r="BE107" s="70">
        <v>77</v>
      </c>
      <c r="BF107" s="70">
        <v>151</v>
      </c>
      <c r="BG107" s="70">
        <v>223</v>
      </c>
      <c r="BH107" s="70">
        <v>191</v>
      </c>
      <c r="BI107" s="70">
        <v>727</v>
      </c>
      <c r="BJ107" s="70"/>
      <c r="BK107" s="70" t="s">
        <v>2427</v>
      </c>
      <c r="BL107" s="70">
        <v>22</v>
      </c>
      <c r="BM107" s="70">
        <v>0</v>
      </c>
      <c r="BN107" s="70">
        <v>0</v>
      </c>
      <c r="BO107" s="70">
        <v>0</v>
      </c>
      <c r="BP107" s="70">
        <v>0</v>
      </c>
      <c r="BQ107" s="70">
        <v>22</v>
      </c>
      <c r="BS107" s="71" t="s">
        <v>515</v>
      </c>
      <c r="BT107" s="71" t="s">
        <v>811</v>
      </c>
      <c r="BU107" s="71">
        <v>79</v>
      </c>
      <c r="BV107" s="71">
        <v>54</v>
      </c>
      <c r="BW107" s="71">
        <v>83</v>
      </c>
      <c r="BX107" s="71">
        <v>96</v>
      </c>
      <c r="BY107" s="71">
        <v>108</v>
      </c>
      <c r="BZ107" s="71">
        <v>420</v>
      </c>
      <c r="CA107" s="71"/>
      <c r="CB107" s="71" t="s">
        <v>811</v>
      </c>
      <c r="CC107" s="71">
        <v>17</v>
      </c>
      <c r="CD107" s="71">
        <v>0</v>
      </c>
      <c r="CE107" s="71">
        <v>0</v>
      </c>
      <c r="CF107" s="71">
        <v>0</v>
      </c>
      <c r="CG107" s="71">
        <v>0</v>
      </c>
      <c r="CH107" s="71">
        <v>17</v>
      </c>
      <c r="CL107" s="57" t="s">
        <v>582</v>
      </c>
      <c r="CM107" s="57" t="s">
        <v>2437</v>
      </c>
      <c r="CN107" s="57">
        <v>218</v>
      </c>
      <c r="CO107" s="57">
        <v>82</v>
      </c>
      <c r="CP107" s="57">
        <v>141</v>
      </c>
      <c r="CQ107" s="57">
        <v>189</v>
      </c>
      <c r="CR107" s="57">
        <v>184</v>
      </c>
      <c r="CS107" s="57">
        <v>814</v>
      </c>
      <c r="CT107" s="57"/>
      <c r="CU107" s="57" t="s">
        <v>2437</v>
      </c>
      <c r="CV107" s="57">
        <v>50</v>
      </c>
      <c r="CW107" s="57">
        <v>0</v>
      </c>
      <c r="CX107" s="57">
        <v>0</v>
      </c>
      <c r="CY107" s="57">
        <v>0</v>
      </c>
      <c r="CZ107" s="57">
        <v>0</v>
      </c>
      <c r="DA107" s="57">
        <v>50</v>
      </c>
      <c r="DV107" s="80" t="s">
        <v>1861</v>
      </c>
      <c r="DW107" s="80" t="s">
        <v>27</v>
      </c>
      <c r="DX107" s="80">
        <v>876</v>
      </c>
      <c r="DY107" s="80">
        <v>441</v>
      </c>
      <c r="DZ107" s="80">
        <v>453</v>
      </c>
      <c r="EA107" s="80">
        <v>460</v>
      </c>
      <c r="EB107" s="80">
        <v>342</v>
      </c>
      <c r="EC107" s="80">
        <v>2572</v>
      </c>
      <c r="ED107" s="80"/>
      <c r="EE107" s="80" t="s">
        <v>27</v>
      </c>
      <c r="EF107" s="80">
        <v>20</v>
      </c>
      <c r="EG107" s="80">
        <v>0</v>
      </c>
      <c r="EH107" s="80">
        <v>0</v>
      </c>
      <c r="EI107" s="80">
        <v>0</v>
      </c>
      <c r="EJ107" s="80">
        <v>0</v>
      </c>
      <c r="EK107" s="80">
        <v>20</v>
      </c>
      <c r="EN107" s="57" t="s">
        <v>2024</v>
      </c>
      <c r="EO107" s="57" t="s">
        <v>2437</v>
      </c>
      <c r="EP107" s="57">
        <v>88</v>
      </c>
      <c r="EQ107" s="57">
        <v>151</v>
      </c>
      <c r="ER107" s="57">
        <v>224</v>
      </c>
      <c r="ES107" s="57">
        <v>258</v>
      </c>
      <c r="ET107" s="57">
        <v>317</v>
      </c>
      <c r="EU107" s="57">
        <v>1038</v>
      </c>
      <c r="EV107" s="57"/>
      <c r="EW107" s="57" t="s">
        <v>2437</v>
      </c>
      <c r="EX107" s="57">
        <v>7</v>
      </c>
      <c r="EY107" s="57">
        <v>10</v>
      </c>
      <c r="EZ107" s="57">
        <v>3</v>
      </c>
      <c r="FA107" s="57">
        <v>0</v>
      </c>
      <c r="FB107" s="57">
        <v>1</v>
      </c>
      <c r="FC107" s="57">
        <v>21</v>
      </c>
      <c r="FF107" s="71" t="s">
        <v>2060</v>
      </c>
      <c r="FG107" s="71" t="s">
        <v>2437</v>
      </c>
      <c r="FH107" s="71">
        <v>1930</v>
      </c>
      <c r="FI107" s="71">
        <v>1434</v>
      </c>
      <c r="FJ107" s="71">
        <v>995</v>
      </c>
      <c r="FK107" s="71">
        <v>701</v>
      </c>
      <c r="FL107" s="71">
        <v>857</v>
      </c>
      <c r="FM107" s="71">
        <v>5917</v>
      </c>
      <c r="FN107" s="71"/>
      <c r="FO107" s="71" t="s">
        <v>2437</v>
      </c>
      <c r="FP107" s="71">
        <v>439</v>
      </c>
      <c r="FQ107" s="71">
        <v>111</v>
      </c>
      <c r="FR107" s="71">
        <v>0</v>
      </c>
      <c r="FS107" s="71">
        <v>0</v>
      </c>
      <c r="FT107" s="71">
        <v>0</v>
      </c>
      <c r="FU107" s="71">
        <v>550</v>
      </c>
    </row>
    <row r="108" spans="2:177">
      <c r="B108" s="65" t="s">
        <v>845</v>
      </c>
      <c r="C108" s="65" t="s">
        <v>2437</v>
      </c>
      <c r="D108" s="65">
        <v>146</v>
      </c>
      <c r="E108" s="65">
        <v>250</v>
      </c>
      <c r="F108" s="65">
        <v>495</v>
      </c>
      <c r="G108" s="65">
        <v>598</v>
      </c>
      <c r="H108" s="65">
        <v>463</v>
      </c>
      <c r="I108" s="65">
        <v>1952</v>
      </c>
      <c r="K108" s="65" t="s">
        <v>2437</v>
      </c>
      <c r="L108" s="65">
        <v>15</v>
      </c>
      <c r="M108" s="65">
        <v>2</v>
      </c>
      <c r="N108" s="65">
        <v>1</v>
      </c>
      <c r="O108" s="65">
        <v>0</v>
      </c>
      <c r="P108" s="65">
        <v>0</v>
      </c>
      <c r="Q108" s="65">
        <v>18</v>
      </c>
      <c r="T108" s="66" t="s">
        <v>1141</v>
      </c>
      <c r="U108" s="66" t="s">
        <v>2441</v>
      </c>
      <c r="V108" s="66">
        <v>597</v>
      </c>
      <c r="W108" s="66">
        <v>332</v>
      </c>
      <c r="X108" s="66">
        <v>372</v>
      </c>
      <c r="Y108" s="66">
        <v>396</v>
      </c>
      <c r="Z108" s="66">
        <v>335</v>
      </c>
      <c r="AA108" s="66">
        <v>2032</v>
      </c>
      <c r="AB108" s="66"/>
      <c r="AC108" s="66" t="s">
        <v>2441</v>
      </c>
      <c r="AD108" s="66">
        <v>16</v>
      </c>
      <c r="AE108" s="66">
        <v>0</v>
      </c>
      <c r="AF108" s="66">
        <v>0</v>
      </c>
      <c r="AG108" s="66">
        <v>0</v>
      </c>
      <c r="AH108" s="66">
        <v>0</v>
      </c>
      <c r="AI108" s="66">
        <v>16</v>
      </c>
      <c r="AK108" s="67" t="s">
        <v>2208</v>
      </c>
      <c r="AL108" s="67" t="s">
        <v>2427</v>
      </c>
      <c r="AM108" s="67">
        <v>499</v>
      </c>
      <c r="AN108" s="67">
        <v>407</v>
      </c>
      <c r="AO108" s="67">
        <v>404</v>
      </c>
      <c r="AP108" s="67">
        <v>448</v>
      </c>
      <c r="AQ108" s="67">
        <v>645</v>
      </c>
      <c r="AR108" s="67">
        <v>2403</v>
      </c>
      <c r="AS108" s="67"/>
      <c r="AT108" s="67" t="s">
        <v>2427</v>
      </c>
      <c r="AU108" s="67">
        <v>128</v>
      </c>
      <c r="AV108" s="67">
        <v>31</v>
      </c>
      <c r="AW108" s="67">
        <v>24</v>
      </c>
      <c r="AX108" s="67">
        <v>24</v>
      </c>
      <c r="AY108" s="67">
        <v>43</v>
      </c>
      <c r="AZ108" s="67">
        <v>250</v>
      </c>
      <c r="BB108" s="70" t="s">
        <v>1483</v>
      </c>
      <c r="BC108" s="70" t="s">
        <v>2427</v>
      </c>
      <c r="BD108" s="70">
        <v>137</v>
      </c>
      <c r="BE108" s="70">
        <v>88</v>
      </c>
      <c r="BF108" s="70">
        <v>109</v>
      </c>
      <c r="BG108" s="70">
        <v>159</v>
      </c>
      <c r="BH108" s="70">
        <v>148</v>
      </c>
      <c r="BI108" s="70">
        <v>641</v>
      </c>
      <c r="BJ108" s="70"/>
      <c r="BK108" s="70" t="s">
        <v>2427</v>
      </c>
      <c r="BL108" s="70">
        <v>28</v>
      </c>
      <c r="BM108" s="70">
        <v>0</v>
      </c>
      <c r="BN108" s="70">
        <v>0</v>
      </c>
      <c r="BO108" s="70">
        <v>0</v>
      </c>
      <c r="BP108" s="70">
        <v>0</v>
      </c>
      <c r="BQ108" s="70">
        <v>28</v>
      </c>
      <c r="BS108" s="71" t="s">
        <v>516</v>
      </c>
      <c r="BT108" s="71" t="s">
        <v>811</v>
      </c>
      <c r="BU108" s="71">
        <v>826</v>
      </c>
      <c r="BV108" s="71">
        <v>654</v>
      </c>
      <c r="BW108" s="71">
        <v>564</v>
      </c>
      <c r="BX108" s="71">
        <v>554</v>
      </c>
      <c r="BY108" s="71">
        <v>381</v>
      </c>
      <c r="BZ108" s="71">
        <v>2979</v>
      </c>
      <c r="CA108" s="71"/>
      <c r="CB108" s="71" t="s">
        <v>811</v>
      </c>
      <c r="CC108" s="71">
        <v>184</v>
      </c>
      <c r="CD108" s="71">
        <v>1</v>
      </c>
      <c r="CE108" s="71">
        <v>0</v>
      </c>
      <c r="CF108" s="71">
        <v>0</v>
      </c>
      <c r="CG108" s="71">
        <v>0</v>
      </c>
      <c r="CH108" s="71">
        <v>185</v>
      </c>
      <c r="CL108" s="57" t="s">
        <v>2284</v>
      </c>
      <c r="CM108" s="57" t="s">
        <v>2437</v>
      </c>
      <c r="CN108" s="57">
        <v>36</v>
      </c>
      <c r="CO108" s="57">
        <v>76</v>
      </c>
      <c r="CP108" s="57">
        <v>143</v>
      </c>
      <c r="CQ108" s="57">
        <v>235</v>
      </c>
      <c r="CR108" s="57">
        <v>262</v>
      </c>
      <c r="CS108" s="57">
        <v>752</v>
      </c>
      <c r="CT108" s="57"/>
      <c r="CU108" s="57" t="s">
        <v>2437</v>
      </c>
      <c r="CV108" s="57">
        <v>8</v>
      </c>
      <c r="CW108" s="57">
        <v>0</v>
      </c>
      <c r="CX108" s="57">
        <v>0</v>
      </c>
      <c r="CY108" s="57">
        <v>0</v>
      </c>
      <c r="CZ108" s="57">
        <v>0</v>
      </c>
      <c r="DA108" s="57">
        <v>8</v>
      </c>
      <c r="DV108" s="80" t="s">
        <v>1865</v>
      </c>
      <c r="DW108" s="80" t="s">
        <v>27</v>
      </c>
      <c r="DX108" s="80">
        <v>188</v>
      </c>
      <c r="DY108" s="80">
        <v>196</v>
      </c>
      <c r="DZ108" s="80">
        <v>217</v>
      </c>
      <c r="EA108" s="80">
        <v>267</v>
      </c>
      <c r="EB108" s="80">
        <v>224</v>
      </c>
      <c r="EC108" s="80">
        <v>1092</v>
      </c>
      <c r="ED108" s="80"/>
      <c r="EE108" s="80" t="s">
        <v>27</v>
      </c>
      <c r="EF108" s="80">
        <v>12</v>
      </c>
      <c r="EG108" s="80">
        <v>0</v>
      </c>
      <c r="EH108" s="80">
        <v>1</v>
      </c>
      <c r="EI108" s="80">
        <v>0</v>
      </c>
      <c r="EJ108" s="80">
        <v>0</v>
      </c>
      <c r="EK108" s="80">
        <v>13</v>
      </c>
      <c r="EN108" s="57" t="s">
        <v>2027</v>
      </c>
      <c r="EO108" s="57" t="s">
        <v>2437</v>
      </c>
      <c r="EP108" s="57">
        <v>67</v>
      </c>
      <c r="EQ108" s="57">
        <v>109</v>
      </c>
      <c r="ER108" s="57">
        <v>142</v>
      </c>
      <c r="ES108" s="57">
        <v>209</v>
      </c>
      <c r="ET108" s="57">
        <v>273</v>
      </c>
      <c r="EU108" s="57">
        <v>800</v>
      </c>
      <c r="EV108" s="57"/>
      <c r="EW108" s="57" t="s">
        <v>2437</v>
      </c>
      <c r="EX108" s="57">
        <v>13</v>
      </c>
      <c r="EY108" s="57">
        <v>7</v>
      </c>
      <c r="EZ108" s="57">
        <v>0</v>
      </c>
      <c r="FA108" s="57">
        <v>2</v>
      </c>
      <c r="FB108" s="57">
        <v>3</v>
      </c>
      <c r="FC108" s="57">
        <v>25</v>
      </c>
      <c r="FF108" s="71" t="s">
        <v>2063</v>
      </c>
      <c r="FG108" s="71" t="s">
        <v>2437</v>
      </c>
      <c r="FH108" s="71">
        <v>294</v>
      </c>
      <c r="FI108" s="71">
        <v>477</v>
      </c>
      <c r="FJ108" s="71">
        <v>592</v>
      </c>
      <c r="FK108" s="71">
        <v>534</v>
      </c>
      <c r="FL108" s="71">
        <v>681</v>
      </c>
      <c r="FM108" s="71">
        <v>2578</v>
      </c>
      <c r="FN108" s="71"/>
      <c r="FO108" s="71" t="s">
        <v>2437</v>
      </c>
      <c r="FP108" s="71">
        <v>47</v>
      </c>
      <c r="FQ108" s="71">
        <v>3</v>
      </c>
      <c r="FR108" s="71">
        <v>0</v>
      </c>
      <c r="FS108" s="71">
        <v>0</v>
      </c>
      <c r="FT108" s="71">
        <v>0</v>
      </c>
      <c r="FU108" s="71">
        <v>50</v>
      </c>
    </row>
    <row r="109" spans="2:177">
      <c r="B109" s="65" t="s">
        <v>848</v>
      </c>
      <c r="C109" s="65" t="s">
        <v>2437</v>
      </c>
      <c r="D109" s="65">
        <v>190</v>
      </c>
      <c r="E109" s="65">
        <v>305</v>
      </c>
      <c r="F109" s="65">
        <v>482</v>
      </c>
      <c r="G109" s="65">
        <v>594</v>
      </c>
      <c r="H109" s="65">
        <v>433</v>
      </c>
      <c r="I109" s="65">
        <v>2004</v>
      </c>
      <c r="K109" s="65" t="s">
        <v>2437</v>
      </c>
      <c r="L109" s="65">
        <v>42</v>
      </c>
      <c r="M109" s="65">
        <v>6</v>
      </c>
      <c r="N109" s="65">
        <v>6</v>
      </c>
      <c r="O109" s="65">
        <v>2</v>
      </c>
      <c r="P109" s="65">
        <v>0</v>
      </c>
      <c r="Q109" s="65">
        <v>56</v>
      </c>
      <c r="T109" s="66" t="s">
        <v>1144</v>
      </c>
      <c r="U109" s="66" t="s">
        <v>2441</v>
      </c>
      <c r="V109" s="66">
        <v>736</v>
      </c>
      <c r="W109" s="66">
        <v>707</v>
      </c>
      <c r="X109" s="66">
        <v>1127</v>
      </c>
      <c r="Y109" s="66">
        <v>1445</v>
      </c>
      <c r="Z109" s="66">
        <v>1157</v>
      </c>
      <c r="AA109" s="66">
        <v>5172</v>
      </c>
      <c r="AB109" s="66"/>
      <c r="AC109" s="66" t="s">
        <v>2441</v>
      </c>
      <c r="AD109" s="66">
        <v>31</v>
      </c>
      <c r="AE109" s="66">
        <v>4</v>
      </c>
      <c r="AF109" s="66">
        <v>2</v>
      </c>
      <c r="AG109" s="66">
        <v>0</v>
      </c>
      <c r="AH109" s="66">
        <v>0</v>
      </c>
      <c r="AI109" s="66">
        <v>37</v>
      </c>
      <c r="AK109" s="67" t="s">
        <v>2210</v>
      </c>
      <c r="AL109" s="67" t="s">
        <v>2427</v>
      </c>
      <c r="AM109" s="67">
        <v>837</v>
      </c>
      <c r="AN109" s="67">
        <v>766</v>
      </c>
      <c r="AO109" s="67">
        <v>662</v>
      </c>
      <c r="AP109" s="67">
        <v>692</v>
      </c>
      <c r="AQ109" s="67">
        <v>978</v>
      </c>
      <c r="AR109" s="67">
        <v>3935</v>
      </c>
      <c r="AS109" s="67"/>
      <c r="AT109" s="67" t="s">
        <v>2427</v>
      </c>
      <c r="AU109" s="67">
        <v>113</v>
      </c>
      <c r="AV109" s="67">
        <v>10</v>
      </c>
      <c r="AW109" s="67">
        <v>13</v>
      </c>
      <c r="AX109" s="67">
        <v>9</v>
      </c>
      <c r="AY109" s="67">
        <v>14</v>
      </c>
      <c r="AZ109" s="67">
        <v>159</v>
      </c>
      <c r="BB109" s="70" t="s">
        <v>1488</v>
      </c>
      <c r="BC109" s="70" t="s">
        <v>2427</v>
      </c>
      <c r="BD109" s="70">
        <v>82</v>
      </c>
      <c r="BE109" s="70">
        <v>57</v>
      </c>
      <c r="BF109" s="70">
        <v>76</v>
      </c>
      <c r="BG109" s="70">
        <v>96</v>
      </c>
      <c r="BH109" s="70">
        <v>85</v>
      </c>
      <c r="BI109" s="70">
        <v>396</v>
      </c>
      <c r="BJ109" s="70"/>
      <c r="BK109" s="70" t="s">
        <v>2427</v>
      </c>
      <c r="BL109" s="70">
        <v>22</v>
      </c>
      <c r="BM109" s="70">
        <v>1</v>
      </c>
      <c r="BN109" s="70">
        <v>0</v>
      </c>
      <c r="BO109" s="70">
        <v>0</v>
      </c>
      <c r="BP109" s="70">
        <v>0</v>
      </c>
      <c r="BQ109" s="70">
        <v>23</v>
      </c>
      <c r="BS109" s="71" t="s">
        <v>517</v>
      </c>
      <c r="BT109" s="71" t="s">
        <v>27</v>
      </c>
      <c r="BU109" s="71">
        <v>896</v>
      </c>
      <c r="BV109" s="71">
        <v>799</v>
      </c>
      <c r="BW109" s="71">
        <v>640</v>
      </c>
      <c r="BX109" s="71">
        <v>606</v>
      </c>
      <c r="BY109" s="71">
        <v>456</v>
      </c>
      <c r="BZ109" s="71">
        <v>3397</v>
      </c>
      <c r="CA109" s="71"/>
      <c r="CB109" s="71" t="s">
        <v>27</v>
      </c>
      <c r="CC109" s="71">
        <v>256</v>
      </c>
      <c r="CD109" s="71">
        <v>2</v>
      </c>
      <c r="CE109" s="71">
        <v>0</v>
      </c>
      <c r="CF109" s="71">
        <v>0</v>
      </c>
      <c r="CG109" s="71">
        <v>0</v>
      </c>
      <c r="CH109" s="71">
        <v>258</v>
      </c>
      <c r="CL109" s="57" t="s">
        <v>554</v>
      </c>
      <c r="CM109" s="57" t="s">
        <v>2437</v>
      </c>
      <c r="CN109" s="57">
        <v>77</v>
      </c>
      <c r="CO109" s="57">
        <v>102</v>
      </c>
      <c r="CP109" s="57">
        <v>212</v>
      </c>
      <c r="CQ109" s="57">
        <v>330</v>
      </c>
      <c r="CR109" s="57">
        <v>275</v>
      </c>
      <c r="CS109" s="57">
        <v>996</v>
      </c>
      <c r="CT109" s="57"/>
      <c r="CU109" s="57" t="s">
        <v>2437</v>
      </c>
      <c r="CV109" s="57">
        <v>21</v>
      </c>
      <c r="CW109" s="57">
        <v>0</v>
      </c>
      <c r="CX109" s="57">
        <v>0</v>
      </c>
      <c r="CY109" s="57">
        <v>0</v>
      </c>
      <c r="CZ109" s="57">
        <v>0</v>
      </c>
      <c r="DA109" s="57">
        <v>21</v>
      </c>
      <c r="DV109" s="80" t="s">
        <v>1869</v>
      </c>
      <c r="DW109" s="80" t="s">
        <v>27</v>
      </c>
      <c r="DX109" s="80">
        <v>278</v>
      </c>
      <c r="DY109" s="80">
        <v>304</v>
      </c>
      <c r="DZ109" s="80">
        <v>440</v>
      </c>
      <c r="EA109" s="80">
        <v>523</v>
      </c>
      <c r="EB109" s="80">
        <v>456</v>
      </c>
      <c r="EC109" s="80">
        <v>2001</v>
      </c>
      <c r="ED109" s="80"/>
      <c r="EE109" s="80" t="s">
        <v>27</v>
      </c>
      <c r="EF109" s="80">
        <v>22</v>
      </c>
      <c r="EG109" s="80">
        <v>0</v>
      </c>
      <c r="EH109" s="80">
        <v>0</v>
      </c>
      <c r="EI109" s="80">
        <v>0</v>
      </c>
      <c r="EJ109" s="80">
        <v>0</v>
      </c>
      <c r="EK109" s="80">
        <v>22</v>
      </c>
      <c r="FF109" s="71" t="s">
        <v>2065</v>
      </c>
      <c r="FG109" s="71" t="s">
        <v>2437</v>
      </c>
      <c r="FH109" s="71">
        <v>172</v>
      </c>
      <c r="FI109" s="71">
        <v>373</v>
      </c>
      <c r="FJ109" s="71">
        <v>577</v>
      </c>
      <c r="FK109" s="71">
        <v>564</v>
      </c>
      <c r="FL109" s="71">
        <v>619</v>
      </c>
      <c r="FM109" s="71">
        <v>2305</v>
      </c>
      <c r="FN109" s="71"/>
      <c r="FO109" s="71" t="s">
        <v>2437</v>
      </c>
      <c r="FP109" s="71">
        <v>15</v>
      </c>
      <c r="FQ109" s="71">
        <v>0</v>
      </c>
      <c r="FR109" s="71">
        <v>0</v>
      </c>
      <c r="FS109" s="71">
        <v>0</v>
      </c>
      <c r="FT109" s="71">
        <v>0</v>
      </c>
      <c r="FU109" s="71">
        <v>15</v>
      </c>
    </row>
    <row r="110" spans="2:177">
      <c r="B110" s="65" t="s">
        <v>851</v>
      </c>
      <c r="C110" s="65" t="s">
        <v>2437</v>
      </c>
      <c r="D110" s="65">
        <v>306</v>
      </c>
      <c r="E110" s="65">
        <v>275</v>
      </c>
      <c r="F110" s="65">
        <v>356</v>
      </c>
      <c r="G110" s="65">
        <v>442</v>
      </c>
      <c r="H110" s="65">
        <v>346</v>
      </c>
      <c r="I110" s="65">
        <v>1725</v>
      </c>
      <c r="K110" s="65" t="s">
        <v>2437</v>
      </c>
      <c r="L110" s="65">
        <v>39</v>
      </c>
      <c r="M110" s="65">
        <v>2</v>
      </c>
      <c r="N110" s="65">
        <v>0</v>
      </c>
      <c r="O110" s="65">
        <v>0</v>
      </c>
      <c r="P110" s="65">
        <v>0</v>
      </c>
      <c r="Q110" s="65">
        <v>41</v>
      </c>
      <c r="T110" s="66" t="s">
        <v>1148</v>
      </c>
      <c r="U110" s="66" t="s">
        <v>2441</v>
      </c>
      <c r="V110" s="66">
        <v>714</v>
      </c>
      <c r="W110" s="66">
        <v>415</v>
      </c>
      <c r="X110" s="66">
        <v>457</v>
      </c>
      <c r="Y110" s="66">
        <v>377</v>
      </c>
      <c r="Z110" s="66">
        <v>247</v>
      </c>
      <c r="AA110" s="66">
        <v>2210</v>
      </c>
      <c r="AB110" s="66"/>
      <c r="AC110" s="66" t="s">
        <v>2441</v>
      </c>
      <c r="AD110" s="66">
        <v>53</v>
      </c>
      <c r="AE110" s="66">
        <v>0</v>
      </c>
      <c r="AF110" s="66">
        <v>0</v>
      </c>
      <c r="AG110" s="66">
        <v>0</v>
      </c>
      <c r="AH110" s="66">
        <v>0</v>
      </c>
      <c r="AI110" s="66">
        <v>53</v>
      </c>
      <c r="AK110" s="67" t="s">
        <v>2212</v>
      </c>
      <c r="AL110" s="67" t="s">
        <v>2427</v>
      </c>
      <c r="AM110" s="67">
        <v>718</v>
      </c>
      <c r="AN110" s="67">
        <v>643</v>
      </c>
      <c r="AO110" s="67">
        <v>635</v>
      </c>
      <c r="AP110" s="67">
        <v>563</v>
      </c>
      <c r="AQ110" s="67">
        <v>785</v>
      </c>
      <c r="AR110" s="67">
        <v>3344</v>
      </c>
      <c r="AS110" s="67"/>
      <c r="AT110" s="67" t="s">
        <v>2427</v>
      </c>
      <c r="AU110" s="67">
        <v>109</v>
      </c>
      <c r="AV110" s="67">
        <v>23</v>
      </c>
      <c r="AW110" s="67">
        <v>20</v>
      </c>
      <c r="AX110" s="67">
        <v>16</v>
      </c>
      <c r="AY110" s="67">
        <v>20</v>
      </c>
      <c r="AZ110" s="67">
        <v>188</v>
      </c>
      <c r="BB110" s="70" t="s">
        <v>1494</v>
      </c>
      <c r="BC110" s="70" t="s">
        <v>2427</v>
      </c>
      <c r="BD110" s="70">
        <v>87</v>
      </c>
      <c r="BE110" s="70">
        <v>57</v>
      </c>
      <c r="BF110" s="70">
        <v>118</v>
      </c>
      <c r="BG110" s="70">
        <v>216</v>
      </c>
      <c r="BH110" s="70">
        <v>207</v>
      </c>
      <c r="BI110" s="70">
        <v>685</v>
      </c>
      <c r="BJ110" s="70"/>
      <c r="BK110" s="70" t="s">
        <v>2427</v>
      </c>
      <c r="BL110" s="70">
        <v>26</v>
      </c>
      <c r="BM110" s="70">
        <v>0</v>
      </c>
      <c r="BN110" s="70">
        <v>0</v>
      </c>
      <c r="BO110" s="70">
        <v>0</v>
      </c>
      <c r="BP110" s="70">
        <v>0</v>
      </c>
      <c r="BQ110" s="70">
        <v>26</v>
      </c>
      <c r="BS110" s="71" t="s">
        <v>519</v>
      </c>
      <c r="BT110" s="71" t="s">
        <v>27</v>
      </c>
      <c r="BU110" s="71">
        <v>162</v>
      </c>
      <c r="BV110" s="71">
        <v>239</v>
      </c>
      <c r="BW110" s="71">
        <v>326</v>
      </c>
      <c r="BX110" s="71">
        <v>293</v>
      </c>
      <c r="BY110" s="71">
        <v>258</v>
      </c>
      <c r="BZ110" s="71">
        <v>1278</v>
      </c>
      <c r="CA110" s="71"/>
      <c r="CB110" s="71" t="s">
        <v>27</v>
      </c>
      <c r="CC110" s="71">
        <v>34</v>
      </c>
      <c r="CD110" s="71">
        <v>0</v>
      </c>
      <c r="CE110" s="71">
        <v>0</v>
      </c>
      <c r="CF110" s="71">
        <v>0</v>
      </c>
      <c r="CG110" s="71">
        <v>0</v>
      </c>
      <c r="CH110" s="71">
        <v>34</v>
      </c>
      <c r="CL110" s="57" t="s">
        <v>585</v>
      </c>
      <c r="CM110" s="57" t="s">
        <v>2437</v>
      </c>
      <c r="CN110" s="57">
        <v>48</v>
      </c>
      <c r="CO110" s="57">
        <v>14</v>
      </c>
      <c r="CP110" s="57">
        <v>16</v>
      </c>
      <c r="CQ110" s="57">
        <v>14</v>
      </c>
      <c r="CR110" s="57">
        <v>47</v>
      </c>
      <c r="CS110" s="57">
        <v>139</v>
      </c>
      <c r="CT110" s="57"/>
      <c r="CU110" s="57" t="s">
        <v>2437</v>
      </c>
      <c r="CV110" s="57">
        <v>16</v>
      </c>
      <c r="CW110" s="57">
        <v>0</v>
      </c>
      <c r="CX110" s="57">
        <v>0</v>
      </c>
      <c r="CY110" s="57">
        <v>0</v>
      </c>
      <c r="CZ110" s="57">
        <v>0</v>
      </c>
      <c r="DA110" s="57">
        <v>16</v>
      </c>
      <c r="DV110" s="80" t="s">
        <v>1873</v>
      </c>
      <c r="DW110" s="80" t="s">
        <v>27</v>
      </c>
      <c r="DX110" s="80">
        <v>383</v>
      </c>
      <c r="DY110" s="80">
        <v>384</v>
      </c>
      <c r="DZ110" s="80">
        <v>403</v>
      </c>
      <c r="EA110" s="80">
        <v>420</v>
      </c>
      <c r="EB110" s="80">
        <v>323</v>
      </c>
      <c r="EC110" s="80">
        <v>1913</v>
      </c>
      <c r="ED110" s="80"/>
      <c r="EE110" s="80" t="s">
        <v>27</v>
      </c>
      <c r="EF110" s="80">
        <v>11</v>
      </c>
      <c r="EG110" s="80">
        <v>0</v>
      </c>
      <c r="EH110" s="80">
        <v>0</v>
      </c>
      <c r="EI110" s="80">
        <v>0</v>
      </c>
      <c r="EJ110" s="80">
        <v>0</v>
      </c>
      <c r="EK110" s="80">
        <v>11</v>
      </c>
      <c r="EN110" s="57" t="s">
        <v>2376</v>
      </c>
      <c r="EO110" s="57" t="s">
        <v>2441</v>
      </c>
      <c r="EP110" s="57">
        <v>657</v>
      </c>
      <c r="EQ110" s="57">
        <v>937</v>
      </c>
      <c r="ER110" s="57">
        <v>1062</v>
      </c>
      <c r="ES110" s="57">
        <v>1283</v>
      </c>
      <c r="ET110" s="57">
        <v>1408</v>
      </c>
      <c r="EU110" s="57">
        <v>5347</v>
      </c>
      <c r="EV110" s="57"/>
      <c r="EW110" s="57" t="s">
        <v>2441</v>
      </c>
      <c r="EX110" s="57">
        <v>109</v>
      </c>
      <c r="EY110" s="57">
        <v>33</v>
      </c>
      <c r="EZ110" s="57">
        <v>23</v>
      </c>
      <c r="FA110" s="57">
        <v>15</v>
      </c>
      <c r="FB110" s="57">
        <v>20</v>
      </c>
      <c r="FC110" s="57">
        <v>200</v>
      </c>
      <c r="FF110" s="71" t="s">
        <v>2067</v>
      </c>
      <c r="FG110" s="71" t="s">
        <v>2437</v>
      </c>
      <c r="FH110" s="71">
        <v>559</v>
      </c>
      <c r="FI110" s="71">
        <v>630</v>
      </c>
      <c r="FJ110" s="71">
        <v>686</v>
      </c>
      <c r="FK110" s="71">
        <v>630</v>
      </c>
      <c r="FL110" s="71">
        <v>713</v>
      </c>
      <c r="FM110" s="71">
        <v>3218</v>
      </c>
      <c r="FN110" s="71"/>
      <c r="FO110" s="71" t="s">
        <v>2437</v>
      </c>
      <c r="FP110" s="71">
        <v>55</v>
      </c>
      <c r="FQ110" s="71">
        <v>0</v>
      </c>
      <c r="FR110" s="71">
        <v>0</v>
      </c>
      <c r="FS110" s="71">
        <v>0</v>
      </c>
      <c r="FT110" s="71">
        <v>0</v>
      </c>
      <c r="FU110" s="71">
        <v>55</v>
      </c>
    </row>
    <row r="111" spans="2:177">
      <c r="B111" s="65" t="s">
        <v>853</v>
      </c>
      <c r="C111" s="65" t="s">
        <v>2437</v>
      </c>
      <c r="D111" s="65">
        <v>91</v>
      </c>
      <c r="E111" s="65">
        <v>109</v>
      </c>
      <c r="F111" s="65">
        <v>193</v>
      </c>
      <c r="G111" s="65">
        <v>318</v>
      </c>
      <c r="H111" s="65">
        <v>258</v>
      </c>
      <c r="I111" s="65">
        <v>969</v>
      </c>
      <c r="K111" s="65" t="s">
        <v>2437</v>
      </c>
      <c r="L111" s="65">
        <v>11</v>
      </c>
      <c r="M111" s="65">
        <v>0</v>
      </c>
      <c r="N111" s="65">
        <v>0</v>
      </c>
      <c r="O111" s="65">
        <v>0</v>
      </c>
      <c r="P111" s="65">
        <v>0</v>
      </c>
      <c r="Q111" s="65">
        <v>11</v>
      </c>
      <c r="T111" s="66" t="s">
        <v>1154</v>
      </c>
      <c r="U111" s="66" t="s">
        <v>2441</v>
      </c>
      <c r="V111" s="66">
        <v>133</v>
      </c>
      <c r="W111" s="66">
        <v>264</v>
      </c>
      <c r="X111" s="66">
        <v>487</v>
      </c>
      <c r="Y111" s="66">
        <v>686</v>
      </c>
      <c r="Z111" s="66">
        <v>584</v>
      </c>
      <c r="AA111" s="66">
        <v>2154</v>
      </c>
      <c r="AB111" s="66"/>
      <c r="AC111" s="66" t="s">
        <v>2441</v>
      </c>
      <c r="AD111" s="66">
        <v>11</v>
      </c>
      <c r="AE111" s="66">
        <v>4</v>
      </c>
      <c r="AF111" s="66">
        <v>3</v>
      </c>
      <c r="AG111" s="66">
        <v>1</v>
      </c>
      <c r="AH111" s="66">
        <v>1</v>
      </c>
      <c r="AI111" s="66">
        <v>20</v>
      </c>
      <c r="AK111" s="67" t="s">
        <v>2214</v>
      </c>
      <c r="AL111" s="67" t="s">
        <v>2427</v>
      </c>
      <c r="AM111" s="67">
        <v>829</v>
      </c>
      <c r="AN111" s="67">
        <v>692</v>
      </c>
      <c r="AO111" s="67">
        <v>691</v>
      </c>
      <c r="AP111" s="67">
        <v>608</v>
      </c>
      <c r="AQ111" s="67">
        <v>870</v>
      </c>
      <c r="AR111" s="67">
        <v>3690</v>
      </c>
      <c r="AS111" s="67"/>
      <c r="AT111" s="67" t="s">
        <v>2427</v>
      </c>
      <c r="AU111" s="67">
        <v>142</v>
      </c>
      <c r="AV111" s="67">
        <v>41</v>
      </c>
      <c r="AW111" s="67">
        <v>36</v>
      </c>
      <c r="AX111" s="67">
        <v>22</v>
      </c>
      <c r="AY111" s="67">
        <v>40</v>
      </c>
      <c r="AZ111" s="67">
        <v>281</v>
      </c>
      <c r="BB111" s="70" t="s">
        <v>1511</v>
      </c>
      <c r="BC111" s="70" t="s">
        <v>2427</v>
      </c>
      <c r="BD111" s="70">
        <v>574</v>
      </c>
      <c r="BE111" s="70">
        <v>526</v>
      </c>
      <c r="BF111" s="70">
        <v>957</v>
      </c>
      <c r="BG111" s="70">
        <v>1315</v>
      </c>
      <c r="BH111" s="70">
        <v>1237</v>
      </c>
      <c r="BI111" s="70">
        <v>4609</v>
      </c>
      <c r="BJ111" s="70"/>
      <c r="BK111" s="70" t="s">
        <v>2427</v>
      </c>
      <c r="BL111" s="70">
        <v>66</v>
      </c>
      <c r="BM111" s="70">
        <v>0</v>
      </c>
      <c r="BN111" s="70">
        <v>0</v>
      </c>
      <c r="BO111" s="70">
        <v>0</v>
      </c>
      <c r="BP111" s="70">
        <v>0</v>
      </c>
      <c r="BQ111" s="70">
        <v>66</v>
      </c>
      <c r="BS111" s="71" t="s">
        <v>1585</v>
      </c>
      <c r="BT111" s="71" t="s">
        <v>27</v>
      </c>
      <c r="BU111" s="71">
        <v>1514</v>
      </c>
      <c r="BV111" s="71">
        <v>809</v>
      </c>
      <c r="BW111" s="71">
        <v>717</v>
      </c>
      <c r="BX111" s="71">
        <v>651</v>
      </c>
      <c r="BY111" s="71">
        <v>511</v>
      </c>
      <c r="BZ111" s="71">
        <v>4202</v>
      </c>
      <c r="CA111" s="71"/>
      <c r="CB111" s="71" t="s">
        <v>27</v>
      </c>
      <c r="CC111" s="71">
        <v>416</v>
      </c>
      <c r="CD111" s="71">
        <v>3</v>
      </c>
      <c r="CE111" s="71">
        <v>0</v>
      </c>
      <c r="CF111" s="71">
        <v>0</v>
      </c>
      <c r="CG111" s="71">
        <v>0</v>
      </c>
      <c r="CH111" s="71">
        <v>419</v>
      </c>
      <c r="CL111" s="57" t="s">
        <v>588</v>
      </c>
      <c r="CM111" s="57" t="s">
        <v>2437</v>
      </c>
      <c r="CN111" s="57">
        <v>90</v>
      </c>
      <c r="CO111" s="57">
        <v>139</v>
      </c>
      <c r="CP111" s="57">
        <v>298</v>
      </c>
      <c r="CQ111" s="57">
        <v>461</v>
      </c>
      <c r="CR111" s="57">
        <v>378</v>
      </c>
      <c r="CS111" s="57">
        <v>1366</v>
      </c>
      <c r="CT111" s="57"/>
      <c r="CU111" s="57" t="s">
        <v>2437</v>
      </c>
      <c r="CV111" s="57">
        <v>14</v>
      </c>
      <c r="CW111" s="57">
        <v>0</v>
      </c>
      <c r="CX111" s="57">
        <v>0</v>
      </c>
      <c r="CY111" s="57">
        <v>0</v>
      </c>
      <c r="CZ111" s="57">
        <v>0</v>
      </c>
      <c r="DA111" s="57">
        <v>14</v>
      </c>
      <c r="DV111" s="80" t="s">
        <v>1883</v>
      </c>
      <c r="DW111" s="80" t="s">
        <v>27</v>
      </c>
      <c r="DX111" s="80">
        <v>1516</v>
      </c>
      <c r="DY111" s="80">
        <v>1055</v>
      </c>
      <c r="DZ111" s="80">
        <v>1254</v>
      </c>
      <c r="EA111" s="80">
        <v>1279</v>
      </c>
      <c r="EB111" s="80">
        <v>1036</v>
      </c>
      <c r="EC111" s="80">
        <v>6140</v>
      </c>
      <c r="ED111" s="80"/>
      <c r="EE111" s="80" t="s">
        <v>27</v>
      </c>
      <c r="EF111" s="80">
        <v>44</v>
      </c>
      <c r="EG111" s="80">
        <v>1</v>
      </c>
      <c r="EH111" s="80">
        <v>0</v>
      </c>
      <c r="EI111" s="80">
        <v>0</v>
      </c>
      <c r="EJ111" s="80">
        <v>0</v>
      </c>
      <c r="EK111" s="80">
        <v>45</v>
      </c>
      <c r="EN111" s="57" t="s">
        <v>2378</v>
      </c>
      <c r="EO111" s="57" t="s">
        <v>2441</v>
      </c>
      <c r="EP111" s="57">
        <v>94</v>
      </c>
      <c r="EQ111" s="57">
        <v>159</v>
      </c>
      <c r="ER111" s="57">
        <v>224</v>
      </c>
      <c r="ES111" s="57">
        <v>308</v>
      </c>
      <c r="ET111" s="57">
        <v>390</v>
      </c>
      <c r="EU111" s="57">
        <v>1175</v>
      </c>
      <c r="EV111" s="57"/>
      <c r="EW111" s="57" t="s">
        <v>2441</v>
      </c>
      <c r="EX111" s="57">
        <v>17</v>
      </c>
      <c r="EY111" s="57">
        <v>10</v>
      </c>
      <c r="EZ111" s="57">
        <v>6</v>
      </c>
      <c r="FA111" s="57">
        <v>7</v>
      </c>
      <c r="FB111" s="57">
        <v>7</v>
      </c>
      <c r="FC111" s="57">
        <v>47</v>
      </c>
      <c r="FF111" s="71" t="s">
        <v>2069</v>
      </c>
      <c r="FG111" s="71" t="s">
        <v>2437</v>
      </c>
      <c r="FH111" s="71">
        <v>490</v>
      </c>
      <c r="FI111" s="71">
        <v>612</v>
      </c>
      <c r="FJ111" s="71">
        <v>745</v>
      </c>
      <c r="FK111" s="71">
        <v>689</v>
      </c>
      <c r="FL111" s="71">
        <v>756</v>
      </c>
      <c r="FM111" s="71">
        <v>3292</v>
      </c>
      <c r="FN111" s="71"/>
      <c r="FO111" s="71" t="s">
        <v>2437</v>
      </c>
      <c r="FP111" s="71">
        <v>52</v>
      </c>
      <c r="FQ111" s="71">
        <v>6</v>
      </c>
      <c r="FR111" s="71">
        <v>0</v>
      </c>
      <c r="FS111" s="71">
        <v>0</v>
      </c>
      <c r="FT111" s="71">
        <v>0</v>
      </c>
      <c r="FU111" s="71">
        <v>58</v>
      </c>
    </row>
    <row r="112" spans="2:177">
      <c r="B112" s="65" t="s">
        <v>856</v>
      </c>
      <c r="C112" s="65" t="s">
        <v>2437</v>
      </c>
      <c r="D112" s="65">
        <v>80</v>
      </c>
      <c r="E112" s="65">
        <v>112</v>
      </c>
      <c r="F112" s="65">
        <v>236</v>
      </c>
      <c r="G112" s="65">
        <v>309</v>
      </c>
      <c r="H112" s="65">
        <v>293</v>
      </c>
      <c r="I112" s="65">
        <v>1030</v>
      </c>
      <c r="K112" s="65" t="s">
        <v>2437</v>
      </c>
      <c r="L112" s="65">
        <v>11</v>
      </c>
      <c r="M112" s="65">
        <v>3</v>
      </c>
      <c r="N112" s="65">
        <v>2</v>
      </c>
      <c r="O112" s="65">
        <v>2</v>
      </c>
      <c r="P112" s="65">
        <v>2</v>
      </c>
      <c r="Q112" s="65">
        <v>20</v>
      </c>
      <c r="T112" s="66" t="s">
        <v>1158</v>
      </c>
      <c r="U112" s="66" t="s">
        <v>2441</v>
      </c>
      <c r="V112" s="66" t="s">
        <v>356</v>
      </c>
      <c r="W112" s="66" t="s">
        <v>356</v>
      </c>
      <c r="X112" s="66" t="s">
        <v>356</v>
      </c>
      <c r="Y112" s="66" t="s">
        <v>356</v>
      </c>
      <c r="Z112" s="66" t="s">
        <v>356</v>
      </c>
      <c r="AA112" s="66" t="s">
        <v>356</v>
      </c>
      <c r="AB112" s="66"/>
      <c r="AC112" s="66" t="s">
        <v>2441</v>
      </c>
      <c r="AD112" s="66" t="s">
        <v>356</v>
      </c>
      <c r="AE112" s="66" t="s">
        <v>356</v>
      </c>
      <c r="AF112" s="66" t="s">
        <v>356</v>
      </c>
      <c r="AG112" s="66" t="s">
        <v>356</v>
      </c>
      <c r="AH112" s="66" t="s">
        <v>356</v>
      </c>
      <c r="AI112" s="66" t="s">
        <v>356</v>
      </c>
      <c r="AK112" s="67" t="s">
        <v>2216</v>
      </c>
      <c r="AL112" s="67" t="s">
        <v>2427</v>
      </c>
      <c r="AM112" s="67">
        <v>674</v>
      </c>
      <c r="AN112" s="67">
        <v>632</v>
      </c>
      <c r="AO112" s="67">
        <v>605</v>
      </c>
      <c r="AP112" s="67">
        <v>559</v>
      </c>
      <c r="AQ112" s="67">
        <v>826</v>
      </c>
      <c r="AR112" s="67">
        <v>3296</v>
      </c>
      <c r="AS112" s="67"/>
      <c r="AT112" s="67" t="s">
        <v>2427</v>
      </c>
      <c r="AU112" s="67">
        <v>138</v>
      </c>
      <c r="AV112" s="67">
        <v>37</v>
      </c>
      <c r="AW112" s="67">
        <v>19</v>
      </c>
      <c r="AX112" s="67">
        <v>26</v>
      </c>
      <c r="AY112" s="67">
        <v>37</v>
      </c>
      <c r="AZ112" s="67">
        <v>257</v>
      </c>
      <c r="BB112" s="70" t="s">
        <v>1515</v>
      </c>
      <c r="BC112" s="70" t="s">
        <v>2427</v>
      </c>
      <c r="BD112" s="70">
        <v>100</v>
      </c>
      <c r="BE112" s="70">
        <v>75</v>
      </c>
      <c r="BF112" s="70">
        <v>171</v>
      </c>
      <c r="BG112" s="70">
        <v>238</v>
      </c>
      <c r="BH112" s="70">
        <v>236</v>
      </c>
      <c r="BI112" s="70">
        <v>820</v>
      </c>
      <c r="BJ112" s="70"/>
      <c r="BK112" s="70" t="s">
        <v>2427</v>
      </c>
      <c r="BL112" s="70">
        <v>26</v>
      </c>
      <c r="BM112" s="70">
        <v>0</v>
      </c>
      <c r="BN112" s="70">
        <v>0</v>
      </c>
      <c r="BO112" s="70">
        <v>0</v>
      </c>
      <c r="BP112" s="70">
        <v>0</v>
      </c>
      <c r="BQ112" s="70">
        <v>26</v>
      </c>
      <c r="BR112" s="16" t="s">
        <v>2792</v>
      </c>
      <c r="BS112" s="71" t="s">
        <v>2568</v>
      </c>
      <c r="BT112" s="71" t="s">
        <v>27</v>
      </c>
      <c r="BU112" s="71">
        <v>34</v>
      </c>
      <c r="BV112" s="71">
        <v>53</v>
      </c>
      <c r="BW112" s="71">
        <v>81</v>
      </c>
      <c r="BX112" s="71">
        <v>97</v>
      </c>
      <c r="BY112" s="71">
        <v>80</v>
      </c>
      <c r="BZ112" s="71">
        <v>345</v>
      </c>
      <c r="CA112" s="71"/>
      <c r="CB112" s="71" t="s">
        <v>27</v>
      </c>
      <c r="CC112" s="71">
        <v>8</v>
      </c>
      <c r="CD112" s="71">
        <v>0</v>
      </c>
      <c r="CE112" s="71">
        <v>0</v>
      </c>
      <c r="CF112" s="71">
        <v>0</v>
      </c>
      <c r="CG112" s="71">
        <v>0</v>
      </c>
      <c r="CH112" s="71">
        <v>8</v>
      </c>
      <c r="CL112" s="57" t="s">
        <v>590</v>
      </c>
      <c r="CM112" s="57" t="s">
        <v>2437</v>
      </c>
      <c r="CN112" s="57">
        <v>917</v>
      </c>
      <c r="CO112" s="57">
        <v>550</v>
      </c>
      <c r="CP112" s="57">
        <v>619</v>
      </c>
      <c r="CQ112" s="57">
        <v>595</v>
      </c>
      <c r="CR112" s="57">
        <v>507</v>
      </c>
      <c r="CS112" s="57">
        <v>3188</v>
      </c>
      <c r="CT112" s="57"/>
      <c r="CU112" s="57" t="s">
        <v>2437</v>
      </c>
      <c r="CV112" s="57">
        <v>323</v>
      </c>
      <c r="CW112" s="57">
        <v>2</v>
      </c>
      <c r="CX112" s="57">
        <v>0</v>
      </c>
      <c r="CY112" s="57">
        <v>0</v>
      </c>
      <c r="CZ112" s="57">
        <v>0</v>
      </c>
      <c r="DA112" s="57">
        <v>325</v>
      </c>
      <c r="DV112" s="80" t="s">
        <v>2359</v>
      </c>
      <c r="DW112" s="80" t="s">
        <v>27</v>
      </c>
      <c r="DX112" s="80" t="s">
        <v>356</v>
      </c>
      <c r="DY112" s="80" t="s">
        <v>356</v>
      </c>
      <c r="DZ112" s="80" t="s">
        <v>356</v>
      </c>
      <c r="EA112" s="80" t="s">
        <v>356</v>
      </c>
      <c r="EB112" s="80" t="s">
        <v>356</v>
      </c>
      <c r="EC112" s="80" t="s">
        <v>356</v>
      </c>
      <c r="ED112" s="80"/>
      <c r="EE112" s="80" t="s">
        <v>27</v>
      </c>
      <c r="EF112" s="80" t="s">
        <v>356</v>
      </c>
      <c r="EG112" s="80" t="s">
        <v>356</v>
      </c>
      <c r="EH112" s="80" t="s">
        <v>356</v>
      </c>
      <c r="EI112" s="80" t="s">
        <v>356</v>
      </c>
      <c r="EJ112" s="80" t="s">
        <v>356</v>
      </c>
      <c r="EK112" s="80" t="s">
        <v>356</v>
      </c>
      <c r="EN112" s="57" t="s">
        <v>2379</v>
      </c>
      <c r="EO112" s="57" t="s">
        <v>2441</v>
      </c>
      <c r="EP112" s="57">
        <v>137</v>
      </c>
      <c r="EQ112" s="57">
        <v>276</v>
      </c>
      <c r="ER112" s="57">
        <v>379</v>
      </c>
      <c r="ES112" s="57">
        <v>561</v>
      </c>
      <c r="ET112" s="57">
        <v>581</v>
      </c>
      <c r="EU112" s="57">
        <v>1934</v>
      </c>
      <c r="EV112" s="57"/>
      <c r="EW112" s="57" t="s">
        <v>2441</v>
      </c>
      <c r="EX112" s="57">
        <v>30</v>
      </c>
      <c r="EY112" s="57">
        <v>9</v>
      </c>
      <c r="EZ112" s="57">
        <v>6</v>
      </c>
      <c r="FA112" s="57">
        <v>6</v>
      </c>
      <c r="FB112" s="57">
        <v>3</v>
      </c>
      <c r="FC112" s="57">
        <v>54</v>
      </c>
      <c r="FF112" s="71" t="s">
        <v>2072</v>
      </c>
      <c r="FG112" s="71" t="s">
        <v>2437</v>
      </c>
      <c r="FH112" s="71">
        <v>345</v>
      </c>
      <c r="FI112" s="71">
        <v>454</v>
      </c>
      <c r="FJ112" s="71">
        <v>527</v>
      </c>
      <c r="FK112" s="71">
        <v>611</v>
      </c>
      <c r="FL112" s="71">
        <v>718</v>
      </c>
      <c r="FM112" s="71">
        <v>2655</v>
      </c>
      <c r="FN112" s="71"/>
      <c r="FO112" s="71" t="s">
        <v>2437</v>
      </c>
      <c r="FP112" s="71">
        <v>73</v>
      </c>
      <c r="FQ112" s="71">
        <v>29</v>
      </c>
      <c r="FR112" s="71">
        <v>20</v>
      </c>
      <c r="FS112" s="71">
        <v>10</v>
      </c>
      <c r="FT112" s="71">
        <v>6</v>
      </c>
      <c r="FU112" s="71">
        <v>138</v>
      </c>
    </row>
    <row r="113" spans="2:177">
      <c r="B113" s="65" t="s">
        <v>859</v>
      </c>
      <c r="C113" s="65" t="s">
        <v>2437</v>
      </c>
      <c r="D113" s="65">
        <v>191</v>
      </c>
      <c r="E113" s="65">
        <v>289</v>
      </c>
      <c r="F113" s="65">
        <v>369</v>
      </c>
      <c r="G113" s="65">
        <v>487</v>
      </c>
      <c r="H113" s="65">
        <v>374</v>
      </c>
      <c r="I113" s="65">
        <v>1710</v>
      </c>
      <c r="K113" s="65" t="s">
        <v>2437</v>
      </c>
      <c r="L113" s="65">
        <v>32</v>
      </c>
      <c r="M113" s="65">
        <v>3</v>
      </c>
      <c r="N113" s="65">
        <v>0</v>
      </c>
      <c r="O113" s="65">
        <v>0</v>
      </c>
      <c r="P113" s="65">
        <v>0</v>
      </c>
      <c r="Q113" s="65">
        <v>35</v>
      </c>
      <c r="T113" s="66" t="s">
        <v>1163</v>
      </c>
      <c r="U113" s="66" t="s">
        <v>2441</v>
      </c>
      <c r="V113" s="66" t="s">
        <v>356</v>
      </c>
      <c r="W113" s="66" t="s">
        <v>356</v>
      </c>
      <c r="X113" s="66" t="s">
        <v>356</v>
      </c>
      <c r="Y113" s="66" t="s">
        <v>356</v>
      </c>
      <c r="Z113" s="66" t="s">
        <v>356</v>
      </c>
      <c r="AA113" s="66" t="s">
        <v>356</v>
      </c>
      <c r="AB113" s="66"/>
      <c r="AC113" s="66" t="s">
        <v>2441</v>
      </c>
      <c r="AD113" s="66" t="s">
        <v>356</v>
      </c>
      <c r="AE113" s="66" t="s">
        <v>356</v>
      </c>
      <c r="AF113" s="66" t="s">
        <v>356</v>
      </c>
      <c r="AG113" s="66" t="s">
        <v>356</v>
      </c>
      <c r="AH113" s="66" t="s">
        <v>356</v>
      </c>
      <c r="AI113" s="66" t="s">
        <v>356</v>
      </c>
      <c r="AK113" s="67" t="s">
        <v>2218</v>
      </c>
      <c r="AL113" s="67" t="s">
        <v>2427</v>
      </c>
      <c r="AM113" s="67">
        <v>402</v>
      </c>
      <c r="AN113" s="67">
        <v>538</v>
      </c>
      <c r="AO113" s="67">
        <v>494</v>
      </c>
      <c r="AP113" s="67">
        <v>482</v>
      </c>
      <c r="AQ113" s="67">
        <v>605</v>
      </c>
      <c r="AR113" s="67">
        <v>2521</v>
      </c>
      <c r="AS113" s="67"/>
      <c r="AT113" s="67" t="s">
        <v>2427</v>
      </c>
      <c r="AU113" s="67">
        <v>108</v>
      </c>
      <c r="AV113" s="67">
        <v>57</v>
      </c>
      <c r="AW113" s="67">
        <v>28</v>
      </c>
      <c r="AX113" s="67">
        <v>46</v>
      </c>
      <c r="AY113" s="67">
        <v>48</v>
      </c>
      <c r="AZ113" s="67">
        <v>287</v>
      </c>
      <c r="BB113" s="70" t="s">
        <v>1520</v>
      </c>
      <c r="BC113" s="70" t="s">
        <v>2427</v>
      </c>
      <c r="BD113" s="70">
        <v>454</v>
      </c>
      <c r="BE113" s="70">
        <v>363</v>
      </c>
      <c r="BF113" s="70">
        <v>579</v>
      </c>
      <c r="BG113" s="70">
        <v>686</v>
      </c>
      <c r="BH113" s="70">
        <v>610</v>
      </c>
      <c r="BI113" s="70">
        <v>2692</v>
      </c>
      <c r="BJ113" s="70"/>
      <c r="BK113" s="70" t="s">
        <v>2427</v>
      </c>
      <c r="BL113" s="70">
        <v>59</v>
      </c>
      <c r="BM113" s="70">
        <v>0</v>
      </c>
      <c r="BN113" s="70">
        <v>0</v>
      </c>
      <c r="BO113" s="70">
        <v>0</v>
      </c>
      <c r="BP113" s="70">
        <v>0</v>
      </c>
      <c r="BQ113" s="70">
        <v>59</v>
      </c>
      <c r="BS113" s="71" t="s">
        <v>1599</v>
      </c>
      <c r="BT113" s="71" t="s">
        <v>27</v>
      </c>
      <c r="BU113" s="71">
        <v>461</v>
      </c>
      <c r="BV113" s="71">
        <v>287</v>
      </c>
      <c r="BW113" s="71">
        <v>332</v>
      </c>
      <c r="BX113" s="71">
        <v>360</v>
      </c>
      <c r="BY113" s="71">
        <v>282</v>
      </c>
      <c r="BZ113" s="71">
        <v>1722</v>
      </c>
      <c r="CA113" s="71"/>
      <c r="CB113" s="71" t="s">
        <v>27</v>
      </c>
      <c r="CC113" s="71">
        <v>150</v>
      </c>
      <c r="CD113" s="71">
        <v>0</v>
      </c>
      <c r="CE113" s="71">
        <v>0</v>
      </c>
      <c r="CF113" s="71">
        <v>0</v>
      </c>
      <c r="CG113" s="71">
        <v>0</v>
      </c>
      <c r="CH113" s="71">
        <v>150</v>
      </c>
      <c r="CL113" s="57" t="s">
        <v>592</v>
      </c>
      <c r="CM113" s="57" t="s">
        <v>2437</v>
      </c>
      <c r="CN113" s="57">
        <v>37</v>
      </c>
      <c r="CO113" s="57">
        <v>34</v>
      </c>
      <c r="CP113" s="57">
        <v>65</v>
      </c>
      <c r="CQ113" s="57">
        <v>88</v>
      </c>
      <c r="CR113" s="57">
        <v>104</v>
      </c>
      <c r="CS113" s="57">
        <v>328</v>
      </c>
      <c r="CT113" s="57"/>
      <c r="CU113" s="57" t="s">
        <v>2437</v>
      </c>
      <c r="CV113" s="57">
        <v>18</v>
      </c>
      <c r="CW113" s="57">
        <v>0</v>
      </c>
      <c r="CX113" s="57">
        <v>0</v>
      </c>
      <c r="CY113" s="57">
        <v>0</v>
      </c>
      <c r="CZ113" s="57">
        <v>0</v>
      </c>
      <c r="DA113" s="57">
        <v>18</v>
      </c>
      <c r="DV113" s="80" t="s">
        <v>1890</v>
      </c>
      <c r="DW113" s="80" t="s">
        <v>27</v>
      </c>
      <c r="DX113" s="80">
        <v>260</v>
      </c>
      <c r="DY113" s="80">
        <v>274</v>
      </c>
      <c r="DZ113" s="80">
        <v>415</v>
      </c>
      <c r="EA113" s="80">
        <v>401</v>
      </c>
      <c r="EB113" s="80">
        <v>355</v>
      </c>
      <c r="EC113" s="80">
        <v>1705</v>
      </c>
      <c r="ED113" s="80"/>
      <c r="EE113" s="80" t="s">
        <v>27</v>
      </c>
      <c r="EF113" s="80">
        <v>11</v>
      </c>
      <c r="EG113" s="80">
        <v>0</v>
      </c>
      <c r="EH113" s="80">
        <v>0</v>
      </c>
      <c r="EI113" s="80">
        <v>0</v>
      </c>
      <c r="EJ113" s="80">
        <v>0</v>
      </c>
      <c r="EK113" s="80">
        <v>11</v>
      </c>
      <c r="EN113" s="57" t="s">
        <v>2380</v>
      </c>
      <c r="EO113" s="57" t="s">
        <v>2441</v>
      </c>
      <c r="EP113" s="57">
        <v>56</v>
      </c>
      <c r="EQ113" s="57">
        <v>119</v>
      </c>
      <c r="ER113" s="57">
        <v>160</v>
      </c>
      <c r="ES113" s="57">
        <v>211</v>
      </c>
      <c r="ET113" s="57">
        <v>250</v>
      </c>
      <c r="EU113" s="57">
        <v>796</v>
      </c>
      <c r="EV113" s="57"/>
      <c r="EW113" s="57" t="s">
        <v>2441</v>
      </c>
      <c r="EX113" s="57">
        <v>4</v>
      </c>
      <c r="EY113" s="57">
        <v>7</v>
      </c>
      <c r="EZ113" s="57">
        <v>0</v>
      </c>
      <c r="FA113" s="57">
        <v>3</v>
      </c>
      <c r="FB113" s="57">
        <v>3</v>
      </c>
      <c r="FC113" s="57">
        <v>17</v>
      </c>
      <c r="FF113" s="71" t="s">
        <v>2075</v>
      </c>
      <c r="FG113" s="71" t="s">
        <v>2437</v>
      </c>
      <c r="FH113" s="71">
        <v>486</v>
      </c>
      <c r="FI113" s="71">
        <v>541</v>
      </c>
      <c r="FJ113" s="71">
        <v>599</v>
      </c>
      <c r="FK113" s="71">
        <v>697</v>
      </c>
      <c r="FL113" s="71">
        <v>689</v>
      </c>
      <c r="FM113" s="71">
        <v>3012</v>
      </c>
      <c r="FN113" s="71"/>
      <c r="FO113" s="71" t="s">
        <v>2437</v>
      </c>
      <c r="FP113" s="71">
        <v>75</v>
      </c>
      <c r="FQ113" s="71">
        <v>13</v>
      </c>
      <c r="FR113" s="71">
        <v>6</v>
      </c>
      <c r="FS113" s="71">
        <v>6</v>
      </c>
      <c r="FT113" s="71">
        <v>8</v>
      </c>
      <c r="FU113" s="71">
        <v>108</v>
      </c>
    </row>
    <row r="114" spans="2:177">
      <c r="B114" s="65" t="s">
        <v>863</v>
      </c>
      <c r="C114" s="65" t="s">
        <v>2437</v>
      </c>
      <c r="D114" s="65">
        <v>83</v>
      </c>
      <c r="E114" s="65">
        <v>118</v>
      </c>
      <c r="F114" s="65">
        <v>274</v>
      </c>
      <c r="G114" s="65">
        <v>352</v>
      </c>
      <c r="H114" s="65">
        <v>324</v>
      </c>
      <c r="I114" s="65">
        <v>1151</v>
      </c>
      <c r="K114" s="65" t="s">
        <v>2437</v>
      </c>
      <c r="L114" s="65">
        <v>15</v>
      </c>
      <c r="M114" s="65">
        <v>1</v>
      </c>
      <c r="N114" s="65">
        <v>0</v>
      </c>
      <c r="O114" s="65">
        <v>0</v>
      </c>
      <c r="P114" s="65">
        <v>0</v>
      </c>
      <c r="Q114" s="65">
        <v>16</v>
      </c>
      <c r="T114" s="66" t="s">
        <v>1166</v>
      </c>
      <c r="U114" s="66" t="s">
        <v>2441</v>
      </c>
      <c r="V114" s="66" t="s">
        <v>356</v>
      </c>
      <c r="W114" s="66" t="s">
        <v>356</v>
      </c>
      <c r="X114" s="66" t="s">
        <v>356</v>
      </c>
      <c r="Y114" s="66" t="s">
        <v>356</v>
      </c>
      <c r="Z114" s="66" t="s">
        <v>356</v>
      </c>
      <c r="AA114" s="66" t="s">
        <v>356</v>
      </c>
      <c r="AB114" s="66"/>
      <c r="AC114" s="66" t="s">
        <v>2441</v>
      </c>
      <c r="AD114" s="66" t="s">
        <v>356</v>
      </c>
      <c r="AE114" s="66" t="s">
        <v>356</v>
      </c>
      <c r="AF114" s="66" t="s">
        <v>356</v>
      </c>
      <c r="AG114" s="66" t="s">
        <v>356</v>
      </c>
      <c r="AH114" s="66" t="s">
        <v>356</v>
      </c>
      <c r="AI114" s="66" t="s">
        <v>356</v>
      </c>
      <c r="AK114" s="67" t="s">
        <v>2220</v>
      </c>
      <c r="AL114" s="67" t="s">
        <v>2427</v>
      </c>
      <c r="AM114" s="67">
        <v>524</v>
      </c>
      <c r="AN114" s="67">
        <v>617</v>
      </c>
      <c r="AO114" s="67">
        <v>545</v>
      </c>
      <c r="AP114" s="67">
        <v>587</v>
      </c>
      <c r="AQ114" s="67">
        <v>719</v>
      </c>
      <c r="AR114" s="67">
        <v>2992</v>
      </c>
      <c r="AS114" s="67"/>
      <c r="AT114" s="67" t="s">
        <v>2427</v>
      </c>
      <c r="AU114" s="67">
        <v>104</v>
      </c>
      <c r="AV114" s="67">
        <v>27</v>
      </c>
      <c r="AW114" s="67">
        <v>10</v>
      </c>
      <c r="AX114" s="67">
        <v>14</v>
      </c>
      <c r="AY114" s="67">
        <v>25</v>
      </c>
      <c r="AZ114" s="67">
        <v>180</v>
      </c>
      <c r="BB114" s="70" t="s">
        <v>1523</v>
      </c>
      <c r="BC114" s="70" t="s">
        <v>2427</v>
      </c>
      <c r="BD114" s="70">
        <v>252</v>
      </c>
      <c r="BE114" s="70">
        <v>212</v>
      </c>
      <c r="BF114" s="70">
        <v>368</v>
      </c>
      <c r="BG114" s="70">
        <v>469</v>
      </c>
      <c r="BH114" s="70">
        <v>454</v>
      </c>
      <c r="BI114" s="70">
        <v>1755</v>
      </c>
      <c r="BJ114" s="70"/>
      <c r="BK114" s="70" t="s">
        <v>2427</v>
      </c>
      <c r="BL114" s="70">
        <v>41</v>
      </c>
      <c r="BM114" s="70">
        <v>0</v>
      </c>
      <c r="BN114" s="70">
        <v>0</v>
      </c>
      <c r="BO114" s="70">
        <v>0</v>
      </c>
      <c r="BP114" s="70">
        <v>0</v>
      </c>
      <c r="BQ114" s="70">
        <v>41</v>
      </c>
      <c r="BS114" s="71" t="s">
        <v>1601</v>
      </c>
      <c r="BT114" s="71" t="s">
        <v>27</v>
      </c>
      <c r="BU114" s="71">
        <v>1059</v>
      </c>
      <c r="BV114" s="71">
        <v>396</v>
      </c>
      <c r="BW114" s="71">
        <v>496</v>
      </c>
      <c r="BX114" s="71">
        <v>658</v>
      </c>
      <c r="BY114" s="71">
        <v>570</v>
      </c>
      <c r="BZ114" s="71">
        <v>3179</v>
      </c>
      <c r="CA114" s="71"/>
      <c r="CB114" s="71" t="s">
        <v>27</v>
      </c>
      <c r="CC114" s="71">
        <v>300</v>
      </c>
      <c r="CD114" s="71">
        <v>0</v>
      </c>
      <c r="CE114" s="71">
        <v>0</v>
      </c>
      <c r="CF114" s="71">
        <v>0</v>
      </c>
      <c r="CG114" s="71">
        <v>0</v>
      </c>
      <c r="CH114" s="71">
        <v>300</v>
      </c>
      <c r="CL114" s="57" t="s">
        <v>595</v>
      </c>
      <c r="CM114" s="57" t="s">
        <v>2437</v>
      </c>
      <c r="CN114" s="57">
        <v>232</v>
      </c>
      <c r="CO114" s="57">
        <v>85</v>
      </c>
      <c r="CP114" s="57">
        <v>133</v>
      </c>
      <c r="CQ114" s="57">
        <v>179</v>
      </c>
      <c r="CR114" s="57">
        <v>265</v>
      </c>
      <c r="CS114" s="57">
        <v>894</v>
      </c>
      <c r="CT114" s="57"/>
      <c r="CU114" s="57" t="s">
        <v>2437</v>
      </c>
      <c r="CV114" s="57">
        <v>71</v>
      </c>
      <c r="CW114" s="57">
        <v>1</v>
      </c>
      <c r="CX114" s="57">
        <v>0</v>
      </c>
      <c r="CY114" s="57">
        <v>0</v>
      </c>
      <c r="CZ114" s="57">
        <v>0</v>
      </c>
      <c r="DA114" s="57">
        <v>72</v>
      </c>
      <c r="DV114" s="80" t="s">
        <v>1894</v>
      </c>
      <c r="DW114" s="80" t="s">
        <v>27</v>
      </c>
      <c r="DX114" s="80">
        <v>227</v>
      </c>
      <c r="DY114" s="80">
        <v>312</v>
      </c>
      <c r="DZ114" s="80">
        <v>408</v>
      </c>
      <c r="EA114" s="80">
        <v>496</v>
      </c>
      <c r="EB114" s="80">
        <v>413</v>
      </c>
      <c r="EC114" s="80">
        <v>1856</v>
      </c>
      <c r="ED114" s="80"/>
      <c r="EE114" s="80" t="s">
        <v>27</v>
      </c>
      <c r="EF114" s="80">
        <v>16</v>
      </c>
      <c r="EG114" s="80">
        <v>1</v>
      </c>
      <c r="EH114" s="80">
        <v>0</v>
      </c>
      <c r="EI114" s="80">
        <v>0</v>
      </c>
      <c r="EJ114" s="80">
        <v>0</v>
      </c>
      <c r="EK114" s="80">
        <v>17</v>
      </c>
      <c r="EN114" s="57" t="s">
        <v>2381</v>
      </c>
      <c r="EO114" s="57" t="s">
        <v>2441</v>
      </c>
      <c r="EP114" s="57">
        <v>90</v>
      </c>
      <c r="EQ114" s="57">
        <v>179</v>
      </c>
      <c r="ER114" s="57">
        <v>256</v>
      </c>
      <c r="ES114" s="57">
        <v>292</v>
      </c>
      <c r="ET114" s="57">
        <v>313</v>
      </c>
      <c r="EU114" s="57">
        <v>1130</v>
      </c>
      <c r="EV114" s="57"/>
      <c r="EW114" s="57" t="s">
        <v>2441</v>
      </c>
      <c r="EX114" s="57">
        <v>8</v>
      </c>
      <c r="EY114" s="57">
        <v>5</v>
      </c>
      <c r="EZ114" s="57">
        <v>3</v>
      </c>
      <c r="FA114" s="57">
        <v>3</v>
      </c>
      <c r="FB114" s="57">
        <v>3</v>
      </c>
      <c r="FC114" s="57">
        <v>22</v>
      </c>
      <c r="FF114" s="71" t="s">
        <v>2077</v>
      </c>
      <c r="FG114" s="71" t="s">
        <v>2437</v>
      </c>
      <c r="FH114" s="71">
        <v>353</v>
      </c>
      <c r="FI114" s="71">
        <v>488</v>
      </c>
      <c r="FJ114" s="71">
        <v>569</v>
      </c>
      <c r="FK114" s="71">
        <v>565</v>
      </c>
      <c r="FL114" s="71">
        <v>592</v>
      </c>
      <c r="FM114" s="71">
        <v>2567</v>
      </c>
      <c r="FN114" s="71"/>
      <c r="FO114" s="71" t="s">
        <v>2437</v>
      </c>
      <c r="FP114" s="71">
        <v>58</v>
      </c>
      <c r="FQ114" s="71">
        <v>15</v>
      </c>
      <c r="FR114" s="71">
        <v>7</v>
      </c>
      <c r="FS114" s="71">
        <v>4</v>
      </c>
      <c r="FT114" s="71">
        <v>7</v>
      </c>
      <c r="FU114" s="71">
        <v>91</v>
      </c>
    </row>
    <row r="115" spans="2:177">
      <c r="B115" s="65" t="s">
        <v>866</v>
      </c>
      <c r="C115" s="65" t="s">
        <v>2437</v>
      </c>
      <c r="D115" s="65">
        <v>102</v>
      </c>
      <c r="E115" s="65">
        <v>189</v>
      </c>
      <c r="F115" s="65">
        <v>381</v>
      </c>
      <c r="G115" s="65">
        <v>564</v>
      </c>
      <c r="H115" s="65">
        <v>405</v>
      </c>
      <c r="I115" s="65">
        <v>1641</v>
      </c>
      <c r="K115" s="65" t="s">
        <v>2437</v>
      </c>
      <c r="L115" s="65">
        <v>11</v>
      </c>
      <c r="M115" s="65">
        <v>3</v>
      </c>
      <c r="N115" s="65">
        <v>1</v>
      </c>
      <c r="O115" s="65">
        <v>1</v>
      </c>
      <c r="P115" s="65">
        <v>0</v>
      </c>
      <c r="Q115" s="65">
        <v>16</v>
      </c>
      <c r="T115" s="66" t="s">
        <v>1170</v>
      </c>
      <c r="U115" s="66" t="s">
        <v>2441</v>
      </c>
      <c r="V115" s="66" t="s">
        <v>356</v>
      </c>
      <c r="W115" s="66" t="s">
        <v>356</v>
      </c>
      <c r="X115" s="66" t="s">
        <v>356</v>
      </c>
      <c r="Y115" s="66" t="s">
        <v>356</v>
      </c>
      <c r="Z115" s="66" t="s">
        <v>356</v>
      </c>
      <c r="AA115" s="66" t="s">
        <v>356</v>
      </c>
      <c r="AB115" s="66"/>
      <c r="AC115" s="66" t="s">
        <v>2441</v>
      </c>
      <c r="AD115" s="66" t="s">
        <v>356</v>
      </c>
      <c r="AE115" s="66" t="s">
        <v>356</v>
      </c>
      <c r="AF115" s="66" t="s">
        <v>356</v>
      </c>
      <c r="AG115" s="66" t="s">
        <v>356</v>
      </c>
      <c r="AH115" s="66" t="s">
        <v>356</v>
      </c>
      <c r="AI115" s="66" t="s">
        <v>356</v>
      </c>
      <c r="BB115" s="70" t="s">
        <v>1527</v>
      </c>
      <c r="BC115" s="70" t="s">
        <v>2427</v>
      </c>
      <c r="BD115" s="70">
        <v>128</v>
      </c>
      <c r="BE115" s="70">
        <v>122</v>
      </c>
      <c r="BF115" s="70">
        <v>254</v>
      </c>
      <c r="BG115" s="70">
        <v>403</v>
      </c>
      <c r="BH115" s="70">
        <v>437</v>
      </c>
      <c r="BI115" s="70">
        <v>1344</v>
      </c>
      <c r="BJ115" s="70"/>
      <c r="BK115" s="70" t="s">
        <v>2427</v>
      </c>
      <c r="BL115" s="70">
        <v>22</v>
      </c>
      <c r="BM115" s="70">
        <v>0</v>
      </c>
      <c r="BN115" s="70">
        <v>0</v>
      </c>
      <c r="BO115" s="70">
        <v>0</v>
      </c>
      <c r="BP115" s="70">
        <v>0</v>
      </c>
      <c r="BQ115" s="70">
        <v>22</v>
      </c>
      <c r="BS115" s="71" t="s">
        <v>1606</v>
      </c>
      <c r="BT115" s="71" t="s">
        <v>27</v>
      </c>
      <c r="BU115" s="71">
        <v>117</v>
      </c>
      <c r="BV115" s="71">
        <v>152</v>
      </c>
      <c r="BW115" s="71">
        <v>296</v>
      </c>
      <c r="BX115" s="71">
        <v>388</v>
      </c>
      <c r="BY115" s="71">
        <v>344</v>
      </c>
      <c r="BZ115" s="71">
        <v>1297</v>
      </c>
      <c r="CA115" s="71"/>
      <c r="CB115" s="71" t="s">
        <v>27</v>
      </c>
      <c r="CC115" s="71">
        <v>40</v>
      </c>
      <c r="CD115" s="71">
        <v>0</v>
      </c>
      <c r="CE115" s="71">
        <v>0</v>
      </c>
      <c r="CF115" s="71">
        <v>0</v>
      </c>
      <c r="CG115" s="71">
        <v>0</v>
      </c>
      <c r="CH115" s="71">
        <v>40</v>
      </c>
      <c r="CL115" s="57" t="s">
        <v>406</v>
      </c>
      <c r="CM115" s="57" t="s">
        <v>2437</v>
      </c>
      <c r="CN115" s="57" t="s">
        <v>356</v>
      </c>
      <c r="CO115" s="57" t="s">
        <v>356</v>
      </c>
      <c r="CP115" s="57" t="s">
        <v>356</v>
      </c>
      <c r="CQ115" s="57" t="s">
        <v>356</v>
      </c>
      <c r="CR115" s="57" t="s">
        <v>356</v>
      </c>
      <c r="CS115" s="57" t="s">
        <v>356</v>
      </c>
      <c r="CT115" s="57"/>
      <c r="CU115" s="57" t="s">
        <v>2437</v>
      </c>
      <c r="CV115" s="57" t="s">
        <v>356</v>
      </c>
      <c r="CW115" s="57" t="s">
        <v>356</v>
      </c>
      <c r="CX115" s="57" t="s">
        <v>356</v>
      </c>
      <c r="CY115" s="57" t="s">
        <v>356</v>
      </c>
      <c r="CZ115" s="57" t="s">
        <v>356</v>
      </c>
      <c r="DA115" s="57" t="s">
        <v>356</v>
      </c>
      <c r="DV115" s="80" t="s">
        <v>1897</v>
      </c>
      <c r="DW115" s="80" t="s">
        <v>27</v>
      </c>
      <c r="DX115" s="80">
        <v>1898</v>
      </c>
      <c r="DY115" s="80">
        <v>825</v>
      </c>
      <c r="DZ115" s="80">
        <v>669</v>
      </c>
      <c r="EA115" s="80">
        <v>671</v>
      </c>
      <c r="EB115" s="80">
        <v>801</v>
      </c>
      <c r="EC115" s="80">
        <v>4864</v>
      </c>
      <c r="ED115" s="80"/>
      <c r="EE115" s="80" t="s">
        <v>27</v>
      </c>
      <c r="EF115" s="80">
        <v>339</v>
      </c>
      <c r="EG115" s="80">
        <v>45</v>
      </c>
      <c r="EH115" s="80">
        <v>17</v>
      </c>
      <c r="EI115" s="80">
        <v>0</v>
      </c>
      <c r="EJ115" s="80">
        <v>0</v>
      </c>
      <c r="EK115" s="80">
        <v>401</v>
      </c>
      <c r="EN115" s="57" t="s">
        <v>2382</v>
      </c>
      <c r="EO115" s="57" t="s">
        <v>2441</v>
      </c>
      <c r="EP115" s="57">
        <v>30</v>
      </c>
      <c r="EQ115" s="57">
        <v>77</v>
      </c>
      <c r="ER115" s="57">
        <v>146</v>
      </c>
      <c r="ES115" s="57">
        <v>235</v>
      </c>
      <c r="ET115" s="57">
        <v>268</v>
      </c>
      <c r="EU115" s="57">
        <v>756</v>
      </c>
      <c r="EV115" s="57"/>
      <c r="EW115" s="57" t="s">
        <v>2441</v>
      </c>
      <c r="EX115" s="57">
        <v>3</v>
      </c>
      <c r="EY115" s="57">
        <v>1</v>
      </c>
      <c r="EZ115" s="57">
        <v>1</v>
      </c>
      <c r="FA115" s="57">
        <v>2</v>
      </c>
      <c r="FB115" s="57">
        <v>0</v>
      </c>
      <c r="FC115" s="57">
        <v>7</v>
      </c>
      <c r="FF115" s="71" t="s">
        <v>2079</v>
      </c>
      <c r="FG115" s="71" t="s">
        <v>2437</v>
      </c>
      <c r="FH115" s="71">
        <v>2209</v>
      </c>
      <c r="FI115" s="71">
        <v>1010</v>
      </c>
      <c r="FJ115" s="71">
        <v>753</v>
      </c>
      <c r="FK115" s="71">
        <v>617</v>
      </c>
      <c r="FL115" s="71">
        <v>639</v>
      </c>
      <c r="FM115" s="71">
        <v>5228</v>
      </c>
      <c r="FN115" s="71"/>
      <c r="FO115" s="71" t="s">
        <v>2437</v>
      </c>
      <c r="FP115" s="71">
        <v>340</v>
      </c>
      <c r="FQ115" s="71">
        <v>0</v>
      </c>
      <c r="FR115" s="71">
        <v>0</v>
      </c>
      <c r="FS115" s="71">
        <v>0</v>
      </c>
      <c r="FT115" s="71">
        <v>0</v>
      </c>
      <c r="FU115" s="71">
        <v>340</v>
      </c>
    </row>
    <row r="116" spans="2:177">
      <c r="B116" s="65" t="s">
        <v>869</v>
      </c>
      <c r="C116" s="65" t="s">
        <v>2437</v>
      </c>
      <c r="D116" s="65">
        <v>444</v>
      </c>
      <c r="E116" s="65">
        <v>458</v>
      </c>
      <c r="F116" s="65">
        <v>620</v>
      </c>
      <c r="G116" s="65">
        <v>714</v>
      </c>
      <c r="H116" s="65">
        <v>505</v>
      </c>
      <c r="I116" s="65">
        <v>2741</v>
      </c>
      <c r="K116" s="65" t="s">
        <v>2437</v>
      </c>
      <c r="L116" s="65">
        <v>27</v>
      </c>
      <c r="M116" s="65">
        <v>0</v>
      </c>
      <c r="N116" s="65">
        <v>0</v>
      </c>
      <c r="O116" s="65">
        <v>0</v>
      </c>
      <c r="P116" s="65">
        <v>0</v>
      </c>
      <c r="Q116" s="65">
        <v>27</v>
      </c>
      <c r="AK116" s="67" t="s">
        <v>1255</v>
      </c>
      <c r="AL116" s="67" t="s">
        <v>2437</v>
      </c>
      <c r="AM116" s="67">
        <v>424</v>
      </c>
      <c r="AN116" s="67">
        <v>574</v>
      </c>
      <c r="AO116" s="67">
        <v>823</v>
      </c>
      <c r="AP116" s="67">
        <v>925</v>
      </c>
      <c r="AQ116" s="67">
        <v>701</v>
      </c>
      <c r="AR116" s="67">
        <v>3447</v>
      </c>
      <c r="AS116" s="67"/>
      <c r="AT116" s="67" t="s">
        <v>2437</v>
      </c>
      <c r="AU116" s="67">
        <v>62</v>
      </c>
      <c r="AV116" s="67">
        <v>3</v>
      </c>
      <c r="AW116" s="67">
        <v>0</v>
      </c>
      <c r="AX116" s="67">
        <v>1</v>
      </c>
      <c r="AY116" s="67">
        <v>0</v>
      </c>
      <c r="AZ116" s="67">
        <v>66</v>
      </c>
      <c r="BB116" s="70" t="s">
        <v>1530</v>
      </c>
      <c r="BC116" s="70" t="s">
        <v>2427</v>
      </c>
      <c r="BD116" s="70">
        <v>159</v>
      </c>
      <c r="BE116" s="70">
        <v>157</v>
      </c>
      <c r="BF116" s="70">
        <v>291</v>
      </c>
      <c r="BG116" s="70">
        <v>384</v>
      </c>
      <c r="BH116" s="70">
        <v>364</v>
      </c>
      <c r="BI116" s="70">
        <v>1355</v>
      </c>
      <c r="BJ116" s="70"/>
      <c r="BK116" s="70" t="s">
        <v>2427</v>
      </c>
      <c r="BL116" s="70">
        <v>36</v>
      </c>
      <c r="BM116" s="70">
        <v>0</v>
      </c>
      <c r="BN116" s="70">
        <v>0</v>
      </c>
      <c r="BO116" s="70">
        <v>0</v>
      </c>
      <c r="BP116" s="70">
        <v>0</v>
      </c>
      <c r="BQ116" s="70">
        <v>36</v>
      </c>
      <c r="BS116" s="71" t="s">
        <v>1608</v>
      </c>
      <c r="BT116" s="71" t="s">
        <v>27</v>
      </c>
      <c r="BU116" s="71">
        <v>146</v>
      </c>
      <c r="BV116" s="71">
        <v>117</v>
      </c>
      <c r="BW116" s="71">
        <v>261</v>
      </c>
      <c r="BX116" s="71">
        <v>353</v>
      </c>
      <c r="BY116" s="71">
        <v>268</v>
      </c>
      <c r="BZ116" s="71">
        <v>1145</v>
      </c>
      <c r="CA116" s="71"/>
      <c r="CB116" s="71" t="s">
        <v>27</v>
      </c>
      <c r="CC116" s="71">
        <v>42</v>
      </c>
      <c r="CD116" s="71">
        <v>0</v>
      </c>
      <c r="CE116" s="71">
        <v>0</v>
      </c>
      <c r="CF116" s="71">
        <v>0</v>
      </c>
      <c r="CG116" s="71">
        <v>0</v>
      </c>
      <c r="CH116" s="71">
        <v>42</v>
      </c>
      <c r="CL116" s="57" t="s">
        <v>564</v>
      </c>
      <c r="CM116" s="57" t="s">
        <v>2437</v>
      </c>
      <c r="CN116" s="57">
        <v>476</v>
      </c>
      <c r="CO116" s="57">
        <v>63</v>
      </c>
      <c r="CP116" s="57">
        <v>120</v>
      </c>
      <c r="CQ116" s="57">
        <v>150</v>
      </c>
      <c r="CR116" s="57">
        <v>319</v>
      </c>
      <c r="CS116" s="57">
        <v>1128</v>
      </c>
      <c r="CT116" s="57"/>
      <c r="CU116" s="57" t="s">
        <v>2437</v>
      </c>
      <c r="CV116" s="57">
        <v>150</v>
      </c>
      <c r="CW116" s="57">
        <v>0</v>
      </c>
      <c r="CX116" s="57">
        <v>0</v>
      </c>
      <c r="CY116" s="57">
        <v>0</v>
      </c>
      <c r="CZ116" s="57">
        <v>0</v>
      </c>
      <c r="DA116" s="57">
        <v>150</v>
      </c>
      <c r="DV116" s="80" t="s">
        <v>1900</v>
      </c>
      <c r="DW116" s="80" t="s">
        <v>27</v>
      </c>
      <c r="DX116" s="80">
        <v>194</v>
      </c>
      <c r="DY116" s="80">
        <v>268</v>
      </c>
      <c r="DZ116" s="80">
        <v>361</v>
      </c>
      <c r="EA116" s="80">
        <v>404</v>
      </c>
      <c r="EB116" s="80">
        <v>281</v>
      </c>
      <c r="EC116" s="80">
        <v>1508</v>
      </c>
      <c r="ED116" s="80"/>
      <c r="EE116" s="80" t="s">
        <v>27</v>
      </c>
      <c r="EF116" s="80">
        <v>16</v>
      </c>
      <c r="EG116" s="80">
        <v>2</v>
      </c>
      <c r="EH116" s="80">
        <v>0</v>
      </c>
      <c r="EI116" s="80">
        <v>0</v>
      </c>
      <c r="EJ116" s="80">
        <v>0</v>
      </c>
      <c r="EK116" s="80">
        <v>18</v>
      </c>
      <c r="EN116" s="57" t="s">
        <v>2383</v>
      </c>
      <c r="EO116" s="57" t="s">
        <v>2441</v>
      </c>
      <c r="EP116" s="57">
        <v>374</v>
      </c>
      <c r="EQ116" s="57">
        <v>650</v>
      </c>
      <c r="ER116" s="57">
        <v>849</v>
      </c>
      <c r="ES116" s="57">
        <v>974</v>
      </c>
      <c r="ET116" s="57">
        <v>1036</v>
      </c>
      <c r="EU116" s="57">
        <v>3883</v>
      </c>
      <c r="EV116" s="57"/>
      <c r="EW116" s="57" t="s">
        <v>2441</v>
      </c>
      <c r="EX116" s="57">
        <v>65</v>
      </c>
      <c r="EY116" s="57">
        <v>23</v>
      </c>
      <c r="EZ116" s="57">
        <v>11</v>
      </c>
      <c r="FA116" s="57">
        <v>12</v>
      </c>
      <c r="FB116" s="57">
        <v>9</v>
      </c>
      <c r="FC116" s="57">
        <v>120</v>
      </c>
      <c r="FF116" s="71" t="s">
        <v>2082</v>
      </c>
      <c r="FG116" s="71" t="s">
        <v>2437</v>
      </c>
      <c r="FH116" s="71">
        <v>760</v>
      </c>
      <c r="FI116" s="71">
        <v>1042</v>
      </c>
      <c r="FJ116" s="71">
        <v>687</v>
      </c>
      <c r="FK116" s="71">
        <v>513</v>
      </c>
      <c r="FL116" s="71">
        <v>545</v>
      </c>
      <c r="FM116" s="71">
        <v>3547</v>
      </c>
      <c r="FN116" s="71"/>
      <c r="FO116" s="71" t="s">
        <v>2437</v>
      </c>
      <c r="FP116" s="71">
        <v>145</v>
      </c>
      <c r="FQ116" s="71">
        <v>0</v>
      </c>
      <c r="FR116" s="71">
        <v>0</v>
      </c>
      <c r="FS116" s="71">
        <v>0</v>
      </c>
      <c r="FT116" s="71">
        <v>0</v>
      </c>
      <c r="FU116" s="71">
        <v>145</v>
      </c>
    </row>
    <row r="117" spans="2:177">
      <c r="B117" s="65" t="s">
        <v>877</v>
      </c>
      <c r="C117" s="65" t="s">
        <v>2437</v>
      </c>
      <c r="D117" s="65">
        <v>263</v>
      </c>
      <c r="E117" s="65">
        <v>386</v>
      </c>
      <c r="F117" s="65">
        <v>596</v>
      </c>
      <c r="G117" s="65">
        <v>684</v>
      </c>
      <c r="H117" s="65">
        <v>541</v>
      </c>
      <c r="I117" s="65">
        <v>2470</v>
      </c>
      <c r="K117" s="65" t="s">
        <v>2437</v>
      </c>
      <c r="L117" s="65">
        <v>21</v>
      </c>
      <c r="M117" s="65">
        <v>0</v>
      </c>
      <c r="N117" s="65">
        <v>0</v>
      </c>
      <c r="O117" s="65">
        <v>0</v>
      </c>
      <c r="P117" s="65">
        <v>0</v>
      </c>
      <c r="Q117" s="65">
        <v>21</v>
      </c>
      <c r="T117" s="66" t="s">
        <v>1063</v>
      </c>
      <c r="U117" s="66" t="s">
        <v>811</v>
      </c>
      <c r="V117" s="66">
        <v>609</v>
      </c>
      <c r="W117" s="66">
        <v>772</v>
      </c>
      <c r="X117" s="66">
        <v>898</v>
      </c>
      <c r="Y117" s="66">
        <v>989</v>
      </c>
      <c r="Z117" s="66">
        <v>690</v>
      </c>
      <c r="AA117" s="66">
        <v>3958</v>
      </c>
      <c r="AB117" s="66"/>
      <c r="AC117" s="66" t="s">
        <v>811</v>
      </c>
      <c r="AD117" s="66">
        <v>106</v>
      </c>
      <c r="AE117" s="66">
        <v>6</v>
      </c>
      <c r="AF117" s="66">
        <v>1</v>
      </c>
      <c r="AG117" s="66">
        <v>0</v>
      </c>
      <c r="AH117" s="66">
        <v>0</v>
      </c>
      <c r="AI117" s="66">
        <v>113</v>
      </c>
      <c r="AK117" s="67" t="s">
        <v>2221</v>
      </c>
      <c r="AL117" s="67" t="s">
        <v>2437</v>
      </c>
      <c r="AM117" s="67">
        <v>271</v>
      </c>
      <c r="AN117" s="67">
        <v>503</v>
      </c>
      <c r="AO117" s="67">
        <v>914</v>
      </c>
      <c r="AP117" s="67">
        <v>1112</v>
      </c>
      <c r="AQ117" s="67">
        <v>878</v>
      </c>
      <c r="AR117" s="67">
        <v>3678</v>
      </c>
      <c r="AS117" s="67"/>
      <c r="AT117" s="67" t="s">
        <v>2437</v>
      </c>
      <c r="AU117" s="67">
        <v>17</v>
      </c>
      <c r="AV117" s="67">
        <v>4</v>
      </c>
      <c r="AW117" s="67">
        <v>3</v>
      </c>
      <c r="AX117" s="67">
        <v>1</v>
      </c>
      <c r="AY117" s="67">
        <v>0</v>
      </c>
      <c r="AZ117" s="67">
        <v>25</v>
      </c>
      <c r="BB117" s="70" t="s">
        <v>1534</v>
      </c>
      <c r="BC117" s="70" t="s">
        <v>2427</v>
      </c>
      <c r="BD117" s="70">
        <v>171</v>
      </c>
      <c r="BE117" s="70">
        <v>175</v>
      </c>
      <c r="BF117" s="70">
        <v>373</v>
      </c>
      <c r="BG117" s="70">
        <v>586</v>
      </c>
      <c r="BH117" s="70">
        <v>554</v>
      </c>
      <c r="BI117" s="70">
        <v>1859</v>
      </c>
      <c r="BJ117" s="70"/>
      <c r="BK117" s="70" t="s">
        <v>2427</v>
      </c>
      <c r="BL117" s="70">
        <v>38</v>
      </c>
      <c r="BM117" s="70">
        <v>0</v>
      </c>
      <c r="BN117" s="70">
        <v>0</v>
      </c>
      <c r="BO117" s="70">
        <v>0</v>
      </c>
      <c r="BP117" s="70">
        <v>0</v>
      </c>
      <c r="BQ117" s="70">
        <v>38</v>
      </c>
      <c r="BS117" s="71" t="s">
        <v>1613</v>
      </c>
      <c r="BT117" s="71" t="s">
        <v>27</v>
      </c>
      <c r="BU117" s="71">
        <v>90</v>
      </c>
      <c r="BV117" s="71">
        <v>64</v>
      </c>
      <c r="BW117" s="71">
        <v>123</v>
      </c>
      <c r="BX117" s="71">
        <v>175</v>
      </c>
      <c r="BY117" s="71">
        <v>212</v>
      </c>
      <c r="BZ117" s="71">
        <v>664</v>
      </c>
      <c r="CA117" s="71"/>
      <c r="CB117" s="71" t="s">
        <v>27</v>
      </c>
      <c r="CC117" s="71">
        <v>20</v>
      </c>
      <c r="CD117" s="71">
        <v>0</v>
      </c>
      <c r="CE117" s="71">
        <v>0</v>
      </c>
      <c r="CF117" s="71">
        <v>0</v>
      </c>
      <c r="CG117" s="71">
        <v>0</v>
      </c>
      <c r="CH117" s="71">
        <v>20</v>
      </c>
      <c r="CL117" s="57" t="s">
        <v>409</v>
      </c>
      <c r="CM117" s="57" t="s">
        <v>2437</v>
      </c>
      <c r="CN117" s="57">
        <v>1139</v>
      </c>
      <c r="CO117" s="57">
        <v>849</v>
      </c>
      <c r="CP117" s="57">
        <v>998</v>
      </c>
      <c r="CQ117" s="57">
        <v>966</v>
      </c>
      <c r="CR117" s="57">
        <v>851</v>
      </c>
      <c r="CS117" s="57">
        <v>4803</v>
      </c>
      <c r="CT117" s="57"/>
      <c r="CU117" s="57" t="s">
        <v>2437</v>
      </c>
      <c r="CV117" s="57">
        <v>190</v>
      </c>
      <c r="CW117" s="57">
        <v>0</v>
      </c>
      <c r="CX117" s="57">
        <v>0</v>
      </c>
      <c r="CY117" s="57">
        <v>0</v>
      </c>
      <c r="CZ117" s="57">
        <v>0</v>
      </c>
      <c r="DA117" s="57">
        <v>190</v>
      </c>
      <c r="DV117" s="80" t="s">
        <v>1904</v>
      </c>
      <c r="DW117" s="80" t="s">
        <v>27</v>
      </c>
      <c r="DX117" s="80">
        <v>147</v>
      </c>
      <c r="DY117" s="80">
        <v>178</v>
      </c>
      <c r="DZ117" s="80">
        <v>224</v>
      </c>
      <c r="EA117" s="80">
        <v>239</v>
      </c>
      <c r="EB117" s="80">
        <v>228</v>
      </c>
      <c r="EC117" s="80">
        <v>1016</v>
      </c>
      <c r="ED117" s="80"/>
      <c r="EE117" s="80" t="s">
        <v>27</v>
      </c>
      <c r="EF117" s="80">
        <v>11</v>
      </c>
      <c r="EG117" s="80">
        <v>1</v>
      </c>
      <c r="EH117" s="80">
        <v>0</v>
      </c>
      <c r="EI117" s="80">
        <v>0</v>
      </c>
      <c r="EJ117" s="80">
        <v>0</v>
      </c>
      <c r="EK117" s="80">
        <v>12</v>
      </c>
      <c r="EN117" s="57" t="s">
        <v>1955</v>
      </c>
      <c r="EO117" s="57" t="s">
        <v>2441</v>
      </c>
      <c r="EP117" s="57">
        <v>125</v>
      </c>
      <c r="EQ117" s="57">
        <v>202</v>
      </c>
      <c r="ER117" s="57">
        <v>232</v>
      </c>
      <c r="ES117" s="57">
        <v>333</v>
      </c>
      <c r="ET117" s="57">
        <v>397</v>
      </c>
      <c r="EU117" s="57">
        <v>1289</v>
      </c>
      <c r="EV117" s="57"/>
      <c r="EW117" s="57" t="s">
        <v>2441</v>
      </c>
      <c r="EX117" s="57">
        <v>35</v>
      </c>
      <c r="EY117" s="57">
        <v>17</v>
      </c>
      <c r="EZ117" s="57">
        <v>4</v>
      </c>
      <c r="FA117" s="57">
        <v>8</v>
      </c>
      <c r="FB117" s="57">
        <v>6</v>
      </c>
      <c r="FC117" s="57">
        <v>70</v>
      </c>
      <c r="FE117" s="16" t="s">
        <v>2431</v>
      </c>
      <c r="FF117" s="71" t="s">
        <v>2085</v>
      </c>
      <c r="FG117" s="71" t="s">
        <v>2437</v>
      </c>
      <c r="FH117" s="71" t="s">
        <v>356</v>
      </c>
      <c r="FI117" s="71" t="s">
        <v>356</v>
      </c>
      <c r="FJ117" s="71" t="s">
        <v>356</v>
      </c>
      <c r="FK117" s="71" t="s">
        <v>356</v>
      </c>
      <c r="FL117" s="71" t="s">
        <v>356</v>
      </c>
      <c r="FM117" s="71" t="s">
        <v>356</v>
      </c>
      <c r="FN117" s="71"/>
      <c r="FO117" s="71" t="s">
        <v>2437</v>
      </c>
      <c r="FP117" s="71" t="s">
        <v>356</v>
      </c>
      <c r="FQ117" s="71" t="s">
        <v>356</v>
      </c>
      <c r="FR117" s="71" t="s">
        <v>356</v>
      </c>
      <c r="FS117" s="71" t="s">
        <v>356</v>
      </c>
      <c r="FT117" s="71" t="s">
        <v>356</v>
      </c>
      <c r="FU117" s="71" t="s">
        <v>356</v>
      </c>
    </row>
    <row r="118" spans="2:177">
      <c r="B118" s="65" t="s">
        <v>880</v>
      </c>
      <c r="C118" s="65" t="s">
        <v>2437</v>
      </c>
      <c r="D118" s="65">
        <v>255</v>
      </c>
      <c r="E118" s="65">
        <v>311</v>
      </c>
      <c r="F118" s="65">
        <v>479</v>
      </c>
      <c r="G118" s="65">
        <v>584</v>
      </c>
      <c r="H118" s="65">
        <v>434</v>
      </c>
      <c r="I118" s="65">
        <v>2063</v>
      </c>
      <c r="K118" s="65" t="s">
        <v>2437</v>
      </c>
      <c r="L118" s="65">
        <v>26</v>
      </c>
      <c r="M118" s="65">
        <v>0</v>
      </c>
      <c r="N118" s="65">
        <v>0</v>
      </c>
      <c r="O118" s="65">
        <v>0</v>
      </c>
      <c r="P118" s="65">
        <v>0</v>
      </c>
      <c r="Q118" s="65">
        <v>26</v>
      </c>
      <c r="T118" s="66" t="s">
        <v>1071</v>
      </c>
      <c r="U118" s="66" t="s">
        <v>811</v>
      </c>
      <c r="V118" s="66">
        <v>105</v>
      </c>
      <c r="W118" s="66">
        <v>149</v>
      </c>
      <c r="X118" s="66">
        <v>229</v>
      </c>
      <c r="Y118" s="66">
        <v>340</v>
      </c>
      <c r="Z118" s="66">
        <v>280</v>
      </c>
      <c r="AA118" s="66">
        <v>1103</v>
      </c>
      <c r="AB118" s="66"/>
      <c r="AC118" s="66" t="s">
        <v>811</v>
      </c>
      <c r="AD118" s="66">
        <v>16</v>
      </c>
      <c r="AE118" s="66">
        <v>0</v>
      </c>
      <c r="AF118" s="66">
        <v>0</v>
      </c>
      <c r="AG118" s="66">
        <v>0</v>
      </c>
      <c r="AH118" s="66">
        <v>0</v>
      </c>
      <c r="AI118" s="66">
        <v>16</v>
      </c>
      <c r="AK118" s="67" t="s">
        <v>2232</v>
      </c>
      <c r="AL118" s="67" t="s">
        <v>2437</v>
      </c>
      <c r="AM118" s="67">
        <v>197</v>
      </c>
      <c r="AN118" s="67">
        <v>271</v>
      </c>
      <c r="AO118" s="67">
        <v>407</v>
      </c>
      <c r="AP118" s="67">
        <v>476</v>
      </c>
      <c r="AQ118" s="67">
        <v>401</v>
      </c>
      <c r="AR118" s="67">
        <v>1752</v>
      </c>
      <c r="AS118" s="67"/>
      <c r="AT118" s="67" t="s">
        <v>2437</v>
      </c>
      <c r="AU118" s="67">
        <v>18</v>
      </c>
      <c r="AV118" s="67">
        <v>4</v>
      </c>
      <c r="AW118" s="67">
        <v>3</v>
      </c>
      <c r="AX118" s="67">
        <v>0</v>
      </c>
      <c r="AY118" s="67">
        <v>0</v>
      </c>
      <c r="AZ118" s="67">
        <v>25</v>
      </c>
      <c r="BB118" s="70" t="s">
        <v>1538</v>
      </c>
      <c r="BC118" s="70" t="s">
        <v>2427</v>
      </c>
      <c r="BD118" s="70">
        <v>54</v>
      </c>
      <c r="BE118" s="70">
        <v>59</v>
      </c>
      <c r="BF118" s="70">
        <v>127</v>
      </c>
      <c r="BG118" s="70">
        <v>222</v>
      </c>
      <c r="BH118" s="70">
        <v>247</v>
      </c>
      <c r="BI118" s="70">
        <v>709</v>
      </c>
      <c r="BJ118" s="70"/>
      <c r="BK118" s="70" t="s">
        <v>2427</v>
      </c>
      <c r="BL118" s="70">
        <v>15</v>
      </c>
      <c r="BM118" s="70">
        <v>0</v>
      </c>
      <c r="BN118" s="70">
        <v>0</v>
      </c>
      <c r="BO118" s="70">
        <v>0</v>
      </c>
      <c r="BP118" s="70">
        <v>0</v>
      </c>
      <c r="BQ118" s="70">
        <v>15</v>
      </c>
      <c r="BS118" s="71" t="s">
        <v>1617</v>
      </c>
      <c r="BT118" s="71" t="s">
        <v>27</v>
      </c>
      <c r="BU118" s="71">
        <v>115</v>
      </c>
      <c r="BV118" s="71">
        <v>96</v>
      </c>
      <c r="BW118" s="71">
        <v>138</v>
      </c>
      <c r="BX118" s="71">
        <v>214</v>
      </c>
      <c r="BY118" s="71">
        <v>187</v>
      </c>
      <c r="BZ118" s="71">
        <v>750</v>
      </c>
      <c r="CA118" s="71"/>
      <c r="CB118" s="71" t="s">
        <v>27</v>
      </c>
      <c r="CC118" s="71">
        <v>40</v>
      </c>
      <c r="CD118" s="71">
        <v>0</v>
      </c>
      <c r="CE118" s="71">
        <v>0</v>
      </c>
      <c r="CF118" s="71">
        <v>0</v>
      </c>
      <c r="CG118" s="71">
        <v>0</v>
      </c>
      <c r="CH118" s="71">
        <v>40</v>
      </c>
      <c r="CL118" s="57" t="s">
        <v>410</v>
      </c>
      <c r="CM118" s="57" t="s">
        <v>2437</v>
      </c>
      <c r="CN118" s="57">
        <v>89</v>
      </c>
      <c r="CO118" s="57">
        <v>115</v>
      </c>
      <c r="CP118" s="57">
        <v>245</v>
      </c>
      <c r="CQ118" s="57">
        <v>361</v>
      </c>
      <c r="CR118" s="57">
        <v>340</v>
      </c>
      <c r="CS118" s="57">
        <v>1150</v>
      </c>
      <c r="CT118" s="57"/>
      <c r="CU118" s="57" t="s">
        <v>2437</v>
      </c>
      <c r="CV118" s="57">
        <v>17</v>
      </c>
      <c r="CW118" s="57">
        <v>2</v>
      </c>
      <c r="CX118" s="57">
        <v>0</v>
      </c>
      <c r="CY118" s="57">
        <v>0</v>
      </c>
      <c r="CZ118" s="57">
        <v>0</v>
      </c>
      <c r="DA118" s="57">
        <v>19</v>
      </c>
      <c r="DV118" s="80" t="s">
        <v>1908</v>
      </c>
      <c r="DW118" s="80" t="s">
        <v>27</v>
      </c>
      <c r="DX118" s="80">
        <v>206</v>
      </c>
      <c r="DY118" s="80">
        <v>164</v>
      </c>
      <c r="DZ118" s="80">
        <v>193</v>
      </c>
      <c r="EA118" s="80">
        <v>221</v>
      </c>
      <c r="EB118" s="80">
        <v>172</v>
      </c>
      <c r="EC118" s="80">
        <v>956</v>
      </c>
      <c r="ED118" s="80"/>
      <c r="EE118" s="80" t="s">
        <v>27</v>
      </c>
      <c r="EF118" s="80">
        <v>13</v>
      </c>
      <c r="EG118" s="80">
        <v>1</v>
      </c>
      <c r="EH118" s="80">
        <v>0</v>
      </c>
      <c r="EI118" s="80">
        <v>0</v>
      </c>
      <c r="EJ118" s="80">
        <v>0</v>
      </c>
      <c r="EK118" s="80">
        <v>14</v>
      </c>
      <c r="EN118" s="57" t="s">
        <v>1959</v>
      </c>
      <c r="EO118" s="57" t="s">
        <v>2441</v>
      </c>
      <c r="EP118" s="57">
        <v>129</v>
      </c>
      <c r="EQ118" s="57">
        <v>204</v>
      </c>
      <c r="ER118" s="57">
        <v>283</v>
      </c>
      <c r="ES118" s="57">
        <v>363</v>
      </c>
      <c r="ET118" s="57">
        <v>437</v>
      </c>
      <c r="EU118" s="57">
        <v>1416</v>
      </c>
      <c r="EV118" s="57"/>
      <c r="EW118" s="57" t="s">
        <v>2441</v>
      </c>
      <c r="EX118" s="57">
        <v>53</v>
      </c>
      <c r="EY118" s="57">
        <v>16</v>
      </c>
      <c r="EZ118" s="57">
        <v>9</v>
      </c>
      <c r="FA118" s="57">
        <v>7</v>
      </c>
      <c r="FB118" s="57">
        <v>4</v>
      </c>
      <c r="FC118" s="57">
        <v>89</v>
      </c>
      <c r="FE118" s="16" t="s">
        <v>2433</v>
      </c>
      <c r="FF118" s="71" t="s">
        <v>2414</v>
      </c>
      <c r="FG118" s="71" t="s">
        <v>2437</v>
      </c>
      <c r="FH118" s="71">
        <v>102</v>
      </c>
      <c r="FI118" s="71">
        <v>208</v>
      </c>
      <c r="FJ118" s="71">
        <v>233</v>
      </c>
      <c r="FK118" s="71">
        <v>281</v>
      </c>
      <c r="FL118" s="71">
        <v>327</v>
      </c>
      <c r="FM118" s="71">
        <v>1151</v>
      </c>
      <c r="FN118" s="71"/>
      <c r="FO118" s="71" t="s">
        <v>2437</v>
      </c>
      <c r="FP118" s="71">
        <v>18</v>
      </c>
      <c r="FQ118" s="71">
        <v>7</v>
      </c>
      <c r="FR118" s="71">
        <v>1</v>
      </c>
      <c r="FS118" s="71">
        <v>1</v>
      </c>
      <c r="FT118" s="71">
        <v>2</v>
      </c>
      <c r="FU118" s="71">
        <v>29</v>
      </c>
    </row>
    <row r="119" spans="2:177">
      <c r="B119" s="65" t="s">
        <v>885</v>
      </c>
      <c r="C119" s="65" t="s">
        <v>2437</v>
      </c>
      <c r="D119" s="65">
        <v>169</v>
      </c>
      <c r="E119" s="65">
        <v>219</v>
      </c>
      <c r="F119" s="65">
        <v>348</v>
      </c>
      <c r="G119" s="65">
        <v>440</v>
      </c>
      <c r="H119" s="65">
        <v>334</v>
      </c>
      <c r="I119" s="65">
        <v>1510</v>
      </c>
      <c r="K119" s="65" t="s">
        <v>2437</v>
      </c>
      <c r="L119" s="65">
        <v>18</v>
      </c>
      <c r="M119" s="65">
        <v>0</v>
      </c>
      <c r="N119" s="65">
        <v>0</v>
      </c>
      <c r="O119" s="65">
        <v>0</v>
      </c>
      <c r="P119" s="65">
        <v>0</v>
      </c>
      <c r="Q119" s="65">
        <v>18</v>
      </c>
      <c r="T119" s="66" t="s">
        <v>1076</v>
      </c>
      <c r="U119" s="66" t="s">
        <v>27</v>
      </c>
      <c r="V119" s="66">
        <v>258</v>
      </c>
      <c r="W119" s="66">
        <v>104</v>
      </c>
      <c r="X119" s="66">
        <v>162</v>
      </c>
      <c r="Y119" s="66">
        <v>201</v>
      </c>
      <c r="Z119" s="66">
        <v>214</v>
      </c>
      <c r="AA119" s="66">
        <v>939</v>
      </c>
      <c r="AB119" s="66"/>
      <c r="AC119" s="66" t="s">
        <v>27</v>
      </c>
      <c r="AD119" s="66">
        <v>22</v>
      </c>
      <c r="AE119" s="66">
        <v>0</v>
      </c>
      <c r="AF119" s="66">
        <v>0</v>
      </c>
      <c r="AG119" s="66">
        <v>0</v>
      </c>
      <c r="AH119" s="66">
        <v>0</v>
      </c>
      <c r="AI119" s="66">
        <v>22</v>
      </c>
      <c r="AK119" s="67" t="s">
        <v>2228</v>
      </c>
      <c r="AL119" s="67" t="s">
        <v>2437</v>
      </c>
      <c r="AM119" s="67">
        <v>184</v>
      </c>
      <c r="AN119" s="67">
        <v>339</v>
      </c>
      <c r="AO119" s="67">
        <v>494</v>
      </c>
      <c r="AP119" s="67">
        <v>662</v>
      </c>
      <c r="AQ119" s="67">
        <v>487</v>
      </c>
      <c r="AR119" s="67">
        <v>2166</v>
      </c>
      <c r="AS119" s="67"/>
      <c r="AT119" s="67" t="s">
        <v>2437</v>
      </c>
      <c r="AU119" s="67">
        <v>15</v>
      </c>
      <c r="AV119" s="67">
        <v>3</v>
      </c>
      <c r="AW119" s="67">
        <v>5</v>
      </c>
      <c r="AX119" s="67">
        <v>1</v>
      </c>
      <c r="AY119" s="67">
        <v>1</v>
      </c>
      <c r="AZ119" s="67">
        <v>25</v>
      </c>
      <c r="BB119" s="70" t="s">
        <v>43</v>
      </c>
      <c r="BC119" s="70" t="s">
        <v>2427</v>
      </c>
      <c r="BD119" s="70">
        <v>358</v>
      </c>
      <c r="BE119" s="70">
        <v>466</v>
      </c>
      <c r="BF119" s="70">
        <v>830</v>
      </c>
      <c r="BG119" s="70">
        <v>1123</v>
      </c>
      <c r="BH119" s="70">
        <v>1131</v>
      </c>
      <c r="BI119" s="70">
        <v>3908</v>
      </c>
      <c r="BJ119" s="70"/>
      <c r="BK119" s="70" t="s">
        <v>2427</v>
      </c>
      <c r="BL119" s="70">
        <v>47</v>
      </c>
      <c r="BM119" s="70">
        <v>1</v>
      </c>
      <c r="BN119" s="70">
        <v>0</v>
      </c>
      <c r="BO119" s="70">
        <v>0</v>
      </c>
      <c r="BP119" s="70">
        <v>0</v>
      </c>
      <c r="BQ119" s="70">
        <v>48</v>
      </c>
      <c r="BS119" s="71" t="s">
        <v>1619</v>
      </c>
      <c r="BT119" s="71" t="s">
        <v>27</v>
      </c>
      <c r="BU119" s="71">
        <v>107</v>
      </c>
      <c r="BV119" s="71">
        <v>186</v>
      </c>
      <c r="BW119" s="71">
        <v>368</v>
      </c>
      <c r="BX119" s="71">
        <v>508</v>
      </c>
      <c r="BY119" s="71">
        <v>466</v>
      </c>
      <c r="BZ119" s="71">
        <v>1635</v>
      </c>
      <c r="CA119" s="71"/>
      <c r="CB119" s="71" t="s">
        <v>27</v>
      </c>
      <c r="CC119" s="71">
        <v>19</v>
      </c>
      <c r="CD119" s="71">
        <v>0</v>
      </c>
      <c r="CE119" s="71">
        <v>0</v>
      </c>
      <c r="CF119" s="71">
        <v>0</v>
      </c>
      <c r="CG119" s="71">
        <v>0</v>
      </c>
      <c r="CH119" s="71">
        <v>19</v>
      </c>
      <c r="CL119" s="57" t="s">
        <v>601</v>
      </c>
      <c r="CM119" s="57" t="s">
        <v>2437</v>
      </c>
      <c r="CN119" s="57">
        <v>147</v>
      </c>
      <c r="CO119" s="57">
        <v>147</v>
      </c>
      <c r="CP119" s="57">
        <v>243</v>
      </c>
      <c r="CQ119" s="57">
        <v>347</v>
      </c>
      <c r="CR119" s="57">
        <v>355</v>
      </c>
      <c r="CS119" s="57">
        <v>1239</v>
      </c>
      <c r="CT119" s="57"/>
      <c r="CU119" s="57" t="s">
        <v>2437</v>
      </c>
      <c r="CV119" s="57">
        <v>32</v>
      </c>
      <c r="CW119" s="57">
        <v>0</v>
      </c>
      <c r="CX119" s="57">
        <v>0</v>
      </c>
      <c r="CY119" s="57">
        <v>0</v>
      </c>
      <c r="CZ119" s="57">
        <v>0</v>
      </c>
      <c r="DA119" s="57">
        <v>32</v>
      </c>
      <c r="DV119" s="80" t="s">
        <v>1911</v>
      </c>
      <c r="DW119" s="80" t="s">
        <v>27</v>
      </c>
      <c r="DX119" s="80">
        <v>375</v>
      </c>
      <c r="DY119" s="80">
        <v>464</v>
      </c>
      <c r="DZ119" s="80">
        <v>463</v>
      </c>
      <c r="EA119" s="80">
        <v>458</v>
      </c>
      <c r="EB119" s="80">
        <v>283</v>
      </c>
      <c r="EC119" s="80">
        <v>2043</v>
      </c>
      <c r="ED119" s="80"/>
      <c r="EE119" s="80" t="s">
        <v>27</v>
      </c>
      <c r="EF119" s="80">
        <v>13</v>
      </c>
      <c r="EG119" s="80">
        <v>3</v>
      </c>
      <c r="EH119" s="80">
        <v>0</v>
      </c>
      <c r="EI119" s="80">
        <v>0</v>
      </c>
      <c r="EJ119" s="80">
        <v>0</v>
      </c>
      <c r="EK119" s="80">
        <v>16</v>
      </c>
      <c r="EN119" s="57" t="s">
        <v>1962</v>
      </c>
      <c r="EO119" s="57" t="s">
        <v>2441</v>
      </c>
      <c r="EP119" s="57">
        <v>458</v>
      </c>
      <c r="EQ119" s="57">
        <v>647</v>
      </c>
      <c r="ER119" s="57">
        <v>779</v>
      </c>
      <c r="ES119" s="57">
        <v>884</v>
      </c>
      <c r="ET119" s="57">
        <v>856</v>
      </c>
      <c r="EU119" s="57">
        <v>3624</v>
      </c>
      <c r="EV119" s="57"/>
      <c r="EW119" s="57" t="s">
        <v>2441</v>
      </c>
      <c r="EX119" s="57">
        <v>75</v>
      </c>
      <c r="EY119" s="57">
        <v>28</v>
      </c>
      <c r="EZ119" s="57">
        <v>21</v>
      </c>
      <c r="FA119" s="57">
        <v>16</v>
      </c>
      <c r="FB119" s="57">
        <v>8</v>
      </c>
      <c r="FC119" s="57">
        <v>148</v>
      </c>
      <c r="FF119" s="71" t="s">
        <v>2091</v>
      </c>
      <c r="FG119" s="71" t="s">
        <v>2437</v>
      </c>
      <c r="FH119" s="71">
        <v>129</v>
      </c>
      <c r="FI119" s="71">
        <v>209</v>
      </c>
      <c r="FJ119" s="71">
        <v>234</v>
      </c>
      <c r="FK119" s="71">
        <v>261</v>
      </c>
      <c r="FL119" s="71">
        <v>338</v>
      </c>
      <c r="FM119" s="71">
        <v>1171</v>
      </c>
      <c r="FN119" s="71"/>
      <c r="FO119" s="71" t="s">
        <v>2437</v>
      </c>
      <c r="FP119" s="71">
        <v>42</v>
      </c>
      <c r="FQ119" s="71">
        <v>18</v>
      </c>
      <c r="FR119" s="71">
        <v>1</v>
      </c>
      <c r="FS119" s="71">
        <v>3</v>
      </c>
      <c r="FT119" s="71">
        <v>4</v>
      </c>
      <c r="FU119" s="71">
        <v>68</v>
      </c>
    </row>
    <row r="120" spans="2:177">
      <c r="B120" s="65" t="s">
        <v>891</v>
      </c>
      <c r="C120" s="65" t="s">
        <v>2437</v>
      </c>
      <c r="D120" s="65">
        <v>202</v>
      </c>
      <c r="E120" s="65">
        <v>269</v>
      </c>
      <c r="F120" s="65">
        <v>329</v>
      </c>
      <c r="G120" s="65">
        <v>442</v>
      </c>
      <c r="H120" s="65">
        <v>329</v>
      </c>
      <c r="I120" s="65">
        <v>1571</v>
      </c>
      <c r="K120" s="65" t="s">
        <v>2437</v>
      </c>
      <c r="L120" s="65">
        <v>34</v>
      </c>
      <c r="M120" s="65">
        <v>2</v>
      </c>
      <c r="N120" s="65">
        <v>3</v>
      </c>
      <c r="O120" s="65">
        <v>0</v>
      </c>
      <c r="P120" s="65">
        <v>0</v>
      </c>
      <c r="Q120" s="65">
        <v>39</v>
      </c>
      <c r="T120" s="66" t="s">
        <v>1082</v>
      </c>
      <c r="U120" s="66" t="s">
        <v>27</v>
      </c>
      <c r="V120" s="66">
        <v>462</v>
      </c>
      <c r="W120" s="66">
        <v>665</v>
      </c>
      <c r="X120" s="66">
        <v>736</v>
      </c>
      <c r="Y120" s="66">
        <v>814</v>
      </c>
      <c r="Z120" s="66">
        <v>603</v>
      </c>
      <c r="AA120" s="66">
        <v>3280</v>
      </c>
      <c r="AB120" s="66"/>
      <c r="AC120" s="66" t="s">
        <v>27</v>
      </c>
      <c r="AD120" s="66">
        <v>36</v>
      </c>
      <c r="AE120" s="66">
        <v>8</v>
      </c>
      <c r="AF120" s="66">
        <v>0</v>
      </c>
      <c r="AG120" s="66">
        <v>1</v>
      </c>
      <c r="AH120" s="66">
        <v>2</v>
      </c>
      <c r="AI120" s="66">
        <v>47</v>
      </c>
      <c r="AK120" s="67" t="s">
        <v>2245</v>
      </c>
      <c r="AL120" s="67" t="s">
        <v>2437</v>
      </c>
      <c r="AM120" s="67">
        <v>239</v>
      </c>
      <c r="AN120" s="67">
        <v>246</v>
      </c>
      <c r="AO120" s="67">
        <v>373</v>
      </c>
      <c r="AP120" s="67">
        <v>557</v>
      </c>
      <c r="AQ120" s="67">
        <v>389</v>
      </c>
      <c r="AR120" s="67">
        <v>1804</v>
      </c>
      <c r="AS120" s="67"/>
      <c r="AT120" s="67" t="s">
        <v>2437</v>
      </c>
      <c r="AU120" s="67">
        <v>31</v>
      </c>
      <c r="AV120" s="67">
        <v>2</v>
      </c>
      <c r="AW120" s="67">
        <v>0</v>
      </c>
      <c r="AX120" s="67">
        <v>0</v>
      </c>
      <c r="AY120" s="67">
        <v>0</v>
      </c>
      <c r="AZ120" s="67">
        <v>33</v>
      </c>
      <c r="BB120" s="70" t="s">
        <v>1545</v>
      </c>
      <c r="BC120" s="70" t="s">
        <v>2427</v>
      </c>
      <c r="BD120" s="70">
        <v>309</v>
      </c>
      <c r="BE120" s="70">
        <v>363</v>
      </c>
      <c r="BF120" s="70">
        <v>637</v>
      </c>
      <c r="BG120" s="70">
        <v>920</v>
      </c>
      <c r="BH120" s="70">
        <v>865</v>
      </c>
      <c r="BI120" s="70">
        <v>3094</v>
      </c>
      <c r="BJ120" s="70"/>
      <c r="BK120" s="70" t="s">
        <v>2427</v>
      </c>
      <c r="BL120" s="70">
        <v>37</v>
      </c>
      <c r="BM120" s="70">
        <v>0</v>
      </c>
      <c r="BN120" s="70">
        <v>0</v>
      </c>
      <c r="BO120" s="70">
        <v>0</v>
      </c>
      <c r="BP120" s="70">
        <v>0</v>
      </c>
      <c r="BQ120" s="70">
        <v>37</v>
      </c>
      <c r="BS120" s="71" t="s">
        <v>1621</v>
      </c>
      <c r="BT120" s="71" t="s">
        <v>27</v>
      </c>
      <c r="BU120" s="71">
        <v>142</v>
      </c>
      <c r="BV120" s="71">
        <v>242</v>
      </c>
      <c r="BW120" s="71">
        <v>404</v>
      </c>
      <c r="BX120" s="71">
        <v>547</v>
      </c>
      <c r="BY120" s="71">
        <v>505</v>
      </c>
      <c r="BZ120" s="71">
        <v>1840</v>
      </c>
      <c r="CA120" s="71"/>
      <c r="CB120" s="71" t="s">
        <v>27</v>
      </c>
      <c r="CC120" s="71">
        <v>24</v>
      </c>
      <c r="CD120" s="71">
        <v>0</v>
      </c>
      <c r="CE120" s="71">
        <v>0</v>
      </c>
      <c r="CF120" s="71">
        <v>0</v>
      </c>
      <c r="CG120" s="71">
        <v>0</v>
      </c>
      <c r="CH120" s="71">
        <v>24</v>
      </c>
      <c r="CL120" s="57" t="s">
        <v>608</v>
      </c>
      <c r="CM120" s="57" t="s">
        <v>2437</v>
      </c>
      <c r="CN120" s="57">
        <v>160</v>
      </c>
      <c r="CO120" s="57">
        <v>183</v>
      </c>
      <c r="CP120" s="57">
        <v>325</v>
      </c>
      <c r="CQ120" s="57">
        <v>396</v>
      </c>
      <c r="CR120" s="57">
        <v>396</v>
      </c>
      <c r="CS120" s="57">
        <v>1460</v>
      </c>
      <c r="CT120" s="57"/>
      <c r="CU120" s="57" t="s">
        <v>2437</v>
      </c>
      <c r="CV120" s="57">
        <v>28</v>
      </c>
      <c r="CW120" s="57">
        <v>0</v>
      </c>
      <c r="CX120" s="57">
        <v>0</v>
      </c>
      <c r="CY120" s="57">
        <v>0</v>
      </c>
      <c r="CZ120" s="57">
        <v>0</v>
      </c>
      <c r="DA120" s="57">
        <v>28</v>
      </c>
      <c r="DV120" s="80" t="s">
        <v>1914</v>
      </c>
      <c r="DW120" s="80" t="s">
        <v>27</v>
      </c>
      <c r="DX120" s="80">
        <v>550</v>
      </c>
      <c r="DY120" s="80">
        <v>752</v>
      </c>
      <c r="DZ120" s="80">
        <v>976</v>
      </c>
      <c r="EA120" s="80">
        <v>1313</v>
      </c>
      <c r="EB120" s="80">
        <v>1041</v>
      </c>
      <c r="EC120" s="80">
        <v>4632</v>
      </c>
      <c r="ED120" s="80"/>
      <c r="EE120" s="80" t="s">
        <v>27</v>
      </c>
      <c r="EF120" s="80">
        <v>23</v>
      </c>
      <c r="EG120" s="80">
        <v>2</v>
      </c>
      <c r="EH120" s="80">
        <v>0</v>
      </c>
      <c r="EI120" s="80">
        <v>0</v>
      </c>
      <c r="EJ120" s="80">
        <v>0</v>
      </c>
      <c r="EK120" s="80">
        <v>25</v>
      </c>
      <c r="EN120" s="57" t="s">
        <v>1965</v>
      </c>
      <c r="EO120" s="57" t="s">
        <v>2441</v>
      </c>
      <c r="EP120" s="57">
        <v>97</v>
      </c>
      <c r="EQ120" s="57">
        <v>139</v>
      </c>
      <c r="ER120" s="57">
        <v>150</v>
      </c>
      <c r="ES120" s="57">
        <v>202</v>
      </c>
      <c r="ET120" s="57">
        <v>233</v>
      </c>
      <c r="EU120" s="57">
        <v>821</v>
      </c>
      <c r="EV120" s="57"/>
      <c r="EW120" s="57" t="s">
        <v>2441</v>
      </c>
      <c r="EX120" s="57">
        <v>23</v>
      </c>
      <c r="EY120" s="57">
        <v>4</v>
      </c>
      <c r="EZ120" s="57">
        <v>2</v>
      </c>
      <c r="FA120" s="57">
        <v>1</v>
      </c>
      <c r="FB120" s="57">
        <v>2</v>
      </c>
      <c r="FC120" s="57">
        <v>32</v>
      </c>
      <c r="FF120" s="71" t="s">
        <v>2093</v>
      </c>
      <c r="FG120" s="71" t="s">
        <v>2437</v>
      </c>
      <c r="FH120" s="71" t="s">
        <v>356</v>
      </c>
      <c r="FI120" s="71" t="s">
        <v>356</v>
      </c>
      <c r="FJ120" s="71" t="s">
        <v>356</v>
      </c>
      <c r="FK120" s="71" t="s">
        <v>356</v>
      </c>
      <c r="FL120" s="71" t="s">
        <v>356</v>
      </c>
      <c r="FM120" s="71" t="s">
        <v>356</v>
      </c>
      <c r="FN120" s="71"/>
      <c r="FO120" s="71" t="s">
        <v>2437</v>
      </c>
      <c r="FP120" s="71" t="s">
        <v>356</v>
      </c>
      <c r="FQ120" s="71" t="s">
        <v>356</v>
      </c>
      <c r="FR120" s="71" t="s">
        <v>356</v>
      </c>
      <c r="FS120" s="71" t="s">
        <v>356</v>
      </c>
      <c r="FT120" s="71" t="s">
        <v>356</v>
      </c>
      <c r="FU120" s="71" t="s">
        <v>356</v>
      </c>
    </row>
    <row r="121" spans="2:177">
      <c r="B121" s="65" t="s">
        <v>901</v>
      </c>
      <c r="C121" s="65" t="s">
        <v>2437</v>
      </c>
      <c r="D121" s="65">
        <v>102</v>
      </c>
      <c r="E121" s="65">
        <v>128</v>
      </c>
      <c r="F121" s="65">
        <v>131</v>
      </c>
      <c r="G121" s="65">
        <v>209</v>
      </c>
      <c r="H121" s="65">
        <v>216</v>
      </c>
      <c r="I121" s="65">
        <v>786</v>
      </c>
      <c r="K121" s="65" t="s">
        <v>2437</v>
      </c>
      <c r="L121" s="65">
        <v>23</v>
      </c>
      <c r="M121" s="65">
        <v>0</v>
      </c>
      <c r="N121" s="65">
        <v>1</v>
      </c>
      <c r="O121" s="65">
        <v>1</v>
      </c>
      <c r="P121" s="65">
        <v>0</v>
      </c>
      <c r="Q121" s="65">
        <v>25</v>
      </c>
      <c r="T121" s="66" t="s">
        <v>1087</v>
      </c>
      <c r="U121" s="66" t="s">
        <v>27</v>
      </c>
      <c r="V121" s="66">
        <v>1507</v>
      </c>
      <c r="W121" s="66">
        <v>1336</v>
      </c>
      <c r="X121" s="66">
        <v>1265</v>
      </c>
      <c r="Y121" s="66">
        <v>1449</v>
      </c>
      <c r="Z121" s="66">
        <v>998</v>
      </c>
      <c r="AA121" s="66">
        <v>6555</v>
      </c>
      <c r="AB121" s="66"/>
      <c r="AC121" s="66" t="s">
        <v>27</v>
      </c>
      <c r="AD121" s="66">
        <v>165</v>
      </c>
      <c r="AE121" s="66">
        <v>11</v>
      </c>
      <c r="AF121" s="66">
        <v>3</v>
      </c>
      <c r="AG121" s="66">
        <v>3</v>
      </c>
      <c r="AH121" s="66">
        <v>0</v>
      </c>
      <c r="AI121" s="66">
        <v>182</v>
      </c>
      <c r="AK121" s="67" t="s">
        <v>2224</v>
      </c>
      <c r="AL121" s="67" t="s">
        <v>2437</v>
      </c>
      <c r="AM121" s="67">
        <v>295</v>
      </c>
      <c r="AN121" s="67">
        <v>330</v>
      </c>
      <c r="AO121" s="67">
        <v>467</v>
      </c>
      <c r="AP121" s="67">
        <v>595</v>
      </c>
      <c r="AQ121" s="67">
        <v>499</v>
      </c>
      <c r="AR121" s="67">
        <v>2186</v>
      </c>
      <c r="AS121" s="67"/>
      <c r="AT121" s="67" t="s">
        <v>2437</v>
      </c>
      <c r="AU121" s="67">
        <v>22</v>
      </c>
      <c r="AV121" s="67">
        <v>0</v>
      </c>
      <c r="AW121" s="67">
        <v>1</v>
      </c>
      <c r="AX121" s="67">
        <v>0</v>
      </c>
      <c r="AY121" s="67">
        <v>0</v>
      </c>
      <c r="AZ121" s="67">
        <v>23</v>
      </c>
      <c r="BB121" s="70" t="s">
        <v>1548</v>
      </c>
      <c r="BC121" s="70" t="s">
        <v>2427</v>
      </c>
      <c r="BD121" s="70">
        <v>337</v>
      </c>
      <c r="BE121" s="70">
        <v>293</v>
      </c>
      <c r="BF121" s="70">
        <v>527</v>
      </c>
      <c r="BG121" s="70">
        <v>821</v>
      </c>
      <c r="BH121" s="70">
        <v>774</v>
      </c>
      <c r="BI121" s="70">
        <v>2752</v>
      </c>
      <c r="BJ121" s="70"/>
      <c r="BK121" s="70" t="s">
        <v>2427</v>
      </c>
      <c r="BL121" s="70">
        <v>32</v>
      </c>
      <c r="BM121" s="70">
        <v>0</v>
      </c>
      <c r="BN121" s="70">
        <v>0</v>
      </c>
      <c r="BO121" s="70">
        <v>0</v>
      </c>
      <c r="BP121" s="70">
        <v>0</v>
      </c>
      <c r="BQ121" s="70">
        <v>32</v>
      </c>
      <c r="BS121" s="71" t="s">
        <v>1623</v>
      </c>
      <c r="BT121" s="71" t="s">
        <v>27</v>
      </c>
      <c r="BU121" s="71">
        <v>25</v>
      </c>
      <c r="BV121" s="71">
        <v>60</v>
      </c>
      <c r="BW121" s="71">
        <v>153</v>
      </c>
      <c r="BX121" s="71">
        <v>260</v>
      </c>
      <c r="BY121" s="71">
        <v>247</v>
      </c>
      <c r="BZ121" s="71">
        <v>745</v>
      </c>
      <c r="CA121" s="71"/>
      <c r="CB121" s="71" t="s">
        <v>27</v>
      </c>
      <c r="CC121" s="71">
        <v>1</v>
      </c>
      <c r="CD121" s="71">
        <v>0</v>
      </c>
      <c r="CE121" s="71">
        <v>0</v>
      </c>
      <c r="CF121" s="71">
        <v>0</v>
      </c>
      <c r="CG121" s="71">
        <v>0</v>
      </c>
      <c r="CH121" s="71">
        <v>1</v>
      </c>
      <c r="CL121" s="57" t="s">
        <v>611</v>
      </c>
      <c r="CM121" s="57" t="s">
        <v>2437</v>
      </c>
      <c r="CN121" s="57" t="s">
        <v>356</v>
      </c>
      <c r="CO121" s="57" t="s">
        <v>356</v>
      </c>
      <c r="CP121" s="57" t="s">
        <v>356</v>
      </c>
      <c r="CQ121" s="57" t="s">
        <v>356</v>
      </c>
      <c r="CR121" s="57" t="s">
        <v>356</v>
      </c>
      <c r="CS121" s="57" t="s">
        <v>356</v>
      </c>
      <c r="CT121" s="57"/>
      <c r="CU121" s="57" t="s">
        <v>2437</v>
      </c>
      <c r="CV121" s="57" t="s">
        <v>356</v>
      </c>
      <c r="CW121" s="57" t="s">
        <v>356</v>
      </c>
      <c r="CX121" s="57" t="s">
        <v>356</v>
      </c>
      <c r="CY121" s="57" t="s">
        <v>356</v>
      </c>
      <c r="CZ121" s="57" t="s">
        <v>356</v>
      </c>
      <c r="DA121" s="57" t="s">
        <v>356</v>
      </c>
      <c r="DV121" s="80" t="s">
        <v>1917</v>
      </c>
      <c r="DW121" s="80" t="s">
        <v>27</v>
      </c>
      <c r="DX121" s="80">
        <v>359</v>
      </c>
      <c r="DY121" s="80">
        <v>435</v>
      </c>
      <c r="DZ121" s="80">
        <v>459</v>
      </c>
      <c r="EA121" s="80">
        <v>434</v>
      </c>
      <c r="EB121" s="80">
        <v>404</v>
      </c>
      <c r="EC121" s="80">
        <v>2091</v>
      </c>
      <c r="ED121" s="80"/>
      <c r="EE121" s="80" t="s">
        <v>27</v>
      </c>
      <c r="EF121" s="80">
        <v>21</v>
      </c>
      <c r="EG121" s="80">
        <v>1</v>
      </c>
      <c r="EH121" s="80">
        <v>0</v>
      </c>
      <c r="EI121" s="80">
        <v>0</v>
      </c>
      <c r="EJ121" s="80">
        <v>0</v>
      </c>
      <c r="EK121" s="80">
        <v>22</v>
      </c>
      <c r="EN121" s="57" t="s">
        <v>1968</v>
      </c>
      <c r="EO121" s="57" t="s">
        <v>2441</v>
      </c>
      <c r="EP121" s="57">
        <v>189</v>
      </c>
      <c r="EQ121" s="57">
        <v>234</v>
      </c>
      <c r="ER121" s="57">
        <v>301</v>
      </c>
      <c r="ES121" s="57">
        <v>396</v>
      </c>
      <c r="ET121" s="57">
        <v>449</v>
      </c>
      <c r="EU121" s="57">
        <v>1569</v>
      </c>
      <c r="EV121" s="57"/>
      <c r="EW121" s="57" t="s">
        <v>2441</v>
      </c>
      <c r="EX121" s="57">
        <v>41</v>
      </c>
      <c r="EY121" s="57">
        <v>14</v>
      </c>
      <c r="EZ121" s="57">
        <v>7</v>
      </c>
      <c r="FA121" s="57">
        <v>3</v>
      </c>
      <c r="FB121" s="57">
        <v>4</v>
      </c>
      <c r="FC121" s="57">
        <v>69</v>
      </c>
      <c r="FF121" s="71" t="s">
        <v>2095</v>
      </c>
      <c r="FG121" s="71" t="s">
        <v>2437</v>
      </c>
      <c r="FH121" s="71" t="s">
        <v>356</v>
      </c>
      <c r="FI121" s="71" t="s">
        <v>356</v>
      </c>
      <c r="FJ121" s="71" t="s">
        <v>356</v>
      </c>
      <c r="FK121" s="71" t="s">
        <v>356</v>
      </c>
      <c r="FL121" s="71" t="s">
        <v>356</v>
      </c>
      <c r="FM121" s="71" t="s">
        <v>356</v>
      </c>
      <c r="FN121" s="71"/>
      <c r="FO121" s="71" t="s">
        <v>2437</v>
      </c>
      <c r="FP121" s="71" t="s">
        <v>356</v>
      </c>
      <c r="FQ121" s="71" t="s">
        <v>356</v>
      </c>
      <c r="FR121" s="71" t="s">
        <v>356</v>
      </c>
      <c r="FS121" s="71" t="s">
        <v>356</v>
      </c>
      <c r="FT121" s="71" t="s">
        <v>356</v>
      </c>
      <c r="FU121" s="71" t="s">
        <v>356</v>
      </c>
    </row>
    <row r="122" spans="2:177">
      <c r="B122" s="65" t="s">
        <v>912</v>
      </c>
      <c r="C122" s="65" t="s">
        <v>2437</v>
      </c>
      <c r="D122" s="65">
        <v>151</v>
      </c>
      <c r="E122" s="65">
        <v>290</v>
      </c>
      <c r="F122" s="65">
        <v>366</v>
      </c>
      <c r="G122" s="65">
        <v>409</v>
      </c>
      <c r="H122" s="65">
        <v>292</v>
      </c>
      <c r="I122" s="65">
        <v>1508</v>
      </c>
      <c r="K122" s="65" t="s">
        <v>2437</v>
      </c>
      <c r="L122" s="65">
        <v>16</v>
      </c>
      <c r="M122" s="65">
        <v>0</v>
      </c>
      <c r="N122" s="65">
        <v>0</v>
      </c>
      <c r="O122" s="65">
        <v>1</v>
      </c>
      <c r="P122" s="65">
        <v>0</v>
      </c>
      <c r="Q122" s="65">
        <v>17</v>
      </c>
      <c r="T122" s="66" t="s">
        <v>1090</v>
      </c>
      <c r="U122" s="66" t="s">
        <v>27</v>
      </c>
      <c r="V122" s="66">
        <v>538</v>
      </c>
      <c r="W122" s="66">
        <v>599</v>
      </c>
      <c r="X122" s="66">
        <v>797</v>
      </c>
      <c r="Y122" s="66">
        <v>956</v>
      </c>
      <c r="Z122" s="66">
        <v>694</v>
      </c>
      <c r="AA122" s="66">
        <v>3584</v>
      </c>
      <c r="AB122" s="66"/>
      <c r="AC122" s="66" t="s">
        <v>27</v>
      </c>
      <c r="AD122" s="66">
        <v>73</v>
      </c>
      <c r="AE122" s="66">
        <v>8</v>
      </c>
      <c r="AF122" s="66">
        <v>2</v>
      </c>
      <c r="AG122" s="66">
        <v>2</v>
      </c>
      <c r="AH122" s="66">
        <v>3</v>
      </c>
      <c r="AI122" s="66">
        <v>88</v>
      </c>
      <c r="AK122" s="67" t="s">
        <v>2203</v>
      </c>
      <c r="AL122" s="67" t="s">
        <v>2437</v>
      </c>
      <c r="AM122" s="67">
        <v>377</v>
      </c>
      <c r="AN122" s="67">
        <v>626</v>
      </c>
      <c r="AO122" s="67">
        <v>862</v>
      </c>
      <c r="AP122" s="67">
        <v>937</v>
      </c>
      <c r="AQ122" s="67">
        <v>608</v>
      </c>
      <c r="AR122" s="67">
        <v>3410</v>
      </c>
      <c r="AS122" s="67"/>
      <c r="AT122" s="67" t="s">
        <v>2437</v>
      </c>
      <c r="AU122" s="67">
        <v>36</v>
      </c>
      <c r="AV122" s="67">
        <v>2</v>
      </c>
      <c r="AW122" s="67">
        <v>0</v>
      </c>
      <c r="AX122" s="67">
        <v>0</v>
      </c>
      <c r="AY122" s="67">
        <v>0</v>
      </c>
      <c r="AZ122" s="67">
        <v>38</v>
      </c>
      <c r="BB122" s="70" t="s">
        <v>1552</v>
      </c>
      <c r="BC122" s="70" t="s">
        <v>2427</v>
      </c>
      <c r="BD122" s="70">
        <v>55</v>
      </c>
      <c r="BE122" s="70">
        <v>66</v>
      </c>
      <c r="BF122" s="70">
        <v>152</v>
      </c>
      <c r="BG122" s="70">
        <v>262</v>
      </c>
      <c r="BH122" s="70">
        <v>264</v>
      </c>
      <c r="BI122" s="70">
        <v>799</v>
      </c>
      <c r="BJ122" s="70"/>
      <c r="BK122" s="70" t="s">
        <v>2427</v>
      </c>
      <c r="BL122" s="70">
        <v>15</v>
      </c>
      <c r="BM122" s="70">
        <v>1</v>
      </c>
      <c r="BN122" s="70">
        <v>0</v>
      </c>
      <c r="BO122" s="70">
        <v>0</v>
      </c>
      <c r="BP122" s="70">
        <v>0</v>
      </c>
      <c r="BQ122" s="70">
        <v>16</v>
      </c>
      <c r="BS122" s="71" t="s">
        <v>1625</v>
      </c>
      <c r="BT122" s="71" t="s">
        <v>27</v>
      </c>
      <c r="BU122" s="71">
        <v>215</v>
      </c>
      <c r="BV122" s="71">
        <v>180</v>
      </c>
      <c r="BW122" s="71">
        <v>259</v>
      </c>
      <c r="BX122" s="71">
        <v>356</v>
      </c>
      <c r="BY122" s="71">
        <v>330</v>
      </c>
      <c r="BZ122" s="71">
        <v>1340</v>
      </c>
      <c r="CA122" s="71"/>
      <c r="CB122" s="71" t="s">
        <v>27</v>
      </c>
      <c r="CC122" s="71">
        <v>60</v>
      </c>
      <c r="CD122" s="71">
        <v>0</v>
      </c>
      <c r="CE122" s="71">
        <v>0</v>
      </c>
      <c r="CF122" s="71">
        <v>0</v>
      </c>
      <c r="CG122" s="71">
        <v>0</v>
      </c>
      <c r="CH122" s="71">
        <v>60</v>
      </c>
      <c r="CL122" s="57" t="s">
        <v>613</v>
      </c>
      <c r="CM122" s="57" t="s">
        <v>2437</v>
      </c>
      <c r="CN122" s="57">
        <v>159</v>
      </c>
      <c r="CO122" s="57">
        <v>78</v>
      </c>
      <c r="CP122" s="57">
        <v>113</v>
      </c>
      <c r="CQ122" s="57">
        <v>185</v>
      </c>
      <c r="CR122" s="57">
        <v>146</v>
      </c>
      <c r="CS122" s="57">
        <v>681</v>
      </c>
      <c r="CT122" s="57"/>
      <c r="CU122" s="57" t="s">
        <v>2437</v>
      </c>
      <c r="CV122" s="57">
        <v>62</v>
      </c>
      <c r="CW122" s="57">
        <v>0</v>
      </c>
      <c r="CX122" s="57">
        <v>0</v>
      </c>
      <c r="CY122" s="57">
        <v>0</v>
      </c>
      <c r="CZ122" s="57">
        <v>0</v>
      </c>
      <c r="DA122" s="57">
        <v>62</v>
      </c>
      <c r="DV122" s="80" t="s">
        <v>1922</v>
      </c>
      <c r="DW122" s="80" t="s">
        <v>27</v>
      </c>
      <c r="DX122" s="80">
        <v>152</v>
      </c>
      <c r="DY122" s="80">
        <v>118</v>
      </c>
      <c r="DZ122" s="80">
        <v>150</v>
      </c>
      <c r="EA122" s="80">
        <v>178</v>
      </c>
      <c r="EB122" s="80">
        <v>191</v>
      </c>
      <c r="EC122" s="80">
        <v>789</v>
      </c>
      <c r="ED122" s="80"/>
      <c r="EE122" s="80" t="s">
        <v>27</v>
      </c>
      <c r="EF122" s="80">
        <v>20</v>
      </c>
      <c r="EG122" s="80">
        <v>0</v>
      </c>
      <c r="EH122" s="80">
        <v>0</v>
      </c>
      <c r="EI122" s="80">
        <v>0</v>
      </c>
      <c r="EJ122" s="80">
        <v>0</v>
      </c>
      <c r="EK122" s="80">
        <v>20</v>
      </c>
      <c r="EN122" s="57" t="s">
        <v>2389</v>
      </c>
      <c r="EO122" s="57" t="s">
        <v>2441</v>
      </c>
      <c r="EP122" s="57">
        <v>73</v>
      </c>
      <c r="EQ122" s="57">
        <v>159</v>
      </c>
      <c r="ER122" s="57">
        <v>239</v>
      </c>
      <c r="ES122" s="57">
        <v>301</v>
      </c>
      <c r="ET122" s="57">
        <v>398</v>
      </c>
      <c r="EU122" s="57">
        <v>1170</v>
      </c>
      <c r="EV122" s="57"/>
      <c r="EW122" s="57" t="s">
        <v>2441</v>
      </c>
      <c r="EX122" s="57">
        <v>7</v>
      </c>
      <c r="EY122" s="57">
        <v>1</v>
      </c>
      <c r="EZ122" s="57">
        <v>4</v>
      </c>
      <c r="FA122" s="57">
        <v>2</v>
      </c>
      <c r="FB122" s="57">
        <v>0</v>
      </c>
      <c r="FC122" s="57">
        <v>14</v>
      </c>
      <c r="FF122" s="71" t="s">
        <v>2415</v>
      </c>
      <c r="FG122" s="71" t="s">
        <v>2437</v>
      </c>
      <c r="FH122" s="71">
        <v>170</v>
      </c>
      <c r="FI122" s="71">
        <v>264</v>
      </c>
      <c r="FJ122" s="71">
        <v>311</v>
      </c>
      <c r="FK122" s="71">
        <v>368</v>
      </c>
      <c r="FL122" s="71">
        <v>453</v>
      </c>
      <c r="FM122" s="71">
        <v>1566</v>
      </c>
      <c r="FN122" s="71"/>
      <c r="FO122" s="71" t="s">
        <v>2437</v>
      </c>
      <c r="FP122" s="71">
        <v>28</v>
      </c>
      <c r="FQ122" s="71">
        <v>8</v>
      </c>
      <c r="FR122" s="71">
        <v>3</v>
      </c>
      <c r="FS122" s="71">
        <v>1</v>
      </c>
      <c r="FT122" s="71">
        <v>1</v>
      </c>
      <c r="FU122" s="71">
        <v>41</v>
      </c>
    </row>
    <row r="123" spans="2:177">
      <c r="B123" s="65" t="s">
        <v>919</v>
      </c>
      <c r="C123" s="65" t="s">
        <v>2437</v>
      </c>
      <c r="D123" s="65">
        <v>222</v>
      </c>
      <c r="E123" s="65">
        <v>330</v>
      </c>
      <c r="F123" s="65">
        <v>371</v>
      </c>
      <c r="G123" s="65">
        <v>390</v>
      </c>
      <c r="H123" s="65">
        <v>357</v>
      </c>
      <c r="I123" s="65">
        <v>1670</v>
      </c>
      <c r="K123" s="65" t="s">
        <v>2437</v>
      </c>
      <c r="L123" s="65">
        <v>21</v>
      </c>
      <c r="M123" s="65">
        <v>1</v>
      </c>
      <c r="N123" s="65">
        <v>0</v>
      </c>
      <c r="O123" s="65">
        <v>0</v>
      </c>
      <c r="P123" s="65">
        <v>0</v>
      </c>
      <c r="Q123" s="65">
        <v>22</v>
      </c>
      <c r="T123" s="66" t="s">
        <v>1096</v>
      </c>
      <c r="U123" s="66" t="s">
        <v>27</v>
      </c>
      <c r="V123" s="66">
        <v>452</v>
      </c>
      <c r="W123" s="66">
        <v>355</v>
      </c>
      <c r="X123" s="66">
        <v>580</v>
      </c>
      <c r="Y123" s="66">
        <v>745</v>
      </c>
      <c r="Z123" s="66">
        <v>566</v>
      </c>
      <c r="AA123" s="66">
        <v>2698</v>
      </c>
      <c r="AB123" s="66"/>
      <c r="AC123" s="66" t="s">
        <v>27</v>
      </c>
      <c r="AD123" s="66">
        <v>20</v>
      </c>
      <c r="AE123" s="66">
        <v>0</v>
      </c>
      <c r="AF123" s="66">
        <v>0</v>
      </c>
      <c r="AG123" s="66">
        <v>0</v>
      </c>
      <c r="AH123" s="66">
        <v>0</v>
      </c>
      <c r="AI123" s="66">
        <v>20</v>
      </c>
      <c r="AK123" s="67" t="s">
        <v>1258</v>
      </c>
      <c r="AL123" s="67" t="s">
        <v>2437</v>
      </c>
      <c r="AM123" s="67">
        <v>286</v>
      </c>
      <c r="AN123" s="67">
        <v>246</v>
      </c>
      <c r="AO123" s="67">
        <v>410</v>
      </c>
      <c r="AP123" s="67">
        <v>559</v>
      </c>
      <c r="AQ123" s="67">
        <v>512</v>
      </c>
      <c r="AR123" s="67">
        <v>2013</v>
      </c>
      <c r="AS123" s="67"/>
      <c r="AT123" s="67" t="s">
        <v>2437</v>
      </c>
      <c r="AU123" s="67">
        <v>53</v>
      </c>
      <c r="AV123" s="67">
        <v>1</v>
      </c>
      <c r="AW123" s="67">
        <v>0</v>
      </c>
      <c r="AX123" s="67">
        <v>1</v>
      </c>
      <c r="AY123" s="67">
        <v>0</v>
      </c>
      <c r="AZ123" s="67">
        <v>55</v>
      </c>
      <c r="BB123" s="70" t="s">
        <v>1555</v>
      </c>
      <c r="BC123" s="70" t="s">
        <v>2427</v>
      </c>
      <c r="BD123" s="70">
        <v>113</v>
      </c>
      <c r="BE123" s="70">
        <v>85</v>
      </c>
      <c r="BF123" s="70">
        <v>149</v>
      </c>
      <c r="BG123" s="70">
        <v>180</v>
      </c>
      <c r="BH123" s="70">
        <v>168</v>
      </c>
      <c r="BI123" s="70">
        <v>695</v>
      </c>
      <c r="BJ123" s="70"/>
      <c r="BK123" s="70" t="s">
        <v>2427</v>
      </c>
      <c r="BL123" s="70">
        <v>20</v>
      </c>
      <c r="BM123" s="70">
        <v>0</v>
      </c>
      <c r="BN123" s="70">
        <v>0</v>
      </c>
      <c r="BO123" s="70">
        <v>0</v>
      </c>
      <c r="BP123" s="70">
        <v>0</v>
      </c>
      <c r="BQ123" s="70">
        <v>20</v>
      </c>
      <c r="BS123" s="71" t="s">
        <v>1627</v>
      </c>
      <c r="BT123" s="71" t="s">
        <v>27</v>
      </c>
      <c r="BU123" s="71">
        <v>106</v>
      </c>
      <c r="BV123" s="71">
        <v>87</v>
      </c>
      <c r="BW123" s="71">
        <v>169</v>
      </c>
      <c r="BX123" s="71">
        <v>264</v>
      </c>
      <c r="BY123" s="71">
        <v>213</v>
      </c>
      <c r="BZ123" s="71">
        <v>839</v>
      </c>
      <c r="CA123" s="71"/>
      <c r="CB123" s="71" t="s">
        <v>27</v>
      </c>
      <c r="CC123" s="71">
        <v>28</v>
      </c>
      <c r="CD123" s="71">
        <v>0</v>
      </c>
      <c r="CE123" s="71">
        <v>0</v>
      </c>
      <c r="CF123" s="71">
        <v>0</v>
      </c>
      <c r="CG123" s="71">
        <v>0</v>
      </c>
      <c r="CH123" s="71">
        <v>28</v>
      </c>
      <c r="CL123" s="57" t="s">
        <v>615</v>
      </c>
      <c r="CM123" s="57" t="s">
        <v>2437</v>
      </c>
      <c r="CN123" s="57">
        <v>1198</v>
      </c>
      <c r="CO123" s="57">
        <v>1107</v>
      </c>
      <c r="CP123" s="57">
        <v>1132</v>
      </c>
      <c r="CQ123" s="57">
        <v>1264</v>
      </c>
      <c r="CR123" s="57">
        <v>884</v>
      </c>
      <c r="CS123" s="57">
        <v>5585</v>
      </c>
      <c r="CT123" s="57"/>
      <c r="CU123" s="57" t="s">
        <v>2437</v>
      </c>
      <c r="CV123" s="57">
        <v>375</v>
      </c>
      <c r="CW123" s="57">
        <v>6</v>
      </c>
      <c r="CX123" s="57">
        <v>0</v>
      </c>
      <c r="CY123" s="57">
        <v>0</v>
      </c>
      <c r="CZ123" s="57">
        <v>0</v>
      </c>
      <c r="DA123" s="57">
        <v>381</v>
      </c>
      <c r="DV123" s="80" t="s">
        <v>1925</v>
      </c>
      <c r="DW123" s="80" t="s">
        <v>27</v>
      </c>
      <c r="DX123" s="80">
        <v>152</v>
      </c>
      <c r="DY123" s="80">
        <v>121</v>
      </c>
      <c r="DZ123" s="80">
        <v>153</v>
      </c>
      <c r="EA123" s="80">
        <v>224</v>
      </c>
      <c r="EB123" s="80">
        <v>231</v>
      </c>
      <c r="EC123" s="80">
        <v>881</v>
      </c>
      <c r="ED123" s="80"/>
      <c r="EE123" s="80" t="s">
        <v>27</v>
      </c>
      <c r="EF123" s="80">
        <v>20</v>
      </c>
      <c r="EG123" s="80">
        <v>0</v>
      </c>
      <c r="EH123" s="80">
        <v>0</v>
      </c>
      <c r="EI123" s="80">
        <v>0</v>
      </c>
      <c r="EJ123" s="80">
        <v>0</v>
      </c>
      <c r="EK123" s="80">
        <v>20</v>
      </c>
      <c r="EN123" s="57" t="s">
        <v>1975</v>
      </c>
      <c r="EO123" s="57" t="s">
        <v>2441</v>
      </c>
      <c r="EP123" s="57">
        <v>360</v>
      </c>
      <c r="EQ123" s="57">
        <v>542</v>
      </c>
      <c r="ER123" s="57">
        <v>607</v>
      </c>
      <c r="ES123" s="57">
        <v>784</v>
      </c>
      <c r="ET123" s="57">
        <v>957</v>
      </c>
      <c r="EU123" s="57">
        <v>3250</v>
      </c>
      <c r="EV123" s="57"/>
      <c r="EW123" s="57" t="s">
        <v>2441</v>
      </c>
      <c r="EX123" s="57">
        <v>42</v>
      </c>
      <c r="EY123" s="57">
        <v>16</v>
      </c>
      <c r="EZ123" s="57">
        <v>7</v>
      </c>
      <c r="FA123" s="57">
        <v>14</v>
      </c>
      <c r="FB123" s="57">
        <v>9</v>
      </c>
      <c r="FC123" s="57">
        <v>88</v>
      </c>
      <c r="FF123" s="71" t="s">
        <v>2106</v>
      </c>
      <c r="FG123" s="71" t="s">
        <v>2437</v>
      </c>
      <c r="FH123" s="71">
        <v>455</v>
      </c>
      <c r="FI123" s="71">
        <v>549</v>
      </c>
      <c r="FJ123" s="71">
        <v>607</v>
      </c>
      <c r="FK123" s="71">
        <v>628</v>
      </c>
      <c r="FL123" s="71">
        <v>779</v>
      </c>
      <c r="FM123" s="71">
        <v>3018</v>
      </c>
      <c r="FN123" s="71"/>
      <c r="FO123" s="71" t="s">
        <v>2437</v>
      </c>
      <c r="FP123" s="71">
        <v>64</v>
      </c>
      <c r="FQ123" s="71">
        <v>17</v>
      </c>
      <c r="FR123" s="71">
        <v>15</v>
      </c>
      <c r="FS123" s="71">
        <v>7</v>
      </c>
      <c r="FT123" s="71">
        <v>18</v>
      </c>
      <c r="FU123" s="71">
        <v>121</v>
      </c>
    </row>
    <row r="124" spans="2:177">
      <c r="B124" s="65" t="s">
        <v>2429</v>
      </c>
      <c r="C124" s="65" t="s">
        <v>2437</v>
      </c>
      <c r="D124" s="65">
        <v>215</v>
      </c>
      <c r="E124" s="65">
        <v>260</v>
      </c>
      <c r="F124" s="65">
        <v>334</v>
      </c>
      <c r="G124" s="65">
        <v>414</v>
      </c>
      <c r="H124" s="65">
        <v>304</v>
      </c>
      <c r="I124" s="65">
        <v>1527</v>
      </c>
      <c r="K124" s="65" t="s">
        <v>2437</v>
      </c>
      <c r="L124" s="65">
        <v>16</v>
      </c>
      <c r="M124" s="65">
        <v>4</v>
      </c>
      <c r="N124" s="65">
        <v>0</v>
      </c>
      <c r="O124" s="65">
        <v>0</v>
      </c>
      <c r="P124" s="65">
        <v>0</v>
      </c>
      <c r="Q124" s="65">
        <v>20</v>
      </c>
      <c r="T124" s="66" t="s">
        <v>1103</v>
      </c>
      <c r="U124" s="66" t="s">
        <v>27</v>
      </c>
      <c r="V124" s="66">
        <v>149</v>
      </c>
      <c r="W124" s="66">
        <v>131</v>
      </c>
      <c r="X124" s="66">
        <v>237</v>
      </c>
      <c r="Y124" s="66">
        <v>316</v>
      </c>
      <c r="Z124" s="66">
        <v>252</v>
      </c>
      <c r="AA124" s="66">
        <v>1085</v>
      </c>
      <c r="AB124" s="66"/>
      <c r="AC124" s="66" t="s">
        <v>27</v>
      </c>
      <c r="AD124" s="66">
        <v>11</v>
      </c>
      <c r="AE124" s="66">
        <v>0</v>
      </c>
      <c r="AF124" s="66">
        <v>0</v>
      </c>
      <c r="AG124" s="66">
        <v>0</v>
      </c>
      <c r="AH124" s="66">
        <v>0</v>
      </c>
      <c r="AI124" s="66">
        <v>11</v>
      </c>
      <c r="AK124" s="67" t="s">
        <v>2235</v>
      </c>
      <c r="AL124" s="67" t="s">
        <v>2437</v>
      </c>
      <c r="AM124" s="67">
        <v>560</v>
      </c>
      <c r="AN124" s="67">
        <v>357</v>
      </c>
      <c r="AO124" s="67">
        <v>427</v>
      </c>
      <c r="AP124" s="67">
        <v>555</v>
      </c>
      <c r="AQ124" s="67">
        <v>344</v>
      </c>
      <c r="AR124" s="67">
        <v>2243</v>
      </c>
      <c r="AS124" s="67"/>
      <c r="AT124" s="67" t="s">
        <v>2437</v>
      </c>
      <c r="AU124" s="67">
        <v>77</v>
      </c>
      <c r="AV124" s="67">
        <v>6</v>
      </c>
      <c r="AW124" s="67">
        <v>6</v>
      </c>
      <c r="AX124" s="67">
        <v>3</v>
      </c>
      <c r="AY124" s="67">
        <v>0</v>
      </c>
      <c r="AZ124" s="67">
        <v>92</v>
      </c>
      <c r="BB124" s="70" t="s">
        <v>1558</v>
      </c>
      <c r="BC124" s="70" t="s">
        <v>2427</v>
      </c>
      <c r="BD124" s="70">
        <v>203</v>
      </c>
      <c r="BE124" s="70">
        <v>95</v>
      </c>
      <c r="BF124" s="70">
        <v>142</v>
      </c>
      <c r="BG124" s="70">
        <v>184</v>
      </c>
      <c r="BH124" s="70">
        <v>185</v>
      </c>
      <c r="BI124" s="70">
        <v>809</v>
      </c>
      <c r="BJ124" s="70"/>
      <c r="BK124" s="70" t="s">
        <v>2427</v>
      </c>
      <c r="BL124" s="70">
        <v>24</v>
      </c>
      <c r="BM124" s="70">
        <v>0</v>
      </c>
      <c r="BN124" s="70">
        <v>0</v>
      </c>
      <c r="BO124" s="70">
        <v>0</v>
      </c>
      <c r="BP124" s="70">
        <v>0</v>
      </c>
      <c r="BQ124" s="70">
        <v>24</v>
      </c>
      <c r="BS124" s="71" t="s">
        <v>1629</v>
      </c>
      <c r="BT124" s="71" t="s">
        <v>27</v>
      </c>
      <c r="BU124" s="71">
        <v>82</v>
      </c>
      <c r="BV124" s="71">
        <v>42</v>
      </c>
      <c r="BW124" s="71">
        <v>70</v>
      </c>
      <c r="BX124" s="71">
        <v>95</v>
      </c>
      <c r="BY124" s="71">
        <v>139</v>
      </c>
      <c r="BZ124" s="71">
        <v>428</v>
      </c>
      <c r="CA124" s="71"/>
      <c r="CB124" s="71" t="s">
        <v>27</v>
      </c>
      <c r="CC124" s="71">
        <v>20</v>
      </c>
      <c r="CD124" s="71">
        <v>0</v>
      </c>
      <c r="CE124" s="71">
        <v>0</v>
      </c>
      <c r="CF124" s="71">
        <v>0</v>
      </c>
      <c r="CG124" s="71">
        <v>0</v>
      </c>
      <c r="CH124" s="71">
        <v>20</v>
      </c>
      <c r="CL124" s="57" t="s">
        <v>617</v>
      </c>
      <c r="CM124" s="57" t="s">
        <v>2437</v>
      </c>
      <c r="CN124" s="57">
        <v>534</v>
      </c>
      <c r="CO124" s="57">
        <v>431</v>
      </c>
      <c r="CP124" s="57">
        <v>738</v>
      </c>
      <c r="CQ124" s="57">
        <v>1125</v>
      </c>
      <c r="CR124" s="57">
        <v>1084</v>
      </c>
      <c r="CS124" s="57">
        <v>3912</v>
      </c>
      <c r="CT124" s="57"/>
      <c r="CU124" s="57" t="s">
        <v>2437</v>
      </c>
      <c r="CV124" s="57">
        <v>160</v>
      </c>
      <c r="CW124" s="57">
        <v>0</v>
      </c>
      <c r="CX124" s="57">
        <v>0</v>
      </c>
      <c r="CY124" s="57">
        <v>0</v>
      </c>
      <c r="CZ124" s="57">
        <v>0</v>
      </c>
      <c r="DA124" s="57">
        <v>160</v>
      </c>
      <c r="DV124" s="80" t="s">
        <v>1928</v>
      </c>
      <c r="DW124" s="80" t="s">
        <v>27</v>
      </c>
      <c r="DX124" s="80">
        <v>630</v>
      </c>
      <c r="DY124" s="80">
        <v>408</v>
      </c>
      <c r="DZ124" s="80">
        <v>322</v>
      </c>
      <c r="EA124" s="80">
        <v>305</v>
      </c>
      <c r="EB124" s="80">
        <v>253</v>
      </c>
      <c r="EC124" s="80">
        <v>1918</v>
      </c>
      <c r="ED124" s="80"/>
      <c r="EE124" s="80" t="s">
        <v>27</v>
      </c>
      <c r="EF124" s="80">
        <v>27</v>
      </c>
      <c r="EG124" s="80">
        <v>0</v>
      </c>
      <c r="EH124" s="80">
        <v>0</v>
      </c>
      <c r="EI124" s="80">
        <v>0</v>
      </c>
      <c r="EJ124" s="80">
        <v>0</v>
      </c>
      <c r="EK124" s="80">
        <v>27</v>
      </c>
      <c r="EN124" s="57" t="s">
        <v>1978</v>
      </c>
      <c r="EO124" s="57" t="s">
        <v>2441</v>
      </c>
      <c r="EP124" s="57">
        <v>216</v>
      </c>
      <c r="EQ124" s="57">
        <v>384</v>
      </c>
      <c r="ER124" s="57">
        <v>432</v>
      </c>
      <c r="ES124" s="57">
        <v>587</v>
      </c>
      <c r="ET124" s="57">
        <v>709</v>
      </c>
      <c r="EU124" s="57">
        <v>2328</v>
      </c>
      <c r="EV124" s="57"/>
      <c r="EW124" s="57" t="s">
        <v>2441</v>
      </c>
      <c r="EX124" s="57">
        <v>45</v>
      </c>
      <c r="EY124" s="57">
        <v>13</v>
      </c>
      <c r="EZ124" s="57">
        <v>12</v>
      </c>
      <c r="FA124" s="57">
        <v>8</v>
      </c>
      <c r="FB124" s="57">
        <v>10</v>
      </c>
      <c r="FC124" s="57">
        <v>88</v>
      </c>
      <c r="FF124" s="71" t="s">
        <v>2107</v>
      </c>
      <c r="FG124" s="71" t="s">
        <v>2437</v>
      </c>
      <c r="FH124" s="71">
        <v>476</v>
      </c>
      <c r="FI124" s="71">
        <v>491</v>
      </c>
      <c r="FJ124" s="71">
        <v>416</v>
      </c>
      <c r="FK124" s="71">
        <v>424</v>
      </c>
      <c r="FL124" s="71">
        <v>534</v>
      </c>
      <c r="FM124" s="71">
        <v>2341</v>
      </c>
      <c r="FN124" s="71"/>
      <c r="FO124" s="71" t="s">
        <v>2437</v>
      </c>
      <c r="FP124" s="71">
        <v>83</v>
      </c>
      <c r="FQ124" s="71">
        <v>14</v>
      </c>
      <c r="FR124" s="71">
        <v>8</v>
      </c>
      <c r="FS124" s="71">
        <v>3</v>
      </c>
      <c r="FT124" s="71">
        <v>4</v>
      </c>
      <c r="FU124" s="71">
        <v>112</v>
      </c>
    </row>
    <row r="125" spans="2:177">
      <c r="B125" s="65" t="s">
        <v>2430</v>
      </c>
      <c r="C125" s="65" t="s">
        <v>2437</v>
      </c>
      <c r="D125" s="65">
        <v>811</v>
      </c>
      <c r="E125" s="65">
        <v>604</v>
      </c>
      <c r="F125" s="65">
        <v>498</v>
      </c>
      <c r="G125" s="65">
        <v>558</v>
      </c>
      <c r="H125" s="65">
        <v>682</v>
      </c>
      <c r="I125" s="65">
        <v>3153</v>
      </c>
      <c r="K125" s="65" t="s">
        <v>2437</v>
      </c>
      <c r="L125" s="65">
        <v>333</v>
      </c>
      <c r="M125" s="65">
        <v>95</v>
      </c>
      <c r="N125" s="65">
        <v>65</v>
      </c>
      <c r="O125" s="65">
        <v>78</v>
      </c>
      <c r="P125" s="65">
        <v>111</v>
      </c>
      <c r="Q125" s="65">
        <v>682</v>
      </c>
      <c r="T125" s="66" t="s">
        <v>1109</v>
      </c>
      <c r="U125" s="66" t="s">
        <v>27</v>
      </c>
      <c r="V125" s="66">
        <v>606</v>
      </c>
      <c r="W125" s="66">
        <v>504</v>
      </c>
      <c r="X125" s="66">
        <v>638</v>
      </c>
      <c r="Y125" s="66">
        <v>726</v>
      </c>
      <c r="Z125" s="66">
        <v>540</v>
      </c>
      <c r="AA125" s="66">
        <v>3014</v>
      </c>
      <c r="AB125" s="66"/>
      <c r="AC125" s="66" t="s">
        <v>27</v>
      </c>
      <c r="AD125" s="66">
        <v>17</v>
      </c>
      <c r="AE125" s="66">
        <v>0</v>
      </c>
      <c r="AF125" s="66">
        <v>0</v>
      </c>
      <c r="AG125" s="66">
        <v>0</v>
      </c>
      <c r="AH125" s="66">
        <v>0</v>
      </c>
      <c r="AI125" s="66">
        <v>17</v>
      </c>
      <c r="AK125" s="67" t="s">
        <v>2213</v>
      </c>
      <c r="AL125" s="67" t="s">
        <v>2437</v>
      </c>
      <c r="AM125" s="67">
        <v>409</v>
      </c>
      <c r="AN125" s="67">
        <v>395</v>
      </c>
      <c r="AO125" s="67">
        <v>710</v>
      </c>
      <c r="AP125" s="67">
        <v>754</v>
      </c>
      <c r="AQ125" s="67">
        <v>601</v>
      </c>
      <c r="AR125" s="67">
        <v>2869</v>
      </c>
      <c r="AS125" s="67"/>
      <c r="AT125" s="67" t="s">
        <v>2437</v>
      </c>
      <c r="AU125" s="67">
        <v>35</v>
      </c>
      <c r="AV125" s="67">
        <v>5</v>
      </c>
      <c r="AW125" s="67">
        <v>3</v>
      </c>
      <c r="AX125" s="67">
        <v>4</v>
      </c>
      <c r="AY125" s="67">
        <v>2</v>
      </c>
      <c r="AZ125" s="67">
        <v>49</v>
      </c>
      <c r="BS125" s="71" t="s">
        <v>1631</v>
      </c>
      <c r="BT125" s="71" t="s">
        <v>27</v>
      </c>
      <c r="BU125" s="71">
        <v>140</v>
      </c>
      <c r="BV125" s="71">
        <v>95</v>
      </c>
      <c r="BW125" s="71">
        <v>101</v>
      </c>
      <c r="BX125" s="71">
        <v>98</v>
      </c>
      <c r="BY125" s="71">
        <v>109</v>
      </c>
      <c r="BZ125" s="71">
        <v>543</v>
      </c>
      <c r="CA125" s="71"/>
      <c r="CB125" s="71" t="s">
        <v>27</v>
      </c>
      <c r="CC125" s="71">
        <v>46</v>
      </c>
      <c r="CD125" s="71">
        <v>3</v>
      </c>
      <c r="CE125" s="71">
        <v>1</v>
      </c>
      <c r="CF125" s="71">
        <v>0</v>
      </c>
      <c r="CG125" s="71">
        <v>0</v>
      </c>
      <c r="CH125" s="71">
        <v>50</v>
      </c>
      <c r="CL125" s="57" t="s">
        <v>619</v>
      </c>
      <c r="CM125" s="57" t="s">
        <v>2437</v>
      </c>
      <c r="CN125" s="57">
        <v>238</v>
      </c>
      <c r="CO125" s="57">
        <v>302</v>
      </c>
      <c r="CP125" s="57">
        <v>536</v>
      </c>
      <c r="CQ125" s="57">
        <v>857</v>
      </c>
      <c r="CR125" s="57">
        <v>847</v>
      </c>
      <c r="CS125" s="57">
        <v>2780</v>
      </c>
      <c r="CT125" s="57"/>
      <c r="CU125" s="57" t="s">
        <v>2437</v>
      </c>
      <c r="CV125" s="57">
        <v>36</v>
      </c>
      <c r="CW125" s="57">
        <v>0</v>
      </c>
      <c r="CX125" s="57">
        <v>0</v>
      </c>
      <c r="CY125" s="57">
        <v>0</v>
      </c>
      <c r="CZ125" s="57">
        <v>0</v>
      </c>
      <c r="DA125" s="57">
        <v>36</v>
      </c>
      <c r="DV125" s="80" t="s">
        <v>1932</v>
      </c>
      <c r="DW125" s="80" t="s">
        <v>27</v>
      </c>
      <c r="DX125" s="80">
        <v>197</v>
      </c>
      <c r="DY125" s="80">
        <v>98</v>
      </c>
      <c r="DZ125" s="80">
        <v>168</v>
      </c>
      <c r="EA125" s="80">
        <v>134</v>
      </c>
      <c r="EB125" s="80">
        <v>153</v>
      </c>
      <c r="EC125" s="80">
        <v>750</v>
      </c>
      <c r="ED125" s="80"/>
      <c r="EE125" s="80" t="s">
        <v>27</v>
      </c>
      <c r="EF125" s="80">
        <v>29</v>
      </c>
      <c r="EG125" s="80">
        <v>0</v>
      </c>
      <c r="EH125" s="80">
        <v>0</v>
      </c>
      <c r="EI125" s="80">
        <v>0</v>
      </c>
      <c r="EJ125" s="80">
        <v>0</v>
      </c>
      <c r="EK125" s="80">
        <v>29</v>
      </c>
      <c r="EN125" s="57" t="s">
        <v>1981</v>
      </c>
      <c r="EO125" s="57" t="s">
        <v>2441</v>
      </c>
      <c r="EP125" s="57">
        <v>63</v>
      </c>
      <c r="EQ125" s="57">
        <v>132</v>
      </c>
      <c r="ER125" s="57">
        <v>239</v>
      </c>
      <c r="ES125" s="57">
        <v>369</v>
      </c>
      <c r="ET125" s="57">
        <v>415</v>
      </c>
      <c r="EU125" s="57">
        <v>1218</v>
      </c>
      <c r="EV125" s="57"/>
      <c r="EW125" s="57" t="s">
        <v>2441</v>
      </c>
      <c r="EX125" s="57">
        <v>5</v>
      </c>
      <c r="EY125" s="57">
        <v>1</v>
      </c>
      <c r="EZ125" s="57">
        <v>1</v>
      </c>
      <c r="FA125" s="57">
        <v>0</v>
      </c>
      <c r="FB125" s="57">
        <v>2</v>
      </c>
      <c r="FC125" s="57">
        <v>9</v>
      </c>
      <c r="FF125" s="71" t="s">
        <v>2108</v>
      </c>
      <c r="FG125" s="71" t="s">
        <v>2437</v>
      </c>
      <c r="FH125" s="71">
        <v>179</v>
      </c>
      <c r="FI125" s="71">
        <v>306</v>
      </c>
      <c r="FJ125" s="71">
        <v>330</v>
      </c>
      <c r="FK125" s="71">
        <v>402</v>
      </c>
      <c r="FL125" s="71">
        <v>513</v>
      </c>
      <c r="FM125" s="71">
        <v>1730</v>
      </c>
      <c r="FN125" s="71"/>
      <c r="FO125" s="71" t="s">
        <v>2437</v>
      </c>
      <c r="FP125" s="71">
        <v>23</v>
      </c>
      <c r="FQ125" s="71">
        <v>13</v>
      </c>
      <c r="FR125" s="71">
        <v>6</v>
      </c>
      <c r="FS125" s="71">
        <v>5</v>
      </c>
      <c r="FT125" s="71">
        <v>7</v>
      </c>
      <c r="FU125" s="71">
        <v>54</v>
      </c>
    </row>
    <row r="126" spans="2:177">
      <c r="B126" s="65" t="s">
        <v>2432</v>
      </c>
      <c r="C126" s="65" t="s">
        <v>2437</v>
      </c>
      <c r="D126" s="65">
        <v>690</v>
      </c>
      <c r="E126" s="65">
        <v>566</v>
      </c>
      <c r="F126" s="65">
        <v>448</v>
      </c>
      <c r="G126" s="65">
        <v>548</v>
      </c>
      <c r="H126" s="65">
        <v>698</v>
      </c>
      <c r="I126" s="65">
        <v>2950</v>
      </c>
      <c r="K126" s="65" t="s">
        <v>2437</v>
      </c>
      <c r="L126" s="65">
        <v>152</v>
      </c>
      <c r="M126" s="65">
        <v>40</v>
      </c>
      <c r="N126" s="65">
        <v>27</v>
      </c>
      <c r="O126" s="65">
        <v>25</v>
      </c>
      <c r="P126" s="65">
        <v>37</v>
      </c>
      <c r="Q126" s="65">
        <v>281</v>
      </c>
      <c r="T126" s="66" t="s">
        <v>1119</v>
      </c>
      <c r="U126" s="66" t="s">
        <v>27</v>
      </c>
      <c r="V126" s="66">
        <v>238</v>
      </c>
      <c r="W126" s="66">
        <v>153</v>
      </c>
      <c r="X126" s="66">
        <v>286</v>
      </c>
      <c r="Y126" s="66">
        <v>392</v>
      </c>
      <c r="Z126" s="66">
        <v>322</v>
      </c>
      <c r="AA126" s="66">
        <v>1391</v>
      </c>
      <c r="AB126" s="66"/>
      <c r="AC126" s="66" t="s">
        <v>27</v>
      </c>
      <c r="AD126" s="66">
        <v>39</v>
      </c>
      <c r="AE126" s="66">
        <v>1</v>
      </c>
      <c r="AF126" s="66">
        <v>0</v>
      </c>
      <c r="AG126" s="66">
        <v>0</v>
      </c>
      <c r="AH126" s="66">
        <v>0</v>
      </c>
      <c r="AI126" s="66">
        <v>40</v>
      </c>
      <c r="AK126" s="67" t="s">
        <v>2238</v>
      </c>
      <c r="AL126" s="67" t="s">
        <v>2437</v>
      </c>
      <c r="AM126" s="67">
        <v>564</v>
      </c>
      <c r="AN126" s="67">
        <v>563</v>
      </c>
      <c r="AO126" s="67">
        <v>690</v>
      </c>
      <c r="AP126" s="67">
        <v>750</v>
      </c>
      <c r="AQ126" s="67">
        <v>549</v>
      </c>
      <c r="AR126" s="67">
        <v>3116</v>
      </c>
      <c r="AS126" s="67"/>
      <c r="AT126" s="67" t="s">
        <v>2437</v>
      </c>
      <c r="AU126" s="67">
        <v>22</v>
      </c>
      <c r="AV126" s="67">
        <v>1</v>
      </c>
      <c r="AW126" s="67">
        <v>3</v>
      </c>
      <c r="AX126" s="67">
        <v>0</v>
      </c>
      <c r="AY126" s="67">
        <v>0</v>
      </c>
      <c r="AZ126" s="67">
        <v>26</v>
      </c>
      <c r="BB126" s="70" t="s">
        <v>1292</v>
      </c>
      <c r="BC126" s="70" t="s">
        <v>2437</v>
      </c>
      <c r="BD126" s="70">
        <v>160</v>
      </c>
      <c r="BE126" s="70">
        <v>201</v>
      </c>
      <c r="BF126" s="70">
        <v>378</v>
      </c>
      <c r="BG126" s="70">
        <v>540</v>
      </c>
      <c r="BH126" s="70">
        <v>497</v>
      </c>
      <c r="BI126" s="70">
        <v>1776</v>
      </c>
      <c r="BJ126" s="70"/>
      <c r="BK126" s="70" t="s">
        <v>2437</v>
      </c>
      <c r="BL126" s="70">
        <v>20</v>
      </c>
      <c r="BM126" s="70">
        <v>0</v>
      </c>
      <c r="BN126" s="70">
        <v>0</v>
      </c>
      <c r="BO126" s="70">
        <v>0</v>
      </c>
      <c r="BP126" s="70">
        <v>0</v>
      </c>
      <c r="BQ126" s="70">
        <v>20</v>
      </c>
      <c r="BS126" s="71" t="s">
        <v>1637</v>
      </c>
      <c r="BT126" s="71" t="s">
        <v>27</v>
      </c>
      <c r="BU126" s="71">
        <v>118</v>
      </c>
      <c r="BV126" s="71">
        <v>72</v>
      </c>
      <c r="BW126" s="71">
        <v>79</v>
      </c>
      <c r="BX126" s="71">
        <v>98</v>
      </c>
      <c r="BY126" s="71">
        <v>78</v>
      </c>
      <c r="BZ126" s="71">
        <v>445</v>
      </c>
      <c r="CA126" s="71"/>
      <c r="CB126" s="71" t="s">
        <v>27</v>
      </c>
      <c r="CC126" s="71">
        <v>34</v>
      </c>
      <c r="CD126" s="71">
        <v>3</v>
      </c>
      <c r="CE126" s="71">
        <v>0</v>
      </c>
      <c r="CF126" s="71">
        <v>0</v>
      </c>
      <c r="CG126" s="71">
        <v>0</v>
      </c>
      <c r="CH126" s="71">
        <v>37</v>
      </c>
      <c r="CL126" s="57" t="s">
        <v>621</v>
      </c>
      <c r="CM126" s="57" t="s">
        <v>2437</v>
      </c>
      <c r="CN126" s="57">
        <v>86</v>
      </c>
      <c r="CO126" s="57">
        <v>54</v>
      </c>
      <c r="CP126" s="57">
        <v>69</v>
      </c>
      <c r="CQ126" s="57">
        <v>115</v>
      </c>
      <c r="CR126" s="57">
        <v>129</v>
      </c>
      <c r="CS126" s="57">
        <v>453</v>
      </c>
      <c r="CT126" s="57"/>
      <c r="CU126" s="57" t="s">
        <v>2437</v>
      </c>
      <c r="CV126" s="57">
        <v>41</v>
      </c>
      <c r="CW126" s="57">
        <v>0</v>
      </c>
      <c r="CX126" s="57">
        <v>0</v>
      </c>
      <c r="CY126" s="57">
        <v>0</v>
      </c>
      <c r="CZ126" s="57">
        <v>0</v>
      </c>
      <c r="DA126" s="57">
        <v>41</v>
      </c>
      <c r="DV126" s="80" t="s">
        <v>1936</v>
      </c>
      <c r="DW126" s="80" t="s">
        <v>27</v>
      </c>
      <c r="DX126" s="80">
        <v>341</v>
      </c>
      <c r="DY126" s="80">
        <v>297</v>
      </c>
      <c r="DZ126" s="80">
        <v>336</v>
      </c>
      <c r="EA126" s="80">
        <v>336</v>
      </c>
      <c r="EB126" s="80">
        <v>277</v>
      </c>
      <c r="EC126" s="80">
        <v>1587</v>
      </c>
      <c r="ED126" s="80"/>
      <c r="EE126" s="80" t="s">
        <v>27</v>
      </c>
      <c r="EF126" s="80">
        <v>26</v>
      </c>
      <c r="EG126" s="80">
        <v>0</v>
      </c>
      <c r="EH126" s="80">
        <v>0</v>
      </c>
      <c r="EI126" s="80">
        <v>0</v>
      </c>
      <c r="EJ126" s="80">
        <v>0</v>
      </c>
      <c r="EK126" s="80">
        <v>26</v>
      </c>
      <c r="EN126" s="57" t="s">
        <v>2391</v>
      </c>
      <c r="EO126" s="57" t="s">
        <v>2441</v>
      </c>
      <c r="EP126" s="57">
        <v>159</v>
      </c>
      <c r="EQ126" s="57">
        <v>162</v>
      </c>
      <c r="ER126" s="57">
        <v>175</v>
      </c>
      <c r="ES126" s="57">
        <v>232</v>
      </c>
      <c r="ET126" s="57">
        <v>334</v>
      </c>
      <c r="EU126" s="57">
        <v>1062</v>
      </c>
      <c r="EV126" s="57"/>
      <c r="EW126" s="57" t="s">
        <v>2441</v>
      </c>
      <c r="EX126" s="57">
        <v>11</v>
      </c>
      <c r="EY126" s="57">
        <v>1</v>
      </c>
      <c r="EZ126" s="57">
        <v>0</v>
      </c>
      <c r="FA126" s="57">
        <v>1</v>
      </c>
      <c r="FB126" s="57">
        <v>1</v>
      </c>
      <c r="FC126" s="57">
        <v>14</v>
      </c>
      <c r="FF126" s="71" t="s">
        <v>2110</v>
      </c>
      <c r="FG126" s="71" t="s">
        <v>2437</v>
      </c>
      <c r="FH126" s="71">
        <v>226</v>
      </c>
      <c r="FI126" s="71">
        <v>429</v>
      </c>
      <c r="FJ126" s="71">
        <v>510</v>
      </c>
      <c r="FK126" s="71">
        <v>544</v>
      </c>
      <c r="FL126" s="71">
        <v>734</v>
      </c>
      <c r="FM126" s="71">
        <v>2443</v>
      </c>
      <c r="FN126" s="71"/>
      <c r="FO126" s="71" t="s">
        <v>2437</v>
      </c>
      <c r="FP126" s="71">
        <v>34</v>
      </c>
      <c r="FQ126" s="71">
        <v>19</v>
      </c>
      <c r="FR126" s="71">
        <v>11</v>
      </c>
      <c r="FS126" s="71">
        <v>5</v>
      </c>
      <c r="FT126" s="71">
        <v>15</v>
      </c>
      <c r="FU126" s="71">
        <v>84</v>
      </c>
    </row>
    <row r="127" spans="2:177">
      <c r="B127" s="65" t="s">
        <v>925</v>
      </c>
      <c r="C127" s="65" t="s">
        <v>2437</v>
      </c>
      <c r="D127" s="65">
        <v>103</v>
      </c>
      <c r="E127" s="65">
        <v>188</v>
      </c>
      <c r="F127" s="65">
        <v>392</v>
      </c>
      <c r="G127" s="65">
        <v>574</v>
      </c>
      <c r="H127" s="65">
        <v>449</v>
      </c>
      <c r="I127" s="65">
        <v>1706</v>
      </c>
      <c r="K127" s="65" t="s">
        <v>2437</v>
      </c>
      <c r="L127" s="65">
        <v>16</v>
      </c>
      <c r="M127" s="65">
        <v>0</v>
      </c>
      <c r="N127" s="65">
        <v>0</v>
      </c>
      <c r="O127" s="65">
        <v>1</v>
      </c>
      <c r="P127" s="65">
        <v>0</v>
      </c>
      <c r="Q127" s="65">
        <v>17</v>
      </c>
      <c r="T127" s="66" t="s">
        <v>1125</v>
      </c>
      <c r="U127" s="66" t="s">
        <v>27</v>
      </c>
      <c r="V127" s="66">
        <v>186</v>
      </c>
      <c r="W127" s="66">
        <v>234</v>
      </c>
      <c r="X127" s="66">
        <v>339</v>
      </c>
      <c r="Y127" s="66">
        <v>467</v>
      </c>
      <c r="Z127" s="66">
        <v>408</v>
      </c>
      <c r="AA127" s="66">
        <v>1634</v>
      </c>
      <c r="AB127" s="66"/>
      <c r="AC127" s="66" t="s">
        <v>27</v>
      </c>
      <c r="AD127" s="66">
        <v>21</v>
      </c>
      <c r="AE127" s="66">
        <v>3</v>
      </c>
      <c r="AF127" s="66">
        <v>1</v>
      </c>
      <c r="AG127" s="66">
        <v>0</v>
      </c>
      <c r="AH127" s="66">
        <v>1</v>
      </c>
      <c r="AI127" s="66">
        <v>26</v>
      </c>
      <c r="AK127" s="67" t="s">
        <v>1261</v>
      </c>
      <c r="AL127" s="67" t="s">
        <v>2437</v>
      </c>
      <c r="AM127" s="67">
        <v>371</v>
      </c>
      <c r="AN127" s="67">
        <v>400</v>
      </c>
      <c r="AO127" s="67">
        <v>495</v>
      </c>
      <c r="AP127" s="67">
        <v>598</v>
      </c>
      <c r="AQ127" s="67">
        <v>444</v>
      </c>
      <c r="AR127" s="67">
        <v>2308</v>
      </c>
      <c r="AS127" s="67"/>
      <c r="AT127" s="67" t="s">
        <v>2437</v>
      </c>
      <c r="AU127" s="67">
        <v>38</v>
      </c>
      <c r="AV127" s="67">
        <v>5</v>
      </c>
      <c r="AW127" s="67">
        <v>2</v>
      </c>
      <c r="AX127" s="67">
        <v>1</v>
      </c>
      <c r="AY127" s="67">
        <v>0</v>
      </c>
      <c r="AZ127" s="67">
        <v>46</v>
      </c>
      <c r="BB127" s="70" t="s">
        <v>1295</v>
      </c>
      <c r="BC127" s="70" t="s">
        <v>2437</v>
      </c>
      <c r="BD127" s="70">
        <v>309</v>
      </c>
      <c r="BE127" s="70">
        <v>185</v>
      </c>
      <c r="BF127" s="70">
        <v>353</v>
      </c>
      <c r="BG127" s="70">
        <v>441</v>
      </c>
      <c r="BH127" s="70">
        <v>408</v>
      </c>
      <c r="BI127" s="70">
        <v>1696</v>
      </c>
      <c r="BJ127" s="70"/>
      <c r="BK127" s="70" t="s">
        <v>2437</v>
      </c>
      <c r="BL127" s="70">
        <v>84</v>
      </c>
      <c r="BM127" s="70">
        <v>0</v>
      </c>
      <c r="BN127" s="70">
        <v>0</v>
      </c>
      <c r="BO127" s="70">
        <v>0</v>
      </c>
      <c r="BP127" s="70">
        <v>0</v>
      </c>
      <c r="BQ127" s="70">
        <v>84</v>
      </c>
      <c r="BS127" s="71" t="s">
        <v>1643</v>
      </c>
      <c r="BT127" s="71" t="s">
        <v>27</v>
      </c>
      <c r="BU127" s="71">
        <v>58</v>
      </c>
      <c r="BV127" s="71">
        <v>52</v>
      </c>
      <c r="BW127" s="71">
        <v>111</v>
      </c>
      <c r="BX127" s="71">
        <v>240</v>
      </c>
      <c r="BY127" s="71">
        <v>195</v>
      </c>
      <c r="BZ127" s="71">
        <v>656</v>
      </c>
      <c r="CA127" s="71"/>
      <c r="CB127" s="71" t="s">
        <v>27</v>
      </c>
      <c r="CC127" s="71">
        <v>20</v>
      </c>
      <c r="CD127" s="71">
        <v>0</v>
      </c>
      <c r="CE127" s="71">
        <v>0</v>
      </c>
      <c r="CF127" s="71">
        <v>0</v>
      </c>
      <c r="CG127" s="71">
        <v>0</v>
      </c>
      <c r="CH127" s="71">
        <v>20</v>
      </c>
      <c r="CL127" s="57" t="s">
        <v>623</v>
      </c>
      <c r="CM127" s="57" t="s">
        <v>2437</v>
      </c>
      <c r="CN127" s="57">
        <v>81</v>
      </c>
      <c r="CO127" s="57">
        <v>115</v>
      </c>
      <c r="CP127" s="57">
        <v>219</v>
      </c>
      <c r="CQ127" s="57">
        <v>387</v>
      </c>
      <c r="CR127" s="57">
        <v>382</v>
      </c>
      <c r="CS127" s="57">
        <v>1184</v>
      </c>
      <c r="CT127" s="57"/>
      <c r="CU127" s="57" t="s">
        <v>2437</v>
      </c>
      <c r="CV127" s="57">
        <v>20</v>
      </c>
      <c r="CW127" s="57">
        <v>0</v>
      </c>
      <c r="CX127" s="57">
        <v>0</v>
      </c>
      <c r="CY127" s="57">
        <v>0</v>
      </c>
      <c r="CZ127" s="57">
        <v>0</v>
      </c>
      <c r="DA127" s="57">
        <v>20</v>
      </c>
      <c r="DV127" s="80" t="s">
        <v>1939</v>
      </c>
      <c r="DW127" s="80" t="s">
        <v>27</v>
      </c>
      <c r="DX127" s="80">
        <v>115</v>
      </c>
      <c r="DY127" s="80">
        <v>106</v>
      </c>
      <c r="DZ127" s="80">
        <v>150</v>
      </c>
      <c r="EA127" s="80">
        <v>197</v>
      </c>
      <c r="EB127" s="80">
        <v>184</v>
      </c>
      <c r="EC127" s="80">
        <v>752</v>
      </c>
      <c r="ED127" s="80"/>
      <c r="EE127" s="80" t="s">
        <v>27</v>
      </c>
      <c r="EF127" s="80">
        <v>14</v>
      </c>
      <c r="EG127" s="80">
        <v>1</v>
      </c>
      <c r="EH127" s="80">
        <v>0</v>
      </c>
      <c r="EI127" s="80">
        <v>0</v>
      </c>
      <c r="EJ127" s="80">
        <v>0</v>
      </c>
      <c r="EK127" s="80">
        <v>15</v>
      </c>
      <c r="EN127" s="57" t="s">
        <v>2392</v>
      </c>
      <c r="EO127" s="57" t="s">
        <v>2441</v>
      </c>
      <c r="EP127" s="57">
        <v>43</v>
      </c>
      <c r="EQ127" s="57">
        <v>124</v>
      </c>
      <c r="ER127" s="57">
        <v>168</v>
      </c>
      <c r="ES127" s="57">
        <v>275</v>
      </c>
      <c r="ET127" s="57">
        <v>348</v>
      </c>
      <c r="EU127" s="57">
        <v>958</v>
      </c>
      <c r="EV127" s="57"/>
      <c r="EW127" s="57" t="s">
        <v>2441</v>
      </c>
      <c r="EX127" s="57">
        <v>6</v>
      </c>
      <c r="EY127" s="57">
        <v>5</v>
      </c>
      <c r="EZ127" s="57">
        <v>0</v>
      </c>
      <c r="FA127" s="57">
        <v>0</v>
      </c>
      <c r="FB127" s="57">
        <v>2</v>
      </c>
      <c r="FC127" s="57">
        <v>13</v>
      </c>
      <c r="FF127" s="71" t="s">
        <v>2112</v>
      </c>
      <c r="FG127" s="71" t="s">
        <v>2437</v>
      </c>
      <c r="FH127" s="71">
        <v>319</v>
      </c>
      <c r="FI127" s="71">
        <v>301</v>
      </c>
      <c r="FJ127" s="71">
        <v>359</v>
      </c>
      <c r="FK127" s="71">
        <v>374</v>
      </c>
      <c r="FL127" s="71">
        <v>469</v>
      </c>
      <c r="FM127" s="71">
        <v>1822</v>
      </c>
      <c r="FN127" s="71"/>
      <c r="FO127" s="71" t="s">
        <v>2437</v>
      </c>
      <c r="FP127" s="71">
        <v>36</v>
      </c>
      <c r="FQ127" s="71">
        <v>5</v>
      </c>
      <c r="FR127" s="71">
        <v>6</v>
      </c>
      <c r="FS127" s="71">
        <v>6</v>
      </c>
      <c r="FT127" s="71">
        <v>3</v>
      </c>
      <c r="FU127" s="71">
        <v>56</v>
      </c>
    </row>
    <row r="128" spans="2:177">
      <c r="B128" s="65" t="s">
        <v>930</v>
      </c>
      <c r="C128" s="65" t="s">
        <v>2437</v>
      </c>
      <c r="D128" s="65">
        <v>397</v>
      </c>
      <c r="E128" s="65">
        <v>454</v>
      </c>
      <c r="F128" s="65">
        <v>569</v>
      </c>
      <c r="G128" s="65">
        <v>640</v>
      </c>
      <c r="H128" s="65">
        <v>478</v>
      </c>
      <c r="I128" s="65">
        <v>2538</v>
      </c>
      <c r="K128" s="65" t="s">
        <v>2437</v>
      </c>
      <c r="L128" s="65">
        <v>32</v>
      </c>
      <c r="M128" s="65">
        <v>6</v>
      </c>
      <c r="N128" s="65">
        <v>3</v>
      </c>
      <c r="O128" s="65">
        <v>1</v>
      </c>
      <c r="P128" s="65">
        <v>1</v>
      </c>
      <c r="Q128" s="65">
        <v>43</v>
      </c>
      <c r="T128" s="66" t="s">
        <v>1130</v>
      </c>
      <c r="U128" s="66" t="s">
        <v>27</v>
      </c>
      <c r="V128" s="66">
        <v>846</v>
      </c>
      <c r="W128" s="66">
        <v>1002</v>
      </c>
      <c r="X128" s="66">
        <v>993</v>
      </c>
      <c r="Y128" s="66">
        <v>1080</v>
      </c>
      <c r="Z128" s="66">
        <v>966</v>
      </c>
      <c r="AA128" s="66">
        <v>4887</v>
      </c>
      <c r="AB128" s="66"/>
      <c r="AC128" s="66" t="s">
        <v>27</v>
      </c>
      <c r="AD128" s="66">
        <v>160</v>
      </c>
      <c r="AE128" s="66">
        <v>34</v>
      </c>
      <c r="AF128" s="66">
        <v>6</v>
      </c>
      <c r="AG128" s="66">
        <v>5</v>
      </c>
      <c r="AH128" s="66">
        <v>4</v>
      </c>
      <c r="AI128" s="66">
        <v>209</v>
      </c>
      <c r="AK128" s="67" t="s">
        <v>1264</v>
      </c>
      <c r="AL128" s="67" t="s">
        <v>2437</v>
      </c>
      <c r="AM128" s="67">
        <v>1043</v>
      </c>
      <c r="AN128" s="67">
        <v>459</v>
      </c>
      <c r="AO128" s="67">
        <v>480</v>
      </c>
      <c r="AP128" s="67">
        <v>568</v>
      </c>
      <c r="AQ128" s="67">
        <v>346</v>
      </c>
      <c r="AR128" s="67">
        <v>2896</v>
      </c>
      <c r="AS128" s="67"/>
      <c r="AT128" s="67" t="s">
        <v>2437</v>
      </c>
      <c r="AU128" s="67">
        <v>64</v>
      </c>
      <c r="AV128" s="67">
        <v>1</v>
      </c>
      <c r="AW128" s="67">
        <v>0</v>
      </c>
      <c r="AX128" s="67">
        <v>0</v>
      </c>
      <c r="AY128" s="67">
        <v>0</v>
      </c>
      <c r="AZ128" s="67">
        <v>65</v>
      </c>
      <c r="BB128" s="70" t="s">
        <v>1299</v>
      </c>
      <c r="BC128" s="70" t="s">
        <v>2437</v>
      </c>
      <c r="BD128" s="70">
        <v>245</v>
      </c>
      <c r="BE128" s="70">
        <v>244</v>
      </c>
      <c r="BF128" s="70">
        <v>500</v>
      </c>
      <c r="BG128" s="70">
        <v>695</v>
      </c>
      <c r="BH128" s="70">
        <v>615</v>
      </c>
      <c r="BI128" s="70">
        <v>2299</v>
      </c>
      <c r="BJ128" s="70"/>
      <c r="BK128" s="70" t="s">
        <v>2437</v>
      </c>
      <c r="BL128" s="70">
        <v>16</v>
      </c>
      <c r="BM128" s="70">
        <v>0</v>
      </c>
      <c r="BN128" s="70">
        <v>0</v>
      </c>
      <c r="BO128" s="70">
        <v>0</v>
      </c>
      <c r="BP128" s="70">
        <v>0</v>
      </c>
      <c r="BQ128" s="70">
        <v>16</v>
      </c>
      <c r="BS128" s="71" t="s">
        <v>1648</v>
      </c>
      <c r="BT128" s="71" t="s">
        <v>27</v>
      </c>
      <c r="BU128" s="71">
        <v>43</v>
      </c>
      <c r="BV128" s="71">
        <v>53</v>
      </c>
      <c r="BW128" s="71">
        <v>115</v>
      </c>
      <c r="BX128" s="71">
        <v>178</v>
      </c>
      <c r="BY128" s="71">
        <v>183</v>
      </c>
      <c r="BZ128" s="71">
        <v>572</v>
      </c>
      <c r="CA128" s="71"/>
      <c r="CB128" s="71" t="s">
        <v>27</v>
      </c>
      <c r="CC128" s="71">
        <v>15</v>
      </c>
      <c r="CD128" s="71">
        <v>0</v>
      </c>
      <c r="CE128" s="71">
        <v>0</v>
      </c>
      <c r="CF128" s="71">
        <v>0</v>
      </c>
      <c r="CG128" s="71">
        <v>0</v>
      </c>
      <c r="CH128" s="71">
        <v>15</v>
      </c>
      <c r="CL128" s="57" t="s">
        <v>626</v>
      </c>
      <c r="CM128" s="57" t="s">
        <v>2437</v>
      </c>
      <c r="CN128" s="57">
        <v>33</v>
      </c>
      <c r="CO128" s="57">
        <v>26</v>
      </c>
      <c r="CP128" s="57">
        <v>90</v>
      </c>
      <c r="CQ128" s="57">
        <v>116</v>
      </c>
      <c r="CR128" s="57">
        <v>130</v>
      </c>
      <c r="CS128" s="57">
        <v>395</v>
      </c>
      <c r="CT128" s="57"/>
      <c r="CU128" s="57" t="s">
        <v>2437</v>
      </c>
      <c r="CV128" s="57">
        <v>12</v>
      </c>
      <c r="CW128" s="57">
        <v>0</v>
      </c>
      <c r="CX128" s="57">
        <v>0</v>
      </c>
      <c r="CY128" s="57">
        <v>0</v>
      </c>
      <c r="CZ128" s="57">
        <v>0</v>
      </c>
      <c r="DA128" s="57">
        <v>12</v>
      </c>
      <c r="EN128" s="57" t="s">
        <v>2393</v>
      </c>
      <c r="EO128" s="57" t="s">
        <v>2441</v>
      </c>
      <c r="EP128" s="57">
        <v>38</v>
      </c>
      <c r="EQ128" s="57">
        <v>65</v>
      </c>
      <c r="ER128" s="57">
        <v>146</v>
      </c>
      <c r="ES128" s="57">
        <v>207</v>
      </c>
      <c r="ET128" s="57">
        <v>262</v>
      </c>
      <c r="EU128" s="57">
        <v>718</v>
      </c>
      <c r="EV128" s="57"/>
      <c r="EW128" s="57" t="s">
        <v>2441</v>
      </c>
      <c r="EX128" s="57">
        <v>3</v>
      </c>
      <c r="EY128" s="57">
        <v>0</v>
      </c>
      <c r="EZ128" s="57">
        <v>2</v>
      </c>
      <c r="FA128" s="57">
        <v>0</v>
      </c>
      <c r="FB128" s="57">
        <v>0</v>
      </c>
      <c r="FC128" s="57">
        <v>5</v>
      </c>
      <c r="FF128" s="71" t="s">
        <v>2115</v>
      </c>
      <c r="FG128" s="71" t="s">
        <v>2437</v>
      </c>
      <c r="FH128" s="71">
        <v>285</v>
      </c>
      <c r="FI128" s="71">
        <v>364</v>
      </c>
      <c r="FJ128" s="71">
        <v>460</v>
      </c>
      <c r="FK128" s="71">
        <v>458</v>
      </c>
      <c r="FL128" s="71">
        <v>574</v>
      </c>
      <c r="FM128" s="71">
        <v>2141</v>
      </c>
      <c r="FN128" s="71"/>
      <c r="FO128" s="71" t="s">
        <v>2437</v>
      </c>
      <c r="FP128" s="71">
        <v>21</v>
      </c>
      <c r="FQ128" s="71">
        <v>8</v>
      </c>
      <c r="FR128" s="71">
        <v>5</v>
      </c>
      <c r="FS128" s="71">
        <v>4</v>
      </c>
      <c r="FT128" s="71">
        <v>7</v>
      </c>
      <c r="FU128" s="71">
        <v>45</v>
      </c>
    </row>
    <row r="129" spans="1:177">
      <c r="B129" s="65" t="s">
        <v>935</v>
      </c>
      <c r="C129" s="65" t="s">
        <v>2437</v>
      </c>
      <c r="D129" s="65">
        <v>162</v>
      </c>
      <c r="E129" s="65">
        <v>218</v>
      </c>
      <c r="F129" s="65">
        <v>305</v>
      </c>
      <c r="G129" s="65">
        <v>382</v>
      </c>
      <c r="H129" s="65">
        <v>263</v>
      </c>
      <c r="I129" s="65">
        <v>1330</v>
      </c>
      <c r="K129" s="65" t="s">
        <v>2437</v>
      </c>
      <c r="L129" s="65">
        <v>20</v>
      </c>
      <c r="M129" s="65">
        <v>1</v>
      </c>
      <c r="N129" s="65">
        <v>0</v>
      </c>
      <c r="O129" s="65">
        <v>0</v>
      </c>
      <c r="P129" s="65">
        <v>0</v>
      </c>
      <c r="Q129" s="65">
        <v>21</v>
      </c>
      <c r="T129" s="66" t="s">
        <v>1136</v>
      </c>
      <c r="U129" s="66" t="s">
        <v>27</v>
      </c>
      <c r="V129" s="66">
        <v>722</v>
      </c>
      <c r="W129" s="66">
        <v>711</v>
      </c>
      <c r="X129" s="66">
        <v>829</v>
      </c>
      <c r="Y129" s="66">
        <v>919</v>
      </c>
      <c r="Z129" s="66">
        <v>701</v>
      </c>
      <c r="AA129" s="66">
        <v>3882</v>
      </c>
      <c r="AB129" s="66"/>
      <c r="AC129" s="66" t="s">
        <v>27</v>
      </c>
      <c r="AD129" s="66">
        <v>126</v>
      </c>
      <c r="AE129" s="66">
        <v>9</v>
      </c>
      <c r="AF129" s="66">
        <v>1</v>
      </c>
      <c r="AG129" s="66">
        <v>0</v>
      </c>
      <c r="AH129" s="66">
        <v>0</v>
      </c>
      <c r="AI129" s="66">
        <v>136</v>
      </c>
      <c r="AK129" s="67" t="s">
        <v>1269</v>
      </c>
      <c r="AL129" s="67" t="s">
        <v>2437</v>
      </c>
      <c r="AM129" s="67">
        <v>227</v>
      </c>
      <c r="AN129" s="67">
        <v>278</v>
      </c>
      <c r="AO129" s="67">
        <v>451</v>
      </c>
      <c r="AP129" s="67">
        <v>549</v>
      </c>
      <c r="AQ129" s="67">
        <v>475</v>
      </c>
      <c r="AR129" s="67">
        <v>1980</v>
      </c>
      <c r="AS129" s="67"/>
      <c r="AT129" s="67" t="s">
        <v>2437</v>
      </c>
      <c r="AU129" s="67">
        <v>34</v>
      </c>
      <c r="AV129" s="67">
        <v>3</v>
      </c>
      <c r="AW129" s="67">
        <v>4</v>
      </c>
      <c r="AX129" s="67">
        <v>0</v>
      </c>
      <c r="AY129" s="67">
        <v>0</v>
      </c>
      <c r="AZ129" s="67">
        <v>41</v>
      </c>
      <c r="BB129" s="70" t="s">
        <v>1302</v>
      </c>
      <c r="BC129" s="70" t="s">
        <v>2437</v>
      </c>
      <c r="BD129" s="70">
        <v>117</v>
      </c>
      <c r="BE129" s="70">
        <v>160</v>
      </c>
      <c r="BF129" s="70">
        <v>306</v>
      </c>
      <c r="BG129" s="70">
        <v>458</v>
      </c>
      <c r="BH129" s="70">
        <v>375</v>
      </c>
      <c r="BI129" s="70">
        <v>1416</v>
      </c>
      <c r="BJ129" s="70"/>
      <c r="BK129" s="70" t="s">
        <v>2437</v>
      </c>
      <c r="BL129" s="70">
        <v>21</v>
      </c>
      <c r="BM129" s="70">
        <v>0</v>
      </c>
      <c r="BN129" s="70">
        <v>0</v>
      </c>
      <c r="BO129" s="70">
        <v>0</v>
      </c>
      <c r="BP129" s="70">
        <v>0</v>
      </c>
      <c r="BQ129" s="70">
        <v>21</v>
      </c>
      <c r="BS129" s="71" t="s">
        <v>1650</v>
      </c>
      <c r="BT129" s="71" t="s">
        <v>27</v>
      </c>
      <c r="BU129" s="71">
        <v>33</v>
      </c>
      <c r="BV129" s="71">
        <v>53</v>
      </c>
      <c r="BW129" s="71">
        <v>113</v>
      </c>
      <c r="BX129" s="71">
        <v>157</v>
      </c>
      <c r="BY129" s="71">
        <v>149</v>
      </c>
      <c r="BZ129" s="71">
        <v>505</v>
      </c>
      <c r="CA129" s="71"/>
      <c r="CB129" s="71" t="s">
        <v>27</v>
      </c>
      <c r="CC129" s="71">
        <v>8</v>
      </c>
      <c r="CD129" s="71">
        <v>0</v>
      </c>
      <c r="CE129" s="71">
        <v>0</v>
      </c>
      <c r="CF129" s="71">
        <v>0</v>
      </c>
      <c r="CG129" s="71">
        <v>0</v>
      </c>
      <c r="CH129" s="71">
        <v>8</v>
      </c>
      <c r="CL129" s="57" t="s">
        <v>628</v>
      </c>
      <c r="CM129" s="57" t="s">
        <v>2437</v>
      </c>
      <c r="CN129" s="57">
        <v>68</v>
      </c>
      <c r="CO129" s="57">
        <v>73</v>
      </c>
      <c r="CP129" s="57">
        <v>144</v>
      </c>
      <c r="CQ129" s="57">
        <v>184</v>
      </c>
      <c r="CR129" s="57">
        <v>180</v>
      </c>
      <c r="CS129" s="57">
        <v>649</v>
      </c>
      <c r="CT129" s="57"/>
      <c r="CU129" s="57" t="s">
        <v>2437</v>
      </c>
      <c r="CV129" s="57">
        <v>16</v>
      </c>
      <c r="CW129" s="57">
        <v>0</v>
      </c>
      <c r="CX129" s="57">
        <v>0</v>
      </c>
      <c r="CY129" s="57">
        <v>0</v>
      </c>
      <c r="CZ129" s="57">
        <v>0</v>
      </c>
      <c r="DA129" s="57">
        <v>16</v>
      </c>
      <c r="DV129" s="80" t="s">
        <v>1843</v>
      </c>
      <c r="DW129" s="80" t="s">
        <v>2513</v>
      </c>
      <c r="DX129" s="80">
        <v>647</v>
      </c>
      <c r="DY129" s="80">
        <v>506</v>
      </c>
      <c r="DZ129" s="80">
        <v>648</v>
      </c>
      <c r="EA129" s="80">
        <v>690</v>
      </c>
      <c r="EB129" s="80">
        <v>555</v>
      </c>
      <c r="EC129" s="80">
        <v>3046</v>
      </c>
      <c r="ED129" s="80"/>
      <c r="EE129" s="80" t="s">
        <v>2513</v>
      </c>
      <c r="EF129" s="80">
        <v>41</v>
      </c>
      <c r="EG129" s="80">
        <v>2</v>
      </c>
      <c r="EH129" s="80">
        <v>0</v>
      </c>
      <c r="EI129" s="80">
        <v>0</v>
      </c>
      <c r="EJ129" s="80">
        <v>0</v>
      </c>
      <c r="EK129" s="80">
        <v>43</v>
      </c>
      <c r="EN129" s="57" t="s">
        <v>1990</v>
      </c>
      <c r="EO129" s="57" t="s">
        <v>2441</v>
      </c>
      <c r="EP129" s="57">
        <v>115</v>
      </c>
      <c r="EQ129" s="57">
        <v>314</v>
      </c>
      <c r="ER129" s="57">
        <v>384</v>
      </c>
      <c r="ES129" s="57">
        <v>520</v>
      </c>
      <c r="ET129" s="57">
        <v>639</v>
      </c>
      <c r="EU129" s="57">
        <v>1972</v>
      </c>
      <c r="EV129" s="57"/>
      <c r="EW129" s="57" t="s">
        <v>2441</v>
      </c>
      <c r="EX129" s="57">
        <v>20</v>
      </c>
      <c r="EY129" s="57">
        <v>7</v>
      </c>
      <c r="EZ129" s="57">
        <v>2</v>
      </c>
      <c r="FA129" s="57">
        <v>3</v>
      </c>
      <c r="FB129" s="57">
        <v>2</v>
      </c>
      <c r="FC129" s="57">
        <v>34</v>
      </c>
      <c r="FF129" s="71" t="s">
        <v>2117</v>
      </c>
      <c r="FG129" s="71" t="s">
        <v>2437</v>
      </c>
      <c r="FH129" s="71">
        <v>101</v>
      </c>
      <c r="FI129" s="71">
        <v>164</v>
      </c>
      <c r="FJ129" s="71">
        <v>206</v>
      </c>
      <c r="FK129" s="71">
        <v>213</v>
      </c>
      <c r="FL129" s="71">
        <v>338</v>
      </c>
      <c r="FM129" s="71">
        <v>1022</v>
      </c>
      <c r="FN129" s="71"/>
      <c r="FO129" s="71" t="s">
        <v>2437</v>
      </c>
      <c r="FP129" s="71">
        <v>17</v>
      </c>
      <c r="FQ129" s="71">
        <v>2</v>
      </c>
      <c r="FR129" s="71">
        <v>3</v>
      </c>
      <c r="FS129" s="71">
        <v>0</v>
      </c>
      <c r="FT129" s="71">
        <v>3</v>
      </c>
      <c r="FU129" s="71">
        <v>25</v>
      </c>
    </row>
    <row r="130" spans="1:177">
      <c r="A130" s="21" t="s">
        <v>2438</v>
      </c>
      <c r="B130" s="127" t="s">
        <v>2166</v>
      </c>
      <c r="C130" s="65" t="s">
        <v>2437</v>
      </c>
      <c r="D130" s="65">
        <v>172</v>
      </c>
      <c r="E130" s="65">
        <v>296</v>
      </c>
      <c r="F130" s="65">
        <v>440</v>
      </c>
      <c r="G130" s="65">
        <v>581</v>
      </c>
      <c r="H130" s="65">
        <v>453</v>
      </c>
      <c r="I130" s="65">
        <v>1942</v>
      </c>
      <c r="K130" s="65" t="s">
        <v>2437</v>
      </c>
      <c r="L130" s="65">
        <v>28</v>
      </c>
      <c r="M130" s="65">
        <v>1</v>
      </c>
      <c r="N130" s="65">
        <v>2</v>
      </c>
      <c r="O130" s="65">
        <v>4</v>
      </c>
      <c r="P130" s="65">
        <v>2</v>
      </c>
      <c r="Q130" s="65">
        <v>37</v>
      </c>
      <c r="T130" s="66" t="s">
        <v>1141</v>
      </c>
      <c r="U130" s="66" t="s">
        <v>27</v>
      </c>
      <c r="V130" s="66">
        <v>515</v>
      </c>
      <c r="W130" s="66">
        <v>376</v>
      </c>
      <c r="X130" s="66">
        <v>395</v>
      </c>
      <c r="Y130" s="66">
        <v>406</v>
      </c>
      <c r="Z130" s="66">
        <v>346</v>
      </c>
      <c r="AA130" s="66">
        <v>2038</v>
      </c>
      <c r="AB130" s="66"/>
      <c r="AC130" s="66" t="s">
        <v>27</v>
      </c>
      <c r="AD130" s="66">
        <v>12</v>
      </c>
      <c r="AE130" s="66">
        <v>1</v>
      </c>
      <c r="AF130" s="66">
        <v>1</v>
      </c>
      <c r="AG130" s="66">
        <v>0</v>
      </c>
      <c r="AH130" s="66">
        <v>0</v>
      </c>
      <c r="AI130" s="66">
        <v>14</v>
      </c>
      <c r="AK130" s="67" t="s">
        <v>2242</v>
      </c>
      <c r="AL130" s="67" t="s">
        <v>2437</v>
      </c>
      <c r="AM130" s="67">
        <v>619</v>
      </c>
      <c r="AN130" s="67">
        <v>952</v>
      </c>
      <c r="AO130" s="67">
        <v>1398</v>
      </c>
      <c r="AP130" s="67">
        <v>1531</v>
      </c>
      <c r="AQ130" s="67">
        <v>881</v>
      </c>
      <c r="AR130" s="67">
        <v>5381</v>
      </c>
      <c r="AS130" s="67"/>
      <c r="AT130" s="67" t="s">
        <v>2437</v>
      </c>
      <c r="AU130" s="67">
        <v>42</v>
      </c>
      <c r="AV130" s="67">
        <v>5</v>
      </c>
      <c r="AW130" s="67">
        <v>0</v>
      </c>
      <c r="AX130" s="67">
        <v>0</v>
      </c>
      <c r="AY130" s="67">
        <v>2</v>
      </c>
      <c r="AZ130" s="67">
        <v>49</v>
      </c>
      <c r="BB130" s="70" t="s">
        <v>1305</v>
      </c>
      <c r="BC130" s="70" t="s">
        <v>2437</v>
      </c>
      <c r="BD130" s="70">
        <v>268</v>
      </c>
      <c r="BE130" s="70">
        <v>222</v>
      </c>
      <c r="BF130" s="70">
        <v>268</v>
      </c>
      <c r="BG130" s="70">
        <v>303</v>
      </c>
      <c r="BH130" s="70">
        <v>289</v>
      </c>
      <c r="BI130" s="70">
        <v>1350</v>
      </c>
      <c r="BJ130" s="70"/>
      <c r="BK130" s="70" t="s">
        <v>2437</v>
      </c>
      <c r="BL130" s="70">
        <v>48</v>
      </c>
      <c r="BM130" s="70">
        <v>5</v>
      </c>
      <c r="BN130" s="70">
        <v>0</v>
      </c>
      <c r="BO130" s="70">
        <v>0</v>
      </c>
      <c r="BP130" s="70">
        <v>0</v>
      </c>
      <c r="BQ130" s="70">
        <v>53</v>
      </c>
      <c r="BS130" s="71" t="s">
        <v>1655</v>
      </c>
      <c r="BT130" s="71" t="s">
        <v>27</v>
      </c>
      <c r="BU130" s="71">
        <v>63</v>
      </c>
      <c r="BV130" s="71">
        <v>51</v>
      </c>
      <c r="BW130" s="71">
        <v>97</v>
      </c>
      <c r="BX130" s="71">
        <v>140</v>
      </c>
      <c r="BY130" s="71">
        <v>159</v>
      </c>
      <c r="BZ130" s="71">
        <v>510</v>
      </c>
      <c r="CA130" s="71"/>
      <c r="CB130" s="71" t="s">
        <v>27</v>
      </c>
      <c r="CC130" s="71">
        <v>24</v>
      </c>
      <c r="CD130" s="71">
        <v>0</v>
      </c>
      <c r="CE130" s="71">
        <v>0</v>
      </c>
      <c r="CF130" s="71">
        <v>0</v>
      </c>
      <c r="CG130" s="71">
        <v>0</v>
      </c>
      <c r="CH130" s="71">
        <v>24</v>
      </c>
      <c r="CL130" s="57" t="s">
        <v>632</v>
      </c>
      <c r="CM130" s="57" t="s">
        <v>2437</v>
      </c>
      <c r="CN130" s="57">
        <v>48</v>
      </c>
      <c r="CO130" s="57">
        <v>78</v>
      </c>
      <c r="CP130" s="57">
        <v>114</v>
      </c>
      <c r="CQ130" s="57">
        <v>161</v>
      </c>
      <c r="CR130" s="57">
        <v>161</v>
      </c>
      <c r="CS130" s="57">
        <v>562</v>
      </c>
      <c r="CT130" s="57"/>
      <c r="CU130" s="57" t="s">
        <v>2437</v>
      </c>
      <c r="CV130" s="57">
        <v>2</v>
      </c>
      <c r="CW130" s="57">
        <v>0</v>
      </c>
      <c r="CX130" s="57">
        <v>0</v>
      </c>
      <c r="CY130" s="57">
        <v>0</v>
      </c>
      <c r="CZ130" s="57">
        <v>0</v>
      </c>
      <c r="DA130" s="57">
        <v>2</v>
      </c>
      <c r="DV130" s="80" t="s">
        <v>1848</v>
      </c>
      <c r="DW130" s="80" t="s">
        <v>2513</v>
      </c>
      <c r="DX130" s="80">
        <v>210</v>
      </c>
      <c r="DY130" s="80">
        <v>277</v>
      </c>
      <c r="DZ130" s="80">
        <v>348</v>
      </c>
      <c r="EA130" s="80">
        <v>380</v>
      </c>
      <c r="EB130" s="80">
        <v>306</v>
      </c>
      <c r="EC130" s="80">
        <v>1521</v>
      </c>
      <c r="ED130" s="80"/>
      <c r="EE130" s="80" t="s">
        <v>2513</v>
      </c>
      <c r="EF130" s="80">
        <v>13</v>
      </c>
      <c r="EG130" s="80">
        <v>0</v>
      </c>
      <c r="EH130" s="80">
        <v>0</v>
      </c>
      <c r="EI130" s="80">
        <v>0</v>
      </c>
      <c r="EJ130" s="80">
        <v>0</v>
      </c>
      <c r="EK130" s="80">
        <v>13</v>
      </c>
      <c r="EN130" s="57" t="s">
        <v>1993</v>
      </c>
      <c r="EO130" s="57" t="s">
        <v>2441</v>
      </c>
      <c r="EP130" s="57">
        <v>482</v>
      </c>
      <c r="EQ130" s="57">
        <v>617</v>
      </c>
      <c r="ER130" s="57">
        <v>740</v>
      </c>
      <c r="ES130" s="57">
        <v>889</v>
      </c>
      <c r="ET130" s="57">
        <v>954</v>
      </c>
      <c r="EU130" s="57">
        <v>3682</v>
      </c>
      <c r="EV130" s="57"/>
      <c r="EW130" s="57" t="s">
        <v>2441</v>
      </c>
      <c r="EX130" s="57">
        <v>44</v>
      </c>
      <c r="EY130" s="57">
        <v>8</v>
      </c>
      <c r="EZ130" s="57">
        <v>9</v>
      </c>
      <c r="FA130" s="57">
        <v>7</v>
      </c>
      <c r="FB130" s="57">
        <v>7</v>
      </c>
      <c r="FC130" s="57">
        <v>75</v>
      </c>
      <c r="FF130" s="71" t="s">
        <v>2119</v>
      </c>
      <c r="FG130" s="71" t="s">
        <v>2437</v>
      </c>
      <c r="FH130" s="71">
        <v>349</v>
      </c>
      <c r="FI130" s="71">
        <v>265</v>
      </c>
      <c r="FJ130" s="71">
        <v>334</v>
      </c>
      <c r="FK130" s="71">
        <v>424</v>
      </c>
      <c r="FL130" s="71">
        <v>569</v>
      </c>
      <c r="FM130" s="71">
        <v>1941</v>
      </c>
      <c r="FN130" s="71"/>
      <c r="FO130" s="71" t="s">
        <v>2437</v>
      </c>
      <c r="FP130" s="71">
        <v>19</v>
      </c>
      <c r="FQ130" s="71">
        <v>6</v>
      </c>
      <c r="FR130" s="71">
        <v>6</v>
      </c>
      <c r="FS130" s="71">
        <v>2</v>
      </c>
      <c r="FT130" s="71">
        <v>4</v>
      </c>
      <c r="FU130" s="71">
        <v>37</v>
      </c>
    </row>
    <row r="131" spans="1:177">
      <c r="B131" s="65" t="s">
        <v>940</v>
      </c>
      <c r="C131" s="65" t="s">
        <v>2437</v>
      </c>
      <c r="D131" s="65">
        <v>700</v>
      </c>
      <c r="E131" s="65">
        <v>685</v>
      </c>
      <c r="F131" s="65">
        <v>1037</v>
      </c>
      <c r="G131" s="65">
        <v>1219</v>
      </c>
      <c r="H131" s="65">
        <v>935</v>
      </c>
      <c r="I131" s="65">
        <v>4576</v>
      </c>
      <c r="K131" s="65" t="s">
        <v>2437</v>
      </c>
      <c r="L131" s="65">
        <v>40</v>
      </c>
      <c r="M131" s="65">
        <v>1</v>
      </c>
      <c r="N131" s="65">
        <v>0</v>
      </c>
      <c r="O131" s="65">
        <v>2</v>
      </c>
      <c r="P131" s="65">
        <v>0</v>
      </c>
      <c r="Q131" s="65">
        <v>43</v>
      </c>
      <c r="T131" s="66" t="s">
        <v>1144</v>
      </c>
      <c r="U131" s="66" t="s">
        <v>27</v>
      </c>
      <c r="V131" s="66">
        <v>601</v>
      </c>
      <c r="W131" s="66">
        <v>671</v>
      </c>
      <c r="X131" s="66">
        <v>988</v>
      </c>
      <c r="Y131" s="66">
        <v>1239</v>
      </c>
      <c r="Z131" s="66">
        <v>1076</v>
      </c>
      <c r="AA131" s="66">
        <v>4575</v>
      </c>
      <c r="AB131" s="66"/>
      <c r="AC131" s="66" t="s">
        <v>27</v>
      </c>
      <c r="AD131" s="66">
        <v>22</v>
      </c>
      <c r="AE131" s="66">
        <v>5</v>
      </c>
      <c r="AF131" s="66">
        <v>0</v>
      </c>
      <c r="AG131" s="66">
        <v>0</v>
      </c>
      <c r="AH131" s="66">
        <v>0</v>
      </c>
      <c r="AI131" s="66">
        <v>27</v>
      </c>
      <c r="AK131" s="67" t="s">
        <v>2205</v>
      </c>
      <c r="AL131" s="67" t="s">
        <v>2437</v>
      </c>
      <c r="AM131" s="67">
        <v>264</v>
      </c>
      <c r="AN131" s="67">
        <v>446</v>
      </c>
      <c r="AO131" s="67">
        <v>777</v>
      </c>
      <c r="AP131" s="67">
        <v>847</v>
      </c>
      <c r="AQ131" s="67">
        <v>590</v>
      </c>
      <c r="AR131" s="67">
        <v>2924</v>
      </c>
      <c r="AS131" s="67"/>
      <c r="AT131" s="67" t="s">
        <v>2437</v>
      </c>
      <c r="AU131" s="67">
        <v>22</v>
      </c>
      <c r="AV131" s="67">
        <v>3</v>
      </c>
      <c r="AW131" s="67">
        <v>1</v>
      </c>
      <c r="AX131" s="67">
        <v>0</v>
      </c>
      <c r="AY131" s="67">
        <v>0</v>
      </c>
      <c r="AZ131" s="67">
        <v>26</v>
      </c>
      <c r="BB131" s="70" t="s">
        <v>1308</v>
      </c>
      <c r="BC131" s="70" t="s">
        <v>2437</v>
      </c>
      <c r="BD131" s="70">
        <v>261</v>
      </c>
      <c r="BE131" s="70">
        <v>215</v>
      </c>
      <c r="BF131" s="70">
        <v>299</v>
      </c>
      <c r="BG131" s="70">
        <v>333</v>
      </c>
      <c r="BH131" s="70">
        <v>246</v>
      </c>
      <c r="BI131" s="70">
        <v>1354</v>
      </c>
      <c r="BJ131" s="70"/>
      <c r="BK131" s="70" t="s">
        <v>2437</v>
      </c>
      <c r="BL131" s="70">
        <v>19</v>
      </c>
      <c r="BM131" s="70">
        <v>0</v>
      </c>
      <c r="BN131" s="70">
        <v>0</v>
      </c>
      <c r="BO131" s="70">
        <v>0</v>
      </c>
      <c r="BP131" s="70">
        <v>0</v>
      </c>
      <c r="BQ131" s="70">
        <v>19</v>
      </c>
      <c r="BS131" s="71" t="s">
        <v>1657</v>
      </c>
      <c r="BT131" s="71" t="s">
        <v>27</v>
      </c>
      <c r="BU131" s="71">
        <v>25</v>
      </c>
      <c r="BV131" s="71">
        <v>30</v>
      </c>
      <c r="BW131" s="71">
        <v>57</v>
      </c>
      <c r="BX131" s="71">
        <v>90</v>
      </c>
      <c r="BY131" s="71">
        <v>90</v>
      </c>
      <c r="BZ131" s="71">
        <v>292</v>
      </c>
      <c r="CA131" s="71"/>
      <c r="CB131" s="71" t="s">
        <v>27</v>
      </c>
      <c r="CC131" s="71">
        <v>9</v>
      </c>
      <c r="CD131" s="71">
        <v>0</v>
      </c>
      <c r="CE131" s="71">
        <v>0</v>
      </c>
      <c r="CF131" s="71">
        <v>0</v>
      </c>
      <c r="CG131" s="71">
        <v>0</v>
      </c>
      <c r="CH131" s="71">
        <v>9</v>
      </c>
      <c r="CL131" s="57" t="s">
        <v>634</v>
      </c>
      <c r="CM131" s="57" t="s">
        <v>2437</v>
      </c>
      <c r="CN131" s="57">
        <v>64</v>
      </c>
      <c r="CO131" s="57">
        <v>36</v>
      </c>
      <c r="CP131" s="57">
        <v>71</v>
      </c>
      <c r="CQ131" s="57">
        <v>93</v>
      </c>
      <c r="CR131" s="57">
        <v>89</v>
      </c>
      <c r="CS131" s="57">
        <v>353</v>
      </c>
      <c r="CT131" s="57"/>
      <c r="CU131" s="57" t="s">
        <v>2437</v>
      </c>
      <c r="CV131" s="57">
        <v>27</v>
      </c>
      <c r="CW131" s="57">
        <v>0</v>
      </c>
      <c r="CX131" s="57">
        <v>0</v>
      </c>
      <c r="CY131" s="57">
        <v>0</v>
      </c>
      <c r="CZ131" s="57">
        <v>0</v>
      </c>
      <c r="DA131" s="57">
        <v>27</v>
      </c>
      <c r="DV131" s="80" t="s">
        <v>1852</v>
      </c>
      <c r="DW131" s="80" t="s">
        <v>2513</v>
      </c>
      <c r="DX131" s="80">
        <v>598</v>
      </c>
      <c r="DY131" s="80">
        <v>778</v>
      </c>
      <c r="DZ131" s="80">
        <v>976</v>
      </c>
      <c r="EA131" s="80">
        <v>999</v>
      </c>
      <c r="EB131" s="80">
        <v>732</v>
      </c>
      <c r="EC131" s="80">
        <v>4083</v>
      </c>
      <c r="ED131" s="80"/>
      <c r="EE131" s="80" t="s">
        <v>2513</v>
      </c>
      <c r="EF131" s="80">
        <v>23</v>
      </c>
      <c r="EG131" s="80">
        <v>0</v>
      </c>
      <c r="EH131" s="80">
        <v>0</v>
      </c>
      <c r="EI131" s="80">
        <v>0</v>
      </c>
      <c r="EJ131" s="80">
        <v>0</v>
      </c>
      <c r="EK131" s="80">
        <v>23</v>
      </c>
      <c r="EN131" s="57" t="s">
        <v>1996</v>
      </c>
      <c r="EO131" s="57" t="s">
        <v>2441</v>
      </c>
      <c r="EP131" s="57">
        <v>308</v>
      </c>
      <c r="EQ131" s="57">
        <v>373</v>
      </c>
      <c r="ER131" s="57">
        <v>394</v>
      </c>
      <c r="ES131" s="57">
        <v>481</v>
      </c>
      <c r="ET131" s="57">
        <v>505</v>
      </c>
      <c r="EU131" s="57">
        <v>2061</v>
      </c>
      <c r="EV131" s="57"/>
      <c r="EW131" s="57" t="s">
        <v>2441</v>
      </c>
      <c r="EX131" s="57">
        <v>21</v>
      </c>
      <c r="EY131" s="57">
        <v>10</v>
      </c>
      <c r="EZ131" s="57">
        <v>2</v>
      </c>
      <c r="FA131" s="57">
        <v>2</v>
      </c>
      <c r="FB131" s="57">
        <v>5</v>
      </c>
      <c r="FC131" s="57">
        <v>40</v>
      </c>
      <c r="FF131" s="71" t="s">
        <v>2121</v>
      </c>
      <c r="FG131" s="71" t="s">
        <v>2437</v>
      </c>
      <c r="FH131" s="71">
        <v>145</v>
      </c>
      <c r="FI131" s="71">
        <v>207</v>
      </c>
      <c r="FJ131" s="71">
        <v>235</v>
      </c>
      <c r="FK131" s="71">
        <v>308</v>
      </c>
      <c r="FL131" s="71">
        <v>405</v>
      </c>
      <c r="FM131" s="71">
        <v>1300</v>
      </c>
      <c r="FN131" s="71"/>
      <c r="FO131" s="71" t="s">
        <v>2437</v>
      </c>
      <c r="FP131" s="71">
        <v>18</v>
      </c>
      <c r="FQ131" s="71">
        <v>6</v>
      </c>
      <c r="FR131" s="71">
        <v>2</v>
      </c>
      <c r="FS131" s="71">
        <v>2</v>
      </c>
      <c r="FT131" s="71">
        <v>1</v>
      </c>
      <c r="FU131" s="71">
        <v>29</v>
      </c>
    </row>
    <row r="132" spans="1:177">
      <c r="B132" s="65" t="s">
        <v>946</v>
      </c>
      <c r="C132" s="65" t="s">
        <v>2437</v>
      </c>
      <c r="D132" s="65">
        <v>258</v>
      </c>
      <c r="E132" s="65">
        <v>328</v>
      </c>
      <c r="F132" s="65">
        <v>479</v>
      </c>
      <c r="G132" s="65">
        <v>617</v>
      </c>
      <c r="H132" s="65">
        <v>480</v>
      </c>
      <c r="I132" s="65">
        <v>2162</v>
      </c>
      <c r="K132" s="65" t="s">
        <v>2437</v>
      </c>
      <c r="L132" s="65">
        <v>58</v>
      </c>
      <c r="M132" s="65">
        <v>7</v>
      </c>
      <c r="N132" s="65">
        <v>0</v>
      </c>
      <c r="O132" s="65">
        <v>0</v>
      </c>
      <c r="P132" s="65">
        <v>0</v>
      </c>
      <c r="Q132" s="65">
        <v>65</v>
      </c>
      <c r="T132" s="66" t="s">
        <v>1148</v>
      </c>
      <c r="U132" s="66" t="s">
        <v>27</v>
      </c>
      <c r="V132" s="66">
        <v>560</v>
      </c>
      <c r="W132" s="66">
        <v>392</v>
      </c>
      <c r="X132" s="66">
        <v>500</v>
      </c>
      <c r="Y132" s="66">
        <v>438</v>
      </c>
      <c r="Z132" s="66">
        <v>279</v>
      </c>
      <c r="AA132" s="66">
        <v>2169</v>
      </c>
      <c r="AB132" s="66"/>
      <c r="AC132" s="66" t="s">
        <v>27</v>
      </c>
      <c r="AD132" s="66">
        <v>38</v>
      </c>
      <c r="AE132" s="66">
        <v>0</v>
      </c>
      <c r="AF132" s="66">
        <v>0</v>
      </c>
      <c r="AG132" s="66">
        <v>0</v>
      </c>
      <c r="AH132" s="66">
        <v>0</v>
      </c>
      <c r="AI132" s="66">
        <v>38</v>
      </c>
      <c r="AK132" s="67" t="s">
        <v>2219</v>
      </c>
      <c r="AL132" s="67" t="s">
        <v>2437</v>
      </c>
      <c r="AM132" s="67">
        <v>197</v>
      </c>
      <c r="AN132" s="67">
        <v>324</v>
      </c>
      <c r="AO132" s="67">
        <v>554</v>
      </c>
      <c r="AP132" s="67">
        <v>853</v>
      </c>
      <c r="AQ132" s="67">
        <v>640</v>
      </c>
      <c r="AR132" s="67">
        <v>2568</v>
      </c>
      <c r="AS132" s="67"/>
      <c r="AT132" s="67" t="s">
        <v>2437</v>
      </c>
      <c r="AU132" s="67">
        <v>20</v>
      </c>
      <c r="AV132" s="67">
        <v>3</v>
      </c>
      <c r="AW132" s="67">
        <v>0</v>
      </c>
      <c r="AX132" s="67">
        <v>2</v>
      </c>
      <c r="AY132" s="67">
        <v>1</v>
      </c>
      <c r="AZ132" s="67">
        <v>26</v>
      </c>
      <c r="BB132" s="70" t="s">
        <v>1312</v>
      </c>
      <c r="BC132" s="70" t="s">
        <v>2437</v>
      </c>
      <c r="BD132" s="70">
        <v>342</v>
      </c>
      <c r="BE132" s="70">
        <v>253</v>
      </c>
      <c r="BF132" s="70">
        <v>419</v>
      </c>
      <c r="BG132" s="70">
        <v>531</v>
      </c>
      <c r="BH132" s="70">
        <v>461</v>
      </c>
      <c r="BI132" s="70">
        <v>2006</v>
      </c>
      <c r="BJ132" s="70"/>
      <c r="BK132" s="70" t="s">
        <v>2437</v>
      </c>
      <c r="BL132" s="70">
        <v>47</v>
      </c>
      <c r="BM132" s="70">
        <v>0</v>
      </c>
      <c r="BN132" s="70">
        <v>0</v>
      </c>
      <c r="BO132" s="70">
        <v>0</v>
      </c>
      <c r="BP132" s="70">
        <v>0</v>
      </c>
      <c r="BQ132" s="70">
        <v>47</v>
      </c>
      <c r="BS132" s="71" t="s">
        <v>1661</v>
      </c>
      <c r="BT132" s="71" t="s">
        <v>27</v>
      </c>
      <c r="BU132" s="71">
        <v>66</v>
      </c>
      <c r="BV132" s="71">
        <v>37</v>
      </c>
      <c r="BW132" s="71">
        <v>74</v>
      </c>
      <c r="BX132" s="71">
        <v>104</v>
      </c>
      <c r="BY132" s="71">
        <v>125</v>
      </c>
      <c r="BZ132" s="71">
        <v>406</v>
      </c>
      <c r="CA132" s="71"/>
      <c r="CB132" s="71" t="s">
        <v>27</v>
      </c>
      <c r="CC132" s="71">
        <v>20</v>
      </c>
      <c r="CD132" s="71">
        <v>0</v>
      </c>
      <c r="CE132" s="71">
        <v>0</v>
      </c>
      <c r="CF132" s="71">
        <v>0</v>
      </c>
      <c r="CG132" s="71">
        <v>0</v>
      </c>
      <c r="CH132" s="71">
        <v>20</v>
      </c>
      <c r="CL132" s="57" t="s">
        <v>636</v>
      </c>
      <c r="CM132" s="57" t="s">
        <v>2437</v>
      </c>
      <c r="CN132" s="57">
        <v>39</v>
      </c>
      <c r="CO132" s="57">
        <v>57</v>
      </c>
      <c r="CP132" s="57">
        <v>94</v>
      </c>
      <c r="CQ132" s="57">
        <v>120</v>
      </c>
      <c r="CR132" s="57">
        <v>125</v>
      </c>
      <c r="CS132" s="57">
        <v>435</v>
      </c>
      <c r="CT132" s="57"/>
      <c r="CU132" s="57" t="s">
        <v>2437</v>
      </c>
      <c r="CV132" s="57">
        <v>15</v>
      </c>
      <c r="CW132" s="57">
        <v>0</v>
      </c>
      <c r="CX132" s="57">
        <v>0</v>
      </c>
      <c r="CY132" s="57">
        <v>0</v>
      </c>
      <c r="CZ132" s="57">
        <v>0</v>
      </c>
      <c r="DA132" s="57">
        <v>15</v>
      </c>
      <c r="DV132" s="80" t="s">
        <v>1856</v>
      </c>
      <c r="DW132" s="80" t="s">
        <v>2513</v>
      </c>
      <c r="DX132" s="80">
        <v>513</v>
      </c>
      <c r="DY132" s="80">
        <v>548</v>
      </c>
      <c r="DZ132" s="80">
        <v>655</v>
      </c>
      <c r="EA132" s="80">
        <v>716</v>
      </c>
      <c r="EB132" s="80">
        <v>629</v>
      </c>
      <c r="EC132" s="80">
        <v>3061</v>
      </c>
      <c r="ED132" s="80"/>
      <c r="EE132" s="80" t="s">
        <v>2513</v>
      </c>
      <c r="EF132" s="80">
        <v>48</v>
      </c>
      <c r="EG132" s="80">
        <v>0</v>
      </c>
      <c r="EH132" s="80">
        <v>0</v>
      </c>
      <c r="EI132" s="80">
        <v>0</v>
      </c>
      <c r="EJ132" s="80">
        <v>0</v>
      </c>
      <c r="EK132" s="80">
        <v>48</v>
      </c>
      <c r="EN132" s="57" t="s">
        <v>1999</v>
      </c>
      <c r="EO132" s="57" t="s">
        <v>2441</v>
      </c>
      <c r="EP132" s="57">
        <v>70</v>
      </c>
      <c r="EQ132" s="57">
        <v>90</v>
      </c>
      <c r="ER132" s="57">
        <v>122</v>
      </c>
      <c r="ES132" s="57">
        <v>143</v>
      </c>
      <c r="ET132" s="57">
        <v>192</v>
      </c>
      <c r="EU132" s="57">
        <v>617</v>
      </c>
      <c r="EV132" s="57"/>
      <c r="EW132" s="57" t="s">
        <v>2441</v>
      </c>
      <c r="EX132" s="57">
        <v>20</v>
      </c>
      <c r="EY132" s="57">
        <v>2</v>
      </c>
      <c r="EZ132" s="57">
        <v>5</v>
      </c>
      <c r="FA132" s="57">
        <v>1</v>
      </c>
      <c r="FB132" s="57">
        <v>0</v>
      </c>
      <c r="FC132" s="57">
        <v>28</v>
      </c>
      <c r="FF132" s="71" t="s">
        <v>2123</v>
      </c>
      <c r="FG132" s="71" t="s">
        <v>2437</v>
      </c>
      <c r="FH132" s="71">
        <v>135</v>
      </c>
      <c r="FI132" s="71">
        <v>160</v>
      </c>
      <c r="FJ132" s="71">
        <v>213</v>
      </c>
      <c r="FK132" s="71">
        <v>246</v>
      </c>
      <c r="FL132" s="71">
        <v>357</v>
      </c>
      <c r="FM132" s="71">
        <v>1111</v>
      </c>
      <c r="FN132" s="71"/>
      <c r="FO132" s="71" t="s">
        <v>2437</v>
      </c>
      <c r="FP132" s="71">
        <v>12</v>
      </c>
      <c r="FQ132" s="71">
        <v>2</v>
      </c>
      <c r="FR132" s="71">
        <v>1</v>
      </c>
      <c r="FS132" s="71">
        <v>1</v>
      </c>
      <c r="FT132" s="71">
        <v>3</v>
      </c>
      <c r="FU132" s="71">
        <v>19</v>
      </c>
    </row>
    <row r="133" spans="1:177">
      <c r="B133" s="65" t="s">
        <v>955</v>
      </c>
      <c r="C133" s="65" t="s">
        <v>2437</v>
      </c>
      <c r="D133" s="65">
        <v>462</v>
      </c>
      <c r="E133" s="65">
        <v>646</v>
      </c>
      <c r="F133" s="65">
        <v>1034</v>
      </c>
      <c r="G133" s="65">
        <v>1414</v>
      </c>
      <c r="H133" s="65">
        <v>1045</v>
      </c>
      <c r="I133" s="65">
        <v>4601</v>
      </c>
      <c r="K133" s="65" t="s">
        <v>2437</v>
      </c>
      <c r="L133" s="65">
        <v>18</v>
      </c>
      <c r="M133" s="65">
        <v>2</v>
      </c>
      <c r="N133" s="65">
        <v>0</v>
      </c>
      <c r="O133" s="65">
        <v>0</v>
      </c>
      <c r="P133" s="65">
        <v>0</v>
      </c>
      <c r="Q133" s="65">
        <v>20</v>
      </c>
      <c r="T133" s="66" t="s">
        <v>1154</v>
      </c>
      <c r="U133" s="66" t="s">
        <v>27</v>
      </c>
      <c r="V133" s="66">
        <v>183</v>
      </c>
      <c r="W133" s="66">
        <v>370</v>
      </c>
      <c r="X133" s="66">
        <v>528</v>
      </c>
      <c r="Y133" s="66">
        <v>706</v>
      </c>
      <c r="Z133" s="66">
        <v>564</v>
      </c>
      <c r="AA133" s="66">
        <v>2351</v>
      </c>
      <c r="AB133" s="66"/>
      <c r="AC133" s="66" t="s">
        <v>27</v>
      </c>
      <c r="AD133" s="66">
        <v>10</v>
      </c>
      <c r="AE133" s="66">
        <v>5</v>
      </c>
      <c r="AF133" s="66">
        <v>3</v>
      </c>
      <c r="AG133" s="66">
        <v>0</v>
      </c>
      <c r="AH133" s="66">
        <v>0</v>
      </c>
      <c r="AI133" s="66">
        <v>18</v>
      </c>
      <c r="AK133" s="67" t="s">
        <v>1272</v>
      </c>
      <c r="AL133" s="67" t="s">
        <v>2437</v>
      </c>
      <c r="AM133" s="67">
        <v>587</v>
      </c>
      <c r="AN133" s="67">
        <v>291</v>
      </c>
      <c r="AO133" s="67">
        <v>404</v>
      </c>
      <c r="AP133" s="67">
        <v>502</v>
      </c>
      <c r="AQ133" s="67">
        <v>548</v>
      </c>
      <c r="AR133" s="67">
        <v>2332</v>
      </c>
      <c r="AS133" s="67"/>
      <c r="AT133" s="67" t="s">
        <v>2437</v>
      </c>
      <c r="AU133" s="67">
        <v>112</v>
      </c>
      <c r="AV133" s="67">
        <v>1</v>
      </c>
      <c r="AW133" s="67">
        <v>0</v>
      </c>
      <c r="AX133" s="67">
        <v>0</v>
      </c>
      <c r="AY133" s="67">
        <v>0</v>
      </c>
      <c r="AZ133" s="67">
        <v>113</v>
      </c>
      <c r="BB133" s="70" t="s">
        <v>1314</v>
      </c>
      <c r="BC133" s="70" t="s">
        <v>2437</v>
      </c>
      <c r="BD133" s="70">
        <v>469</v>
      </c>
      <c r="BE133" s="70">
        <v>277</v>
      </c>
      <c r="BF133" s="70">
        <v>456</v>
      </c>
      <c r="BG133" s="70">
        <v>531</v>
      </c>
      <c r="BH133" s="70">
        <v>481</v>
      </c>
      <c r="BI133" s="70">
        <v>2214</v>
      </c>
      <c r="BJ133" s="70"/>
      <c r="BK133" s="70" t="s">
        <v>2437</v>
      </c>
      <c r="BL133" s="70">
        <v>21</v>
      </c>
      <c r="BM133" s="70">
        <v>0</v>
      </c>
      <c r="BN133" s="70">
        <v>0</v>
      </c>
      <c r="BO133" s="70">
        <v>0</v>
      </c>
      <c r="BP133" s="70">
        <v>0</v>
      </c>
      <c r="BQ133" s="70">
        <v>21</v>
      </c>
      <c r="DV133" s="80" t="s">
        <v>1861</v>
      </c>
      <c r="DW133" s="80" t="s">
        <v>2513</v>
      </c>
      <c r="DX133" s="80">
        <v>916</v>
      </c>
      <c r="DY133" s="80">
        <v>449</v>
      </c>
      <c r="DZ133" s="80">
        <v>460</v>
      </c>
      <c r="EA133" s="80">
        <v>458</v>
      </c>
      <c r="EB133" s="80">
        <v>377</v>
      </c>
      <c r="EC133" s="80">
        <v>2660</v>
      </c>
      <c r="ED133" s="80"/>
      <c r="EE133" s="80" t="s">
        <v>2513</v>
      </c>
      <c r="EF133" s="80">
        <v>19</v>
      </c>
      <c r="EG133" s="80">
        <v>0</v>
      </c>
      <c r="EH133" s="80">
        <v>0</v>
      </c>
      <c r="EI133" s="80">
        <v>0</v>
      </c>
      <c r="EJ133" s="80">
        <v>0</v>
      </c>
      <c r="EK133" s="80">
        <v>19</v>
      </c>
      <c r="EN133" s="57" t="s">
        <v>2003</v>
      </c>
      <c r="EO133" s="57" t="s">
        <v>2441</v>
      </c>
      <c r="EP133" s="57">
        <v>76</v>
      </c>
      <c r="EQ133" s="57">
        <v>112</v>
      </c>
      <c r="ER133" s="57">
        <v>132</v>
      </c>
      <c r="ES133" s="57">
        <v>163</v>
      </c>
      <c r="ET133" s="57">
        <v>225</v>
      </c>
      <c r="EU133" s="57">
        <v>708</v>
      </c>
      <c r="EV133" s="57"/>
      <c r="EW133" s="57" t="s">
        <v>2441</v>
      </c>
      <c r="EX133" s="57">
        <v>21</v>
      </c>
      <c r="EY133" s="57">
        <v>7</v>
      </c>
      <c r="EZ133" s="57">
        <v>6</v>
      </c>
      <c r="FA133" s="57">
        <v>1</v>
      </c>
      <c r="FB133" s="57">
        <v>3</v>
      </c>
      <c r="FC133" s="57">
        <v>38</v>
      </c>
      <c r="FF133" s="71" t="s">
        <v>2125</v>
      </c>
      <c r="FG133" s="71" t="s">
        <v>2437</v>
      </c>
      <c r="FH133" s="71">
        <v>96</v>
      </c>
      <c r="FI133" s="71">
        <v>132</v>
      </c>
      <c r="FJ133" s="71">
        <v>177</v>
      </c>
      <c r="FK133" s="71">
        <v>224</v>
      </c>
      <c r="FL133" s="71">
        <v>284</v>
      </c>
      <c r="FM133" s="71">
        <v>913</v>
      </c>
      <c r="FN133" s="71"/>
      <c r="FO133" s="71" t="s">
        <v>2437</v>
      </c>
      <c r="FP133" s="71">
        <v>12</v>
      </c>
      <c r="FQ133" s="71">
        <v>4</v>
      </c>
      <c r="FR133" s="71">
        <v>0</v>
      </c>
      <c r="FS133" s="71">
        <v>3</v>
      </c>
      <c r="FT133" s="71">
        <v>2</v>
      </c>
      <c r="FU133" s="71">
        <v>21</v>
      </c>
    </row>
    <row r="134" spans="1:177">
      <c r="B134" s="65" t="s">
        <v>959</v>
      </c>
      <c r="C134" s="65" t="s">
        <v>2437</v>
      </c>
      <c r="D134" s="65">
        <v>314</v>
      </c>
      <c r="E134" s="65">
        <v>456</v>
      </c>
      <c r="F134" s="65">
        <v>892</v>
      </c>
      <c r="G134" s="65">
        <v>1169</v>
      </c>
      <c r="H134" s="65">
        <v>867</v>
      </c>
      <c r="I134" s="65">
        <v>3698</v>
      </c>
      <c r="K134" s="65" t="s">
        <v>2437</v>
      </c>
      <c r="L134" s="65">
        <v>20</v>
      </c>
      <c r="M134" s="65">
        <v>2</v>
      </c>
      <c r="N134" s="65">
        <v>2</v>
      </c>
      <c r="O134" s="65">
        <v>0</v>
      </c>
      <c r="P134" s="65">
        <v>1</v>
      </c>
      <c r="Q134" s="65">
        <v>25</v>
      </c>
      <c r="T134" s="66" t="s">
        <v>1158</v>
      </c>
      <c r="U134" s="66" t="s">
        <v>27</v>
      </c>
      <c r="V134" s="66">
        <v>138</v>
      </c>
      <c r="W134" s="66">
        <v>171</v>
      </c>
      <c r="X134" s="66">
        <v>278</v>
      </c>
      <c r="Y134" s="66">
        <v>319</v>
      </c>
      <c r="Z134" s="66">
        <v>265</v>
      </c>
      <c r="AA134" s="66">
        <v>1171</v>
      </c>
      <c r="AB134" s="66"/>
      <c r="AC134" s="66" t="s">
        <v>27</v>
      </c>
      <c r="AD134" s="66">
        <v>25</v>
      </c>
      <c r="AE134" s="66">
        <v>9</v>
      </c>
      <c r="AF134" s="66">
        <v>3</v>
      </c>
      <c r="AG134" s="66">
        <v>0</v>
      </c>
      <c r="AH134" s="66">
        <v>0</v>
      </c>
      <c r="AI134" s="66">
        <v>37</v>
      </c>
      <c r="AK134" s="67" t="s">
        <v>1279</v>
      </c>
      <c r="AL134" s="67" t="s">
        <v>2437</v>
      </c>
      <c r="AM134" s="67">
        <v>518</v>
      </c>
      <c r="AN134" s="67">
        <v>296</v>
      </c>
      <c r="AO134" s="67">
        <v>429</v>
      </c>
      <c r="AP134" s="67">
        <v>608</v>
      </c>
      <c r="AQ134" s="67">
        <v>573</v>
      </c>
      <c r="AR134" s="67">
        <v>2424</v>
      </c>
      <c r="AS134" s="67"/>
      <c r="AT134" s="67" t="s">
        <v>2437</v>
      </c>
      <c r="AU134" s="67">
        <v>139</v>
      </c>
      <c r="AV134" s="67">
        <v>3</v>
      </c>
      <c r="AW134" s="67">
        <v>0</v>
      </c>
      <c r="AX134" s="67">
        <v>0</v>
      </c>
      <c r="AY134" s="67">
        <v>0</v>
      </c>
      <c r="AZ134" s="67">
        <v>142</v>
      </c>
      <c r="BB134" s="70" t="s">
        <v>1320</v>
      </c>
      <c r="BC134" s="70" t="s">
        <v>2437</v>
      </c>
      <c r="BD134" s="70">
        <v>187</v>
      </c>
      <c r="BE134" s="70">
        <v>124</v>
      </c>
      <c r="BF134" s="70">
        <v>144</v>
      </c>
      <c r="BG134" s="70">
        <v>197</v>
      </c>
      <c r="BH134" s="70">
        <v>219</v>
      </c>
      <c r="BI134" s="70">
        <v>871</v>
      </c>
      <c r="BJ134" s="70"/>
      <c r="BK134" s="70" t="s">
        <v>2437</v>
      </c>
      <c r="BL134" s="70">
        <v>25</v>
      </c>
      <c r="BM134" s="70">
        <v>0</v>
      </c>
      <c r="BN134" s="70">
        <v>0</v>
      </c>
      <c r="BO134" s="70">
        <v>0</v>
      </c>
      <c r="BP134" s="70">
        <v>0</v>
      </c>
      <c r="BQ134" s="70">
        <v>25</v>
      </c>
      <c r="BS134" s="71" t="s">
        <v>515</v>
      </c>
      <c r="BT134" s="71" t="s">
        <v>2513</v>
      </c>
      <c r="BU134" s="71">
        <v>73</v>
      </c>
      <c r="BV134" s="71">
        <v>50</v>
      </c>
      <c r="BW134" s="71">
        <v>64</v>
      </c>
      <c r="BX134" s="71">
        <v>85</v>
      </c>
      <c r="BY134" s="71">
        <v>79</v>
      </c>
      <c r="BZ134" s="71">
        <v>351</v>
      </c>
      <c r="CA134" s="71"/>
      <c r="CB134" s="71" t="s">
        <v>2513</v>
      </c>
      <c r="CC134" s="71">
        <v>20</v>
      </c>
      <c r="CD134" s="71">
        <v>0</v>
      </c>
      <c r="CE134" s="71">
        <v>0</v>
      </c>
      <c r="CF134" s="71">
        <v>0</v>
      </c>
      <c r="CG134" s="71">
        <v>0</v>
      </c>
      <c r="CH134" s="71">
        <v>20</v>
      </c>
      <c r="CL134" s="57" t="s">
        <v>530</v>
      </c>
      <c r="CM134" s="57" t="s">
        <v>2441</v>
      </c>
      <c r="CN134" s="57">
        <v>133</v>
      </c>
      <c r="CO134" s="57">
        <v>79</v>
      </c>
      <c r="CP134" s="57">
        <v>125</v>
      </c>
      <c r="CQ134" s="57">
        <v>189</v>
      </c>
      <c r="CR134" s="57">
        <v>189</v>
      </c>
      <c r="CS134" s="57">
        <v>715</v>
      </c>
      <c r="CT134" s="57"/>
      <c r="CU134" s="57" t="s">
        <v>2441</v>
      </c>
      <c r="CV134" s="57">
        <v>38</v>
      </c>
      <c r="CW134" s="57">
        <v>0</v>
      </c>
      <c r="CX134" s="57">
        <v>0</v>
      </c>
      <c r="CY134" s="57">
        <v>0</v>
      </c>
      <c r="CZ134" s="57">
        <v>0</v>
      </c>
      <c r="DA134" s="57">
        <v>38</v>
      </c>
      <c r="DV134" s="80" t="s">
        <v>1865</v>
      </c>
      <c r="DW134" s="80" t="s">
        <v>2513</v>
      </c>
      <c r="DX134" s="80">
        <v>187</v>
      </c>
      <c r="DY134" s="80">
        <v>194</v>
      </c>
      <c r="DZ134" s="80">
        <v>236</v>
      </c>
      <c r="EA134" s="80">
        <v>266</v>
      </c>
      <c r="EB134" s="80">
        <v>255</v>
      </c>
      <c r="EC134" s="80">
        <v>1138</v>
      </c>
      <c r="ED134" s="80"/>
      <c r="EE134" s="80" t="s">
        <v>2513</v>
      </c>
      <c r="EF134" s="80">
        <v>7</v>
      </c>
      <c r="EG134" s="80">
        <v>1</v>
      </c>
      <c r="EH134" s="80">
        <v>0</v>
      </c>
      <c r="EI134" s="80">
        <v>0</v>
      </c>
      <c r="EJ134" s="80">
        <v>0</v>
      </c>
      <c r="EK134" s="80">
        <v>8</v>
      </c>
      <c r="EN134" s="57" t="s">
        <v>2006</v>
      </c>
      <c r="EO134" s="57" t="s">
        <v>2441</v>
      </c>
      <c r="EP134" s="57">
        <v>46</v>
      </c>
      <c r="EQ134" s="57">
        <v>103</v>
      </c>
      <c r="ER134" s="57">
        <v>135</v>
      </c>
      <c r="ES134" s="57">
        <v>176</v>
      </c>
      <c r="ET134" s="57">
        <v>221</v>
      </c>
      <c r="EU134" s="57">
        <v>681</v>
      </c>
      <c r="EV134" s="57"/>
      <c r="EW134" s="57" t="s">
        <v>2441</v>
      </c>
      <c r="EX134" s="57">
        <v>13</v>
      </c>
      <c r="EY134" s="57">
        <v>4</v>
      </c>
      <c r="EZ134" s="57">
        <v>1</v>
      </c>
      <c r="FA134" s="57">
        <v>3</v>
      </c>
      <c r="FB134" s="57">
        <v>0</v>
      </c>
      <c r="FC134" s="57">
        <v>21</v>
      </c>
      <c r="FF134" s="71" t="s">
        <v>2416</v>
      </c>
      <c r="FG134" s="71" t="s">
        <v>2437</v>
      </c>
      <c r="FH134" s="71">
        <v>172</v>
      </c>
      <c r="FI134" s="71">
        <v>285</v>
      </c>
      <c r="FJ134" s="71">
        <v>396</v>
      </c>
      <c r="FK134" s="71">
        <v>461</v>
      </c>
      <c r="FL134" s="71">
        <v>594</v>
      </c>
      <c r="FM134" s="71">
        <v>1908</v>
      </c>
      <c r="FN134" s="71"/>
      <c r="FO134" s="71" t="s">
        <v>2437</v>
      </c>
      <c r="FP134" s="71">
        <v>9</v>
      </c>
      <c r="FQ134" s="71">
        <v>4</v>
      </c>
      <c r="FR134" s="71">
        <v>1</v>
      </c>
      <c r="FS134" s="71">
        <v>1</v>
      </c>
      <c r="FT134" s="71">
        <v>2</v>
      </c>
      <c r="FU134" s="71">
        <v>17</v>
      </c>
    </row>
    <row r="135" spans="1:177">
      <c r="B135" s="65" t="s">
        <v>962</v>
      </c>
      <c r="C135" s="65" t="s">
        <v>2437</v>
      </c>
      <c r="D135" s="65">
        <v>359</v>
      </c>
      <c r="E135" s="65">
        <v>526</v>
      </c>
      <c r="F135" s="65">
        <v>1011</v>
      </c>
      <c r="G135" s="65">
        <v>1336</v>
      </c>
      <c r="H135" s="65">
        <v>1102</v>
      </c>
      <c r="I135" s="65">
        <v>4334</v>
      </c>
      <c r="K135" s="65" t="s">
        <v>2437</v>
      </c>
      <c r="L135" s="65">
        <v>18</v>
      </c>
      <c r="M135" s="65">
        <v>0</v>
      </c>
      <c r="N135" s="65">
        <v>0</v>
      </c>
      <c r="O135" s="65">
        <v>0</v>
      </c>
      <c r="P135" s="65">
        <v>0</v>
      </c>
      <c r="Q135" s="65">
        <v>18</v>
      </c>
      <c r="T135" s="66" t="s">
        <v>1163</v>
      </c>
      <c r="U135" s="66" t="s">
        <v>27</v>
      </c>
      <c r="V135" s="66">
        <v>149</v>
      </c>
      <c r="W135" s="66">
        <v>170</v>
      </c>
      <c r="X135" s="66">
        <v>232</v>
      </c>
      <c r="Y135" s="66">
        <v>397</v>
      </c>
      <c r="Z135" s="66">
        <v>351</v>
      </c>
      <c r="AA135" s="66">
        <v>1299</v>
      </c>
      <c r="AB135" s="66"/>
      <c r="AC135" s="66" t="s">
        <v>27</v>
      </c>
      <c r="AD135" s="66">
        <v>17</v>
      </c>
      <c r="AE135" s="66">
        <v>0</v>
      </c>
      <c r="AF135" s="66">
        <v>0</v>
      </c>
      <c r="AG135" s="66">
        <v>0</v>
      </c>
      <c r="AH135" s="66">
        <v>0</v>
      </c>
      <c r="AI135" s="66">
        <v>17</v>
      </c>
      <c r="AK135" s="67" t="s">
        <v>1282</v>
      </c>
      <c r="AL135" s="67" t="s">
        <v>2437</v>
      </c>
      <c r="AM135" s="67">
        <v>1154</v>
      </c>
      <c r="AN135" s="67">
        <v>862</v>
      </c>
      <c r="AO135" s="67">
        <v>996</v>
      </c>
      <c r="AP135" s="67">
        <v>1063</v>
      </c>
      <c r="AQ135" s="67">
        <v>789</v>
      </c>
      <c r="AR135" s="67">
        <v>4864</v>
      </c>
      <c r="AS135" s="67"/>
      <c r="AT135" s="67" t="s">
        <v>2437</v>
      </c>
      <c r="AU135" s="67">
        <v>163</v>
      </c>
      <c r="AV135" s="67">
        <v>1</v>
      </c>
      <c r="AW135" s="67">
        <v>1</v>
      </c>
      <c r="AX135" s="67">
        <v>0</v>
      </c>
      <c r="AY135" s="67">
        <v>0</v>
      </c>
      <c r="AZ135" s="67">
        <v>165</v>
      </c>
      <c r="BB135" s="70" t="s">
        <v>1323</v>
      </c>
      <c r="BC135" s="70" t="s">
        <v>2437</v>
      </c>
      <c r="BD135" s="70">
        <v>283</v>
      </c>
      <c r="BE135" s="70">
        <v>280</v>
      </c>
      <c r="BF135" s="70">
        <v>482</v>
      </c>
      <c r="BG135" s="70">
        <v>595</v>
      </c>
      <c r="BH135" s="70">
        <v>580</v>
      </c>
      <c r="BI135" s="70">
        <v>2220</v>
      </c>
      <c r="BJ135" s="70"/>
      <c r="BK135" s="70" t="s">
        <v>2437</v>
      </c>
      <c r="BL135" s="70">
        <v>22</v>
      </c>
      <c r="BM135" s="70">
        <v>0</v>
      </c>
      <c r="BN135" s="70">
        <v>0</v>
      </c>
      <c r="BO135" s="70">
        <v>0</v>
      </c>
      <c r="BP135" s="70">
        <v>0</v>
      </c>
      <c r="BQ135" s="70">
        <v>22</v>
      </c>
      <c r="BS135" s="71" t="s">
        <v>516</v>
      </c>
      <c r="BT135" s="71" t="s">
        <v>2513</v>
      </c>
      <c r="BU135" s="71">
        <v>634</v>
      </c>
      <c r="BV135" s="71">
        <v>534</v>
      </c>
      <c r="BW135" s="71">
        <v>518</v>
      </c>
      <c r="BX135" s="71">
        <v>463</v>
      </c>
      <c r="BY135" s="71">
        <v>327</v>
      </c>
      <c r="BZ135" s="71">
        <v>2476</v>
      </c>
      <c r="CA135" s="71"/>
      <c r="CB135" s="71" t="s">
        <v>2513</v>
      </c>
      <c r="CC135" s="71">
        <v>172</v>
      </c>
      <c r="CD135" s="71">
        <v>6</v>
      </c>
      <c r="CE135" s="71">
        <v>0</v>
      </c>
      <c r="CF135" s="71">
        <v>0</v>
      </c>
      <c r="CG135" s="71">
        <v>0</v>
      </c>
      <c r="CH135" s="71">
        <v>178</v>
      </c>
      <c r="CL135" s="57" t="s">
        <v>532</v>
      </c>
      <c r="CM135" s="57" t="s">
        <v>2441</v>
      </c>
      <c r="CN135" s="57">
        <v>148</v>
      </c>
      <c r="CO135" s="57">
        <v>61</v>
      </c>
      <c r="CP135" s="57">
        <v>150</v>
      </c>
      <c r="CQ135" s="57">
        <v>213</v>
      </c>
      <c r="CR135" s="57">
        <v>212</v>
      </c>
      <c r="CS135" s="57">
        <v>784</v>
      </c>
      <c r="CT135" s="57"/>
      <c r="CU135" s="57" t="s">
        <v>2441</v>
      </c>
      <c r="CV135" s="57">
        <v>69</v>
      </c>
      <c r="CW135" s="57">
        <v>0</v>
      </c>
      <c r="CX135" s="57">
        <v>0</v>
      </c>
      <c r="CY135" s="57">
        <v>0</v>
      </c>
      <c r="CZ135" s="57">
        <v>0</v>
      </c>
      <c r="DA135" s="57">
        <v>69</v>
      </c>
      <c r="DV135" s="80" t="s">
        <v>1869</v>
      </c>
      <c r="DW135" s="80" t="s">
        <v>2513</v>
      </c>
      <c r="DX135" s="80">
        <v>275</v>
      </c>
      <c r="DY135" s="80">
        <v>322</v>
      </c>
      <c r="DZ135" s="80">
        <v>458</v>
      </c>
      <c r="EA135" s="80">
        <v>432</v>
      </c>
      <c r="EB135" s="80">
        <v>463</v>
      </c>
      <c r="EC135" s="80">
        <v>1950</v>
      </c>
      <c r="ED135" s="80"/>
      <c r="EE135" s="80" t="s">
        <v>2513</v>
      </c>
      <c r="EF135" s="80">
        <v>17</v>
      </c>
      <c r="EG135" s="80">
        <v>0</v>
      </c>
      <c r="EH135" s="80">
        <v>0</v>
      </c>
      <c r="EI135" s="80">
        <v>0</v>
      </c>
      <c r="EJ135" s="80">
        <v>0</v>
      </c>
      <c r="EK135" s="80">
        <v>17</v>
      </c>
      <c r="EN135" s="57" t="s">
        <v>2010</v>
      </c>
      <c r="EO135" s="57" t="s">
        <v>2441</v>
      </c>
      <c r="EP135" s="57">
        <v>95</v>
      </c>
      <c r="EQ135" s="57">
        <v>111</v>
      </c>
      <c r="ER135" s="57">
        <v>167</v>
      </c>
      <c r="ES135" s="57">
        <v>196</v>
      </c>
      <c r="ET135" s="57">
        <v>257</v>
      </c>
      <c r="EU135" s="57">
        <v>826</v>
      </c>
      <c r="EV135" s="57"/>
      <c r="EW135" s="57" t="s">
        <v>2441</v>
      </c>
      <c r="EX135" s="57">
        <v>20</v>
      </c>
      <c r="EY135" s="57">
        <v>5</v>
      </c>
      <c r="EZ135" s="57">
        <v>0</v>
      </c>
      <c r="FA135" s="57">
        <v>0</v>
      </c>
      <c r="FB135" s="57">
        <v>0</v>
      </c>
      <c r="FC135" s="57">
        <v>25</v>
      </c>
      <c r="FF135" s="71" t="s">
        <v>2417</v>
      </c>
      <c r="FG135" s="71" t="s">
        <v>2437</v>
      </c>
      <c r="FH135" s="71">
        <v>175</v>
      </c>
      <c r="FI135" s="71">
        <v>227</v>
      </c>
      <c r="FJ135" s="71">
        <v>313</v>
      </c>
      <c r="FK135" s="71">
        <v>365</v>
      </c>
      <c r="FL135" s="71">
        <v>501</v>
      </c>
      <c r="FM135" s="71">
        <v>1581</v>
      </c>
      <c r="FN135" s="71"/>
      <c r="FO135" s="71" t="s">
        <v>2437</v>
      </c>
      <c r="FP135" s="71">
        <v>7</v>
      </c>
      <c r="FQ135" s="71">
        <v>1</v>
      </c>
      <c r="FR135" s="71">
        <v>0</v>
      </c>
      <c r="FS135" s="71">
        <v>1</v>
      </c>
      <c r="FT135" s="71">
        <v>0</v>
      </c>
      <c r="FU135" s="71">
        <v>9</v>
      </c>
    </row>
    <row r="136" spans="1:177">
      <c r="B136" s="65" t="s">
        <v>2444</v>
      </c>
      <c r="C136" s="65" t="s">
        <v>2437</v>
      </c>
      <c r="D136" s="65">
        <v>606</v>
      </c>
      <c r="E136" s="65">
        <v>608</v>
      </c>
      <c r="F136" s="65">
        <v>926</v>
      </c>
      <c r="G136" s="65">
        <v>1161</v>
      </c>
      <c r="H136" s="65">
        <v>896</v>
      </c>
      <c r="I136" s="65">
        <v>4197</v>
      </c>
      <c r="K136" s="65" t="s">
        <v>2437</v>
      </c>
      <c r="L136" s="65">
        <v>45</v>
      </c>
      <c r="M136" s="65">
        <v>0</v>
      </c>
      <c r="N136" s="65">
        <v>0</v>
      </c>
      <c r="O136" s="65">
        <v>0</v>
      </c>
      <c r="P136" s="65">
        <v>0</v>
      </c>
      <c r="Q136" s="65">
        <v>45</v>
      </c>
      <c r="T136" s="66" t="s">
        <v>1166</v>
      </c>
      <c r="U136" s="66" t="s">
        <v>27</v>
      </c>
      <c r="V136" s="66">
        <v>72</v>
      </c>
      <c r="W136" s="66">
        <v>139</v>
      </c>
      <c r="X136" s="66">
        <v>236</v>
      </c>
      <c r="Y136" s="66">
        <v>369</v>
      </c>
      <c r="Z136" s="66">
        <v>360</v>
      </c>
      <c r="AA136" s="66">
        <v>1176</v>
      </c>
      <c r="AB136" s="66"/>
      <c r="AC136" s="66" t="s">
        <v>27</v>
      </c>
      <c r="AD136" s="66">
        <v>21</v>
      </c>
      <c r="AE136" s="66">
        <v>8</v>
      </c>
      <c r="AF136" s="66">
        <v>0</v>
      </c>
      <c r="AG136" s="66">
        <v>0</v>
      </c>
      <c r="AH136" s="66">
        <v>0</v>
      </c>
      <c r="AI136" s="66">
        <v>29</v>
      </c>
      <c r="AK136" s="67"/>
      <c r="AL136" s="67"/>
      <c r="AM136" s="67"/>
      <c r="AN136" s="67"/>
      <c r="AO136" s="67"/>
      <c r="AP136" s="67"/>
      <c r="AQ136" s="67"/>
      <c r="AR136" s="67"/>
      <c r="AS136" s="67"/>
      <c r="AT136" s="67"/>
      <c r="AU136" s="67"/>
      <c r="AV136" s="67"/>
      <c r="AW136" s="67"/>
      <c r="AX136" s="67"/>
      <c r="AY136" s="67"/>
      <c r="AZ136" s="67"/>
      <c r="BB136" s="70"/>
      <c r="BC136" s="70"/>
      <c r="BD136" s="70"/>
      <c r="BE136" s="70"/>
      <c r="BF136" s="70"/>
      <c r="BG136" s="70"/>
      <c r="BH136" s="70"/>
      <c r="BI136" s="70"/>
      <c r="BJ136" s="70"/>
      <c r="BK136" s="70"/>
      <c r="BL136" s="70"/>
      <c r="BM136" s="70"/>
      <c r="BN136" s="70"/>
      <c r="BO136" s="70"/>
      <c r="BP136" s="70"/>
      <c r="BQ136" s="70"/>
      <c r="BS136" s="71" t="s">
        <v>517</v>
      </c>
      <c r="BT136" s="71" t="s">
        <v>2513</v>
      </c>
      <c r="BU136" s="71">
        <v>858</v>
      </c>
      <c r="BV136" s="71">
        <v>642</v>
      </c>
      <c r="BW136" s="71">
        <v>595</v>
      </c>
      <c r="BX136" s="71">
        <v>513</v>
      </c>
      <c r="BY136" s="71">
        <v>335</v>
      </c>
      <c r="BZ136" s="71">
        <v>2943</v>
      </c>
      <c r="CA136" s="71"/>
      <c r="CB136" s="71" t="s">
        <v>2513</v>
      </c>
      <c r="CC136" s="71">
        <v>255</v>
      </c>
      <c r="CD136" s="71">
        <v>9</v>
      </c>
      <c r="CE136" s="71">
        <v>0</v>
      </c>
      <c r="CF136" s="71">
        <v>0</v>
      </c>
      <c r="CG136" s="71">
        <v>0</v>
      </c>
      <c r="CH136" s="71">
        <v>264</v>
      </c>
      <c r="CL136" s="57" t="s">
        <v>535</v>
      </c>
      <c r="CM136" s="57" t="s">
        <v>2441</v>
      </c>
      <c r="CN136" s="57">
        <v>31</v>
      </c>
      <c r="CO136" s="57">
        <v>39</v>
      </c>
      <c r="CP136" s="57">
        <v>68</v>
      </c>
      <c r="CQ136" s="57">
        <v>128</v>
      </c>
      <c r="CR136" s="57">
        <v>148</v>
      </c>
      <c r="CS136" s="57">
        <v>414</v>
      </c>
      <c r="CT136" s="57"/>
      <c r="CU136" s="57" t="s">
        <v>2441</v>
      </c>
      <c r="CV136" s="57">
        <v>7</v>
      </c>
      <c r="CW136" s="57">
        <v>0</v>
      </c>
      <c r="CX136" s="57">
        <v>0</v>
      </c>
      <c r="CY136" s="57">
        <v>0</v>
      </c>
      <c r="CZ136" s="57">
        <v>0</v>
      </c>
      <c r="DA136" s="57">
        <v>7</v>
      </c>
      <c r="DV136" s="80" t="s">
        <v>1873</v>
      </c>
      <c r="DW136" s="80" t="s">
        <v>2513</v>
      </c>
      <c r="DX136" s="80" t="s">
        <v>356</v>
      </c>
      <c r="DY136" s="80" t="s">
        <v>356</v>
      </c>
      <c r="DZ136" s="80" t="s">
        <v>356</v>
      </c>
      <c r="EA136" s="80" t="s">
        <v>356</v>
      </c>
      <c r="EB136" s="80" t="s">
        <v>356</v>
      </c>
      <c r="EC136" s="80" t="s">
        <v>356</v>
      </c>
      <c r="ED136" s="80"/>
      <c r="EE136" s="80" t="s">
        <v>2513</v>
      </c>
      <c r="EF136" s="80" t="s">
        <v>356</v>
      </c>
      <c r="EG136" s="80" t="s">
        <v>356</v>
      </c>
      <c r="EH136" s="80" t="s">
        <v>356</v>
      </c>
      <c r="EI136" s="80" t="s">
        <v>356</v>
      </c>
      <c r="EJ136" s="80" t="s">
        <v>356</v>
      </c>
      <c r="EK136" s="80" t="s">
        <v>356</v>
      </c>
      <c r="EN136" s="57" t="s">
        <v>2400</v>
      </c>
      <c r="EO136" s="57" t="s">
        <v>2441</v>
      </c>
      <c r="EP136" s="57">
        <v>48</v>
      </c>
      <c r="EQ136" s="57">
        <v>106</v>
      </c>
      <c r="ER136" s="57">
        <v>116</v>
      </c>
      <c r="ES136" s="57">
        <v>161</v>
      </c>
      <c r="ET136" s="57">
        <v>204</v>
      </c>
      <c r="EU136" s="57">
        <v>635</v>
      </c>
      <c r="EV136" s="57"/>
      <c r="EW136" s="57" t="s">
        <v>2441</v>
      </c>
      <c r="EX136" s="57">
        <v>9</v>
      </c>
      <c r="EY136" s="57">
        <v>3</v>
      </c>
      <c r="EZ136" s="57">
        <v>2</v>
      </c>
      <c r="FA136" s="57">
        <v>0</v>
      </c>
      <c r="FB136" s="57">
        <v>0</v>
      </c>
      <c r="FC136" s="57">
        <v>14</v>
      </c>
      <c r="FF136" s="71"/>
      <c r="FG136" s="71"/>
      <c r="FH136" s="71"/>
      <c r="FI136" s="71"/>
      <c r="FJ136" s="71"/>
      <c r="FK136" s="71"/>
      <c r="FL136" s="71"/>
      <c r="FM136" s="71"/>
      <c r="FN136" s="71"/>
      <c r="FO136" s="71"/>
      <c r="FP136" s="71"/>
      <c r="FQ136" s="71"/>
      <c r="FR136" s="71"/>
      <c r="FS136" s="71"/>
      <c r="FT136" s="71"/>
      <c r="FU136" s="71"/>
    </row>
    <row r="137" spans="1:177">
      <c r="B137" s="65" t="s">
        <v>974</v>
      </c>
      <c r="C137" s="65" t="s">
        <v>2437</v>
      </c>
      <c r="D137" s="65" t="s">
        <v>356</v>
      </c>
      <c r="E137" s="65" t="s">
        <v>356</v>
      </c>
      <c r="F137" s="65" t="s">
        <v>356</v>
      </c>
      <c r="G137" s="65" t="s">
        <v>356</v>
      </c>
      <c r="H137" s="65" t="s">
        <v>356</v>
      </c>
      <c r="I137" s="65" t="s">
        <v>356</v>
      </c>
      <c r="K137" s="65" t="s">
        <v>2437</v>
      </c>
      <c r="L137" s="65" t="s">
        <v>356</v>
      </c>
      <c r="M137" s="65" t="s">
        <v>356</v>
      </c>
      <c r="N137" s="65" t="s">
        <v>356</v>
      </c>
      <c r="O137" s="65" t="s">
        <v>356</v>
      </c>
      <c r="P137" s="65" t="s">
        <v>356</v>
      </c>
      <c r="Q137" s="65" t="s">
        <v>356</v>
      </c>
      <c r="T137" s="66" t="s">
        <v>1170</v>
      </c>
      <c r="U137" s="66" t="s">
        <v>27</v>
      </c>
      <c r="V137" s="66">
        <v>24</v>
      </c>
      <c r="W137" s="66">
        <v>41</v>
      </c>
      <c r="X137" s="66">
        <v>81</v>
      </c>
      <c r="Y137" s="66">
        <v>156</v>
      </c>
      <c r="Z137" s="66">
        <v>150</v>
      </c>
      <c r="AA137" s="66">
        <v>452</v>
      </c>
      <c r="AB137" s="66"/>
      <c r="AC137" s="66" t="s">
        <v>27</v>
      </c>
      <c r="AD137" s="66">
        <v>3</v>
      </c>
      <c r="AE137" s="66">
        <v>0</v>
      </c>
      <c r="AF137" s="66">
        <v>0</v>
      </c>
      <c r="AG137" s="66">
        <v>1</v>
      </c>
      <c r="AH137" s="66">
        <v>0</v>
      </c>
      <c r="AI137" s="66">
        <v>4</v>
      </c>
      <c r="AK137" s="67" t="s">
        <v>2244</v>
      </c>
      <c r="AL137" s="67" t="s">
        <v>2437</v>
      </c>
      <c r="AM137" s="67">
        <v>264</v>
      </c>
      <c r="AN137" s="67">
        <v>231</v>
      </c>
      <c r="AO137" s="67">
        <v>378</v>
      </c>
      <c r="AP137" s="67">
        <v>466</v>
      </c>
      <c r="AQ137" s="67">
        <v>471</v>
      </c>
      <c r="AR137" s="67">
        <v>1810</v>
      </c>
      <c r="AS137" s="67"/>
      <c r="AT137" s="67" t="s">
        <v>2437</v>
      </c>
      <c r="AU137" s="67">
        <v>46</v>
      </c>
      <c r="AV137" s="67">
        <v>5</v>
      </c>
      <c r="AW137" s="67">
        <v>0</v>
      </c>
      <c r="AX137" s="67">
        <v>0</v>
      </c>
      <c r="AY137" s="67">
        <v>0</v>
      </c>
      <c r="AZ137" s="67">
        <v>51</v>
      </c>
      <c r="BB137" s="70" t="s">
        <v>1326</v>
      </c>
      <c r="BC137" s="70" t="s">
        <v>2437</v>
      </c>
      <c r="BD137" s="70">
        <v>135</v>
      </c>
      <c r="BE137" s="70">
        <v>119</v>
      </c>
      <c r="BF137" s="70">
        <v>155</v>
      </c>
      <c r="BG137" s="70">
        <v>206</v>
      </c>
      <c r="BH137" s="70">
        <v>250</v>
      </c>
      <c r="BI137" s="70">
        <v>865</v>
      </c>
      <c r="BJ137" s="70"/>
      <c r="BK137" s="70" t="s">
        <v>2437</v>
      </c>
      <c r="BL137" s="70">
        <v>19</v>
      </c>
      <c r="BM137" s="70">
        <v>0</v>
      </c>
      <c r="BN137" s="70">
        <v>0</v>
      </c>
      <c r="BO137" s="70">
        <v>0</v>
      </c>
      <c r="BP137" s="70">
        <v>0</v>
      </c>
      <c r="BQ137" s="70">
        <v>19</v>
      </c>
      <c r="BS137" s="71" t="s">
        <v>519</v>
      </c>
      <c r="BT137" s="71" t="s">
        <v>2513</v>
      </c>
      <c r="BU137" s="71">
        <v>132</v>
      </c>
      <c r="BV137" s="71">
        <v>177</v>
      </c>
      <c r="BW137" s="71">
        <v>261</v>
      </c>
      <c r="BX137" s="71">
        <v>249</v>
      </c>
      <c r="BY137" s="71">
        <v>196</v>
      </c>
      <c r="BZ137" s="71">
        <v>1015</v>
      </c>
      <c r="CA137" s="71"/>
      <c r="CB137" s="71" t="s">
        <v>2513</v>
      </c>
      <c r="CC137" s="71">
        <v>33</v>
      </c>
      <c r="CD137" s="71">
        <v>0</v>
      </c>
      <c r="CE137" s="71">
        <v>0</v>
      </c>
      <c r="CF137" s="71">
        <v>0</v>
      </c>
      <c r="CG137" s="71">
        <v>0</v>
      </c>
      <c r="CH137" s="71">
        <v>33</v>
      </c>
      <c r="CL137" s="57" t="s">
        <v>538</v>
      </c>
      <c r="CM137" s="57" t="s">
        <v>2441</v>
      </c>
      <c r="CN137" s="57">
        <v>66</v>
      </c>
      <c r="CO137" s="57">
        <v>69</v>
      </c>
      <c r="CP137" s="57">
        <v>129</v>
      </c>
      <c r="CQ137" s="57">
        <v>188</v>
      </c>
      <c r="CR137" s="57">
        <v>191</v>
      </c>
      <c r="CS137" s="57">
        <v>643</v>
      </c>
      <c r="CT137" s="57"/>
      <c r="CU137" s="57" t="s">
        <v>2441</v>
      </c>
      <c r="CV137" s="57">
        <v>24</v>
      </c>
      <c r="CW137" s="57">
        <v>0</v>
      </c>
      <c r="CX137" s="57">
        <v>0</v>
      </c>
      <c r="CY137" s="57">
        <v>0</v>
      </c>
      <c r="CZ137" s="57">
        <v>0</v>
      </c>
      <c r="DA137" s="57">
        <v>24</v>
      </c>
      <c r="DV137" s="80" t="s">
        <v>1883</v>
      </c>
      <c r="DW137" s="80" t="s">
        <v>2513</v>
      </c>
      <c r="DX137" s="80">
        <v>1287</v>
      </c>
      <c r="DY137" s="80">
        <v>929</v>
      </c>
      <c r="DZ137" s="80">
        <v>1185</v>
      </c>
      <c r="EA137" s="80">
        <v>1123</v>
      </c>
      <c r="EB137" s="80">
        <v>898</v>
      </c>
      <c r="EC137" s="80">
        <v>5422</v>
      </c>
      <c r="ED137" s="80"/>
      <c r="EE137" s="80" t="s">
        <v>2513</v>
      </c>
      <c r="EF137" s="80">
        <v>35</v>
      </c>
      <c r="EG137" s="80">
        <v>1</v>
      </c>
      <c r="EH137" s="80">
        <v>0</v>
      </c>
      <c r="EI137" s="80">
        <v>0</v>
      </c>
      <c r="EJ137" s="80">
        <v>0</v>
      </c>
      <c r="EK137" s="80">
        <v>36</v>
      </c>
      <c r="EN137" s="57" t="s">
        <v>2013</v>
      </c>
      <c r="EO137" s="57" t="s">
        <v>2441</v>
      </c>
      <c r="EP137" s="57">
        <v>709</v>
      </c>
      <c r="EQ137" s="57">
        <v>653</v>
      </c>
      <c r="ER137" s="57">
        <v>531</v>
      </c>
      <c r="ES137" s="57">
        <v>551</v>
      </c>
      <c r="ET137" s="57">
        <v>636</v>
      </c>
      <c r="EU137" s="57">
        <v>3080</v>
      </c>
      <c r="EV137" s="57"/>
      <c r="EW137" s="57" t="s">
        <v>2441</v>
      </c>
      <c r="EX137" s="57">
        <v>80</v>
      </c>
      <c r="EY137" s="57">
        <v>9</v>
      </c>
      <c r="EZ137" s="57">
        <v>3</v>
      </c>
      <c r="FA137" s="57">
        <v>1</v>
      </c>
      <c r="FB137" s="57">
        <v>0</v>
      </c>
      <c r="FC137" s="57">
        <v>93</v>
      </c>
      <c r="FF137" s="71" t="s">
        <v>2129</v>
      </c>
      <c r="FG137" s="71" t="s">
        <v>2437</v>
      </c>
      <c r="FH137" s="71" t="s">
        <v>356</v>
      </c>
      <c r="FI137" s="71" t="s">
        <v>356</v>
      </c>
      <c r="FJ137" s="71" t="s">
        <v>356</v>
      </c>
      <c r="FK137" s="71" t="s">
        <v>356</v>
      </c>
      <c r="FL137" s="71" t="s">
        <v>356</v>
      </c>
      <c r="FM137" s="71" t="s">
        <v>356</v>
      </c>
      <c r="FN137" s="71"/>
      <c r="FO137" s="71" t="s">
        <v>2437</v>
      </c>
      <c r="FP137" s="71" t="s">
        <v>356</v>
      </c>
      <c r="FQ137" s="71" t="s">
        <v>356</v>
      </c>
      <c r="FR137" s="71" t="s">
        <v>356</v>
      </c>
      <c r="FS137" s="71" t="s">
        <v>356</v>
      </c>
      <c r="FT137" s="71" t="s">
        <v>356</v>
      </c>
      <c r="FU137" s="71" t="s">
        <v>356</v>
      </c>
    </row>
    <row r="138" spans="1:177">
      <c r="B138" s="65" t="s">
        <v>979</v>
      </c>
      <c r="C138" s="65" t="s">
        <v>2437</v>
      </c>
      <c r="D138" s="65" t="s">
        <v>356</v>
      </c>
      <c r="E138" s="65" t="s">
        <v>356</v>
      </c>
      <c r="F138" s="65" t="s">
        <v>356</v>
      </c>
      <c r="G138" s="65" t="s">
        <v>356</v>
      </c>
      <c r="H138" s="65" t="s">
        <v>356</v>
      </c>
      <c r="I138" s="65" t="s">
        <v>356</v>
      </c>
      <c r="K138" s="65" t="s">
        <v>2437</v>
      </c>
      <c r="L138" s="65" t="s">
        <v>356</v>
      </c>
      <c r="M138" s="65" t="s">
        <v>356</v>
      </c>
      <c r="N138" s="65" t="s">
        <v>356</v>
      </c>
      <c r="O138" s="65" t="s">
        <v>356</v>
      </c>
      <c r="P138" s="65" t="s">
        <v>356</v>
      </c>
      <c r="Q138" s="65" t="s">
        <v>356</v>
      </c>
      <c r="AK138" s="67" t="s">
        <v>2209</v>
      </c>
      <c r="AL138" s="67" t="s">
        <v>2437</v>
      </c>
      <c r="AM138" s="67">
        <v>546</v>
      </c>
      <c r="AN138" s="67">
        <v>493</v>
      </c>
      <c r="AO138" s="67">
        <v>822</v>
      </c>
      <c r="AP138" s="67">
        <v>1202</v>
      </c>
      <c r="AQ138" s="67">
        <v>1027</v>
      </c>
      <c r="AR138" s="67">
        <v>4090</v>
      </c>
      <c r="AS138" s="67"/>
      <c r="AT138" s="67" t="s">
        <v>2437</v>
      </c>
      <c r="AU138" s="67">
        <v>35</v>
      </c>
      <c r="AV138" s="67">
        <v>0</v>
      </c>
      <c r="AW138" s="67">
        <v>0</v>
      </c>
      <c r="AX138" s="67">
        <v>0</v>
      </c>
      <c r="AY138" s="67">
        <v>0</v>
      </c>
      <c r="AZ138" s="67">
        <v>35</v>
      </c>
      <c r="BB138" s="70" t="s">
        <v>1329</v>
      </c>
      <c r="BC138" s="70" t="s">
        <v>2437</v>
      </c>
      <c r="BD138" s="70">
        <v>26</v>
      </c>
      <c r="BE138" s="70">
        <v>38</v>
      </c>
      <c r="BF138" s="70">
        <v>73</v>
      </c>
      <c r="BG138" s="70">
        <v>98</v>
      </c>
      <c r="BH138" s="70">
        <v>163</v>
      </c>
      <c r="BI138" s="70">
        <v>398</v>
      </c>
      <c r="BJ138" s="70"/>
      <c r="BK138" s="70" t="s">
        <v>2437</v>
      </c>
      <c r="BL138" s="70">
        <v>0</v>
      </c>
      <c r="BM138" s="70">
        <v>0</v>
      </c>
      <c r="BN138" s="70">
        <v>0</v>
      </c>
      <c r="BO138" s="70">
        <v>0</v>
      </c>
      <c r="BP138" s="70">
        <v>0</v>
      </c>
      <c r="BQ138" s="70">
        <v>0</v>
      </c>
      <c r="BS138" s="71" t="s">
        <v>1585</v>
      </c>
      <c r="BT138" s="71" t="s">
        <v>2513</v>
      </c>
      <c r="BU138" s="71">
        <v>1268</v>
      </c>
      <c r="BV138" s="71">
        <v>663</v>
      </c>
      <c r="BW138" s="71">
        <v>654</v>
      </c>
      <c r="BX138" s="71">
        <v>570</v>
      </c>
      <c r="BY138" s="71">
        <v>481</v>
      </c>
      <c r="BZ138" s="71">
        <v>3636</v>
      </c>
      <c r="CA138" s="71"/>
      <c r="CB138" s="71" t="s">
        <v>2513</v>
      </c>
      <c r="CC138" s="71">
        <v>381</v>
      </c>
      <c r="CD138" s="71">
        <v>4</v>
      </c>
      <c r="CE138" s="71">
        <v>0</v>
      </c>
      <c r="CF138" s="71">
        <v>0</v>
      </c>
      <c r="CG138" s="71">
        <v>0</v>
      </c>
      <c r="CH138" s="71">
        <v>385</v>
      </c>
      <c r="CL138" s="57" t="s">
        <v>540</v>
      </c>
      <c r="CM138" s="57" t="s">
        <v>2441</v>
      </c>
      <c r="CN138" s="57">
        <v>1253</v>
      </c>
      <c r="CO138" s="57">
        <v>531</v>
      </c>
      <c r="CP138" s="57">
        <v>571</v>
      </c>
      <c r="CQ138" s="57">
        <v>648</v>
      </c>
      <c r="CR138" s="57">
        <v>551</v>
      </c>
      <c r="CS138" s="57">
        <v>3554</v>
      </c>
      <c r="CT138" s="57"/>
      <c r="CU138" s="57" t="s">
        <v>2441</v>
      </c>
      <c r="CV138" s="57">
        <v>328</v>
      </c>
      <c r="CW138" s="57">
        <v>0</v>
      </c>
      <c r="CX138" s="57">
        <v>0</v>
      </c>
      <c r="CY138" s="57">
        <v>0</v>
      </c>
      <c r="CZ138" s="57">
        <v>0</v>
      </c>
      <c r="DA138" s="57">
        <v>328</v>
      </c>
      <c r="DV138" s="80" t="s">
        <v>2359</v>
      </c>
      <c r="DW138" s="80" t="s">
        <v>2513</v>
      </c>
      <c r="DX138" s="80">
        <v>342</v>
      </c>
      <c r="DY138" s="80">
        <v>322</v>
      </c>
      <c r="DZ138" s="80">
        <v>410</v>
      </c>
      <c r="EA138" s="80">
        <v>419</v>
      </c>
      <c r="EB138" s="80">
        <v>354</v>
      </c>
      <c r="EC138" s="80">
        <v>1847</v>
      </c>
      <c r="ED138" s="80"/>
      <c r="EE138" s="80" t="s">
        <v>2513</v>
      </c>
      <c r="EF138" s="80">
        <v>9</v>
      </c>
      <c r="EG138" s="80">
        <v>0</v>
      </c>
      <c r="EH138" s="80">
        <v>0</v>
      </c>
      <c r="EI138" s="80">
        <v>0</v>
      </c>
      <c r="EJ138" s="80">
        <v>0</v>
      </c>
      <c r="EK138" s="80">
        <v>9</v>
      </c>
      <c r="EN138" s="57" t="s">
        <v>2402</v>
      </c>
      <c r="EO138" s="57" t="s">
        <v>2441</v>
      </c>
      <c r="EP138" s="57">
        <v>112</v>
      </c>
      <c r="EQ138" s="57">
        <v>182</v>
      </c>
      <c r="ER138" s="57">
        <v>222</v>
      </c>
      <c r="ES138" s="57">
        <v>304</v>
      </c>
      <c r="ET138" s="57">
        <v>346</v>
      </c>
      <c r="EU138" s="57">
        <v>1166</v>
      </c>
      <c r="EV138" s="57"/>
      <c r="EW138" s="57" t="s">
        <v>2441</v>
      </c>
      <c r="EX138" s="57">
        <v>13</v>
      </c>
      <c r="EY138" s="57">
        <v>3</v>
      </c>
      <c r="EZ138" s="57">
        <v>0</v>
      </c>
      <c r="FA138" s="57">
        <v>2</v>
      </c>
      <c r="FB138" s="57">
        <v>4</v>
      </c>
      <c r="FC138" s="57">
        <v>22</v>
      </c>
      <c r="FF138" s="71" t="s">
        <v>2134</v>
      </c>
      <c r="FG138" s="71" t="s">
        <v>2437</v>
      </c>
      <c r="FH138" s="71" t="s">
        <v>356</v>
      </c>
      <c r="FI138" s="71" t="s">
        <v>356</v>
      </c>
      <c r="FJ138" s="71" t="s">
        <v>356</v>
      </c>
      <c r="FK138" s="71" t="s">
        <v>356</v>
      </c>
      <c r="FL138" s="71" t="s">
        <v>356</v>
      </c>
      <c r="FM138" s="71" t="s">
        <v>356</v>
      </c>
      <c r="FN138" s="71"/>
      <c r="FO138" s="71" t="s">
        <v>2437</v>
      </c>
      <c r="FP138" s="71" t="s">
        <v>356</v>
      </c>
      <c r="FQ138" s="71" t="s">
        <v>356</v>
      </c>
      <c r="FR138" s="71" t="s">
        <v>356</v>
      </c>
      <c r="FS138" s="71" t="s">
        <v>356</v>
      </c>
      <c r="FT138" s="71" t="s">
        <v>356</v>
      </c>
      <c r="FU138" s="71" t="s">
        <v>356</v>
      </c>
    </row>
    <row r="139" spans="1:177">
      <c r="B139" s="65" t="s">
        <v>985</v>
      </c>
      <c r="C139" s="65" t="s">
        <v>2437</v>
      </c>
      <c r="D139" s="65">
        <v>224</v>
      </c>
      <c r="E139" s="65">
        <v>346</v>
      </c>
      <c r="F139" s="65">
        <v>448</v>
      </c>
      <c r="G139" s="65">
        <v>497</v>
      </c>
      <c r="H139" s="65">
        <v>332</v>
      </c>
      <c r="I139" s="65">
        <v>1847</v>
      </c>
      <c r="K139" s="65" t="s">
        <v>2437</v>
      </c>
      <c r="L139" s="65">
        <v>40</v>
      </c>
      <c r="M139" s="65">
        <v>4</v>
      </c>
      <c r="N139" s="65">
        <v>3</v>
      </c>
      <c r="O139" s="65">
        <v>0</v>
      </c>
      <c r="P139" s="65">
        <v>0</v>
      </c>
      <c r="Q139" s="65">
        <v>47</v>
      </c>
      <c r="T139" s="66" t="s">
        <v>1063</v>
      </c>
      <c r="U139" s="66" t="s">
        <v>2513</v>
      </c>
      <c r="V139" s="66">
        <v>582</v>
      </c>
      <c r="W139" s="66">
        <v>648</v>
      </c>
      <c r="X139" s="66">
        <v>834</v>
      </c>
      <c r="Y139" s="66">
        <v>901</v>
      </c>
      <c r="Z139" s="66">
        <v>591</v>
      </c>
      <c r="AA139" s="66">
        <v>3556</v>
      </c>
      <c r="AB139" s="66"/>
      <c r="AC139" s="66" t="s">
        <v>2513</v>
      </c>
      <c r="AD139" s="66">
        <v>102</v>
      </c>
      <c r="AE139" s="66">
        <v>7</v>
      </c>
      <c r="AF139" s="66">
        <v>2</v>
      </c>
      <c r="AG139" s="66">
        <v>0</v>
      </c>
      <c r="AH139" s="66">
        <v>0</v>
      </c>
      <c r="AI139" s="66">
        <v>111</v>
      </c>
      <c r="AK139" s="67" t="s">
        <v>2215</v>
      </c>
      <c r="AL139" s="67" t="s">
        <v>2437</v>
      </c>
      <c r="AM139" s="67">
        <v>199</v>
      </c>
      <c r="AN139" s="67">
        <v>334</v>
      </c>
      <c r="AO139" s="67">
        <v>619</v>
      </c>
      <c r="AP139" s="67">
        <v>714</v>
      </c>
      <c r="AQ139" s="67">
        <v>587</v>
      </c>
      <c r="AR139" s="67">
        <v>2453</v>
      </c>
      <c r="AS139" s="67"/>
      <c r="AT139" s="67" t="s">
        <v>2437</v>
      </c>
      <c r="AU139" s="67">
        <v>19</v>
      </c>
      <c r="AV139" s="67">
        <v>5</v>
      </c>
      <c r="AW139" s="67">
        <v>6</v>
      </c>
      <c r="AX139" s="67">
        <v>2</v>
      </c>
      <c r="AY139" s="67">
        <v>2</v>
      </c>
      <c r="AZ139" s="67">
        <v>34</v>
      </c>
      <c r="BB139" s="70" t="s">
        <v>1333</v>
      </c>
      <c r="BC139" s="70" t="s">
        <v>2437</v>
      </c>
      <c r="BD139" s="70">
        <v>118</v>
      </c>
      <c r="BE139" s="70">
        <v>157</v>
      </c>
      <c r="BF139" s="70">
        <v>285</v>
      </c>
      <c r="BG139" s="70">
        <v>449</v>
      </c>
      <c r="BH139" s="70">
        <v>527</v>
      </c>
      <c r="BI139" s="70">
        <v>1536</v>
      </c>
      <c r="BJ139" s="70"/>
      <c r="BK139" s="70" t="s">
        <v>2437</v>
      </c>
      <c r="BL139" s="70">
        <v>19</v>
      </c>
      <c r="BM139" s="70">
        <v>1</v>
      </c>
      <c r="BN139" s="70">
        <v>1</v>
      </c>
      <c r="BO139" s="70">
        <v>0</v>
      </c>
      <c r="BP139" s="70">
        <v>0</v>
      </c>
      <c r="BQ139" s="70">
        <v>21</v>
      </c>
      <c r="BS139" s="71" t="s">
        <v>1599</v>
      </c>
      <c r="BT139" s="71" t="s">
        <v>2513</v>
      </c>
      <c r="BU139" s="71">
        <v>352</v>
      </c>
      <c r="BV139" s="71">
        <v>218</v>
      </c>
      <c r="BW139" s="71">
        <v>298</v>
      </c>
      <c r="BX139" s="71">
        <v>328</v>
      </c>
      <c r="BY139" s="71">
        <v>298</v>
      </c>
      <c r="BZ139" s="71">
        <v>1494</v>
      </c>
      <c r="CA139" s="71"/>
      <c r="CB139" s="71" t="s">
        <v>2513</v>
      </c>
      <c r="CC139" s="71">
        <v>140</v>
      </c>
      <c r="CD139" s="71">
        <v>0</v>
      </c>
      <c r="CE139" s="71">
        <v>0</v>
      </c>
      <c r="CF139" s="71">
        <v>0</v>
      </c>
      <c r="CG139" s="71">
        <v>0</v>
      </c>
      <c r="CH139" s="71">
        <v>140</v>
      </c>
      <c r="CL139" s="57" t="s">
        <v>569</v>
      </c>
      <c r="CM139" s="57" t="s">
        <v>2441</v>
      </c>
      <c r="CN139" s="57">
        <v>215</v>
      </c>
      <c r="CO139" s="57">
        <v>139</v>
      </c>
      <c r="CP139" s="57">
        <v>231</v>
      </c>
      <c r="CQ139" s="57">
        <v>267</v>
      </c>
      <c r="CR139" s="57">
        <v>217</v>
      </c>
      <c r="CS139" s="57">
        <v>1069</v>
      </c>
      <c r="CT139" s="57"/>
      <c r="CU139" s="57" t="s">
        <v>2441</v>
      </c>
      <c r="CV139" s="57">
        <v>27</v>
      </c>
      <c r="CW139" s="57">
        <v>0</v>
      </c>
      <c r="CX139" s="57">
        <v>0</v>
      </c>
      <c r="CY139" s="57">
        <v>0</v>
      </c>
      <c r="CZ139" s="57">
        <v>0</v>
      </c>
      <c r="DA139" s="57">
        <v>27</v>
      </c>
      <c r="DV139" s="80" t="s">
        <v>1890</v>
      </c>
      <c r="DW139" s="80" t="s">
        <v>2513</v>
      </c>
      <c r="DX139" s="80">
        <v>249</v>
      </c>
      <c r="DY139" s="80">
        <v>336</v>
      </c>
      <c r="DZ139" s="80">
        <v>444</v>
      </c>
      <c r="EA139" s="80">
        <v>497</v>
      </c>
      <c r="EB139" s="80">
        <v>520</v>
      </c>
      <c r="EC139" s="80">
        <v>2046</v>
      </c>
      <c r="ED139" s="80"/>
      <c r="EE139" s="80" t="s">
        <v>2513</v>
      </c>
      <c r="EF139" s="80">
        <v>13</v>
      </c>
      <c r="EG139" s="80">
        <v>0</v>
      </c>
      <c r="EH139" s="80">
        <v>0</v>
      </c>
      <c r="EI139" s="80">
        <v>0</v>
      </c>
      <c r="EJ139" s="80">
        <v>0</v>
      </c>
      <c r="EK139" s="80">
        <v>13</v>
      </c>
      <c r="EN139" s="57" t="s">
        <v>2017</v>
      </c>
      <c r="EO139" s="57" t="s">
        <v>2441</v>
      </c>
      <c r="EP139" s="57">
        <v>77</v>
      </c>
      <c r="EQ139" s="57">
        <v>142</v>
      </c>
      <c r="ER139" s="57">
        <v>205</v>
      </c>
      <c r="ES139" s="57">
        <v>254</v>
      </c>
      <c r="ET139" s="57">
        <v>287</v>
      </c>
      <c r="EU139" s="57">
        <v>965</v>
      </c>
      <c r="EV139" s="57"/>
      <c r="EW139" s="57" t="s">
        <v>2441</v>
      </c>
      <c r="EX139" s="57">
        <v>4</v>
      </c>
      <c r="EY139" s="57">
        <v>1</v>
      </c>
      <c r="EZ139" s="57">
        <v>0</v>
      </c>
      <c r="FA139" s="57">
        <v>0</v>
      </c>
      <c r="FB139" s="57">
        <v>2</v>
      </c>
      <c r="FC139" s="57">
        <v>7</v>
      </c>
    </row>
    <row r="140" spans="1:177">
      <c r="B140" s="65" t="s">
        <v>989</v>
      </c>
      <c r="C140" s="65" t="s">
        <v>2437</v>
      </c>
      <c r="D140" s="65">
        <v>627</v>
      </c>
      <c r="E140" s="65">
        <v>559</v>
      </c>
      <c r="F140" s="65">
        <v>509</v>
      </c>
      <c r="G140" s="65">
        <v>509</v>
      </c>
      <c r="H140" s="65">
        <v>350</v>
      </c>
      <c r="I140" s="65">
        <v>2554</v>
      </c>
      <c r="K140" s="65" t="s">
        <v>2437</v>
      </c>
      <c r="L140" s="65">
        <v>81</v>
      </c>
      <c r="M140" s="65">
        <v>0</v>
      </c>
      <c r="N140" s="65">
        <v>0</v>
      </c>
      <c r="O140" s="65">
        <v>0</v>
      </c>
      <c r="P140" s="65">
        <v>0</v>
      </c>
      <c r="Q140" s="65">
        <v>81</v>
      </c>
      <c r="T140" s="66" t="s">
        <v>1071</v>
      </c>
      <c r="U140" s="66" t="s">
        <v>2513</v>
      </c>
      <c r="V140" s="66">
        <v>159</v>
      </c>
      <c r="W140" s="66">
        <v>187</v>
      </c>
      <c r="X140" s="66">
        <v>302</v>
      </c>
      <c r="Y140" s="66">
        <v>349</v>
      </c>
      <c r="Z140" s="66">
        <v>326</v>
      </c>
      <c r="AA140" s="66">
        <v>1323</v>
      </c>
      <c r="AB140" s="66"/>
      <c r="AC140" s="66" t="s">
        <v>2513</v>
      </c>
      <c r="AD140" s="66">
        <v>13</v>
      </c>
      <c r="AE140" s="66">
        <v>2</v>
      </c>
      <c r="AF140" s="66">
        <v>0</v>
      </c>
      <c r="AG140" s="66">
        <v>0</v>
      </c>
      <c r="AH140" s="66">
        <v>0</v>
      </c>
      <c r="AI140" s="66">
        <v>15</v>
      </c>
      <c r="AK140" s="67" t="s">
        <v>2239</v>
      </c>
      <c r="AL140" s="67" t="s">
        <v>2437</v>
      </c>
      <c r="AM140" s="67">
        <v>456</v>
      </c>
      <c r="AN140" s="67">
        <v>591</v>
      </c>
      <c r="AO140" s="67">
        <v>835</v>
      </c>
      <c r="AP140" s="67">
        <v>836</v>
      </c>
      <c r="AQ140" s="67">
        <v>532</v>
      </c>
      <c r="AR140" s="67">
        <v>3250</v>
      </c>
      <c r="AS140" s="67"/>
      <c r="AT140" s="67" t="s">
        <v>2437</v>
      </c>
      <c r="AU140" s="67">
        <v>21</v>
      </c>
      <c r="AV140" s="67">
        <v>2</v>
      </c>
      <c r="AW140" s="67">
        <v>5</v>
      </c>
      <c r="AX140" s="67">
        <v>2</v>
      </c>
      <c r="AY140" s="67">
        <v>0</v>
      </c>
      <c r="AZ140" s="67">
        <v>30</v>
      </c>
      <c r="BB140" s="70" t="s">
        <v>1337</v>
      </c>
      <c r="BC140" s="70" t="s">
        <v>2437</v>
      </c>
      <c r="BD140" s="70">
        <v>318</v>
      </c>
      <c r="BE140" s="70">
        <v>217</v>
      </c>
      <c r="BF140" s="70">
        <v>335</v>
      </c>
      <c r="BG140" s="70">
        <v>386</v>
      </c>
      <c r="BH140" s="70">
        <v>329</v>
      </c>
      <c r="BI140" s="70">
        <v>1585</v>
      </c>
      <c r="BJ140" s="70"/>
      <c r="BK140" s="70" t="s">
        <v>2437</v>
      </c>
      <c r="BL140" s="70">
        <v>14</v>
      </c>
      <c r="BM140" s="70">
        <v>0</v>
      </c>
      <c r="BN140" s="70">
        <v>0</v>
      </c>
      <c r="BO140" s="70">
        <v>0</v>
      </c>
      <c r="BP140" s="70">
        <v>0</v>
      </c>
      <c r="BQ140" s="70">
        <v>14</v>
      </c>
      <c r="BS140" s="71" t="s">
        <v>1601</v>
      </c>
      <c r="BT140" s="71" t="s">
        <v>2513</v>
      </c>
      <c r="BU140" s="71">
        <v>892</v>
      </c>
      <c r="BV140" s="71">
        <v>352</v>
      </c>
      <c r="BW140" s="71">
        <v>468</v>
      </c>
      <c r="BX140" s="71">
        <v>625</v>
      </c>
      <c r="BY140" s="71">
        <v>549</v>
      </c>
      <c r="BZ140" s="71">
        <v>2886</v>
      </c>
      <c r="CA140" s="71"/>
      <c r="CB140" s="71" t="s">
        <v>2513</v>
      </c>
      <c r="CC140" s="71">
        <v>300</v>
      </c>
      <c r="CD140" s="71">
        <v>0</v>
      </c>
      <c r="CE140" s="71">
        <v>0</v>
      </c>
      <c r="CF140" s="71">
        <v>0</v>
      </c>
      <c r="CG140" s="71">
        <v>0</v>
      </c>
      <c r="CH140" s="71">
        <v>300</v>
      </c>
      <c r="CL140" s="57" t="s">
        <v>592</v>
      </c>
      <c r="CM140" s="57" t="s">
        <v>2441</v>
      </c>
      <c r="CN140" s="57">
        <v>31</v>
      </c>
      <c r="CO140" s="57">
        <v>32</v>
      </c>
      <c r="CP140" s="57">
        <v>44</v>
      </c>
      <c r="CQ140" s="57">
        <v>87</v>
      </c>
      <c r="CR140" s="57">
        <v>79</v>
      </c>
      <c r="CS140" s="57">
        <v>273</v>
      </c>
      <c r="CT140" s="57"/>
      <c r="CU140" s="57" t="s">
        <v>2441</v>
      </c>
      <c r="CV140" s="57">
        <v>20</v>
      </c>
      <c r="CW140" s="57">
        <v>0</v>
      </c>
      <c r="CX140" s="57">
        <v>0</v>
      </c>
      <c r="CY140" s="57">
        <v>0</v>
      </c>
      <c r="CZ140" s="57">
        <v>0</v>
      </c>
      <c r="DA140" s="57">
        <v>20</v>
      </c>
      <c r="DV140" s="80" t="s">
        <v>1894</v>
      </c>
      <c r="DW140" s="80" t="s">
        <v>2513</v>
      </c>
      <c r="DX140" s="80">
        <v>1534</v>
      </c>
      <c r="DY140" s="80">
        <v>774</v>
      </c>
      <c r="DZ140" s="80">
        <v>671</v>
      </c>
      <c r="EA140" s="80">
        <v>588</v>
      </c>
      <c r="EB140" s="80">
        <v>759</v>
      </c>
      <c r="EC140" s="80">
        <v>4326</v>
      </c>
      <c r="ED140" s="80"/>
      <c r="EE140" s="80" t="s">
        <v>2513</v>
      </c>
      <c r="EF140" s="80">
        <v>323</v>
      </c>
      <c r="EG140" s="80">
        <v>38</v>
      </c>
      <c r="EH140" s="80">
        <v>22</v>
      </c>
      <c r="EI140" s="80">
        <v>7</v>
      </c>
      <c r="EJ140" s="80">
        <v>2</v>
      </c>
      <c r="EK140" s="80">
        <v>392</v>
      </c>
      <c r="EN140" s="57" t="s">
        <v>2021</v>
      </c>
      <c r="EO140" s="57" t="s">
        <v>2441</v>
      </c>
      <c r="EP140" s="57">
        <v>133</v>
      </c>
      <c r="EQ140" s="57">
        <v>195</v>
      </c>
      <c r="ER140" s="57">
        <v>274</v>
      </c>
      <c r="ES140" s="57">
        <v>383</v>
      </c>
      <c r="ET140" s="57">
        <v>408</v>
      </c>
      <c r="EU140" s="57">
        <v>1393</v>
      </c>
      <c r="EV140" s="57"/>
      <c r="EW140" s="57" t="s">
        <v>2441</v>
      </c>
      <c r="EX140" s="57">
        <v>15</v>
      </c>
      <c r="EY140" s="57">
        <v>4</v>
      </c>
      <c r="EZ140" s="57">
        <v>5</v>
      </c>
      <c r="FA140" s="57">
        <v>1</v>
      </c>
      <c r="FB140" s="57">
        <v>0</v>
      </c>
      <c r="FC140" s="57">
        <v>25</v>
      </c>
      <c r="FF140" s="71" t="s">
        <v>2033</v>
      </c>
      <c r="FG140" s="71" t="s">
        <v>2441</v>
      </c>
      <c r="FH140" s="71">
        <v>2412</v>
      </c>
      <c r="FI140" s="71">
        <v>1193</v>
      </c>
      <c r="FJ140" s="71">
        <v>782</v>
      </c>
      <c r="FK140" s="71">
        <v>733</v>
      </c>
      <c r="FL140" s="71">
        <v>866</v>
      </c>
      <c r="FM140" s="71">
        <v>5986</v>
      </c>
      <c r="FN140" s="71"/>
      <c r="FO140" s="71" t="s">
        <v>2441</v>
      </c>
      <c r="FP140" s="71">
        <v>477</v>
      </c>
      <c r="FQ140" s="71">
        <v>50</v>
      </c>
      <c r="FR140" s="71">
        <v>3</v>
      </c>
      <c r="FS140" s="71">
        <v>0</v>
      </c>
      <c r="FT140" s="71">
        <v>0</v>
      </c>
      <c r="FU140" s="71">
        <v>530</v>
      </c>
    </row>
    <row r="141" spans="1:177">
      <c r="B141" s="65" t="s">
        <v>994</v>
      </c>
      <c r="C141" s="65" t="s">
        <v>2437</v>
      </c>
      <c r="D141" s="65">
        <v>579</v>
      </c>
      <c r="E141" s="65">
        <v>501</v>
      </c>
      <c r="F141" s="65">
        <v>531</v>
      </c>
      <c r="G141" s="65">
        <v>584</v>
      </c>
      <c r="H141" s="65">
        <v>355</v>
      </c>
      <c r="I141" s="65">
        <v>2550</v>
      </c>
      <c r="K141" s="65" t="s">
        <v>2437</v>
      </c>
      <c r="L141" s="65">
        <v>90</v>
      </c>
      <c r="M141" s="65">
        <v>5</v>
      </c>
      <c r="N141" s="65">
        <v>4</v>
      </c>
      <c r="O141" s="65">
        <v>0</v>
      </c>
      <c r="P141" s="65">
        <v>0</v>
      </c>
      <c r="Q141" s="65">
        <v>99</v>
      </c>
      <c r="T141" s="66" t="s">
        <v>1076</v>
      </c>
      <c r="U141" s="66" t="s">
        <v>2513</v>
      </c>
      <c r="V141" s="66">
        <v>277</v>
      </c>
      <c r="W141" s="66">
        <v>118</v>
      </c>
      <c r="X141" s="66">
        <v>188</v>
      </c>
      <c r="Y141" s="66">
        <v>233</v>
      </c>
      <c r="Z141" s="66">
        <v>202</v>
      </c>
      <c r="AA141" s="66">
        <v>1018</v>
      </c>
      <c r="AB141" s="66"/>
      <c r="AC141" s="66" t="s">
        <v>2513</v>
      </c>
      <c r="AD141" s="66">
        <v>25</v>
      </c>
      <c r="AE141" s="66">
        <v>0</v>
      </c>
      <c r="AF141" s="66">
        <v>0</v>
      </c>
      <c r="AG141" s="66">
        <v>0</v>
      </c>
      <c r="AH141" s="66">
        <v>0</v>
      </c>
      <c r="AI141" s="66">
        <v>25</v>
      </c>
      <c r="AK141" s="67" t="s">
        <v>2233</v>
      </c>
      <c r="AL141" s="67" t="s">
        <v>2437</v>
      </c>
      <c r="AM141" s="67">
        <v>282</v>
      </c>
      <c r="AN141" s="67">
        <v>431</v>
      </c>
      <c r="AO141" s="67">
        <v>677</v>
      </c>
      <c r="AP141" s="67">
        <v>791</v>
      </c>
      <c r="AQ141" s="67">
        <v>501</v>
      </c>
      <c r="AR141" s="67">
        <v>2682</v>
      </c>
      <c r="AS141" s="67"/>
      <c r="AT141" s="67" t="s">
        <v>2437</v>
      </c>
      <c r="AU141" s="67">
        <v>38</v>
      </c>
      <c r="AV141" s="67">
        <v>2</v>
      </c>
      <c r="AW141" s="67">
        <v>1</v>
      </c>
      <c r="AX141" s="67">
        <v>0</v>
      </c>
      <c r="AY141" s="67">
        <v>0</v>
      </c>
      <c r="AZ141" s="67">
        <v>41</v>
      </c>
      <c r="BB141" s="70" t="s">
        <v>1341</v>
      </c>
      <c r="BC141" s="70" t="s">
        <v>2437</v>
      </c>
      <c r="BD141" s="70">
        <v>1062</v>
      </c>
      <c r="BE141" s="70">
        <v>498</v>
      </c>
      <c r="BF141" s="70">
        <v>774</v>
      </c>
      <c r="BG141" s="70">
        <v>902</v>
      </c>
      <c r="BH141" s="70">
        <v>774</v>
      </c>
      <c r="BI141" s="70">
        <v>4010</v>
      </c>
      <c r="BJ141" s="70"/>
      <c r="BK141" s="70" t="s">
        <v>2437</v>
      </c>
      <c r="BL141" s="70">
        <v>220</v>
      </c>
      <c r="BM141" s="70">
        <v>0</v>
      </c>
      <c r="BN141" s="70">
        <v>0</v>
      </c>
      <c r="BO141" s="70">
        <v>0</v>
      </c>
      <c r="BP141" s="70">
        <v>0</v>
      </c>
      <c r="BQ141" s="70">
        <v>220</v>
      </c>
      <c r="BS141" s="71" t="s">
        <v>1606</v>
      </c>
      <c r="BT141" s="71" t="s">
        <v>2513</v>
      </c>
      <c r="BU141" s="71">
        <v>97</v>
      </c>
      <c r="BV141" s="71">
        <v>129</v>
      </c>
      <c r="BW141" s="71">
        <v>248</v>
      </c>
      <c r="BX141" s="71">
        <v>406</v>
      </c>
      <c r="BY141" s="71">
        <v>306</v>
      </c>
      <c r="BZ141" s="71">
        <v>1186</v>
      </c>
      <c r="CA141" s="71"/>
      <c r="CB141" s="71" t="s">
        <v>2513</v>
      </c>
      <c r="CC141" s="71">
        <v>29</v>
      </c>
      <c r="CD141" s="71">
        <v>0</v>
      </c>
      <c r="CE141" s="71">
        <v>0</v>
      </c>
      <c r="CF141" s="71">
        <v>0</v>
      </c>
      <c r="CG141" s="71">
        <v>0</v>
      </c>
      <c r="CH141" s="71">
        <v>29</v>
      </c>
      <c r="CL141" s="57" t="s">
        <v>571</v>
      </c>
      <c r="CM141" s="57" t="s">
        <v>2441</v>
      </c>
      <c r="CN141" s="57">
        <v>123</v>
      </c>
      <c r="CO141" s="57">
        <v>90</v>
      </c>
      <c r="CP141" s="57">
        <v>183</v>
      </c>
      <c r="CQ141" s="57">
        <v>239</v>
      </c>
      <c r="CR141" s="57">
        <v>212</v>
      </c>
      <c r="CS141" s="57">
        <v>847</v>
      </c>
      <c r="CT141" s="57"/>
      <c r="CU141" s="57" t="s">
        <v>2441</v>
      </c>
      <c r="CV141" s="57">
        <v>19</v>
      </c>
      <c r="CW141" s="57">
        <v>0</v>
      </c>
      <c r="CX141" s="57">
        <v>0</v>
      </c>
      <c r="CY141" s="57">
        <v>0</v>
      </c>
      <c r="CZ141" s="57">
        <v>0</v>
      </c>
      <c r="DA141" s="57">
        <v>19</v>
      </c>
      <c r="DV141" s="80" t="s">
        <v>1897</v>
      </c>
      <c r="DW141" s="80" t="s">
        <v>2513</v>
      </c>
      <c r="DX141" s="80">
        <v>189</v>
      </c>
      <c r="DY141" s="80">
        <v>253</v>
      </c>
      <c r="DZ141" s="80">
        <v>322</v>
      </c>
      <c r="EA141" s="80">
        <v>349</v>
      </c>
      <c r="EB141" s="80">
        <v>300</v>
      </c>
      <c r="EC141" s="80">
        <v>1413</v>
      </c>
      <c r="ED141" s="80"/>
      <c r="EE141" s="80" t="s">
        <v>2513</v>
      </c>
      <c r="EF141" s="80">
        <v>15</v>
      </c>
      <c r="EG141" s="80">
        <v>2</v>
      </c>
      <c r="EH141" s="80">
        <v>0</v>
      </c>
      <c r="EI141" s="80">
        <v>0</v>
      </c>
      <c r="EJ141" s="80">
        <v>0</v>
      </c>
      <c r="EK141" s="80">
        <v>17</v>
      </c>
      <c r="EN141" s="57" t="s">
        <v>2406</v>
      </c>
      <c r="EO141" s="57" t="s">
        <v>2441</v>
      </c>
      <c r="EP141" s="57">
        <v>33</v>
      </c>
      <c r="EQ141" s="57">
        <v>63</v>
      </c>
      <c r="ER141" s="57">
        <v>96</v>
      </c>
      <c r="ES141" s="57">
        <v>130</v>
      </c>
      <c r="ET141" s="57">
        <v>205</v>
      </c>
      <c r="EU141" s="57">
        <v>527</v>
      </c>
      <c r="EV141" s="57"/>
      <c r="EW141" s="57" t="s">
        <v>2441</v>
      </c>
      <c r="EX141" s="57">
        <v>4</v>
      </c>
      <c r="EY141" s="57">
        <v>0</v>
      </c>
      <c r="EZ141" s="57">
        <v>0</v>
      </c>
      <c r="FA141" s="57">
        <v>0</v>
      </c>
      <c r="FB141" s="57">
        <v>0</v>
      </c>
      <c r="FC141" s="57">
        <v>4</v>
      </c>
      <c r="FF141" s="71" t="s">
        <v>2036</v>
      </c>
      <c r="FG141" s="71" t="s">
        <v>2441</v>
      </c>
      <c r="FH141" s="71">
        <v>163</v>
      </c>
      <c r="FI141" s="71">
        <v>187</v>
      </c>
      <c r="FJ141" s="71">
        <v>242</v>
      </c>
      <c r="FK141" s="71">
        <v>348</v>
      </c>
      <c r="FL141" s="71">
        <v>429</v>
      </c>
      <c r="FM141" s="71">
        <v>1369</v>
      </c>
      <c r="FN141" s="71"/>
      <c r="FO141" s="71" t="s">
        <v>2441</v>
      </c>
      <c r="FP141" s="71">
        <v>11</v>
      </c>
      <c r="FQ141" s="71">
        <v>1</v>
      </c>
      <c r="FR141" s="71">
        <v>2</v>
      </c>
      <c r="FS141" s="71">
        <v>3</v>
      </c>
      <c r="FT141" s="71">
        <v>2</v>
      </c>
      <c r="FU141" s="71">
        <v>19</v>
      </c>
    </row>
    <row r="142" spans="1:177">
      <c r="B142" s="65" t="s">
        <v>1002</v>
      </c>
      <c r="C142" s="65" t="s">
        <v>2437</v>
      </c>
      <c r="D142" s="65">
        <v>214</v>
      </c>
      <c r="E142" s="65">
        <v>224</v>
      </c>
      <c r="F142" s="65">
        <v>291</v>
      </c>
      <c r="G142" s="65">
        <v>360</v>
      </c>
      <c r="H142" s="65">
        <v>248</v>
      </c>
      <c r="I142" s="65">
        <v>1337</v>
      </c>
      <c r="K142" s="65" t="s">
        <v>2437</v>
      </c>
      <c r="L142" s="65">
        <v>33</v>
      </c>
      <c r="M142" s="65">
        <v>2</v>
      </c>
      <c r="N142" s="65">
        <v>0</v>
      </c>
      <c r="O142" s="65">
        <v>0</v>
      </c>
      <c r="P142" s="65">
        <v>0</v>
      </c>
      <c r="Q142" s="65">
        <v>35</v>
      </c>
      <c r="T142" s="66" t="s">
        <v>1082</v>
      </c>
      <c r="U142" s="66" t="s">
        <v>2513</v>
      </c>
      <c r="V142" s="66">
        <v>492</v>
      </c>
      <c r="W142" s="66">
        <v>647</v>
      </c>
      <c r="X142" s="66">
        <v>734</v>
      </c>
      <c r="Y142" s="66">
        <v>779</v>
      </c>
      <c r="Z142" s="66">
        <v>609</v>
      </c>
      <c r="AA142" s="66">
        <v>3261</v>
      </c>
      <c r="AB142" s="66"/>
      <c r="AC142" s="66" t="s">
        <v>2513</v>
      </c>
      <c r="AD142" s="66">
        <v>50</v>
      </c>
      <c r="AE142" s="66">
        <v>1</v>
      </c>
      <c r="AF142" s="66">
        <v>1</v>
      </c>
      <c r="AG142" s="66">
        <v>1</v>
      </c>
      <c r="AH142" s="66">
        <v>1</v>
      </c>
      <c r="AI142" s="66">
        <v>54</v>
      </c>
      <c r="AK142" s="67" t="s">
        <v>2229</v>
      </c>
      <c r="AL142" s="67" t="s">
        <v>2437</v>
      </c>
      <c r="AM142" s="67">
        <v>616</v>
      </c>
      <c r="AN142" s="67">
        <v>628</v>
      </c>
      <c r="AO142" s="67">
        <v>733</v>
      </c>
      <c r="AP142" s="67">
        <v>821</v>
      </c>
      <c r="AQ142" s="67">
        <v>523</v>
      </c>
      <c r="AR142" s="67">
        <v>3321</v>
      </c>
      <c r="AS142" s="67"/>
      <c r="AT142" s="67" t="s">
        <v>2437</v>
      </c>
      <c r="AU142" s="67">
        <v>56</v>
      </c>
      <c r="AV142" s="67">
        <v>2</v>
      </c>
      <c r="AW142" s="67">
        <v>0</v>
      </c>
      <c r="AX142" s="67">
        <v>0</v>
      </c>
      <c r="AY142" s="67">
        <v>0</v>
      </c>
      <c r="AZ142" s="67">
        <v>58</v>
      </c>
      <c r="BB142" s="70" t="s">
        <v>1344</v>
      </c>
      <c r="BC142" s="70" t="s">
        <v>2437</v>
      </c>
      <c r="BD142" s="70">
        <v>39</v>
      </c>
      <c r="BE142" s="70">
        <v>52</v>
      </c>
      <c r="BF142" s="70">
        <v>90</v>
      </c>
      <c r="BG142" s="70">
        <v>133</v>
      </c>
      <c r="BH142" s="70">
        <v>196</v>
      </c>
      <c r="BI142" s="70">
        <v>510</v>
      </c>
      <c r="BJ142" s="70"/>
      <c r="BK142" s="70" t="s">
        <v>2437</v>
      </c>
      <c r="BL142" s="70">
        <v>10</v>
      </c>
      <c r="BM142" s="70">
        <v>0</v>
      </c>
      <c r="BN142" s="70">
        <v>0</v>
      </c>
      <c r="BO142" s="70">
        <v>0</v>
      </c>
      <c r="BP142" s="70">
        <v>0</v>
      </c>
      <c r="BQ142" s="70">
        <v>10</v>
      </c>
      <c r="BS142" s="71" t="s">
        <v>1608</v>
      </c>
      <c r="BT142" s="71" t="s">
        <v>2513</v>
      </c>
      <c r="BU142" s="71">
        <v>141</v>
      </c>
      <c r="BV142" s="71">
        <v>103</v>
      </c>
      <c r="BW142" s="71">
        <v>211</v>
      </c>
      <c r="BX142" s="71">
        <v>323</v>
      </c>
      <c r="BY142" s="71">
        <v>300</v>
      </c>
      <c r="BZ142" s="71">
        <v>1078</v>
      </c>
      <c r="CA142" s="71"/>
      <c r="CB142" s="71" t="s">
        <v>2513</v>
      </c>
      <c r="CC142" s="71">
        <v>45</v>
      </c>
      <c r="CD142" s="71">
        <v>0</v>
      </c>
      <c r="CE142" s="71">
        <v>0</v>
      </c>
      <c r="CF142" s="71">
        <v>0</v>
      </c>
      <c r="CG142" s="71">
        <v>0</v>
      </c>
      <c r="CH142" s="71">
        <v>45</v>
      </c>
      <c r="CL142" s="57" t="s">
        <v>574</v>
      </c>
      <c r="CM142" s="57" t="s">
        <v>2441</v>
      </c>
      <c r="CN142" s="57">
        <v>300</v>
      </c>
      <c r="CO142" s="57">
        <v>462</v>
      </c>
      <c r="CP142" s="57">
        <v>633</v>
      </c>
      <c r="CQ142" s="57">
        <v>889</v>
      </c>
      <c r="CR142" s="57">
        <v>704</v>
      </c>
      <c r="CS142" s="57">
        <v>2988</v>
      </c>
      <c r="CT142" s="57"/>
      <c r="CU142" s="57" t="s">
        <v>2441</v>
      </c>
      <c r="CV142" s="57">
        <v>18</v>
      </c>
      <c r="CW142" s="57">
        <v>0</v>
      </c>
      <c r="CX142" s="57">
        <v>0</v>
      </c>
      <c r="CY142" s="57">
        <v>0</v>
      </c>
      <c r="CZ142" s="57">
        <v>0</v>
      </c>
      <c r="DA142" s="57">
        <v>18</v>
      </c>
      <c r="DV142" s="80" t="s">
        <v>1900</v>
      </c>
      <c r="DW142" s="80" t="s">
        <v>2513</v>
      </c>
      <c r="DX142" s="80">
        <v>190</v>
      </c>
      <c r="DY142" s="80">
        <v>216</v>
      </c>
      <c r="DZ142" s="80">
        <v>231</v>
      </c>
      <c r="EA142" s="80">
        <v>239</v>
      </c>
      <c r="EB142" s="80">
        <v>224</v>
      </c>
      <c r="EC142" s="80">
        <v>1100</v>
      </c>
      <c r="ED142" s="80"/>
      <c r="EE142" s="80" t="s">
        <v>2513</v>
      </c>
      <c r="EF142" s="80">
        <v>15</v>
      </c>
      <c r="EG142" s="80">
        <v>0</v>
      </c>
      <c r="EH142" s="80">
        <v>0</v>
      </c>
      <c r="EI142" s="80">
        <v>0</v>
      </c>
      <c r="EJ142" s="80">
        <v>0</v>
      </c>
      <c r="EK142" s="80">
        <v>15</v>
      </c>
      <c r="EN142" s="57" t="s">
        <v>2408</v>
      </c>
      <c r="EO142" s="57" t="s">
        <v>2441</v>
      </c>
      <c r="EP142" s="57">
        <v>51</v>
      </c>
      <c r="EQ142" s="57">
        <v>103</v>
      </c>
      <c r="ER142" s="57">
        <v>167</v>
      </c>
      <c r="ES142" s="57">
        <v>241</v>
      </c>
      <c r="ET142" s="57">
        <v>288</v>
      </c>
      <c r="EU142" s="57">
        <v>850</v>
      </c>
      <c r="EV142" s="57"/>
      <c r="EW142" s="57" t="s">
        <v>2441</v>
      </c>
      <c r="EX142" s="57">
        <v>11</v>
      </c>
      <c r="EY142" s="57">
        <v>3</v>
      </c>
      <c r="EZ142" s="57">
        <v>3</v>
      </c>
      <c r="FA142" s="57">
        <v>1</v>
      </c>
      <c r="FB142" s="57">
        <v>0</v>
      </c>
      <c r="FC142" s="57">
        <v>18</v>
      </c>
      <c r="FF142" s="71" t="s">
        <v>2038</v>
      </c>
      <c r="FG142" s="71" t="s">
        <v>2441</v>
      </c>
      <c r="FH142" s="71">
        <v>396</v>
      </c>
      <c r="FI142" s="71">
        <v>423</v>
      </c>
      <c r="FJ142" s="71">
        <v>437</v>
      </c>
      <c r="FK142" s="71">
        <v>426</v>
      </c>
      <c r="FL142" s="71">
        <v>423</v>
      </c>
      <c r="FM142" s="71">
        <v>2105</v>
      </c>
      <c r="FN142" s="71"/>
      <c r="FO142" s="71" t="s">
        <v>2441</v>
      </c>
      <c r="FP142" s="71">
        <v>70</v>
      </c>
      <c r="FQ142" s="71">
        <v>0</v>
      </c>
      <c r="FR142" s="71">
        <v>0</v>
      </c>
      <c r="FS142" s="71">
        <v>0</v>
      </c>
      <c r="FT142" s="71">
        <v>0</v>
      </c>
      <c r="FU142" s="71">
        <v>70</v>
      </c>
    </row>
    <row r="143" spans="1:177">
      <c r="B143" s="65" t="s">
        <v>1007</v>
      </c>
      <c r="C143" s="65" t="s">
        <v>2437</v>
      </c>
      <c r="D143" s="65">
        <v>466</v>
      </c>
      <c r="E143" s="65">
        <v>370</v>
      </c>
      <c r="F143" s="65">
        <v>408</v>
      </c>
      <c r="G143" s="65">
        <v>469</v>
      </c>
      <c r="H143" s="65">
        <v>348</v>
      </c>
      <c r="I143" s="65">
        <v>2061</v>
      </c>
      <c r="K143" s="65" t="s">
        <v>2437</v>
      </c>
      <c r="L143" s="65">
        <v>63</v>
      </c>
      <c r="M143" s="65">
        <v>1</v>
      </c>
      <c r="N143" s="65">
        <v>1</v>
      </c>
      <c r="O143" s="65">
        <v>0</v>
      </c>
      <c r="P143" s="65">
        <v>1</v>
      </c>
      <c r="Q143" s="65">
        <v>66</v>
      </c>
      <c r="T143" s="66" t="s">
        <v>1087</v>
      </c>
      <c r="U143" s="66" t="s">
        <v>2513</v>
      </c>
      <c r="V143" s="66">
        <v>1466</v>
      </c>
      <c r="W143" s="66">
        <v>1214</v>
      </c>
      <c r="X143" s="66">
        <v>1292</v>
      </c>
      <c r="Y143" s="66">
        <v>1369</v>
      </c>
      <c r="Z143" s="66">
        <v>987</v>
      </c>
      <c r="AA143" s="66">
        <v>6328</v>
      </c>
      <c r="AB143" s="66"/>
      <c r="AC143" s="66" t="s">
        <v>2513</v>
      </c>
      <c r="AD143" s="66">
        <v>148</v>
      </c>
      <c r="AE143" s="66">
        <v>24</v>
      </c>
      <c r="AF143" s="66">
        <v>6</v>
      </c>
      <c r="AG143" s="66">
        <v>1</v>
      </c>
      <c r="AH143" s="66">
        <v>1</v>
      </c>
      <c r="AI143" s="66">
        <v>180</v>
      </c>
      <c r="AK143" s="67" t="s">
        <v>1285</v>
      </c>
      <c r="AL143" s="67" t="s">
        <v>2437</v>
      </c>
      <c r="AM143" s="67">
        <v>407</v>
      </c>
      <c r="AN143" s="67">
        <v>483</v>
      </c>
      <c r="AO143" s="67">
        <v>642</v>
      </c>
      <c r="AP143" s="67">
        <v>831</v>
      </c>
      <c r="AQ143" s="67">
        <v>496</v>
      </c>
      <c r="AR143" s="67">
        <v>2859</v>
      </c>
      <c r="AS143" s="67"/>
      <c r="AT143" s="67" t="s">
        <v>2437</v>
      </c>
      <c r="AU143" s="67">
        <v>45</v>
      </c>
      <c r="AV143" s="67">
        <v>4</v>
      </c>
      <c r="AW143" s="67">
        <v>0</v>
      </c>
      <c r="AX143" s="67">
        <v>1</v>
      </c>
      <c r="AY143" s="67">
        <v>1</v>
      </c>
      <c r="AZ143" s="67">
        <v>51</v>
      </c>
      <c r="BB143" s="70" t="s">
        <v>1347</v>
      </c>
      <c r="BC143" s="70" t="s">
        <v>2437</v>
      </c>
      <c r="BD143" s="70">
        <v>665</v>
      </c>
      <c r="BE143" s="70">
        <v>553</v>
      </c>
      <c r="BF143" s="70">
        <v>752</v>
      </c>
      <c r="BG143" s="70">
        <v>1051</v>
      </c>
      <c r="BH143" s="70">
        <v>942</v>
      </c>
      <c r="BI143" s="70">
        <v>3963</v>
      </c>
      <c r="BJ143" s="70"/>
      <c r="BK143" s="70" t="s">
        <v>2437</v>
      </c>
      <c r="BL143" s="70">
        <v>42</v>
      </c>
      <c r="BM143" s="70">
        <v>0</v>
      </c>
      <c r="BN143" s="70">
        <v>0</v>
      </c>
      <c r="BO143" s="70">
        <v>0</v>
      </c>
      <c r="BP143" s="70">
        <v>0</v>
      </c>
      <c r="BQ143" s="70">
        <v>42</v>
      </c>
      <c r="BS143" s="71" t="s">
        <v>1613</v>
      </c>
      <c r="BT143" s="71" t="s">
        <v>2513</v>
      </c>
      <c r="BU143" s="71">
        <v>79</v>
      </c>
      <c r="BV143" s="71">
        <v>69</v>
      </c>
      <c r="BW143" s="71">
        <v>124</v>
      </c>
      <c r="BX143" s="71">
        <v>177</v>
      </c>
      <c r="BY143" s="71">
        <v>198</v>
      </c>
      <c r="BZ143" s="71">
        <v>647</v>
      </c>
      <c r="CA143" s="71"/>
      <c r="CB143" s="71" t="s">
        <v>2513</v>
      </c>
      <c r="CC143" s="71">
        <v>20</v>
      </c>
      <c r="CD143" s="71">
        <v>0</v>
      </c>
      <c r="CE143" s="71">
        <v>0</v>
      </c>
      <c r="CF143" s="71">
        <v>0</v>
      </c>
      <c r="CG143" s="71">
        <v>0</v>
      </c>
      <c r="CH143" s="71">
        <v>20</v>
      </c>
      <c r="CL143" s="57" t="s">
        <v>565</v>
      </c>
      <c r="CM143" s="57" t="s">
        <v>2441</v>
      </c>
      <c r="CN143" s="57">
        <v>246</v>
      </c>
      <c r="CO143" s="57">
        <v>110</v>
      </c>
      <c r="CP143" s="57">
        <v>157</v>
      </c>
      <c r="CQ143" s="57">
        <v>188</v>
      </c>
      <c r="CR143" s="57">
        <v>269</v>
      </c>
      <c r="CS143" s="57">
        <v>970</v>
      </c>
      <c r="CT143" s="57"/>
      <c r="CU143" s="57" t="s">
        <v>2441</v>
      </c>
      <c r="CV143" s="57">
        <v>57</v>
      </c>
      <c r="CW143" s="57">
        <v>0</v>
      </c>
      <c r="CX143" s="57">
        <v>0</v>
      </c>
      <c r="CY143" s="57">
        <v>0</v>
      </c>
      <c r="CZ143" s="57">
        <v>0</v>
      </c>
      <c r="DA143" s="57">
        <v>57</v>
      </c>
      <c r="DV143" s="80" t="s">
        <v>1904</v>
      </c>
      <c r="DW143" s="80" t="s">
        <v>2513</v>
      </c>
      <c r="DX143" s="80">
        <v>202</v>
      </c>
      <c r="DY143" s="80">
        <v>178</v>
      </c>
      <c r="DZ143" s="80">
        <v>157</v>
      </c>
      <c r="EA143" s="80">
        <v>193</v>
      </c>
      <c r="EB143" s="80">
        <v>192</v>
      </c>
      <c r="EC143" s="80">
        <v>922</v>
      </c>
      <c r="ED143" s="80"/>
      <c r="EE143" s="80" t="s">
        <v>2513</v>
      </c>
      <c r="EF143" s="80">
        <v>11</v>
      </c>
      <c r="EG143" s="80">
        <v>1</v>
      </c>
      <c r="EH143" s="80">
        <v>0</v>
      </c>
      <c r="EI143" s="80">
        <v>0</v>
      </c>
      <c r="EJ143" s="80">
        <v>0</v>
      </c>
      <c r="EK143" s="80">
        <v>12</v>
      </c>
      <c r="EN143" s="57" t="s">
        <v>2024</v>
      </c>
      <c r="EO143" s="57" t="s">
        <v>2441</v>
      </c>
      <c r="EP143" s="57">
        <v>129</v>
      </c>
      <c r="EQ143" s="57">
        <v>212</v>
      </c>
      <c r="ER143" s="57">
        <v>305</v>
      </c>
      <c r="ES143" s="57">
        <v>329</v>
      </c>
      <c r="ET143" s="57">
        <v>449</v>
      </c>
      <c r="EU143" s="57">
        <v>1424</v>
      </c>
      <c r="EV143" s="57"/>
      <c r="EW143" s="57" t="s">
        <v>2441</v>
      </c>
      <c r="EX143" s="57">
        <v>20</v>
      </c>
      <c r="EY143" s="57">
        <v>4</v>
      </c>
      <c r="EZ143" s="57">
        <v>2</v>
      </c>
      <c r="FA143" s="57">
        <v>0</v>
      </c>
      <c r="FB143" s="57">
        <v>1</v>
      </c>
      <c r="FC143" s="57">
        <v>27</v>
      </c>
      <c r="FF143" s="71" t="s">
        <v>2041</v>
      </c>
      <c r="FG143" s="71" t="s">
        <v>2441</v>
      </c>
      <c r="FH143" s="71">
        <v>108</v>
      </c>
      <c r="FI143" s="71">
        <v>132</v>
      </c>
      <c r="FJ143" s="71">
        <v>192</v>
      </c>
      <c r="FK143" s="71">
        <v>256</v>
      </c>
      <c r="FL143" s="71">
        <v>326</v>
      </c>
      <c r="FM143" s="71">
        <v>1014</v>
      </c>
      <c r="FN143" s="71"/>
      <c r="FO143" s="71" t="s">
        <v>2441</v>
      </c>
      <c r="FP143" s="71">
        <v>13</v>
      </c>
      <c r="FQ143" s="71">
        <v>2</v>
      </c>
      <c r="FR143" s="71">
        <v>1</v>
      </c>
      <c r="FS143" s="71">
        <v>2</v>
      </c>
      <c r="FT143" s="71">
        <v>0</v>
      </c>
      <c r="FU143" s="71">
        <v>18</v>
      </c>
    </row>
    <row r="144" spans="1:177">
      <c r="B144" s="65" t="s">
        <v>1013</v>
      </c>
      <c r="C144" s="65" t="s">
        <v>2437</v>
      </c>
      <c r="D144" s="65">
        <v>121</v>
      </c>
      <c r="E144" s="65">
        <v>225</v>
      </c>
      <c r="F144" s="65">
        <v>273</v>
      </c>
      <c r="G144" s="65">
        <v>374</v>
      </c>
      <c r="H144" s="65">
        <v>311</v>
      </c>
      <c r="I144" s="65">
        <v>1304</v>
      </c>
      <c r="K144" s="65" t="s">
        <v>2437</v>
      </c>
      <c r="L144" s="65">
        <v>8</v>
      </c>
      <c r="M144" s="65">
        <v>3</v>
      </c>
      <c r="N144" s="65">
        <v>1</v>
      </c>
      <c r="O144" s="65">
        <v>0</v>
      </c>
      <c r="P144" s="65">
        <v>1</v>
      </c>
      <c r="Q144" s="65">
        <v>13</v>
      </c>
      <c r="T144" s="66" t="s">
        <v>1090</v>
      </c>
      <c r="U144" s="66" t="s">
        <v>2513</v>
      </c>
      <c r="V144" s="66">
        <v>578</v>
      </c>
      <c r="W144" s="66">
        <v>606</v>
      </c>
      <c r="X144" s="66">
        <v>894</v>
      </c>
      <c r="Y144" s="66">
        <v>1039</v>
      </c>
      <c r="Z144" s="66">
        <v>767</v>
      </c>
      <c r="AA144" s="66">
        <v>3884</v>
      </c>
      <c r="AB144" s="66"/>
      <c r="AC144" s="66" t="s">
        <v>2513</v>
      </c>
      <c r="AD144" s="66">
        <v>70</v>
      </c>
      <c r="AE144" s="66">
        <v>5</v>
      </c>
      <c r="AF144" s="66">
        <v>2</v>
      </c>
      <c r="AG144" s="66">
        <v>0</v>
      </c>
      <c r="AH144" s="66">
        <v>2</v>
      </c>
      <c r="AI144" s="66">
        <v>79</v>
      </c>
      <c r="AK144" s="67" t="s">
        <v>2227</v>
      </c>
      <c r="AL144" s="67" t="s">
        <v>2437</v>
      </c>
      <c r="AM144" s="67">
        <v>135</v>
      </c>
      <c r="AN144" s="67">
        <v>190</v>
      </c>
      <c r="AO144" s="67">
        <v>318</v>
      </c>
      <c r="AP144" s="67">
        <v>420</v>
      </c>
      <c r="AQ144" s="67">
        <v>308</v>
      </c>
      <c r="AR144" s="67">
        <v>1371</v>
      </c>
      <c r="AS144" s="67"/>
      <c r="AT144" s="67" t="s">
        <v>2437</v>
      </c>
      <c r="AU144" s="67">
        <v>22</v>
      </c>
      <c r="AV144" s="67">
        <v>2</v>
      </c>
      <c r="AW144" s="67">
        <v>0</v>
      </c>
      <c r="AX144" s="67">
        <v>0</v>
      </c>
      <c r="AY144" s="67">
        <v>0</v>
      </c>
      <c r="AZ144" s="67">
        <v>24</v>
      </c>
      <c r="BB144" s="70" t="s">
        <v>1350</v>
      </c>
      <c r="BC144" s="70" t="s">
        <v>2437</v>
      </c>
      <c r="BD144" s="70">
        <v>104</v>
      </c>
      <c r="BE144" s="70">
        <v>70</v>
      </c>
      <c r="BF144" s="70">
        <v>138</v>
      </c>
      <c r="BG144" s="70">
        <v>206</v>
      </c>
      <c r="BH144" s="70">
        <v>193</v>
      </c>
      <c r="BI144" s="70">
        <v>711</v>
      </c>
      <c r="BJ144" s="70"/>
      <c r="BK144" s="70" t="s">
        <v>2437</v>
      </c>
      <c r="BL144" s="70">
        <v>45</v>
      </c>
      <c r="BM144" s="70">
        <v>0</v>
      </c>
      <c r="BN144" s="70">
        <v>0</v>
      </c>
      <c r="BO144" s="70">
        <v>0</v>
      </c>
      <c r="BP144" s="70">
        <v>0</v>
      </c>
      <c r="BQ144" s="70">
        <v>45</v>
      </c>
      <c r="BS144" s="71" t="s">
        <v>1617</v>
      </c>
      <c r="BT144" s="71" t="s">
        <v>2513</v>
      </c>
      <c r="BU144" s="71">
        <v>109</v>
      </c>
      <c r="BV144" s="71">
        <v>64</v>
      </c>
      <c r="BW144" s="71">
        <v>148</v>
      </c>
      <c r="BX144" s="71">
        <v>238</v>
      </c>
      <c r="BY144" s="71">
        <v>197</v>
      </c>
      <c r="BZ144" s="71">
        <v>756</v>
      </c>
      <c r="CA144" s="71"/>
      <c r="CB144" s="71" t="s">
        <v>2513</v>
      </c>
      <c r="CC144" s="71">
        <v>45</v>
      </c>
      <c r="CD144" s="71">
        <v>0</v>
      </c>
      <c r="CE144" s="71">
        <v>0</v>
      </c>
      <c r="CF144" s="71">
        <v>0</v>
      </c>
      <c r="CG144" s="71">
        <v>0</v>
      </c>
      <c r="CH144" s="71">
        <v>45</v>
      </c>
      <c r="CL144" s="57" t="s">
        <v>578</v>
      </c>
      <c r="CM144" s="57" t="s">
        <v>2441</v>
      </c>
      <c r="CN144" s="57">
        <v>88</v>
      </c>
      <c r="CO144" s="57">
        <v>88</v>
      </c>
      <c r="CP144" s="57">
        <v>182</v>
      </c>
      <c r="CQ144" s="57">
        <v>228</v>
      </c>
      <c r="CR144" s="57">
        <v>210</v>
      </c>
      <c r="CS144" s="57">
        <v>796</v>
      </c>
      <c r="CT144" s="57"/>
      <c r="CU144" s="57" t="s">
        <v>2441</v>
      </c>
      <c r="CV144" s="57">
        <v>18</v>
      </c>
      <c r="CW144" s="57">
        <v>0</v>
      </c>
      <c r="CX144" s="57">
        <v>0</v>
      </c>
      <c r="CY144" s="57">
        <v>0</v>
      </c>
      <c r="CZ144" s="57">
        <v>0</v>
      </c>
      <c r="DA144" s="57">
        <v>18</v>
      </c>
      <c r="DV144" s="80" t="s">
        <v>1908</v>
      </c>
      <c r="DW144" s="80" t="s">
        <v>2513</v>
      </c>
      <c r="DX144" s="80">
        <v>400</v>
      </c>
      <c r="DY144" s="80">
        <v>449</v>
      </c>
      <c r="DZ144" s="80">
        <v>475</v>
      </c>
      <c r="EA144" s="80">
        <v>430</v>
      </c>
      <c r="EB144" s="80">
        <v>282</v>
      </c>
      <c r="EC144" s="80">
        <v>2036</v>
      </c>
      <c r="ED144" s="80"/>
      <c r="EE144" s="80" t="s">
        <v>2513</v>
      </c>
      <c r="EF144" s="80">
        <v>12</v>
      </c>
      <c r="EG144" s="80">
        <v>5</v>
      </c>
      <c r="EH144" s="80">
        <v>0</v>
      </c>
      <c r="EI144" s="80">
        <v>0</v>
      </c>
      <c r="EJ144" s="80">
        <v>0</v>
      </c>
      <c r="EK144" s="80">
        <v>17</v>
      </c>
      <c r="EN144" s="57" t="s">
        <v>2027</v>
      </c>
      <c r="EO144" s="57" t="s">
        <v>2441</v>
      </c>
      <c r="EP144" s="57">
        <v>63</v>
      </c>
      <c r="EQ144" s="57">
        <v>127</v>
      </c>
      <c r="ER144" s="57">
        <v>221</v>
      </c>
      <c r="ES144" s="57">
        <v>272</v>
      </c>
      <c r="ET144" s="57">
        <v>361</v>
      </c>
      <c r="EU144" s="57">
        <v>1044</v>
      </c>
      <c r="EV144" s="57"/>
      <c r="EW144" s="57" t="s">
        <v>2441</v>
      </c>
      <c r="EX144" s="57">
        <v>17</v>
      </c>
      <c r="EY144" s="57">
        <v>1</v>
      </c>
      <c r="EZ144" s="57">
        <v>3</v>
      </c>
      <c r="FA144" s="57">
        <v>3</v>
      </c>
      <c r="FB144" s="57">
        <v>1</v>
      </c>
      <c r="FC144" s="57">
        <v>25</v>
      </c>
      <c r="FF144" s="71" t="s">
        <v>2044</v>
      </c>
      <c r="FG144" s="71" t="s">
        <v>2441</v>
      </c>
      <c r="FH144" s="71">
        <v>64</v>
      </c>
      <c r="FI144" s="71">
        <v>88</v>
      </c>
      <c r="FJ144" s="71">
        <v>164</v>
      </c>
      <c r="FK144" s="71">
        <v>211</v>
      </c>
      <c r="FL144" s="71">
        <v>294</v>
      </c>
      <c r="FM144" s="71">
        <v>821</v>
      </c>
      <c r="FN144" s="71"/>
      <c r="FO144" s="71" t="s">
        <v>2441</v>
      </c>
      <c r="FP144" s="71">
        <v>8</v>
      </c>
      <c r="FQ144" s="71">
        <v>3</v>
      </c>
      <c r="FR144" s="71">
        <v>2</v>
      </c>
      <c r="FS144" s="71">
        <v>1</v>
      </c>
      <c r="FT144" s="71">
        <v>1</v>
      </c>
      <c r="FU144" s="71">
        <v>15</v>
      </c>
    </row>
    <row r="145" spans="2:177">
      <c r="B145" s="65" t="s">
        <v>1018</v>
      </c>
      <c r="C145" s="65" t="s">
        <v>2437</v>
      </c>
      <c r="D145" s="65">
        <v>97</v>
      </c>
      <c r="E145" s="65">
        <v>153</v>
      </c>
      <c r="F145" s="65">
        <v>241</v>
      </c>
      <c r="G145" s="65">
        <v>355</v>
      </c>
      <c r="H145" s="65">
        <v>261</v>
      </c>
      <c r="I145" s="65">
        <v>1107</v>
      </c>
      <c r="K145" s="65" t="s">
        <v>2437</v>
      </c>
      <c r="L145" s="65">
        <v>11</v>
      </c>
      <c r="M145" s="65">
        <v>1</v>
      </c>
      <c r="N145" s="65">
        <v>0</v>
      </c>
      <c r="O145" s="65">
        <v>0</v>
      </c>
      <c r="P145" s="65">
        <v>0</v>
      </c>
      <c r="Q145" s="65">
        <v>12</v>
      </c>
      <c r="T145" s="66" t="s">
        <v>1096</v>
      </c>
      <c r="U145" s="66" t="s">
        <v>2513</v>
      </c>
      <c r="V145" s="66">
        <v>453</v>
      </c>
      <c r="W145" s="66">
        <v>375</v>
      </c>
      <c r="X145" s="66">
        <v>535</v>
      </c>
      <c r="Y145" s="66">
        <v>677</v>
      </c>
      <c r="Z145" s="66">
        <v>562</v>
      </c>
      <c r="AA145" s="66">
        <v>2602</v>
      </c>
      <c r="AB145" s="66"/>
      <c r="AC145" s="66" t="s">
        <v>2513</v>
      </c>
      <c r="AD145" s="66">
        <v>19</v>
      </c>
      <c r="AE145" s="66">
        <v>0</v>
      </c>
      <c r="AF145" s="66">
        <v>0</v>
      </c>
      <c r="AG145" s="66">
        <v>0</v>
      </c>
      <c r="AH145" s="66">
        <v>0</v>
      </c>
      <c r="AI145" s="66">
        <v>19</v>
      </c>
      <c r="AK145" s="67" t="s">
        <v>2211</v>
      </c>
      <c r="AL145" s="67" t="s">
        <v>2437</v>
      </c>
      <c r="AM145" s="67">
        <v>246</v>
      </c>
      <c r="AN145" s="67">
        <v>331</v>
      </c>
      <c r="AO145" s="67">
        <v>392</v>
      </c>
      <c r="AP145" s="67">
        <v>467</v>
      </c>
      <c r="AQ145" s="67">
        <v>374</v>
      </c>
      <c r="AR145" s="67">
        <v>1810</v>
      </c>
      <c r="AS145" s="67"/>
      <c r="AT145" s="67" t="s">
        <v>2437</v>
      </c>
      <c r="AU145" s="67">
        <v>18</v>
      </c>
      <c r="AV145" s="67">
        <v>0</v>
      </c>
      <c r="AW145" s="67">
        <v>0</v>
      </c>
      <c r="AX145" s="67">
        <v>0</v>
      </c>
      <c r="AY145" s="67">
        <v>0</v>
      </c>
      <c r="AZ145" s="67">
        <v>18</v>
      </c>
      <c r="BB145" s="70" t="s">
        <v>1356</v>
      </c>
      <c r="BC145" s="70" t="s">
        <v>2437</v>
      </c>
      <c r="BD145" s="70">
        <v>339</v>
      </c>
      <c r="BE145" s="70">
        <v>255</v>
      </c>
      <c r="BF145" s="70">
        <v>365</v>
      </c>
      <c r="BG145" s="70">
        <v>411</v>
      </c>
      <c r="BH145" s="70">
        <v>381</v>
      </c>
      <c r="BI145" s="70">
        <v>1751</v>
      </c>
      <c r="BJ145" s="70"/>
      <c r="BK145" s="70" t="s">
        <v>2437</v>
      </c>
      <c r="BL145" s="70">
        <v>122</v>
      </c>
      <c r="BM145" s="70">
        <v>0</v>
      </c>
      <c r="BN145" s="70">
        <v>0</v>
      </c>
      <c r="BO145" s="70">
        <v>0</v>
      </c>
      <c r="BP145" s="70">
        <v>0</v>
      </c>
      <c r="BQ145" s="70">
        <v>122</v>
      </c>
      <c r="BS145" s="71" t="s">
        <v>1619</v>
      </c>
      <c r="BT145" s="71" t="s">
        <v>2513</v>
      </c>
      <c r="BU145" s="71">
        <v>60</v>
      </c>
      <c r="BV145" s="71">
        <v>171</v>
      </c>
      <c r="BW145" s="71">
        <v>329</v>
      </c>
      <c r="BX145" s="71">
        <v>466</v>
      </c>
      <c r="BY145" s="71">
        <v>425</v>
      </c>
      <c r="BZ145" s="71">
        <v>1451</v>
      </c>
      <c r="CA145" s="71"/>
      <c r="CB145" s="71" t="s">
        <v>2513</v>
      </c>
      <c r="CC145" s="71">
        <v>7</v>
      </c>
      <c r="CD145" s="71">
        <v>0</v>
      </c>
      <c r="CE145" s="71">
        <v>0</v>
      </c>
      <c r="CF145" s="71">
        <v>0</v>
      </c>
      <c r="CG145" s="71">
        <v>0</v>
      </c>
      <c r="CH145" s="71">
        <v>7</v>
      </c>
      <c r="CL145" s="57" t="s">
        <v>582</v>
      </c>
      <c r="CM145" s="57" t="s">
        <v>2441</v>
      </c>
      <c r="CN145" s="57">
        <v>149</v>
      </c>
      <c r="CO145" s="57">
        <v>84</v>
      </c>
      <c r="CP145" s="57">
        <v>137</v>
      </c>
      <c r="CQ145" s="57">
        <v>184</v>
      </c>
      <c r="CR145" s="57">
        <v>189</v>
      </c>
      <c r="CS145" s="57">
        <v>743</v>
      </c>
      <c r="CT145" s="57"/>
      <c r="CU145" s="57" t="s">
        <v>2441</v>
      </c>
      <c r="CV145" s="57">
        <v>54</v>
      </c>
      <c r="CW145" s="57">
        <v>0</v>
      </c>
      <c r="CX145" s="57">
        <v>0</v>
      </c>
      <c r="CY145" s="57">
        <v>0</v>
      </c>
      <c r="CZ145" s="57">
        <v>0</v>
      </c>
      <c r="DA145" s="57">
        <v>54</v>
      </c>
      <c r="DV145" s="80" t="s">
        <v>1911</v>
      </c>
      <c r="DW145" s="80" t="s">
        <v>2513</v>
      </c>
      <c r="DX145" s="80">
        <v>513</v>
      </c>
      <c r="DY145" s="80">
        <v>752</v>
      </c>
      <c r="DZ145" s="80">
        <v>994</v>
      </c>
      <c r="EA145" s="80">
        <v>1214</v>
      </c>
      <c r="EB145" s="80">
        <v>1018</v>
      </c>
      <c r="EC145" s="80">
        <v>4491</v>
      </c>
      <c r="ED145" s="80"/>
      <c r="EE145" s="80" t="s">
        <v>2513</v>
      </c>
      <c r="EF145" s="80">
        <v>24</v>
      </c>
      <c r="EG145" s="80">
        <v>7</v>
      </c>
      <c r="EH145" s="80">
        <v>0</v>
      </c>
      <c r="EI145" s="80">
        <v>0</v>
      </c>
      <c r="EJ145" s="80">
        <v>0</v>
      </c>
      <c r="EK145" s="80">
        <v>31</v>
      </c>
      <c r="EN145" s="57" t="s">
        <v>2030</v>
      </c>
      <c r="EO145" s="57" t="s">
        <v>2441</v>
      </c>
      <c r="EP145" s="57" t="s">
        <v>356</v>
      </c>
      <c r="EQ145" s="57" t="s">
        <v>356</v>
      </c>
      <c r="ER145" s="57" t="s">
        <v>356</v>
      </c>
      <c r="ES145" s="57" t="s">
        <v>356</v>
      </c>
      <c r="ET145" s="57" t="s">
        <v>356</v>
      </c>
      <c r="EU145" s="57" t="s">
        <v>356</v>
      </c>
      <c r="EV145" s="57"/>
      <c r="EW145" s="57" t="s">
        <v>2441</v>
      </c>
      <c r="EX145" s="57" t="s">
        <v>356</v>
      </c>
      <c r="EY145" s="57" t="s">
        <v>356</v>
      </c>
      <c r="EZ145" s="57" t="s">
        <v>356</v>
      </c>
      <c r="FA145" s="57" t="s">
        <v>356</v>
      </c>
      <c r="FB145" s="57" t="s">
        <v>356</v>
      </c>
      <c r="FC145" s="57" t="s">
        <v>356</v>
      </c>
      <c r="FF145" s="71" t="s">
        <v>2411</v>
      </c>
      <c r="FG145" s="71" t="s">
        <v>2441</v>
      </c>
      <c r="FH145" s="71">
        <v>96</v>
      </c>
      <c r="FI145" s="71">
        <v>145</v>
      </c>
      <c r="FJ145" s="71">
        <v>219</v>
      </c>
      <c r="FK145" s="71">
        <v>302</v>
      </c>
      <c r="FL145" s="71">
        <v>403</v>
      </c>
      <c r="FM145" s="71">
        <v>1165</v>
      </c>
      <c r="FN145" s="71"/>
      <c r="FO145" s="71" t="s">
        <v>2441</v>
      </c>
      <c r="FP145" s="71">
        <v>2</v>
      </c>
      <c r="FQ145" s="71">
        <v>3</v>
      </c>
      <c r="FR145" s="71">
        <v>0</v>
      </c>
      <c r="FS145" s="71">
        <v>2</v>
      </c>
      <c r="FT145" s="71">
        <v>0</v>
      </c>
      <c r="FU145" s="71">
        <v>7</v>
      </c>
    </row>
    <row r="146" spans="2:177">
      <c r="B146" s="65" t="s">
        <v>1024</v>
      </c>
      <c r="C146" s="65" t="s">
        <v>2437</v>
      </c>
      <c r="D146" s="65">
        <v>385</v>
      </c>
      <c r="E146" s="65">
        <v>372</v>
      </c>
      <c r="F146" s="65">
        <v>429</v>
      </c>
      <c r="G146" s="65">
        <v>517</v>
      </c>
      <c r="H146" s="65">
        <v>383</v>
      </c>
      <c r="I146" s="65">
        <v>2086</v>
      </c>
      <c r="K146" s="65" t="s">
        <v>2437</v>
      </c>
      <c r="L146" s="65">
        <v>47</v>
      </c>
      <c r="M146" s="65">
        <v>5</v>
      </c>
      <c r="N146" s="65">
        <v>2</v>
      </c>
      <c r="O146" s="65">
        <v>1</v>
      </c>
      <c r="P146" s="65">
        <v>0</v>
      </c>
      <c r="Q146" s="65">
        <v>55</v>
      </c>
      <c r="T146" s="66" t="s">
        <v>1103</v>
      </c>
      <c r="U146" s="66" t="s">
        <v>2513</v>
      </c>
      <c r="V146" s="66">
        <v>154</v>
      </c>
      <c r="W146" s="66">
        <v>118</v>
      </c>
      <c r="X146" s="66">
        <v>201</v>
      </c>
      <c r="Y146" s="66">
        <v>265</v>
      </c>
      <c r="Z146" s="66">
        <v>246</v>
      </c>
      <c r="AA146" s="66">
        <v>984</v>
      </c>
      <c r="AB146" s="66"/>
      <c r="AC146" s="66" t="s">
        <v>2513</v>
      </c>
      <c r="AD146" s="66">
        <v>10</v>
      </c>
      <c r="AE146" s="66">
        <v>0</v>
      </c>
      <c r="AF146" s="66">
        <v>0</v>
      </c>
      <c r="AG146" s="66">
        <v>0</v>
      </c>
      <c r="AH146" s="66">
        <v>0</v>
      </c>
      <c r="AI146" s="66">
        <v>10</v>
      </c>
      <c r="AK146" s="67" t="s">
        <v>2230</v>
      </c>
      <c r="AL146" s="67" t="s">
        <v>2437</v>
      </c>
      <c r="AM146" s="67">
        <v>265</v>
      </c>
      <c r="AN146" s="67">
        <v>309</v>
      </c>
      <c r="AO146" s="67">
        <v>348</v>
      </c>
      <c r="AP146" s="67">
        <v>344</v>
      </c>
      <c r="AQ146" s="67">
        <v>325</v>
      </c>
      <c r="AR146" s="67">
        <v>1591</v>
      </c>
      <c r="AS146" s="67"/>
      <c r="AT146" s="67" t="s">
        <v>2437</v>
      </c>
      <c r="AU146" s="67">
        <v>27</v>
      </c>
      <c r="AV146" s="67">
        <v>1</v>
      </c>
      <c r="AW146" s="67">
        <v>0</v>
      </c>
      <c r="AX146" s="67">
        <v>0</v>
      </c>
      <c r="AY146" s="67">
        <v>0</v>
      </c>
      <c r="AZ146" s="67">
        <v>28</v>
      </c>
      <c r="BB146" s="70" t="s">
        <v>1359</v>
      </c>
      <c r="BC146" s="70" t="s">
        <v>2437</v>
      </c>
      <c r="BD146" s="70">
        <v>130</v>
      </c>
      <c r="BE146" s="70">
        <v>66</v>
      </c>
      <c r="BF146" s="70">
        <v>119</v>
      </c>
      <c r="BG146" s="70">
        <v>154</v>
      </c>
      <c r="BH146" s="70">
        <v>158</v>
      </c>
      <c r="BI146" s="70">
        <v>627</v>
      </c>
      <c r="BJ146" s="70"/>
      <c r="BK146" s="70" t="s">
        <v>2437</v>
      </c>
      <c r="BL146" s="70">
        <v>33</v>
      </c>
      <c r="BM146" s="70">
        <v>0</v>
      </c>
      <c r="BN146" s="70">
        <v>0</v>
      </c>
      <c r="BO146" s="70">
        <v>0</v>
      </c>
      <c r="BP146" s="70">
        <v>0</v>
      </c>
      <c r="BQ146" s="70">
        <v>33</v>
      </c>
      <c r="BS146" s="71" t="s">
        <v>1621</v>
      </c>
      <c r="BT146" s="71" t="s">
        <v>2513</v>
      </c>
      <c r="BU146" s="71">
        <v>120</v>
      </c>
      <c r="BV146" s="71">
        <v>179</v>
      </c>
      <c r="BW146" s="71">
        <v>369</v>
      </c>
      <c r="BX146" s="71">
        <v>549</v>
      </c>
      <c r="BY146" s="71">
        <v>489</v>
      </c>
      <c r="BZ146" s="71">
        <v>1706</v>
      </c>
      <c r="CA146" s="71"/>
      <c r="CB146" s="71" t="s">
        <v>2513</v>
      </c>
      <c r="CC146" s="71">
        <v>20</v>
      </c>
      <c r="CD146" s="71">
        <v>0</v>
      </c>
      <c r="CE146" s="71">
        <v>0</v>
      </c>
      <c r="CF146" s="71">
        <v>0</v>
      </c>
      <c r="CG146" s="71">
        <v>0</v>
      </c>
      <c r="CH146" s="71">
        <v>20</v>
      </c>
      <c r="CL146" s="57" t="s">
        <v>626</v>
      </c>
      <c r="CM146" s="57" t="s">
        <v>2441</v>
      </c>
      <c r="CN146" s="57">
        <v>41</v>
      </c>
      <c r="CO146" s="57">
        <v>28</v>
      </c>
      <c r="CP146" s="57">
        <v>60</v>
      </c>
      <c r="CQ146" s="57">
        <v>110</v>
      </c>
      <c r="CR146" s="57">
        <v>113</v>
      </c>
      <c r="CS146" s="57">
        <v>352</v>
      </c>
      <c r="CT146" s="57"/>
      <c r="CU146" s="57" t="s">
        <v>2441</v>
      </c>
      <c r="CV146" s="57">
        <v>15</v>
      </c>
      <c r="CW146" s="57">
        <v>0</v>
      </c>
      <c r="CX146" s="57">
        <v>0</v>
      </c>
      <c r="CY146" s="57">
        <v>0</v>
      </c>
      <c r="CZ146" s="57">
        <v>0</v>
      </c>
      <c r="DA146" s="57">
        <v>15</v>
      </c>
      <c r="DV146" s="80" t="s">
        <v>1914</v>
      </c>
      <c r="DW146" s="80" t="s">
        <v>2513</v>
      </c>
      <c r="DX146" s="80">
        <v>231</v>
      </c>
      <c r="DY146" s="80">
        <v>300</v>
      </c>
      <c r="DZ146" s="80">
        <v>354</v>
      </c>
      <c r="EA146" s="80">
        <v>415</v>
      </c>
      <c r="EB146" s="80">
        <v>319</v>
      </c>
      <c r="EC146" s="80">
        <v>1619</v>
      </c>
      <c r="ED146" s="80"/>
      <c r="EE146" s="80" t="s">
        <v>2513</v>
      </c>
      <c r="EF146" s="80">
        <v>17</v>
      </c>
      <c r="EG146" s="80">
        <v>0</v>
      </c>
      <c r="EH146" s="80">
        <v>0</v>
      </c>
      <c r="EI146" s="80">
        <v>0</v>
      </c>
      <c r="EJ146" s="80">
        <v>0</v>
      </c>
      <c r="EK146" s="80">
        <v>17</v>
      </c>
      <c r="FF146" s="71" t="s">
        <v>2412</v>
      </c>
      <c r="FG146" s="71" t="s">
        <v>2441</v>
      </c>
      <c r="FH146" s="71">
        <v>169</v>
      </c>
      <c r="FI146" s="71">
        <v>263</v>
      </c>
      <c r="FJ146" s="71">
        <v>354</v>
      </c>
      <c r="FK146" s="71">
        <v>448</v>
      </c>
      <c r="FL146" s="71">
        <v>634</v>
      </c>
      <c r="FM146" s="71">
        <v>1868</v>
      </c>
      <c r="FN146" s="71"/>
      <c r="FO146" s="71" t="s">
        <v>2441</v>
      </c>
      <c r="FP146" s="71">
        <v>9</v>
      </c>
      <c r="FQ146" s="71">
        <v>6</v>
      </c>
      <c r="FR146" s="71">
        <v>7</v>
      </c>
      <c r="FS146" s="71">
        <v>4</v>
      </c>
      <c r="FT146" s="71">
        <v>7</v>
      </c>
      <c r="FU146" s="71">
        <v>33</v>
      </c>
    </row>
    <row r="147" spans="2:177">
      <c r="B147" s="65" t="s">
        <v>1029</v>
      </c>
      <c r="C147" s="65" t="s">
        <v>2437</v>
      </c>
      <c r="D147" s="65" t="s">
        <v>356</v>
      </c>
      <c r="E147" s="65" t="s">
        <v>356</v>
      </c>
      <c r="F147" s="65" t="s">
        <v>356</v>
      </c>
      <c r="G147" s="65" t="s">
        <v>356</v>
      </c>
      <c r="H147" s="65" t="s">
        <v>356</v>
      </c>
      <c r="I147" s="65" t="s">
        <v>356</v>
      </c>
      <c r="K147" s="65" t="s">
        <v>2437</v>
      </c>
      <c r="L147" s="65" t="s">
        <v>356</v>
      </c>
      <c r="M147" s="65" t="s">
        <v>356</v>
      </c>
      <c r="N147" s="65" t="s">
        <v>356</v>
      </c>
      <c r="O147" s="65" t="s">
        <v>356</v>
      </c>
      <c r="P147" s="65" t="s">
        <v>356</v>
      </c>
      <c r="Q147" s="65" t="s">
        <v>356</v>
      </c>
      <c r="T147" s="66" t="s">
        <v>1109</v>
      </c>
      <c r="U147" s="66" t="s">
        <v>2513</v>
      </c>
      <c r="V147" s="66">
        <v>661</v>
      </c>
      <c r="W147" s="66">
        <v>530</v>
      </c>
      <c r="X147" s="66">
        <v>721</v>
      </c>
      <c r="Y147" s="66">
        <v>712</v>
      </c>
      <c r="Z147" s="66">
        <v>596</v>
      </c>
      <c r="AA147" s="66">
        <v>3220</v>
      </c>
      <c r="AB147" s="66"/>
      <c r="AC147" s="66" t="s">
        <v>2513</v>
      </c>
      <c r="AD147" s="66">
        <v>14</v>
      </c>
      <c r="AE147" s="66">
        <v>0</v>
      </c>
      <c r="AF147" s="66">
        <v>0</v>
      </c>
      <c r="AG147" s="66">
        <v>0</v>
      </c>
      <c r="AH147" s="66">
        <v>0</v>
      </c>
      <c r="AI147" s="66">
        <v>14</v>
      </c>
      <c r="AK147" s="67" t="s">
        <v>2225</v>
      </c>
      <c r="AL147" s="67" t="s">
        <v>2437</v>
      </c>
      <c r="AM147" s="67">
        <v>167</v>
      </c>
      <c r="AN147" s="67">
        <v>139</v>
      </c>
      <c r="AO147" s="67">
        <v>208</v>
      </c>
      <c r="AP147" s="67">
        <v>255</v>
      </c>
      <c r="AQ147" s="67">
        <v>267</v>
      </c>
      <c r="AR147" s="67">
        <v>1036</v>
      </c>
      <c r="AS147" s="67"/>
      <c r="AT147" s="67" t="s">
        <v>2437</v>
      </c>
      <c r="AU147" s="67">
        <v>52</v>
      </c>
      <c r="AV147" s="67">
        <v>1</v>
      </c>
      <c r="AW147" s="67">
        <v>0</v>
      </c>
      <c r="AX147" s="67">
        <v>0</v>
      </c>
      <c r="AY147" s="67">
        <v>0</v>
      </c>
      <c r="AZ147" s="67">
        <v>53</v>
      </c>
      <c r="BB147" s="70" t="s">
        <v>1362</v>
      </c>
      <c r="BC147" s="70" t="s">
        <v>2437</v>
      </c>
      <c r="BD147" s="70">
        <v>55</v>
      </c>
      <c r="BE147" s="70">
        <v>51</v>
      </c>
      <c r="BF147" s="70">
        <v>90</v>
      </c>
      <c r="BG147" s="70">
        <v>107</v>
      </c>
      <c r="BH147" s="70">
        <v>125</v>
      </c>
      <c r="BI147" s="70">
        <v>428</v>
      </c>
      <c r="BJ147" s="70"/>
      <c r="BK147" s="70" t="s">
        <v>2437</v>
      </c>
      <c r="BL147" s="70">
        <v>21</v>
      </c>
      <c r="BM147" s="70">
        <v>0</v>
      </c>
      <c r="BN147" s="70">
        <v>0</v>
      </c>
      <c r="BO147" s="70">
        <v>0</v>
      </c>
      <c r="BP147" s="70">
        <v>0</v>
      </c>
      <c r="BQ147" s="70">
        <v>21</v>
      </c>
      <c r="BS147" s="71" t="s">
        <v>1623</v>
      </c>
      <c r="BT147" s="71" t="s">
        <v>2513</v>
      </c>
      <c r="BU147" s="71">
        <v>21</v>
      </c>
      <c r="BV147" s="71">
        <v>42</v>
      </c>
      <c r="BW147" s="71">
        <v>101</v>
      </c>
      <c r="BX147" s="71">
        <v>213</v>
      </c>
      <c r="BY147" s="71">
        <v>206</v>
      </c>
      <c r="BZ147" s="71">
        <v>583</v>
      </c>
      <c r="CA147" s="71"/>
      <c r="CB147" s="71" t="s">
        <v>2513</v>
      </c>
      <c r="CC147" s="71">
        <v>0</v>
      </c>
      <c r="CD147" s="71">
        <v>0</v>
      </c>
      <c r="CE147" s="71">
        <v>0</v>
      </c>
      <c r="CF147" s="71">
        <v>0</v>
      </c>
      <c r="CG147" s="71">
        <v>0</v>
      </c>
      <c r="CH147" s="71">
        <v>0</v>
      </c>
      <c r="CL147" s="57" t="s">
        <v>628</v>
      </c>
      <c r="CM147" s="57" t="s">
        <v>2441</v>
      </c>
      <c r="CN147" s="57">
        <v>51</v>
      </c>
      <c r="CO147" s="57">
        <v>58</v>
      </c>
      <c r="CP147" s="57">
        <v>129</v>
      </c>
      <c r="CQ147" s="57">
        <v>187</v>
      </c>
      <c r="CR147" s="57">
        <v>193</v>
      </c>
      <c r="CS147" s="57">
        <v>618</v>
      </c>
      <c r="CT147" s="57"/>
      <c r="CU147" s="57" t="s">
        <v>2441</v>
      </c>
      <c r="CV147" s="57">
        <v>12</v>
      </c>
      <c r="CW147" s="57">
        <v>0</v>
      </c>
      <c r="CX147" s="57">
        <v>0</v>
      </c>
      <c r="CY147" s="57">
        <v>0</v>
      </c>
      <c r="CZ147" s="57">
        <v>0</v>
      </c>
      <c r="DA147" s="57">
        <v>12</v>
      </c>
      <c r="DV147" s="80" t="s">
        <v>1917</v>
      </c>
      <c r="DW147" s="80" t="s">
        <v>2513</v>
      </c>
      <c r="DX147" s="80">
        <v>201</v>
      </c>
      <c r="DY147" s="80">
        <v>225</v>
      </c>
      <c r="DZ147" s="80">
        <v>257</v>
      </c>
      <c r="EA147" s="80">
        <v>269</v>
      </c>
      <c r="EB147" s="80">
        <v>236</v>
      </c>
      <c r="EC147" s="80">
        <v>1188</v>
      </c>
      <c r="ED147" s="80"/>
      <c r="EE147" s="80" t="s">
        <v>2513</v>
      </c>
      <c r="EF147" s="80">
        <v>22</v>
      </c>
      <c r="EG147" s="80">
        <v>0</v>
      </c>
      <c r="EH147" s="80">
        <v>0</v>
      </c>
      <c r="EI147" s="80">
        <v>0</v>
      </c>
      <c r="EJ147" s="80">
        <v>0</v>
      </c>
      <c r="EK147" s="80">
        <v>22</v>
      </c>
      <c r="EN147" s="57" t="s">
        <v>1955</v>
      </c>
      <c r="EO147" s="57" t="s">
        <v>811</v>
      </c>
      <c r="EP147" s="57">
        <v>124</v>
      </c>
      <c r="EQ147" s="57">
        <v>189</v>
      </c>
      <c r="ER147" s="57">
        <v>258</v>
      </c>
      <c r="ES147" s="57">
        <v>345</v>
      </c>
      <c r="ET147" s="57">
        <v>374</v>
      </c>
      <c r="EU147" s="57">
        <v>1290</v>
      </c>
      <c r="EV147" s="57"/>
      <c r="EW147" s="57" t="s">
        <v>27</v>
      </c>
      <c r="EX147" s="57">
        <v>24</v>
      </c>
      <c r="EY147" s="57">
        <v>19</v>
      </c>
      <c r="EZ147" s="57">
        <v>11</v>
      </c>
      <c r="FA147" s="57">
        <v>7</v>
      </c>
      <c r="FB147" s="57">
        <v>4</v>
      </c>
      <c r="FC147" s="57">
        <v>65</v>
      </c>
      <c r="FF147" s="71" t="s">
        <v>2047</v>
      </c>
      <c r="FG147" s="71" t="s">
        <v>2441</v>
      </c>
      <c r="FH147" s="71">
        <v>599</v>
      </c>
      <c r="FI147" s="71">
        <v>583</v>
      </c>
      <c r="FJ147" s="71">
        <v>506</v>
      </c>
      <c r="FK147" s="71">
        <v>538</v>
      </c>
      <c r="FL147" s="71">
        <v>732</v>
      </c>
      <c r="FM147" s="71">
        <v>2958</v>
      </c>
      <c r="FN147" s="71"/>
      <c r="FO147" s="71" t="s">
        <v>2441</v>
      </c>
      <c r="FP147" s="71">
        <v>184</v>
      </c>
      <c r="FQ147" s="71">
        <v>38</v>
      </c>
      <c r="FR147" s="71">
        <v>9</v>
      </c>
      <c r="FS147" s="71">
        <v>0</v>
      </c>
      <c r="FT147" s="71">
        <v>0</v>
      </c>
      <c r="FU147" s="71">
        <v>231</v>
      </c>
    </row>
    <row r="148" spans="2:177">
      <c r="B148" s="65" t="s">
        <v>1046</v>
      </c>
      <c r="C148" s="65" t="s">
        <v>2437</v>
      </c>
      <c r="D148" s="65">
        <v>151</v>
      </c>
      <c r="E148" s="65">
        <v>109</v>
      </c>
      <c r="F148" s="65">
        <v>147</v>
      </c>
      <c r="G148" s="65">
        <v>220</v>
      </c>
      <c r="H148" s="65">
        <v>288</v>
      </c>
      <c r="I148" s="65">
        <v>915</v>
      </c>
      <c r="K148" s="65" t="s">
        <v>2437</v>
      </c>
      <c r="L148" s="65">
        <v>16</v>
      </c>
      <c r="M148" s="65">
        <v>0</v>
      </c>
      <c r="N148" s="65">
        <v>0</v>
      </c>
      <c r="O148" s="65">
        <v>0</v>
      </c>
      <c r="P148" s="65">
        <v>0</v>
      </c>
      <c r="Q148" s="65">
        <v>16</v>
      </c>
      <c r="T148" s="66" t="s">
        <v>1119</v>
      </c>
      <c r="U148" s="66" t="s">
        <v>2513</v>
      </c>
      <c r="V148" s="66">
        <v>239</v>
      </c>
      <c r="W148" s="66">
        <v>186</v>
      </c>
      <c r="X148" s="66">
        <v>300</v>
      </c>
      <c r="Y148" s="66">
        <v>407</v>
      </c>
      <c r="Z148" s="66">
        <v>316</v>
      </c>
      <c r="AA148" s="66">
        <v>1448</v>
      </c>
      <c r="AB148" s="66"/>
      <c r="AC148" s="66" t="s">
        <v>2513</v>
      </c>
      <c r="AD148" s="66">
        <v>33</v>
      </c>
      <c r="AE148" s="66">
        <v>0</v>
      </c>
      <c r="AF148" s="66">
        <v>0</v>
      </c>
      <c r="AG148" s="66">
        <v>0</v>
      </c>
      <c r="AH148" s="66">
        <v>0</v>
      </c>
      <c r="AI148" s="66">
        <v>33</v>
      </c>
      <c r="AK148" s="67" t="s">
        <v>2226</v>
      </c>
      <c r="AL148" s="67" t="s">
        <v>2437</v>
      </c>
      <c r="AM148" s="67">
        <v>135</v>
      </c>
      <c r="AN148" s="67">
        <v>239</v>
      </c>
      <c r="AO148" s="67">
        <v>397</v>
      </c>
      <c r="AP148" s="67">
        <v>564</v>
      </c>
      <c r="AQ148" s="67">
        <v>446</v>
      </c>
      <c r="AR148" s="67">
        <v>1781</v>
      </c>
      <c r="AS148" s="67"/>
      <c r="AT148" s="67" t="s">
        <v>2437</v>
      </c>
      <c r="AU148" s="67">
        <v>15</v>
      </c>
      <c r="AV148" s="67">
        <v>4</v>
      </c>
      <c r="AW148" s="67">
        <v>0</v>
      </c>
      <c r="AX148" s="67">
        <v>1</v>
      </c>
      <c r="AY148" s="67">
        <v>0</v>
      </c>
      <c r="AZ148" s="67">
        <v>20</v>
      </c>
      <c r="BB148" s="70" t="s">
        <v>1367</v>
      </c>
      <c r="BC148" s="70" t="s">
        <v>2437</v>
      </c>
      <c r="BD148" s="70">
        <v>73</v>
      </c>
      <c r="BE148" s="70">
        <v>55</v>
      </c>
      <c r="BF148" s="70">
        <v>109</v>
      </c>
      <c r="BG148" s="70">
        <v>161</v>
      </c>
      <c r="BH148" s="70">
        <v>153</v>
      </c>
      <c r="BI148" s="70">
        <v>551</v>
      </c>
      <c r="BJ148" s="70"/>
      <c r="BK148" s="70" t="s">
        <v>2437</v>
      </c>
      <c r="BL148" s="70">
        <v>20</v>
      </c>
      <c r="BM148" s="70">
        <v>0</v>
      </c>
      <c r="BN148" s="70">
        <v>0</v>
      </c>
      <c r="BO148" s="70">
        <v>0</v>
      </c>
      <c r="BP148" s="70">
        <v>0</v>
      </c>
      <c r="BQ148" s="70">
        <v>20</v>
      </c>
      <c r="BS148" s="71" t="s">
        <v>1625</v>
      </c>
      <c r="BT148" s="71" t="s">
        <v>2513</v>
      </c>
      <c r="BU148" s="71">
        <v>175</v>
      </c>
      <c r="BV148" s="71">
        <v>153</v>
      </c>
      <c r="BW148" s="71">
        <v>244</v>
      </c>
      <c r="BX148" s="71">
        <v>324</v>
      </c>
      <c r="BY148" s="71">
        <v>306</v>
      </c>
      <c r="BZ148" s="71">
        <v>1202</v>
      </c>
      <c r="CA148" s="71"/>
      <c r="CB148" s="71" t="s">
        <v>2513</v>
      </c>
      <c r="CC148" s="71">
        <v>49</v>
      </c>
      <c r="CD148" s="71">
        <v>0</v>
      </c>
      <c r="CE148" s="71">
        <v>0</v>
      </c>
      <c r="CF148" s="71">
        <v>0</v>
      </c>
      <c r="CG148" s="71">
        <v>0</v>
      </c>
      <c r="CH148" s="71">
        <v>49</v>
      </c>
      <c r="CL148" s="57" t="s">
        <v>632</v>
      </c>
      <c r="CM148" s="57" t="s">
        <v>2441</v>
      </c>
      <c r="CN148" s="57">
        <v>58</v>
      </c>
      <c r="CO148" s="57">
        <v>82</v>
      </c>
      <c r="CP148" s="57">
        <v>135</v>
      </c>
      <c r="CQ148" s="57">
        <v>194</v>
      </c>
      <c r="CR148" s="57">
        <v>169</v>
      </c>
      <c r="CS148" s="57">
        <v>638</v>
      </c>
      <c r="CT148" s="57"/>
      <c r="CU148" s="57" t="s">
        <v>2441</v>
      </c>
      <c r="CV148" s="57">
        <v>1</v>
      </c>
      <c r="CW148" s="57">
        <v>0</v>
      </c>
      <c r="CX148" s="57">
        <v>0</v>
      </c>
      <c r="CY148" s="57">
        <v>0</v>
      </c>
      <c r="CZ148" s="57">
        <v>0</v>
      </c>
      <c r="DA148" s="57">
        <v>1</v>
      </c>
      <c r="DV148" s="80" t="s">
        <v>1922</v>
      </c>
      <c r="DW148" s="80" t="s">
        <v>2513</v>
      </c>
      <c r="DX148" s="80">
        <v>314</v>
      </c>
      <c r="DY148" s="80">
        <v>253</v>
      </c>
      <c r="DZ148" s="80">
        <v>253</v>
      </c>
      <c r="EA148" s="80">
        <v>339</v>
      </c>
      <c r="EB148" s="80">
        <v>294</v>
      </c>
      <c r="EC148" s="80">
        <v>1453</v>
      </c>
      <c r="ED148" s="80"/>
      <c r="EE148" s="80" t="s">
        <v>2513</v>
      </c>
      <c r="EF148" s="80">
        <v>22</v>
      </c>
      <c r="EG148" s="80">
        <v>0</v>
      </c>
      <c r="EH148" s="80">
        <v>0</v>
      </c>
      <c r="EI148" s="80">
        <v>0</v>
      </c>
      <c r="EJ148" s="80">
        <v>0</v>
      </c>
      <c r="EK148" s="80">
        <v>22</v>
      </c>
      <c r="EN148" s="57" t="s">
        <v>1959</v>
      </c>
      <c r="EO148" s="57" t="s">
        <v>811</v>
      </c>
      <c r="EP148" s="57">
        <v>133</v>
      </c>
      <c r="EQ148" s="57">
        <v>191</v>
      </c>
      <c r="ER148" s="57">
        <v>266</v>
      </c>
      <c r="ES148" s="57">
        <v>378</v>
      </c>
      <c r="ET148" s="57">
        <v>424</v>
      </c>
      <c r="EU148" s="57">
        <v>1392</v>
      </c>
      <c r="EV148" s="57"/>
      <c r="EW148" s="57" t="s">
        <v>27</v>
      </c>
      <c r="EX148" s="57">
        <v>45</v>
      </c>
      <c r="EY148" s="57">
        <v>16</v>
      </c>
      <c r="EZ148" s="57">
        <v>8</v>
      </c>
      <c r="FA148" s="57">
        <v>17</v>
      </c>
      <c r="FB148" s="57">
        <v>13</v>
      </c>
      <c r="FC148" s="57">
        <v>99</v>
      </c>
      <c r="FF148" s="71" t="s">
        <v>2050</v>
      </c>
      <c r="FG148" s="71" t="s">
        <v>2441</v>
      </c>
      <c r="FH148" s="71">
        <v>136</v>
      </c>
      <c r="FI148" s="71">
        <v>185</v>
      </c>
      <c r="FJ148" s="71">
        <v>231</v>
      </c>
      <c r="FK148" s="71">
        <v>287</v>
      </c>
      <c r="FL148" s="71">
        <v>371</v>
      </c>
      <c r="FM148" s="71">
        <v>1210</v>
      </c>
      <c r="FN148" s="71"/>
      <c r="FO148" s="71" t="s">
        <v>2441</v>
      </c>
      <c r="FP148" s="71">
        <v>31</v>
      </c>
      <c r="FQ148" s="71">
        <v>7</v>
      </c>
      <c r="FR148" s="71">
        <v>4</v>
      </c>
      <c r="FS148" s="71">
        <v>3</v>
      </c>
      <c r="FT148" s="71">
        <v>1</v>
      </c>
      <c r="FU148" s="71">
        <v>46</v>
      </c>
    </row>
    <row r="149" spans="2:177">
      <c r="B149" s="65" t="s">
        <v>76</v>
      </c>
      <c r="C149" s="65" t="s">
        <v>2437</v>
      </c>
      <c r="D149" s="65">
        <v>181</v>
      </c>
      <c r="E149" s="65">
        <v>267</v>
      </c>
      <c r="F149" s="65">
        <v>384</v>
      </c>
      <c r="G149" s="65">
        <v>513</v>
      </c>
      <c r="H149" s="65">
        <v>345</v>
      </c>
      <c r="I149" s="65">
        <v>1690</v>
      </c>
      <c r="K149" s="65" t="s">
        <v>2437</v>
      </c>
      <c r="L149" s="65">
        <v>21</v>
      </c>
      <c r="M149" s="65">
        <v>1</v>
      </c>
      <c r="N149" s="65">
        <v>1</v>
      </c>
      <c r="O149" s="65">
        <v>1</v>
      </c>
      <c r="P149" s="65">
        <v>0</v>
      </c>
      <c r="Q149" s="65">
        <v>24</v>
      </c>
      <c r="T149" s="66" t="s">
        <v>1125</v>
      </c>
      <c r="U149" s="66" t="s">
        <v>2513</v>
      </c>
      <c r="V149" s="66">
        <v>218</v>
      </c>
      <c r="W149" s="66">
        <v>301</v>
      </c>
      <c r="X149" s="66">
        <v>425</v>
      </c>
      <c r="Y149" s="66">
        <v>513</v>
      </c>
      <c r="Z149" s="66">
        <v>453</v>
      </c>
      <c r="AA149" s="66">
        <v>1910</v>
      </c>
      <c r="AB149" s="66"/>
      <c r="AC149" s="66" t="s">
        <v>2513</v>
      </c>
      <c r="AD149" s="66">
        <v>27</v>
      </c>
      <c r="AE149" s="66">
        <v>1</v>
      </c>
      <c r="AF149" s="66">
        <v>0</v>
      </c>
      <c r="AG149" s="66">
        <v>0</v>
      </c>
      <c r="AH149" s="66">
        <v>0</v>
      </c>
      <c r="AI149" s="66">
        <v>28</v>
      </c>
      <c r="AK149" s="67" t="s">
        <v>2231</v>
      </c>
      <c r="AL149" s="67" t="s">
        <v>2437</v>
      </c>
      <c r="AM149" s="67">
        <v>122</v>
      </c>
      <c r="AN149" s="67">
        <v>152</v>
      </c>
      <c r="AO149" s="67">
        <v>224</v>
      </c>
      <c r="AP149" s="67">
        <v>362</v>
      </c>
      <c r="AQ149" s="67">
        <v>250</v>
      </c>
      <c r="AR149" s="67">
        <v>1110</v>
      </c>
      <c r="AS149" s="67"/>
      <c r="AT149" s="67" t="s">
        <v>2437</v>
      </c>
      <c r="AU149" s="67">
        <v>23</v>
      </c>
      <c r="AV149" s="67">
        <v>2</v>
      </c>
      <c r="AW149" s="67">
        <v>0</v>
      </c>
      <c r="AX149" s="67">
        <v>0</v>
      </c>
      <c r="AY149" s="67">
        <v>0</v>
      </c>
      <c r="AZ149" s="67">
        <v>25</v>
      </c>
      <c r="BB149" s="70" t="s">
        <v>1372</v>
      </c>
      <c r="BC149" s="70" t="s">
        <v>2437</v>
      </c>
      <c r="BD149" s="70">
        <v>46</v>
      </c>
      <c r="BE149" s="70">
        <v>42</v>
      </c>
      <c r="BF149" s="70">
        <v>94</v>
      </c>
      <c r="BG149" s="70">
        <v>132</v>
      </c>
      <c r="BH149" s="70">
        <v>145</v>
      </c>
      <c r="BI149" s="70">
        <v>459</v>
      </c>
      <c r="BJ149" s="70"/>
      <c r="BK149" s="70" t="s">
        <v>2437</v>
      </c>
      <c r="BL149" s="70">
        <v>16</v>
      </c>
      <c r="BM149" s="70">
        <v>0</v>
      </c>
      <c r="BN149" s="70">
        <v>0</v>
      </c>
      <c r="BO149" s="70">
        <v>0</v>
      </c>
      <c r="BP149" s="70">
        <v>0</v>
      </c>
      <c r="BQ149" s="70">
        <v>16</v>
      </c>
      <c r="BS149" s="71" t="s">
        <v>1627</v>
      </c>
      <c r="BT149" s="71" t="s">
        <v>2513</v>
      </c>
      <c r="BU149" s="71">
        <v>106</v>
      </c>
      <c r="BV149" s="71">
        <v>94</v>
      </c>
      <c r="BW149" s="71">
        <v>125</v>
      </c>
      <c r="BX149" s="71">
        <v>245</v>
      </c>
      <c r="BY149" s="71">
        <v>231</v>
      </c>
      <c r="BZ149" s="71">
        <v>801</v>
      </c>
      <c r="CA149" s="71"/>
      <c r="CB149" s="71" t="s">
        <v>2513</v>
      </c>
      <c r="CC149" s="71">
        <v>33</v>
      </c>
      <c r="CD149" s="71">
        <v>0</v>
      </c>
      <c r="CE149" s="71">
        <v>0</v>
      </c>
      <c r="CF149" s="71">
        <v>0</v>
      </c>
      <c r="CG149" s="71">
        <v>0</v>
      </c>
      <c r="CH149" s="71">
        <v>33</v>
      </c>
      <c r="CL149" s="57" t="s">
        <v>634</v>
      </c>
      <c r="CM149" s="57" t="s">
        <v>2441</v>
      </c>
      <c r="CN149" s="57">
        <v>54</v>
      </c>
      <c r="CO149" s="57">
        <v>46</v>
      </c>
      <c r="CP149" s="57">
        <v>109</v>
      </c>
      <c r="CQ149" s="57">
        <v>124</v>
      </c>
      <c r="CR149" s="57">
        <v>117</v>
      </c>
      <c r="CS149" s="57">
        <v>450</v>
      </c>
      <c r="CT149" s="57"/>
      <c r="CU149" s="57" t="s">
        <v>2441</v>
      </c>
      <c r="CV149" s="57">
        <v>16</v>
      </c>
      <c r="CW149" s="57">
        <v>0</v>
      </c>
      <c r="CX149" s="57">
        <v>0</v>
      </c>
      <c r="CY149" s="57">
        <v>0</v>
      </c>
      <c r="CZ149" s="57">
        <v>0</v>
      </c>
      <c r="DA149" s="57">
        <v>16</v>
      </c>
      <c r="DV149" s="80" t="s">
        <v>1925</v>
      </c>
      <c r="DW149" s="80" t="s">
        <v>2513</v>
      </c>
      <c r="DX149" s="80">
        <v>427</v>
      </c>
      <c r="DY149" s="80">
        <v>369</v>
      </c>
      <c r="DZ149" s="80">
        <v>354</v>
      </c>
      <c r="EA149" s="80">
        <v>394</v>
      </c>
      <c r="EB149" s="80">
        <v>413</v>
      </c>
      <c r="EC149" s="80">
        <v>1957</v>
      </c>
      <c r="ED149" s="80"/>
      <c r="EE149" s="80" t="s">
        <v>2513</v>
      </c>
      <c r="EF149" s="80">
        <v>18</v>
      </c>
      <c r="EG149" s="80">
        <v>3</v>
      </c>
      <c r="EH149" s="80">
        <v>0</v>
      </c>
      <c r="EI149" s="80">
        <v>0</v>
      </c>
      <c r="EJ149" s="80">
        <v>0</v>
      </c>
      <c r="EK149" s="80">
        <v>21</v>
      </c>
      <c r="EN149" s="57" t="s">
        <v>1962</v>
      </c>
      <c r="EO149" s="57" t="s">
        <v>27</v>
      </c>
      <c r="EP149" s="57">
        <v>387</v>
      </c>
      <c r="EQ149" s="57">
        <v>629</v>
      </c>
      <c r="ER149" s="57">
        <v>829</v>
      </c>
      <c r="ES149" s="57">
        <v>958</v>
      </c>
      <c r="ET149" s="57">
        <v>858</v>
      </c>
      <c r="EU149" s="57">
        <v>3661</v>
      </c>
      <c r="EV149" s="57"/>
      <c r="EW149" s="57" t="s">
        <v>27</v>
      </c>
      <c r="EX149" s="57">
        <v>95</v>
      </c>
      <c r="EY149" s="57">
        <v>27</v>
      </c>
      <c r="EZ149" s="57">
        <v>29</v>
      </c>
      <c r="FA149" s="57">
        <v>18</v>
      </c>
      <c r="FB149" s="57">
        <v>15</v>
      </c>
      <c r="FC149" s="57">
        <v>184</v>
      </c>
      <c r="FF149" s="71" t="s">
        <v>2052</v>
      </c>
      <c r="FG149" s="71" t="s">
        <v>2441</v>
      </c>
      <c r="FH149" s="71">
        <v>203</v>
      </c>
      <c r="FI149" s="71">
        <v>169</v>
      </c>
      <c r="FJ149" s="71">
        <v>149</v>
      </c>
      <c r="FK149" s="71">
        <v>202</v>
      </c>
      <c r="FL149" s="71">
        <v>269</v>
      </c>
      <c r="FM149" s="71">
        <v>992</v>
      </c>
      <c r="FN149" s="71"/>
      <c r="FO149" s="71" t="s">
        <v>2441</v>
      </c>
      <c r="FP149" s="71">
        <v>41</v>
      </c>
      <c r="FQ149" s="71">
        <v>7</v>
      </c>
      <c r="FR149" s="71">
        <v>0</v>
      </c>
      <c r="FS149" s="71">
        <v>0</v>
      </c>
      <c r="FT149" s="71">
        <v>0</v>
      </c>
      <c r="FU149" s="71">
        <v>48</v>
      </c>
    </row>
    <row r="150" spans="2:177">
      <c r="B150" s="65" t="s">
        <v>1057</v>
      </c>
      <c r="C150" s="65" t="s">
        <v>2437</v>
      </c>
      <c r="D150" s="65">
        <v>105</v>
      </c>
      <c r="E150" s="65">
        <v>217</v>
      </c>
      <c r="F150" s="65">
        <v>346</v>
      </c>
      <c r="G150" s="65">
        <v>434</v>
      </c>
      <c r="H150" s="65">
        <v>319</v>
      </c>
      <c r="I150" s="65">
        <v>1421</v>
      </c>
      <c r="K150" s="65" t="s">
        <v>2437</v>
      </c>
      <c r="L150" s="65">
        <v>10</v>
      </c>
      <c r="M150" s="65">
        <v>7</v>
      </c>
      <c r="N150" s="65">
        <v>3</v>
      </c>
      <c r="O150" s="65">
        <v>2</v>
      </c>
      <c r="P150" s="65">
        <v>0</v>
      </c>
      <c r="Q150" s="65">
        <v>22</v>
      </c>
      <c r="T150" s="66" t="s">
        <v>1130</v>
      </c>
      <c r="U150" s="66" t="s">
        <v>2513</v>
      </c>
      <c r="V150" s="66">
        <v>848</v>
      </c>
      <c r="W150" s="66">
        <v>1012</v>
      </c>
      <c r="X150" s="66">
        <v>1087</v>
      </c>
      <c r="Y150" s="66">
        <v>1081</v>
      </c>
      <c r="Z150" s="66">
        <v>877</v>
      </c>
      <c r="AA150" s="66">
        <v>4905</v>
      </c>
      <c r="AB150" s="66"/>
      <c r="AC150" s="66" t="s">
        <v>2513</v>
      </c>
      <c r="AD150" s="66">
        <v>175</v>
      </c>
      <c r="AE150" s="66">
        <v>33</v>
      </c>
      <c r="AF150" s="66">
        <v>9</v>
      </c>
      <c r="AG150" s="66">
        <v>4</v>
      </c>
      <c r="AH150" s="66">
        <v>2</v>
      </c>
      <c r="AI150" s="66">
        <v>223</v>
      </c>
      <c r="AK150" s="67" t="s">
        <v>2241</v>
      </c>
      <c r="AL150" s="67" t="s">
        <v>2437</v>
      </c>
      <c r="AM150" s="67">
        <v>314</v>
      </c>
      <c r="AN150" s="67">
        <v>319</v>
      </c>
      <c r="AO150" s="67">
        <v>536</v>
      </c>
      <c r="AP150" s="67">
        <v>633</v>
      </c>
      <c r="AQ150" s="67">
        <v>485</v>
      </c>
      <c r="AR150" s="67">
        <v>2287</v>
      </c>
      <c r="AS150" s="67"/>
      <c r="AT150" s="67" t="s">
        <v>2437</v>
      </c>
      <c r="AU150" s="67">
        <v>34</v>
      </c>
      <c r="AV150" s="67">
        <v>2</v>
      </c>
      <c r="AW150" s="67">
        <v>1</v>
      </c>
      <c r="AX150" s="67">
        <v>0</v>
      </c>
      <c r="AY150" s="67">
        <v>0</v>
      </c>
      <c r="AZ150" s="67">
        <v>37</v>
      </c>
      <c r="BB150" s="70" t="s">
        <v>1376</v>
      </c>
      <c r="BC150" s="70" t="s">
        <v>2437</v>
      </c>
      <c r="BD150" s="70">
        <v>529</v>
      </c>
      <c r="BE150" s="70">
        <v>325</v>
      </c>
      <c r="BF150" s="70">
        <v>412</v>
      </c>
      <c r="BG150" s="70">
        <v>422</v>
      </c>
      <c r="BH150" s="70">
        <v>404</v>
      </c>
      <c r="BI150" s="70">
        <v>2092</v>
      </c>
      <c r="BJ150" s="70"/>
      <c r="BK150" s="70" t="s">
        <v>2437</v>
      </c>
      <c r="BL150" s="70">
        <v>21</v>
      </c>
      <c r="BM150" s="70">
        <v>0</v>
      </c>
      <c r="BN150" s="70">
        <v>0</v>
      </c>
      <c r="BO150" s="70">
        <v>0</v>
      </c>
      <c r="BP150" s="70">
        <v>0</v>
      </c>
      <c r="BQ150" s="70">
        <v>21</v>
      </c>
      <c r="BS150" s="71" t="s">
        <v>1629</v>
      </c>
      <c r="BT150" s="71" t="s">
        <v>2513</v>
      </c>
      <c r="BU150" s="71">
        <v>38</v>
      </c>
      <c r="BV150" s="71">
        <v>30</v>
      </c>
      <c r="BW150" s="71">
        <v>76</v>
      </c>
      <c r="BX150" s="71">
        <v>93</v>
      </c>
      <c r="BY150" s="71">
        <v>105</v>
      </c>
      <c r="BZ150" s="71">
        <v>342</v>
      </c>
      <c r="CA150" s="71"/>
      <c r="CB150" s="71" t="s">
        <v>2513</v>
      </c>
      <c r="CC150" s="71">
        <v>13</v>
      </c>
      <c r="CD150" s="71">
        <v>0</v>
      </c>
      <c r="CE150" s="71">
        <v>0</v>
      </c>
      <c r="CF150" s="71">
        <v>0</v>
      </c>
      <c r="CG150" s="71">
        <v>0</v>
      </c>
      <c r="CH150" s="71">
        <v>13</v>
      </c>
      <c r="CL150" s="57" t="s">
        <v>636</v>
      </c>
      <c r="CM150" s="57" t="s">
        <v>2441</v>
      </c>
      <c r="CN150" s="57">
        <v>31</v>
      </c>
      <c r="CO150" s="57">
        <v>30</v>
      </c>
      <c r="CP150" s="57">
        <v>71</v>
      </c>
      <c r="CQ150" s="57">
        <v>112</v>
      </c>
      <c r="CR150" s="57">
        <v>99</v>
      </c>
      <c r="CS150" s="57">
        <v>343</v>
      </c>
      <c r="CT150" s="57"/>
      <c r="CU150" s="57" t="s">
        <v>2441</v>
      </c>
      <c r="CV150" s="57">
        <v>14</v>
      </c>
      <c r="CW150" s="57">
        <v>0</v>
      </c>
      <c r="CX150" s="57">
        <v>0</v>
      </c>
      <c r="CY150" s="57">
        <v>0</v>
      </c>
      <c r="CZ150" s="57">
        <v>0</v>
      </c>
      <c r="DA150" s="57">
        <v>14</v>
      </c>
      <c r="DD150" s="21"/>
      <c r="DV150" s="80" t="s">
        <v>1928</v>
      </c>
      <c r="DW150" s="80" t="s">
        <v>2513</v>
      </c>
      <c r="DX150" s="80">
        <v>698</v>
      </c>
      <c r="DY150" s="80">
        <v>442</v>
      </c>
      <c r="DZ150" s="80">
        <v>393</v>
      </c>
      <c r="EA150" s="80">
        <v>350</v>
      </c>
      <c r="EB150" s="80">
        <v>330</v>
      </c>
      <c r="EC150" s="80">
        <v>2213</v>
      </c>
      <c r="ED150" s="80"/>
      <c r="EE150" s="80" t="s">
        <v>2513</v>
      </c>
      <c r="EF150" s="80">
        <v>22</v>
      </c>
      <c r="EG150" s="80">
        <v>0</v>
      </c>
      <c r="EH150" s="80">
        <v>0</v>
      </c>
      <c r="EI150" s="80">
        <v>0</v>
      </c>
      <c r="EJ150" s="80">
        <v>0</v>
      </c>
      <c r="EK150" s="80">
        <v>22</v>
      </c>
      <c r="EN150" s="57" t="s">
        <v>1965</v>
      </c>
      <c r="EO150" s="57" t="s">
        <v>27</v>
      </c>
      <c r="EP150" s="57">
        <v>165</v>
      </c>
      <c r="EQ150" s="57">
        <v>185</v>
      </c>
      <c r="ER150" s="57">
        <v>221</v>
      </c>
      <c r="ES150" s="57">
        <v>247</v>
      </c>
      <c r="ET150" s="57">
        <v>251</v>
      </c>
      <c r="EU150" s="57">
        <v>1069</v>
      </c>
      <c r="EV150" s="57"/>
      <c r="EW150" s="57" t="s">
        <v>27</v>
      </c>
      <c r="EX150" s="57">
        <v>21</v>
      </c>
      <c r="EY150" s="57">
        <v>7</v>
      </c>
      <c r="EZ150" s="57">
        <v>5</v>
      </c>
      <c r="FA150" s="57">
        <v>2</v>
      </c>
      <c r="FB150" s="57">
        <v>2</v>
      </c>
      <c r="FC150" s="57">
        <v>37</v>
      </c>
      <c r="FF150" s="71" t="s">
        <v>2054</v>
      </c>
      <c r="FG150" s="71" t="s">
        <v>2441</v>
      </c>
      <c r="FH150" s="71">
        <v>261</v>
      </c>
      <c r="FI150" s="71">
        <v>349</v>
      </c>
      <c r="FJ150" s="71">
        <v>280</v>
      </c>
      <c r="FK150" s="71">
        <v>330</v>
      </c>
      <c r="FL150" s="71">
        <v>470</v>
      </c>
      <c r="FM150" s="71">
        <v>1690</v>
      </c>
      <c r="FN150" s="71"/>
      <c r="FO150" s="71" t="s">
        <v>2441</v>
      </c>
      <c r="FP150" s="71">
        <v>61</v>
      </c>
      <c r="FQ150" s="71">
        <v>14</v>
      </c>
      <c r="FR150" s="71">
        <v>1</v>
      </c>
      <c r="FS150" s="71">
        <v>1</v>
      </c>
      <c r="FT150" s="71">
        <v>5</v>
      </c>
      <c r="FU150" s="71">
        <v>82</v>
      </c>
    </row>
    <row r="151" spans="2:177">
      <c r="B151" s="65" t="s">
        <v>162</v>
      </c>
      <c r="C151" s="65" t="s">
        <v>2437</v>
      </c>
      <c r="D151" s="65">
        <v>185</v>
      </c>
      <c r="E151" s="65">
        <v>264</v>
      </c>
      <c r="F151" s="65">
        <v>444</v>
      </c>
      <c r="G151" s="65">
        <v>539</v>
      </c>
      <c r="H151" s="65">
        <v>382</v>
      </c>
      <c r="I151" s="65">
        <v>1814</v>
      </c>
      <c r="K151" s="65" t="s">
        <v>2437</v>
      </c>
      <c r="L151" s="65">
        <v>24</v>
      </c>
      <c r="M151" s="65">
        <v>0</v>
      </c>
      <c r="N151" s="65">
        <v>1</v>
      </c>
      <c r="O151" s="65">
        <v>0</v>
      </c>
      <c r="P151" s="65">
        <v>0</v>
      </c>
      <c r="Q151" s="65">
        <v>25</v>
      </c>
      <c r="T151" s="66" t="s">
        <v>1136</v>
      </c>
      <c r="U151" s="66" t="s">
        <v>2513</v>
      </c>
      <c r="V151" s="66">
        <v>879</v>
      </c>
      <c r="W151" s="66">
        <v>797</v>
      </c>
      <c r="X151" s="66">
        <v>794</v>
      </c>
      <c r="Y151" s="66">
        <v>918</v>
      </c>
      <c r="Z151" s="66">
        <v>660</v>
      </c>
      <c r="AA151" s="66">
        <v>4048</v>
      </c>
      <c r="AB151" s="66"/>
      <c r="AC151" s="66" t="s">
        <v>2513</v>
      </c>
      <c r="AD151" s="66">
        <v>132</v>
      </c>
      <c r="AE151" s="66">
        <v>12</v>
      </c>
      <c r="AF151" s="66">
        <v>4</v>
      </c>
      <c r="AG151" s="66">
        <v>0</v>
      </c>
      <c r="AH151" s="66">
        <v>0</v>
      </c>
      <c r="AI151" s="66">
        <v>148</v>
      </c>
      <c r="AK151" s="67" t="s">
        <v>2236</v>
      </c>
      <c r="AL151" s="67" t="s">
        <v>2437</v>
      </c>
      <c r="AM151" s="67">
        <v>689</v>
      </c>
      <c r="AN151" s="67">
        <v>590</v>
      </c>
      <c r="AO151" s="67">
        <v>966</v>
      </c>
      <c r="AP151" s="67">
        <v>1238</v>
      </c>
      <c r="AQ151" s="67">
        <v>863</v>
      </c>
      <c r="AR151" s="67">
        <v>4346</v>
      </c>
      <c r="AS151" s="67"/>
      <c r="AT151" s="67" t="s">
        <v>2437</v>
      </c>
      <c r="AU151" s="67">
        <v>35</v>
      </c>
      <c r="AV151" s="67">
        <v>0</v>
      </c>
      <c r="AW151" s="67">
        <v>0</v>
      </c>
      <c r="AX151" s="67">
        <v>0</v>
      </c>
      <c r="AY151" s="67">
        <v>0</v>
      </c>
      <c r="AZ151" s="67">
        <v>35</v>
      </c>
      <c r="BB151" s="70" t="s">
        <v>1380</v>
      </c>
      <c r="BC151" s="70" t="s">
        <v>2437</v>
      </c>
      <c r="BD151" s="70">
        <v>230</v>
      </c>
      <c r="BE151" s="70">
        <v>186</v>
      </c>
      <c r="BF151" s="70">
        <v>281</v>
      </c>
      <c r="BG151" s="70">
        <v>340</v>
      </c>
      <c r="BH151" s="70">
        <v>329</v>
      </c>
      <c r="BI151" s="70">
        <v>1366</v>
      </c>
      <c r="BJ151" s="70"/>
      <c r="BK151" s="70" t="s">
        <v>2437</v>
      </c>
      <c r="BL151" s="70">
        <v>19</v>
      </c>
      <c r="BM151" s="70">
        <v>0</v>
      </c>
      <c r="BN151" s="70">
        <v>0</v>
      </c>
      <c r="BO151" s="70">
        <v>0</v>
      </c>
      <c r="BP151" s="70">
        <v>0</v>
      </c>
      <c r="BQ151" s="70">
        <v>19</v>
      </c>
      <c r="BS151" s="71" t="s">
        <v>1631</v>
      </c>
      <c r="BT151" s="71" t="s">
        <v>2513</v>
      </c>
      <c r="BU151" s="71">
        <v>134</v>
      </c>
      <c r="BV151" s="71">
        <v>88</v>
      </c>
      <c r="BW151" s="71">
        <v>81</v>
      </c>
      <c r="BX151" s="71">
        <v>105</v>
      </c>
      <c r="BY151" s="71">
        <v>137</v>
      </c>
      <c r="BZ151" s="71">
        <v>545</v>
      </c>
      <c r="CA151" s="71"/>
      <c r="CB151" s="71" t="s">
        <v>2513</v>
      </c>
      <c r="CC151" s="71">
        <v>50</v>
      </c>
      <c r="CD151" s="71">
        <v>2</v>
      </c>
      <c r="CE151" s="71">
        <v>0</v>
      </c>
      <c r="CF151" s="71">
        <v>0</v>
      </c>
      <c r="CG151" s="71">
        <v>0</v>
      </c>
      <c r="CH151" s="71">
        <v>52</v>
      </c>
      <c r="CL151" s="57" t="s">
        <v>2294</v>
      </c>
      <c r="CM151" s="57" t="s">
        <v>2441</v>
      </c>
      <c r="CN151" s="57" t="s">
        <v>356</v>
      </c>
      <c r="CO151" s="57" t="s">
        <v>356</v>
      </c>
      <c r="CP151" s="57" t="s">
        <v>356</v>
      </c>
      <c r="CQ151" s="57" t="s">
        <v>356</v>
      </c>
      <c r="CR151" s="57" t="s">
        <v>356</v>
      </c>
      <c r="CS151" s="57" t="s">
        <v>356</v>
      </c>
      <c r="CT151" s="57"/>
      <c r="CU151" s="57" t="s">
        <v>2441</v>
      </c>
      <c r="CV151" s="57" t="s">
        <v>356</v>
      </c>
      <c r="CW151" s="57" t="s">
        <v>356</v>
      </c>
      <c r="CX151" s="57" t="s">
        <v>356</v>
      </c>
      <c r="CY151" s="57" t="s">
        <v>356</v>
      </c>
      <c r="CZ151" s="57" t="s">
        <v>356</v>
      </c>
      <c r="DA151" s="57" t="s">
        <v>356</v>
      </c>
      <c r="DD151" s="21"/>
      <c r="DV151" s="80" t="s">
        <v>1932</v>
      </c>
      <c r="DW151" s="80" t="s">
        <v>2513</v>
      </c>
      <c r="DX151" s="80">
        <v>178</v>
      </c>
      <c r="DY151" s="80">
        <v>127</v>
      </c>
      <c r="DZ151" s="80">
        <v>131</v>
      </c>
      <c r="EA151" s="80">
        <v>165</v>
      </c>
      <c r="EB151" s="80">
        <v>138</v>
      </c>
      <c r="EC151" s="80">
        <v>739</v>
      </c>
      <c r="ED151" s="80"/>
      <c r="EE151" s="80" t="s">
        <v>2513</v>
      </c>
      <c r="EF151" s="80">
        <v>21</v>
      </c>
      <c r="EG151" s="80">
        <v>0</v>
      </c>
      <c r="EH151" s="80">
        <v>0</v>
      </c>
      <c r="EI151" s="80">
        <v>0</v>
      </c>
      <c r="EJ151" s="80">
        <v>0</v>
      </c>
      <c r="EK151" s="80">
        <v>21</v>
      </c>
      <c r="EN151" s="57" t="s">
        <v>1968</v>
      </c>
      <c r="EO151" s="57" t="s">
        <v>27</v>
      </c>
      <c r="EP151" s="57">
        <v>176</v>
      </c>
      <c r="EQ151" s="57">
        <v>280</v>
      </c>
      <c r="ER151" s="57">
        <v>307</v>
      </c>
      <c r="ES151" s="57">
        <v>411</v>
      </c>
      <c r="ET151" s="57">
        <v>508</v>
      </c>
      <c r="EU151" s="57">
        <v>1682</v>
      </c>
      <c r="EV151" s="57"/>
      <c r="EW151" s="57" t="s">
        <v>27</v>
      </c>
      <c r="EX151" s="57">
        <v>38</v>
      </c>
      <c r="EY151" s="57">
        <v>23</v>
      </c>
      <c r="EZ151" s="57">
        <v>14</v>
      </c>
      <c r="FA151" s="57">
        <v>8</v>
      </c>
      <c r="FB151" s="57">
        <v>7</v>
      </c>
      <c r="FC151" s="57">
        <v>90</v>
      </c>
      <c r="FF151" s="71" t="s">
        <v>2056</v>
      </c>
      <c r="FG151" s="71" t="s">
        <v>2441</v>
      </c>
      <c r="FH151" s="71">
        <v>312</v>
      </c>
      <c r="FI151" s="71">
        <v>425</v>
      </c>
      <c r="FJ151" s="71">
        <v>341</v>
      </c>
      <c r="FK151" s="71">
        <v>423</v>
      </c>
      <c r="FL151" s="71">
        <v>553</v>
      </c>
      <c r="FM151" s="71">
        <v>2054</v>
      </c>
      <c r="FN151" s="71"/>
      <c r="FO151" s="71" t="s">
        <v>2441</v>
      </c>
      <c r="FP151" s="71">
        <v>63</v>
      </c>
      <c r="FQ151" s="71">
        <v>21</v>
      </c>
      <c r="FR151" s="71">
        <v>4</v>
      </c>
      <c r="FS151" s="71">
        <v>5</v>
      </c>
      <c r="FT151" s="71">
        <v>5</v>
      </c>
      <c r="FU151" s="71">
        <v>98</v>
      </c>
    </row>
    <row r="152" spans="2:177">
      <c r="B152" s="16"/>
      <c r="C152" s="16"/>
      <c r="D152" s="16"/>
      <c r="E152" s="16"/>
      <c r="F152" s="16"/>
      <c r="G152" s="16"/>
      <c r="H152" s="16"/>
      <c r="I152" s="16"/>
      <c r="J152" s="16"/>
      <c r="K152" s="16"/>
      <c r="L152" s="16"/>
      <c r="M152" s="16"/>
      <c r="N152" s="16"/>
      <c r="O152" s="16"/>
      <c r="P152" s="16"/>
      <c r="Q152" s="16"/>
      <c r="R152" s="16"/>
      <c r="T152" s="66" t="s">
        <v>1141</v>
      </c>
      <c r="U152" s="66" t="s">
        <v>2513</v>
      </c>
      <c r="V152" s="66">
        <v>516</v>
      </c>
      <c r="W152" s="66">
        <v>424</v>
      </c>
      <c r="X152" s="66">
        <v>399</v>
      </c>
      <c r="Y152" s="66">
        <v>455</v>
      </c>
      <c r="Z152" s="66">
        <v>397</v>
      </c>
      <c r="AA152" s="66">
        <v>2191</v>
      </c>
      <c r="AB152" s="66"/>
      <c r="AC152" s="66" t="s">
        <v>2513</v>
      </c>
      <c r="AD152" s="66">
        <v>21</v>
      </c>
      <c r="AE152" s="66">
        <v>1</v>
      </c>
      <c r="AF152" s="66">
        <v>0</v>
      </c>
      <c r="AG152" s="66">
        <v>0</v>
      </c>
      <c r="AH152" s="66">
        <v>0</v>
      </c>
      <c r="AI152" s="66">
        <v>22</v>
      </c>
      <c r="AK152" s="67" t="s">
        <v>2234</v>
      </c>
      <c r="AL152" s="67" t="s">
        <v>2437</v>
      </c>
      <c r="AM152" s="67">
        <v>108</v>
      </c>
      <c r="AN152" s="67">
        <v>145</v>
      </c>
      <c r="AO152" s="67">
        <v>196</v>
      </c>
      <c r="AP152" s="67">
        <v>243</v>
      </c>
      <c r="AQ152" s="67">
        <v>184</v>
      </c>
      <c r="AR152" s="67">
        <v>876</v>
      </c>
      <c r="AS152" s="67"/>
      <c r="AT152" s="67" t="s">
        <v>2437</v>
      </c>
      <c r="AU152" s="67">
        <v>17</v>
      </c>
      <c r="AV152" s="67">
        <v>3</v>
      </c>
      <c r="AW152" s="67">
        <v>1</v>
      </c>
      <c r="AX152" s="67">
        <v>1</v>
      </c>
      <c r="AY152" s="67">
        <v>0</v>
      </c>
      <c r="AZ152" s="67">
        <v>22</v>
      </c>
      <c r="BB152" s="70" t="s">
        <v>1385</v>
      </c>
      <c r="BC152" s="70" t="s">
        <v>2437</v>
      </c>
      <c r="BD152" s="70">
        <v>62</v>
      </c>
      <c r="BE152" s="70">
        <v>109</v>
      </c>
      <c r="BF152" s="70">
        <v>214</v>
      </c>
      <c r="BG152" s="70">
        <v>279</v>
      </c>
      <c r="BH152" s="70">
        <v>232</v>
      </c>
      <c r="BI152" s="70">
        <v>896</v>
      </c>
      <c r="BJ152" s="70"/>
      <c r="BK152" s="70" t="s">
        <v>2437</v>
      </c>
      <c r="BL152" s="70">
        <v>12</v>
      </c>
      <c r="BM152" s="70">
        <v>0</v>
      </c>
      <c r="BN152" s="70">
        <v>0</v>
      </c>
      <c r="BO152" s="70">
        <v>0</v>
      </c>
      <c r="BP152" s="70">
        <v>0</v>
      </c>
      <c r="BQ152" s="70">
        <v>12</v>
      </c>
      <c r="BS152" s="71" t="s">
        <v>1637</v>
      </c>
      <c r="BT152" s="71" t="s">
        <v>2513</v>
      </c>
      <c r="BU152" s="71">
        <v>109</v>
      </c>
      <c r="BV152" s="71">
        <v>70</v>
      </c>
      <c r="BW152" s="71">
        <v>84</v>
      </c>
      <c r="BX152" s="71">
        <v>85</v>
      </c>
      <c r="BY152" s="71">
        <v>106</v>
      </c>
      <c r="BZ152" s="71">
        <v>454</v>
      </c>
      <c r="CA152" s="71"/>
      <c r="CB152" s="71" t="s">
        <v>2513</v>
      </c>
      <c r="CC152" s="71">
        <v>33</v>
      </c>
      <c r="CD152" s="71">
        <v>1</v>
      </c>
      <c r="CE152" s="71">
        <v>0</v>
      </c>
      <c r="CF152" s="71">
        <v>0</v>
      </c>
      <c r="CG152" s="71">
        <v>0</v>
      </c>
      <c r="CH152" s="71">
        <v>34</v>
      </c>
      <c r="CL152" s="57" t="s">
        <v>542</v>
      </c>
      <c r="CM152" s="57" t="s">
        <v>2441</v>
      </c>
      <c r="CN152" s="57" t="s">
        <v>356</v>
      </c>
      <c r="CO152" s="57" t="s">
        <v>356</v>
      </c>
      <c r="CP152" s="57" t="s">
        <v>356</v>
      </c>
      <c r="CQ152" s="57" t="s">
        <v>356</v>
      </c>
      <c r="CR152" s="57" t="s">
        <v>356</v>
      </c>
      <c r="CS152" s="57" t="s">
        <v>356</v>
      </c>
      <c r="CT152" s="57"/>
      <c r="CU152" s="57" t="s">
        <v>2441</v>
      </c>
      <c r="CV152" s="57" t="s">
        <v>356</v>
      </c>
      <c r="CW152" s="57" t="s">
        <v>356</v>
      </c>
      <c r="CX152" s="57" t="s">
        <v>356</v>
      </c>
      <c r="CY152" s="57" t="s">
        <v>356</v>
      </c>
      <c r="CZ152" s="57" t="s">
        <v>356</v>
      </c>
      <c r="DA152" s="57" t="s">
        <v>356</v>
      </c>
      <c r="DD152" s="21"/>
      <c r="DV152" s="80" t="s">
        <v>1936</v>
      </c>
      <c r="DW152" s="80" t="s">
        <v>2513</v>
      </c>
      <c r="DX152" s="80">
        <v>329</v>
      </c>
      <c r="DY152" s="80">
        <v>312</v>
      </c>
      <c r="DZ152" s="80">
        <v>333</v>
      </c>
      <c r="EA152" s="80">
        <v>364</v>
      </c>
      <c r="EB152" s="80">
        <v>252</v>
      </c>
      <c r="EC152" s="80">
        <v>1590</v>
      </c>
      <c r="ED152" s="80"/>
      <c r="EE152" s="80" t="s">
        <v>2513</v>
      </c>
      <c r="EF152" s="80">
        <v>20</v>
      </c>
      <c r="EG152" s="80">
        <v>0</v>
      </c>
      <c r="EH152" s="80">
        <v>0</v>
      </c>
      <c r="EI152" s="80">
        <v>0</v>
      </c>
      <c r="EJ152" s="80">
        <v>0</v>
      </c>
      <c r="EK152" s="80">
        <v>20</v>
      </c>
      <c r="EN152" s="57" t="s">
        <v>1975</v>
      </c>
      <c r="EO152" s="57" t="s">
        <v>27</v>
      </c>
      <c r="EP152" s="57">
        <v>377</v>
      </c>
      <c r="EQ152" s="57">
        <v>532</v>
      </c>
      <c r="ER152" s="57">
        <v>625</v>
      </c>
      <c r="ES152" s="57">
        <v>775</v>
      </c>
      <c r="ET152" s="57">
        <v>903</v>
      </c>
      <c r="EU152" s="57">
        <v>3212</v>
      </c>
      <c r="EV152" s="57"/>
      <c r="EW152" s="57" t="s">
        <v>27</v>
      </c>
      <c r="EX152" s="57">
        <v>59</v>
      </c>
      <c r="EY152" s="57">
        <v>18</v>
      </c>
      <c r="EZ152" s="57">
        <v>14</v>
      </c>
      <c r="FA152" s="57">
        <v>7</v>
      </c>
      <c r="FB152" s="57">
        <v>11</v>
      </c>
      <c r="FC152" s="57">
        <v>109</v>
      </c>
      <c r="FF152" s="71" t="s">
        <v>2058</v>
      </c>
      <c r="FG152" s="71" t="s">
        <v>2441</v>
      </c>
      <c r="FH152" s="71">
        <v>321</v>
      </c>
      <c r="FI152" s="71">
        <v>456</v>
      </c>
      <c r="FJ152" s="71">
        <v>437</v>
      </c>
      <c r="FK152" s="71">
        <v>492</v>
      </c>
      <c r="FL152" s="71">
        <v>464</v>
      </c>
      <c r="FM152" s="71">
        <v>2170</v>
      </c>
      <c r="FN152" s="71"/>
      <c r="FO152" s="71" t="s">
        <v>2441</v>
      </c>
      <c r="FP152" s="71">
        <v>48</v>
      </c>
      <c r="FQ152" s="71">
        <v>13</v>
      </c>
      <c r="FR152" s="71">
        <v>0</v>
      </c>
      <c r="FS152" s="71">
        <v>0</v>
      </c>
      <c r="FT152" s="71">
        <v>0</v>
      </c>
      <c r="FU152" s="71">
        <v>61</v>
      </c>
    </row>
    <row r="153" spans="2:177">
      <c r="B153" s="65" t="s">
        <v>812</v>
      </c>
      <c r="C153" s="65" t="s">
        <v>2441</v>
      </c>
      <c r="D153" s="65">
        <v>115</v>
      </c>
      <c r="E153" s="65">
        <v>178</v>
      </c>
      <c r="F153" s="65">
        <v>279</v>
      </c>
      <c r="G153" s="65">
        <v>351</v>
      </c>
      <c r="H153" s="65">
        <v>297</v>
      </c>
      <c r="I153" s="65">
        <v>1220</v>
      </c>
      <c r="K153" s="65" t="s">
        <v>2441</v>
      </c>
      <c r="L153" s="65">
        <v>10</v>
      </c>
      <c r="M153" s="65">
        <v>1</v>
      </c>
      <c r="N153" s="65">
        <v>0</v>
      </c>
      <c r="O153" s="65">
        <v>1</v>
      </c>
      <c r="P153" s="65">
        <v>0</v>
      </c>
      <c r="Q153" s="65">
        <v>12</v>
      </c>
      <c r="T153" s="66" t="s">
        <v>1144</v>
      </c>
      <c r="U153" s="66" t="s">
        <v>2513</v>
      </c>
      <c r="V153" s="66">
        <v>697</v>
      </c>
      <c r="W153" s="66">
        <v>704</v>
      </c>
      <c r="X153" s="66">
        <v>981</v>
      </c>
      <c r="Y153" s="66">
        <v>1305</v>
      </c>
      <c r="Z153" s="66">
        <v>964</v>
      </c>
      <c r="AA153" s="66">
        <v>4651</v>
      </c>
      <c r="AB153" s="66"/>
      <c r="AC153" s="66" t="s">
        <v>2513</v>
      </c>
      <c r="AD153" s="66">
        <v>26</v>
      </c>
      <c r="AE153" s="66">
        <v>5</v>
      </c>
      <c r="AF153" s="66">
        <v>0</v>
      </c>
      <c r="AG153" s="66">
        <v>0</v>
      </c>
      <c r="AH153" s="66">
        <v>0</v>
      </c>
      <c r="AI153" s="66">
        <v>31</v>
      </c>
      <c r="AK153" s="67" t="s">
        <v>2217</v>
      </c>
      <c r="AL153" s="67" t="s">
        <v>2437</v>
      </c>
      <c r="AM153" s="67" t="s">
        <v>435</v>
      </c>
      <c r="AN153" s="67" t="s">
        <v>435</v>
      </c>
      <c r="AO153" s="67" t="s">
        <v>435</v>
      </c>
      <c r="AP153" s="67" t="s">
        <v>435</v>
      </c>
      <c r="AQ153" s="67" t="s">
        <v>435</v>
      </c>
      <c r="AR153" s="67" t="s">
        <v>435</v>
      </c>
      <c r="AS153" s="67"/>
      <c r="AT153" s="67" t="s">
        <v>2437</v>
      </c>
      <c r="AU153" s="67" t="s">
        <v>435</v>
      </c>
      <c r="AV153" s="67" t="s">
        <v>435</v>
      </c>
      <c r="AW153" s="67" t="s">
        <v>435</v>
      </c>
      <c r="AX153" s="67" t="s">
        <v>435</v>
      </c>
      <c r="AY153" s="67" t="s">
        <v>435</v>
      </c>
      <c r="AZ153" s="67" t="s">
        <v>435</v>
      </c>
      <c r="BB153" s="70" t="s">
        <v>362</v>
      </c>
      <c r="BC153" s="70" t="s">
        <v>2437</v>
      </c>
      <c r="BD153" s="70">
        <v>155</v>
      </c>
      <c r="BE153" s="70">
        <v>143</v>
      </c>
      <c r="BF153" s="70">
        <v>219</v>
      </c>
      <c r="BG153" s="70">
        <v>294</v>
      </c>
      <c r="BH153" s="70">
        <v>269</v>
      </c>
      <c r="BI153" s="70">
        <v>1080</v>
      </c>
      <c r="BJ153" s="70"/>
      <c r="BK153" s="70" t="s">
        <v>2437</v>
      </c>
      <c r="BL153" s="70">
        <v>18</v>
      </c>
      <c r="BM153" s="70">
        <v>0</v>
      </c>
      <c r="BN153" s="70">
        <v>0</v>
      </c>
      <c r="BO153" s="70">
        <v>0</v>
      </c>
      <c r="BP153" s="70">
        <v>0</v>
      </c>
      <c r="BQ153" s="70">
        <v>18</v>
      </c>
      <c r="BR153" s="16" t="s">
        <v>2792</v>
      </c>
      <c r="BS153" s="71" t="s">
        <v>2568</v>
      </c>
      <c r="BT153" s="71" t="s">
        <v>2513</v>
      </c>
      <c r="BU153" s="71">
        <v>32</v>
      </c>
      <c r="BV153" s="71">
        <v>38</v>
      </c>
      <c r="BW153" s="71">
        <v>68</v>
      </c>
      <c r="BX153" s="71">
        <v>88</v>
      </c>
      <c r="BY153" s="71">
        <v>96</v>
      </c>
      <c r="BZ153" s="71">
        <v>322</v>
      </c>
      <c r="CA153" s="71"/>
      <c r="CB153" s="71" t="s">
        <v>2513</v>
      </c>
      <c r="CC153" s="71">
        <v>9</v>
      </c>
      <c r="CD153" s="71">
        <v>0</v>
      </c>
      <c r="CE153" s="71">
        <v>0</v>
      </c>
      <c r="CF153" s="71">
        <v>0</v>
      </c>
      <c r="CG153" s="71">
        <v>0</v>
      </c>
      <c r="CH153" s="71">
        <v>9</v>
      </c>
      <c r="CL153" s="57" t="s">
        <v>595</v>
      </c>
      <c r="CM153" s="57" t="s">
        <v>2441</v>
      </c>
      <c r="CN153" s="57">
        <v>226</v>
      </c>
      <c r="CO153" s="57">
        <v>93</v>
      </c>
      <c r="CP153" s="57">
        <v>130</v>
      </c>
      <c r="CQ153" s="57">
        <v>169</v>
      </c>
      <c r="CR153" s="57">
        <v>237</v>
      </c>
      <c r="CS153" s="57">
        <v>855</v>
      </c>
      <c r="CT153" s="57"/>
      <c r="CU153" s="57" t="s">
        <v>2441</v>
      </c>
      <c r="CV153" s="57">
        <v>70</v>
      </c>
      <c r="CW153" s="57">
        <v>0</v>
      </c>
      <c r="CX153" s="57">
        <v>0</v>
      </c>
      <c r="CY153" s="57">
        <v>0</v>
      </c>
      <c r="CZ153" s="57">
        <v>0</v>
      </c>
      <c r="DA153" s="57">
        <v>70</v>
      </c>
      <c r="DD153" s="21"/>
      <c r="DV153" s="80" t="s">
        <v>1939</v>
      </c>
      <c r="DW153" s="80" t="s">
        <v>2513</v>
      </c>
      <c r="DX153" s="80">
        <v>125</v>
      </c>
      <c r="DY153" s="80">
        <v>133</v>
      </c>
      <c r="DZ153" s="80">
        <v>154</v>
      </c>
      <c r="EA153" s="80">
        <v>200</v>
      </c>
      <c r="EB153" s="80">
        <v>164</v>
      </c>
      <c r="EC153" s="80">
        <v>776</v>
      </c>
      <c r="ED153" s="80"/>
      <c r="EE153" s="80" t="s">
        <v>2513</v>
      </c>
      <c r="EF153" s="80">
        <v>13</v>
      </c>
      <c r="EG153" s="80">
        <v>2</v>
      </c>
      <c r="EH153" s="80">
        <v>0</v>
      </c>
      <c r="EI153" s="80">
        <v>0</v>
      </c>
      <c r="EJ153" s="80">
        <v>0</v>
      </c>
      <c r="EK153" s="80">
        <v>15</v>
      </c>
      <c r="EN153" s="57" t="s">
        <v>1978</v>
      </c>
      <c r="EO153" s="57" t="s">
        <v>27</v>
      </c>
      <c r="EP153" s="57">
        <v>245</v>
      </c>
      <c r="EQ153" s="57">
        <v>417</v>
      </c>
      <c r="ER153" s="57">
        <v>453</v>
      </c>
      <c r="ES153" s="57">
        <v>608</v>
      </c>
      <c r="ET153" s="57">
        <v>672</v>
      </c>
      <c r="EU153" s="57">
        <v>2395</v>
      </c>
      <c r="EV153" s="57"/>
      <c r="EW153" s="57" t="s">
        <v>27</v>
      </c>
      <c r="EX153" s="57">
        <v>67</v>
      </c>
      <c r="EY153" s="57">
        <v>24</v>
      </c>
      <c r="EZ153" s="57">
        <v>6</v>
      </c>
      <c r="FA153" s="57">
        <v>8</v>
      </c>
      <c r="FB153" s="57">
        <v>7</v>
      </c>
      <c r="FC153" s="57">
        <v>112</v>
      </c>
      <c r="FF153" s="71" t="s">
        <v>2060</v>
      </c>
      <c r="FG153" s="71" t="s">
        <v>2441</v>
      </c>
      <c r="FH153" s="71">
        <v>1995</v>
      </c>
      <c r="FI153" s="71">
        <v>1515</v>
      </c>
      <c r="FJ153" s="71">
        <v>818</v>
      </c>
      <c r="FK153" s="71">
        <v>760</v>
      </c>
      <c r="FL153" s="71">
        <v>874</v>
      </c>
      <c r="FM153" s="71">
        <v>5962</v>
      </c>
      <c r="FN153" s="71"/>
      <c r="FO153" s="71" t="s">
        <v>2441</v>
      </c>
      <c r="FP153" s="71">
        <v>477</v>
      </c>
      <c r="FQ153" s="71">
        <v>66</v>
      </c>
      <c r="FR153" s="71">
        <v>7</v>
      </c>
      <c r="FS153" s="71">
        <v>0</v>
      </c>
      <c r="FT153" s="71">
        <v>0</v>
      </c>
      <c r="FU153" s="71">
        <v>550</v>
      </c>
    </row>
    <row r="154" spans="2:177">
      <c r="B154" s="65" t="s">
        <v>821</v>
      </c>
      <c r="C154" s="65" t="s">
        <v>2441</v>
      </c>
      <c r="D154" s="65">
        <v>154</v>
      </c>
      <c r="E154" s="65">
        <v>232</v>
      </c>
      <c r="F154" s="65">
        <v>409</v>
      </c>
      <c r="G154" s="65">
        <v>498</v>
      </c>
      <c r="H154" s="65">
        <v>433</v>
      </c>
      <c r="I154" s="65">
        <v>1726</v>
      </c>
      <c r="K154" s="65" t="s">
        <v>2441</v>
      </c>
      <c r="L154" s="65">
        <v>7</v>
      </c>
      <c r="M154" s="65">
        <v>2</v>
      </c>
      <c r="N154" s="65">
        <v>2</v>
      </c>
      <c r="O154" s="65">
        <v>1</v>
      </c>
      <c r="P154" s="65">
        <v>0</v>
      </c>
      <c r="Q154" s="65">
        <v>12</v>
      </c>
      <c r="T154" s="66" t="s">
        <v>1148</v>
      </c>
      <c r="U154" s="66" t="s">
        <v>2513</v>
      </c>
      <c r="V154" s="66">
        <v>585</v>
      </c>
      <c r="W154" s="66">
        <v>427</v>
      </c>
      <c r="X154" s="66">
        <v>464</v>
      </c>
      <c r="Y154" s="66">
        <v>413</v>
      </c>
      <c r="Z154" s="66">
        <v>274</v>
      </c>
      <c r="AA154" s="66">
        <v>2163</v>
      </c>
      <c r="AB154" s="66"/>
      <c r="AC154" s="66" t="s">
        <v>2513</v>
      </c>
      <c r="AD154" s="66">
        <v>40</v>
      </c>
      <c r="AE154" s="66">
        <v>0</v>
      </c>
      <c r="AF154" s="66">
        <v>0</v>
      </c>
      <c r="AG154" s="66">
        <v>0</v>
      </c>
      <c r="AH154" s="66">
        <v>0</v>
      </c>
      <c r="AI154" s="66">
        <v>40</v>
      </c>
      <c r="AK154" s="67" t="s">
        <v>1289</v>
      </c>
      <c r="AL154" s="67" t="s">
        <v>2437</v>
      </c>
      <c r="AM154" s="67">
        <v>520</v>
      </c>
      <c r="AN154" s="67">
        <v>422</v>
      </c>
      <c r="AO154" s="67">
        <v>467</v>
      </c>
      <c r="AP154" s="67">
        <v>454</v>
      </c>
      <c r="AQ154" s="67">
        <v>292</v>
      </c>
      <c r="AR154" s="67">
        <v>2155</v>
      </c>
      <c r="AS154" s="67"/>
      <c r="AT154" s="67" t="s">
        <v>2437</v>
      </c>
      <c r="AU154" s="67">
        <v>87</v>
      </c>
      <c r="AV154" s="67">
        <v>6</v>
      </c>
      <c r="AW154" s="67">
        <v>1</v>
      </c>
      <c r="AX154" s="67">
        <v>1</v>
      </c>
      <c r="AY154" s="67">
        <v>0</v>
      </c>
      <c r="AZ154" s="67">
        <v>95</v>
      </c>
      <c r="BB154" s="70" t="s">
        <v>1394</v>
      </c>
      <c r="BC154" s="70" t="s">
        <v>2437</v>
      </c>
      <c r="BD154" s="70">
        <v>521</v>
      </c>
      <c r="BE154" s="70">
        <v>645</v>
      </c>
      <c r="BF154" s="70">
        <v>999</v>
      </c>
      <c r="BG154" s="70">
        <v>1117</v>
      </c>
      <c r="BH154" s="70">
        <v>908</v>
      </c>
      <c r="BI154" s="70">
        <v>4190</v>
      </c>
      <c r="BJ154" s="70"/>
      <c r="BK154" s="70" t="s">
        <v>2437</v>
      </c>
      <c r="BL154" s="70">
        <v>20</v>
      </c>
      <c r="BM154" s="70">
        <v>0</v>
      </c>
      <c r="BN154" s="70">
        <v>0</v>
      </c>
      <c r="BO154" s="70">
        <v>0</v>
      </c>
      <c r="BP154" s="70">
        <v>0</v>
      </c>
      <c r="BQ154" s="70">
        <v>20</v>
      </c>
      <c r="BS154" s="71" t="s">
        <v>1643</v>
      </c>
      <c r="BT154" s="71" t="s">
        <v>2513</v>
      </c>
      <c r="BU154" s="71">
        <v>35</v>
      </c>
      <c r="BV154" s="71">
        <v>57</v>
      </c>
      <c r="BW154" s="71">
        <v>95</v>
      </c>
      <c r="BX154" s="71">
        <v>194</v>
      </c>
      <c r="BY154" s="71">
        <v>180</v>
      </c>
      <c r="BZ154" s="71">
        <v>561</v>
      </c>
      <c r="CA154" s="71"/>
      <c r="CB154" s="71" t="s">
        <v>2513</v>
      </c>
      <c r="CC154" s="71">
        <v>15</v>
      </c>
      <c r="CD154" s="71">
        <v>0</v>
      </c>
      <c r="CE154" s="71">
        <v>0</v>
      </c>
      <c r="CF154" s="71">
        <v>0</v>
      </c>
      <c r="CG154" s="71">
        <v>0</v>
      </c>
      <c r="CH154" s="71">
        <v>15</v>
      </c>
      <c r="CL154" s="57" t="s">
        <v>406</v>
      </c>
      <c r="CM154" s="57" t="s">
        <v>2441</v>
      </c>
      <c r="CN154" s="57">
        <v>50</v>
      </c>
      <c r="CO154" s="57">
        <v>53</v>
      </c>
      <c r="CP154" s="57">
        <v>55</v>
      </c>
      <c r="CQ154" s="57">
        <v>40</v>
      </c>
      <c r="CR154" s="57">
        <v>81</v>
      </c>
      <c r="CS154" s="57">
        <v>279</v>
      </c>
      <c r="CT154" s="57"/>
      <c r="CU154" s="57" t="s">
        <v>2441</v>
      </c>
      <c r="CV154" s="57">
        <v>4</v>
      </c>
      <c r="CW154" s="57">
        <v>0</v>
      </c>
      <c r="CX154" s="57">
        <v>0</v>
      </c>
      <c r="CY154" s="57">
        <v>0</v>
      </c>
      <c r="CZ154" s="57">
        <v>0</v>
      </c>
      <c r="DA154" s="57">
        <v>4</v>
      </c>
      <c r="DD154" s="21"/>
      <c r="EN154" s="57" t="s">
        <v>1981</v>
      </c>
      <c r="EO154" s="57" t="s">
        <v>27</v>
      </c>
      <c r="EP154" s="57">
        <v>39</v>
      </c>
      <c r="EQ154" s="57">
        <v>137</v>
      </c>
      <c r="ER154" s="57">
        <v>216</v>
      </c>
      <c r="ES154" s="57">
        <v>325</v>
      </c>
      <c r="ET154" s="57">
        <v>329</v>
      </c>
      <c r="EU154" s="57">
        <v>1046</v>
      </c>
      <c r="EV154" s="57"/>
      <c r="EW154" s="57" t="s">
        <v>27</v>
      </c>
      <c r="EX154" s="57">
        <v>1</v>
      </c>
      <c r="EY154" s="57">
        <v>5</v>
      </c>
      <c r="EZ154" s="57">
        <v>3</v>
      </c>
      <c r="FA154" s="57">
        <v>4</v>
      </c>
      <c r="FB154" s="57">
        <v>0</v>
      </c>
      <c r="FC154" s="57">
        <v>13</v>
      </c>
      <c r="FF154" s="71" t="s">
        <v>2063</v>
      </c>
      <c r="FG154" s="71" t="s">
        <v>2441</v>
      </c>
      <c r="FH154" s="71">
        <v>246</v>
      </c>
      <c r="FI154" s="71">
        <v>387</v>
      </c>
      <c r="FJ154" s="71">
        <v>493</v>
      </c>
      <c r="FK154" s="71">
        <v>522</v>
      </c>
      <c r="FL154" s="71">
        <v>585</v>
      </c>
      <c r="FM154" s="71">
        <v>2233</v>
      </c>
      <c r="FN154" s="71"/>
      <c r="FO154" s="71" t="s">
        <v>2441</v>
      </c>
      <c r="FP154" s="71">
        <v>51</v>
      </c>
      <c r="FQ154" s="71">
        <v>1</v>
      </c>
      <c r="FR154" s="71">
        <v>0</v>
      </c>
      <c r="FS154" s="71">
        <v>0</v>
      </c>
      <c r="FT154" s="71">
        <v>0</v>
      </c>
      <c r="FU154" s="71">
        <v>52</v>
      </c>
    </row>
    <row r="155" spans="2:177">
      <c r="B155" s="65" t="s">
        <v>825</v>
      </c>
      <c r="C155" s="65" t="s">
        <v>2441</v>
      </c>
      <c r="D155" s="65">
        <v>925</v>
      </c>
      <c r="E155" s="65">
        <v>718</v>
      </c>
      <c r="F155" s="65">
        <v>818</v>
      </c>
      <c r="G155" s="65">
        <v>835</v>
      </c>
      <c r="H155" s="65">
        <v>593</v>
      </c>
      <c r="I155" s="65">
        <v>3889</v>
      </c>
      <c r="K155" s="65" t="s">
        <v>2441</v>
      </c>
      <c r="L155" s="65">
        <v>152</v>
      </c>
      <c r="M155" s="65">
        <v>5</v>
      </c>
      <c r="N155" s="65">
        <v>1</v>
      </c>
      <c r="O155" s="65">
        <v>1</v>
      </c>
      <c r="P155" s="65">
        <v>0</v>
      </c>
      <c r="Q155" s="65">
        <v>159</v>
      </c>
      <c r="T155" s="66" t="s">
        <v>1154</v>
      </c>
      <c r="U155" s="66" t="s">
        <v>2513</v>
      </c>
      <c r="V155" s="66">
        <v>122</v>
      </c>
      <c r="W155" s="66">
        <v>281</v>
      </c>
      <c r="X155" s="66">
        <v>477</v>
      </c>
      <c r="Y155" s="66">
        <v>687</v>
      </c>
      <c r="Z155" s="66">
        <v>518</v>
      </c>
      <c r="AA155" s="66">
        <v>2085</v>
      </c>
      <c r="AB155" s="66"/>
      <c r="AC155" s="66" t="s">
        <v>2513</v>
      </c>
      <c r="AD155" s="66">
        <v>13</v>
      </c>
      <c r="AE155" s="66">
        <v>2</v>
      </c>
      <c r="AF155" s="66">
        <v>0</v>
      </c>
      <c r="AG155" s="66">
        <v>1</v>
      </c>
      <c r="AH155" s="66">
        <v>0</v>
      </c>
      <c r="AI155" s="66">
        <v>16</v>
      </c>
      <c r="AK155" s="67" t="s">
        <v>2237</v>
      </c>
      <c r="AL155" s="67" t="s">
        <v>2437</v>
      </c>
      <c r="AM155" s="67">
        <v>888</v>
      </c>
      <c r="AN155" s="67">
        <v>831</v>
      </c>
      <c r="AO155" s="67">
        <v>1314</v>
      </c>
      <c r="AP155" s="67">
        <v>1774</v>
      </c>
      <c r="AQ155" s="67">
        <v>1352</v>
      </c>
      <c r="AR155" s="67">
        <v>6159</v>
      </c>
      <c r="AS155" s="67"/>
      <c r="AT155" s="67" t="s">
        <v>2437</v>
      </c>
      <c r="AU155" s="67">
        <v>49</v>
      </c>
      <c r="AV155" s="67">
        <v>0</v>
      </c>
      <c r="AW155" s="67">
        <v>0</v>
      </c>
      <c r="AX155" s="67">
        <v>0</v>
      </c>
      <c r="AY155" s="67">
        <v>0</v>
      </c>
      <c r="AZ155" s="67">
        <v>49</v>
      </c>
      <c r="BB155" s="70" t="s">
        <v>2246</v>
      </c>
      <c r="BC155" s="70" t="s">
        <v>2437</v>
      </c>
      <c r="BD155" s="70">
        <v>1642</v>
      </c>
      <c r="BE155" s="70">
        <v>1180</v>
      </c>
      <c r="BF155" s="70">
        <v>1104</v>
      </c>
      <c r="BG155" s="70">
        <v>1005</v>
      </c>
      <c r="BH155" s="70">
        <v>723</v>
      </c>
      <c r="BI155" s="70">
        <v>5654</v>
      </c>
      <c r="BJ155" s="70"/>
      <c r="BK155" s="70" t="s">
        <v>2437</v>
      </c>
      <c r="BL155" s="70">
        <v>251</v>
      </c>
      <c r="BM155" s="70">
        <v>3</v>
      </c>
      <c r="BN155" s="70">
        <v>0</v>
      </c>
      <c r="BO155" s="70">
        <v>0</v>
      </c>
      <c r="BP155" s="70">
        <v>0</v>
      </c>
      <c r="BQ155" s="70">
        <v>254</v>
      </c>
      <c r="BS155" s="71" t="s">
        <v>1648</v>
      </c>
      <c r="BT155" s="71" t="s">
        <v>2513</v>
      </c>
      <c r="BU155" s="71">
        <v>37</v>
      </c>
      <c r="BV155" s="71">
        <v>58</v>
      </c>
      <c r="BW155" s="71">
        <v>82</v>
      </c>
      <c r="BX155" s="71">
        <v>121</v>
      </c>
      <c r="BY155" s="71">
        <v>148</v>
      </c>
      <c r="BZ155" s="71">
        <v>446</v>
      </c>
      <c r="CA155" s="71"/>
      <c r="CB155" s="71" t="s">
        <v>2513</v>
      </c>
      <c r="CC155" s="71">
        <v>10</v>
      </c>
      <c r="CD155" s="71">
        <v>0</v>
      </c>
      <c r="CE155" s="71">
        <v>0</v>
      </c>
      <c r="CF155" s="71">
        <v>0</v>
      </c>
      <c r="CG155" s="71">
        <v>0</v>
      </c>
      <c r="CH155" s="71">
        <v>10</v>
      </c>
      <c r="CL155" s="57" t="s">
        <v>564</v>
      </c>
      <c r="CM155" s="57" t="s">
        <v>2441</v>
      </c>
      <c r="CN155" s="57">
        <v>400</v>
      </c>
      <c r="CO155" s="57">
        <v>73</v>
      </c>
      <c r="CP155" s="57">
        <v>142</v>
      </c>
      <c r="CQ155" s="57">
        <v>170</v>
      </c>
      <c r="CR155" s="57">
        <v>285</v>
      </c>
      <c r="CS155" s="57">
        <v>1070</v>
      </c>
      <c r="CT155" s="57"/>
      <c r="CU155" s="57" t="s">
        <v>2441</v>
      </c>
      <c r="CV155" s="57">
        <v>135</v>
      </c>
      <c r="CW155" s="57">
        <v>0</v>
      </c>
      <c r="CX155" s="57">
        <v>0</v>
      </c>
      <c r="CY155" s="57">
        <v>0</v>
      </c>
      <c r="CZ155" s="57">
        <v>0</v>
      </c>
      <c r="DA155" s="57">
        <v>135</v>
      </c>
      <c r="DD155" s="21"/>
      <c r="EN155" s="57" t="s">
        <v>1990</v>
      </c>
      <c r="EO155" s="57" t="s">
        <v>27</v>
      </c>
      <c r="EP155" s="57">
        <v>153</v>
      </c>
      <c r="EQ155" s="57">
        <v>313</v>
      </c>
      <c r="ER155" s="57">
        <v>424</v>
      </c>
      <c r="ES155" s="57">
        <v>570</v>
      </c>
      <c r="ET155" s="57">
        <v>666</v>
      </c>
      <c r="EU155" s="57">
        <v>2126</v>
      </c>
      <c r="EV155" s="57"/>
      <c r="EW155" s="57" t="s">
        <v>27</v>
      </c>
      <c r="EX155" s="57">
        <v>22</v>
      </c>
      <c r="EY155" s="57">
        <v>4</v>
      </c>
      <c r="EZ155" s="57">
        <v>4</v>
      </c>
      <c r="FA155" s="57">
        <v>3</v>
      </c>
      <c r="FB155" s="57">
        <v>3</v>
      </c>
      <c r="FC155" s="57">
        <v>36</v>
      </c>
      <c r="FF155" s="71" t="s">
        <v>2065</v>
      </c>
      <c r="FG155" s="71" t="s">
        <v>2441</v>
      </c>
      <c r="FH155" s="71">
        <v>203</v>
      </c>
      <c r="FI155" s="71">
        <v>305</v>
      </c>
      <c r="FJ155" s="71">
        <v>489</v>
      </c>
      <c r="FK155" s="71">
        <v>486</v>
      </c>
      <c r="FL155" s="71">
        <v>582</v>
      </c>
      <c r="FM155" s="71">
        <v>2065</v>
      </c>
      <c r="FN155" s="71"/>
      <c r="FO155" s="71" t="s">
        <v>2441</v>
      </c>
      <c r="FP155" s="71">
        <v>17</v>
      </c>
      <c r="FQ155" s="71">
        <v>0</v>
      </c>
      <c r="FR155" s="71">
        <v>0</v>
      </c>
      <c r="FS155" s="71">
        <v>0</v>
      </c>
      <c r="FT155" s="71">
        <v>0</v>
      </c>
      <c r="FU155" s="71">
        <v>17</v>
      </c>
    </row>
    <row r="156" spans="2:177">
      <c r="B156" s="65" t="s">
        <v>830</v>
      </c>
      <c r="C156" s="65" t="s">
        <v>2441</v>
      </c>
      <c r="D156" s="65">
        <v>651</v>
      </c>
      <c r="E156" s="65">
        <v>971</v>
      </c>
      <c r="F156" s="65">
        <v>1325</v>
      </c>
      <c r="G156" s="65">
        <v>1457</v>
      </c>
      <c r="H156" s="65">
        <v>893</v>
      </c>
      <c r="I156" s="65">
        <v>5297</v>
      </c>
      <c r="K156" s="65" t="s">
        <v>2441</v>
      </c>
      <c r="L156" s="65">
        <v>56</v>
      </c>
      <c r="M156" s="65">
        <v>5</v>
      </c>
      <c r="N156" s="65">
        <v>0</v>
      </c>
      <c r="O156" s="65">
        <v>0</v>
      </c>
      <c r="P156" s="65">
        <v>0</v>
      </c>
      <c r="Q156" s="65">
        <v>61</v>
      </c>
      <c r="T156" s="66" t="s">
        <v>1158</v>
      </c>
      <c r="U156" s="66" t="s">
        <v>2513</v>
      </c>
      <c r="V156" s="66">
        <v>258</v>
      </c>
      <c r="W156" s="66">
        <v>284</v>
      </c>
      <c r="X156" s="66">
        <v>394</v>
      </c>
      <c r="Y156" s="66">
        <v>423</v>
      </c>
      <c r="Z156" s="66">
        <v>330</v>
      </c>
      <c r="AA156" s="66">
        <v>1689</v>
      </c>
      <c r="AB156" s="66"/>
      <c r="AC156" s="66" t="s">
        <v>2513</v>
      </c>
      <c r="AD156" s="66">
        <v>39</v>
      </c>
      <c r="AE156" s="66">
        <v>0</v>
      </c>
      <c r="AF156" s="66">
        <v>0</v>
      </c>
      <c r="AG156" s="66">
        <v>0</v>
      </c>
      <c r="AH156" s="66">
        <v>0</v>
      </c>
      <c r="AI156" s="66">
        <v>39</v>
      </c>
      <c r="AK156" s="67" t="s">
        <v>2243</v>
      </c>
      <c r="AL156" s="67" t="s">
        <v>2437</v>
      </c>
      <c r="AM156" s="67">
        <v>825</v>
      </c>
      <c r="AN156" s="67">
        <v>1025</v>
      </c>
      <c r="AO156" s="67">
        <v>1450</v>
      </c>
      <c r="AP156" s="67">
        <v>1625</v>
      </c>
      <c r="AQ156" s="67">
        <v>1073</v>
      </c>
      <c r="AR156" s="67">
        <v>5998</v>
      </c>
      <c r="AS156" s="67"/>
      <c r="AT156" s="67" t="s">
        <v>2437</v>
      </c>
      <c r="AU156" s="67">
        <v>52</v>
      </c>
      <c r="AV156" s="67">
        <v>3</v>
      </c>
      <c r="AW156" s="67">
        <v>0</v>
      </c>
      <c r="AX156" s="67">
        <v>0</v>
      </c>
      <c r="AY156" s="67">
        <v>2</v>
      </c>
      <c r="AZ156" s="67">
        <v>57</v>
      </c>
      <c r="BB156" s="70" t="s">
        <v>1418</v>
      </c>
      <c r="BC156" s="70" t="s">
        <v>2437</v>
      </c>
      <c r="BD156" s="70">
        <v>141</v>
      </c>
      <c r="BE156" s="70">
        <v>108</v>
      </c>
      <c r="BF156" s="70">
        <v>181</v>
      </c>
      <c r="BG156" s="70">
        <v>232</v>
      </c>
      <c r="BH156" s="70">
        <v>216</v>
      </c>
      <c r="BI156" s="70">
        <v>878</v>
      </c>
      <c r="BJ156" s="70"/>
      <c r="BK156" s="70" t="s">
        <v>2437</v>
      </c>
      <c r="BL156" s="70">
        <v>26</v>
      </c>
      <c r="BM156" s="70">
        <v>0</v>
      </c>
      <c r="BN156" s="70">
        <v>1</v>
      </c>
      <c r="BO156" s="70">
        <v>0</v>
      </c>
      <c r="BP156" s="70">
        <v>0</v>
      </c>
      <c r="BQ156" s="70">
        <v>27</v>
      </c>
      <c r="BS156" s="71" t="s">
        <v>1650</v>
      </c>
      <c r="BT156" s="71" t="s">
        <v>2513</v>
      </c>
      <c r="BU156" s="71">
        <v>56</v>
      </c>
      <c r="BV156" s="71">
        <v>73</v>
      </c>
      <c r="BW156" s="71">
        <v>93</v>
      </c>
      <c r="BX156" s="71">
        <v>142</v>
      </c>
      <c r="BY156" s="71">
        <v>161</v>
      </c>
      <c r="BZ156" s="71">
        <v>525</v>
      </c>
      <c r="CA156" s="71"/>
      <c r="CB156" s="71" t="s">
        <v>2513</v>
      </c>
      <c r="CC156" s="71">
        <v>19</v>
      </c>
      <c r="CD156" s="71">
        <v>0</v>
      </c>
      <c r="CE156" s="71">
        <v>0</v>
      </c>
      <c r="CF156" s="71">
        <v>0</v>
      </c>
      <c r="CG156" s="71">
        <v>0</v>
      </c>
      <c r="CH156" s="71">
        <v>19</v>
      </c>
      <c r="CL156" s="57" t="s">
        <v>409</v>
      </c>
      <c r="CM156" s="57" t="s">
        <v>2441</v>
      </c>
      <c r="CN156" s="57">
        <v>1251</v>
      </c>
      <c r="CO156" s="57">
        <v>768</v>
      </c>
      <c r="CP156" s="57">
        <v>1017</v>
      </c>
      <c r="CQ156" s="57">
        <v>945</v>
      </c>
      <c r="CR156" s="57">
        <v>801</v>
      </c>
      <c r="CS156" s="57">
        <v>4782</v>
      </c>
      <c r="CT156" s="57"/>
      <c r="CU156" s="57" t="s">
        <v>2441</v>
      </c>
      <c r="CV156" s="57">
        <v>165</v>
      </c>
      <c r="CW156" s="57">
        <v>5</v>
      </c>
      <c r="CX156" s="57">
        <v>1</v>
      </c>
      <c r="CY156" s="57">
        <v>0</v>
      </c>
      <c r="CZ156" s="57">
        <v>0</v>
      </c>
      <c r="DA156" s="57">
        <v>171</v>
      </c>
      <c r="DD156" s="21"/>
      <c r="EN156" s="57" t="s">
        <v>1993</v>
      </c>
      <c r="EO156" s="57" t="s">
        <v>27</v>
      </c>
      <c r="EP156" s="57">
        <v>511</v>
      </c>
      <c r="EQ156" s="57">
        <v>586</v>
      </c>
      <c r="ER156" s="57">
        <v>704</v>
      </c>
      <c r="ES156" s="57">
        <v>878</v>
      </c>
      <c r="ET156" s="57">
        <v>918</v>
      </c>
      <c r="EU156" s="57">
        <v>3597</v>
      </c>
      <c r="EV156" s="57"/>
      <c r="EW156" s="57" t="s">
        <v>27</v>
      </c>
      <c r="EX156" s="57">
        <v>44</v>
      </c>
      <c r="EY156" s="57">
        <v>11</v>
      </c>
      <c r="EZ156" s="57">
        <v>7</v>
      </c>
      <c r="FA156" s="57">
        <v>7</v>
      </c>
      <c r="FB156" s="57">
        <v>4</v>
      </c>
      <c r="FC156" s="57">
        <v>73</v>
      </c>
      <c r="FF156" s="71" t="s">
        <v>2067</v>
      </c>
      <c r="FG156" s="71" t="s">
        <v>2441</v>
      </c>
      <c r="FH156" s="71">
        <v>387</v>
      </c>
      <c r="FI156" s="71">
        <v>498</v>
      </c>
      <c r="FJ156" s="71">
        <v>638</v>
      </c>
      <c r="FK156" s="71">
        <v>636</v>
      </c>
      <c r="FL156" s="71">
        <v>656</v>
      </c>
      <c r="FM156" s="71">
        <v>2815</v>
      </c>
      <c r="FN156" s="71"/>
      <c r="FO156" s="71" t="s">
        <v>2441</v>
      </c>
      <c r="FP156" s="71">
        <v>69</v>
      </c>
      <c r="FQ156" s="71">
        <v>0</v>
      </c>
      <c r="FR156" s="71">
        <v>0</v>
      </c>
      <c r="FS156" s="71">
        <v>0</v>
      </c>
      <c r="FT156" s="71">
        <v>0</v>
      </c>
      <c r="FU156" s="71">
        <v>69</v>
      </c>
    </row>
    <row r="157" spans="2:177">
      <c r="B157" s="65" t="s">
        <v>834</v>
      </c>
      <c r="C157" s="65" t="s">
        <v>2441</v>
      </c>
      <c r="D157" s="65">
        <v>601</v>
      </c>
      <c r="E157" s="65">
        <v>725</v>
      </c>
      <c r="F157" s="65">
        <v>1107</v>
      </c>
      <c r="G157" s="65">
        <v>1201</v>
      </c>
      <c r="H157" s="65">
        <v>830</v>
      </c>
      <c r="I157" s="65">
        <v>4464</v>
      </c>
      <c r="K157" s="65" t="s">
        <v>2441</v>
      </c>
      <c r="L157" s="65">
        <v>75</v>
      </c>
      <c r="M157" s="65">
        <v>2</v>
      </c>
      <c r="N157" s="65">
        <v>0</v>
      </c>
      <c r="O157" s="65">
        <v>2</v>
      </c>
      <c r="P157" s="65">
        <v>0</v>
      </c>
      <c r="Q157" s="65">
        <v>79</v>
      </c>
      <c r="T157" s="66" t="s">
        <v>1163</v>
      </c>
      <c r="U157" s="66" t="s">
        <v>2513</v>
      </c>
      <c r="V157" s="66">
        <v>132</v>
      </c>
      <c r="W157" s="66">
        <v>202</v>
      </c>
      <c r="X157" s="66">
        <v>374</v>
      </c>
      <c r="Y157" s="66">
        <v>477</v>
      </c>
      <c r="Z157" s="66">
        <v>437</v>
      </c>
      <c r="AA157" s="66">
        <v>1622</v>
      </c>
      <c r="AB157" s="66"/>
      <c r="AC157" s="66" t="s">
        <v>2513</v>
      </c>
      <c r="AD157" s="66">
        <v>13</v>
      </c>
      <c r="AE157" s="66">
        <v>0</v>
      </c>
      <c r="AF157" s="66">
        <v>0</v>
      </c>
      <c r="AG157" s="66">
        <v>0</v>
      </c>
      <c r="AH157" s="66">
        <v>0</v>
      </c>
      <c r="AI157" s="66">
        <v>13</v>
      </c>
      <c r="AK157" s="67" t="s">
        <v>2207</v>
      </c>
      <c r="AL157" s="67" t="s">
        <v>2437</v>
      </c>
      <c r="AM157" s="67">
        <v>708</v>
      </c>
      <c r="AN157" s="67">
        <v>674</v>
      </c>
      <c r="AO157" s="67">
        <v>750</v>
      </c>
      <c r="AP157" s="67">
        <v>869</v>
      </c>
      <c r="AQ157" s="67">
        <v>607</v>
      </c>
      <c r="AR157" s="67">
        <v>3608</v>
      </c>
      <c r="AS157" s="67"/>
      <c r="AT157" s="67" t="s">
        <v>2437</v>
      </c>
      <c r="AU157" s="67">
        <v>79</v>
      </c>
      <c r="AV157" s="67">
        <v>0</v>
      </c>
      <c r="AW157" s="67">
        <v>0</v>
      </c>
      <c r="AX157" s="67">
        <v>1</v>
      </c>
      <c r="AY157" s="67">
        <v>1</v>
      </c>
      <c r="AZ157" s="67">
        <v>81</v>
      </c>
      <c r="BB157" s="70" t="s">
        <v>1424</v>
      </c>
      <c r="BC157" s="70" t="s">
        <v>2437</v>
      </c>
      <c r="BD157" s="70">
        <v>380</v>
      </c>
      <c r="BE157" s="70">
        <v>523</v>
      </c>
      <c r="BF157" s="70">
        <v>726</v>
      </c>
      <c r="BG157" s="70">
        <v>853</v>
      </c>
      <c r="BH157" s="70">
        <v>575</v>
      </c>
      <c r="BI157" s="70">
        <v>3057</v>
      </c>
      <c r="BJ157" s="70"/>
      <c r="BK157" s="70" t="s">
        <v>2437</v>
      </c>
      <c r="BL157" s="70">
        <v>33</v>
      </c>
      <c r="BM157" s="70">
        <v>0</v>
      </c>
      <c r="BN157" s="70">
        <v>0</v>
      </c>
      <c r="BO157" s="70">
        <v>0</v>
      </c>
      <c r="BP157" s="70">
        <v>0</v>
      </c>
      <c r="BQ157" s="70">
        <v>33</v>
      </c>
      <c r="BS157" s="71" t="s">
        <v>1655</v>
      </c>
      <c r="BT157" s="71" t="s">
        <v>2513</v>
      </c>
      <c r="BU157" s="71">
        <v>35</v>
      </c>
      <c r="BV157" s="71">
        <v>39</v>
      </c>
      <c r="BW157" s="71">
        <v>83</v>
      </c>
      <c r="BX157" s="71">
        <v>170</v>
      </c>
      <c r="BY157" s="71">
        <v>128</v>
      </c>
      <c r="BZ157" s="71">
        <v>455</v>
      </c>
      <c r="CA157" s="71"/>
      <c r="CB157" s="71" t="s">
        <v>2513</v>
      </c>
      <c r="CC157" s="71">
        <v>19</v>
      </c>
      <c r="CD157" s="71">
        <v>0</v>
      </c>
      <c r="CE157" s="71">
        <v>0</v>
      </c>
      <c r="CF157" s="71">
        <v>0</v>
      </c>
      <c r="CG157" s="71">
        <v>0</v>
      </c>
      <c r="CH157" s="71">
        <v>19</v>
      </c>
      <c r="CL157" s="57" t="s">
        <v>605</v>
      </c>
      <c r="CM157" s="57" t="s">
        <v>2441</v>
      </c>
      <c r="CN157" s="57" t="s">
        <v>356</v>
      </c>
      <c r="CO157" s="57" t="s">
        <v>356</v>
      </c>
      <c r="CP157" s="57" t="s">
        <v>356</v>
      </c>
      <c r="CQ157" s="57" t="s">
        <v>356</v>
      </c>
      <c r="CR157" s="57" t="s">
        <v>356</v>
      </c>
      <c r="CS157" s="57" t="s">
        <v>356</v>
      </c>
      <c r="CT157" s="57"/>
      <c r="CU157" s="57" t="s">
        <v>2441</v>
      </c>
      <c r="CV157" s="57" t="s">
        <v>356</v>
      </c>
      <c r="CW157" s="57" t="s">
        <v>356</v>
      </c>
      <c r="CX157" s="57" t="s">
        <v>356</v>
      </c>
      <c r="CY157" s="57" t="s">
        <v>356</v>
      </c>
      <c r="CZ157" s="57" t="s">
        <v>356</v>
      </c>
      <c r="DA157" s="57" t="s">
        <v>356</v>
      </c>
      <c r="DD157" s="21"/>
      <c r="EN157" s="57" t="s">
        <v>1996</v>
      </c>
      <c r="EO157" s="57" t="s">
        <v>27</v>
      </c>
      <c r="EP157" s="57">
        <v>301</v>
      </c>
      <c r="EQ157" s="57">
        <v>448</v>
      </c>
      <c r="ER157" s="57">
        <v>425</v>
      </c>
      <c r="ES157" s="57">
        <v>482</v>
      </c>
      <c r="ET157" s="57">
        <v>577</v>
      </c>
      <c r="EU157" s="57">
        <v>2233</v>
      </c>
      <c r="EV157" s="57"/>
      <c r="EW157" s="57" t="s">
        <v>27</v>
      </c>
      <c r="EX157" s="57">
        <v>17</v>
      </c>
      <c r="EY157" s="57">
        <v>7</v>
      </c>
      <c r="EZ157" s="57">
        <v>1</v>
      </c>
      <c r="FA157" s="57">
        <v>1</v>
      </c>
      <c r="FB157" s="57">
        <v>6</v>
      </c>
      <c r="FC157" s="57">
        <v>32</v>
      </c>
      <c r="FF157" s="71" t="s">
        <v>2069</v>
      </c>
      <c r="FG157" s="71" t="s">
        <v>2441</v>
      </c>
      <c r="FH157" s="71">
        <v>381</v>
      </c>
      <c r="FI157" s="71">
        <v>540</v>
      </c>
      <c r="FJ157" s="71">
        <v>693</v>
      </c>
      <c r="FK157" s="71">
        <v>650</v>
      </c>
      <c r="FL157" s="71">
        <v>764</v>
      </c>
      <c r="FM157" s="71">
        <v>3028</v>
      </c>
      <c r="FN157" s="71"/>
      <c r="FO157" s="71" t="s">
        <v>2441</v>
      </c>
      <c r="FP157" s="71">
        <v>57</v>
      </c>
      <c r="FQ157" s="71">
        <v>1</v>
      </c>
      <c r="FR157" s="71">
        <v>0</v>
      </c>
      <c r="FS157" s="71">
        <v>0</v>
      </c>
      <c r="FT157" s="71">
        <v>0</v>
      </c>
      <c r="FU157" s="71">
        <v>58</v>
      </c>
    </row>
    <row r="158" spans="2:177">
      <c r="B158" s="65" t="s">
        <v>840</v>
      </c>
      <c r="C158" s="65" t="s">
        <v>2441</v>
      </c>
      <c r="D158" s="65">
        <v>318</v>
      </c>
      <c r="E158" s="65">
        <v>516</v>
      </c>
      <c r="F158" s="65">
        <v>685</v>
      </c>
      <c r="G158" s="65">
        <v>876</v>
      </c>
      <c r="H158" s="65">
        <v>547</v>
      </c>
      <c r="I158" s="65">
        <v>2942</v>
      </c>
      <c r="K158" s="65" t="s">
        <v>2441</v>
      </c>
      <c r="L158" s="65">
        <v>15</v>
      </c>
      <c r="M158" s="65">
        <v>1</v>
      </c>
      <c r="N158" s="65">
        <v>0</v>
      </c>
      <c r="O158" s="65">
        <v>0</v>
      </c>
      <c r="P158" s="65">
        <v>0</v>
      </c>
      <c r="Q158" s="65">
        <v>16</v>
      </c>
      <c r="T158" s="66" t="s">
        <v>1166</v>
      </c>
      <c r="U158" s="66" t="s">
        <v>2513</v>
      </c>
      <c r="V158" s="66">
        <v>487</v>
      </c>
      <c r="W158" s="66">
        <v>555</v>
      </c>
      <c r="X158" s="66">
        <v>642</v>
      </c>
      <c r="Y158" s="66">
        <v>777</v>
      </c>
      <c r="Z158" s="66">
        <v>712</v>
      </c>
      <c r="AA158" s="66">
        <v>3173</v>
      </c>
      <c r="AB158" s="66"/>
      <c r="AC158" s="66" t="s">
        <v>2513</v>
      </c>
      <c r="AD158" s="66">
        <v>47</v>
      </c>
      <c r="AE158" s="66">
        <v>0</v>
      </c>
      <c r="AF158" s="66">
        <v>0</v>
      </c>
      <c r="AG158" s="66">
        <v>0</v>
      </c>
      <c r="AH158" s="66">
        <v>0</v>
      </c>
      <c r="AI158" s="66">
        <v>47</v>
      </c>
      <c r="AK158" s="67" t="s">
        <v>2222</v>
      </c>
      <c r="AL158" s="67" t="s">
        <v>2437</v>
      </c>
      <c r="AM158" s="67">
        <v>358</v>
      </c>
      <c r="AN158" s="67">
        <v>485</v>
      </c>
      <c r="AO158" s="67">
        <v>741</v>
      </c>
      <c r="AP158" s="67">
        <v>819</v>
      </c>
      <c r="AQ158" s="67">
        <v>546</v>
      </c>
      <c r="AR158" s="67">
        <v>2949</v>
      </c>
      <c r="AS158" s="67"/>
      <c r="AT158" s="67" t="s">
        <v>2437</v>
      </c>
      <c r="AU158" s="67">
        <v>22</v>
      </c>
      <c r="AV158" s="67">
        <v>2</v>
      </c>
      <c r="AW158" s="67">
        <v>0</v>
      </c>
      <c r="AX158" s="67">
        <v>0</v>
      </c>
      <c r="AY158" s="67">
        <v>1</v>
      </c>
      <c r="AZ158" s="67">
        <v>25</v>
      </c>
      <c r="BB158" s="70" t="s">
        <v>474</v>
      </c>
      <c r="BC158" s="70" t="s">
        <v>2437</v>
      </c>
      <c r="BD158" s="70">
        <v>146</v>
      </c>
      <c r="BE158" s="70">
        <v>162</v>
      </c>
      <c r="BF158" s="70">
        <v>389</v>
      </c>
      <c r="BG158" s="70">
        <v>583</v>
      </c>
      <c r="BH158" s="70">
        <v>445</v>
      </c>
      <c r="BI158" s="70">
        <v>1725</v>
      </c>
      <c r="BJ158" s="70"/>
      <c r="BK158" s="70" t="s">
        <v>2437</v>
      </c>
      <c r="BL158" s="70">
        <v>28</v>
      </c>
      <c r="BM158" s="70">
        <v>0</v>
      </c>
      <c r="BN158" s="70">
        <v>0</v>
      </c>
      <c r="BO158" s="70">
        <v>0</v>
      </c>
      <c r="BP158" s="70">
        <v>0</v>
      </c>
      <c r="BQ158" s="70">
        <v>28</v>
      </c>
      <c r="BS158" s="71" t="s">
        <v>1657</v>
      </c>
      <c r="BT158" s="71" t="s">
        <v>2513</v>
      </c>
      <c r="BU158" s="71">
        <v>26</v>
      </c>
      <c r="BV158" s="71">
        <v>17</v>
      </c>
      <c r="BW158" s="71">
        <v>45</v>
      </c>
      <c r="BX158" s="71">
        <v>69</v>
      </c>
      <c r="BY158" s="71">
        <v>99</v>
      </c>
      <c r="BZ158" s="71">
        <v>256</v>
      </c>
      <c r="CA158" s="71"/>
      <c r="CB158" s="71" t="s">
        <v>2513</v>
      </c>
      <c r="CC158" s="71">
        <v>9</v>
      </c>
      <c r="CD158" s="71">
        <v>0</v>
      </c>
      <c r="CE158" s="71">
        <v>0</v>
      </c>
      <c r="CF158" s="71">
        <v>0</v>
      </c>
      <c r="CG158" s="71">
        <v>0</v>
      </c>
      <c r="CH158" s="71">
        <v>9</v>
      </c>
      <c r="CL158" s="57" t="s">
        <v>410</v>
      </c>
      <c r="CM158" s="57" t="s">
        <v>2441</v>
      </c>
      <c r="CN158" s="57">
        <v>111</v>
      </c>
      <c r="CO158" s="57">
        <v>105</v>
      </c>
      <c r="CP158" s="57">
        <v>217</v>
      </c>
      <c r="CQ158" s="57">
        <v>309</v>
      </c>
      <c r="CR158" s="57">
        <v>259</v>
      </c>
      <c r="CS158" s="57">
        <v>1001</v>
      </c>
      <c r="CT158" s="57"/>
      <c r="CU158" s="57" t="s">
        <v>2441</v>
      </c>
      <c r="CV158" s="57">
        <v>18</v>
      </c>
      <c r="CW158" s="57">
        <v>0</v>
      </c>
      <c r="CX158" s="57">
        <v>0</v>
      </c>
      <c r="CY158" s="57">
        <v>0</v>
      </c>
      <c r="CZ158" s="57">
        <v>0</v>
      </c>
      <c r="DA158" s="57">
        <v>18</v>
      </c>
      <c r="DD158" s="21"/>
      <c r="EN158" s="57" t="s">
        <v>1999</v>
      </c>
      <c r="EO158" s="57" t="s">
        <v>27</v>
      </c>
      <c r="EP158" s="57">
        <v>96</v>
      </c>
      <c r="EQ158" s="57">
        <v>128</v>
      </c>
      <c r="ER158" s="57">
        <v>118</v>
      </c>
      <c r="ES158" s="57">
        <v>175</v>
      </c>
      <c r="ET158" s="57">
        <v>179</v>
      </c>
      <c r="EU158" s="57">
        <v>696</v>
      </c>
      <c r="EV158" s="57"/>
      <c r="EW158" s="57" t="s">
        <v>27</v>
      </c>
      <c r="EX158" s="57">
        <v>21</v>
      </c>
      <c r="EY158" s="57">
        <v>8</v>
      </c>
      <c r="EZ158" s="57">
        <v>0</v>
      </c>
      <c r="FA158" s="57">
        <v>0</v>
      </c>
      <c r="FB158" s="57">
        <v>0</v>
      </c>
      <c r="FC158" s="57">
        <v>29</v>
      </c>
      <c r="FF158" s="71" t="s">
        <v>2413</v>
      </c>
      <c r="FG158" s="71" t="s">
        <v>2441</v>
      </c>
      <c r="FH158" s="71" t="s">
        <v>356</v>
      </c>
      <c r="FI158" s="71" t="s">
        <v>356</v>
      </c>
      <c r="FJ158" s="71" t="s">
        <v>356</v>
      </c>
      <c r="FK158" s="71" t="s">
        <v>356</v>
      </c>
      <c r="FL158" s="71" t="s">
        <v>356</v>
      </c>
      <c r="FM158" s="71" t="s">
        <v>356</v>
      </c>
      <c r="FN158" s="71"/>
      <c r="FO158" s="71" t="s">
        <v>2441</v>
      </c>
      <c r="FP158" s="71" t="s">
        <v>356</v>
      </c>
      <c r="FQ158" s="71" t="s">
        <v>356</v>
      </c>
      <c r="FR158" s="71" t="s">
        <v>356</v>
      </c>
      <c r="FS158" s="71" t="s">
        <v>356</v>
      </c>
      <c r="FT158" s="71" t="s">
        <v>356</v>
      </c>
      <c r="FU158" s="71" t="s">
        <v>356</v>
      </c>
    </row>
    <row r="159" spans="2:177">
      <c r="B159" s="65" t="s">
        <v>845</v>
      </c>
      <c r="C159" s="65" t="s">
        <v>2441</v>
      </c>
      <c r="D159" s="65">
        <v>415</v>
      </c>
      <c r="E159" s="65">
        <v>664</v>
      </c>
      <c r="F159" s="65">
        <v>887</v>
      </c>
      <c r="G159" s="65">
        <v>1030</v>
      </c>
      <c r="H159" s="65">
        <v>559</v>
      </c>
      <c r="I159" s="65">
        <v>3555</v>
      </c>
      <c r="K159" s="65" t="s">
        <v>2441</v>
      </c>
      <c r="L159" s="65">
        <v>44</v>
      </c>
      <c r="M159" s="65">
        <v>1</v>
      </c>
      <c r="N159" s="65">
        <v>0</v>
      </c>
      <c r="O159" s="65">
        <v>0</v>
      </c>
      <c r="P159" s="65">
        <v>0</v>
      </c>
      <c r="Q159" s="65">
        <v>45</v>
      </c>
      <c r="T159" s="66" t="s">
        <v>1170</v>
      </c>
      <c r="U159" s="66" t="s">
        <v>2513</v>
      </c>
      <c r="V159" s="66">
        <v>86</v>
      </c>
      <c r="W159" s="66">
        <v>145</v>
      </c>
      <c r="X159" s="66">
        <v>190</v>
      </c>
      <c r="Y159" s="66">
        <v>299</v>
      </c>
      <c r="Z159" s="66">
        <v>272</v>
      </c>
      <c r="AA159" s="66">
        <v>992</v>
      </c>
      <c r="AB159" s="66"/>
      <c r="AC159" s="66" t="s">
        <v>2513</v>
      </c>
      <c r="AD159" s="66">
        <v>11</v>
      </c>
      <c r="AE159" s="66">
        <v>4</v>
      </c>
      <c r="AF159" s="66">
        <v>1</v>
      </c>
      <c r="AG159" s="66">
        <v>0</v>
      </c>
      <c r="AH159" s="66">
        <v>0</v>
      </c>
      <c r="AI159" s="66">
        <v>16</v>
      </c>
      <c r="AK159" s="67" t="s">
        <v>2442</v>
      </c>
      <c r="AL159" s="67" t="s">
        <v>2437</v>
      </c>
      <c r="AM159" s="67">
        <v>228</v>
      </c>
      <c r="AN159" s="67">
        <v>363</v>
      </c>
      <c r="AO159" s="67">
        <v>593</v>
      </c>
      <c r="AP159" s="67">
        <v>745</v>
      </c>
      <c r="AQ159" s="67">
        <v>545</v>
      </c>
      <c r="AR159" s="67">
        <v>2474</v>
      </c>
      <c r="AS159" s="67"/>
      <c r="AT159" s="67" t="s">
        <v>2437</v>
      </c>
      <c r="AU159" s="67">
        <v>22</v>
      </c>
      <c r="AV159" s="67">
        <v>3</v>
      </c>
      <c r="AW159" s="67">
        <v>1</v>
      </c>
      <c r="AX159" s="67">
        <v>1</v>
      </c>
      <c r="AY159" s="67">
        <v>0</v>
      </c>
      <c r="AZ159" s="67">
        <v>27</v>
      </c>
      <c r="BB159" s="70" t="s">
        <v>1440</v>
      </c>
      <c r="BC159" s="70" t="s">
        <v>2437</v>
      </c>
      <c r="BD159" s="70">
        <v>184</v>
      </c>
      <c r="BE159" s="70">
        <v>244</v>
      </c>
      <c r="BF159" s="70">
        <v>490</v>
      </c>
      <c r="BG159" s="70">
        <v>700</v>
      </c>
      <c r="BH159" s="70">
        <v>569</v>
      </c>
      <c r="BI159" s="70">
        <v>2187</v>
      </c>
      <c r="BJ159" s="70"/>
      <c r="BK159" s="70" t="s">
        <v>2437</v>
      </c>
      <c r="BL159" s="70">
        <v>31</v>
      </c>
      <c r="BM159" s="70">
        <v>2</v>
      </c>
      <c r="BN159" s="70">
        <v>0</v>
      </c>
      <c r="BO159" s="70">
        <v>0</v>
      </c>
      <c r="BP159" s="70">
        <v>0</v>
      </c>
      <c r="BQ159" s="70">
        <v>33</v>
      </c>
      <c r="BS159" s="71" t="s">
        <v>1661</v>
      </c>
      <c r="BT159" s="71" t="s">
        <v>2513</v>
      </c>
      <c r="BU159" s="71">
        <v>50</v>
      </c>
      <c r="BV159" s="71">
        <v>34</v>
      </c>
      <c r="BW159" s="71">
        <v>65</v>
      </c>
      <c r="BX159" s="71">
        <v>97</v>
      </c>
      <c r="BY159" s="71">
        <v>97</v>
      </c>
      <c r="BZ159" s="71">
        <v>343</v>
      </c>
      <c r="CA159" s="71"/>
      <c r="CB159" s="71" t="s">
        <v>2513</v>
      </c>
      <c r="CC159" s="71">
        <v>13</v>
      </c>
      <c r="CD159" s="71">
        <v>0</v>
      </c>
      <c r="CE159" s="71">
        <v>0</v>
      </c>
      <c r="CF159" s="71">
        <v>0</v>
      </c>
      <c r="CG159" s="71">
        <v>0</v>
      </c>
      <c r="CH159" s="71">
        <v>13</v>
      </c>
      <c r="CL159" s="57" t="s">
        <v>601</v>
      </c>
      <c r="CM159" s="57" t="s">
        <v>2441</v>
      </c>
      <c r="CN159" s="57">
        <v>122</v>
      </c>
      <c r="CO159" s="57">
        <v>137</v>
      </c>
      <c r="CP159" s="57">
        <v>268</v>
      </c>
      <c r="CQ159" s="57">
        <v>375</v>
      </c>
      <c r="CR159" s="57">
        <v>318</v>
      </c>
      <c r="CS159" s="57">
        <v>1220</v>
      </c>
      <c r="CT159" s="57"/>
      <c r="CU159" s="57" t="s">
        <v>2441</v>
      </c>
      <c r="CV159" s="57">
        <v>29</v>
      </c>
      <c r="CW159" s="57">
        <v>0</v>
      </c>
      <c r="CX159" s="57">
        <v>0</v>
      </c>
      <c r="CY159" s="57">
        <v>0</v>
      </c>
      <c r="CZ159" s="57">
        <v>0</v>
      </c>
      <c r="DA159" s="57">
        <v>29</v>
      </c>
      <c r="DD159" s="21"/>
      <c r="EN159" s="57" t="s">
        <v>2003</v>
      </c>
      <c r="EO159" s="57" t="s">
        <v>27</v>
      </c>
      <c r="EP159" s="57">
        <v>65</v>
      </c>
      <c r="EQ159" s="57">
        <v>129</v>
      </c>
      <c r="ER159" s="57">
        <v>136</v>
      </c>
      <c r="ES159" s="57">
        <v>171</v>
      </c>
      <c r="ET159" s="57">
        <v>202</v>
      </c>
      <c r="EU159" s="57">
        <v>703</v>
      </c>
      <c r="EV159" s="57"/>
      <c r="EW159" s="57" t="s">
        <v>27</v>
      </c>
      <c r="EX159" s="57">
        <v>13</v>
      </c>
      <c r="EY159" s="57">
        <v>12</v>
      </c>
      <c r="EZ159" s="57">
        <v>11</v>
      </c>
      <c r="FA159" s="57">
        <v>8</v>
      </c>
      <c r="FB159" s="57">
        <v>1</v>
      </c>
      <c r="FC159" s="57">
        <v>45</v>
      </c>
      <c r="FF159" s="71" t="s">
        <v>2072</v>
      </c>
      <c r="FG159" s="71" t="s">
        <v>2441</v>
      </c>
      <c r="FH159" s="71">
        <v>355</v>
      </c>
      <c r="FI159" s="71">
        <v>397</v>
      </c>
      <c r="FJ159" s="71">
        <v>507</v>
      </c>
      <c r="FK159" s="71">
        <v>573</v>
      </c>
      <c r="FL159" s="71">
        <v>657</v>
      </c>
      <c r="FM159" s="71">
        <v>2489</v>
      </c>
      <c r="FN159" s="71"/>
      <c r="FO159" s="71" t="s">
        <v>2441</v>
      </c>
      <c r="FP159" s="71">
        <v>73</v>
      </c>
      <c r="FQ159" s="71">
        <v>21</v>
      </c>
      <c r="FR159" s="71">
        <v>7</v>
      </c>
      <c r="FS159" s="71">
        <v>2</v>
      </c>
      <c r="FT159" s="71">
        <v>10</v>
      </c>
      <c r="FU159" s="71">
        <v>113</v>
      </c>
    </row>
    <row r="160" spans="2:177">
      <c r="B160" s="65" t="s">
        <v>848</v>
      </c>
      <c r="C160" s="65" t="s">
        <v>2441</v>
      </c>
      <c r="D160" s="65">
        <v>1429</v>
      </c>
      <c r="E160" s="65">
        <v>1035</v>
      </c>
      <c r="F160" s="65">
        <v>960</v>
      </c>
      <c r="G160" s="65">
        <v>872</v>
      </c>
      <c r="H160" s="65">
        <v>619</v>
      </c>
      <c r="I160" s="65">
        <v>4915</v>
      </c>
      <c r="K160" s="65" t="s">
        <v>2441</v>
      </c>
      <c r="L160" s="65">
        <v>107</v>
      </c>
      <c r="M160" s="65">
        <v>5</v>
      </c>
      <c r="N160" s="65">
        <v>0</v>
      </c>
      <c r="O160" s="65">
        <v>0</v>
      </c>
      <c r="P160" s="65">
        <v>0</v>
      </c>
      <c r="Q160" s="65">
        <v>112</v>
      </c>
      <c r="AK160" s="67" t="s">
        <v>2223</v>
      </c>
      <c r="AL160" s="67" t="s">
        <v>2437</v>
      </c>
      <c r="AM160" s="67">
        <v>332</v>
      </c>
      <c r="AN160" s="67">
        <v>451</v>
      </c>
      <c r="AO160" s="67">
        <v>587</v>
      </c>
      <c r="AP160" s="67">
        <v>655</v>
      </c>
      <c r="AQ160" s="67">
        <v>487</v>
      </c>
      <c r="AR160" s="67">
        <v>2512</v>
      </c>
      <c r="AS160" s="67"/>
      <c r="AT160" s="67" t="s">
        <v>2437</v>
      </c>
      <c r="AU160" s="67">
        <v>23</v>
      </c>
      <c r="AV160" s="67">
        <v>0</v>
      </c>
      <c r="AW160" s="67">
        <v>0</v>
      </c>
      <c r="AX160" s="67">
        <v>0</v>
      </c>
      <c r="AY160" s="67">
        <v>0</v>
      </c>
      <c r="AZ160" s="67">
        <v>23</v>
      </c>
      <c r="BB160" s="70" t="s">
        <v>1445</v>
      </c>
      <c r="BC160" s="70" t="s">
        <v>2437</v>
      </c>
      <c r="BD160" s="70">
        <v>234</v>
      </c>
      <c r="BE160" s="70">
        <v>173</v>
      </c>
      <c r="BF160" s="70">
        <v>277</v>
      </c>
      <c r="BG160" s="70">
        <v>366</v>
      </c>
      <c r="BH160" s="70">
        <v>322</v>
      </c>
      <c r="BI160" s="70">
        <v>1372</v>
      </c>
      <c r="BJ160" s="70"/>
      <c r="BK160" s="70" t="s">
        <v>2437</v>
      </c>
      <c r="BL160" s="70">
        <v>35</v>
      </c>
      <c r="BM160" s="70">
        <v>0</v>
      </c>
      <c r="BN160" s="70">
        <v>0</v>
      </c>
      <c r="BO160" s="70">
        <v>0</v>
      </c>
      <c r="BP160" s="70">
        <v>0</v>
      </c>
      <c r="BQ160" s="70">
        <v>35</v>
      </c>
      <c r="CL160" s="57" t="s">
        <v>611</v>
      </c>
      <c r="CM160" s="57" t="s">
        <v>2441</v>
      </c>
      <c r="CN160" s="57">
        <v>51</v>
      </c>
      <c r="CO160" s="57">
        <v>41</v>
      </c>
      <c r="CP160" s="57">
        <v>52</v>
      </c>
      <c r="CQ160" s="57">
        <v>55</v>
      </c>
      <c r="CR160" s="57">
        <v>48</v>
      </c>
      <c r="CS160" s="57">
        <v>247</v>
      </c>
      <c r="CT160" s="57"/>
      <c r="CU160" s="57" t="s">
        <v>2441</v>
      </c>
      <c r="CV160" s="57">
        <v>17</v>
      </c>
      <c r="CW160" s="57">
        <v>0</v>
      </c>
      <c r="CX160" s="57">
        <v>0</v>
      </c>
      <c r="CY160" s="57">
        <v>0</v>
      </c>
      <c r="CZ160" s="57">
        <v>0</v>
      </c>
      <c r="DA160" s="57">
        <v>17</v>
      </c>
      <c r="DD160" s="21"/>
      <c r="EN160" s="57" t="s">
        <v>2006</v>
      </c>
      <c r="EO160" s="57" t="s">
        <v>27</v>
      </c>
      <c r="EP160" s="57">
        <v>34</v>
      </c>
      <c r="EQ160" s="57">
        <v>91</v>
      </c>
      <c r="ER160" s="57">
        <v>125</v>
      </c>
      <c r="ES160" s="57">
        <v>188</v>
      </c>
      <c r="ET160" s="57">
        <v>208</v>
      </c>
      <c r="EU160" s="57">
        <v>646</v>
      </c>
      <c r="EV160" s="57"/>
      <c r="EW160" s="57" t="s">
        <v>27</v>
      </c>
      <c r="EX160" s="57">
        <v>8</v>
      </c>
      <c r="EY160" s="57">
        <v>3</v>
      </c>
      <c r="EZ160" s="57">
        <v>5</v>
      </c>
      <c r="FA160" s="57">
        <v>1</v>
      </c>
      <c r="FB160" s="57">
        <v>2</v>
      </c>
      <c r="FC160" s="57">
        <v>19</v>
      </c>
      <c r="FF160" s="71" t="s">
        <v>2075</v>
      </c>
      <c r="FG160" s="71" t="s">
        <v>2441</v>
      </c>
      <c r="FH160" s="71">
        <v>532</v>
      </c>
      <c r="FI160" s="71">
        <v>510</v>
      </c>
      <c r="FJ160" s="71">
        <v>574</v>
      </c>
      <c r="FK160" s="71">
        <v>703</v>
      </c>
      <c r="FL160" s="71">
        <v>671</v>
      </c>
      <c r="FM160" s="71">
        <v>2990</v>
      </c>
      <c r="FN160" s="71"/>
      <c r="FO160" s="71" t="s">
        <v>2441</v>
      </c>
      <c r="FP160" s="71">
        <v>61</v>
      </c>
      <c r="FQ160" s="71">
        <v>14</v>
      </c>
      <c r="FR160" s="71">
        <v>5</v>
      </c>
      <c r="FS160" s="71">
        <v>2</v>
      </c>
      <c r="FT160" s="71">
        <v>4</v>
      </c>
      <c r="FU160" s="71">
        <v>86</v>
      </c>
    </row>
    <row r="161" spans="1:177">
      <c r="B161" s="65" t="s">
        <v>851</v>
      </c>
      <c r="C161" s="65" t="s">
        <v>2441</v>
      </c>
      <c r="D161" s="65">
        <v>306</v>
      </c>
      <c r="E161" s="65">
        <v>283</v>
      </c>
      <c r="F161" s="65">
        <v>375</v>
      </c>
      <c r="G161" s="65">
        <v>450</v>
      </c>
      <c r="H161" s="65">
        <v>325</v>
      </c>
      <c r="I161" s="65">
        <v>1739</v>
      </c>
      <c r="K161" s="65" t="s">
        <v>2441</v>
      </c>
      <c r="L161" s="65">
        <v>58</v>
      </c>
      <c r="M161" s="65">
        <v>5</v>
      </c>
      <c r="N161" s="65">
        <v>0</v>
      </c>
      <c r="O161" s="65">
        <v>0</v>
      </c>
      <c r="P161" s="65">
        <v>0</v>
      </c>
      <c r="Q161" s="65">
        <v>63</v>
      </c>
      <c r="BB161" s="70" t="s">
        <v>1449</v>
      </c>
      <c r="BC161" s="70" t="s">
        <v>2437</v>
      </c>
      <c r="BD161" s="70">
        <v>496</v>
      </c>
      <c r="BE161" s="70">
        <v>71</v>
      </c>
      <c r="BF161" s="70">
        <v>108</v>
      </c>
      <c r="BG161" s="70">
        <v>145</v>
      </c>
      <c r="BH161" s="70">
        <v>251</v>
      </c>
      <c r="BI161" s="70">
        <v>1071</v>
      </c>
      <c r="BJ161" s="70"/>
      <c r="BK161" s="70" t="s">
        <v>2437</v>
      </c>
      <c r="BL161" s="70">
        <v>150</v>
      </c>
      <c r="BM161" s="70">
        <v>0</v>
      </c>
      <c r="BN161" s="70">
        <v>0</v>
      </c>
      <c r="BO161" s="70">
        <v>0</v>
      </c>
      <c r="BP161" s="70">
        <v>0</v>
      </c>
      <c r="BQ161" s="70">
        <v>150</v>
      </c>
      <c r="CL161" s="57" t="s">
        <v>1753</v>
      </c>
      <c r="CM161" s="57" t="s">
        <v>2441</v>
      </c>
      <c r="CN161" s="57" t="s">
        <v>356</v>
      </c>
      <c r="CO161" s="57" t="s">
        <v>356</v>
      </c>
      <c r="CP161" s="57" t="s">
        <v>356</v>
      </c>
      <c r="CQ161" s="57" t="s">
        <v>356</v>
      </c>
      <c r="CR161" s="57" t="s">
        <v>356</v>
      </c>
      <c r="CS161" s="57" t="s">
        <v>356</v>
      </c>
      <c r="CT161" s="57"/>
      <c r="CU161" s="57" t="s">
        <v>2441</v>
      </c>
      <c r="CV161" s="57" t="s">
        <v>356</v>
      </c>
      <c r="CW161" s="57" t="s">
        <v>356</v>
      </c>
      <c r="CX161" s="57" t="s">
        <v>356</v>
      </c>
      <c r="CY161" s="57" t="s">
        <v>356</v>
      </c>
      <c r="CZ161" s="57" t="s">
        <v>356</v>
      </c>
      <c r="DA161" s="57" t="s">
        <v>356</v>
      </c>
      <c r="DD161" s="21"/>
      <c r="EN161" s="57" t="s">
        <v>2010</v>
      </c>
      <c r="EO161" s="57" t="s">
        <v>27</v>
      </c>
      <c r="EP161" s="57">
        <v>147</v>
      </c>
      <c r="EQ161" s="57">
        <v>157</v>
      </c>
      <c r="ER161" s="57">
        <v>177</v>
      </c>
      <c r="ES161" s="57">
        <v>212</v>
      </c>
      <c r="ET161" s="57">
        <v>247</v>
      </c>
      <c r="EU161" s="57">
        <v>940</v>
      </c>
      <c r="EV161" s="57"/>
      <c r="EW161" s="57" t="s">
        <v>27</v>
      </c>
      <c r="EX161" s="57">
        <v>30</v>
      </c>
      <c r="EY161" s="57">
        <v>8</v>
      </c>
      <c r="EZ161" s="57">
        <v>0</v>
      </c>
      <c r="FA161" s="57">
        <v>0</v>
      </c>
      <c r="FB161" s="57">
        <v>0</v>
      </c>
      <c r="FC161" s="57">
        <v>38</v>
      </c>
      <c r="FF161" s="71" t="s">
        <v>2077</v>
      </c>
      <c r="FG161" s="71" t="s">
        <v>2441</v>
      </c>
      <c r="FH161" s="71">
        <v>270</v>
      </c>
      <c r="FI161" s="71">
        <v>428</v>
      </c>
      <c r="FJ161" s="71">
        <v>566</v>
      </c>
      <c r="FK161" s="71">
        <v>584</v>
      </c>
      <c r="FL161" s="71">
        <v>593</v>
      </c>
      <c r="FM161" s="71">
        <v>2441</v>
      </c>
      <c r="FN161" s="71"/>
      <c r="FO161" s="71" t="s">
        <v>2441</v>
      </c>
      <c r="FP161" s="71">
        <v>30</v>
      </c>
      <c r="FQ161" s="71">
        <v>4</v>
      </c>
      <c r="FR161" s="71">
        <v>9</v>
      </c>
      <c r="FS161" s="71">
        <v>3</v>
      </c>
      <c r="FT161" s="71">
        <v>1</v>
      </c>
      <c r="FU161" s="71">
        <v>47</v>
      </c>
    </row>
    <row r="162" spans="1:177">
      <c r="B162" s="65" t="s">
        <v>853</v>
      </c>
      <c r="C162" s="65" t="s">
        <v>2441</v>
      </c>
      <c r="D162" s="65">
        <v>64</v>
      </c>
      <c r="E162" s="65">
        <v>124</v>
      </c>
      <c r="F162" s="65">
        <v>229</v>
      </c>
      <c r="G162" s="65">
        <v>328</v>
      </c>
      <c r="H162" s="65">
        <v>287</v>
      </c>
      <c r="I162" s="65">
        <v>1032</v>
      </c>
      <c r="K162" s="65" t="s">
        <v>2441</v>
      </c>
      <c r="L162" s="65">
        <v>6</v>
      </c>
      <c r="M162" s="65">
        <v>0</v>
      </c>
      <c r="N162" s="65">
        <v>0</v>
      </c>
      <c r="O162" s="65">
        <v>0</v>
      </c>
      <c r="P162" s="65">
        <v>0</v>
      </c>
      <c r="Q162" s="65">
        <v>6</v>
      </c>
      <c r="AK162" s="67" t="s">
        <v>2202</v>
      </c>
      <c r="AL162" s="67" t="s">
        <v>2437</v>
      </c>
      <c r="AM162" s="67">
        <v>384</v>
      </c>
      <c r="AN162" s="67">
        <v>390</v>
      </c>
      <c r="AO162" s="67">
        <v>328</v>
      </c>
      <c r="AP162" s="67">
        <v>288</v>
      </c>
      <c r="AQ162" s="67">
        <v>464</v>
      </c>
      <c r="AR162" s="67">
        <v>1854</v>
      </c>
      <c r="AS162" s="67"/>
      <c r="AT162" s="67" t="s">
        <v>2437</v>
      </c>
      <c r="AU162" s="67">
        <v>139</v>
      </c>
      <c r="AV162" s="67">
        <v>57</v>
      </c>
      <c r="AW162" s="67">
        <v>49</v>
      </c>
      <c r="AX162" s="67">
        <v>51</v>
      </c>
      <c r="AY162" s="67">
        <v>65</v>
      </c>
      <c r="AZ162" s="67">
        <v>361</v>
      </c>
      <c r="BB162" s="70" t="s">
        <v>487</v>
      </c>
      <c r="BC162" s="70" t="s">
        <v>2437</v>
      </c>
      <c r="BD162" s="70">
        <v>70</v>
      </c>
      <c r="BE162" s="70">
        <v>38</v>
      </c>
      <c r="BF162" s="70">
        <v>36</v>
      </c>
      <c r="BG162" s="70">
        <v>42</v>
      </c>
      <c r="BH162" s="70">
        <v>107</v>
      </c>
      <c r="BI162" s="70">
        <v>293</v>
      </c>
      <c r="BJ162" s="70"/>
      <c r="BK162" s="70" t="s">
        <v>2437</v>
      </c>
      <c r="BL162" s="70">
        <v>36</v>
      </c>
      <c r="BM162" s="70">
        <v>0</v>
      </c>
      <c r="BN162" s="70">
        <v>0</v>
      </c>
      <c r="BO162" s="70">
        <v>0</v>
      </c>
      <c r="BP162" s="70">
        <v>0</v>
      </c>
      <c r="BQ162" s="70">
        <v>36</v>
      </c>
      <c r="CL162" s="57" t="s">
        <v>617</v>
      </c>
      <c r="CM162" s="57" t="s">
        <v>2441</v>
      </c>
      <c r="CN162" s="57">
        <v>521</v>
      </c>
      <c r="CO162" s="57">
        <v>404</v>
      </c>
      <c r="CP162" s="57">
        <v>668</v>
      </c>
      <c r="CQ162" s="57">
        <v>1043</v>
      </c>
      <c r="CR162" s="57">
        <v>989</v>
      </c>
      <c r="CS162" s="57">
        <v>3625</v>
      </c>
      <c r="CT162" s="57"/>
      <c r="CU162" s="57" t="s">
        <v>2441</v>
      </c>
      <c r="CV162" s="57">
        <v>143</v>
      </c>
      <c r="CW162" s="57">
        <v>0</v>
      </c>
      <c r="CX162" s="57">
        <v>0</v>
      </c>
      <c r="CY162" s="57">
        <v>0</v>
      </c>
      <c r="CZ162" s="57">
        <v>0</v>
      </c>
      <c r="DA162" s="57">
        <v>143</v>
      </c>
      <c r="DD162" s="21"/>
      <c r="EN162" s="57" t="s">
        <v>2013</v>
      </c>
      <c r="EO162" s="57" t="s">
        <v>27</v>
      </c>
      <c r="EP162" s="57">
        <v>529</v>
      </c>
      <c r="EQ162" s="57">
        <v>542</v>
      </c>
      <c r="ER162" s="57">
        <v>522</v>
      </c>
      <c r="ES162" s="57">
        <v>557</v>
      </c>
      <c r="ET162" s="57">
        <v>552</v>
      </c>
      <c r="EU162" s="57">
        <v>2702</v>
      </c>
      <c r="EV162" s="57"/>
      <c r="EW162" s="57" t="s">
        <v>27</v>
      </c>
      <c r="EX162" s="57">
        <v>79</v>
      </c>
      <c r="EY162" s="57">
        <v>11</v>
      </c>
      <c r="EZ162" s="57">
        <v>0</v>
      </c>
      <c r="FA162" s="57">
        <v>0</v>
      </c>
      <c r="FB162" s="57">
        <v>0</v>
      </c>
      <c r="FC162" s="57">
        <v>90</v>
      </c>
      <c r="FF162" s="71" t="s">
        <v>2079</v>
      </c>
      <c r="FG162" s="71" t="s">
        <v>2441</v>
      </c>
      <c r="FH162" s="71">
        <v>2181</v>
      </c>
      <c r="FI162" s="71">
        <v>983</v>
      </c>
      <c r="FJ162" s="71">
        <v>751</v>
      </c>
      <c r="FK162" s="71">
        <v>649</v>
      </c>
      <c r="FL162" s="71">
        <v>686</v>
      </c>
      <c r="FM162" s="71">
        <v>5250</v>
      </c>
      <c r="FN162" s="71"/>
      <c r="FO162" s="71" t="s">
        <v>2441</v>
      </c>
      <c r="FP162" s="71">
        <v>375</v>
      </c>
      <c r="FQ162" s="71">
        <v>0</v>
      </c>
      <c r="FR162" s="71">
        <v>0</v>
      </c>
      <c r="FS162" s="71">
        <v>0</v>
      </c>
      <c r="FT162" s="71">
        <v>0</v>
      </c>
      <c r="FU162" s="71">
        <v>375</v>
      </c>
    </row>
    <row r="163" spans="1:177">
      <c r="B163" s="65" t="s">
        <v>856</v>
      </c>
      <c r="C163" s="65" t="s">
        <v>2441</v>
      </c>
      <c r="D163" s="65">
        <v>269</v>
      </c>
      <c r="E163" s="65">
        <v>384</v>
      </c>
      <c r="F163" s="65">
        <v>561</v>
      </c>
      <c r="G163" s="65">
        <v>625</v>
      </c>
      <c r="H163" s="65">
        <v>436</v>
      </c>
      <c r="I163" s="65">
        <v>2275</v>
      </c>
      <c r="K163" s="65" t="s">
        <v>2441</v>
      </c>
      <c r="L163" s="65">
        <v>5</v>
      </c>
      <c r="M163" s="65">
        <v>1</v>
      </c>
      <c r="N163" s="65">
        <v>0</v>
      </c>
      <c r="O163" s="65">
        <v>0</v>
      </c>
      <c r="P163" s="65">
        <v>0</v>
      </c>
      <c r="Q163" s="65">
        <v>6</v>
      </c>
      <c r="AK163" s="67" t="s">
        <v>2204</v>
      </c>
      <c r="AL163" s="67" t="s">
        <v>2437</v>
      </c>
      <c r="AM163" s="67">
        <v>537</v>
      </c>
      <c r="AN163" s="67">
        <v>622</v>
      </c>
      <c r="AO163" s="67">
        <v>422</v>
      </c>
      <c r="AP163" s="67">
        <v>371</v>
      </c>
      <c r="AQ163" s="67">
        <v>497</v>
      </c>
      <c r="AR163" s="67">
        <v>2449</v>
      </c>
      <c r="AS163" s="67"/>
      <c r="AT163" s="67" t="s">
        <v>2437</v>
      </c>
      <c r="AU163" s="67">
        <v>153</v>
      </c>
      <c r="AV163" s="67">
        <v>39</v>
      </c>
      <c r="AW163" s="67">
        <v>21</v>
      </c>
      <c r="AX163" s="67">
        <v>26</v>
      </c>
      <c r="AY163" s="67">
        <v>46</v>
      </c>
      <c r="AZ163" s="67">
        <v>285</v>
      </c>
      <c r="BB163" s="70" t="s">
        <v>1458</v>
      </c>
      <c r="BC163" s="70" t="s">
        <v>2437</v>
      </c>
      <c r="BD163" s="70">
        <v>805</v>
      </c>
      <c r="BE163" s="70">
        <v>665</v>
      </c>
      <c r="BF163" s="70">
        <v>888</v>
      </c>
      <c r="BG163" s="70">
        <v>845</v>
      </c>
      <c r="BH163" s="70">
        <v>690</v>
      </c>
      <c r="BI163" s="70">
        <v>3893</v>
      </c>
      <c r="BJ163" s="70"/>
      <c r="BK163" s="70" t="s">
        <v>2437</v>
      </c>
      <c r="BL163" s="70">
        <v>204</v>
      </c>
      <c r="BM163" s="70">
        <v>0</v>
      </c>
      <c r="BN163" s="70">
        <v>0</v>
      </c>
      <c r="BO163" s="70">
        <v>0</v>
      </c>
      <c r="BP163" s="70">
        <v>0</v>
      </c>
      <c r="BQ163" s="70">
        <v>204</v>
      </c>
      <c r="CL163" s="57" t="s">
        <v>613</v>
      </c>
      <c r="CM163" s="57" t="s">
        <v>2441</v>
      </c>
      <c r="CN163" s="57">
        <v>163</v>
      </c>
      <c r="CO163" s="57">
        <v>81</v>
      </c>
      <c r="CP163" s="57">
        <v>127</v>
      </c>
      <c r="CQ163" s="57">
        <v>195</v>
      </c>
      <c r="CR163" s="57">
        <v>151</v>
      </c>
      <c r="CS163" s="57">
        <v>717</v>
      </c>
      <c r="CT163" s="57"/>
      <c r="CU163" s="57" t="s">
        <v>2441</v>
      </c>
      <c r="CV163" s="57">
        <v>62</v>
      </c>
      <c r="CW163" s="57">
        <v>0</v>
      </c>
      <c r="CX163" s="57">
        <v>0</v>
      </c>
      <c r="CY163" s="57">
        <v>0</v>
      </c>
      <c r="CZ163" s="57">
        <v>0</v>
      </c>
      <c r="DA163" s="57">
        <v>62</v>
      </c>
      <c r="DD163" s="21"/>
      <c r="EN163" s="57" t="s">
        <v>2017</v>
      </c>
      <c r="EO163" s="57" t="s">
        <v>27</v>
      </c>
      <c r="EP163" s="57">
        <v>154</v>
      </c>
      <c r="EQ163" s="57">
        <v>240</v>
      </c>
      <c r="ER163" s="57">
        <v>327</v>
      </c>
      <c r="ES163" s="57">
        <v>369</v>
      </c>
      <c r="ET163" s="57">
        <v>411</v>
      </c>
      <c r="EU163" s="57">
        <v>1501</v>
      </c>
      <c r="EV163" s="57"/>
      <c r="EW163" s="57" t="s">
        <v>27</v>
      </c>
      <c r="EX163" s="57">
        <v>5</v>
      </c>
      <c r="EY163" s="57">
        <v>0</v>
      </c>
      <c r="EZ163" s="57">
        <v>2</v>
      </c>
      <c r="FA163" s="57">
        <v>0</v>
      </c>
      <c r="FB163" s="57">
        <v>3</v>
      </c>
      <c r="FC163" s="57">
        <v>10</v>
      </c>
      <c r="FF163" s="71" t="s">
        <v>2082</v>
      </c>
      <c r="FG163" s="71" t="s">
        <v>2441</v>
      </c>
      <c r="FH163" s="71">
        <v>817</v>
      </c>
      <c r="FI163" s="71">
        <v>1041</v>
      </c>
      <c r="FJ163" s="71">
        <v>672</v>
      </c>
      <c r="FK163" s="71">
        <v>585</v>
      </c>
      <c r="FL163" s="71">
        <v>579</v>
      </c>
      <c r="FM163" s="71">
        <v>3694</v>
      </c>
      <c r="FN163" s="71"/>
      <c r="FO163" s="71" t="s">
        <v>2441</v>
      </c>
      <c r="FP163" s="71">
        <v>165</v>
      </c>
      <c r="FQ163" s="71">
        <v>5</v>
      </c>
      <c r="FR163" s="71">
        <v>0</v>
      </c>
      <c r="FS163" s="71">
        <v>0</v>
      </c>
      <c r="FT163" s="71">
        <v>0</v>
      </c>
      <c r="FU163" s="71">
        <v>170</v>
      </c>
    </row>
    <row r="164" spans="1:177">
      <c r="B164" s="65" t="s">
        <v>859</v>
      </c>
      <c r="C164" s="65" t="s">
        <v>2441</v>
      </c>
      <c r="D164" s="65">
        <v>95</v>
      </c>
      <c r="E164" s="65">
        <v>221</v>
      </c>
      <c r="F164" s="65">
        <v>380</v>
      </c>
      <c r="G164" s="65">
        <v>501</v>
      </c>
      <c r="H164" s="65">
        <v>344</v>
      </c>
      <c r="I164" s="65">
        <v>1541</v>
      </c>
      <c r="K164" s="65" t="s">
        <v>2441</v>
      </c>
      <c r="L164" s="65">
        <v>19</v>
      </c>
      <c r="M164" s="65">
        <v>1</v>
      </c>
      <c r="N164" s="65">
        <v>0</v>
      </c>
      <c r="O164" s="65">
        <v>1</v>
      </c>
      <c r="P164" s="65">
        <v>0</v>
      </c>
      <c r="Q164" s="65">
        <v>21</v>
      </c>
      <c r="AK164" s="67" t="s">
        <v>2206</v>
      </c>
      <c r="AL164" s="67" t="s">
        <v>2437</v>
      </c>
      <c r="AM164" s="67">
        <v>520</v>
      </c>
      <c r="AN164" s="67">
        <v>729</v>
      </c>
      <c r="AO164" s="67">
        <v>432</v>
      </c>
      <c r="AP164" s="67">
        <v>493</v>
      </c>
      <c r="AQ164" s="67">
        <v>534</v>
      </c>
      <c r="AR164" s="67">
        <v>2708</v>
      </c>
      <c r="AS164" s="67"/>
      <c r="AT164" s="67" t="s">
        <v>2437</v>
      </c>
      <c r="AU164" s="67">
        <v>135</v>
      </c>
      <c r="AV164" s="67">
        <v>40</v>
      </c>
      <c r="AW164" s="67">
        <v>40</v>
      </c>
      <c r="AX164" s="67">
        <v>51</v>
      </c>
      <c r="AY164" s="67">
        <v>41</v>
      </c>
      <c r="AZ164" s="67">
        <v>307</v>
      </c>
      <c r="BB164" s="70" t="s">
        <v>1461</v>
      </c>
      <c r="BC164" s="70" t="s">
        <v>2437</v>
      </c>
      <c r="BD164" s="70">
        <v>128</v>
      </c>
      <c r="BE164" s="70">
        <v>157</v>
      </c>
      <c r="BF164" s="70">
        <v>281</v>
      </c>
      <c r="BG164" s="70">
        <v>385</v>
      </c>
      <c r="BH164" s="70">
        <v>373</v>
      </c>
      <c r="BI164" s="70">
        <v>1324</v>
      </c>
      <c r="BJ164" s="70"/>
      <c r="BK164" s="70" t="s">
        <v>2437</v>
      </c>
      <c r="BL164" s="70">
        <v>49</v>
      </c>
      <c r="BM164" s="70">
        <v>0</v>
      </c>
      <c r="BN164" s="70">
        <v>0</v>
      </c>
      <c r="BO164" s="70">
        <v>0</v>
      </c>
      <c r="BP164" s="70">
        <v>0</v>
      </c>
      <c r="BQ164" s="70">
        <v>49</v>
      </c>
      <c r="CL164" s="57" t="s">
        <v>619</v>
      </c>
      <c r="CM164" s="57" t="s">
        <v>2441</v>
      </c>
      <c r="CN164" s="57">
        <v>212</v>
      </c>
      <c r="CO164" s="57">
        <v>299</v>
      </c>
      <c r="CP164" s="57">
        <v>508</v>
      </c>
      <c r="CQ164" s="57">
        <v>729</v>
      </c>
      <c r="CR164" s="57">
        <v>682</v>
      </c>
      <c r="CS164" s="57">
        <v>2430</v>
      </c>
      <c r="CT164" s="57"/>
      <c r="CU164" s="57" t="s">
        <v>2441</v>
      </c>
      <c r="CV164" s="57">
        <v>22</v>
      </c>
      <c r="CW164" s="57">
        <v>0</v>
      </c>
      <c r="CX164" s="57">
        <v>0</v>
      </c>
      <c r="CY164" s="57">
        <v>0</v>
      </c>
      <c r="CZ164" s="57">
        <v>0</v>
      </c>
      <c r="DA164" s="57">
        <v>22</v>
      </c>
      <c r="DD164" s="21"/>
      <c r="EN164" s="57" t="s">
        <v>2021</v>
      </c>
      <c r="EO164" s="57" t="s">
        <v>27</v>
      </c>
      <c r="EP164" s="57">
        <v>176</v>
      </c>
      <c r="EQ164" s="57">
        <v>270</v>
      </c>
      <c r="ER164" s="57">
        <v>288</v>
      </c>
      <c r="ES164" s="57">
        <v>454</v>
      </c>
      <c r="ET164" s="57">
        <v>506</v>
      </c>
      <c r="EU164" s="57">
        <v>1694</v>
      </c>
      <c r="EV164" s="57"/>
      <c r="EW164" s="57" t="s">
        <v>27</v>
      </c>
      <c r="EX164" s="57">
        <v>23</v>
      </c>
      <c r="EY164" s="57">
        <v>6</v>
      </c>
      <c r="EZ164" s="57">
        <v>0</v>
      </c>
      <c r="FA164" s="57">
        <v>2</v>
      </c>
      <c r="FB164" s="57">
        <v>2</v>
      </c>
      <c r="FC164" s="57">
        <v>33</v>
      </c>
      <c r="FE164" s="16" t="s">
        <v>2431</v>
      </c>
      <c r="FF164" s="71" t="s">
        <v>2085</v>
      </c>
      <c r="FG164" s="71" t="s">
        <v>2441</v>
      </c>
      <c r="FH164" s="71">
        <v>288</v>
      </c>
      <c r="FI164" s="71">
        <v>354</v>
      </c>
      <c r="FJ164" s="71">
        <v>481</v>
      </c>
      <c r="FK164" s="71">
        <v>496</v>
      </c>
      <c r="FL164" s="71">
        <v>516</v>
      </c>
      <c r="FM164" s="71">
        <v>2135</v>
      </c>
      <c r="FN164" s="71"/>
      <c r="FO164" s="71" t="s">
        <v>2441</v>
      </c>
      <c r="FP164" s="71">
        <v>54</v>
      </c>
      <c r="FQ164" s="71">
        <v>1</v>
      </c>
      <c r="FR164" s="71">
        <v>0</v>
      </c>
      <c r="FS164" s="71">
        <v>0</v>
      </c>
      <c r="FT164" s="71">
        <v>0</v>
      </c>
      <c r="FU164" s="71">
        <v>55</v>
      </c>
    </row>
    <row r="165" spans="1:177">
      <c r="B165" s="65" t="s">
        <v>863</v>
      </c>
      <c r="C165" s="65" t="s">
        <v>2441</v>
      </c>
      <c r="D165" s="65">
        <v>148</v>
      </c>
      <c r="E165" s="65">
        <v>308</v>
      </c>
      <c r="F165" s="65">
        <v>529</v>
      </c>
      <c r="G165" s="65">
        <v>673</v>
      </c>
      <c r="H165" s="65">
        <v>436</v>
      </c>
      <c r="I165" s="65">
        <v>2094</v>
      </c>
      <c r="K165" s="65" t="s">
        <v>2441</v>
      </c>
      <c r="L165" s="65">
        <v>22</v>
      </c>
      <c r="M165" s="65">
        <v>2</v>
      </c>
      <c r="N165" s="65">
        <v>1</v>
      </c>
      <c r="O165" s="65">
        <v>0</v>
      </c>
      <c r="P165" s="65">
        <v>0</v>
      </c>
      <c r="Q165" s="65">
        <v>25</v>
      </c>
      <c r="AK165" s="67" t="s">
        <v>2208</v>
      </c>
      <c r="AL165" s="67" t="s">
        <v>2437</v>
      </c>
      <c r="AM165" s="67">
        <v>484</v>
      </c>
      <c r="AN165" s="67">
        <v>361</v>
      </c>
      <c r="AO165" s="67">
        <v>368</v>
      </c>
      <c r="AP165" s="67">
        <v>370</v>
      </c>
      <c r="AQ165" s="67">
        <v>486</v>
      </c>
      <c r="AR165" s="67">
        <v>2069</v>
      </c>
      <c r="AS165" s="67"/>
      <c r="AT165" s="67" t="s">
        <v>2437</v>
      </c>
      <c r="AU165" s="67">
        <v>190</v>
      </c>
      <c r="AV165" s="67">
        <v>35</v>
      </c>
      <c r="AW165" s="67">
        <v>33</v>
      </c>
      <c r="AX165" s="67">
        <v>22</v>
      </c>
      <c r="AY165" s="67">
        <v>52</v>
      </c>
      <c r="AZ165" s="67">
        <v>332</v>
      </c>
      <c r="BB165" s="70" t="s">
        <v>1464</v>
      </c>
      <c r="BC165" s="70" t="s">
        <v>2437</v>
      </c>
      <c r="BD165" s="70">
        <v>327</v>
      </c>
      <c r="BE165" s="70">
        <v>488</v>
      </c>
      <c r="BF165" s="70">
        <v>710</v>
      </c>
      <c r="BG165" s="70">
        <v>766</v>
      </c>
      <c r="BH165" s="70">
        <v>712</v>
      </c>
      <c r="BI165" s="70">
        <v>3003</v>
      </c>
      <c r="BJ165" s="70"/>
      <c r="BK165" s="70" t="s">
        <v>2437</v>
      </c>
      <c r="BL165" s="70">
        <v>30</v>
      </c>
      <c r="BM165" s="70">
        <v>0</v>
      </c>
      <c r="BN165" s="70">
        <v>0</v>
      </c>
      <c r="BO165" s="70">
        <v>0</v>
      </c>
      <c r="BP165" s="70">
        <v>0</v>
      </c>
      <c r="BQ165" s="70">
        <v>30</v>
      </c>
      <c r="CL165" s="57" t="s">
        <v>389</v>
      </c>
      <c r="CM165" s="57" t="s">
        <v>2441</v>
      </c>
      <c r="CN165" s="57">
        <v>433</v>
      </c>
      <c r="CO165" s="57">
        <v>260</v>
      </c>
      <c r="CP165" s="57">
        <v>335</v>
      </c>
      <c r="CQ165" s="57">
        <v>462</v>
      </c>
      <c r="CR165" s="57">
        <v>403</v>
      </c>
      <c r="CS165" s="57">
        <v>1893</v>
      </c>
      <c r="CT165" s="57"/>
      <c r="CU165" s="57" t="s">
        <v>2441</v>
      </c>
      <c r="CV165" s="57">
        <v>90</v>
      </c>
      <c r="CW165" s="57">
        <v>0</v>
      </c>
      <c r="CX165" s="57">
        <v>0</v>
      </c>
      <c r="CY165" s="57">
        <v>0</v>
      </c>
      <c r="CZ165" s="57">
        <v>0</v>
      </c>
      <c r="DA165" s="57">
        <v>90</v>
      </c>
      <c r="DD165" s="21"/>
      <c r="EN165" s="57" t="s">
        <v>2024</v>
      </c>
      <c r="EO165" s="57" t="s">
        <v>27</v>
      </c>
      <c r="EP165" s="57">
        <v>124</v>
      </c>
      <c r="EQ165" s="57">
        <v>228</v>
      </c>
      <c r="ER165" s="57">
        <v>291</v>
      </c>
      <c r="ES165" s="57">
        <v>386</v>
      </c>
      <c r="ET165" s="57">
        <v>497</v>
      </c>
      <c r="EU165" s="57">
        <v>1526</v>
      </c>
      <c r="EV165" s="57"/>
      <c r="EW165" s="57" t="s">
        <v>27</v>
      </c>
      <c r="EX165" s="57">
        <v>16</v>
      </c>
      <c r="EY165" s="57">
        <v>5</v>
      </c>
      <c r="EZ165" s="57">
        <v>5</v>
      </c>
      <c r="FA165" s="57">
        <v>3</v>
      </c>
      <c r="FB165" s="57">
        <v>2</v>
      </c>
      <c r="FC165" s="57">
        <v>31</v>
      </c>
      <c r="FE165" s="16" t="s">
        <v>2433</v>
      </c>
      <c r="FF165" s="71" t="s">
        <v>2414</v>
      </c>
      <c r="FG165" s="71" t="s">
        <v>2441</v>
      </c>
      <c r="FH165" s="71" t="s">
        <v>435</v>
      </c>
      <c r="FI165" s="71" t="s">
        <v>435</v>
      </c>
      <c r="FJ165" s="71" t="s">
        <v>435</v>
      </c>
      <c r="FK165" s="71" t="s">
        <v>435</v>
      </c>
      <c r="FL165" s="71" t="s">
        <v>435</v>
      </c>
      <c r="FM165" s="71" t="s">
        <v>435</v>
      </c>
      <c r="FN165" s="71"/>
      <c r="FO165" s="71" t="s">
        <v>2441</v>
      </c>
      <c r="FP165" s="71" t="s">
        <v>435</v>
      </c>
      <c r="FQ165" s="71" t="s">
        <v>435</v>
      </c>
      <c r="FR165" s="71" t="s">
        <v>435</v>
      </c>
      <c r="FS165" s="71" t="s">
        <v>435</v>
      </c>
      <c r="FT165" s="71" t="s">
        <v>435</v>
      </c>
      <c r="FU165" s="71" t="s">
        <v>435</v>
      </c>
    </row>
    <row r="166" spans="1:177">
      <c r="B166" s="65" t="s">
        <v>866</v>
      </c>
      <c r="C166" s="65" t="s">
        <v>2441</v>
      </c>
      <c r="D166" s="65">
        <v>411</v>
      </c>
      <c r="E166" s="65">
        <v>641</v>
      </c>
      <c r="F166" s="65">
        <v>812</v>
      </c>
      <c r="G166" s="65">
        <v>961</v>
      </c>
      <c r="H166" s="65">
        <v>635</v>
      </c>
      <c r="I166" s="65">
        <v>3460</v>
      </c>
      <c r="K166" s="65" t="s">
        <v>2441</v>
      </c>
      <c r="L166" s="65">
        <v>22</v>
      </c>
      <c r="M166" s="65">
        <v>11</v>
      </c>
      <c r="N166" s="65">
        <v>0</v>
      </c>
      <c r="O166" s="65">
        <v>0</v>
      </c>
      <c r="P166" s="65">
        <v>0</v>
      </c>
      <c r="Q166" s="65">
        <v>33</v>
      </c>
      <c r="AK166" s="67" t="s">
        <v>2210</v>
      </c>
      <c r="AL166" s="67" t="s">
        <v>2437</v>
      </c>
      <c r="AM166" s="67">
        <v>774</v>
      </c>
      <c r="AN166" s="67">
        <v>679</v>
      </c>
      <c r="AO166" s="67">
        <v>549</v>
      </c>
      <c r="AP166" s="67">
        <v>565</v>
      </c>
      <c r="AQ166" s="67">
        <v>772</v>
      </c>
      <c r="AR166" s="67">
        <v>3339</v>
      </c>
      <c r="AS166" s="67"/>
      <c r="AT166" s="67" t="s">
        <v>2437</v>
      </c>
      <c r="AU166" s="67">
        <v>144</v>
      </c>
      <c r="AV166" s="67">
        <v>15</v>
      </c>
      <c r="AW166" s="67">
        <v>12</v>
      </c>
      <c r="AX166" s="67">
        <v>10</v>
      </c>
      <c r="AY166" s="67">
        <v>23</v>
      </c>
      <c r="AZ166" s="67">
        <v>204</v>
      </c>
      <c r="BB166" s="70" t="s">
        <v>1467</v>
      </c>
      <c r="BC166" s="70" t="s">
        <v>2437</v>
      </c>
      <c r="BD166" s="70">
        <v>120</v>
      </c>
      <c r="BE166" s="70">
        <v>108</v>
      </c>
      <c r="BF166" s="70">
        <v>243</v>
      </c>
      <c r="BG166" s="70">
        <v>360</v>
      </c>
      <c r="BH166" s="70">
        <v>352</v>
      </c>
      <c r="BI166" s="70">
        <v>1183</v>
      </c>
      <c r="BJ166" s="70"/>
      <c r="BK166" s="70" t="s">
        <v>2437</v>
      </c>
      <c r="BL166" s="70">
        <v>22</v>
      </c>
      <c r="BM166" s="70">
        <v>0</v>
      </c>
      <c r="BN166" s="70">
        <v>0</v>
      </c>
      <c r="BO166" s="70">
        <v>0</v>
      </c>
      <c r="BP166" s="70">
        <v>0</v>
      </c>
      <c r="BQ166" s="70">
        <v>22</v>
      </c>
      <c r="CL166" s="57" t="s">
        <v>390</v>
      </c>
      <c r="CM166" s="57" t="s">
        <v>2441</v>
      </c>
      <c r="CN166" s="57">
        <v>458</v>
      </c>
      <c r="CO166" s="57">
        <v>267</v>
      </c>
      <c r="CP166" s="57">
        <v>406</v>
      </c>
      <c r="CQ166" s="57">
        <v>500</v>
      </c>
      <c r="CR166" s="57">
        <v>461</v>
      </c>
      <c r="CS166" s="57">
        <v>2092</v>
      </c>
      <c r="CT166" s="57"/>
      <c r="CU166" s="57" t="s">
        <v>2441</v>
      </c>
      <c r="CV166" s="57">
        <v>163</v>
      </c>
      <c r="CW166" s="57">
        <v>0</v>
      </c>
      <c r="CX166" s="57">
        <v>0</v>
      </c>
      <c r="CY166" s="57">
        <v>0</v>
      </c>
      <c r="CZ166" s="57">
        <v>0</v>
      </c>
      <c r="DA166" s="57">
        <v>163</v>
      </c>
      <c r="DD166" s="21"/>
      <c r="EN166" s="57" t="s">
        <v>2027</v>
      </c>
      <c r="EO166" s="57" t="s">
        <v>27</v>
      </c>
      <c r="EP166" s="57">
        <v>95</v>
      </c>
      <c r="EQ166" s="57">
        <v>155</v>
      </c>
      <c r="ER166" s="57">
        <v>254</v>
      </c>
      <c r="ES166" s="57">
        <v>299</v>
      </c>
      <c r="ET166" s="57">
        <v>414</v>
      </c>
      <c r="EU166" s="57">
        <v>1217</v>
      </c>
      <c r="EV166" s="57"/>
      <c r="EW166" s="57" t="s">
        <v>27</v>
      </c>
      <c r="EX166" s="57">
        <v>12</v>
      </c>
      <c r="EY166" s="57">
        <v>5</v>
      </c>
      <c r="EZ166" s="57">
        <v>2</v>
      </c>
      <c r="FA166" s="57">
        <v>3</v>
      </c>
      <c r="FB166" s="57">
        <v>0</v>
      </c>
      <c r="FC166" s="57">
        <v>22</v>
      </c>
      <c r="FF166" s="71" t="s">
        <v>2091</v>
      </c>
      <c r="FG166" s="71" t="s">
        <v>2441</v>
      </c>
      <c r="FH166" s="71">
        <v>117</v>
      </c>
      <c r="FI166" s="71">
        <v>226</v>
      </c>
      <c r="FJ166" s="71">
        <v>258</v>
      </c>
      <c r="FK166" s="71">
        <v>345</v>
      </c>
      <c r="FL166" s="71">
        <v>409</v>
      </c>
      <c r="FM166" s="71">
        <v>1355</v>
      </c>
      <c r="FN166" s="71"/>
      <c r="FO166" s="71" t="s">
        <v>2441</v>
      </c>
      <c r="FP166" s="71">
        <v>13</v>
      </c>
      <c r="FQ166" s="71">
        <v>9</v>
      </c>
      <c r="FR166" s="71">
        <v>0</v>
      </c>
      <c r="FS166" s="71">
        <v>4</v>
      </c>
      <c r="FT166" s="71">
        <v>2</v>
      </c>
      <c r="FU166" s="71">
        <v>28</v>
      </c>
    </row>
    <row r="167" spans="1:177">
      <c r="B167" s="65" t="s">
        <v>869</v>
      </c>
      <c r="C167" s="65" t="s">
        <v>2441</v>
      </c>
      <c r="D167" s="65">
        <v>382</v>
      </c>
      <c r="E167" s="65">
        <v>410</v>
      </c>
      <c r="F167" s="65">
        <v>539</v>
      </c>
      <c r="G167" s="65">
        <v>669</v>
      </c>
      <c r="H167" s="65">
        <v>489</v>
      </c>
      <c r="I167" s="65">
        <v>2489</v>
      </c>
      <c r="K167" s="65" t="s">
        <v>2441</v>
      </c>
      <c r="L167" s="65">
        <v>35</v>
      </c>
      <c r="M167" s="65">
        <v>0</v>
      </c>
      <c r="N167" s="65">
        <v>0</v>
      </c>
      <c r="O167" s="65">
        <v>0</v>
      </c>
      <c r="P167" s="65">
        <v>0</v>
      </c>
      <c r="Q167" s="65">
        <v>35</v>
      </c>
      <c r="AK167" s="67" t="s">
        <v>2212</v>
      </c>
      <c r="AL167" s="67" t="s">
        <v>2437</v>
      </c>
      <c r="AM167" s="67">
        <v>678</v>
      </c>
      <c r="AN167" s="67">
        <v>545</v>
      </c>
      <c r="AO167" s="67">
        <v>530</v>
      </c>
      <c r="AP167" s="67">
        <v>489</v>
      </c>
      <c r="AQ167" s="67">
        <v>687</v>
      </c>
      <c r="AR167" s="67">
        <v>2929</v>
      </c>
      <c r="AS167" s="67"/>
      <c r="AT167" s="67" t="s">
        <v>2437</v>
      </c>
      <c r="AU167" s="67">
        <v>133</v>
      </c>
      <c r="AV167" s="67">
        <v>23</v>
      </c>
      <c r="AW167" s="67">
        <v>19</v>
      </c>
      <c r="AX167" s="67">
        <v>20</v>
      </c>
      <c r="AY167" s="67">
        <v>27</v>
      </c>
      <c r="AZ167" s="67">
        <v>222</v>
      </c>
      <c r="BB167" s="70" t="s">
        <v>1470</v>
      </c>
      <c r="BC167" s="70" t="s">
        <v>2437</v>
      </c>
      <c r="BD167" s="70">
        <v>116</v>
      </c>
      <c r="BE167" s="70">
        <v>192</v>
      </c>
      <c r="BF167" s="70">
        <v>366</v>
      </c>
      <c r="BG167" s="70">
        <v>447</v>
      </c>
      <c r="BH167" s="70">
        <v>386</v>
      </c>
      <c r="BI167" s="70">
        <v>1507</v>
      </c>
      <c r="BJ167" s="70"/>
      <c r="BK167" s="70" t="s">
        <v>2437</v>
      </c>
      <c r="BL167" s="70">
        <v>21</v>
      </c>
      <c r="BM167" s="70">
        <v>0</v>
      </c>
      <c r="BN167" s="70">
        <v>0</v>
      </c>
      <c r="BO167" s="70">
        <v>0</v>
      </c>
      <c r="BP167" s="70">
        <v>0</v>
      </c>
      <c r="BQ167" s="70">
        <v>21</v>
      </c>
      <c r="CL167" s="57" t="s">
        <v>393</v>
      </c>
      <c r="CM167" s="57" t="s">
        <v>2441</v>
      </c>
      <c r="CN167" s="57">
        <v>101</v>
      </c>
      <c r="CO167" s="57">
        <v>105</v>
      </c>
      <c r="CP167" s="57">
        <v>129</v>
      </c>
      <c r="CQ167" s="57">
        <v>214</v>
      </c>
      <c r="CR167" s="57">
        <v>213</v>
      </c>
      <c r="CS167" s="57">
        <v>762</v>
      </c>
      <c r="CT167" s="57"/>
      <c r="CU167" s="57" t="s">
        <v>2441</v>
      </c>
      <c r="CV167" s="57">
        <v>22</v>
      </c>
      <c r="CW167" s="57">
        <v>0</v>
      </c>
      <c r="CX167" s="57">
        <v>0</v>
      </c>
      <c r="CY167" s="57">
        <v>0</v>
      </c>
      <c r="CZ167" s="57">
        <v>0</v>
      </c>
      <c r="DA167" s="57">
        <v>22</v>
      </c>
      <c r="DD167" s="21"/>
      <c r="EN167" s="57" t="s">
        <v>2030</v>
      </c>
      <c r="EO167" s="57" t="s">
        <v>27</v>
      </c>
      <c r="EP167" s="57">
        <v>46</v>
      </c>
      <c r="EQ167" s="57">
        <v>92</v>
      </c>
      <c r="ER167" s="57">
        <v>126</v>
      </c>
      <c r="ES167" s="57">
        <v>192</v>
      </c>
      <c r="ET167" s="57">
        <v>275</v>
      </c>
      <c r="EU167" s="57">
        <v>731</v>
      </c>
      <c r="EV167" s="57"/>
      <c r="EW167" s="57" t="s">
        <v>27</v>
      </c>
      <c r="EX167" s="57">
        <v>4</v>
      </c>
      <c r="EY167" s="57">
        <v>1</v>
      </c>
      <c r="EZ167" s="57">
        <v>2</v>
      </c>
      <c r="FA167" s="57">
        <v>2</v>
      </c>
      <c r="FB167" s="57">
        <v>2</v>
      </c>
      <c r="FC167" s="57">
        <v>11</v>
      </c>
      <c r="FF167" s="71" t="s">
        <v>2093</v>
      </c>
      <c r="FG167" s="71" t="s">
        <v>2441</v>
      </c>
      <c r="FH167" s="71">
        <v>237</v>
      </c>
      <c r="FI167" s="71">
        <v>423</v>
      </c>
      <c r="FJ167" s="71">
        <v>471</v>
      </c>
      <c r="FK167" s="71">
        <v>528</v>
      </c>
      <c r="FL167" s="71">
        <v>641</v>
      </c>
      <c r="FM167" s="71">
        <v>2300</v>
      </c>
      <c r="FN167" s="71"/>
      <c r="FO167" s="71" t="s">
        <v>2441</v>
      </c>
      <c r="FP167" s="71">
        <v>41</v>
      </c>
      <c r="FQ167" s="71">
        <v>11</v>
      </c>
      <c r="FR167" s="71">
        <v>2</v>
      </c>
      <c r="FS167" s="71">
        <v>1</v>
      </c>
      <c r="FT167" s="71">
        <v>2</v>
      </c>
      <c r="FU167" s="71">
        <v>57</v>
      </c>
    </row>
    <row r="168" spans="1:177">
      <c r="B168" s="65" t="s">
        <v>877</v>
      </c>
      <c r="C168" s="65" t="s">
        <v>2441</v>
      </c>
      <c r="D168" s="65">
        <v>277</v>
      </c>
      <c r="E168" s="65">
        <v>343</v>
      </c>
      <c r="F168" s="65">
        <v>539</v>
      </c>
      <c r="G168" s="65">
        <v>612</v>
      </c>
      <c r="H168" s="65">
        <v>463</v>
      </c>
      <c r="I168" s="65">
        <v>2234</v>
      </c>
      <c r="K168" s="65" t="s">
        <v>2441</v>
      </c>
      <c r="L168" s="65">
        <v>26</v>
      </c>
      <c r="M168" s="65">
        <v>0</v>
      </c>
      <c r="N168" s="65">
        <v>0</v>
      </c>
      <c r="O168" s="65">
        <v>0</v>
      </c>
      <c r="P168" s="65">
        <v>0</v>
      </c>
      <c r="Q168" s="65">
        <v>26</v>
      </c>
      <c r="AK168" s="67" t="s">
        <v>2214</v>
      </c>
      <c r="AL168" s="67" t="s">
        <v>2437</v>
      </c>
      <c r="AM168" s="67">
        <v>777</v>
      </c>
      <c r="AN168" s="67">
        <v>602</v>
      </c>
      <c r="AO168" s="67">
        <v>545</v>
      </c>
      <c r="AP168" s="67">
        <v>517</v>
      </c>
      <c r="AQ168" s="67">
        <v>697</v>
      </c>
      <c r="AR168" s="67">
        <v>3138</v>
      </c>
      <c r="AS168" s="67"/>
      <c r="AT168" s="67" t="s">
        <v>2437</v>
      </c>
      <c r="AU168" s="67">
        <v>227</v>
      </c>
      <c r="AV168" s="67">
        <v>57</v>
      </c>
      <c r="AW168" s="67">
        <v>51</v>
      </c>
      <c r="AX168" s="67">
        <v>35</v>
      </c>
      <c r="AY168" s="67">
        <v>53</v>
      </c>
      <c r="AZ168" s="67">
        <v>423</v>
      </c>
      <c r="BB168" s="70" t="s">
        <v>1473</v>
      </c>
      <c r="BC168" s="70" t="s">
        <v>2437</v>
      </c>
      <c r="BD168" s="70">
        <v>1526</v>
      </c>
      <c r="BE168" s="70">
        <v>975</v>
      </c>
      <c r="BF168" s="70">
        <v>1228</v>
      </c>
      <c r="BG168" s="70">
        <v>1283</v>
      </c>
      <c r="BH168" s="70">
        <v>865</v>
      </c>
      <c r="BI168" s="70">
        <v>5877</v>
      </c>
      <c r="BJ168" s="70"/>
      <c r="BK168" s="70" t="s">
        <v>2437</v>
      </c>
      <c r="BL168" s="70">
        <v>390</v>
      </c>
      <c r="BM168" s="70">
        <v>0</v>
      </c>
      <c r="BN168" s="70">
        <v>0</v>
      </c>
      <c r="BO168" s="70">
        <v>0</v>
      </c>
      <c r="BP168" s="70">
        <v>0</v>
      </c>
      <c r="BQ168" s="70">
        <v>390</v>
      </c>
      <c r="CL168" s="57" t="s">
        <v>392</v>
      </c>
      <c r="CM168" s="57" t="s">
        <v>2441</v>
      </c>
      <c r="CN168" s="57">
        <v>129</v>
      </c>
      <c r="CO168" s="57">
        <v>69</v>
      </c>
      <c r="CP168" s="57">
        <v>79</v>
      </c>
      <c r="CQ168" s="57">
        <v>86</v>
      </c>
      <c r="CR168" s="57">
        <v>120</v>
      </c>
      <c r="CS168" s="57">
        <v>483</v>
      </c>
      <c r="CT168" s="57"/>
      <c r="CU168" s="57" t="s">
        <v>2441</v>
      </c>
      <c r="CV168" s="57">
        <v>68</v>
      </c>
      <c r="CW168" s="57">
        <v>0</v>
      </c>
      <c r="CX168" s="57">
        <v>0</v>
      </c>
      <c r="CY168" s="57">
        <v>0</v>
      </c>
      <c r="CZ168" s="57">
        <v>0</v>
      </c>
      <c r="DA168" s="57">
        <v>68</v>
      </c>
      <c r="DD168" s="21"/>
      <c r="FF168" s="71" t="s">
        <v>2095</v>
      </c>
      <c r="FG168" s="71" t="s">
        <v>2441</v>
      </c>
      <c r="FH168" s="71">
        <v>114</v>
      </c>
      <c r="FI168" s="71">
        <v>214</v>
      </c>
      <c r="FJ168" s="71">
        <v>235</v>
      </c>
      <c r="FK168" s="71">
        <v>295</v>
      </c>
      <c r="FL168" s="71">
        <v>366</v>
      </c>
      <c r="FM168" s="71">
        <v>1224</v>
      </c>
      <c r="FN168" s="71"/>
      <c r="FO168" s="71" t="s">
        <v>2441</v>
      </c>
      <c r="FP168" s="71">
        <v>25</v>
      </c>
      <c r="FQ168" s="71">
        <v>4</v>
      </c>
      <c r="FR168" s="71">
        <v>0</v>
      </c>
      <c r="FS168" s="71">
        <v>0</v>
      </c>
      <c r="FT168" s="71">
        <v>1</v>
      </c>
      <c r="FU168" s="71">
        <v>30</v>
      </c>
    </row>
    <row r="169" spans="1:177">
      <c r="B169" s="65" t="s">
        <v>880</v>
      </c>
      <c r="C169" s="65" t="s">
        <v>2441</v>
      </c>
      <c r="D169" s="65">
        <v>291</v>
      </c>
      <c r="E169" s="65">
        <v>281</v>
      </c>
      <c r="F169" s="65">
        <v>383</v>
      </c>
      <c r="G169" s="65">
        <v>512</v>
      </c>
      <c r="H169" s="65">
        <v>394</v>
      </c>
      <c r="I169" s="65">
        <v>1861</v>
      </c>
      <c r="K169" s="65" t="s">
        <v>2441</v>
      </c>
      <c r="L169" s="65">
        <v>28</v>
      </c>
      <c r="M169" s="65">
        <v>0</v>
      </c>
      <c r="N169" s="65">
        <v>0</v>
      </c>
      <c r="O169" s="65">
        <v>0</v>
      </c>
      <c r="P169" s="65">
        <v>0</v>
      </c>
      <c r="Q169" s="65">
        <v>28</v>
      </c>
      <c r="AK169" s="67" t="s">
        <v>2216</v>
      </c>
      <c r="AL169" s="67" t="s">
        <v>2437</v>
      </c>
      <c r="AM169" s="67">
        <v>592</v>
      </c>
      <c r="AN169" s="67">
        <v>557</v>
      </c>
      <c r="AO169" s="67">
        <v>445</v>
      </c>
      <c r="AP169" s="67">
        <v>470</v>
      </c>
      <c r="AQ169" s="67">
        <v>627</v>
      </c>
      <c r="AR169" s="67">
        <v>2691</v>
      </c>
      <c r="AS169" s="67"/>
      <c r="AT169" s="67" t="s">
        <v>2437</v>
      </c>
      <c r="AU169" s="67">
        <v>205</v>
      </c>
      <c r="AV169" s="67">
        <v>47</v>
      </c>
      <c r="AW169" s="67">
        <v>30</v>
      </c>
      <c r="AX169" s="67">
        <v>24</v>
      </c>
      <c r="AY169" s="67">
        <v>48</v>
      </c>
      <c r="AZ169" s="67">
        <v>354</v>
      </c>
      <c r="BB169" s="70" t="s">
        <v>2248</v>
      </c>
      <c r="BC169" s="70" t="s">
        <v>2437</v>
      </c>
      <c r="BD169" s="70">
        <v>59</v>
      </c>
      <c r="BE169" s="70">
        <v>77</v>
      </c>
      <c r="BF169" s="70">
        <v>142</v>
      </c>
      <c r="BG169" s="70">
        <v>225</v>
      </c>
      <c r="BH169" s="70">
        <v>216</v>
      </c>
      <c r="BI169" s="70">
        <v>719</v>
      </c>
      <c r="BJ169" s="70"/>
      <c r="BK169" s="70" t="s">
        <v>2437</v>
      </c>
      <c r="BL169" s="70">
        <v>22</v>
      </c>
      <c r="BM169" s="70">
        <v>0</v>
      </c>
      <c r="BN169" s="70">
        <v>0</v>
      </c>
      <c r="BO169" s="70">
        <v>0</v>
      </c>
      <c r="BP169" s="70">
        <v>0</v>
      </c>
      <c r="BQ169" s="70">
        <v>22</v>
      </c>
      <c r="CL169" s="57" t="s">
        <v>621</v>
      </c>
      <c r="CM169" s="57" t="s">
        <v>2441</v>
      </c>
      <c r="CN169" s="57">
        <v>80</v>
      </c>
      <c r="CO169" s="57">
        <v>39</v>
      </c>
      <c r="CP169" s="57">
        <v>64</v>
      </c>
      <c r="CQ169" s="57">
        <v>92</v>
      </c>
      <c r="CR169" s="57">
        <v>91</v>
      </c>
      <c r="CS169" s="57">
        <v>366</v>
      </c>
      <c r="CT169" s="57"/>
      <c r="CU169" s="57" t="s">
        <v>2441</v>
      </c>
      <c r="CV169" s="57">
        <v>37</v>
      </c>
      <c r="CW169" s="57">
        <v>0</v>
      </c>
      <c r="CX169" s="57">
        <v>0</v>
      </c>
      <c r="CY169" s="57">
        <v>0</v>
      </c>
      <c r="CZ169" s="57">
        <v>0</v>
      </c>
      <c r="DA169" s="57">
        <v>37</v>
      </c>
      <c r="DD169" s="21"/>
      <c r="EN169" s="57" t="s">
        <v>2615</v>
      </c>
      <c r="EO169" s="57" t="s">
        <v>2513</v>
      </c>
      <c r="EP169" s="57">
        <v>298</v>
      </c>
      <c r="EQ169" s="57">
        <v>435</v>
      </c>
      <c r="ER169" s="57">
        <v>514</v>
      </c>
      <c r="ES169" s="57">
        <v>629</v>
      </c>
      <c r="ET169" s="57">
        <v>707</v>
      </c>
      <c r="EU169" s="57">
        <v>2583</v>
      </c>
      <c r="EV169" s="57"/>
      <c r="EW169" s="57" t="s">
        <v>2513</v>
      </c>
      <c r="EX169" s="57">
        <v>61</v>
      </c>
      <c r="EY169" s="57">
        <v>29</v>
      </c>
      <c r="EZ169" s="57">
        <v>17</v>
      </c>
      <c r="FA169" s="57">
        <v>7</v>
      </c>
      <c r="FB169" s="57">
        <v>10</v>
      </c>
      <c r="FC169" s="57">
        <v>124</v>
      </c>
      <c r="FF169" s="71" t="s">
        <v>2415</v>
      </c>
      <c r="FG169" s="71" t="s">
        <v>2441</v>
      </c>
      <c r="FH169" s="71">
        <v>145</v>
      </c>
      <c r="FI169" s="71">
        <v>209</v>
      </c>
      <c r="FJ169" s="71">
        <v>294</v>
      </c>
      <c r="FK169" s="71">
        <v>340</v>
      </c>
      <c r="FL169" s="71">
        <v>410</v>
      </c>
      <c r="FM169" s="71">
        <v>1398</v>
      </c>
      <c r="FN169" s="71"/>
      <c r="FO169" s="71" t="s">
        <v>2441</v>
      </c>
      <c r="FP169" s="71">
        <v>21</v>
      </c>
      <c r="FQ169" s="71">
        <v>2</v>
      </c>
      <c r="FR169" s="71">
        <v>2</v>
      </c>
      <c r="FS169" s="71">
        <v>0</v>
      </c>
      <c r="FT169" s="71">
        <v>1</v>
      </c>
      <c r="FU169" s="71">
        <v>26</v>
      </c>
    </row>
    <row r="170" spans="1:177">
      <c r="B170" s="65" t="s">
        <v>885</v>
      </c>
      <c r="C170" s="65" t="s">
        <v>2441</v>
      </c>
      <c r="D170" s="65">
        <v>94</v>
      </c>
      <c r="E170" s="65">
        <v>161</v>
      </c>
      <c r="F170" s="65">
        <v>292</v>
      </c>
      <c r="G170" s="65">
        <v>401</v>
      </c>
      <c r="H170" s="65">
        <v>284</v>
      </c>
      <c r="I170" s="65">
        <v>1232</v>
      </c>
      <c r="K170" s="65" t="s">
        <v>2441</v>
      </c>
      <c r="L170" s="65">
        <v>6</v>
      </c>
      <c r="M170" s="65">
        <v>3</v>
      </c>
      <c r="N170" s="65">
        <v>0</v>
      </c>
      <c r="O170" s="65">
        <v>0</v>
      </c>
      <c r="P170" s="65">
        <v>0</v>
      </c>
      <c r="Q170" s="65">
        <v>9</v>
      </c>
      <c r="AK170" s="67" t="s">
        <v>2218</v>
      </c>
      <c r="AL170" s="67" t="s">
        <v>2437</v>
      </c>
      <c r="AM170" s="67">
        <v>363</v>
      </c>
      <c r="AN170" s="67">
        <v>462</v>
      </c>
      <c r="AO170" s="67">
        <v>369</v>
      </c>
      <c r="AP170" s="67">
        <v>374</v>
      </c>
      <c r="AQ170" s="67">
        <v>452</v>
      </c>
      <c r="AR170" s="67">
        <v>2020</v>
      </c>
      <c r="AS170" s="67"/>
      <c r="AT170" s="67" t="s">
        <v>2437</v>
      </c>
      <c r="AU170" s="67">
        <v>124</v>
      </c>
      <c r="AV170" s="67">
        <v>54</v>
      </c>
      <c r="AW170" s="67">
        <v>41</v>
      </c>
      <c r="AX170" s="67">
        <v>46</v>
      </c>
      <c r="AY170" s="67">
        <v>50</v>
      </c>
      <c r="AZ170" s="67">
        <v>315</v>
      </c>
      <c r="BB170" s="70" t="s">
        <v>1483</v>
      </c>
      <c r="BC170" s="70" t="s">
        <v>2437</v>
      </c>
      <c r="BD170" s="70">
        <v>137</v>
      </c>
      <c r="BE170" s="70">
        <v>87</v>
      </c>
      <c r="BF170" s="70">
        <v>116</v>
      </c>
      <c r="BG170" s="70">
        <v>147</v>
      </c>
      <c r="BH170" s="70">
        <v>132</v>
      </c>
      <c r="BI170" s="70">
        <v>619</v>
      </c>
      <c r="BJ170" s="70"/>
      <c r="BK170" s="70" t="s">
        <v>2437</v>
      </c>
      <c r="BL170" s="70">
        <v>30</v>
      </c>
      <c r="BM170" s="70">
        <v>0</v>
      </c>
      <c r="BN170" s="70">
        <v>0</v>
      </c>
      <c r="BO170" s="70">
        <v>0</v>
      </c>
      <c r="BP170" s="70">
        <v>0</v>
      </c>
      <c r="BQ170" s="70">
        <v>30</v>
      </c>
      <c r="CL170" s="57" t="s">
        <v>623</v>
      </c>
      <c r="CM170" s="57" t="s">
        <v>2441</v>
      </c>
      <c r="CN170" s="57">
        <v>77</v>
      </c>
      <c r="CO170" s="57">
        <v>90</v>
      </c>
      <c r="CP170" s="57">
        <v>174</v>
      </c>
      <c r="CQ170" s="57">
        <v>247</v>
      </c>
      <c r="CR170" s="57">
        <v>277</v>
      </c>
      <c r="CS170" s="57">
        <v>865</v>
      </c>
      <c r="CT170" s="57"/>
      <c r="CU170" s="57" t="s">
        <v>2441</v>
      </c>
      <c r="CV170" s="57">
        <v>11</v>
      </c>
      <c r="CW170" s="57">
        <v>0</v>
      </c>
      <c r="CX170" s="57">
        <v>0</v>
      </c>
      <c r="CY170" s="57">
        <v>0</v>
      </c>
      <c r="CZ170" s="57">
        <v>0</v>
      </c>
      <c r="DA170" s="57">
        <v>11</v>
      </c>
      <c r="DD170" s="21"/>
      <c r="EN170" s="57" t="s">
        <v>2616</v>
      </c>
      <c r="EO170" s="57" t="s">
        <v>2513</v>
      </c>
      <c r="EP170" s="57">
        <v>546</v>
      </c>
      <c r="EQ170" s="57">
        <v>714</v>
      </c>
      <c r="ER170" s="57">
        <v>854</v>
      </c>
      <c r="ES170" s="57">
        <v>983</v>
      </c>
      <c r="ET170" s="57">
        <v>1133</v>
      </c>
      <c r="EU170" s="57">
        <v>4230</v>
      </c>
      <c r="EV170" s="57"/>
      <c r="EW170" s="57" t="s">
        <v>2513</v>
      </c>
      <c r="EX170" s="57">
        <v>131</v>
      </c>
      <c r="EY170" s="57">
        <v>49</v>
      </c>
      <c r="EZ170" s="57">
        <v>21</v>
      </c>
      <c r="FA170" s="57">
        <v>16</v>
      </c>
      <c r="FB170" s="57">
        <v>18</v>
      </c>
      <c r="FC170" s="57">
        <v>235</v>
      </c>
      <c r="FF170" s="71" t="s">
        <v>2106</v>
      </c>
      <c r="FG170" s="71" t="s">
        <v>2441</v>
      </c>
      <c r="FH170" s="71">
        <v>344</v>
      </c>
      <c r="FI170" s="71">
        <v>485</v>
      </c>
      <c r="FJ170" s="71">
        <v>470</v>
      </c>
      <c r="FK170" s="71">
        <v>559</v>
      </c>
      <c r="FL170" s="71">
        <v>661</v>
      </c>
      <c r="FM170" s="71">
        <v>2519</v>
      </c>
      <c r="FN170" s="71"/>
      <c r="FO170" s="71" t="s">
        <v>2441</v>
      </c>
      <c r="FP170" s="71">
        <v>33</v>
      </c>
      <c r="FQ170" s="71">
        <v>7</v>
      </c>
      <c r="FR170" s="71">
        <v>1</v>
      </c>
      <c r="FS170" s="71">
        <v>6</v>
      </c>
      <c r="FT170" s="71">
        <v>5</v>
      </c>
      <c r="FU170" s="71">
        <v>52</v>
      </c>
    </row>
    <row r="171" spans="1:177">
      <c r="B171" s="65" t="s">
        <v>891</v>
      </c>
      <c r="C171" s="65" t="s">
        <v>2441</v>
      </c>
      <c r="D171" s="65">
        <v>197</v>
      </c>
      <c r="E171" s="65">
        <v>200</v>
      </c>
      <c r="F171" s="65">
        <v>316</v>
      </c>
      <c r="G171" s="65">
        <v>370</v>
      </c>
      <c r="H171" s="65">
        <v>267</v>
      </c>
      <c r="I171" s="65">
        <v>1350</v>
      </c>
      <c r="K171" s="65" t="s">
        <v>2441</v>
      </c>
      <c r="L171" s="65">
        <v>46</v>
      </c>
      <c r="M171" s="65">
        <v>7</v>
      </c>
      <c r="N171" s="65">
        <v>2</v>
      </c>
      <c r="O171" s="65">
        <v>0</v>
      </c>
      <c r="P171" s="65">
        <v>1</v>
      </c>
      <c r="Q171" s="65">
        <v>56</v>
      </c>
      <c r="AK171" s="67" t="s">
        <v>2220</v>
      </c>
      <c r="AL171" s="67" t="s">
        <v>2437</v>
      </c>
      <c r="AM171" s="67">
        <v>511</v>
      </c>
      <c r="AN171" s="67">
        <v>618</v>
      </c>
      <c r="AO171" s="67">
        <v>434</v>
      </c>
      <c r="AP171" s="67">
        <v>431</v>
      </c>
      <c r="AQ171" s="67">
        <v>561</v>
      </c>
      <c r="AR171" s="67">
        <v>2555</v>
      </c>
      <c r="AS171" s="67"/>
      <c r="AT171" s="67" t="s">
        <v>2437</v>
      </c>
      <c r="AU171" s="67">
        <v>142</v>
      </c>
      <c r="AV171" s="67">
        <v>33</v>
      </c>
      <c r="AW171" s="67">
        <v>21</v>
      </c>
      <c r="AX171" s="67">
        <v>19</v>
      </c>
      <c r="AY171" s="67">
        <v>33</v>
      </c>
      <c r="AZ171" s="67">
        <v>248</v>
      </c>
      <c r="BB171" s="70" t="s">
        <v>1488</v>
      </c>
      <c r="BC171" s="70" t="s">
        <v>2437</v>
      </c>
      <c r="BD171" s="70">
        <v>75</v>
      </c>
      <c r="BE171" s="70">
        <v>52</v>
      </c>
      <c r="BF171" s="70">
        <v>92</v>
      </c>
      <c r="BG171" s="70">
        <v>96</v>
      </c>
      <c r="BH171" s="70">
        <v>82</v>
      </c>
      <c r="BI171" s="70">
        <v>397</v>
      </c>
      <c r="BJ171" s="70"/>
      <c r="BK171" s="70" t="s">
        <v>2437</v>
      </c>
      <c r="BL171" s="70">
        <v>23</v>
      </c>
      <c r="BM171" s="70">
        <v>0</v>
      </c>
      <c r="BN171" s="70">
        <v>0</v>
      </c>
      <c r="BO171" s="70">
        <v>0</v>
      </c>
      <c r="BP171" s="70">
        <v>0</v>
      </c>
      <c r="BQ171" s="70">
        <v>23</v>
      </c>
      <c r="CL171" s="57" t="s">
        <v>395</v>
      </c>
      <c r="CM171" s="57" t="s">
        <v>2441</v>
      </c>
      <c r="CN171" s="57" t="s">
        <v>356</v>
      </c>
      <c r="CO171" s="57" t="s">
        <v>356</v>
      </c>
      <c r="CP171" s="57" t="s">
        <v>356</v>
      </c>
      <c r="CQ171" s="57" t="s">
        <v>356</v>
      </c>
      <c r="CR171" s="57" t="s">
        <v>356</v>
      </c>
      <c r="CS171" s="57" t="s">
        <v>356</v>
      </c>
      <c r="CT171" s="57"/>
      <c r="CU171" s="57" t="s">
        <v>2441</v>
      </c>
      <c r="CV171" s="57" t="s">
        <v>356</v>
      </c>
      <c r="CW171" s="57" t="s">
        <v>356</v>
      </c>
      <c r="CX171" s="57" t="s">
        <v>356</v>
      </c>
      <c r="CY171" s="57" t="s">
        <v>356</v>
      </c>
      <c r="CZ171" s="57" t="s">
        <v>356</v>
      </c>
      <c r="DA171" s="57" t="s">
        <v>356</v>
      </c>
      <c r="DD171" s="21"/>
      <c r="EN171" s="57" t="s">
        <v>1955</v>
      </c>
      <c r="EO171" s="57" t="s">
        <v>2513</v>
      </c>
      <c r="EP171" s="57">
        <v>167</v>
      </c>
      <c r="EQ171" s="57">
        <v>264</v>
      </c>
      <c r="ER171" s="57">
        <v>316</v>
      </c>
      <c r="ES171" s="57">
        <v>412</v>
      </c>
      <c r="ET171" s="57">
        <v>399</v>
      </c>
      <c r="EU171" s="57">
        <v>1558</v>
      </c>
      <c r="EV171" s="57"/>
      <c r="EW171" s="57" t="s">
        <v>2513</v>
      </c>
      <c r="EX171" s="57">
        <v>45</v>
      </c>
      <c r="EY171" s="57">
        <v>27</v>
      </c>
      <c r="EZ171" s="57">
        <v>7</v>
      </c>
      <c r="FA171" s="57">
        <v>16</v>
      </c>
      <c r="FB171" s="57">
        <v>8</v>
      </c>
      <c r="FC171" s="57">
        <v>103</v>
      </c>
      <c r="FF171" s="71" t="s">
        <v>2107</v>
      </c>
      <c r="FG171" s="71" t="s">
        <v>2441</v>
      </c>
      <c r="FH171" s="71">
        <v>387</v>
      </c>
      <c r="FI171" s="71">
        <v>388</v>
      </c>
      <c r="FJ171" s="71">
        <v>349</v>
      </c>
      <c r="FK171" s="71">
        <v>383</v>
      </c>
      <c r="FL171" s="71">
        <v>449</v>
      </c>
      <c r="FM171" s="71">
        <v>1956</v>
      </c>
      <c r="FN171" s="71"/>
      <c r="FO171" s="71" t="s">
        <v>2441</v>
      </c>
      <c r="FP171" s="71">
        <v>68</v>
      </c>
      <c r="FQ171" s="71">
        <v>14</v>
      </c>
      <c r="FR171" s="71">
        <v>5</v>
      </c>
      <c r="FS171" s="71">
        <v>0</v>
      </c>
      <c r="FT171" s="71">
        <v>7</v>
      </c>
      <c r="FU171" s="71">
        <v>94</v>
      </c>
    </row>
    <row r="172" spans="1:177">
      <c r="B172" s="65" t="s">
        <v>901</v>
      </c>
      <c r="C172" s="65" t="s">
        <v>2441</v>
      </c>
      <c r="D172" s="65">
        <v>113</v>
      </c>
      <c r="E172" s="65">
        <v>130</v>
      </c>
      <c r="F172" s="65">
        <v>165</v>
      </c>
      <c r="G172" s="65">
        <v>197</v>
      </c>
      <c r="H172" s="65">
        <v>207</v>
      </c>
      <c r="I172" s="65">
        <v>812</v>
      </c>
      <c r="K172" s="65" t="s">
        <v>2441</v>
      </c>
      <c r="L172" s="65">
        <v>31</v>
      </c>
      <c r="M172" s="65">
        <v>1</v>
      </c>
      <c r="N172" s="65">
        <v>1</v>
      </c>
      <c r="O172" s="65">
        <v>2</v>
      </c>
      <c r="P172" s="65">
        <v>0</v>
      </c>
      <c r="Q172" s="65">
        <v>35</v>
      </c>
      <c r="BB172" s="70" t="s">
        <v>1494</v>
      </c>
      <c r="BC172" s="70" t="s">
        <v>2437</v>
      </c>
      <c r="BD172" s="70">
        <v>88</v>
      </c>
      <c r="BE172" s="70">
        <v>69</v>
      </c>
      <c r="BF172" s="70">
        <v>148</v>
      </c>
      <c r="BG172" s="70">
        <v>224</v>
      </c>
      <c r="BH172" s="70">
        <v>222</v>
      </c>
      <c r="BI172" s="70">
        <v>751</v>
      </c>
      <c r="BJ172" s="70"/>
      <c r="BK172" s="70" t="s">
        <v>2437</v>
      </c>
      <c r="BL172" s="70">
        <v>26</v>
      </c>
      <c r="BM172" s="70">
        <v>0</v>
      </c>
      <c r="BN172" s="70">
        <v>0</v>
      </c>
      <c r="BO172" s="70">
        <v>0</v>
      </c>
      <c r="BP172" s="70">
        <v>0</v>
      </c>
      <c r="BQ172" s="70">
        <v>26</v>
      </c>
      <c r="CL172" s="57" t="s">
        <v>549</v>
      </c>
      <c r="CM172" s="57" t="s">
        <v>2441</v>
      </c>
      <c r="CN172" s="57" t="s">
        <v>356</v>
      </c>
      <c r="CO172" s="57" t="s">
        <v>356</v>
      </c>
      <c r="CP172" s="57" t="s">
        <v>356</v>
      </c>
      <c r="CQ172" s="57" t="s">
        <v>356</v>
      </c>
      <c r="CR172" s="57" t="s">
        <v>356</v>
      </c>
      <c r="CS172" s="57" t="s">
        <v>356</v>
      </c>
      <c r="CT172" s="57"/>
      <c r="CU172" s="57" t="s">
        <v>2441</v>
      </c>
      <c r="CV172" s="57" t="s">
        <v>356</v>
      </c>
      <c r="CW172" s="57" t="s">
        <v>356</v>
      </c>
      <c r="CX172" s="57" t="s">
        <v>356</v>
      </c>
      <c r="CY172" s="57" t="s">
        <v>356</v>
      </c>
      <c r="CZ172" s="57" t="s">
        <v>356</v>
      </c>
      <c r="DA172" s="57" t="s">
        <v>356</v>
      </c>
      <c r="DD172" s="21"/>
      <c r="EN172" s="57" t="s">
        <v>1959</v>
      </c>
      <c r="EO172" s="57" t="s">
        <v>2513</v>
      </c>
      <c r="EP172" s="57">
        <v>117</v>
      </c>
      <c r="EQ172" s="57">
        <v>218</v>
      </c>
      <c r="ER172" s="57">
        <v>279</v>
      </c>
      <c r="ES172" s="57">
        <v>360</v>
      </c>
      <c r="ET172" s="57">
        <v>404</v>
      </c>
      <c r="EU172" s="57">
        <v>1378</v>
      </c>
      <c r="EV172" s="57"/>
      <c r="EW172" s="57" t="s">
        <v>2513</v>
      </c>
      <c r="EX172" s="57">
        <v>41</v>
      </c>
      <c r="EY172" s="57">
        <v>22</v>
      </c>
      <c r="EZ172" s="57">
        <v>12</v>
      </c>
      <c r="FA172" s="57">
        <v>5</v>
      </c>
      <c r="FB172" s="57">
        <v>12</v>
      </c>
      <c r="FC172" s="57">
        <v>92</v>
      </c>
      <c r="FF172" s="71" t="s">
        <v>2108</v>
      </c>
      <c r="FG172" s="71" t="s">
        <v>2441</v>
      </c>
      <c r="FH172" s="71">
        <v>107</v>
      </c>
      <c r="FI172" s="71">
        <v>212</v>
      </c>
      <c r="FJ172" s="71">
        <v>301</v>
      </c>
      <c r="FK172" s="71">
        <v>362</v>
      </c>
      <c r="FL172" s="71">
        <v>498</v>
      </c>
      <c r="FM172" s="71">
        <v>1480</v>
      </c>
      <c r="FN172" s="71"/>
      <c r="FO172" s="71" t="s">
        <v>2441</v>
      </c>
      <c r="FP172" s="71">
        <v>13</v>
      </c>
      <c r="FQ172" s="71">
        <v>6</v>
      </c>
      <c r="FR172" s="71">
        <v>1</v>
      </c>
      <c r="FS172" s="71">
        <v>4</v>
      </c>
      <c r="FT172" s="71">
        <v>3</v>
      </c>
      <c r="FU172" s="71">
        <v>27</v>
      </c>
    </row>
    <row r="173" spans="1:177">
      <c r="B173" s="65" t="s">
        <v>908</v>
      </c>
      <c r="C173" s="65" t="s">
        <v>2441</v>
      </c>
      <c r="D173" s="65" t="s">
        <v>356</v>
      </c>
      <c r="E173" s="65" t="s">
        <v>356</v>
      </c>
      <c r="F173" s="65" t="s">
        <v>356</v>
      </c>
      <c r="G173" s="65" t="s">
        <v>356</v>
      </c>
      <c r="H173" s="65" t="s">
        <v>356</v>
      </c>
      <c r="I173" s="65" t="s">
        <v>356</v>
      </c>
      <c r="K173" s="65" t="s">
        <v>2441</v>
      </c>
      <c r="L173" s="65" t="s">
        <v>356</v>
      </c>
      <c r="M173" s="65" t="s">
        <v>356</v>
      </c>
      <c r="N173" s="65" t="s">
        <v>356</v>
      </c>
      <c r="O173" s="65" t="s">
        <v>356</v>
      </c>
      <c r="P173" s="65" t="s">
        <v>356</v>
      </c>
      <c r="Q173" s="65" t="s">
        <v>356</v>
      </c>
      <c r="AK173" s="67" t="s">
        <v>1173</v>
      </c>
      <c r="AL173" s="67" t="s">
        <v>2441</v>
      </c>
      <c r="AM173" s="67" t="s">
        <v>435</v>
      </c>
      <c r="AN173" s="67" t="s">
        <v>435</v>
      </c>
      <c r="AO173" s="67" t="s">
        <v>435</v>
      </c>
      <c r="AP173" s="67" t="s">
        <v>435</v>
      </c>
      <c r="AQ173" s="67" t="s">
        <v>435</v>
      </c>
      <c r="AR173" s="67" t="s">
        <v>435</v>
      </c>
      <c r="AS173" s="67"/>
      <c r="AT173" s="67" t="s">
        <v>2441</v>
      </c>
      <c r="AU173" s="67" t="s">
        <v>435</v>
      </c>
      <c r="AV173" s="67" t="s">
        <v>435</v>
      </c>
      <c r="AW173" s="67" t="s">
        <v>435</v>
      </c>
      <c r="AX173" s="67" t="s">
        <v>435</v>
      </c>
      <c r="AY173" s="67" t="s">
        <v>435</v>
      </c>
      <c r="AZ173" s="67" t="s">
        <v>435</v>
      </c>
      <c r="BB173" s="70" t="s">
        <v>1511</v>
      </c>
      <c r="BC173" s="70" t="s">
        <v>2437</v>
      </c>
      <c r="BD173" s="70">
        <v>410</v>
      </c>
      <c r="BE173" s="70">
        <v>426</v>
      </c>
      <c r="BF173" s="70">
        <v>920</v>
      </c>
      <c r="BG173" s="70">
        <v>1331</v>
      </c>
      <c r="BH173" s="70">
        <v>1149</v>
      </c>
      <c r="BI173" s="70">
        <v>4236</v>
      </c>
      <c r="BJ173" s="70"/>
      <c r="BK173" s="70" t="s">
        <v>2437</v>
      </c>
      <c r="BL173" s="70">
        <v>63</v>
      </c>
      <c r="BM173" s="70">
        <v>0</v>
      </c>
      <c r="BN173" s="70">
        <v>0</v>
      </c>
      <c r="BO173" s="70">
        <v>0</v>
      </c>
      <c r="BP173" s="70">
        <v>0</v>
      </c>
      <c r="BQ173" s="70">
        <v>63</v>
      </c>
      <c r="CL173" s="57" t="s">
        <v>391</v>
      </c>
      <c r="CM173" s="57" t="s">
        <v>2441</v>
      </c>
      <c r="CN173" s="57">
        <v>109</v>
      </c>
      <c r="CO173" s="57">
        <v>70</v>
      </c>
      <c r="CP173" s="57">
        <v>122</v>
      </c>
      <c r="CQ173" s="57">
        <v>172</v>
      </c>
      <c r="CR173" s="57">
        <v>162</v>
      </c>
      <c r="CS173" s="57">
        <v>635</v>
      </c>
      <c r="CT173" s="57"/>
      <c r="CU173" s="57" t="s">
        <v>2441</v>
      </c>
      <c r="CV173" s="57">
        <v>23</v>
      </c>
      <c r="CW173" s="57">
        <v>0</v>
      </c>
      <c r="CX173" s="57">
        <v>0</v>
      </c>
      <c r="CY173" s="57">
        <v>0</v>
      </c>
      <c r="CZ173" s="57">
        <v>0</v>
      </c>
      <c r="DA173" s="57">
        <v>23</v>
      </c>
      <c r="DD173" s="21"/>
      <c r="EN173" s="57" t="s">
        <v>1962</v>
      </c>
      <c r="EO173" s="57" t="s">
        <v>2513</v>
      </c>
      <c r="EP173" s="57">
        <v>472</v>
      </c>
      <c r="EQ173" s="57">
        <v>666</v>
      </c>
      <c r="ER173" s="57">
        <v>782</v>
      </c>
      <c r="ES173" s="57">
        <v>930</v>
      </c>
      <c r="ET173" s="57">
        <v>853</v>
      </c>
      <c r="EU173" s="57">
        <v>3703</v>
      </c>
      <c r="EV173" s="57"/>
      <c r="EW173" s="57" t="s">
        <v>2513</v>
      </c>
      <c r="EX173" s="57">
        <v>105</v>
      </c>
      <c r="EY173" s="57">
        <v>41</v>
      </c>
      <c r="EZ173" s="57">
        <v>33</v>
      </c>
      <c r="FA173" s="57">
        <v>22</v>
      </c>
      <c r="FB173" s="57">
        <v>21</v>
      </c>
      <c r="FC173" s="57">
        <v>222</v>
      </c>
      <c r="FF173" s="71" t="s">
        <v>2110</v>
      </c>
      <c r="FG173" s="71" t="s">
        <v>2441</v>
      </c>
      <c r="FH173" s="71">
        <v>214</v>
      </c>
      <c r="FI173" s="71">
        <v>372</v>
      </c>
      <c r="FJ173" s="71">
        <v>384</v>
      </c>
      <c r="FK173" s="71">
        <v>464</v>
      </c>
      <c r="FL173" s="71">
        <v>665</v>
      </c>
      <c r="FM173" s="71">
        <v>2099</v>
      </c>
      <c r="FN173" s="71"/>
      <c r="FO173" s="71" t="s">
        <v>2441</v>
      </c>
      <c r="FP173" s="71">
        <v>21</v>
      </c>
      <c r="FQ173" s="71">
        <v>12</v>
      </c>
      <c r="FR173" s="71">
        <v>3</v>
      </c>
      <c r="FS173" s="71">
        <v>2</v>
      </c>
      <c r="FT173" s="71">
        <v>5</v>
      </c>
      <c r="FU173" s="71">
        <v>43</v>
      </c>
    </row>
    <row r="174" spans="1:177">
      <c r="B174" s="65" t="s">
        <v>912</v>
      </c>
      <c r="C174" s="65" t="s">
        <v>2441</v>
      </c>
      <c r="D174" s="65">
        <v>67</v>
      </c>
      <c r="E174" s="65">
        <v>149</v>
      </c>
      <c r="F174" s="65">
        <v>300</v>
      </c>
      <c r="G174" s="65">
        <v>346</v>
      </c>
      <c r="H174" s="65">
        <v>255</v>
      </c>
      <c r="I174" s="65">
        <v>1117</v>
      </c>
      <c r="K174" s="65" t="s">
        <v>2441</v>
      </c>
      <c r="L174" s="65">
        <v>13</v>
      </c>
      <c r="M174" s="65">
        <v>1</v>
      </c>
      <c r="N174" s="65">
        <v>1</v>
      </c>
      <c r="O174" s="65">
        <v>1</v>
      </c>
      <c r="P174" s="65">
        <v>0</v>
      </c>
      <c r="Q174" s="65">
        <v>16</v>
      </c>
      <c r="AK174" s="67" t="s">
        <v>1178</v>
      </c>
      <c r="AL174" s="67" t="s">
        <v>2441</v>
      </c>
      <c r="AM174" s="67" t="s">
        <v>435</v>
      </c>
      <c r="AN174" s="67" t="s">
        <v>435</v>
      </c>
      <c r="AO174" s="67" t="s">
        <v>435</v>
      </c>
      <c r="AP174" s="67" t="s">
        <v>435</v>
      </c>
      <c r="AQ174" s="67" t="s">
        <v>435</v>
      </c>
      <c r="AR174" s="67" t="s">
        <v>435</v>
      </c>
      <c r="AS174" s="67"/>
      <c r="AT174" s="67" t="s">
        <v>2441</v>
      </c>
      <c r="AU174" s="67" t="s">
        <v>435</v>
      </c>
      <c r="AV174" s="67" t="s">
        <v>435</v>
      </c>
      <c r="AW174" s="67" t="s">
        <v>435</v>
      </c>
      <c r="AX174" s="67" t="s">
        <v>435</v>
      </c>
      <c r="AY174" s="67" t="s">
        <v>435</v>
      </c>
      <c r="AZ174" s="67" t="s">
        <v>435</v>
      </c>
      <c r="BB174" s="70" t="s">
        <v>1515</v>
      </c>
      <c r="BC174" s="70" t="s">
        <v>2437</v>
      </c>
      <c r="BD174" s="70">
        <v>179</v>
      </c>
      <c r="BE174" s="70">
        <v>97</v>
      </c>
      <c r="BF174" s="70">
        <v>202</v>
      </c>
      <c r="BG174" s="70">
        <v>268</v>
      </c>
      <c r="BH174" s="70">
        <v>282</v>
      </c>
      <c r="BI174" s="70">
        <v>1028</v>
      </c>
      <c r="BJ174" s="70"/>
      <c r="BK174" s="70" t="s">
        <v>2437</v>
      </c>
      <c r="BL174" s="70">
        <v>21</v>
      </c>
      <c r="BM174" s="70">
        <v>0</v>
      </c>
      <c r="BN174" s="70">
        <v>0</v>
      </c>
      <c r="BO174" s="70">
        <v>0</v>
      </c>
      <c r="BP174" s="70">
        <v>0</v>
      </c>
      <c r="BQ174" s="70">
        <v>21</v>
      </c>
      <c r="CL174" s="57" t="s">
        <v>396</v>
      </c>
      <c r="CM174" s="57" t="s">
        <v>2441</v>
      </c>
      <c r="CN174" s="57">
        <v>100</v>
      </c>
      <c r="CO174" s="57">
        <v>38</v>
      </c>
      <c r="CP174" s="57">
        <v>76</v>
      </c>
      <c r="CQ174" s="57">
        <v>107</v>
      </c>
      <c r="CR174" s="57">
        <v>118</v>
      </c>
      <c r="CS174" s="57">
        <v>439</v>
      </c>
      <c r="CT174" s="57"/>
      <c r="CU174" s="57" t="s">
        <v>2441</v>
      </c>
      <c r="CV174" s="57">
        <v>18</v>
      </c>
      <c r="CW174" s="57">
        <v>0</v>
      </c>
      <c r="CX174" s="57">
        <v>0</v>
      </c>
      <c r="CY174" s="57">
        <v>0</v>
      </c>
      <c r="CZ174" s="57">
        <v>0</v>
      </c>
      <c r="DA174" s="57">
        <v>18</v>
      </c>
      <c r="DD174" s="21"/>
      <c r="EN174" s="57" t="s">
        <v>1965</v>
      </c>
      <c r="EO174" s="57" t="s">
        <v>2513</v>
      </c>
      <c r="EP174" s="57">
        <v>208</v>
      </c>
      <c r="EQ174" s="57">
        <v>234</v>
      </c>
      <c r="ER174" s="57">
        <v>221</v>
      </c>
      <c r="ES174" s="57">
        <v>274</v>
      </c>
      <c r="ET174" s="57">
        <v>289</v>
      </c>
      <c r="EU174" s="57">
        <v>1226</v>
      </c>
      <c r="EV174" s="57"/>
      <c r="EW174" s="57" t="s">
        <v>2513</v>
      </c>
      <c r="EX174" s="57">
        <v>27</v>
      </c>
      <c r="EY174" s="57">
        <v>15</v>
      </c>
      <c r="EZ174" s="57">
        <v>5</v>
      </c>
      <c r="FA174" s="57">
        <v>4</v>
      </c>
      <c r="FB174" s="57">
        <v>2</v>
      </c>
      <c r="FC174" s="57">
        <v>53</v>
      </c>
      <c r="FF174" s="71" t="s">
        <v>2112</v>
      </c>
      <c r="FG174" s="71" t="s">
        <v>2441</v>
      </c>
      <c r="FH174" s="71">
        <v>279</v>
      </c>
      <c r="FI174" s="71">
        <v>281</v>
      </c>
      <c r="FJ174" s="71">
        <v>340</v>
      </c>
      <c r="FK174" s="71">
        <v>393</v>
      </c>
      <c r="FL174" s="71">
        <v>445</v>
      </c>
      <c r="FM174" s="71">
        <v>1738</v>
      </c>
      <c r="FN174" s="71"/>
      <c r="FO174" s="71" t="s">
        <v>2441</v>
      </c>
      <c r="FP174" s="71">
        <v>28</v>
      </c>
      <c r="FQ174" s="71">
        <v>7</v>
      </c>
      <c r="FR174" s="71">
        <v>3</v>
      </c>
      <c r="FS174" s="71">
        <v>4</v>
      </c>
      <c r="FT174" s="71">
        <v>3</v>
      </c>
      <c r="FU174" s="71">
        <v>45</v>
      </c>
    </row>
    <row r="175" spans="1:177">
      <c r="B175" s="65" t="s">
        <v>919</v>
      </c>
      <c r="C175" s="65" t="s">
        <v>2441</v>
      </c>
      <c r="D175" s="65">
        <v>102</v>
      </c>
      <c r="E175" s="65">
        <v>213</v>
      </c>
      <c r="F175" s="65">
        <v>374</v>
      </c>
      <c r="G175" s="65">
        <v>420</v>
      </c>
      <c r="H175" s="65">
        <v>282</v>
      </c>
      <c r="I175" s="65">
        <v>1391</v>
      </c>
      <c r="K175" s="65" t="s">
        <v>2441</v>
      </c>
      <c r="L175" s="65">
        <v>17</v>
      </c>
      <c r="M175" s="65">
        <v>1</v>
      </c>
      <c r="N175" s="65">
        <v>2</v>
      </c>
      <c r="O175" s="65">
        <v>2</v>
      </c>
      <c r="P175" s="65">
        <v>1</v>
      </c>
      <c r="Q175" s="65">
        <v>23</v>
      </c>
      <c r="AK175" s="67" t="s">
        <v>1181</v>
      </c>
      <c r="AL175" s="67" t="s">
        <v>2441</v>
      </c>
      <c r="AM175" s="67" t="s">
        <v>435</v>
      </c>
      <c r="AN175" s="67" t="s">
        <v>435</v>
      </c>
      <c r="AO175" s="67" t="s">
        <v>435</v>
      </c>
      <c r="AP175" s="67" t="s">
        <v>435</v>
      </c>
      <c r="AQ175" s="67" t="s">
        <v>435</v>
      </c>
      <c r="AR175" s="67" t="s">
        <v>435</v>
      </c>
      <c r="AS175" s="67"/>
      <c r="AT175" s="67" t="s">
        <v>2441</v>
      </c>
      <c r="AU175" s="67" t="s">
        <v>435</v>
      </c>
      <c r="AV175" s="67" t="s">
        <v>435</v>
      </c>
      <c r="AW175" s="67" t="s">
        <v>435</v>
      </c>
      <c r="AX175" s="67" t="s">
        <v>435</v>
      </c>
      <c r="AY175" s="67" t="s">
        <v>435</v>
      </c>
      <c r="AZ175" s="67" t="s">
        <v>435</v>
      </c>
      <c r="BB175" s="70" t="s">
        <v>1520</v>
      </c>
      <c r="BC175" s="70" t="s">
        <v>2437</v>
      </c>
      <c r="BD175" s="70">
        <v>482</v>
      </c>
      <c r="BE175" s="70">
        <v>313</v>
      </c>
      <c r="BF175" s="70">
        <v>538</v>
      </c>
      <c r="BG175" s="70">
        <v>687</v>
      </c>
      <c r="BH175" s="70">
        <v>566</v>
      </c>
      <c r="BI175" s="70">
        <v>2586</v>
      </c>
      <c r="BJ175" s="70"/>
      <c r="BK175" s="70" t="s">
        <v>2437</v>
      </c>
      <c r="BL175" s="70">
        <v>60</v>
      </c>
      <c r="BM175" s="70">
        <v>0</v>
      </c>
      <c r="BN175" s="70">
        <v>0</v>
      </c>
      <c r="BO175" s="70">
        <v>0</v>
      </c>
      <c r="BP175" s="70">
        <v>0</v>
      </c>
      <c r="BQ175" s="70">
        <v>60</v>
      </c>
      <c r="CL175" s="57" t="s">
        <v>394</v>
      </c>
      <c r="CM175" s="57" t="s">
        <v>2441</v>
      </c>
      <c r="CN175" s="57">
        <v>63</v>
      </c>
      <c r="CO175" s="57">
        <v>45</v>
      </c>
      <c r="CP175" s="57">
        <v>93</v>
      </c>
      <c r="CQ175" s="57">
        <v>113</v>
      </c>
      <c r="CR175" s="57">
        <v>166</v>
      </c>
      <c r="CS175" s="57">
        <v>480</v>
      </c>
      <c r="CT175" s="57"/>
      <c r="CU175" s="57" t="s">
        <v>2441</v>
      </c>
      <c r="CV175" s="57">
        <v>10</v>
      </c>
      <c r="CW175" s="57">
        <v>0</v>
      </c>
      <c r="CX175" s="57">
        <v>0</v>
      </c>
      <c r="CY175" s="57">
        <v>0</v>
      </c>
      <c r="CZ175" s="57">
        <v>0</v>
      </c>
      <c r="DA175" s="57">
        <v>10</v>
      </c>
      <c r="DD175" s="21"/>
      <c r="EN175" s="57" t="s">
        <v>1968</v>
      </c>
      <c r="EO175" s="57" t="s">
        <v>2513</v>
      </c>
      <c r="EP175" s="57">
        <v>283</v>
      </c>
      <c r="EQ175" s="57">
        <v>366</v>
      </c>
      <c r="ER175" s="57">
        <v>413</v>
      </c>
      <c r="ES175" s="57">
        <v>469</v>
      </c>
      <c r="ET175" s="57">
        <v>578</v>
      </c>
      <c r="EU175" s="57">
        <v>2109</v>
      </c>
      <c r="EV175" s="57"/>
      <c r="EW175" s="57" t="s">
        <v>2513</v>
      </c>
      <c r="EX175" s="57">
        <v>55</v>
      </c>
      <c r="EY175" s="57">
        <v>20</v>
      </c>
      <c r="EZ175" s="57">
        <v>9</v>
      </c>
      <c r="FA175" s="57">
        <v>5</v>
      </c>
      <c r="FB175" s="57">
        <v>7</v>
      </c>
      <c r="FC175" s="57">
        <v>96</v>
      </c>
      <c r="FF175" s="71" t="s">
        <v>2115</v>
      </c>
      <c r="FG175" s="71" t="s">
        <v>2441</v>
      </c>
      <c r="FH175" s="71">
        <v>221</v>
      </c>
      <c r="FI175" s="71">
        <v>316</v>
      </c>
      <c r="FJ175" s="71">
        <v>380</v>
      </c>
      <c r="FK175" s="71">
        <v>428</v>
      </c>
      <c r="FL175" s="71">
        <v>534</v>
      </c>
      <c r="FM175" s="71">
        <v>1879</v>
      </c>
      <c r="FN175" s="71"/>
      <c r="FO175" s="71" t="s">
        <v>2441</v>
      </c>
      <c r="FP175" s="71">
        <v>17</v>
      </c>
      <c r="FQ175" s="71">
        <v>4</v>
      </c>
      <c r="FR175" s="71">
        <v>2</v>
      </c>
      <c r="FS175" s="71">
        <v>3</v>
      </c>
      <c r="FT175" s="71">
        <v>6</v>
      </c>
      <c r="FU175" s="71">
        <v>32</v>
      </c>
    </row>
    <row r="176" spans="1:177">
      <c r="A176" s="16" t="s">
        <v>2428</v>
      </c>
      <c r="B176" s="65" t="s">
        <v>2429</v>
      </c>
      <c r="C176" s="65" t="s">
        <v>2441</v>
      </c>
      <c r="D176" s="65">
        <v>75</v>
      </c>
      <c r="E176" s="65">
        <v>186</v>
      </c>
      <c r="F176" s="65">
        <v>321</v>
      </c>
      <c r="G176" s="65">
        <v>451</v>
      </c>
      <c r="H176" s="65">
        <v>320</v>
      </c>
      <c r="I176" s="65">
        <v>1353</v>
      </c>
      <c r="K176" s="65" t="s">
        <v>2441</v>
      </c>
      <c r="L176" s="65">
        <v>7</v>
      </c>
      <c r="M176" s="65">
        <v>1</v>
      </c>
      <c r="N176" s="65">
        <v>3</v>
      </c>
      <c r="O176" s="65">
        <v>0</v>
      </c>
      <c r="P176" s="65">
        <v>0</v>
      </c>
      <c r="Q176" s="65">
        <v>11</v>
      </c>
      <c r="AK176" s="67" t="s">
        <v>1190</v>
      </c>
      <c r="AL176" s="67" t="s">
        <v>2441</v>
      </c>
      <c r="AM176" s="67" t="s">
        <v>435</v>
      </c>
      <c r="AN176" s="67" t="s">
        <v>435</v>
      </c>
      <c r="AO176" s="67" t="s">
        <v>435</v>
      </c>
      <c r="AP176" s="67" t="s">
        <v>435</v>
      </c>
      <c r="AQ176" s="67" t="s">
        <v>435</v>
      </c>
      <c r="AR176" s="67" t="s">
        <v>435</v>
      </c>
      <c r="AS176" s="67"/>
      <c r="AT176" s="67" t="s">
        <v>2441</v>
      </c>
      <c r="AU176" s="67" t="s">
        <v>435</v>
      </c>
      <c r="AV176" s="67" t="s">
        <v>435</v>
      </c>
      <c r="AW176" s="67" t="s">
        <v>435</v>
      </c>
      <c r="AX176" s="67" t="s">
        <v>435</v>
      </c>
      <c r="AY176" s="67" t="s">
        <v>435</v>
      </c>
      <c r="AZ176" s="67" t="s">
        <v>435</v>
      </c>
      <c r="BB176" s="70" t="s">
        <v>1523</v>
      </c>
      <c r="BC176" s="70" t="s">
        <v>2437</v>
      </c>
      <c r="BD176" s="70">
        <v>208</v>
      </c>
      <c r="BE176" s="70">
        <v>197</v>
      </c>
      <c r="BF176" s="70">
        <v>309</v>
      </c>
      <c r="BG176" s="70">
        <v>429</v>
      </c>
      <c r="BH176" s="70">
        <v>405</v>
      </c>
      <c r="BI176" s="70">
        <v>1548</v>
      </c>
      <c r="BJ176" s="70"/>
      <c r="BK176" s="70" t="s">
        <v>2437</v>
      </c>
      <c r="BL176" s="70">
        <v>40</v>
      </c>
      <c r="BM176" s="70">
        <v>0</v>
      </c>
      <c r="BN176" s="70">
        <v>0</v>
      </c>
      <c r="BO176" s="70">
        <v>0</v>
      </c>
      <c r="BP176" s="70">
        <v>0</v>
      </c>
      <c r="BQ176" s="70">
        <v>40</v>
      </c>
      <c r="CL176" s="57" t="s">
        <v>615</v>
      </c>
      <c r="CM176" s="57" t="s">
        <v>2441</v>
      </c>
      <c r="CN176" s="57">
        <v>1157</v>
      </c>
      <c r="CO176" s="57">
        <v>1070</v>
      </c>
      <c r="CP176" s="57">
        <v>1043</v>
      </c>
      <c r="CQ176" s="57">
        <v>1120</v>
      </c>
      <c r="CR176" s="57">
        <v>817</v>
      </c>
      <c r="CS176" s="57">
        <v>5207</v>
      </c>
      <c r="CT176" s="57"/>
      <c r="CU176" s="57" t="s">
        <v>2441</v>
      </c>
      <c r="CV176" s="57">
        <v>243</v>
      </c>
      <c r="CW176" s="57">
        <v>0</v>
      </c>
      <c r="CX176" s="57">
        <v>0</v>
      </c>
      <c r="CY176" s="57">
        <v>0</v>
      </c>
      <c r="CZ176" s="57">
        <v>0</v>
      </c>
      <c r="DA176" s="57">
        <v>243</v>
      </c>
      <c r="DD176" s="21"/>
      <c r="EN176" s="57" t="s">
        <v>2617</v>
      </c>
      <c r="EO176" s="57" t="s">
        <v>2513</v>
      </c>
      <c r="EP176" s="57">
        <v>165</v>
      </c>
      <c r="EQ176" s="57">
        <v>199</v>
      </c>
      <c r="ER176" s="57">
        <v>301</v>
      </c>
      <c r="ES176" s="57">
        <v>378</v>
      </c>
      <c r="ET176" s="57">
        <v>435</v>
      </c>
      <c r="EU176" s="57">
        <v>1478</v>
      </c>
      <c r="EV176" s="57"/>
      <c r="EW176" s="57" t="s">
        <v>2513</v>
      </c>
      <c r="EX176" s="57">
        <v>20</v>
      </c>
      <c r="EY176" s="57">
        <v>2</v>
      </c>
      <c r="EZ176" s="57">
        <v>1</v>
      </c>
      <c r="FA176" s="57">
        <v>7</v>
      </c>
      <c r="FB176" s="57">
        <v>4</v>
      </c>
      <c r="FC176" s="57">
        <v>34</v>
      </c>
      <c r="FF176" s="71" t="s">
        <v>2117</v>
      </c>
      <c r="FG176" s="71" t="s">
        <v>2441</v>
      </c>
      <c r="FH176" s="71">
        <v>67</v>
      </c>
      <c r="FI176" s="71">
        <v>115</v>
      </c>
      <c r="FJ176" s="71">
        <v>153</v>
      </c>
      <c r="FK176" s="71">
        <v>217</v>
      </c>
      <c r="FL176" s="71">
        <v>250</v>
      </c>
      <c r="FM176" s="71">
        <v>802</v>
      </c>
      <c r="FN176" s="71"/>
      <c r="FO176" s="71" t="s">
        <v>2441</v>
      </c>
      <c r="FP176" s="71">
        <v>6</v>
      </c>
      <c r="FQ176" s="71">
        <v>2</v>
      </c>
      <c r="FR176" s="71">
        <v>0</v>
      </c>
      <c r="FS176" s="71">
        <v>1</v>
      </c>
      <c r="FT176" s="71">
        <v>1</v>
      </c>
      <c r="FU176" s="71">
        <v>10</v>
      </c>
    </row>
    <row r="177" spans="1:177">
      <c r="B177" s="65" t="s">
        <v>925</v>
      </c>
      <c r="C177" s="65" t="s">
        <v>2441</v>
      </c>
      <c r="D177" s="65">
        <v>110</v>
      </c>
      <c r="E177" s="65">
        <v>185</v>
      </c>
      <c r="F177" s="65">
        <v>386</v>
      </c>
      <c r="G177" s="65">
        <v>536</v>
      </c>
      <c r="H177" s="65">
        <v>419</v>
      </c>
      <c r="I177" s="65">
        <v>1636</v>
      </c>
      <c r="K177" s="65" t="s">
        <v>2441</v>
      </c>
      <c r="L177" s="65">
        <v>12</v>
      </c>
      <c r="M177" s="65">
        <v>3</v>
      </c>
      <c r="N177" s="65">
        <v>1</v>
      </c>
      <c r="O177" s="65">
        <v>0</v>
      </c>
      <c r="P177" s="65">
        <v>0</v>
      </c>
      <c r="Q177" s="65">
        <v>16</v>
      </c>
      <c r="AK177" s="67" t="s">
        <v>1194</v>
      </c>
      <c r="AL177" s="67" t="s">
        <v>2441</v>
      </c>
      <c r="AM177" s="67" t="s">
        <v>435</v>
      </c>
      <c r="AN177" s="67" t="s">
        <v>435</v>
      </c>
      <c r="AO177" s="67" t="s">
        <v>435</v>
      </c>
      <c r="AP177" s="67" t="s">
        <v>435</v>
      </c>
      <c r="AQ177" s="67" t="s">
        <v>435</v>
      </c>
      <c r="AR177" s="67" t="s">
        <v>435</v>
      </c>
      <c r="AS177" s="67"/>
      <c r="AT177" s="67" t="s">
        <v>2441</v>
      </c>
      <c r="AU177" s="67" t="s">
        <v>435</v>
      </c>
      <c r="AV177" s="67" t="s">
        <v>435</v>
      </c>
      <c r="AW177" s="67" t="s">
        <v>435</v>
      </c>
      <c r="AX177" s="67" t="s">
        <v>435</v>
      </c>
      <c r="AY177" s="67" t="s">
        <v>435</v>
      </c>
      <c r="AZ177" s="67" t="s">
        <v>435</v>
      </c>
      <c r="BB177" s="70" t="s">
        <v>1527</v>
      </c>
      <c r="BC177" s="70" t="s">
        <v>2437</v>
      </c>
      <c r="BD177" s="70">
        <v>165</v>
      </c>
      <c r="BE177" s="70">
        <v>154</v>
      </c>
      <c r="BF177" s="70">
        <v>293</v>
      </c>
      <c r="BG177" s="70">
        <v>448</v>
      </c>
      <c r="BH177" s="70">
        <v>434</v>
      </c>
      <c r="BI177" s="70">
        <v>1494</v>
      </c>
      <c r="BJ177" s="70"/>
      <c r="BK177" s="70" t="s">
        <v>2437</v>
      </c>
      <c r="BL177" s="70">
        <v>22</v>
      </c>
      <c r="BM177" s="70">
        <v>0</v>
      </c>
      <c r="BN177" s="70">
        <v>0</v>
      </c>
      <c r="BO177" s="70">
        <v>0</v>
      </c>
      <c r="BP177" s="70">
        <v>0</v>
      </c>
      <c r="BQ177" s="70">
        <v>22</v>
      </c>
      <c r="CL177" s="57" t="s">
        <v>554</v>
      </c>
      <c r="CM177" s="57" t="s">
        <v>2441</v>
      </c>
      <c r="CN177" s="57">
        <v>77</v>
      </c>
      <c r="CO177" s="57">
        <v>91</v>
      </c>
      <c r="CP177" s="57">
        <v>197</v>
      </c>
      <c r="CQ177" s="57">
        <v>337</v>
      </c>
      <c r="CR177" s="57">
        <v>270</v>
      </c>
      <c r="CS177" s="57">
        <v>972</v>
      </c>
      <c r="CT177" s="57"/>
      <c r="CU177" s="57" t="s">
        <v>2441</v>
      </c>
      <c r="CV177" s="57">
        <v>18</v>
      </c>
      <c r="CW177" s="57">
        <v>0</v>
      </c>
      <c r="CX177" s="57">
        <v>0</v>
      </c>
      <c r="CY177" s="57">
        <v>0</v>
      </c>
      <c r="CZ177" s="57">
        <v>0</v>
      </c>
      <c r="DA177" s="57">
        <v>18</v>
      </c>
      <c r="DD177" s="21"/>
      <c r="EN177" s="57" t="s">
        <v>1975</v>
      </c>
      <c r="EO177" s="57" t="s">
        <v>2513</v>
      </c>
      <c r="EP177" s="57">
        <v>446</v>
      </c>
      <c r="EQ177" s="57">
        <v>613</v>
      </c>
      <c r="ER177" s="57">
        <v>658</v>
      </c>
      <c r="ES177" s="57">
        <v>873</v>
      </c>
      <c r="ET177" s="57">
        <v>898</v>
      </c>
      <c r="EU177" s="57">
        <v>3488</v>
      </c>
      <c r="EV177" s="57"/>
      <c r="EW177" s="57" t="s">
        <v>2513</v>
      </c>
      <c r="EX177" s="57">
        <v>62</v>
      </c>
      <c r="EY177" s="57">
        <v>17</v>
      </c>
      <c r="EZ177" s="57">
        <v>11</v>
      </c>
      <c r="FA177" s="57">
        <v>12</v>
      </c>
      <c r="FB177" s="57">
        <v>9</v>
      </c>
      <c r="FC177" s="57">
        <v>111</v>
      </c>
      <c r="FF177" s="71" t="s">
        <v>2119</v>
      </c>
      <c r="FG177" s="71" t="s">
        <v>2441</v>
      </c>
      <c r="FH177" s="71">
        <v>305</v>
      </c>
      <c r="FI177" s="71">
        <v>267</v>
      </c>
      <c r="FJ177" s="71">
        <v>317</v>
      </c>
      <c r="FK177" s="71">
        <v>381</v>
      </c>
      <c r="FL177" s="71">
        <v>521</v>
      </c>
      <c r="FM177" s="71">
        <v>1791</v>
      </c>
      <c r="FN177" s="71"/>
      <c r="FO177" s="71" t="s">
        <v>2441</v>
      </c>
      <c r="FP177" s="71">
        <v>19</v>
      </c>
      <c r="FQ177" s="71">
        <v>4</v>
      </c>
      <c r="FR177" s="71">
        <v>1</v>
      </c>
      <c r="FS177" s="71">
        <v>2</v>
      </c>
      <c r="FT177" s="71">
        <v>3</v>
      </c>
      <c r="FU177" s="71">
        <v>29</v>
      </c>
    </row>
    <row r="178" spans="1:177">
      <c r="B178" s="65" t="s">
        <v>930</v>
      </c>
      <c r="C178" s="65" t="s">
        <v>2441</v>
      </c>
      <c r="D178" s="65">
        <v>592</v>
      </c>
      <c r="E178" s="65">
        <v>531</v>
      </c>
      <c r="F178" s="65">
        <v>557</v>
      </c>
      <c r="G178" s="65">
        <v>577</v>
      </c>
      <c r="H178" s="65">
        <v>397</v>
      </c>
      <c r="I178" s="65">
        <v>2654</v>
      </c>
      <c r="K178" s="65" t="s">
        <v>2441</v>
      </c>
      <c r="L178" s="65">
        <v>50</v>
      </c>
      <c r="M178" s="65">
        <v>5</v>
      </c>
      <c r="N178" s="65">
        <v>1</v>
      </c>
      <c r="O178" s="65">
        <v>0</v>
      </c>
      <c r="P178" s="65">
        <v>0</v>
      </c>
      <c r="Q178" s="65">
        <v>56</v>
      </c>
      <c r="AK178" s="67" t="s">
        <v>1197</v>
      </c>
      <c r="AL178" s="67" t="s">
        <v>2441</v>
      </c>
      <c r="AM178" s="67" t="s">
        <v>435</v>
      </c>
      <c r="AN178" s="67" t="s">
        <v>435</v>
      </c>
      <c r="AO178" s="67" t="s">
        <v>435</v>
      </c>
      <c r="AP178" s="67" t="s">
        <v>435</v>
      </c>
      <c r="AQ178" s="67" t="s">
        <v>435</v>
      </c>
      <c r="AR178" s="67" t="s">
        <v>435</v>
      </c>
      <c r="AS178" s="67"/>
      <c r="AT178" s="67" t="s">
        <v>2441</v>
      </c>
      <c r="AU178" s="67" t="s">
        <v>435</v>
      </c>
      <c r="AV178" s="67" t="s">
        <v>435</v>
      </c>
      <c r="AW178" s="67" t="s">
        <v>435</v>
      </c>
      <c r="AX178" s="67" t="s">
        <v>435</v>
      </c>
      <c r="AY178" s="67" t="s">
        <v>435</v>
      </c>
      <c r="AZ178" s="67" t="s">
        <v>435</v>
      </c>
      <c r="BB178" s="70" t="s">
        <v>1530</v>
      </c>
      <c r="BC178" s="70" t="s">
        <v>2437</v>
      </c>
      <c r="BD178" s="70">
        <v>125</v>
      </c>
      <c r="BE178" s="70">
        <v>125</v>
      </c>
      <c r="BF178" s="70">
        <v>227</v>
      </c>
      <c r="BG178" s="70">
        <v>373</v>
      </c>
      <c r="BH178" s="70">
        <v>308</v>
      </c>
      <c r="BI178" s="70">
        <v>1158</v>
      </c>
      <c r="BJ178" s="70"/>
      <c r="BK178" s="70" t="s">
        <v>2437</v>
      </c>
      <c r="BL178" s="70">
        <v>37</v>
      </c>
      <c r="BM178" s="70">
        <v>0</v>
      </c>
      <c r="BN178" s="70">
        <v>0</v>
      </c>
      <c r="BO178" s="70">
        <v>0</v>
      </c>
      <c r="BP178" s="70">
        <v>0</v>
      </c>
      <c r="BQ178" s="70">
        <v>37</v>
      </c>
      <c r="CL178" s="57" t="s">
        <v>585</v>
      </c>
      <c r="CM178" s="57" t="s">
        <v>2441</v>
      </c>
      <c r="CN178" s="57">
        <v>41</v>
      </c>
      <c r="CO178" s="57">
        <v>40</v>
      </c>
      <c r="CP178" s="57">
        <v>58</v>
      </c>
      <c r="CQ178" s="57">
        <v>89</v>
      </c>
      <c r="CR178" s="57">
        <v>101</v>
      </c>
      <c r="CS178" s="57">
        <v>329</v>
      </c>
      <c r="CT178" s="57"/>
      <c r="CU178" s="57" t="s">
        <v>2441</v>
      </c>
      <c r="CV178" s="57">
        <v>18</v>
      </c>
      <c r="CW178" s="57">
        <v>0</v>
      </c>
      <c r="CX178" s="57">
        <v>0</v>
      </c>
      <c r="CY178" s="57">
        <v>0</v>
      </c>
      <c r="CZ178" s="57">
        <v>0</v>
      </c>
      <c r="DA178" s="57">
        <v>18</v>
      </c>
      <c r="DD178" s="21"/>
      <c r="EN178" s="57" t="s">
        <v>1978</v>
      </c>
      <c r="EO178" s="57" t="s">
        <v>2513</v>
      </c>
      <c r="EP178" s="57">
        <v>178</v>
      </c>
      <c r="EQ178" s="57">
        <v>349</v>
      </c>
      <c r="ER178" s="57">
        <v>416</v>
      </c>
      <c r="ES178" s="57">
        <v>557</v>
      </c>
      <c r="ET178" s="57">
        <v>616</v>
      </c>
      <c r="EU178" s="57">
        <v>2116</v>
      </c>
      <c r="EV178" s="57"/>
      <c r="EW178" s="57" t="s">
        <v>2513</v>
      </c>
      <c r="EX178" s="57">
        <v>42</v>
      </c>
      <c r="EY178" s="57">
        <v>23</v>
      </c>
      <c r="EZ178" s="57">
        <v>8</v>
      </c>
      <c r="FA178" s="57">
        <v>13</v>
      </c>
      <c r="FB178" s="57">
        <v>6</v>
      </c>
      <c r="FC178" s="57">
        <v>92</v>
      </c>
      <c r="FF178" s="71" t="s">
        <v>2121</v>
      </c>
      <c r="FG178" s="71" t="s">
        <v>2441</v>
      </c>
      <c r="FH178" s="71">
        <v>86</v>
      </c>
      <c r="FI178" s="71">
        <v>141</v>
      </c>
      <c r="FJ178" s="71">
        <v>179</v>
      </c>
      <c r="FK178" s="71">
        <v>253</v>
      </c>
      <c r="FL178" s="71">
        <v>394</v>
      </c>
      <c r="FM178" s="71">
        <v>1053</v>
      </c>
      <c r="FN178" s="71"/>
      <c r="FO178" s="71" t="s">
        <v>2441</v>
      </c>
      <c r="FP178" s="71">
        <v>17</v>
      </c>
      <c r="FQ178" s="71">
        <v>2</v>
      </c>
      <c r="FR178" s="71">
        <v>0</v>
      </c>
      <c r="FS178" s="71">
        <v>0</v>
      </c>
      <c r="FT178" s="71">
        <v>0</v>
      </c>
      <c r="FU178" s="71">
        <v>19</v>
      </c>
    </row>
    <row r="179" spans="1:177">
      <c r="B179" s="65" t="s">
        <v>935</v>
      </c>
      <c r="C179" s="65" t="s">
        <v>2441</v>
      </c>
      <c r="D179" s="65">
        <v>163</v>
      </c>
      <c r="E179" s="65">
        <v>207</v>
      </c>
      <c r="F179" s="65">
        <v>277</v>
      </c>
      <c r="G179" s="65">
        <v>342</v>
      </c>
      <c r="H179" s="65">
        <v>221</v>
      </c>
      <c r="I179" s="65">
        <v>1210</v>
      </c>
      <c r="K179" s="65" t="s">
        <v>2441</v>
      </c>
      <c r="L179" s="65">
        <v>20</v>
      </c>
      <c r="M179" s="65">
        <v>1</v>
      </c>
      <c r="N179" s="65">
        <v>2</v>
      </c>
      <c r="O179" s="65">
        <v>2</v>
      </c>
      <c r="P179" s="65">
        <v>1</v>
      </c>
      <c r="Q179" s="65">
        <v>26</v>
      </c>
      <c r="AK179" s="67" t="s">
        <v>1200</v>
      </c>
      <c r="AL179" s="67" t="s">
        <v>2441</v>
      </c>
      <c r="AM179" s="67" t="s">
        <v>435</v>
      </c>
      <c r="AN179" s="67" t="s">
        <v>435</v>
      </c>
      <c r="AO179" s="67" t="s">
        <v>435</v>
      </c>
      <c r="AP179" s="67" t="s">
        <v>435</v>
      </c>
      <c r="AQ179" s="67" t="s">
        <v>435</v>
      </c>
      <c r="AR179" s="67" t="s">
        <v>435</v>
      </c>
      <c r="AS179" s="67"/>
      <c r="AT179" s="67" t="s">
        <v>2441</v>
      </c>
      <c r="AU179" s="67" t="s">
        <v>435</v>
      </c>
      <c r="AV179" s="67" t="s">
        <v>435</v>
      </c>
      <c r="AW179" s="67" t="s">
        <v>435</v>
      </c>
      <c r="AX179" s="67" t="s">
        <v>435</v>
      </c>
      <c r="AY179" s="67" t="s">
        <v>435</v>
      </c>
      <c r="AZ179" s="67" t="s">
        <v>435</v>
      </c>
      <c r="BB179" s="70" t="s">
        <v>1534</v>
      </c>
      <c r="BC179" s="70" t="s">
        <v>2437</v>
      </c>
      <c r="BD179" s="70">
        <v>150</v>
      </c>
      <c r="BE179" s="70">
        <v>196</v>
      </c>
      <c r="BF179" s="70">
        <v>349</v>
      </c>
      <c r="BG179" s="70">
        <v>602</v>
      </c>
      <c r="BH179" s="70">
        <v>535</v>
      </c>
      <c r="BI179" s="70">
        <v>1832</v>
      </c>
      <c r="BJ179" s="70"/>
      <c r="BK179" s="70" t="s">
        <v>2437</v>
      </c>
      <c r="BL179" s="70">
        <v>41</v>
      </c>
      <c r="BM179" s="70">
        <v>0</v>
      </c>
      <c r="BN179" s="70">
        <v>0</v>
      </c>
      <c r="BO179" s="70">
        <v>0</v>
      </c>
      <c r="BP179" s="70">
        <v>0</v>
      </c>
      <c r="BQ179" s="70">
        <v>41</v>
      </c>
      <c r="CL179" s="57" t="s">
        <v>608</v>
      </c>
      <c r="CM179" s="57" t="s">
        <v>2441</v>
      </c>
      <c r="CN179" s="57">
        <v>183</v>
      </c>
      <c r="CO179" s="57">
        <v>181</v>
      </c>
      <c r="CP179" s="57">
        <v>310</v>
      </c>
      <c r="CQ179" s="57">
        <v>404</v>
      </c>
      <c r="CR179" s="57">
        <v>349</v>
      </c>
      <c r="CS179" s="57">
        <v>1427</v>
      </c>
      <c r="CT179" s="57"/>
      <c r="CU179" s="57" t="s">
        <v>2441</v>
      </c>
      <c r="CV179" s="57">
        <v>28</v>
      </c>
      <c r="CW179" s="57">
        <v>0</v>
      </c>
      <c r="CX179" s="57">
        <v>0</v>
      </c>
      <c r="CY179" s="57">
        <v>0</v>
      </c>
      <c r="CZ179" s="57">
        <v>0</v>
      </c>
      <c r="DA179" s="57">
        <v>28</v>
      </c>
      <c r="DD179" s="21"/>
      <c r="EN179" s="57" t="s">
        <v>1984</v>
      </c>
      <c r="EO179" s="57" t="s">
        <v>2513</v>
      </c>
      <c r="EP179" s="57">
        <v>118</v>
      </c>
      <c r="EQ179" s="57">
        <v>269</v>
      </c>
      <c r="ER179" s="57">
        <v>372</v>
      </c>
      <c r="ES179" s="57">
        <v>508</v>
      </c>
      <c r="ET179" s="57">
        <v>537</v>
      </c>
      <c r="EU179" s="57">
        <v>1804</v>
      </c>
      <c r="EV179" s="57"/>
      <c r="EW179" s="57" t="s">
        <v>2513</v>
      </c>
      <c r="EX179" s="57">
        <v>10</v>
      </c>
      <c r="EY179" s="57">
        <v>8</v>
      </c>
      <c r="EZ179" s="57">
        <v>7</v>
      </c>
      <c r="FA179" s="57">
        <v>1</v>
      </c>
      <c r="FB179" s="57">
        <v>3</v>
      </c>
      <c r="FC179" s="57">
        <v>29</v>
      </c>
      <c r="FF179" s="71" t="s">
        <v>2123</v>
      </c>
      <c r="FG179" s="71" t="s">
        <v>2441</v>
      </c>
      <c r="FH179" s="71">
        <v>82</v>
      </c>
      <c r="FI179" s="71">
        <v>115</v>
      </c>
      <c r="FJ179" s="71">
        <v>156</v>
      </c>
      <c r="FK179" s="71">
        <v>226</v>
      </c>
      <c r="FL179" s="71">
        <v>284</v>
      </c>
      <c r="FM179" s="71">
        <v>863</v>
      </c>
      <c r="FN179" s="71"/>
      <c r="FO179" s="71" t="s">
        <v>2441</v>
      </c>
      <c r="FP179" s="71">
        <v>9</v>
      </c>
      <c r="FQ179" s="71">
        <v>1</v>
      </c>
      <c r="FR179" s="71">
        <v>1</v>
      </c>
      <c r="FS179" s="71">
        <v>1</v>
      </c>
      <c r="FT179" s="71">
        <v>1</v>
      </c>
      <c r="FU179" s="71">
        <v>13</v>
      </c>
    </row>
    <row r="180" spans="1:177">
      <c r="B180" s="65" t="s">
        <v>940</v>
      </c>
      <c r="C180" s="65" t="s">
        <v>2441</v>
      </c>
      <c r="D180" s="65">
        <v>583</v>
      </c>
      <c r="E180" s="65">
        <v>606</v>
      </c>
      <c r="F180" s="65">
        <v>893</v>
      </c>
      <c r="G180" s="65">
        <v>1007</v>
      </c>
      <c r="H180" s="65">
        <v>710</v>
      </c>
      <c r="I180" s="65">
        <v>3799</v>
      </c>
      <c r="K180" s="65" t="s">
        <v>2441</v>
      </c>
      <c r="L180" s="65">
        <v>48</v>
      </c>
      <c r="M180" s="65">
        <v>4</v>
      </c>
      <c r="N180" s="65">
        <v>1</v>
      </c>
      <c r="O180" s="65">
        <v>1</v>
      </c>
      <c r="P180" s="65">
        <v>0</v>
      </c>
      <c r="Q180" s="65">
        <v>54</v>
      </c>
      <c r="AK180" s="67" t="s">
        <v>1204</v>
      </c>
      <c r="AL180" s="67" t="s">
        <v>2441</v>
      </c>
      <c r="AM180" s="67" t="s">
        <v>435</v>
      </c>
      <c r="AN180" s="67" t="s">
        <v>435</v>
      </c>
      <c r="AO180" s="67" t="s">
        <v>435</v>
      </c>
      <c r="AP180" s="67" t="s">
        <v>435</v>
      </c>
      <c r="AQ180" s="67" t="s">
        <v>435</v>
      </c>
      <c r="AR180" s="67" t="s">
        <v>435</v>
      </c>
      <c r="AS180" s="67"/>
      <c r="AT180" s="67" t="s">
        <v>2441</v>
      </c>
      <c r="AU180" s="67" t="s">
        <v>435</v>
      </c>
      <c r="AV180" s="67" t="s">
        <v>435</v>
      </c>
      <c r="AW180" s="67" t="s">
        <v>435</v>
      </c>
      <c r="AX180" s="67" t="s">
        <v>435</v>
      </c>
      <c r="AY180" s="67" t="s">
        <v>435</v>
      </c>
      <c r="AZ180" s="67" t="s">
        <v>435</v>
      </c>
      <c r="BB180" s="70" t="s">
        <v>1538</v>
      </c>
      <c r="BC180" s="70" t="s">
        <v>2437</v>
      </c>
      <c r="BD180" s="70">
        <v>51</v>
      </c>
      <c r="BE180" s="70">
        <v>63</v>
      </c>
      <c r="BF180" s="70">
        <v>132</v>
      </c>
      <c r="BG180" s="70">
        <v>205</v>
      </c>
      <c r="BH180" s="70">
        <v>192</v>
      </c>
      <c r="BI180" s="70">
        <v>643</v>
      </c>
      <c r="BJ180" s="70"/>
      <c r="BK180" s="70" t="s">
        <v>2437</v>
      </c>
      <c r="BL180" s="70">
        <v>12</v>
      </c>
      <c r="BM180" s="70">
        <v>0</v>
      </c>
      <c r="BN180" s="70">
        <v>0</v>
      </c>
      <c r="BO180" s="70">
        <v>0</v>
      </c>
      <c r="BP180" s="70">
        <v>0</v>
      </c>
      <c r="BQ180" s="70">
        <v>12</v>
      </c>
      <c r="CL180" s="57" t="s">
        <v>588</v>
      </c>
      <c r="CM180" s="57" t="s">
        <v>2441</v>
      </c>
      <c r="CN180" s="57">
        <v>67</v>
      </c>
      <c r="CO180" s="57">
        <v>117</v>
      </c>
      <c r="CP180" s="57">
        <v>273</v>
      </c>
      <c r="CQ180" s="57">
        <v>414</v>
      </c>
      <c r="CR180" s="57">
        <v>329</v>
      </c>
      <c r="CS180" s="57">
        <v>1200</v>
      </c>
      <c r="CT180" s="57"/>
      <c r="CU180" s="57" t="s">
        <v>2441</v>
      </c>
      <c r="CV180" s="57">
        <v>12</v>
      </c>
      <c r="CW180" s="57">
        <v>0</v>
      </c>
      <c r="CX180" s="57">
        <v>0</v>
      </c>
      <c r="CY180" s="57">
        <v>0</v>
      </c>
      <c r="CZ180" s="57">
        <v>0</v>
      </c>
      <c r="DA180" s="57">
        <v>12</v>
      </c>
      <c r="DD180" s="21"/>
      <c r="EN180" s="57" t="s">
        <v>1987</v>
      </c>
      <c r="EO180" s="57" t="s">
        <v>2513</v>
      </c>
      <c r="EP180" s="57">
        <v>167</v>
      </c>
      <c r="EQ180" s="57">
        <v>313</v>
      </c>
      <c r="ER180" s="57">
        <v>420</v>
      </c>
      <c r="ES180" s="57">
        <v>512</v>
      </c>
      <c r="ET180" s="57">
        <v>597</v>
      </c>
      <c r="EU180" s="57">
        <v>2009</v>
      </c>
      <c r="EV180" s="57"/>
      <c r="EW180" s="57" t="s">
        <v>2513</v>
      </c>
      <c r="EX180" s="57">
        <v>32</v>
      </c>
      <c r="EY180" s="57">
        <v>16</v>
      </c>
      <c r="EZ180" s="57">
        <v>6</v>
      </c>
      <c r="FA180" s="57">
        <v>5</v>
      </c>
      <c r="FB180" s="57">
        <v>4</v>
      </c>
      <c r="FC180" s="57">
        <v>63</v>
      </c>
      <c r="FF180" s="71" t="s">
        <v>2125</v>
      </c>
      <c r="FG180" s="71" t="s">
        <v>2441</v>
      </c>
      <c r="FH180" s="71">
        <v>65</v>
      </c>
      <c r="FI180" s="71">
        <v>102</v>
      </c>
      <c r="FJ180" s="71">
        <v>141</v>
      </c>
      <c r="FK180" s="71">
        <v>191</v>
      </c>
      <c r="FL180" s="71">
        <v>262</v>
      </c>
      <c r="FM180" s="71">
        <v>761</v>
      </c>
      <c r="FN180" s="71"/>
      <c r="FO180" s="71" t="s">
        <v>2441</v>
      </c>
      <c r="FP180" s="71">
        <v>13</v>
      </c>
      <c r="FQ180" s="71">
        <v>5</v>
      </c>
      <c r="FR180" s="71">
        <v>2</v>
      </c>
      <c r="FS180" s="71">
        <v>1</v>
      </c>
      <c r="FT180" s="71">
        <v>0</v>
      </c>
      <c r="FU180" s="71">
        <v>21</v>
      </c>
    </row>
    <row r="181" spans="1:177">
      <c r="B181" s="65" t="s">
        <v>946</v>
      </c>
      <c r="C181" s="65" t="s">
        <v>2441</v>
      </c>
      <c r="D181" s="65">
        <v>143</v>
      </c>
      <c r="E181" s="65">
        <v>274</v>
      </c>
      <c r="F181" s="65">
        <v>330</v>
      </c>
      <c r="G181" s="65">
        <v>491</v>
      </c>
      <c r="H181" s="65">
        <v>362</v>
      </c>
      <c r="I181" s="65">
        <v>1600</v>
      </c>
      <c r="K181" s="65" t="s">
        <v>2441</v>
      </c>
      <c r="L181" s="65">
        <v>41</v>
      </c>
      <c r="M181" s="65">
        <v>8</v>
      </c>
      <c r="N181" s="65">
        <v>3</v>
      </c>
      <c r="O181" s="65">
        <v>1</v>
      </c>
      <c r="P181" s="65">
        <v>1</v>
      </c>
      <c r="Q181" s="65">
        <v>54</v>
      </c>
      <c r="AK181" s="67" t="s">
        <v>1207</v>
      </c>
      <c r="AL181" s="67" t="s">
        <v>2441</v>
      </c>
      <c r="AM181" s="67" t="s">
        <v>435</v>
      </c>
      <c r="AN181" s="67" t="s">
        <v>435</v>
      </c>
      <c r="AO181" s="67" t="s">
        <v>435</v>
      </c>
      <c r="AP181" s="67" t="s">
        <v>435</v>
      </c>
      <c r="AQ181" s="67" t="s">
        <v>435</v>
      </c>
      <c r="AR181" s="67" t="s">
        <v>435</v>
      </c>
      <c r="AS181" s="67"/>
      <c r="AT181" s="67" t="s">
        <v>2441</v>
      </c>
      <c r="AU181" s="67" t="s">
        <v>435</v>
      </c>
      <c r="AV181" s="67" t="s">
        <v>435</v>
      </c>
      <c r="AW181" s="67" t="s">
        <v>435</v>
      </c>
      <c r="AX181" s="67" t="s">
        <v>435</v>
      </c>
      <c r="AY181" s="67" t="s">
        <v>435</v>
      </c>
      <c r="AZ181" s="67" t="s">
        <v>435</v>
      </c>
      <c r="BB181" s="70" t="s">
        <v>43</v>
      </c>
      <c r="BC181" s="70" t="s">
        <v>2437</v>
      </c>
      <c r="BD181" s="70">
        <v>369</v>
      </c>
      <c r="BE181" s="70">
        <v>506</v>
      </c>
      <c r="BF181" s="70">
        <v>884</v>
      </c>
      <c r="BG181" s="70">
        <v>1305</v>
      </c>
      <c r="BH181" s="70">
        <v>1220</v>
      </c>
      <c r="BI181" s="70">
        <v>4284</v>
      </c>
      <c r="BJ181" s="70"/>
      <c r="BK181" s="70" t="s">
        <v>2437</v>
      </c>
      <c r="BL181" s="70">
        <v>55</v>
      </c>
      <c r="BM181" s="70">
        <v>2</v>
      </c>
      <c r="BN181" s="70">
        <v>0</v>
      </c>
      <c r="BO181" s="70">
        <v>0</v>
      </c>
      <c r="BP181" s="70">
        <v>0</v>
      </c>
      <c r="BQ181" s="70">
        <v>57</v>
      </c>
      <c r="CL181" s="57" t="s">
        <v>590</v>
      </c>
      <c r="CM181" s="57" t="s">
        <v>2441</v>
      </c>
      <c r="CN181" s="57">
        <v>831</v>
      </c>
      <c r="CO181" s="57">
        <v>567</v>
      </c>
      <c r="CP181" s="57">
        <v>639</v>
      </c>
      <c r="CQ181" s="57">
        <v>603</v>
      </c>
      <c r="CR181" s="57">
        <v>501</v>
      </c>
      <c r="CS181" s="57">
        <v>3141</v>
      </c>
      <c r="CT181" s="57"/>
      <c r="CU181" s="57" t="s">
        <v>2441</v>
      </c>
      <c r="CV181" s="57">
        <v>258</v>
      </c>
      <c r="CW181" s="57">
        <v>2</v>
      </c>
      <c r="CX181" s="57">
        <v>0</v>
      </c>
      <c r="CY181" s="57">
        <v>0</v>
      </c>
      <c r="CZ181" s="57">
        <v>0</v>
      </c>
      <c r="DA181" s="57">
        <v>260</v>
      </c>
      <c r="DD181" s="21"/>
      <c r="EN181" s="57" t="s">
        <v>1990</v>
      </c>
      <c r="EO181" s="57" t="s">
        <v>2513</v>
      </c>
      <c r="EP181" s="57">
        <v>276</v>
      </c>
      <c r="EQ181" s="57">
        <v>501</v>
      </c>
      <c r="ER181" s="57">
        <v>508</v>
      </c>
      <c r="ES181" s="57">
        <v>666</v>
      </c>
      <c r="ET181" s="57">
        <v>798</v>
      </c>
      <c r="EU181" s="57">
        <v>2749</v>
      </c>
      <c r="EV181" s="57"/>
      <c r="EW181" s="57" t="s">
        <v>2513</v>
      </c>
      <c r="EX181" s="57">
        <v>36</v>
      </c>
      <c r="EY181" s="57">
        <v>26</v>
      </c>
      <c r="EZ181" s="57">
        <v>5</v>
      </c>
      <c r="FA181" s="57">
        <v>6</v>
      </c>
      <c r="FB181" s="57">
        <v>9</v>
      </c>
      <c r="FC181" s="57">
        <v>82</v>
      </c>
      <c r="FF181" s="71" t="s">
        <v>2127</v>
      </c>
      <c r="FG181" s="71" t="s">
        <v>2441</v>
      </c>
      <c r="FH181" s="71">
        <v>264</v>
      </c>
      <c r="FI181" s="71">
        <v>342</v>
      </c>
      <c r="FJ181" s="71">
        <v>267</v>
      </c>
      <c r="FK181" s="71">
        <v>291</v>
      </c>
      <c r="FL181" s="71">
        <v>353</v>
      </c>
      <c r="FM181" s="71">
        <v>1517</v>
      </c>
      <c r="FN181" s="71"/>
      <c r="FO181" s="71" t="s">
        <v>2441</v>
      </c>
      <c r="FP181" s="71">
        <v>28</v>
      </c>
      <c r="FQ181" s="71">
        <v>6</v>
      </c>
      <c r="FR181" s="71">
        <v>6</v>
      </c>
      <c r="FS181" s="71">
        <v>1</v>
      </c>
      <c r="FT181" s="71">
        <v>1</v>
      </c>
      <c r="FU181" s="71">
        <v>42</v>
      </c>
    </row>
    <row r="182" spans="1:177">
      <c r="A182" s="21" t="s">
        <v>2438</v>
      </c>
      <c r="B182" s="65" t="s">
        <v>949</v>
      </c>
      <c r="C182" s="65" t="s">
        <v>2441</v>
      </c>
      <c r="D182" s="65" t="s">
        <v>356</v>
      </c>
      <c r="E182" s="65" t="s">
        <v>356</v>
      </c>
      <c r="F182" s="65" t="s">
        <v>356</v>
      </c>
      <c r="G182" s="65" t="s">
        <v>356</v>
      </c>
      <c r="H182" s="65" t="s">
        <v>356</v>
      </c>
      <c r="I182" s="65" t="s">
        <v>356</v>
      </c>
      <c r="K182" s="65" t="s">
        <v>2441</v>
      </c>
      <c r="L182" s="65" t="s">
        <v>356</v>
      </c>
      <c r="M182" s="65" t="s">
        <v>356</v>
      </c>
      <c r="N182" s="65" t="s">
        <v>356</v>
      </c>
      <c r="O182" s="65" t="s">
        <v>356</v>
      </c>
      <c r="P182" s="65" t="s">
        <v>356</v>
      </c>
      <c r="Q182" s="65" t="s">
        <v>356</v>
      </c>
      <c r="AK182" s="67" t="s">
        <v>1210</v>
      </c>
      <c r="AL182" s="67" t="s">
        <v>2441</v>
      </c>
      <c r="AM182" s="67" t="s">
        <v>435</v>
      </c>
      <c r="AN182" s="67" t="s">
        <v>435</v>
      </c>
      <c r="AO182" s="67" t="s">
        <v>435</v>
      </c>
      <c r="AP182" s="67" t="s">
        <v>435</v>
      </c>
      <c r="AQ182" s="67" t="s">
        <v>435</v>
      </c>
      <c r="AR182" s="67" t="s">
        <v>435</v>
      </c>
      <c r="AS182" s="67"/>
      <c r="AT182" s="67" t="s">
        <v>2441</v>
      </c>
      <c r="AU182" s="67" t="s">
        <v>435</v>
      </c>
      <c r="AV182" s="67" t="s">
        <v>435</v>
      </c>
      <c r="AW182" s="67" t="s">
        <v>435</v>
      </c>
      <c r="AX182" s="67" t="s">
        <v>435</v>
      </c>
      <c r="AY182" s="67" t="s">
        <v>435</v>
      </c>
      <c r="AZ182" s="67" t="s">
        <v>435</v>
      </c>
      <c r="BB182" s="70" t="s">
        <v>1545</v>
      </c>
      <c r="BC182" s="70" t="s">
        <v>2437</v>
      </c>
      <c r="BD182" s="70">
        <v>370</v>
      </c>
      <c r="BE182" s="70">
        <v>378</v>
      </c>
      <c r="BF182" s="70">
        <v>712</v>
      </c>
      <c r="BG182" s="70">
        <v>1042</v>
      </c>
      <c r="BH182" s="70">
        <v>894</v>
      </c>
      <c r="BI182" s="70">
        <v>3396</v>
      </c>
      <c r="BJ182" s="70"/>
      <c r="BK182" s="70" t="s">
        <v>2437</v>
      </c>
      <c r="BL182" s="70">
        <v>39</v>
      </c>
      <c r="BM182" s="70">
        <v>0</v>
      </c>
      <c r="BN182" s="70">
        <v>0</v>
      </c>
      <c r="BO182" s="70">
        <v>0</v>
      </c>
      <c r="BP182" s="70">
        <v>0</v>
      </c>
      <c r="BQ182" s="70">
        <v>39</v>
      </c>
      <c r="DD182" s="21"/>
      <c r="EN182" s="57" t="s">
        <v>1993</v>
      </c>
      <c r="EO182" s="57" t="s">
        <v>2513</v>
      </c>
      <c r="EP182" s="57">
        <v>404</v>
      </c>
      <c r="EQ182" s="57">
        <v>506</v>
      </c>
      <c r="ER182" s="57">
        <v>541</v>
      </c>
      <c r="ES182" s="57">
        <v>659</v>
      </c>
      <c r="ET182" s="57">
        <v>651</v>
      </c>
      <c r="EU182" s="57">
        <v>2761</v>
      </c>
      <c r="EV182" s="57"/>
      <c r="EW182" s="57" t="s">
        <v>2513</v>
      </c>
      <c r="EX182" s="57">
        <v>53</v>
      </c>
      <c r="EY182" s="57">
        <v>12</v>
      </c>
      <c r="EZ182" s="57">
        <v>7</v>
      </c>
      <c r="FA182" s="57">
        <v>5</v>
      </c>
      <c r="FB182" s="57">
        <v>4</v>
      </c>
      <c r="FC182" s="57">
        <v>81</v>
      </c>
      <c r="FF182" s="71" t="s">
        <v>2129</v>
      </c>
      <c r="FG182" s="71" t="s">
        <v>2441</v>
      </c>
      <c r="FH182" s="71">
        <v>124</v>
      </c>
      <c r="FI182" s="71">
        <v>148</v>
      </c>
      <c r="FJ182" s="71">
        <v>160</v>
      </c>
      <c r="FK182" s="71">
        <v>232</v>
      </c>
      <c r="FL182" s="71">
        <v>299</v>
      </c>
      <c r="FM182" s="71">
        <v>963</v>
      </c>
      <c r="FN182" s="71"/>
      <c r="FO182" s="71" t="s">
        <v>2441</v>
      </c>
      <c r="FP182" s="71">
        <v>11</v>
      </c>
      <c r="FQ182" s="71">
        <v>2</v>
      </c>
      <c r="FR182" s="71">
        <v>0</v>
      </c>
      <c r="FS182" s="71">
        <v>0</v>
      </c>
      <c r="FT182" s="71">
        <v>0</v>
      </c>
      <c r="FU182" s="71">
        <v>13</v>
      </c>
    </row>
    <row r="183" spans="1:177">
      <c r="B183" s="65" t="s">
        <v>955</v>
      </c>
      <c r="C183" s="65" t="s">
        <v>2441</v>
      </c>
      <c r="D183" s="65">
        <v>272</v>
      </c>
      <c r="E183" s="65">
        <v>534</v>
      </c>
      <c r="F183" s="65">
        <v>812</v>
      </c>
      <c r="G183" s="65">
        <v>1079</v>
      </c>
      <c r="H183" s="65">
        <v>878</v>
      </c>
      <c r="I183" s="65">
        <v>3575</v>
      </c>
      <c r="K183" s="65" t="s">
        <v>2441</v>
      </c>
      <c r="L183" s="65">
        <v>18</v>
      </c>
      <c r="M183" s="65">
        <v>2</v>
      </c>
      <c r="N183" s="65">
        <v>2</v>
      </c>
      <c r="O183" s="65">
        <v>0</v>
      </c>
      <c r="P183" s="65">
        <v>0</v>
      </c>
      <c r="Q183" s="65">
        <v>22</v>
      </c>
      <c r="AK183" s="67" t="s">
        <v>1213</v>
      </c>
      <c r="AL183" s="67" t="s">
        <v>2441</v>
      </c>
      <c r="AM183" s="67" t="s">
        <v>435</v>
      </c>
      <c r="AN183" s="67" t="s">
        <v>435</v>
      </c>
      <c r="AO183" s="67" t="s">
        <v>435</v>
      </c>
      <c r="AP183" s="67" t="s">
        <v>435</v>
      </c>
      <c r="AQ183" s="67" t="s">
        <v>435</v>
      </c>
      <c r="AR183" s="67" t="s">
        <v>435</v>
      </c>
      <c r="AS183" s="67"/>
      <c r="AT183" s="67" t="s">
        <v>2441</v>
      </c>
      <c r="AU183" s="67" t="s">
        <v>435</v>
      </c>
      <c r="AV183" s="67" t="s">
        <v>435</v>
      </c>
      <c r="AW183" s="67" t="s">
        <v>435</v>
      </c>
      <c r="AX183" s="67" t="s">
        <v>435</v>
      </c>
      <c r="AY183" s="67" t="s">
        <v>435</v>
      </c>
      <c r="AZ183" s="67" t="s">
        <v>435</v>
      </c>
      <c r="BB183" s="70" t="s">
        <v>1548</v>
      </c>
      <c r="BC183" s="70" t="s">
        <v>2437</v>
      </c>
      <c r="BD183" s="70">
        <v>256</v>
      </c>
      <c r="BE183" s="70">
        <v>257</v>
      </c>
      <c r="BF183" s="70">
        <v>513</v>
      </c>
      <c r="BG183" s="70">
        <v>841</v>
      </c>
      <c r="BH183" s="70">
        <v>816</v>
      </c>
      <c r="BI183" s="70">
        <v>2683</v>
      </c>
      <c r="BJ183" s="70"/>
      <c r="BK183" s="70" t="s">
        <v>2437</v>
      </c>
      <c r="BL183" s="70">
        <v>32</v>
      </c>
      <c r="BM183" s="70">
        <v>1</v>
      </c>
      <c r="BN183" s="70">
        <v>0</v>
      </c>
      <c r="BO183" s="70">
        <v>0</v>
      </c>
      <c r="BP183" s="70">
        <v>0</v>
      </c>
      <c r="BQ183" s="70">
        <v>33</v>
      </c>
      <c r="CL183" s="57" t="s">
        <v>530</v>
      </c>
      <c r="CM183" s="57" t="s">
        <v>811</v>
      </c>
      <c r="CN183" s="57">
        <v>123</v>
      </c>
      <c r="CO183" s="57">
        <v>87</v>
      </c>
      <c r="CP183" s="57">
        <v>129</v>
      </c>
      <c r="CQ183" s="57">
        <v>186</v>
      </c>
      <c r="CR183" s="57">
        <v>184</v>
      </c>
      <c r="CS183" s="57">
        <v>709</v>
      </c>
      <c r="CT183" s="57"/>
      <c r="CU183" s="57" t="s">
        <v>811</v>
      </c>
      <c r="CV183" s="57">
        <v>39</v>
      </c>
      <c r="CW183" s="57">
        <v>0</v>
      </c>
      <c r="CX183" s="57">
        <v>0</v>
      </c>
      <c r="CY183" s="57">
        <v>0</v>
      </c>
      <c r="CZ183" s="57">
        <v>0</v>
      </c>
      <c r="DA183" s="57">
        <v>39</v>
      </c>
      <c r="EN183" s="57" t="s">
        <v>1996</v>
      </c>
      <c r="EO183" s="57" t="s">
        <v>2513</v>
      </c>
      <c r="EP183" s="57">
        <v>307</v>
      </c>
      <c r="EQ183" s="57">
        <v>377</v>
      </c>
      <c r="ER183" s="57">
        <v>434</v>
      </c>
      <c r="ES183" s="57">
        <v>449</v>
      </c>
      <c r="ET183" s="57">
        <v>520</v>
      </c>
      <c r="EU183" s="57">
        <v>2087</v>
      </c>
      <c r="EV183" s="57"/>
      <c r="EW183" s="57" t="s">
        <v>2513</v>
      </c>
      <c r="EX183" s="57">
        <v>21</v>
      </c>
      <c r="EY183" s="57">
        <v>9</v>
      </c>
      <c r="EZ183" s="57">
        <v>5</v>
      </c>
      <c r="FA183" s="57">
        <v>3</v>
      </c>
      <c r="FB183" s="57">
        <v>5</v>
      </c>
      <c r="FC183" s="57">
        <v>43</v>
      </c>
      <c r="FF183" s="71" t="s">
        <v>2134</v>
      </c>
      <c r="FG183" s="71" t="s">
        <v>2441</v>
      </c>
      <c r="FH183" s="71">
        <v>96</v>
      </c>
      <c r="FI183" s="71">
        <v>151</v>
      </c>
      <c r="FJ183" s="71">
        <v>183</v>
      </c>
      <c r="FK183" s="71">
        <v>220</v>
      </c>
      <c r="FL183" s="71">
        <v>334</v>
      </c>
      <c r="FM183" s="71">
        <v>984</v>
      </c>
      <c r="FN183" s="71"/>
      <c r="FO183" s="71" t="s">
        <v>2441</v>
      </c>
      <c r="FP183" s="71">
        <v>14</v>
      </c>
      <c r="FQ183" s="71">
        <v>4</v>
      </c>
      <c r="FR183" s="71">
        <v>2</v>
      </c>
      <c r="FS183" s="71">
        <v>2</v>
      </c>
      <c r="FT183" s="71">
        <v>0</v>
      </c>
      <c r="FU183" s="71">
        <v>22</v>
      </c>
    </row>
    <row r="184" spans="1:177">
      <c r="B184" s="65" t="s">
        <v>959</v>
      </c>
      <c r="C184" s="65" t="s">
        <v>2441</v>
      </c>
      <c r="D184" s="65">
        <v>335</v>
      </c>
      <c r="E184" s="65">
        <v>555</v>
      </c>
      <c r="F184" s="65">
        <v>936</v>
      </c>
      <c r="G184" s="65">
        <v>1098</v>
      </c>
      <c r="H184" s="65">
        <v>914</v>
      </c>
      <c r="I184" s="65">
        <v>3838</v>
      </c>
      <c r="K184" s="65" t="s">
        <v>2441</v>
      </c>
      <c r="L184" s="65">
        <v>27</v>
      </c>
      <c r="M184" s="65">
        <v>1</v>
      </c>
      <c r="N184" s="65">
        <v>2</v>
      </c>
      <c r="O184" s="65">
        <v>1</v>
      </c>
      <c r="P184" s="65">
        <v>0</v>
      </c>
      <c r="Q184" s="65">
        <v>31</v>
      </c>
      <c r="AK184" s="67" t="s">
        <v>1217</v>
      </c>
      <c r="AL184" s="67" t="s">
        <v>2441</v>
      </c>
      <c r="AM184" s="67" t="s">
        <v>435</v>
      </c>
      <c r="AN184" s="67" t="s">
        <v>435</v>
      </c>
      <c r="AO184" s="67" t="s">
        <v>435</v>
      </c>
      <c r="AP184" s="67" t="s">
        <v>435</v>
      </c>
      <c r="AQ184" s="67" t="s">
        <v>435</v>
      </c>
      <c r="AR184" s="67" t="s">
        <v>435</v>
      </c>
      <c r="AS184" s="67"/>
      <c r="AT184" s="67" t="s">
        <v>2441</v>
      </c>
      <c r="AU184" s="67" t="s">
        <v>435</v>
      </c>
      <c r="AV184" s="67" t="s">
        <v>435</v>
      </c>
      <c r="AW184" s="67" t="s">
        <v>435</v>
      </c>
      <c r="AX184" s="67" t="s">
        <v>435</v>
      </c>
      <c r="AY184" s="67" t="s">
        <v>435</v>
      </c>
      <c r="AZ184" s="67" t="s">
        <v>435</v>
      </c>
      <c r="BB184" s="70" t="s">
        <v>1552</v>
      </c>
      <c r="BC184" s="70" t="s">
        <v>2437</v>
      </c>
      <c r="BD184" s="70">
        <v>88</v>
      </c>
      <c r="BE184" s="70">
        <v>122</v>
      </c>
      <c r="BF184" s="70">
        <v>218</v>
      </c>
      <c r="BG184" s="70">
        <v>316</v>
      </c>
      <c r="BH184" s="70">
        <v>310</v>
      </c>
      <c r="BI184" s="70">
        <v>1054</v>
      </c>
      <c r="BJ184" s="70"/>
      <c r="BK184" s="70" t="s">
        <v>2437</v>
      </c>
      <c r="BL184" s="70">
        <v>18</v>
      </c>
      <c r="BM184" s="70">
        <v>0</v>
      </c>
      <c r="BN184" s="70">
        <v>0</v>
      </c>
      <c r="BO184" s="70">
        <v>0</v>
      </c>
      <c r="BP184" s="70">
        <v>0</v>
      </c>
      <c r="BQ184" s="70">
        <v>18</v>
      </c>
      <c r="CL184" s="57" t="s">
        <v>532</v>
      </c>
      <c r="CM184" s="57" t="s">
        <v>811</v>
      </c>
      <c r="CN184" s="57">
        <v>181</v>
      </c>
      <c r="CO184" s="57">
        <v>106</v>
      </c>
      <c r="CP184" s="57">
        <v>199</v>
      </c>
      <c r="CQ184" s="57">
        <v>248</v>
      </c>
      <c r="CR184" s="57">
        <v>267</v>
      </c>
      <c r="CS184" s="57">
        <v>1001</v>
      </c>
      <c r="CT184" s="57"/>
      <c r="CU184" s="57" t="s">
        <v>811</v>
      </c>
      <c r="CV184" s="57">
        <v>61</v>
      </c>
      <c r="CW184" s="57">
        <v>0</v>
      </c>
      <c r="CX184" s="57">
        <v>0</v>
      </c>
      <c r="CY184" s="57">
        <v>0</v>
      </c>
      <c r="CZ184" s="57">
        <v>0</v>
      </c>
      <c r="DA184" s="57">
        <v>61</v>
      </c>
      <c r="EN184" s="57" t="s">
        <v>1999</v>
      </c>
      <c r="EO184" s="57" t="s">
        <v>2513</v>
      </c>
      <c r="EP184" s="57">
        <v>128</v>
      </c>
      <c r="EQ184" s="57">
        <v>151</v>
      </c>
      <c r="ER184" s="57">
        <v>128</v>
      </c>
      <c r="ES184" s="57">
        <v>155</v>
      </c>
      <c r="ET184" s="57">
        <v>191</v>
      </c>
      <c r="EU184" s="57">
        <v>753</v>
      </c>
      <c r="EV184" s="57"/>
      <c r="EW184" s="57" t="s">
        <v>2513</v>
      </c>
      <c r="EX184" s="57">
        <v>39</v>
      </c>
      <c r="EY184" s="57">
        <v>8</v>
      </c>
      <c r="EZ184" s="57">
        <v>0</v>
      </c>
      <c r="FA184" s="57">
        <v>0</v>
      </c>
      <c r="FB184" s="57">
        <v>0</v>
      </c>
      <c r="FC184" s="57">
        <v>47</v>
      </c>
    </row>
    <row r="185" spans="1:177">
      <c r="B185" s="65" t="s">
        <v>962</v>
      </c>
      <c r="C185" s="65" t="s">
        <v>2441</v>
      </c>
      <c r="D185" s="65">
        <v>414</v>
      </c>
      <c r="E185" s="65">
        <v>536</v>
      </c>
      <c r="F185" s="65">
        <v>972</v>
      </c>
      <c r="G185" s="65">
        <v>1394</v>
      </c>
      <c r="H185" s="65">
        <v>1166</v>
      </c>
      <c r="I185" s="65">
        <v>4482</v>
      </c>
      <c r="K185" s="65" t="s">
        <v>2441</v>
      </c>
      <c r="L185" s="65">
        <v>21</v>
      </c>
      <c r="M185" s="65">
        <v>1</v>
      </c>
      <c r="N185" s="65">
        <v>0</v>
      </c>
      <c r="O185" s="65">
        <v>1</v>
      </c>
      <c r="P185" s="65">
        <v>0</v>
      </c>
      <c r="Q185" s="65">
        <v>23</v>
      </c>
      <c r="AK185" s="67" t="s">
        <v>1221</v>
      </c>
      <c r="AL185" s="67" t="s">
        <v>2441</v>
      </c>
      <c r="AM185" s="67" t="s">
        <v>435</v>
      </c>
      <c r="AN185" s="67" t="s">
        <v>435</v>
      </c>
      <c r="AO185" s="67" t="s">
        <v>435</v>
      </c>
      <c r="AP185" s="67" t="s">
        <v>435</v>
      </c>
      <c r="AQ185" s="67" t="s">
        <v>435</v>
      </c>
      <c r="AR185" s="67" t="s">
        <v>435</v>
      </c>
      <c r="AS185" s="67"/>
      <c r="AT185" s="67" t="s">
        <v>2441</v>
      </c>
      <c r="AU185" s="67" t="s">
        <v>435</v>
      </c>
      <c r="AV185" s="67" t="s">
        <v>435</v>
      </c>
      <c r="AW185" s="67" t="s">
        <v>435</v>
      </c>
      <c r="AX185" s="67" t="s">
        <v>435</v>
      </c>
      <c r="AY185" s="67" t="s">
        <v>435</v>
      </c>
      <c r="AZ185" s="67" t="s">
        <v>435</v>
      </c>
      <c r="BB185" s="70" t="s">
        <v>1555</v>
      </c>
      <c r="BC185" s="70" t="s">
        <v>2437</v>
      </c>
      <c r="BD185" s="70">
        <v>80</v>
      </c>
      <c r="BE185" s="70">
        <v>84</v>
      </c>
      <c r="BF185" s="70">
        <v>184</v>
      </c>
      <c r="BG185" s="70">
        <v>207</v>
      </c>
      <c r="BH185" s="70">
        <v>235</v>
      </c>
      <c r="BI185" s="70">
        <v>790</v>
      </c>
      <c r="BJ185" s="70"/>
      <c r="BK185" s="70" t="s">
        <v>2437</v>
      </c>
      <c r="BL185" s="70">
        <v>19</v>
      </c>
      <c r="BM185" s="70">
        <v>0</v>
      </c>
      <c r="BN185" s="70">
        <v>0</v>
      </c>
      <c r="BO185" s="70">
        <v>0</v>
      </c>
      <c r="BP185" s="70">
        <v>0</v>
      </c>
      <c r="BQ185" s="70">
        <v>19</v>
      </c>
      <c r="CL185" s="57" t="s">
        <v>535</v>
      </c>
      <c r="CM185" s="57" t="s">
        <v>27</v>
      </c>
      <c r="CN185" s="57">
        <v>31</v>
      </c>
      <c r="CO185" s="57">
        <v>53</v>
      </c>
      <c r="CP185" s="57">
        <v>73</v>
      </c>
      <c r="CQ185" s="57">
        <v>142</v>
      </c>
      <c r="CR185" s="57">
        <v>141</v>
      </c>
      <c r="CS185" s="57">
        <v>440</v>
      </c>
      <c r="CT185" s="57"/>
      <c r="CU185" s="57" t="s">
        <v>27</v>
      </c>
      <c r="CV185" s="57">
        <v>3</v>
      </c>
      <c r="CW185" s="57">
        <v>0</v>
      </c>
      <c r="CX185" s="57">
        <v>0</v>
      </c>
      <c r="CY185" s="57">
        <v>0</v>
      </c>
      <c r="CZ185" s="57">
        <v>0</v>
      </c>
      <c r="DA185" s="57">
        <v>3</v>
      </c>
      <c r="EN185" s="57" t="s">
        <v>2003</v>
      </c>
      <c r="EO185" s="57" t="s">
        <v>2513</v>
      </c>
      <c r="EP185" s="57">
        <v>71</v>
      </c>
      <c r="EQ185" s="57">
        <v>132</v>
      </c>
      <c r="ER185" s="57">
        <v>126</v>
      </c>
      <c r="ES185" s="57">
        <v>173</v>
      </c>
      <c r="ET185" s="57">
        <v>179</v>
      </c>
      <c r="EU185" s="57">
        <v>681</v>
      </c>
      <c r="EV185" s="57"/>
      <c r="EW185" s="57" t="s">
        <v>2513</v>
      </c>
      <c r="EX185" s="57">
        <v>14</v>
      </c>
      <c r="EY185" s="57">
        <v>10</v>
      </c>
      <c r="EZ185" s="57">
        <v>6</v>
      </c>
      <c r="FA185" s="57">
        <v>3</v>
      </c>
      <c r="FB185" s="57">
        <v>6</v>
      </c>
      <c r="FC185" s="57">
        <v>39</v>
      </c>
      <c r="FF185" s="71" t="s">
        <v>2033</v>
      </c>
      <c r="FG185" s="71" t="s">
        <v>811</v>
      </c>
      <c r="FH185" s="71">
        <v>2606</v>
      </c>
      <c r="FI185" s="71">
        <v>1373</v>
      </c>
      <c r="FJ185" s="71">
        <v>909</v>
      </c>
      <c r="FK185" s="71">
        <v>805</v>
      </c>
      <c r="FL185" s="71">
        <v>969</v>
      </c>
      <c r="FM185" s="71">
        <v>6662</v>
      </c>
      <c r="FN185" s="71"/>
      <c r="FO185" s="71" t="s">
        <v>811</v>
      </c>
      <c r="FP185" s="71">
        <v>455</v>
      </c>
      <c r="FQ185" s="71">
        <v>64</v>
      </c>
      <c r="FR185" s="71">
        <v>31</v>
      </c>
      <c r="FS185" s="71">
        <v>16</v>
      </c>
      <c r="FT185" s="71">
        <v>17</v>
      </c>
      <c r="FU185" s="71">
        <v>583</v>
      </c>
    </row>
    <row r="186" spans="1:177">
      <c r="B186" s="65" t="s">
        <v>965</v>
      </c>
      <c r="C186" s="65" t="s">
        <v>2441</v>
      </c>
      <c r="D186" s="65">
        <v>766</v>
      </c>
      <c r="E186" s="65">
        <v>583</v>
      </c>
      <c r="F186" s="65">
        <v>883</v>
      </c>
      <c r="G186" s="65">
        <v>1120</v>
      </c>
      <c r="H186" s="65">
        <v>967</v>
      </c>
      <c r="I186" s="65">
        <v>4319</v>
      </c>
      <c r="K186" s="65" t="s">
        <v>2441</v>
      </c>
      <c r="L186" s="65">
        <v>42</v>
      </c>
      <c r="M186" s="65">
        <v>0</v>
      </c>
      <c r="N186" s="65">
        <v>0</v>
      </c>
      <c r="O186" s="65">
        <v>0</v>
      </c>
      <c r="P186" s="65">
        <v>0</v>
      </c>
      <c r="Q186" s="65">
        <v>42</v>
      </c>
      <c r="AK186" s="67" t="s">
        <v>1225</v>
      </c>
      <c r="AL186" s="67" t="s">
        <v>2441</v>
      </c>
      <c r="AM186" s="67" t="s">
        <v>435</v>
      </c>
      <c r="AN186" s="67" t="s">
        <v>435</v>
      </c>
      <c r="AO186" s="67" t="s">
        <v>435</v>
      </c>
      <c r="AP186" s="67" t="s">
        <v>435</v>
      </c>
      <c r="AQ186" s="67" t="s">
        <v>435</v>
      </c>
      <c r="AR186" s="67" t="s">
        <v>435</v>
      </c>
      <c r="AS186" s="67"/>
      <c r="AT186" s="67" t="s">
        <v>2441</v>
      </c>
      <c r="AU186" s="67" t="s">
        <v>435</v>
      </c>
      <c r="AV186" s="67" t="s">
        <v>435</v>
      </c>
      <c r="AW186" s="67" t="s">
        <v>435</v>
      </c>
      <c r="AX186" s="67" t="s">
        <v>435</v>
      </c>
      <c r="AY186" s="67" t="s">
        <v>435</v>
      </c>
      <c r="AZ186" s="67" t="s">
        <v>435</v>
      </c>
      <c r="BB186" s="70" t="s">
        <v>1558</v>
      </c>
      <c r="BC186" s="70" t="s">
        <v>2437</v>
      </c>
      <c r="BD186" s="70">
        <v>182</v>
      </c>
      <c r="BE186" s="70">
        <v>96</v>
      </c>
      <c r="BF186" s="70">
        <v>123</v>
      </c>
      <c r="BG186" s="70">
        <v>161</v>
      </c>
      <c r="BH186" s="70">
        <v>200</v>
      </c>
      <c r="BI186" s="70">
        <v>762</v>
      </c>
      <c r="BJ186" s="70"/>
      <c r="BK186" s="70" t="s">
        <v>2437</v>
      </c>
      <c r="BL186" s="70">
        <v>60</v>
      </c>
      <c r="BM186" s="70">
        <v>0</v>
      </c>
      <c r="BN186" s="70">
        <v>0</v>
      </c>
      <c r="BO186" s="70">
        <v>0</v>
      </c>
      <c r="BP186" s="70">
        <v>0</v>
      </c>
      <c r="BQ186" s="70">
        <v>60</v>
      </c>
      <c r="CL186" s="57" t="s">
        <v>538</v>
      </c>
      <c r="CM186" s="57" t="s">
        <v>27</v>
      </c>
      <c r="CN186" s="57">
        <v>110</v>
      </c>
      <c r="CO186" s="57">
        <v>84</v>
      </c>
      <c r="CP186" s="57">
        <v>147</v>
      </c>
      <c r="CQ186" s="57">
        <v>227</v>
      </c>
      <c r="CR186" s="57">
        <v>239</v>
      </c>
      <c r="CS186" s="57">
        <v>807</v>
      </c>
      <c r="CT186" s="57"/>
      <c r="CU186" s="57" t="s">
        <v>27</v>
      </c>
      <c r="CV186" s="57">
        <v>23</v>
      </c>
      <c r="CW186" s="57">
        <v>0</v>
      </c>
      <c r="CX186" s="57">
        <v>0</v>
      </c>
      <c r="CY186" s="57">
        <v>0</v>
      </c>
      <c r="CZ186" s="57">
        <v>0</v>
      </c>
      <c r="DA186" s="57">
        <v>23</v>
      </c>
      <c r="EN186" s="57" t="s">
        <v>2006</v>
      </c>
      <c r="EO186" s="57" t="s">
        <v>2513</v>
      </c>
      <c r="EP186" s="57">
        <v>62</v>
      </c>
      <c r="EQ186" s="57">
        <v>122</v>
      </c>
      <c r="ER186" s="57">
        <v>175</v>
      </c>
      <c r="ES186" s="57">
        <v>216</v>
      </c>
      <c r="ET186" s="57">
        <v>225</v>
      </c>
      <c r="EU186" s="57">
        <v>800</v>
      </c>
      <c r="EV186" s="57"/>
      <c r="EW186" s="57" t="s">
        <v>2513</v>
      </c>
      <c r="EX186" s="57">
        <v>5</v>
      </c>
      <c r="EY186" s="57">
        <v>2</v>
      </c>
      <c r="EZ186" s="57">
        <v>4</v>
      </c>
      <c r="FA186" s="57">
        <v>1</v>
      </c>
      <c r="FB186" s="57">
        <v>4</v>
      </c>
      <c r="FC186" s="57">
        <v>16</v>
      </c>
      <c r="FF186" s="71" t="s">
        <v>2036</v>
      </c>
      <c r="FG186" s="71" t="s">
        <v>811</v>
      </c>
      <c r="FH186" s="71">
        <v>195</v>
      </c>
      <c r="FI186" s="71">
        <v>265</v>
      </c>
      <c r="FJ186" s="71">
        <v>340</v>
      </c>
      <c r="FK186" s="71">
        <v>448</v>
      </c>
      <c r="FL186" s="71">
        <v>516</v>
      </c>
      <c r="FM186" s="71">
        <v>1764</v>
      </c>
      <c r="FN186" s="71"/>
      <c r="FO186" s="71" t="s">
        <v>811</v>
      </c>
      <c r="FP186" s="71">
        <v>5</v>
      </c>
      <c r="FQ186" s="71">
        <v>4</v>
      </c>
      <c r="FR186" s="71">
        <v>2</v>
      </c>
      <c r="FS186" s="71">
        <v>5</v>
      </c>
      <c r="FT186" s="71">
        <v>3</v>
      </c>
      <c r="FU186" s="71">
        <v>19</v>
      </c>
    </row>
    <row r="187" spans="1:177">
      <c r="B187" s="65" t="s">
        <v>968</v>
      </c>
      <c r="C187" s="65" t="s">
        <v>2441</v>
      </c>
      <c r="D187" s="65" t="s">
        <v>356</v>
      </c>
      <c r="E187" s="65" t="s">
        <v>356</v>
      </c>
      <c r="F187" s="65" t="s">
        <v>356</v>
      </c>
      <c r="G187" s="65" t="s">
        <v>356</v>
      </c>
      <c r="H187" s="65" t="s">
        <v>356</v>
      </c>
      <c r="I187" s="65" t="s">
        <v>356</v>
      </c>
      <c r="K187" s="65" t="s">
        <v>2441</v>
      </c>
      <c r="L187" s="65" t="s">
        <v>356</v>
      </c>
      <c r="M187" s="65" t="s">
        <v>356</v>
      </c>
      <c r="N187" s="65" t="s">
        <v>356</v>
      </c>
      <c r="O187" s="65" t="s">
        <v>356</v>
      </c>
      <c r="P187" s="65" t="s">
        <v>356</v>
      </c>
      <c r="Q187" s="65" t="s">
        <v>356</v>
      </c>
      <c r="AK187" s="67" t="s">
        <v>2240</v>
      </c>
      <c r="AL187" s="67" t="s">
        <v>2441</v>
      </c>
      <c r="AM187" s="67" t="s">
        <v>435</v>
      </c>
      <c r="AN187" s="67" t="s">
        <v>435</v>
      </c>
      <c r="AO187" s="67" t="s">
        <v>435</v>
      </c>
      <c r="AP187" s="67" t="s">
        <v>435</v>
      </c>
      <c r="AQ187" s="67" t="s">
        <v>435</v>
      </c>
      <c r="AR187" s="67" t="s">
        <v>435</v>
      </c>
      <c r="AS187" s="67"/>
      <c r="AT187" s="67" t="s">
        <v>2441</v>
      </c>
      <c r="AU187" s="67" t="s">
        <v>435</v>
      </c>
      <c r="AV187" s="67" t="s">
        <v>435</v>
      </c>
      <c r="AW187" s="67" t="s">
        <v>435</v>
      </c>
      <c r="AX187" s="67" t="s">
        <v>435</v>
      </c>
      <c r="AY187" s="67" t="s">
        <v>435</v>
      </c>
      <c r="AZ187" s="67" t="s">
        <v>435</v>
      </c>
      <c r="CL187" s="57" t="s">
        <v>540</v>
      </c>
      <c r="CM187" s="57" t="s">
        <v>27</v>
      </c>
      <c r="CN187" s="57">
        <v>1266</v>
      </c>
      <c r="CO187" s="57">
        <v>460</v>
      </c>
      <c r="CP187" s="57">
        <v>607</v>
      </c>
      <c r="CQ187" s="57">
        <v>643</v>
      </c>
      <c r="CR187" s="57">
        <v>564</v>
      </c>
      <c r="CS187" s="57">
        <v>3540</v>
      </c>
      <c r="CT187" s="57"/>
      <c r="CU187" s="57" t="s">
        <v>27</v>
      </c>
      <c r="CV187" s="57">
        <v>246</v>
      </c>
      <c r="CW187" s="57">
        <v>0</v>
      </c>
      <c r="CX187" s="57">
        <v>0</v>
      </c>
      <c r="CY187" s="57">
        <v>0</v>
      </c>
      <c r="CZ187" s="57">
        <v>0</v>
      </c>
      <c r="DA187" s="57">
        <v>246</v>
      </c>
      <c r="EN187" s="57" t="s">
        <v>2010</v>
      </c>
      <c r="EO187" s="57" t="s">
        <v>2513</v>
      </c>
      <c r="EP187" s="57">
        <v>152</v>
      </c>
      <c r="EQ187" s="57">
        <v>200</v>
      </c>
      <c r="ER187" s="57">
        <v>245</v>
      </c>
      <c r="ES187" s="57">
        <v>284</v>
      </c>
      <c r="ET187" s="57">
        <v>302</v>
      </c>
      <c r="EU187" s="57">
        <v>1183</v>
      </c>
      <c r="EV187" s="57"/>
      <c r="EW187" s="57" t="s">
        <v>2513</v>
      </c>
      <c r="EX187" s="57">
        <v>38</v>
      </c>
      <c r="EY187" s="57">
        <v>6</v>
      </c>
      <c r="EZ187" s="57">
        <v>0</v>
      </c>
      <c r="FA187" s="57">
        <v>0</v>
      </c>
      <c r="FB187" s="57">
        <v>0</v>
      </c>
      <c r="FC187" s="57">
        <v>44</v>
      </c>
      <c r="FF187" s="71" t="s">
        <v>2038</v>
      </c>
      <c r="FG187" s="71" t="s">
        <v>811</v>
      </c>
      <c r="FH187" s="71">
        <v>719</v>
      </c>
      <c r="FI187" s="71">
        <v>713</v>
      </c>
      <c r="FJ187" s="71">
        <v>798</v>
      </c>
      <c r="FK187" s="71">
        <v>726</v>
      </c>
      <c r="FL187" s="71">
        <v>780</v>
      </c>
      <c r="FM187" s="71">
        <v>3736</v>
      </c>
      <c r="FN187" s="71"/>
      <c r="FO187" s="71" t="s">
        <v>811</v>
      </c>
      <c r="FP187" s="71">
        <v>65</v>
      </c>
      <c r="FQ187" s="71">
        <v>0</v>
      </c>
      <c r="FR187" s="71">
        <v>0</v>
      </c>
      <c r="FS187" s="71">
        <v>0</v>
      </c>
      <c r="FT187" s="71">
        <v>0</v>
      </c>
      <c r="FU187" s="71">
        <v>65</v>
      </c>
    </row>
    <row r="188" spans="1:177">
      <c r="B188" s="65" t="s">
        <v>971</v>
      </c>
      <c r="C188" s="65" t="s">
        <v>2441</v>
      </c>
      <c r="D188" s="65" t="s">
        <v>356</v>
      </c>
      <c r="E188" s="65" t="s">
        <v>356</v>
      </c>
      <c r="F188" s="65" t="s">
        <v>356</v>
      </c>
      <c r="G188" s="65" t="s">
        <v>356</v>
      </c>
      <c r="H188" s="65" t="s">
        <v>356</v>
      </c>
      <c r="I188" s="65" t="s">
        <v>356</v>
      </c>
      <c r="K188" s="65" t="s">
        <v>2441</v>
      </c>
      <c r="L188" s="65" t="s">
        <v>356</v>
      </c>
      <c r="M188" s="65" t="s">
        <v>356</v>
      </c>
      <c r="N188" s="65" t="s">
        <v>356</v>
      </c>
      <c r="O188" s="65" t="s">
        <v>356</v>
      </c>
      <c r="P188" s="65" t="s">
        <v>356</v>
      </c>
      <c r="Q188" s="65" t="s">
        <v>356</v>
      </c>
      <c r="AK188" s="67" t="s">
        <v>1229</v>
      </c>
      <c r="AL188" s="67" t="s">
        <v>2441</v>
      </c>
      <c r="AM188" s="67" t="s">
        <v>435</v>
      </c>
      <c r="AN188" s="67" t="s">
        <v>435</v>
      </c>
      <c r="AO188" s="67" t="s">
        <v>435</v>
      </c>
      <c r="AP188" s="67" t="s">
        <v>435</v>
      </c>
      <c r="AQ188" s="67" t="s">
        <v>435</v>
      </c>
      <c r="AR188" s="67" t="s">
        <v>435</v>
      </c>
      <c r="AS188" s="67"/>
      <c r="AT188" s="67" t="s">
        <v>2441</v>
      </c>
      <c r="AU188" s="67" t="s">
        <v>435</v>
      </c>
      <c r="AV188" s="67" t="s">
        <v>435</v>
      </c>
      <c r="AW188" s="67" t="s">
        <v>435</v>
      </c>
      <c r="AX188" s="67" t="s">
        <v>435</v>
      </c>
      <c r="AY188" s="67" t="s">
        <v>435</v>
      </c>
      <c r="AZ188" s="67" t="s">
        <v>435</v>
      </c>
      <c r="BB188" s="70" t="s">
        <v>1292</v>
      </c>
      <c r="BC188" s="70" t="s">
        <v>2441</v>
      </c>
      <c r="BD188" s="70">
        <v>250</v>
      </c>
      <c r="BE188" s="70">
        <v>235</v>
      </c>
      <c r="BF188" s="70">
        <v>422</v>
      </c>
      <c r="BG188" s="70">
        <v>576</v>
      </c>
      <c r="BH188" s="70">
        <v>566</v>
      </c>
      <c r="BI188" s="70">
        <v>2049</v>
      </c>
      <c r="BJ188" s="70"/>
      <c r="BK188" s="70" t="s">
        <v>2441</v>
      </c>
      <c r="BL188" s="70">
        <v>22</v>
      </c>
      <c r="BM188" s="70">
        <v>0</v>
      </c>
      <c r="BN188" s="70">
        <v>0</v>
      </c>
      <c r="BO188" s="70">
        <v>0</v>
      </c>
      <c r="BP188" s="70">
        <v>0</v>
      </c>
      <c r="BQ188" s="70">
        <v>22</v>
      </c>
      <c r="BS188" s="21"/>
      <c r="CL188" s="57" t="s">
        <v>569</v>
      </c>
      <c r="CM188" s="57" t="s">
        <v>27</v>
      </c>
      <c r="CN188" s="57">
        <v>165</v>
      </c>
      <c r="CO188" s="57">
        <v>147</v>
      </c>
      <c r="CP188" s="57">
        <v>192</v>
      </c>
      <c r="CQ188" s="57">
        <v>223</v>
      </c>
      <c r="CR188" s="57">
        <v>208</v>
      </c>
      <c r="CS188" s="57">
        <v>935</v>
      </c>
      <c r="CT188" s="57"/>
      <c r="CU188" s="57" t="s">
        <v>27</v>
      </c>
      <c r="CV188" s="57">
        <v>16</v>
      </c>
      <c r="CW188" s="57">
        <v>0</v>
      </c>
      <c r="CX188" s="57">
        <v>0</v>
      </c>
      <c r="CY188" s="57">
        <v>0</v>
      </c>
      <c r="CZ188" s="57">
        <v>0</v>
      </c>
      <c r="DA188" s="57">
        <v>16</v>
      </c>
      <c r="EN188" s="57" t="s">
        <v>2013</v>
      </c>
      <c r="EO188" s="57" t="s">
        <v>2513</v>
      </c>
      <c r="EP188" s="57">
        <v>485</v>
      </c>
      <c r="EQ188" s="57">
        <v>578</v>
      </c>
      <c r="ER188" s="57">
        <v>514</v>
      </c>
      <c r="ES188" s="57">
        <v>557</v>
      </c>
      <c r="ET188" s="57">
        <v>577</v>
      </c>
      <c r="EU188" s="57">
        <v>2711</v>
      </c>
      <c r="EV188" s="57"/>
      <c r="EW188" s="57" t="s">
        <v>2513</v>
      </c>
      <c r="EX188" s="57">
        <v>36</v>
      </c>
      <c r="EY188" s="57">
        <v>7</v>
      </c>
      <c r="EZ188" s="57">
        <v>0</v>
      </c>
      <c r="FA188" s="57">
        <v>0</v>
      </c>
      <c r="FB188" s="57">
        <v>0</v>
      </c>
      <c r="FC188" s="57">
        <v>43</v>
      </c>
      <c r="FF188" s="71" t="s">
        <v>2041</v>
      </c>
      <c r="FG188" s="71" t="s">
        <v>811</v>
      </c>
      <c r="FH188" s="71">
        <v>210</v>
      </c>
      <c r="FI188" s="71">
        <v>317</v>
      </c>
      <c r="FJ188" s="71">
        <v>337</v>
      </c>
      <c r="FK188" s="71">
        <v>453</v>
      </c>
      <c r="FL188" s="71">
        <v>587</v>
      </c>
      <c r="FM188" s="71">
        <v>1904</v>
      </c>
      <c r="FN188" s="71"/>
      <c r="FO188" s="71" t="s">
        <v>811</v>
      </c>
      <c r="FP188" s="71">
        <v>15</v>
      </c>
      <c r="FQ188" s="71">
        <v>2</v>
      </c>
      <c r="FR188" s="71">
        <v>2</v>
      </c>
      <c r="FS188" s="71">
        <v>2</v>
      </c>
      <c r="FT188" s="71">
        <v>4</v>
      </c>
      <c r="FU188" s="71">
        <v>25</v>
      </c>
    </row>
    <row r="189" spans="1:177">
      <c r="B189" s="65" t="s">
        <v>974</v>
      </c>
      <c r="C189" s="65" t="s">
        <v>2441</v>
      </c>
      <c r="D189" s="65">
        <v>30</v>
      </c>
      <c r="E189" s="65">
        <v>45</v>
      </c>
      <c r="F189" s="65">
        <v>39</v>
      </c>
      <c r="G189" s="65">
        <v>63</v>
      </c>
      <c r="H189" s="65">
        <v>51</v>
      </c>
      <c r="I189" s="65">
        <v>228</v>
      </c>
      <c r="K189" s="65" t="s">
        <v>2441</v>
      </c>
      <c r="L189" s="65">
        <v>3</v>
      </c>
      <c r="M189" s="65">
        <v>0</v>
      </c>
      <c r="N189" s="65">
        <v>0</v>
      </c>
      <c r="O189" s="65">
        <v>0</v>
      </c>
      <c r="P189" s="65">
        <v>0</v>
      </c>
      <c r="Q189" s="65">
        <v>3</v>
      </c>
      <c r="AK189" s="67" t="s">
        <v>1234</v>
      </c>
      <c r="AL189" s="67" t="s">
        <v>2441</v>
      </c>
      <c r="AM189" s="67" t="s">
        <v>435</v>
      </c>
      <c r="AN189" s="67" t="s">
        <v>435</v>
      </c>
      <c r="AO189" s="67" t="s">
        <v>435</v>
      </c>
      <c r="AP189" s="67" t="s">
        <v>435</v>
      </c>
      <c r="AQ189" s="67" t="s">
        <v>435</v>
      </c>
      <c r="AR189" s="67" t="s">
        <v>435</v>
      </c>
      <c r="AS189" s="67"/>
      <c r="AT189" s="67" t="s">
        <v>2441</v>
      </c>
      <c r="AU189" s="67" t="s">
        <v>435</v>
      </c>
      <c r="AV189" s="67" t="s">
        <v>435</v>
      </c>
      <c r="AW189" s="67" t="s">
        <v>435</v>
      </c>
      <c r="AX189" s="67" t="s">
        <v>435</v>
      </c>
      <c r="AY189" s="67" t="s">
        <v>435</v>
      </c>
      <c r="AZ189" s="67" t="s">
        <v>435</v>
      </c>
      <c r="BB189" s="70" t="s">
        <v>1295</v>
      </c>
      <c r="BC189" s="70" t="s">
        <v>2441</v>
      </c>
      <c r="BD189" s="70">
        <v>398</v>
      </c>
      <c r="BE189" s="70">
        <v>251</v>
      </c>
      <c r="BF189" s="70">
        <v>376</v>
      </c>
      <c r="BG189" s="70">
        <v>419</v>
      </c>
      <c r="BH189" s="70">
        <v>385</v>
      </c>
      <c r="BI189" s="70">
        <v>1829</v>
      </c>
      <c r="BJ189" s="70"/>
      <c r="BK189" s="70" t="s">
        <v>2441</v>
      </c>
      <c r="BL189" s="70">
        <v>81</v>
      </c>
      <c r="BM189" s="70">
        <v>0</v>
      </c>
      <c r="BN189" s="70">
        <v>0</v>
      </c>
      <c r="BO189" s="70">
        <v>0</v>
      </c>
      <c r="BP189" s="70">
        <v>0</v>
      </c>
      <c r="BQ189" s="70">
        <v>81</v>
      </c>
      <c r="BS189" s="21"/>
      <c r="CL189" s="57" t="s">
        <v>592</v>
      </c>
      <c r="CM189" s="57" t="s">
        <v>27</v>
      </c>
      <c r="CN189" s="57">
        <v>44</v>
      </c>
      <c r="CO189" s="57">
        <v>45</v>
      </c>
      <c r="CP189" s="57">
        <v>60</v>
      </c>
      <c r="CQ189" s="57">
        <v>62</v>
      </c>
      <c r="CR189" s="57">
        <v>88</v>
      </c>
      <c r="CS189" s="57">
        <v>299</v>
      </c>
      <c r="CT189" s="57"/>
      <c r="CU189" s="57" t="s">
        <v>27</v>
      </c>
      <c r="CV189" s="57">
        <v>13</v>
      </c>
      <c r="CW189" s="57">
        <v>0</v>
      </c>
      <c r="CX189" s="57">
        <v>0</v>
      </c>
      <c r="CY189" s="57">
        <v>0</v>
      </c>
      <c r="CZ189" s="57">
        <v>0</v>
      </c>
      <c r="DA189" s="57">
        <v>13</v>
      </c>
      <c r="EN189" s="57" t="s">
        <v>2017</v>
      </c>
      <c r="EO189" s="57" t="s">
        <v>2513</v>
      </c>
      <c r="EP189" s="57">
        <v>385</v>
      </c>
      <c r="EQ189" s="57">
        <v>402</v>
      </c>
      <c r="ER189" s="57">
        <v>370</v>
      </c>
      <c r="ES189" s="57">
        <v>456</v>
      </c>
      <c r="ET189" s="57">
        <v>535</v>
      </c>
      <c r="EU189" s="57">
        <v>2148</v>
      </c>
      <c r="EV189" s="57"/>
      <c r="EW189" s="57" t="s">
        <v>2513</v>
      </c>
      <c r="EX189" s="57">
        <v>27</v>
      </c>
      <c r="EY189" s="57">
        <v>7</v>
      </c>
      <c r="EZ189" s="57">
        <v>5</v>
      </c>
      <c r="FA189" s="57">
        <v>5</v>
      </c>
      <c r="FB189" s="57">
        <v>7</v>
      </c>
      <c r="FC189" s="57">
        <v>51</v>
      </c>
      <c r="FF189" s="71" t="s">
        <v>2044</v>
      </c>
      <c r="FG189" s="71" t="s">
        <v>811</v>
      </c>
      <c r="FH189" s="71">
        <v>100</v>
      </c>
      <c r="FI189" s="71">
        <v>129</v>
      </c>
      <c r="FJ189" s="71">
        <v>197</v>
      </c>
      <c r="FK189" s="71">
        <v>272</v>
      </c>
      <c r="FL189" s="71">
        <v>382</v>
      </c>
      <c r="FM189" s="71">
        <v>1080</v>
      </c>
      <c r="FN189" s="71"/>
      <c r="FO189" s="71" t="s">
        <v>811</v>
      </c>
      <c r="FP189" s="71">
        <v>5</v>
      </c>
      <c r="FQ189" s="71">
        <v>5</v>
      </c>
      <c r="FR189" s="71">
        <v>2</v>
      </c>
      <c r="FS189" s="71">
        <v>1</v>
      </c>
      <c r="FT189" s="71">
        <v>1</v>
      </c>
      <c r="FU189" s="71">
        <v>14</v>
      </c>
    </row>
    <row r="190" spans="1:177">
      <c r="B190" s="65" t="s">
        <v>979</v>
      </c>
      <c r="C190" s="65" t="s">
        <v>2441</v>
      </c>
      <c r="D190" s="65">
        <v>326</v>
      </c>
      <c r="E190" s="65">
        <v>376</v>
      </c>
      <c r="F190" s="65">
        <v>418</v>
      </c>
      <c r="G190" s="65">
        <v>458</v>
      </c>
      <c r="H190" s="65">
        <v>330</v>
      </c>
      <c r="I190" s="65">
        <v>1908</v>
      </c>
      <c r="K190" s="65" t="s">
        <v>2441</v>
      </c>
      <c r="L190" s="65">
        <v>63</v>
      </c>
      <c r="M190" s="65">
        <v>3</v>
      </c>
      <c r="N190" s="65">
        <v>0</v>
      </c>
      <c r="O190" s="65">
        <v>0</v>
      </c>
      <c r="P190" s="65">
        <v>1</v>
      </c>
      <c r="Q190" s="65">
        <v>67</v>
      </c>
      <c r="AK190" s="67" t="s">
        <v>1237</v>
      </c>
      <c r="AL190" s="67" t="s">
        <v>2441</v>
      </c>
      <c r="AM190" s="67" t="s">
        <v>435</v>
      </c>
      <c r="AN190" s="67" t="s">
        <v>435</v>
      </c>
      <c r="AO190" s="67" t="s">
        <v>435</v>
      </c>
      <c r="AP190" s="67" t="s">
        <v>435</v>
      </c>
      <c r="AQ190" s="67" t="s">
        <v>435</v>
      </c>
      <c r="AR190" s="67" t="s">
        <v>435</v>
      </c>
      <c r="AS190" s="67"/>
      <c r="AT190" s="67" t="s">
        <v>2441</v>
      </c>
      <c r="AU190" s="67" t="s">
        <v>435</v>
      </c>
      <c r="AV190" s="67" t="s">
        <v>435</v>
      </c>
      <c r="AW190" s="67" t="s">
        <v>435</v>
      </c>
      <c r="AX190" s="67" t="s">
        <v>435</v>
      </c>
      <c r="AY190" s="67" t="s">
        <v>435</v>
      </c>
      <c r="AZ190" s="67" t="s">
        <v>435</v>
      </c>
      <c r="BB190" s="70" t="s">
        <v>1299</v>
      </c>
      <c r="BC190" s="70" t="s">
        <v>2441</v>
      </c>
      <c r="BD190" s="70">
        <v>187</v>
      </c>
      <c r="BE190" s="70">
        <v>239</v>
      </c>
      <c r="BF190" s="70">
        <v>466</v>
      </c>
      <c r="BG190" s="70">
        <v>640</v>
      </c>
      <c r="BH190" s="70">
        <v>484</v>
      </c>
      <c r="BI190" s="70">
        <v>2016</v>
      </c>
      <c r="BJ190" s="70"/>
      <c r="BK190" s="70" t="s">
        <v>2441</v>
      </c>
      <c r="BL190" s="70">
        <v>14</v>
      </c>
      <c r="BM190" s="70">
        <v>0</v>
      </c>
      <c r="BN190" s="70">
        <v>0</v>
      </c>
      <c r="BO190" s="70">
        <v>0</v>
      </c>
      <c r="BP190" s="70">
        <v>0</v>
      </c>
      <c r="BQ190" s="70">
        <v>14</v>
      </c>
      <c r="BS190" s="21"/>
      <c r="CL190" s="57" t="s">
        <v>571</v>
      </c>
      <c r="CM190" s="57" t="s">
        <v>27</v>
      </c>
      <c r="CN190" s="57">
        <v>134</v>
      </c>
      <c r="CO190" s="57">
        <v>87</v>
      </c>
      <c r="CP190" s="57">
        <v>197</v>
      </c>
      <c r="CQ190" s="57">
        <v>268</v>
      </c>
      <c r="CR190" s="57">
        <v>217</v>
      </c>
      <c r="CS190" s="57">
        <v>903</v>
      </c>
      <c r="CT190" s="57"/>
      <c r="CU190" s="57" t="s">
        <v>27</v>
      </c>
      <c r="CV190" s="57">
        <v>13</v>
      </c>
      <c r="CW190" s="57">
        <v>0</v>
      </c>
      <c r="CX190" s="57">
        <v>0</v>
      </c>
      <c r="CY190" s="57">
        <v>0</v>
      </c>
      <c r="CZ190" s="57">
        <v>0</v>
      </c>
      <c r="DA190" s="57">
        <v>13</v>
      </c>
      <c r="EN190" s="57" t="s">
        <v>2021</v>
      </c>
      <c r="EO190" s="57" t="s">
        <v>2513</v>
      </c>
      <c r="EP190" s="57">
        <v>226</v>
      </c>
      <c r="EQ190" s="57">
        <v>327</v>
      </c>
      <c r="ER190" s="57">
        <v>405</v>
      </c>
      <c r="ES190" s="57">
        <v>541</v>
      </c>
      <c r="ET190" s="57">
        <v>550</v>
      </c>
      <c r="EU190" s="57">
        <v>2049</v>
      </c>
      <c r="EV190" s="57"/>
      <c r="EW190" s="57" t="s">
        <v>2513</v>
      </c>
      <c r="EX190" s="57">
        <v>33</v>
      </c>
      <c r="EY190" s="57">
        <v>14</v>
      </c>
      <c r="EZ190" s="57">
        <v>12</v>
      </c>
      <c r="FA190" s="57">
        <v>5</v>
      </c>
      <c r="FB190" s="57">
        <v>1</v>
      </c>
      <c r="FC190" s="57">
        <v>65</v>
      </c>
      <c r="FF190" s="71" t="s">
        <v>2047</v>
      </c>
      <c r="FG190" s="71" t="s">
        <v>811</v>
      </c>
      <c r="FH190" s="71">
        <v>602</v>
      </c>
      <c r="FI190" s="71">
        <v>591</v>
      </c>
      <c r="FJ190" s="71">
        <v>563</v>
      </c>
      <c r="FK190" s="71">
        <v>591</v>
      </c>
      <c r="FL190" s="71">
        <v>774</v>
      </c>
      <c r="FM190" s="71">
        <v>3121</v>
      </c>
      <c r="FN190" s="71"/>
      <c r="FO190" s="71" t="s">
        <v>811</v>
      </c>
      <c r="FP190" s="71">
        <v>152</v>
      </c>
      <c r="FQ190" s="71">
        <v>51</v>
      </c>
      <c r="FR190" s="71">
        <v>13</v>
      </c>
      <c r="FS190" s="71">
        <v>11</v>
      </c>
      <c r="FT190" s="71">
        <v>4</v>
      </c>
      <c r="FU190" s="71">
        <v>231</v>
      </c>
    </row>
    <row r="191" spans="1:177">
      <c r="B191" s="65" t="s">
        <v>985</v>
      </c>
      <c r="C191" s="65" t="s">
        <v>2441</v>
      </c>
      <c r="D191" s="65">
        <v>236</v>
      </c>
      <c r="E191" s="65">
        <v>319</v>
      </c>
      <c r="F191" s="65">
        <v>387</v>
      </c>
      <c r="G191" s="65">
        <v>433</v>
      </c>
      <c r="H191" s="65">
        <v>289</v>
      </c>
      <c r="I191" s="65">
        <v>1664</v>
      </c>
      <c r="K191" s="65" t="s">
        <v>2441</v>
      </c>
      <c r="L191" s="65">
        <v>41</v>
      </c>
      <c r="M191" s="65">
        <v>5</v>
      </c>
      <c r="N191" s="65">
        <v>2</v>
      </c>
      <c r="O191" s="65">
        <v>0</v>
      </c>
      <c r="P191" s="65">
        <v>0</v>
      </c>
      <c r="Q191" s="65">
        <v>48</v>
      </c>
      <c r="AK191" s="67" t="s">
        <v>1240</v>
      </c>
      <c r="AL191" s="67" t="s">
        <v>2441</v>
      </c>
      <c r="AM191" s="67" t="s">
        <v>435</v>
      </c>
      <c r="AN191" s="67" t="s">
        <v>435</v>
      </c>
      <c r="AO191" s="67" t="s">
        <v>435</v>
      </c>
      <c r="AP191" s="67" t="s">
        <v>435</v>
      </c>
      <c r="AQ191" s="67" t="s">
        <v>435</v>
      </c>
      <c r="AR191" s="67" t="s">
        <v>435</v>
      </c>
      <c r="AS191" s="67"/>
      <c r="AT191" s="67" t="s">
        <v>2441</v>
      </c>
      <c r="AU191" s="67" t="s">
        <v>435</v>
      </c>
      <c r="AV191" s="67" t="s">
        <v>435</v>
      </c>
      <c r="AW191" s="67" t="s">
        <v>435</v>
      </c>
      <c r="AX191" s="67" t="s">
        <v>435</v>
      </c>
      <c r="AY191" s="67" t="s">
        <v>435</v>
      </c>
      <c r="AZ191" s="67" t="s">
        <v>435</v>
      </c>
      <c r="BB191" s="70" t="s">
        <v>1302</v>
      </c>
      <c r="BC191" s="70" t="s">
        <v>2441</v>
      </c>
      <c r="BD191" s="70">
        <v>155</v>
      </c>
      <c r="BE191" s="70">
        <v>151</v>
      </c>
      <c r="BF191" s="70">
        <v>295</v>
      </c>
      <c r="BG191" s="70">
        <v>400</v>
      </c>
      <c r="BH191" s="70">
        <v>385</v>
      </c>
      <c r="BI191" s="70">
        <v>1386</v>
      </c>
      <c r="BJ191" s="70"/>
      <c r="BK191" s="70" t="s">
        <v>2441</v>
      </c>
      <c r="BL191" s="70">
        <v>21</v>
      </c>
      <c r="BM191" s="70">
        <v>0</v>
      </c>
      <c r="BN191" s="70">
        <v>0</v>
      </c>
      <c r="BO191" s="70">
        <v>0</v>
      </c>
      <c r="BP191" s="70">
        <v>0</v>
      </c>
      <c r="BQ191" s="70">
        <v>21</v>
      </c>
      <c r="BS191" s="21"/>
      <c r="CL191" s="57" t="s">
        <v>574</v>
      </c>
      <c r="CM191" s="57" t="s">
        <v>27</v>
      </c>
      <c r="CN191" s="57">
        <v>224</v>
      </c>
      <c r="CO191" s="57">
        <v>361</v>
      </c>
      <c r="CP191" s="57">
        <v>515</v>
      </c>
      <c r="CQ191" s="57">
        <v>639</v>
      </c>
      <c r="CR191" s="57">
        <v>591</v>
      </c>
      <c r="CS191" s="57">
        <v>2330</v>
      </c>
      <c r="CT191" s="57"/>
      <c r="CU191" s="57" t="s">
        <v>27</v>
      </c>
      <c r="CV191" s="57">
        <v>8</v>
      </c>
      <c r="CW191" s="57">
        <v>0</v>
      </c>
      <c r="CX191" s="57">
        <v>0</v>
      </c>
      <c r="CY191" s="57">
        <v>0</v>
      </c>
      <c r="CZ191" s="57">
        <v>0</v>
      </c>
      <c r="DA191" s="57">
        <v>8</v>
      </c>
      <c r="EN191" s="57" t="s">
        <v>2024</v>
      </c>
      <c r="EO191" s="57" t="s">
        <v>2513</v>
      </c>
      <c r="EP191" s="57">
        <v>174</v>
      </c>
      <c r="EQ191" s="57">
        <v>234</v>
      </c>
      <c r="ER191" s="57">
        <v>299</v>
      </c>
      <c r="ES191" s="57">
        <v>397</v>
      </c>
      <c r="ET191" s="57">
        <v>530</v>
      </c>
      <c r="EU191" s="57">
        <v>1634</v>
      </c>
      <c r="EV191" s="57"/>
      <c r="EW191" s="57" t="s">
        <v>2513</v>
      </c>
      <c r="EX191" s="57">
        <v>31</v>
      </c>
      <c r="EY191" s="57">
        <v>4</v>
      </c>
      <c r="EZ191" s="57">
        <v>0</v>
      </c>
      <c r="FA191" s="57">
        <v>2</v>
      </c>
      <c r="FB191" s="57">
        <v>2</v>
      </c>
      <c r="FC191" s="57">
        <v>39</v>
      </c>
      <c r="FF191" s="71" t="s">
        <v>2050</v>
      </c>
      <c r="FG191" s="71" t="s">
        <v>811</v>
      </c>
      <c r="FH191" s="71">
        <v>137</v>
      </c>
      <c r="FI191" s="71">
        <v>233</v>
      </c>
      <c r="FJ191" s="71">
        <v>234</v>
      </c>
      <c r="FK191" s="71">
        <v>282</v>
      </c>
      <c r="FL191" s="71">
        <v>395</v>
      </c>
      <c r="FM191" s="71">
        <v>1281</v>
      </c>
      <c r="FN191" s="71"/>
      <c r="FO191" s="71" t="s">
        <v>811</v>
      </c>
      <c r="FP191" s="71">
        <v>18</v>
      </c>
      <c r="FQ191" s="71">
        <v>7</v>
      </c>
      <c r="FR191" s="71">
        <v>5</v>
      </c>
      <c r="FS191" s="71">
        <v>4</v>
      </c>
      <c r="FT191" s="71">
        <v>2</v>
      </c>
      <c r="FU191" s="71">
        <v>36</v>
      </c>
    </row>
    <row r="192" spans="1:177">
      <c r="B192" s="65" t="s">
        <v>989</v>
      </c>
      <c r="C192" s="65" t="s">
        <v>2441</v>
      </c>
      <c r="D192" s="65">
        <v>635</v>
      </c>
      <c r="E192" s="65">
        <v>576</v>
      </c>
      <c r="F192" s="65">
        <v>637</v>
      </c>
      <c r="G192" s="65">
        <v>595</v>
      </c>
      <c r="H192" s="65">
        <v>378</v>
      </c>
      <c r="I192" s="65">
        <v>2821</v>
      </c>
      <c r="K192" s="65" t="s">
        <v>2441</v>
      </c>
      <c r="L192" s="65">
        <v>106</v>
      </c>
      <c r="M192" s="65">
        <v>4</v>
      </c>
      <c r="N192" s="65">
        <v>1</v>
      </c>
      <c r="O192" s="65">
        <v>0</v>
      </c>
      <c r="P192" s="65">
        <v>0</v>
      </c>
      <c r="Q192" s="65">
        <v>111</v>
      </c>
      <c r="AK192" s="67" t="s">
        <v>2445</v>
      </c>
      <c r="AL192" s="67" t="s">
        <v>2441</v>
      </c>
      <c r="AM192" s="67">
        <v>292</v>
      </c>
      <c r="AN192" s="67">
        <v>575</v>
      </c>
      <c r="AO192" s="67">
        <v>776</v>
      </c>
      <c r="AP192" s="67">
        <v>860</v>
      </c>
      <c r="AQ192" s="67">
        <v>626</v>
      </c>
      <c r="AR192" s="67">
        <v>3129</v>
      </c>
      <c r="AS192" s="67"/>
      <c r="AT192" s="67" t="s">
        <v>2441</v>
      </c>
      <c r="AU192" s="67">
        <v>67</v>
      </c>
      <c r="AV192" s="67">
        <v>3</v>
      </c>
      <c r="AW192" s="67">
        <v>0</v>
      </c>
      <c r="AX192" s="67">
        <v>1</v>
      </c>
      <c r="AY192" s="67">
        <v>0</v>
      </c>
      <c r="AZ192" s="67">
        <v>71</v>
      </c>
      <c r="BB192" s="70" t="s">
        <v>1305</v>
      </c>
      <c r="BC192" s="70" t="s">
        <v>2441</v>
      </c>
      <c r="BD192" s="70">
        <v>247</v>
      </c>
      <c r="BE192" s="70">
        <v>242</v>
      </c>
      <c r="BF192" s="70">
        <v>286</v>
      </c>
      <c r="BG192" s="70">
        <v>316</v>
      </c>
      <c r="BH192" s="70">
        <v>254</v>
      </c>
      <c r="BI192" s="70">
        <v>1345</v>
      </c>
      <c r="BJ192" s="70"/>
      <c r="BK192" s="70" t="s">
        <v>2441</v>
      </c>
      <c r="BL192" s="70">
        <v>52</v>
      </c>
      <c r="BM192" s="70">
        <v>0</v>
      </c>
      <c r="BN192" s="70">
        <v>0</v>
      </c>
      <c r="BO192" s="70">
        <v>0</v>
      </c>
      <c r="BP192" s="70">
        <v>0</v>
      </c>
      <c r="BQ192" s="70">
        <v>52</v>
      </c>
      <c r="BS192" s="21"/>
      <c r="CL192" s="57" t="s">
        <v>565</v>
      </c>
      <c r="CM192" s="57" t="s">
        <v>27</v>
      </c>
      <c r="CN192" s="57">
        <v>259</v>
      </c>
      <c r="CO192" s="57">
        <v>100</v>
      </c>
      <c r="CP192" s="57">
        <v>139</v>
      </c>
      <c r="CQ192" s="57">
        <v>232</v>
      </c>
      <c r="CR192" s="57">
        <v>286</v>
      </c>
      <c r="CS192" s="57">
        <v>1016</v>
      </c>
      <c r="CT192" s="57"/>
      <c r="CU192" s="57" t="s">
        <v>27</v>
      </c>
      <c r="CV192" s="57">
        <v>65</v>
      </c>
      <c r="CW192" s="57">
        <v>0</v>
      </c>
      <c r="CX192" s="57">
        <v>0</v>
      </c>
      <c r="CY192" s="57">
        <v>0</v>
      </c>
      <c r="CZ192" s="57">
        <v>0</v>
      </c>
      <c r="DA192" s="57">
        <v>65</v>
      </c>
      <c r="EN192" s="57" t="s">
        <v>2027</v>
      </c>
      <c r="EO192" s="57" t="s">
        <v>2513</v>
      </c>
      <c r="EP192" s="57">
        <v>228</v>
      </c>
      <c r="EQ192" s="57">
        <v>322</v>
      </c>
      <c r="ER192" s="57">
        <v>428</v>
      </c>
      <c r="ES192" s="57">
        <v>498</v>
      </c>
      <c r="ET192" s="57">
        <v>564</v>
      </c>
      <c r="EU192" s="57">
        <v>2040</v>
      </c>
      <c r="EV192" s="57"/>
      <c r="EW192" s="57" t="s">
        <v>2513</v>
      </c>
      <c r="EX192" s="57">
        <v>44</v>
      </c>
      <c r="EY192" s="57">
        <v>10</v>
      </c>
      <c r="EZ192" s="57">
        <v>13</v>
      </c>
      <c r="FA192" s="57">
        <v>8</v>
      </c>
      <c r="FB192" s="57">
        <v>8</v>
      </c>
      <c r="FC192" s="57">
        <v>83</v>
      </c>
      <c r="FF192" s="71" t="s">
        <v>2052</v>
      </c>
      <c r="FG192" s="71" t="s">
        <v>811</v>
      </c>
      <c r="FH192" s="71">
        <v>273</v>
      </c>
      <c r="FI192" s="71">
        <v>290</v>
      </c>
      <c r="FJ192" s="71">
        <v>246</v>
      </c>
      <c r="FK192" s="71">
        <v>339</v>
      </c>
      <c r="FL192" s="71">
        <v>410</v>
      </c>
      <c r="FM192" s="71">
        <v>1558</v>
      </c>
      <c r="FN192" s="71"/>
      <c r="FO192" s="71" t="s">
        <v>811</v>
      </c>
      <c r="FP192" s="71">
        <v>45</v>
      </c>
      <c r="FQ192" s="71">
        <v>14</v>
      </c>
      <c r="FR192" s="71">
        <v>3</v>
      </c>
      <c r="FS192" s="71">
        <v>0</v>
      </c>
      <c r="FT192" s="71">
        <v>0</v>
      </c>
      <c r="FU192" s="71">
        <v>62</v>
      </c>
    </row>
    <row r="193" spans="2:177">
      <c r="B193" s="65" t="s">
        <v>994</v>
      </c>
      <c r="C193" s="65" t="s">
        <v>2441</v>
      </c>
      <c r="D193" s="65">
        <v>481</v>
      </c>
      <c r="E193" s="65">
        <v>459</v>
      </c>
      <c r="F193" s="65">
        <v>547</v>
      </c>
      <c r="G193" s="65">
        <v>620</v>
      </c>
      <c r="H193" s="65">
        <v>380</v>
      </c>
      <c r="I193" s="65">
        <v>2487</v>
      </c>
      <c r="K193" s="65" t="s">
        <v>2441</v>
      </c>
      <c r="L193" s="65">
        <v>84</v>
      </c>
      <c r="M193" s="65">
        <v>5</v>
      </c>
      <c r="N193" s="65">
        <v>0</v>
      </c>
      <c r="O193" s="65">
        <v>0</v>
      </c>
      <c r="P193" s="65">
        <v>0</v>
      </c>
      <c r="Q193" s="65">
        <v>89</v>
      </c>
      <c r="AK193" s="67" t="s">
        <v>2446</v>
      </c>
      <c r="AL193" s="67" t="s">
        <v>2441</v>
      </c>
      <c r="AM193" s="67">
        <v>217</v>
      </c>
      <c r="AN193" s="67">
        <v>224</v>
      </c>
      <c r="AO193" s="67">
        <v>430</v>
      </c>
      <c r="AP193" s="67">
        <v>495</v>
      </c>
      <c r="AQ193" s="67">
        <v>471</v>
      </c>
      <c r="AR193" s="67">
        <v>1837</v>
      </c>
      <c r="AS193" s="67"/>
      <c r="AT193" s="67" t="s">
        <v>2441</v>
      </c>
      <c r="AU193" s="67">
        <v>52</v>
      </c>
      <c r="AV193" s="67">
        <v>2</v>
      </c>
      <c r="AW193" s="67">
        <v>0</v>
      </c>
      <c r="AX193" s="67">
        <v>0</v>
      </c>
      <c r="AY193" s="67">
        <v>0</v>
      </c>
      <c r="AZ193" s="67">
        <v>54</v>
      </c>
      <c r="BB193" s="70" t="s">
        <v>1308</v>
      </c>
      <c r="BC193" s="70" t="s">
        <v>2441</v>
      </c>
      <c r="BD193" s="70">
        <v>309</v>
      </c>
      <c r="BE193" s="70">
        <v>226</v>
      </c>
      <c r="BF193" s="70">
        <v>322</v>
      </c>
      <c r="BG193" s="70">
        <v>341</v>
      </c>
      <c r="BH193" s="70">
        <v>270</v>
      </c>
      <c r="BI193" s="70">
        <v>1468</v>
      </c>
      <c r="BJ193" s="70"/>
      <c r="BK193" s="70" t="s">
        <v>2441</v>
      </c>
      <c r="BL193" s="70">
        <v>20</v>
      </c>
      <c r="BM193" s="70">
        <v>0</v>
      </c>
      <c r="BN193" s="70">
        <v>0</v>
      </c>
      <c r="BO193" s="70">
        <v>0</v>
      </c>
      <c r="BP193" s="70">
        <v>0</v>
      </c>
      <c r="BQ193" s="70">
        <v>20</v>
      </c>
      <c r="BS193" s="21"/>
      <c r="CL193" s="57" t="s">
        <v>578</v>
      </c>
      <c r="CM193" s="57" t="s">
        <v>27</v>
      </c>
      <c r="CN193" s="57">
        <v>76</v>
      </c>
      <c r="CO193" s="57">
        <v>96</v>
      </c>
      <c r="CP193" s="57">
        <v>164</v>
      </c>
      <c r="CQ193" s="57">
        <v>211</v>
      </c>
      <c r="CR193" s="57">
        <v>219</v>
      </c>
      <c r="CS193" s="57">
        <v>766</v>
      </c>
      <c r="CT193" s="57"/>
      <c r="CU193" s="57" t="s">
        <v>27</v>
      </c>
      <c r="CV193" s="57">
        <v>15</v>
      </c>
      <c r="CW193" s="57">
        <v>0</v>
      </c>
      <c r="CX193" s="57">
        <v>0</v>
      </c>
      <c r="CY193" s="57">
        <v>0</v>
      </c>
      <c r="CZ193" s="57">
        <v>0</v>
      </c>
      <c r="DA193" s="57">
        <v>15</v>
      </c>
      <c r="EN193" s="57" t="s">
        <v>2030</v>
      </c>
      <c r="EO193" s="57" t="s">
        <v>2513</v>
      </c>
      <c r="EP193" s="57">
        <v>59</v>
      </c>
      <c r="EQ193" s="57">
        <v>132</v>
      </c>
      <c r="ER193" s="57">
        <v>158</v>
      </c>
      <c r="ES193" s="57">
        <v>270</v>
      </c>
      <c r="ET193" s="57">
        <v>305</v>
      </c>
      <c r="EU193" s="57">
        <v>924</v>
      </c>
      <c r="EV193" s="57"/>
      <c r="EW193" s="57" t="s">
        <v>2513</v>
      </c>
      <c r="EX193" s="57">
        <v>5</v>
      </c>
      <c r="EY193" s="57">
        <v>3</v>
      </c>
      <c r="EZ193" s="57">
        <v>0</v>
      </c>
      <c r="FA193" s="57">
        <v>2</v>
      </c>
      <c r="FB193" s="57">
        <v>1</v>
      </c>
      <c r="FC193" s="57">
        <v>11</v>
      </c>
      <c r="FF193" s="71" t="s">
        <v>2054</v>
      </c>
      <c r="FG193" s="71" t="s">
        <v>811</v>
      </c>
      <c r="FH193" s="71">
        <v>272</v>
      </c>
      <c r="FI193" s="71">
        <v>366</v>
      </c>
      <c r="FJ193" s="71">
        <v>319</v>
      </c>
      <c r="FK193" s="71">
        <v>427</v>
      </c>
      <c r="FL193" s="71">
        <v>541</v>
      </c>
      <c r="FM193" s="71">
        <v>1925</v>
      </c>
      <c r="FN193" s="71"/>
      <c r="FO193" s="71" t="s">
        <v>811</v>
      </c>
      <c r="FP193" s="71">
        <v>64</v>
      </c>
      <c r="FQ193" s="71">
        <v>16</v>
      </c>
      <c r="FR193" s="71">
        <v>6</v>
      </c>
      <c r="FS193" s="71">
        <v>2</v>
      </c>
      <c r="FT193" s="71">
        <v>8</v>
      </c>
      <c r="FU193" s="71">
        <v>96</v>
      </c>
    </row>
    <row r="194" spans="2:177">
      <c r="B194" s="65" t="s">
        <v>1002</v>
      </c>
      <c r="C194" s="65" t="s">
        <v>2441</v>
      </c>
      <c r="D194" s="65">
        <v>128</v>
      </c>
      <c r="E194" s="65">
        <v>191</v>
      </c>
      <c r="F194" s="65">
        <v>296</v>
      </c>
      <c r="G194" s="65">
        <v>310</v>
      </c>
      <c r="H194" s="65">
        <v>259</v>
      </c>
      <c r="I194" s="65">
        <v>1184</v>
      </c>
      <c r="K194" s="65" t="s">
        <v>2441</v>
      </c>
      <c r="L194" s="65">
        <v>17</v>
      </c>
      <c r="M194" s="65">
        <v>2</v>
      </c>
      <c r="N194" s="65">
        <v>3</v>
      </c>
      <c r="O194" s="65">
        <v>0</v>
      </c>
      <c r="P194" s="65">
        <v>0</v>
      </c>
      <c r="Q194" s="65">
        <v>22</v>
      </c>
      <c r="AK194" s="67" t="s">
        <v>2447</v>
      </c>
      <c r="AL194" s="67" t="s">
        <v>2441</v>
      </c>
      <c r="AM194" s="67">
        <v>562</v>
      </c>
      <c r="AN194" s="67">
        <v>368</v>
      </c>
      <c r="AO194" s="67">
        <v>475</v>
      </c>
      <c r="AP194" s="67">
        <v>502</v>
      </c>
      <c r="AQ194" s="67">
        <v>395</v>
      </c>
      <c r="AR194" s="67">
        <v>2302</v>
      </c>
      <c r="AS194" s="67"/>
      <c r="AT194" s="67" t="s">
        <v>2441</v>
      </c>
      <c r="AU194" s="67">
        <v>76</v>
      </c>
      <c r="AV194" s="67">
        <v>4</v>
      </c>
      <c r="AW194" s="67">
        <v>2</v>
      </c>
      <c r="AX194" s="67">
        <v>0</v>
      </c>
      <c r="AY194" s="67">
        <v>0</v>
      </c>
      <c r="AZ194" s="67">
        <v>82</v>
      </c>
      <c r="BB194" s="70" t="s">
        <v>1312</v>
      </c>
      <c r="BC194" s="70" t="s">
        <v>2441</v>
      </c>
      <c r="BD194" s="70">
        <v>508</v>
      </c>
      <c r="BE194" s="70">
        <v>347</v>
      </c>
      <c r="BF194" s="70">
        <v>412</v>
      </c>
      <c r="BG194" s="70">
        <v>530</v>
      </c>
      <c r="BH194" s="70">
        <v>396</v>
      </c>
      <c r="BI194" s="70">
        <v>2193</v>
      </c>
      <c r="BJ194" s="70"/>
      <c r="BK194" s="70" t="s">
        <v>2441</v>
      </c>
      <c r="BL194" s="70">
        <v>49</v>
      </c>
      <c r="BM194" s="70">
        <v>0</v>
      </c>
      <c r="BN194" s="70">
        <v>0</v>
      </c>
      <c r="BO194" s="70">
        <v>0</v>
      </c>
      <c r="BP194" s="70">
        <v>0</v>
      </c>
      <c r="BQ194" s="70">
        <v>49</v>
      </c>
      <c r="BS194" s="21"/>
      <c r="CL194" s="57" t="s">
        <v>582</v>
      </c>
      <c r="CM194" s="57" t="s">
        <v>27</v>
      </c>
      <c r="CN194" s="57">
        <v>189</v>
      </c>
      <c r="CO194" s="57">
        <v>82</v>
      </c>
      <c r="CP194" s="57">
        <v>171</v>
      </c>
      <c r="CQ194" s="57">
        <v>159</v>
      </c>
      <c r="CR194" s="57">
        <v>192</v>
      </c>
      <c r="CS194" s="57">
        <v>793</v>
      </c>
      <c r="CT194" s="57"/>
      <c r="CU194" s="57" t="s">
        <v>27</v>
      </c>
      <c r="CV194" s="57">
        <v>53</v>
      </c>
      <c r="CW194" s="57">
        <v>0</v>
      </c>
      <c r="CX194" s="57">
        <v>0</v>
      </c>
      <c r="CY194" s="57">
        <v>0</v>
      </c>
      <c r="CZ194" s="57">
        <v>0</v>
      </c>
      <c r="DA194" s="57">
        <v>53</v>
      </c>
      <c r="FF194" s="71" t="s">
        <v>2056</v>
      </c>
      <c r="FG194" s="71" t="s">
        <v>811</v>
      </c>
      <c r="FH194" s="71">
        <v>246</v>
      </c>
      <c r="FI194" s="71">
        <v>328</v>
      </c>
      <c r="FJ194" s="71">
        <v>348</v>
      </c>
      <c r="FK194" s="71">
        <v>421</v>
      </c>
      <c r="FL194" s="71">
        <v>532</v>
      </c>
      <c r="FM194" s="71">
        <v>1875</v>
      </c>
      <c r="FN194" s="71"/>
      <c r="FO194" s="71" t="s">
        <v>811</v>
      </c>
      <c r="FP194" s="71">
        <v>39</v>
      </c>
      <c r="FQ194" s="71">
        <v>13</v>
      </c>
      <c r="FR194" s="71">
        <v>9</v>
      </c>
      <c r="FS194" s="71">
        <v>4</v>
      </c>
      <c r="FT194" s="71">
        <v>6</v>
      </c>
      <c r="FU194" s="71">
        <v>71</v>
      </c>
    </row>
    <row r="195" spans="2:177">
      <c r="B195" s="65" t="s">
        <v>1007</v>
      </c>
      <c r="C195" s="65" t="s">
        <v>2441</v>
      </c>
      <c r="D195" s="65">
        <v>195</v>
      </c>
      <c r="E195" s="65">
        <v>245</v>
      </c>
      <c r="F195" s="65">
        <v>381</v>
      </c>
      <c r="G195" s="65">
        <v>418</v>
      </c>
      <c r="H195" s="65">
        <v>364</v>
      </c>
      <c r="I195" s="65">
        <v>1603</v>
      </c>
      <c r="K195" s="65" t="s">
        <v>2441</v>
      </c>
      <c r="L195" s="65">
        <v>29</v>
      </c>
      <c r="M195" s="65">
        <v>1</v>
      </c>
      <c r="N195" s="65">
        <v>1</v>
      </c>
      <c r="O195" s="65">
        <v>0</v>
      </c>
      <c r="P195" s="65">
        <v>0</v>
      </c>
      <c r="Q195" s="65">
        <v>31</v>
      </c>
      <c r="AK195" s="67" t="s">
        <v>2448</v>
      </c>
      <c r="AL195" s="67" t="s">
        <v>2441</v>
      </c>
      <c r="AM195" s="67">
        <v>260</v>
      </c>
      <c r="AN195" s="67">
        <v>301</v>
      </c>
      <c r="AO195" s="67">
        <v>473</v>
      </c>
      <c r="AP195" s="67">
        <v>582</v>
      </c>
      <c r="AQ195" s="67">
        <v>471</v>
      </c>
      <c r="AR195" s="67">
        <v>2087</v>
      </c>
      <c r="AS195" s="67"/>
      <c r="AT195" s="67" t="s">
        <v>2441</v>
      </c>
      <c r="AU195" s="67">
        <v>32</v>
      </c>
      <c r="AV195" s="67">
        <v>7</v>
      </c>
      <c r="AW195" s="67">
        <v>2</v>
      </c>
      <c r="AX195" s="67">
        <v>1</v>
      </c>
      <c r="AY195" s="67">
        <v>0</v>
      </c>
      <c r="AZ195" s="67">
        <v>42</v>
      </c>
      <c r="BB195" s="70" t="s">
        <v>1314</v>
      </c>
      <c r="BC195" s="70" t="s">
        <v>2441</v>
      </c>
      <c r="BD195" s="70">
        <v>583</v>
      </c>
      <c r="BE195" s="70">
        <v>398</v>
      </c>
      <c r="BF195" s="70">
        <v>546</v>
      </c>
      <c r="BG195" s="70">
        <v>645</v>
      </c>
      <c r="BH195" s="70">
        <v>543</v>
      </c>
      <c r="BI195" s="70">
        <v>2715</v>
      </c>
      <c r="BJ195" s="70"/>
      <c r="BK195" s="70" t="s">
        <v>2441</v>
      </c>
      <c r="BL195" s="70">
        <v>22</v>
      </c>
      <c r="BM195" s="70">
        <v>0</v>
      </c>
      <c r="BN195" s="70">
        <v>0</v>
      </c>
      <c r="BO195" s="70">
        <v>0</v>
      </c>
      <c r="BP195" s="70">
        <v>0</v>
      </c>
      <c r="BQ195" s="70">
        <v>22</v>
      </c>
      <c r="BS195" s="21"/>
      <c r="CL195" s="57" t="s">
        <v>626</v>
      </c>
      <c r="CM195" s="57" t="s">
        <v>27</v>
      </c>
      <c r="CN195" s="57">
        <v>42</v>
      </c>
      <c r="CO195" s="57">
        <v>38</v>
      </c>
      <c r="CP195" s="57">
        <v>73</v>
      </c>
      <c r="CQ195" s="57">
        <v>97</v>
      </c>
      <c r="CR195" s="57">
        <v>113</v>
      </c>
      <c r="CS195" s="57">
        <v>363</v>
      </c>
      <c r="CT195" s="57"/>
      <c r="CU195" s="57" t="s">
        <v>27</v>
      </c>
      <c r="CV195" s="57">
        <v>11</v>
      </c>
      <c r="CW195" s="57">
        <v>0</v>
      </c>
      <c r="CX195" s="57">
        <v>0</v>
      </c>
      <c r="CY195" s="57">
        <v>0</v>
      </c>
      <c r="CZ195" s="57">
        <v>0</v>
      </c>
      <c r="DA195" s="57">
        <v>11</v>
      </c>
      <c r="FF195" s="71" t="s">
        <v>2058</v>
      </c>
      <c r="FG195" s="71" t="s">
        <v>811</v>
      </c>
      <c r="FH195" s="71">
        <v>421</v>
      </c>
      <c r="FI195" s="71">
        <v>489</v>
      </c>
      <c r="FJ195" s="71">
        <v>516</v>
      </c>
      <c r="FK195" s="71">
        <v>572</v>
      </c>
      <c r="FL195" s="71">
        <v>602</v>
      </c>
      <c r="FM195" s="71">
        <v>2600</v>
      </c>
      <c r="FN195" s="71"/>
      <c r="FO195" s="71" t="s">
        <v>811</v>
      </c>
      <c r="FP195" s="71">
        <v>48</v>
      </c>
      <c r="FQ195" s="71">
        <v>6</v>
      </c>
      <c r="FR195" s="71">
        <v>0</v>
      </c>
      <c r="FS195" s="71">
        <v>0</v>
      </c>
      <c r="FT195" s="71">
        <v>0</v>
      </c>
      <c r="FU195" s="71">
        <v>54</v>
      </c>
    </row>
    <row r="196" spans="2:177">
      <c r="B196" s="65" t="s">
        <v>1013</v>
      </c>
      <c r="C196" s="65" t="s">
        <v>2441</v>
      </c>
      <c r="D196" s="65">
        <v>78</v>
      </c>
      <c r="E196" s="65">
        <v>173</v>
      </c>
      <c r="F196" s="65">
        <v>248</v>
      </c>
      <c r="G196" s="65">
        <v>348</v>
      </c>
      <c r="H196" s="65">
        <v>267</v>
      </c>
      <c r="I196" s="65">
        <v>1114</v>
      </c>
      <c r="K196" s="65" t="s">
        <v>2441</v>
      </c>
      <c r="L196" s="65">
        <v>10</v>
      </c>
      <c r="M196" s="65">
        <v>2</v>
      </c>
      <c r="N196" s="65">
        <v>1</v>
      </c>
      <c r="O196" s="65">
        <v>0</v>
      </c>
      <c r="P196" s="65">
        <v>0</v>
      </c>
      <c r="Q196" s="65">
        <v>13</v>
      </c>
      <c r="AK196" s="67" t="s">
        <v>2449</v>
      </c>
      <c r="AL196" s="67" t="s">
        <v>2441</v>
      </c>
      <c r="AM196" s="67">
        <v>1075</v>
      </c>
      <c r="AN196" s="67">
        <v>463</v>
      </c>
      <c r="AO196" s="67">
        <v>486</v>
      </c>
      <c r="AP196" s="67">
        <v>496</v>
      </c>
      <c r="AQ196" s="67">
        <v>456</v>
      </c>
      <c r="AR196" s="67">
        <v>2976</v>
      </c>
      <c r="AS196" s="67"/>
      <c r="AT196" s="67" t="s">
        <v>2441</v>
      </c>
      <c r="AU196" s="67">
        <v>72</v>
      </c>
      <c r="AV196" s="67">
        <v>0</v>
      </c>
      <c r="AW196" s="67">
        <v>0</v>
      </c>
      <c r="AX196" s="67">
        <v>0</v>
      </c>
      <c r="AY196" s="67">
        <v>0</v>
      </c>
      <c r="AZ196" s="67">
        <v>72</v>
      </c>
      <c r="BB196" s="70" t="s">
        <v>1317</v>
      </c>
      <c r="BC196" s="70" t="s">
        <v>2441</v>
      </c>
      <c r="BD196" s="70">
        <v>135</v>
      </c>
      <c r="BE196" s="70">
        <v>222</v>
      </c>
      <c r="BF196" s="70">
        <v>389</v>
      </c>
      <c r="BG196" s="70">
        <v>559</v>
      </c>
      <c r="BH196" s="70">
        <v>463</v>
      </c>
      <c r="BI196" s="70">
        <v>1768</v>
      </c>
      <c r="BJ196" s="70"/>
      <c r="BK196" s="70" t="s">
        <v>2441</v>
      </c>
      <c r="BL196" s="70">
        <v>20</v>
      </c>
      <c r="BM196" s="70">
        <v>0</v>
      </c>
      <c r="BN196" s="70">
        <v>0</v>
      </c>
      <c r="BO196" s="70">
        <v>0</v>
      </c>
      <c r="BP196" s="70">
        <v>0</v>
      </c>
      <c r="BQ196" s="70">
        <v>20</v>
      </c>
      <c r="BS196" s="21"/>
      <c r="CL196" s="57" t="s">
        <v>628</v>
      </c>
      <c r="CM196" s="57" t="s">
        <v>27</v>
      </c>
      <c r="CN196" s="57">
        <v>56</v>
      </c>
      <c r="CO196" s="57">
        <v>52</v>
      </c>
      <c r="CP196" s="57">
        <v>127</v>
      </c>
      <c r="CQ196" s="57">
        <v>163</v>
      </c>
      <c r="CR196" s="57">
        <v>182</v>
      </c>
      <c r="CS196" s="57">
        <v>580</v>
      </c>
      <c r="CT196" s="57"/>
      <c r="CU196" s="57" t="s">
        <v>27</v>
      </c>
      <c r="CV196" s="57">
        <v>16</v>
      </c>
      <c r="CW196" s="57">
        <v>0</v>
      </c>
      <c r="CX196" s="57">
        <v>0</v>
      </c>
      <c r="CY196" s="57">
        <v>0</v>
      </c>
      <c r="CZ196" s="57">
        <v>0</v>
      </c>
      <c r="DA196" s="57">
        <v>16</v>
      </c>
      <c r="FF196" s="71" t="s">
        <v>2060</v>
      </c>
      <c r="FG196" s="71" t="s">
        <v>811</v>
      </c>
      <c r="FH196" s="71">
        <v>2143</v>
      </c>
      <c r="FI196" s="71">
        <v>1493</v>
      </c>
      <c r="FJ196" s="71">
        <v>897</v>
      </c>
      <c r="FK196" s="71">
        <v>787</v>
      </c>
      <c r="FL196" s="71">
        <v>1007</v>
      </c>
      <c r="FM196" s="71">
        <v>6327</v>
      </c>
      <c r="FN196" s="71"/>
      <c r="FO196" s="71" t="s">
        <v>811</v>
      </c>
      <c r="FP196" s="71">
        <v>389</v>
      </c>
      <c r="FQ196" s="71">
        <v>73</v>
      </c>
      <c r="FR196" s="71">
        <v>0</v>
      </c>
      <c r="FS196" s="71">
        <v>0</v>
      </c>
      <c r="FT196" s="71">
        <v>0</v>
      </c>
      <c r="FU196" s="71">
        <v>462</v>
      </c>
    </row>
    <row r="197" spans="2:177">
      <c r="B197" s="65" t="s">
        <v>1018</v>
      </c>
      <c r="C197" s="65" t="s">
        <v>2441</v>
      </c>
      <c r="D197" s="65">
        <v>51</v>
      </c>
      <c r="E197" s="65">
        <v>118</v>
      </c>
      <c r="F197" s="65">
        <v>166</v>
      </c>
      <c r="G197" s="65">
        <v>305</v>
      </c>
      <c r="H197" s="65">
        <v>254</v>
      </c>
      <c r="I197" s="65">
        <v>894</v>
      </c>
      <c r="K197" s="65" t="s">
        <v>2441</v>
      </c>
      <c r="L197" s="65">
        <v>3</v>
      </c>
      <c r="M197" s="65">
        <v>2</v>
      </c>
      <c r="N197" s="65">
        <v>1</v>
      </c>
      <c r="O197" s="65">
        <v>0</v>
      </c>
      <c r="P197" s="65">
        <v>0</v>
      </c>
      <c r="Q197" s="65">
        <v>6</v>
      </c>
      <c r="AK197" s="67" t="s">
        <v>1269</v>
      </c>
      <c r="AL197" s="67" t="s">
        <v>2441</v>
      </c>
      <c r="AM197" s="67">
        <v>233</v>
      </c>
      <c r="AN197" s="67">
        <v>354</v>
      </c>
      <c r="AO197" s="67">
        <v>457</v>
      </c>
      <c r="AP197" s="67">
        <v>579</v>
      </c>
      <c r="AQ197" s="67">
        <v>471</v>
      </c>
      <c r="AR197" s="67">
        <v>2094</v>
      </c>
      <c r="AS197" s="67"/>
      <c r="AT197" s="67" t="s">
        <v>2441</v>
      </c>
      <c r="AU197" s="67">
        <v>31</v>
      </c>
      <c r="AV197" s="67">
        <v>7</v>
      </c>
      <c r="AW197" s="67">
        <v>0</v>
      </c>
      <c r="AX197" s="67">
        <v>1</v>
      </c>
      <c r="AY197" s="67">
        <v>0</v>
      </c>
      <c r="AZ197" s="67">
        <v>39</v>
      </c>
      <c r="BB197" s="70" t="s">
        <v>1320</v>
      </c>
      <c r="BC197" s="70" t="s">
        <v>2441</v>
      </c>
      <c r="BD197" s="70">
        <v>191</v>
      </c>
      <c r="BE197" s="70">
        <v>117</v>
      </c>
      <c r="BF197" s="70">
        <v>145</v>
      </c>
      <c r="BG197" s="70">
        <v>193</v>
      </c>
      <c r="BH197" s="70">
        <v>203</v>
      </c>
      <c r="BI197" s="70">
        <v>849</v>
      </c>
      <c r="BJ197" s="70"/>
      <c r="BK197" s="70" t="s">
        <v>2441</v>
      </c>
      <c r="BL197" s="70">
        <v>31</v>
      </c>
      <c r="BM197" s="70">
        <v>0</v>
      </c>
      <c r="BN197" s="70">
        <v>0</v>
      </c>
      <c r="BO197" s="70">
        <v>0</v>
      </c>
      <c r="BP197" s="70">
        <v>0</v>
      </c>
      <c r="BQ197" s="70">
        <v>31</v>
      </c>
      <c r="BS197" s="21"/>
      <c r="CL197" s="57" t="s">
        <v>632</v>
      </c>
      <c r="CM197" s="57" t="s">
        <v>27</v>
      </c>
      <c r="CN197" s="57">
        <v>57</v>
      </c>
      <c r="CO197" s="57">
        <v>101</v>
      </c>
      <c r="CP197" s="57">
        <v>144</v>
      </c>
      <c r="CQ197" s="57">
        <v>186</v>
      </c>
      <c r="CR197" s="57">
        <v>166</v>
      </c>
      <c r="CS197" s="57">
        <v>654</v>
      </c>
      <c r="CT197" s="57"/>
      <c r="CU197" s="57" t="s">
        <v>27</v>
      </c>
      <c r="CV197" s="57">
        <v>3</v>
      </c>
      <c r="CW197" s="57">
        <v>0</v>
      </c>
      <c r="CX197" s="57">
        <v>0</v>
      </c>
      <c r="CY197" s="57">
        <v>0</v>
      </c>
      <c r="CZ197" s="57">
        <v>0</v>
      </c>
      <c r="DA197" s="57">
        <v>3</v>
      </c>
      <c r="FF197" s="71" t="s">
        <v>2063</v>
      </c>
      <c r="FG197" s="71" t="s">
        <v>811</v>
      </c>
      <c r="FH197" s="71">
        <v>248</v>
      </c>
      <c r="FI197" s="71">
        <v>402</v>
      </c>
      <c r="FJ197" s="71">
        <v>542</v>
      </c>
      <c r="FK197" s="71">
        <v>554</v>
      </c>
      <c r="FL197" s="71">
        <v>626</v>
      </c>
      <c r="FM197" s="71">
        <v>2372</v>
      </c>
      <c r="FN197" s="71"/>
      <c r="FO197" s="71" t="s">
        <v>811</v>
      </c>
      <c r="FP197" s="71">
        <v>46</v>
      </c>
      <c r="FQ197" s="71">
        <v>6</v>
      </c>
      <c r="FR197" s="71">
        <v>0</v>
      </c>
      <c r="FS197" s="71">
        <v>0</v>
      </c>
      <c r="FT197" s="71">
        <v>0</v>
      </c>
      <c r="FU197" s="71">
        <v>52</v>
      </c>
    </row>
    <row r="198" spans="2:177">
      <c r="B198" s="65" t="s">
        <v>1024</v>
      </c>
      <c r="C198" s="65" t="s">
        <v>2441</v>
      </c>
      <c r="D198" s="65">
        <v>153</v>
      </c>
      <c r="E198" s="65">
        <v>249</v>
      </c>
      <c r="F198" s="65">
        <v>380</v>
      </c>
      <c r="G198" s="65">
        <v>445</v>
      </c>
      <c r="H198" s="65">
        <v>392</v>
      </c>
      <c r="I198" s="65">
        <v>1619</v>
      </c>
      <c r="K198" s="65" t="s">
        <v>2441</v>
      </c>
      <c r="L198" s="65">
        <v>24</v>
      </c>
      <c r="M198" s="65">
        <v>4</v>
      </c>
      <c r="N198" s="65">
        <v>2</v>
      </c>
      <c r="O198" s="65">
        <v>7</v>
      </c>
      <c r="P198" s="65">
        <v>3</v>
      </c>
      <c r="Q198" s="65">
        <v>40</v>
      </c>
      <c r="AK198" s="67" t="s">
        <v>1272</v>
      </c>
      <c r="AL198" s="67" t="s">
        <v>2441</v>
      </c>
      <c r="AM198" s="67">
        <v>602</v>
      </c>
      <c r="AN198" s="67">
        <v>296</v>
      </c>
      <c r="AO198" s="67">
        <v>381</v>
      </c>
      <c r="AP198" s="67">
        <v>493</v>
      </c>
      <c r="AQ198" s="67">
        <v>473</v>
      </c>
      <c r="AR198" s="67">
        <v>2245</v>
      </c>
      <c r="AS198" s="67"/>
      <c r="AT198" s="67" t="s">
        <v>2441</v>
      </c>
      <c r="AU198" s="67">
        <v>102</v>
      </c>
      <c r="AV198" s="67">
        <v>2</v>
      </c>
      <c r="AW198" s="67">
        <v>0</v>
      </c>
      <c r="AX198" s="67">
        <v>0</v>
      </c>
      <c r="AY198" s="67">
        <v>0</v>
      </c>
      <c r="AZ198" s="67">
        <v>104</v>
      </c>
      <c r="BB198" s="70" t="s">
        <v>1323</v>
      </c>
      <c r="BC198" s="70" t="s">
        <v>2441</v>
      </c>
      <c r="BD198" s="70">
        <v>304</v>
      </c>
      <c r="BE198" s="70">
        <v>328</v>
      </c>
      <c r="BF198" s="70">
        <v>484</v>
      </c>
      <c r="BG198" s="70">
        <v>597</v>
      </c>
      <c r="BH198" s="70">
        <v>620</v>
      </c>
      <c r="BI198" s="70">
        <v>2333</v>
      </c>
      <c r="BJ198" s="70"/>
      <c r="BK198" s="70" t="s">
        <v>2441</v>
      </c>
      <c r="BL198" s="70">
        <v>22</v>
      </c>
      <c r="BM198" s="70">
        <v>0</v>
      </c>
      <c r="BN198" s="70">
        <v>0</v>
      </c>
      <c r="BO198" s="70">
        <v>0</v>
      </c>
      <c r="BP198" s="70">
        <v>0</v>
      </c>
      <c r="BQ198" s="70">
        <v>22</v>
      </c>
      <c r="BS198" s="21"/>
      <c r="CL198" s="57" t="s">
        <v>634</v>
      </c>
      <c r="CM198" s="57" t="s">
        <v>27</v>
      </c>
      <c r="CN198" s="57">
        <v>46</v>
      </c>
      <c r="CO198" s="57">
        <v>51</v>
      </c>
      <c r="CP198" s="57">
        <v>72</v>
      </c>
      <c r="CQ198" s="57">
        <v>132</v>
      </c>
      <c r="CR198" s="57">
        <v>104</v>
      </c>
      <c r="CS198" s="57">
        <v>405</v>
      </c>
      <c r="CT198" s="57"/>
      <c r="CU198" s="57" t="s">
        <v>27</v>
      </c>
      <c r="CV198" s="57">
        <v>23</v>
      </c>
      <c r="CW198" s="57">
        <v>0</v>
      </c>
      <c r="CX198" s="57">
        <v>0</v>
      </c>
      <c r="CY198" s="57">
        <v>0</v>
      </c>
      <c r="CZ198" s="57">
        <v>0</v>
      </c>
      <c r="DA198" s="57">
        <v>23</v>
      </c>
      <c r="FF198" s="71" t="s">
        <v>2065</v>
      </c>
      <c r="FG198" s="71" t="s">
        <v>811</v>
      </c>
      <c r="FH198" s="71">
        <v>165</v>
      </c>
      <c r="FI198" s="71">
        <v>291</v>
      </c>
      <c r="FJ198" s="71">
        <v>515</v>
      </c>
      <c r="FK198" s="71">
        <v>528</v>
      </c>
      <c r="FL198" s="71">
        <v>610</v>
      </c>
      <c r="FM198" s="71">
        <v>2109</v>
      </c>
      <c r="FN198" s="71"/>
      <c r="FO198" s="71" t="s">
        <v>811</v>
      </c>
      <c r="FP198" s="71">
        <v>21</v>
      </c>
      <c r="FQ198" s="71">
        <v>0</v>
      </c>
      <c r="FR198" s="71">
        <v>0</v>
      </c>
      <c r="FS198" s="71">
        <v>0</v>
      </c>
      <c r="FT198" s="71">
        <v>0</v>
      </c>
      <c r="FU198" s="71">
        <v>21</v>
      </c>
    </row>
    <row r="199" spans="2:177">
      <c r="B199" s="65" t="s">
        <v>1029</v>
      </c>
      <c r="C199" s="65" t="s">
        <v>2441</v>
      </c>
      <c r="D199" s="65">
        <v>39</v>
      </c>
      <c r="E199" s="65">
        <v>32</v>
      </c>
      <c r="F199" s="65">
        <v>18</v>
      </c>
      <c r="G199" s="65">
        <v>26</v>
      </c>
      <c r="H199" s="65">
        <v>12</v>
      </c>
      <c r="I199" s="65">
        <v>127</v>
      </c>
      <c r="K199" s="65" t="s">
        <v>2441</v>
      </c>
      <c r="L199" s="65">
        <v>7</v>
      </c>
      <c r="M199" s="65">
        <v>0</v>
      </c>
      <c r="N199" s="65">
        <v>0</v>
      </c>
      <c r="O199" s="65">
        <v>0</v>
      </c>
      <c r="P199" s="65">
        <v>0</v>
      </c>
      <c r="Q199" s="65">
        <v>7</v>
      </c>
      <c r="AK199" s="67" t="s">
        <v>1276</v>
      </c>
      <c r="AL199" s="67" t="s">
        <v>2441</v>
      </c>
      <c r="AM199" s="67">
        <v>315</v>
      </c>
      <c r="AN199" s="67">
        <v>268</v>
      </c>
      <c r="AO199" s="67">
        <v>411</v>
      </c>
      <c r="AP199" s="67">
        <v>505</v>
      </c>
      <c r="AQ199" s="67">
        <v>457</v>
      </c>
      <c r="AR199" s="67">
        <v>1956</v>
      </c>
      <c r="AS199" s="67"/>
      <c r="AT199" s="67" t="s">
        <v>2441</v>
      </c>
      <c r="AU199" s="67">
        <v>96</v>
      </c>
      <c r="AV199" s="67">
        <v>2</v>
      </c>
      <c r="AW199" s="67">
        <v>0</v>
      </c>
      <c r="AX199" s="67">
        <v>0</v>
      </c>
      <c r="AY199" s="67">
        <v>0</v>
      </c>
      <c r="AZ199" s="67">
        <v>98</v>
      </c>
      <c r="BB199" s="70" t="s">
        <v>1326</v>
      </c>
      <c r="BC199" s="70" t="s">
        <v>2441</v>
      </c>
      <c r="BD199" s="70">
        <v>156</v>
      </c>
      <c r="BE199" s="70">
        <v>94</v>
      </c>
      <c r="BF199" s="70">
        <v>157</v>
      </c>
      <c r="BG199" s="70">
        <v>206</v>
      </c>
      <c r="BH199" s="70">
        <v>237</v>
      </c>
      <c r="BI199" s="70">
        <v>850</v>
      </c>
      <c r="BJ199" s="70"/>
      <c r="BK199" s="70" t="s">
        <v>2441</v>
      </c>
      <c r="BL199" s="70">
        <v>17</v>
      </c>
      <c r="BM199" s="70">
        <v>0</v>
      </c>
      <c r="BN199" s="70">
        <v>0</v>
      </c>
      <c r="BO199" s="70">
        <v>0</v>
      </c>
      <c r="BP199" s="70">
        <v>0</v>
      </c>
      <c r="BQ199" s="70">
        <v>17</v>
      </c>
      <c r="BS199" s="21"/>
      <c r="CL199" s="57" t="s">
        <v>636</v>
      </c>
      <c r="CM199" s="57" t="s">
        <v>27</v>
      </c>
      <c r="CN199" s="57">
        <v>24</v>
      </c>
      <c r="CO199" s="57">
        <v>30</v>
      </c>
      <c r="CP199" s="57">
        <v>59</v>
      </c>
      <c r="CQ199" s="57">
        <v>107</v>
      </c>
      <c r="CR199" s="57">
        <v>108</v>
      </c>
      <c r="CS199" s="57">
        <v>328</v>
      </c>
      <c r="CT199" s="57"/>
      <c r="CU199" s="57" t="s">
        <v>27</v>
      </c>
      <c r="CV199" s="57">
        <v>10</v>
      </c>
      <c r="CW199" s="57">
        <v>0</v>
      </c>
      <c r="CX199" s="57">
        <v>0</v>
      </c>
      <c r="CY199" s="57">
        <v>0</v>
      </c>
      <c r="CZ199" s="57">
        <v>0</v>
      </c>
      <c r="DA199" s="57">
        <v>10</v>
      </c>
      <c r="DD199" s="21"/>
      <c r="FF199" s="71" t="s">
        <v>2067</v>
      </c>
      <c r="FG199" s="71" t="s">
        <v>811</v>
      </c>
      <c r="FH199" s="71">
        <v>355</v>
      </c>
      <c r="FI199" s="71">
        <v>531</v>
      </c>
      <c r="FJ199" s="71">
        <v>636</v>
      </c>
      <c r="FK199" s="71">
        <v>680</v>
      </c>
      <c r="FL199" s="71">
        <v>693</v>
      </c>
      <c r="FM199" s="71">
        <v>2895</v>
      </c>
      <c r="FN199" s="71"/>
      <c r="FO199" s="71" t="s">
        <v>811</v>
      </c>
      <c r="FP199" s="71">
        <v>70</v>
      </c>
      <c r="FQ199" s="71">
        <v>0</v>
      </c>
      <c r="FR199" s="71">
        <v>0</v>
      </c>
      <c r="FS199" s="71">
        <v>0</v>
      </c>
      <c r="FT199" s="71">
        <v>0</v>
      </c>
      <c r="FU199" s="71">
        <v>70</v>
      </c>
    </row>
    <row r="200" spans="2:177">
      <c r="B200" s="65" t="s">
        <v>1033</v>
      </c>
      <c r="C200" s="65" t="s">
        <v>2441</v>
      </c>
      <c r="D200" s="65" t="s">
        <v>356</v>
      </c>
      <c r="E200" s="65" t="s">
        <v>356</v>
      </c>
      <c r="F200" s="65" t="s">
        <v>356</v>
      </c>
      <c r="G200" s="65" t="s">
        <v>356</v>
      </c>
      <c r="H200" s="65" t="s">
        <v>356</v>
      </c>
      <c r="I200" s="65" t="s">
        <v>356</v>
      </c>
      <c r="K200" s="65" t="s">
        <v>2441</v>
      </c>
      <c r="L200" s="65" t="s">
        <v>356</v>
      </c>
      <c r="M200" s="65" t="s">
        <v>356</v>
      </c>
      <c r="N200" s="65" t="s">
        <v>356</v>
      </c>
      <c r="O200" s="65" t="s">
        <v>356</v>
      </c>
      <c r="P200" s="65" t="s">
        <v>356</v>
      </c>
      <c r="Q200" s="65" t="s">
        <v>356</v>
      </c>
      <c r="AK200" s="67" t="s">
        <v>2450</v>
      </c>
      <c r="AL200" s="67" t="s">
        <v>2441</v>
      </c>
      <c r="AM200" s="67">
        <v>625</v>
      </c>
      <c r="AN200" s="67">
        <v>310</v>
      </c>
      <c r="AO200" s="67">
        <v>449</v>
      </c>
      <c r="AP200" s="67">
        <v>524</v>
      </c>
      <c r="AQ200" s="67">
        <v>495</v>
      </c>
      <c r="AR200" s="67">
        <v>2403</v>
      </c>
      <c r="AS200" s="67"/>
      <c r="AT200" s="67" t="s">
        <v>2441</v>
      </c>
      <c r="AU200" s="67">
        <v>154</v>
      </c>
      <c r="AV200" s="67">
        <v>2</v>
      </c>
      <c r="AW200" s="67">
        <v>0</v>
      </c>
      <c r="AX200" s="67">
        <v>0</v>
      </c>
      <c r="AY200" s="67">
        <v>0</v>
      </c>
      <c r="AZ200" s="67">
        <v>156</v>
      </c>
      <c r="BB200" s="70" t="s">
        <v>1329</v>
      </c>
      <c r="BC200" s="70" t="s">
        <v>2441</v>
      </c>
      <c r="BD200" s="70">
        <v>37</v>
      </c>
      <c r="BE200" s="70">
        <v>35</v>
      </c>
      <c r="BF200" s="70">
        <v>77</v>
      </c>
      <c r="BG200" s="70">
        <v>130</v>
      </c>
      <c r="BH200" s="70">
        <v>182</v>
      </c>
      <c r="BI200" s="70">
        <v>461</v>
      </c>
      <c r="BJ200" s="70"/>
      <c r="BK200" s="70" t="s">
        <v>2441</v>
      </c>
      <c r="BL200" s="70">
        <v>1</v>
      </c>
      <c r="BM200" s="70">
        <v>0</v>
      </c>
      <c r="BN200" s="70">
        <v>0</v>
      </c>
      <c r="BO200" s="70">
        <v>0</v>
      </c>
      <c r="BP200" s="70">
        <v>0</v>
      </c>
      <c r="BQ200" s="70">
        <v>1</v>
      </c>
      <c r="BS200" s="21"/>
      <c r="CL200" s="57" t="s">
        <v>2294</v>
      </c>
      <c r="CM200" s="57" t="s">
        <v>27</v>
      </c>
      <c r="CN200" s="57">
        <v>102</v>
      </c>
      <c r="CO200" s="57">
        <v>97</v>
      </c>
      <c r="CP200" s="57">
        <v>208</v>
      </c>
      <c r="CQ200" s="57">
        <v>279</v>
      </c>
      <c r="CR200" s="57">
        <v>227</v>
      </c>
      <c r="CS200" s="57">
        <v>913</v>
      </c>
      <c r="CT200" s="57"/>
      <c r="CU200" s="57" t="s">
        <v>27</v>
      </c>
      <c r="CV200" s="57">
        <v>26</v>
      </c>
      <c r="CW200" s="57">
        <v>0</v>
      </c>
      <c r="CX200" s="57">
        <v>0</v>
      </c>
      <c r="CY200" s="57">
        <v>0</v>
      </c>
      <c r="CZ200" s="57">
        <v>0</v>
      </c>
      <c r="DA200" s="57">
        <v>26</v>
      </c>
      <c r="DD200" s="21"/>
      <c r="FF200" s="71" t="s">
        <v>2069</v>
      </c>
      <c r="FG200" s="71" t="s">
        <v>811</v>
      </c>
      <c r="FH200" s="71">
        <v>448</v>
      </c>
      <c r="FI200" s="71">
        <v>543</v>
      </c>
      <c r="FJ200" s="71">
        <v>822</v>
      </c>
      <c r="FK200" s="71">
        <v>806</v>
      </c>
      <c r="FL200" s="71">
        <v>888</v>
      </c>
      <c r="FM200" s="71">
        <v>3507</v>
      </c>
      <c r="FN200" s="71"/>
      <c r="FO200" s="71" t="s">
        <v>811</v>
      </c>
      <c r="FP200" s="71">
        <v>60</v>
      </c>
      <c r="FQ200" s="71">
        <v>0</v>
      </c>
      <c r="FR200" s="71">
        <v>0</v>
      </c>
      <c r="FS200" s="71">
        <v>0</v>
      </c>
      <c r="FT200" s="71">
        <v>0</v>
      </c>
      <c r="FU200" s="71">
        <v>60</v>
      </c>
    </row>
    <row r="201" spans="2:177">
      <c r="B201" s="65" t="s">
        <v>1037</v>
      </c>
      <c r="C201" s="65" t="s">
        <v>2441</v>
      </c>
      <c r="D201" s="65" t="s">
        <v>356</v>
      </c>
      <c r="E201" s="65" t="s">
        <v>356</v>
      </c>
      <c r="F201" s="65" t="s">
        <v>356</v>
      </c>
      <c r="G201" s="65" t="s">
        <v>356</v>
      </c>
      <c r="H201" s="65" t="s">
        <v>356</v>
      </c>
      <c r="I201" s="65" t="s">
        <v>356</v>
      </c>
      <c r="K201" s="65" t="s">
        <v>2441</v>
      </c>
      <c r="L201" s="65" t="s">
        <v>356</v>
      </c>
      <c r="M201" s="65" t="s">
        <v>356</v>
      </c>
      <c r="N201" s="65" t="s">
        <v>356</v>
      </c>
      <c r="O201" s="65" t="s">
        <v>356</v>
      </c>
      <c r="P201" s="65" t="s">
        <v>356</v>
      </c>
      <c r="Q201" s="65" t="s">
        <v>356</v>
      </c>
      <c r="AK201" s="67" t="s">
        <v>2451</v>
      </c>
      <c r="AL201" s="67" t="s">
        <v>2441</v>
      </c>
      <c r="AM201" s="67">
        <v>987</v>
      </c>
      <c r="AN201" s="67">
        <v>890</v>
      </c>
      <c r="AO201" s="67">
        <v>997</v>
      </c>
      <c r="AP201" s="67">
        <v>978</v>
      </c>
      <c r="AQ201" s="67">
        <v>737</v>
      </c>
      <c r="AR201" s="67">
        <v>4589</v>
      </c>
      <c r="AS201" s="67"/>
      <c r="AT201" s="67" t="s">
        <v>2441</v>
      </c>
      <c r="AU201" s="67">
        <v>168</v>
      </c>
      <c r="AV201" s="67">
        <v>1</v>
      </c>
      <c r="AW201" s="67">
        <v>2</v>
      </c>
      <c r="AX201" s="67">
        <v>0</v>
      </c>
      <c r="AY201" s="67">
        <v>1</v>
      </c>
      <c r="AZ201" s="67">
        <v>172</v>
      </c>
      <c r="BB201" s="70" t="s">
        <v>1333</v>
      </c>
      <c r="BC201" s="70" t="s">
        <v>2441</v>
      </c>
      <c r="BD201" s="70">
        <v>153</v>
      </c>
      <c r="BE201" s="70">
        <v>222</v>
      </c>
      <c r="BF201" s="70">
        <v>415</v>
      </c>
      <c r="BG201" s="70">
        <v>521</v>
      </c>
      <c r="BH201" s="70">
        <v>530</v>
      </c>
      <c r="BI201" s="70">
        <v>1841</v>
      </c>
      <c r="BJ201" s="70"/>
      <c r="BK201" s="70" t="s">
        <v>2441</v>
      </c>
      <c r="BL201" s="70">
        <v>30</v>
      </c>
      <c r="BM201" s="70">
        <v>0</v>
      </c>
      <c r="BN201" s="70">
        <v>0</v>
      </c>
      <c r="BO201" s="70">
        <v>0</v>
      </c>
      <c r="BP201" s="70">
        <v>0</v>
      </c>
      <c r="BQ201" s="70">
        <v>30</v>
      </c>
      <c r="BS201" s="21"/>
      <c r="CL201" s="57" t="s">
        <v>542</v>
      </c>
      <c r="CM201" s="57" t="s">
        <v>27</v>
      </c>
      <c r="CN201" s="57">
        <v>45</v>
      </c>
      <c r="CO201" s="57">
        <v>37</v>
      </c>
      <c r="CP201" s="57">
        <v>62</v>
      </c>
      <c r="CQ201" s="57">
        <v>98</v>
      </c>
      <c r="CR201" s="57">
        <v>109</v>
      </c>
      <c r="CS201" s="57">
        <v>351</v>
      </c>
      <c r="CT201" s="57"/>
      <c r="CU201" s="57" t="s">
        <v>27</v>
      </c>
      <c r="CV201" s="57">
        <v>4</v>
      </c>
      <c r="CW201" s="57">
        <v>0</v>
      </c>
      <c r="CX201" s="57">
        <v>0</v>
      </c>
      <c r="CY201" s="57">
        <v>0</v>
      </c>
      <c r="CZ201" s="57">
        <v>0</v>
      </c>
      <c r="DA201" s="57">
        <v>4</v>
      </c>
      <c r="DD201" s="21"/>
      <c r="FF201" s="71" t="s">
        <v>2413</v>
      </c>
      <c r="FG201" s="71" t="s">
        <v>811</v>
      </c>
      <c r="FH201" s="71">
        <v>51</v>
      </c>
      <c r="FI201" s="71">
        <v>159</v>
      </c>
      <c r="FJ201" s="71">
        <v>170</v>
      </c>
      <c r="FK201" s="71">
        <v>193</v>
      </c>
      <c r="FL201" s="71">
        <v>236</v>
      </c>
      <c r="FM201" s="71">
        <v>809</v>
      </c>
      <c r="FN201" s="71"/>
      <c r="FO201" s="71" t="s">
        <v>811</v>
      </c>
      <c r="FP201" s="71">
        <v>6</v>
      </c>
      <c r="FQ201" s="71">
        <v>1</v>
      </c>
      <c r="FR201" s="71">
        <v>5</v>
      </c>
      <c r="FS201" s="71">
        <v>0</v>
      </c>
      <c r="FT201" s="71">
        <v>2</v>
      </c>
      <c r="FU201" s="71">
        <v>14</v>
      </c>
    </row>
    <row r="202" spans="2:177">
      <c r="B202" s="65" t="s">
        <v>1043</v>
      </c>
      <c r="C202" s="65" t="s">
        <v>2441</v>
      </c>
      <c r="D202" s="65" t="s">
        <v>356</v>
      </c>
      <c r="E202" s="65" t="s">
        <v>356</v>
      </c>
      <c r="F202" s="65" t="s">
        <v>356</v>
      </c>
      <c r="G202" s="65" t="s">
        <v>356</v>
      </c>
      <c r="H202" s="65" t="s">
        <v>356</v>
      </c>
      <c r="I202" s="65" t="s">
        <v>356</v>
      </c>
      <c r="K202" s="65" t="s">
        <v>2441</v>
      </c>
      <c r="L202" s="65" t="s">
        <v>356</v>
      </c>
      <c r="M202" s="65" t="s">
        <v>356</v>
      </c>
      <c r="N202" s="65" t="s">
        <v>356</v>
      </c>
      <c r="O202" s="65" t="s">
        <v>356</v>
      </c>
      <c r="P202" s="65" t="s">
        <v>356</v>
      </c>
      <c r="Q202" s="65" t="s">
        <v>356</v>
      </c>
      <c r="AK202" s="67" t="s">
        <v>1285</v>
      </c>
      <c r="AL202" s="67" t="s">
        <v>2441</v>
      </c>
      <c r="AM202" s="67">
        <v>436</v>
      </c>
      <c r="AN202" s="67">
        <v>547</v>
      </c>
      <c r="AO202" s="67">
        <v>699</v>
      </c>
      <c r="AP202" s="67">
        <v>813</v>
      </c>
      <c r="AQ202" s="67">
        <v>537</v>
      </c>
      <c r="AR202" s="67">
        <v>3032</v>
      </c>
      <c r="AS202" s="67"/>
      <c r="AT202" s="67" t="s">
        <v>2441</v>
      </c>
      <c r="AU202" s="67">
        <v>44</v>
      </c>
      <c r="AV202" s="67">
        <v>4</v>
      </c>
      <c r="AW202" s="67">
        <v>0</v>
      </c>
      <c r="AX202" s="67">
        <v>0</v>
      </c>
      <c r="AY202" s="67">
        <v>0</v>
      </c>
      <c r="AZ202" s="67">
        <v>48</v>
      </c>
      <c r="BB202" s="70" t="s">
        <v>1337</v>
      </c>
      <c r="BC202" s="70" t="s">
        <v>2441</v>
      </c>
      <c r="BD202" s="70">
        <v>112</v>
      </c>
      <c r="BE202" s="70">
        <v>148</v>
      </c>
      <c r="BF202" s="70">
        <v>288</v>
      </c>
      <c r="BG202" s="70">
        <v>367</v>
      </c>
      <c r="BH202" s="70">
        <v>303</v>
      </c>
      <c r="BI202" s="70">
        <v>1218</v>
      </c>
      <c r="BJ202" s="70"/>
      <c r="BK202" s="70" t="s">
        <v>2441</v>
      </c>
      <c r="BL202" s="70">
        <v>17</v>
      </c>
      <c r="BM202" s="70">
        <v>0</v>
      </c>
      <c r="BN202" s="70">
        <v>0</v>
      </c>
      <c r="BO202" s="70">
        <v>0</v>
      </c>
      <c r="BP202" s="70">
        <v>0</v>
      </c>
      <c r="BQ202" s="70">
        <v>17</v>
      </c>
      <c r="BS202" s="21"/>
      <c r="CL202" s="57" t="s">
        <v>595</v>
      </c>
      <c r="CM202" s="57" t="s">
        <v>27</v>
      </c>
      <c r="CN202" s="57">
        <v>259</v>
      </c>
      <c r="CO202" s="57">
        <v>68</v>
      </c>
      <c r="CP202" s="57">
        <v>124</v>
      </c>
      <c r="CQ202" s="57">
        <v>167</v>
      </c>
      <c r="CR202" s="57">
        <v>232</v>
      </c>
      <c r="CS202" s="57">
        <v>850</v>
      </c>
      <c r="CT202" s="57"/>
      <c r="CU202" s="57" t="s">
        <v>27</v>
      </c>
      <c r="CV202" s="57">
        <v>80</v>
      </c>
      <c r="CW202" s="57">
        <v>0</v>
      </c>
      <c r="CX202" s="57">
        <v>0</v>
      </c>
      <c r="CY202" s="57">
        <v>0</v>
      </c>
      <c r="CZ202" s="57">
        <v>0</v>
      </c>
      <c r="DA202" s="57">
        <v>80</v>
      </c>
      <c r="DD202" s="21"/>
      <c r="FF202" s="71" t="s">
        <v>2072</v>
      </c>
      <c r="FG202" s="71" t="s">
        <v>811</v>
      </c>
      <c r="FH202" s="71">
        <v>338</v>
      </c>
      <c r="FI202" s="71">
        <v>447</v>
      </c>
      <c r="FJ202" s="71">
        <v>564</v>
      </c>
      <c r="FK202" s="71">
        <v>602</v>
      </c>
      <c r="FL202" s="71">
        <v>792</v>
      </c>
      <c r="FM202" s="71">
        <v>2743</v>
      </c>
      <c r="FN202" s="71"/>
      <c r="FO202" s="71" t="s">
        <v>811</v>
      </c>
      <c r="FP202" s="71">
        <v>53</v>
      </c>
      <c r="FQ202" s="71">
        <v>27</v>
      </c>
      <c r="FR202" s="71">
        <v>11</v>
      </c>
      <c r="FS202" s="71">
        <v>7</v>
      </c>
      <c r="FT202" s="71">
        <v>11</v>
      </c>
      <c r="FU202" s="71">
        <v>109</v>
      </c>
    </row>
    <row r="203" spans="2:177">
      <c r="B203" s="65" t="s">
        <v>1046</v>
      </c>
      <c r="C203" s="65" t="s">
        <v>2441</v>
      </c>
      <c r="D203" s="65">
        <v>125</v>
      </c>
      <c r="E203" s="65">
        <v>90</v>
      </c>
      <c r="F203" s="65">
        <v>162</v>
      </c>
      <c r="G203" s="65">
        <v>241</v>
      </c>
      <c r="H203" s="65">
        <v>250</v>
      </c>
      <c r="I203" s="65">
        <v>868</v>
      </c>
      <c r="K203" s="65" t="s">
        <v>2441</v>
      </c>
      <c r="L203" s="65">
        <v>10</v>
      </c>
      <c r="M203" s="65">
        <v>0</v>
      </c>
      <c r="N203" s="65">
        <v>0</v>
      </c>
      <c r="O203" s="65">
        <v>0</v>
      </c>
      <c r="P203" s="65">
        <v>0</v>
      </c>
      <c r="Q203" s="65">
        <v>10</v>
      </c>
      <c r="AK203" s="67" t="s">
        <v>2452</v>
      </c>
      <c r="AL203" s="67" t="s">
        <v>2441</v>
      </c>
      <c r="AM203" s="67">
        <v>518</v>
      </c>
      <c r="AN203" s="67">
        <v>474</v>
      </c>
      <c r="AO203" s="67">
        <v>538</v>
      </c>
      <c r="AP203" s="67">
        <v>508</v>
      </c>
      <c r="AQ203" s="67">
        <v>325</v>
      </c>
      <c r="AR203" s="67">
        <v>2363</v>
      </c>
      <c r="AS203" s="67"/>
      <c r="AT203" s="67" t="s">
        <v>2441</v>
      </c>
      <c r="AU203" s="67">
        <v>82</v>
      </c>
      <c r="AV203" s="67">
        <v>5</v>
      </c>
      <c r="AW203" s="67">
        <v>3</v>
      </c>
      <c r="AX203" s="67">
        <v>2</v>
      </c>
      <c r="AY203" s="67">
        <v>2</v>
      </c>
      <c r="AZ203" s="67">
        <v>94</v>
      </c>
      <c r="BB203" s="70" t="s">
        <v>1341</v>
      </c>
      <c r="BC203" s="70" t="s">
        <v>2441</v>
      </c>
      <c r="BD203" s="70">
        <v>1365</v>
      </c>
      <c r="BE203" s="70">
        <v>592</v>
      </c>
      <c r="BF203" s="70">
        <v>827</v>
      </c>
      <c r="BG203" s="70">
        <v>995</v>
      </c>
      <c r="BH203" s="70">
        <v>787</v>
      </c>
      <c r="BI203" s="70">
        <v>4566</v>
      </c>
      <c r="BJ203" s="70"/>
      <c r="BK203" s="70" t="s">
        <v>2441</v>
      </c>
      <c r="BL203" s="70">
        <v>273</v>
      </c>
      <c r="BM203" s="70">
        <v>0</v>
      </c>
      <c r="BN203" s="70">
        <v>0</v>
      </c>
      <c r="BO203" s="70">
        <v>0</v>
      </c>
      <c r="BP203" s="70">
        <v>0</v>
      </c>
      <c r="BQ203" s="70">
        <v>273</v>
      </c>
      <c r="BS203" s="21"/>
      <c r="CL203" s="57" t="s">
        <v>406</v>
      </c>
      <c r="CM203" s="57" t="s">
        <v>27</v>
      </c>
      <c r="CN203" s="57">
        <v>95</v>
      </c>
      <c r="CO203" s="57">
        <v>132</v>
      </c>
      <c r="CP203" s="57">
        <v>174</v>
      </c>
      <c r="CQ203" s="57">
        <v>206</v>
      </c>
      <c r="CR203" s="57">
        <v>242</v>
      </c>
      <c r="CS203" s="57">
        <v>849</v>
      </c>
      <c r="CT203" s="57"/>
      <c r="CU203" s="57" t="s">
        <v>27</v>
      </c>
      <c r="CV203" s="57">
        <v>8</v>
      </c>
      <c r="CW203" s="57">
        <v>0</v>
      </c>
      <c r="CX203" s="57">
        <v>0</v>
      </c>
      <c r="CY203" s="57">
        <v>0</v>
      </c>
      <c r="CZ203" s="57">
        <v>0</v>
      </c>
      <c r="DA203" s="57">
        <v>8</v>
      </c>
      <c r="DD203" s="21"/>
      <c r="FF203" s="71" t="s">
        <v>2075</v>
      </c>
      <c r="FG203" s="71" t="s">
        <v>811</v>
      </c>
      <c r="FH203" s="71">
        <v>579</v>
      </c>
      <c r="FI203" s="71">
        <v>573</v>
      </c>
      <c r="FJ203" s="71">
        <v>615</v>
      </c>
      <c r="FK203" s="71">
        <v>710</v>
      </c>
      <c r="FL203" s="71">
        <v>781</v>
      </c>
      <c r="FM203" s="71">
        <v>3258</v>
      </c>
      <c r="FN203" s="71"/>
      <c r="FO203" s="71" t="s">
        <v>811</v>
      </c>
      <c r="FP203" s="71">
        <v>82</v>
      </c>
      <c r="FQ203" s="71">
        <v>11</v>
      </c>
      <c r="FR203" s="71">
        <v>9</v>
      </c>
      <c r="FS203" s="71">
        <v>4</v>
      </c>
      <c r="FT203" s="71">
        <v>2</v>
      </c>
      <c r="FU203" s="71">
        <v>108</v>
      </c>
    </row>
    <row r="204" spans="2:177">
      <c r="B204" s="65" t="s">
        <v>76</v>
      </c>
      <c r="C204" s="65" t="s">
        <v>2441</v>
      </c>
      <c r="D204" s="65">
        <v>144</v>
      </c>
      <c r="E204" s="65">
        <v>216</v>
      </c>
      <c r="F204" s="65">
        <v>378</v>
      </c>
      <c r="G204" s="65">
        <v>418</v>
      </c>
      <c r="H204" s="65">
        <v>303</v>
      </c>
      <c r="I204" s="65">
        <v>1459</v>
      </c>
      <c r="K204" s="65" t="s">
        <v>2441</v>
      </c>
      <c r="L204" s="65">
        <v>25</v>
      </c>
      <c r="M204" s="65">
        <v>0</v>
      </c>
      <c r="N204" s="65">
        <v>1</v>
      </c>
      <c r="O204" s="65">
        <v>1</v>
      </c>
      <c r="P204" s="65">
        <v>0</v>
      </c>
      <c r="Q204" s="65">
        <v>27</v>
      </c>
      <c r="BB204" s="70" t="s">
        <v>1344</v>
      </c>
      <c r="BC204" s="70" t="s">
        <v>2441</v>
      </c>
      <c r="BD204" s="70">
        <v>42</v>
      </c>
      <c r="BE204" s="70">
        <v>40</v>
      </c>
      <c r="BF204" s="70">
        <v>96</v>
      </c>
      <c r="BG204" s="70">
        <v>129</v>
      </c>
      <c r="BH204" s="70">
        <v>206</v>
      </c>
      <c r="BI204" s="70">
        <v>513</v>
      </c>
      <c r="BJ204" s="70"/>
      <c r="BK204" s="70" t="s">
        <v>2441</v>
      </c>
      <c r="BL204" s="70">
        <v>10</v>
      </c>
      <c r="BM204" s="70">
        <v>0</v>
      </c>
      <c r="BN204" s="70">
        <v>0</v>
      </c>
      <c r="BO204" s="70">
        <v>0</v>
      </c>
      <c r="BP204" s="70">
        <v>0</v>
      </c>
      <c r="BQ204" s="70">
        <v>10</v>
      </c>
      <c r="BS204" s="21"/>
      <c r="CL204" s="57" t="s">
        <v>564</v>
      </c>
      <c r="CM204" s="57" t="s">
        <v>27</v>
      </c>
      <c r="CN204" s="57">
        <v>518</v>
      </c>
      <c r="CO204" s="57">
        <v>86</v>
      </c>
      <c r="CP204" s="57">
        <v>159</v>
      </c>
      <c r="CQ204" s="57">
        <v>220</v>
      </c>
      <c r="CR204" s="57">
        <v>350</v>
      </c>
      <c r="CS204" s="57">
        <v>1333</v>
      </c>
      <c r="CT204" s="57"/>
      <c r="CU204" s="57" t="s">
        <v>27</v>
      </c>
      <c r="CV204" s="57">
        <v>131</v>
      </c>
      <c r="CW204" s="57">
        <v>0</v>
      </c>
      <c r="CX204" s="57">
        <v>0</v>
      </c>
      <c r="CY204" s="57">
        <v>0</v>
      </c>
      <c r="CZ204" s="57">
        <v>0</v>
      </c>
      <c r="DA204" s="57">
        <v>131</v>
      </c>
      <c r="DD204" s="21"/>
      <c r="FF204" s="71" t="s">
        <v>2077</v>
      </c>
      <c r="FG204" s="71" t="s">
        <v>811</v>
      </c>
      <c r="FH204" s="71">
        <v>327</v>
      </c>
      <c r="FI204" s="71">
        <v>532</v>
      </c>
      <c r="FJ204" s="71">
        <v>566</v>
      </c>
      <c r="FK204" s="71">
        <v>688</v>
      </c>
      <c r="FL204" s="71">
        <v>724</v>
      </c>
      <c r="FM204" s="71">
        <v>2837</v>
      </c>
      <c r="FN204" s="71"/>
      <c r="FO204" s="71" t="s">
        <v>811</v>
      </c>
      <c r="FP204" s="71">
        <v>35</v>
      </c>
      <c r="FQ204" s="71">
        <v>17</v>
      </c>
      <c r="FR204" s="71">
        <v>6</v>
      </c>
      <c r="FS204" s="71">
        <v>4</v>
      </c>
      <c r="FT204" s="71">
        <v>3</v>
      </c>
      <c r="FU204" s="71">
        <v>65</v>
      </c>
    </row>
    <row r="205" spans="2:177">
      <c r="B205" s="65" t="s">
        <v>1057</v>
      </c>
      <c r="C205" s="65" t="s">
        <v>2441</v>
      </c>
      <c r="D205" s="65">
        <v>340</v>
      </c>
      <c r="E205" s="65">
        <v>405</v>
      </c>
      <c r="F205" s="65">
        <v>459</v>
      </c>
      <c r="G205" s="65">
        <v>503</v>
      </c>
      <c r="H205" s="65">
        <v>339</v>
      </c>
      <c r="I205" s="65">
        <v>2046</v>
      </c>
      <c r="K205" s="65" t="s">
        <v>2441</v>
      </c>
      <c r="L205" s="65">
        <v>29</v>
      </c>
      <c r="M205" s="65">
        <v>3</v>
      </c>
      <c r="N205" s="65">
        <v>1</v>
      </c>
      <c r="O205" s="65">
        <v>0</v>
      </c>
      <c r="P205" s="65">
        <v>0</v>
      </c>
      <c r="Q205" s="65">
        <v>33</v>
      </c>
      <c r="AJ205" s="16" t="s">
        <v>2984</v>
      </c>
      <c r="AK205" s="67" t="s">
        <v>2557</v>
      </c>
      <c r="AL205" s="67" t="s">
        <v>811</v>
      </c>
      <c r="AM205" s="67">
        <v>569</v>
      </c>
      <c r="AN205" s="67">
        <v>789</v>
      </c>
      <c r="AO205" s="67">
        <v>1068</v>
      </c>
      <c r="AP205" s="67">
        <v>1097</v>
      </c>
      <c r="AQ205" s="67">
        <v>793</v>
      </c>
      <c r="AR205" s="67">
        <v>4316</v>
      </c>
      <c r="AS205" s="67"/>
      <c r="AT205" s="67" t="s">
        <v>811</v>
      </c>
      <c r="AU205" s="67">
        <v>60</v>
      </c>
      <c r="AV205" s="67">
        <v>6</v>
      </c>
      <c r="AW205" s="67">
        <v>0</v>
      </c>
      <c r="AX205" s="67">
        <v>3</v>
      </c>
      <c r="AY205" s="67">
        <v>1</v>
      </c>
      <c r="AZ205" s="67">
        <v>70</v>
      </c>
      <c r="BB205" s="70" t="s">
        <v>1347</v>
      </c>
      <c r="BC205" s="70" t="s">
        <v>2441</v>
      </c>
      <c r="BD205" s="70">
        <v>376</v>
      </c>
      <c r="BE205" s="70">
        <v>391</v>
      </c>
      <c r="BF205" s="70">
        <v>637</v>
      </c>
      <c r="BG205" s="70">
        <v>842</v>
      </c>
      <c r="BH205" s="70">
        <v>790</v>
      </c>
      <c r="BI205" s="70">
        <v>3036</v>
      </c>
      <c r="BJ205" s="70"/>
      <c r="BK205" s="70" t="s">
        <v>2441</v>
      </c>
      <c r="BL205" s="70">
        <v>34</v>
      </c>
      <c r="BM205" s="70">
        <v>0</v>
      </c>
      <c r="BN205" s="70">
        <v>0</v>
      </c>
      <c r="BO205" s="70">
        <v>0</v>
      </c>
      <c r="BP205" s="70">
        <v>0</v>
      </c>
      <c r="BQ205" s="70">
        <v>34</v>
      </c>
      <c r="BS205" s="21"/>
      <c r="CL205" s="57" t="s">
        <v>409</v>
      </c>
      <c r="CM205" s="57" t="s">
        <v>27</v>
      </c>
      <c r="CN205" s="57">
        <v>1205</v>
      </c>
      <c r="CO205" s="57">
        <v>943</v>
      </c>
      <c r="CP205" s="57">
        <v>1034</v>
      </c>
      <c r="CQ205" s="57">
        <v>960</v>
      </c>
      <c r="CR205" s="57">
        <v>789</v>
      </c>
      <c r="CS205" s="57">
        <v>4931</v>
      </c>
      <c r="CT205" s="57"/>
      <c r="CU205" s="57" t="s">
        <v>27</v>
      </c>
      <c r="CV205" s="57">
        <v>155</v>
      </c>
      <c r="CW205" s="57">
        <v>5</v>
      </c>
      <c r="CX205" s="57">
        <v>0</v>
      </c>
      <c r="CY205" s="57">
        <v>0</v>
      </c>
      <c r="CZ205" s="57">
        <v>0</v>
      </c>
      <c r="DA205" s="57">
        <v>160</v>
      </c>
      <c r="DD205" s="21"/>
      <c r="FF205" s="71" t="s">
        <v>2079</v>
      </c>
      <c r="FG205" s="71" t="s">
        <v>811</v>
      </c>
      <c r="FH205" s="71">
        <v>2007</v>
      </c>
      <c r="FI205" s="71">
        <v>1077</v>
      </c>
      <c r="FJ205" s="71">
        <v>801</v>
      </c>
      <c r="FK205" s="71">
        <v>629</v>
      </c>
      <c r="FL205" s="71">
        <v>715</v>
      </c>
      <c r="FM205" s="71">
        <v>5229</v>
      </c>
      <c r="FN205" s="71"/>
      <c r="FO205" s="71" t="s">
        <v>811</v>
      </c>
      <c r="FP205" s="71">
        <v>415</v>
      </c>
      <c r="FQ205" s="71">
        <v>0</v>
      </c>
      <c r="FR205" s="71">
        <v>0</v>
      </c>
      <c r="FS205" s="71">
        <v>0</v>
      </c>
      <c r="FT205" s="71">
        <v>0</v>
      </c>
      <c r="FU205" s="71">
        <v>415</v>
      </c>
    </row>
    <row r="206" spans="2:177">
      <c r="B206" s="65" t="s">
        <v>162</v>
      </c>
      <c r="C206" s="65" t="s">
        <v>2441</v>
      </c>
      <c r="D206" s="65">
        <v>143</v>
      </c>
      <c r="E206" s="65">
        <v>265</v>
      </c>
      <c r="F206" s="65">
        <v>406</v>
      </c>
      <c r="G206" s="65">
        <v>511</v>
      </c>
      <c r="H206" s="65">
        <v>378</v>
      </c>
      <c r="I206" s="65">
        <v>1703</v>
      </c>
      <c r="K206" s="65" t="s">
        <v>2443</v>
      </c>
      <c r="L206" s="65">
        <v>28</v>
      </c>
      <c r="M206" s="65">
        <v>0</v>
      </c>
      <c r="N206" s="65">
        <v>0</v>
      </c>
      <c r="O206" s="65">
        <v>1</v>
      </c>
      <c r="P206" s="65">
        <v>0</v>
      </c>
      <c r="Q206" s="65">
        <v>29</v>
      </c>
      <c r="AK206" s="67" t="s">
        <v>1178</v>
      </c>
      <c r="AL206" s="67" t="s">
        <v>811</v>
      </c>
      <c r="AM206" s="67">
        <v>183</v>
      </c>
      <c r="AN206" s="67">
        <v>305</v>
      </c>
      <c r="AO206" s="67">
        <v>540</v>
      </c>
      <c r="AP206" s="67">
        <v>601</v>
      </c>
      <c r="AQ206" s="67">
        <v>466</v>
      </c>
      <c r="AR206" s="67">
        <v>2095</v>
      </c>
      <c r="AS206" s="67"/>
      <c r="AT206" s="67" t="s">
        <v>811</v>
      </c>
      <c r="AU206" s="67">
        <v>27</v>
      </c>
      <c r="AV206" s="67">
        <v>1</v>
      </c>
      <c r="AW206" s="67">
        <v>0</v>
      </c>
      <c r="AX206" s="67">
        <v>0</v>
      </c>
      <c r="AY206" s="67">
        <v>1</v>
      </c>
      <c r="AZ206" s="67">
        <v>29</v>
      </c>
      <c r="BB206" s="70" t="s">
        <v>1350</v>
      </c>
      <c r="BC206" s="70" t="s">
        <v>2441</v>
      </c>
      <c r="BD206" s="70">
        <v>139</v>
      </c>
      <c r="BE206" s="70">
        <v>83</v>
      </c>
      <c r="BF206" s="70">
        <v>170</v>
      </c>
      <c r="BG206" s="70">
        <v>246</v>
      </c>
      <c r="BH206" s="70">
        <v>210</v>
      </c>
      <c r="BI206" s="70">
        <v>848</v>
      </c>
      <c r="BJ206" s="70"/>
      <c r="BK206" s="70" t="s">
        <v>2441</v>
      </c>
      <c r="BL206" s="70">
        <v>48</v>
      </c>
      <c r="BM206" s="70">
        <v>0</v>
      </c>
      <c r="BN206" s="70">
        <v>0</v>
      </c>
      <c r="BO206" s="70">
        <v>0</v>
      </c>
      <c r="BP206" s="70">
        <v>0</v>
      </c>
      <c r="BQ206" s="70">
        <v>48</v>
      </c>
      <c r="BS206" s="21"/>
      <c r="CL206" s="57" t="s">
        <v>605</v>
      </c>
      <c r="CM206" s="57" t="s">
        <v>27</v>
      </c>
      <c r="CN206" s="57">
        <v>33</v>
      </c>
      <c r="CO206" s="57">
        <v>51</v>
      </c>
      <c r="CP206" s="57">
        <v>103</v>
      </c>
      <c r="CQ206" s="57">
        <v>181</v>
      </c>
      <c r="CR206" s="57">
        <v>189</v>
      </c>
      <c r="CS206" s="57">
        <v>557</v>
      </c>
      <c r="CT206" s="57"/>
      <c r="CU206" s="57" t="s">
        <v>27</v>
      </c>
      <c r="CV206" s="57">
        <v>7</v>
      </c>
      <c r="CW206" s="57">
        <v>1</v>
      </c>
      <c r="CX206" s="57">
        <v>0</v>
      </c>
      <c r="CY206" s="57">
        <v>0</v>
      </c>
      <c r="CZ206" s="57">
        <v>0</v>
      </c>
      <c r="DA206" s="57">
        <v>8</v>
      </c>
      <c r="DD206" s="21"/>
      <c r="FF206" s="71" t="s">
        <v>2082</v>
      </c>
      <c r="FG206" s="71" t="s">
        <v>811</v>
      </c>
      <c r="FH206" s="71">
        <v>814</v>
      </c>
      <c r="FI206" s="71">
        <v>1146</v>
      </c>
      <c r="FJ206" s="71">
        <v>686</v>
      </c>
      <c r="FK206" s="71">
        <v>574</v>
      </c>
      <c r="FL206" s="71">
        <v>564</v>
      </c>
      <c r="FM206" s="71">
        <v>3784</v>
      </c>
      <c r="FN206" s="71"/>
      <c r="FO206" s="71" t="s">
        <v>811</v>
      </c>
      <c r="FP206" s="71">
        <v>130</v>
      </c>
      <c r="FQ206" s="71">
        <v>0</v>
      </c>
      <c r="FR206" s="71">
        <v>0</v>
      </c>
      <c r="FS206" s="71">
        <v>0</v>
      </c>
      <c r="FT206" s="71">
        <v>0</v>
      </c>
      <c r="FU206" s="71">
        <v>130</v>
      </c>
    </row>
    <row r="207" spans="2:177">
      <c r="B207" s="16"/>
      <c r="C207" s="16"/>
      <c r="D207" s="16"/>
      <c r="E207" s="16"/>
      <c r="F207" s="16"/>
      <c r="G207" s="16"/>
      <c r="H207" s="16"/>
      <c r="I207" s="16"/>
      <c r="J207" s="16"/>
      <c r="K207" s="16"/>
      <c r="L207" s="16"/>
      <c r="M207" s="16"/>
      <c r="N207" s="16"/>
      <c r="O207" s="16"/>
      <c r="P207" s="16"/>
      <c r="Q207" s="16"/>
      <c r="R207" s="16"/>
      <c r="S207" s="16"/>
      <c r="AK207" s="67" t="s">
        <v>1181</v>
      </c>
      <c r="AL207" s="67" t="s">
        <v>27</v>
      </c>
      <c r="AM207" s="67">
        <v>102</v>
      </c>
      <c r="AN207" s="67">
        <v>198</v>
      </c>
      <c r="AO207" s="67">
        <v>296</v>
      </c>
      <c r="AP207" s="67">
        <v>428</v>
      </c>
      <c r="AQ207" s="67">
        <v>286</v>
      </c>
      <c r="AR207" s="67">
        <v>1310</v>
      </c>
      <c r="AS207" s="67"/>
      <c r="AT207" s="67" t="s">
        <v>27</v>
      </c>
      <c r="AU207" s="67">
        <v>8</v>
      </c>
      <c r="AV207" s="67">
        <v>6</v>
      </c>
      <c r="AW207" s="67">
        <v>2</v>
      </c>
      <c r="AX207" s="67">
        <v>2</v>
      </c>
      <c r="AY207" s="67">
        <v>0</v>
      </c>
      <c r="AZ207" s="67">
        <v>18</v>
      </c>
      <c r="BB207" s="70" t="s">
        <v>1356</v>
      </c>
      <c r="BC207" s="70" t="s">
        <v>2441</v>
      </c>
      <c r="BD207" s="70">
        <v>477</v>
      </c>
      <c r="BE207" s="70">
        <v>265</v>
      </c>
      <c r="BF207" s="70">
        <v>423</v>
      </c>
      <c r="BG207" s="70">
        <v>542</v>
      </c>
      <c r="BH207" s="70">
        <v>435</v>
      </c>
      <c r="BI207" s="70">
        <v>2142</v>
      </c>
      <c r="BJ207" s="70"/>
      <c r="BK207" s="70" t="s">
        <v>2441</v>
      </c>
      <c r="BL207" s="70">
        <v>141</v>
      </c>
      <c r="BM207" s="70">
        <v>0</v>
      </c>
      <c r="BN207" s="70">
        <v>0</v>
      </c>
      <c r="BO207" s="70">
        <v>0</v>
      </c>
      <c r="BP207" s="70">
        <v>0</v>
      </c>
      <c r="BQ207" s="70">
        <v>141</v>
      </c>
      <c r="BS207" s="21"/>
      <c r="CL207" s="57" t="s">
        <v>410</v>
      </c>
      <c r="CM207" s="57" t="s">
        <v>27</v>
      </c>
      <c r="CN207" s="57">
        <v>127</v>
      </c>
      <c r="CO207" s="57">
        <v>128</v>
      </c>
      <c r="CP207" s="57">
        <v>257</v>
      </c>
      <c r="CQ207" s="57">
        <v>344</v>
      </c>
      <c r="CR207" s="57">
        <v>342</v>
      </c>
      <c r="CS207" s="57">
        <v>1198</v>
      </c>
      <c r="CT207" s="57"/>
      <c r="CU207" s="57" t="s">
        <v>27</v>
      </c>
      <c r="CV207" s="57">
        <v>20</v>
      </c>
      <c r="CW207" s="57">
        <v>0</v>
      </c>
      <c r="CX207" s="57">
        <v>0</v>
      </c>
      <c r="CY207" s="57">
        <v>0</v>
      </c>
      <c r="CZ207" s="57">
        <v>0</v>
      </c>
      <c r="DA207" s="57">
        <v>20</v>
      </c>
      <c r="DD207" s="21"/>
      <c r="FE207" s="16" t="s">
        <v>2431</v>
      </c>
      <c r="FF207" s="71" t="s">
        <v>2085</v>
      </c>
      <c r="FG207" s="71" t="s">
        <v>811</v>
      </c>
      <c r="FH207" s="71">
        <v>486</v>
      </c>
      <c r="FI207" s="71">
        <v>399</v>
      </c>
      <c r="FJ207" s="71">
        <v>468</v>
      </c>
      <c r="FK207" s="71">
        <v>502</v>
      </c>
      <c r="FL207" s="71">
        <v>590</v>
      </c>
      <c r="FM207" s="71">
        <v>2445</v>
      </c>
      <c r="FN207" s="71"/>
      <c r="FO207" s="71" t="s">
        <v>811</v>
      </c>
      <c r="FP207" s="71">
        <v>56</v>
      </c>
      <c r="FQ207" s="71">
        <v>2</v>
      </c>
      <c r="FR207" s="71">
        <v>0</v>
      </c>
      <c r="FS207" s="71">
        <v>0</v>
      </c>
      <c r="FT207" s="71">
        <v>0</v>
      </c>
      <c r="FU207" s="71">
        <v>58</v>
      </c>
    </row>
    <row r="208" spans="2:177">
      <c r="B208" s="65" t="s">
        <v>812</v>
      </c>
      <c r="C208" s="65" t="s">
        <v>811</v>
      </c>
      <c r="D208" s="65">
        <v>95</v>
      </c>
      <c r="E208" s="65">
        <v>159</v>
      </c>
      <c r="F208" s="65">
        <v>311</v>
      </c>
      <c r="G208" s="65">
        <v>382</v>
      </c>
      <c r="H208" s="65">
        <v>307</v>
      </c>
      <c r="I208" s="65">
        <v>1254</v>
      </c>
      <c r="K208" s="65" t="s">
        <v>811</v>
      </c>
      <c r="L208" s="65">
        <v>2</v>
      </c>
      <c r="M208" s="65">
        <v>1</v>
      </c>
      <c r="N208" s="65">
        <v>1</v>
      </c>
      <c r="O208" s="65">
        <v>0</v>
      </c>
      <c r="P208" s="65">
        <v>0</v>
      </c>
      <c r="Q208" s="65">
        <v>4</v>
      </c>
      <c r="AK208" s="67" t="s">
        <v>1190</v>
      </c>
      <c r="AL208" s="67" t="s">
        <v>27</v>
      </c>
      <c r="AM208" s="67">
        <v>864</v>
      </c>
      <c r="AN208" s="67">
        <v>907</v>
      </c>
      <c r="AO208" s="67">
        <v>1111</v>
      </c>
      <c r="AP208" s="67">
        <v>1233</v>
      </c>
      <c r="AQ208" s="67">
        <v>887</v>
      </c>
      <c r="AR208" s="67">
        <v>5002</v>
      </c>
      <c r="AS208" s="67"/>
      <c r="AT208" s="67" t="s">
        <v>27</v>
      </c>
      <c r="AU208" s="67">
        <v>138</v>
      </c>
      <c r="AV208" s="67">
        <v>8</v>
      </c>
      <c r="AW208" s="67">
        <v>2</v>
      </c>
      <c r="AX208" s="67">
        <v>1</v>
      </c>
      <c r="AY208" s="67">
        <v>1</v>
      </c>
      <c r="AZ208" s="67">
        <v>150</v>
      </c>
      <c r="BB208" s="70" t="s">
        <v>1359</v>
      </c>
      <c r="BC208" s="70" t="s">
        <v>2441</v>
      </c>
      <c r="BD208" s="70">
        <v>145</v>
      </c>
      <c r="BE208" s="70">
        <v>61</v>
      </c>
      <c r="BF208" s="70">
        <v>142</v>
      </c>
      <c r="BG208" s="70">
        <v>156</v>
      </c>
      <c r="BH208" s="70">
        <v>177</v>
      </c>
      <c r="BI208" s="70">
        <v>681</v>
      </c>
      <c r="BJ208" s="70"/>
      <c r="BK208" s="70" t="s">
        <v>2441</v>
      </c>
      <c r="BL208" s="70">
        <v>33</v>
      </c>
      <c r="BM208" s="70">
        <v>0</v>
      </c>
      <c r="BN208" s="70">
        <v>0</v>
      </c>
      <c r="BO208" s="70">
        <v>0</v>
      </c>
      <c r="BP208" s="70">
        <v>0</v>
      </c>
      <c r="BQ208" s="70">
        <v>33</v>
      </c>
      <c r="BS208" s="21"/>
      <c r="CL208" s="57" t="s">
        <v>601</v>
      </c>
      <c r="CM208" s="57" t="s">
        <v>27</v>
      </c>
      <c r="CN208" s="57">
        <v>129</v>
      </c>
      <c r="CO208" s="57">
        <v>152</v>
      </c>
      <c r="CP208" s="57">
        <v>289</v>
      </c>
      <c r="CQ208" s="57">
        <v>381</v>
      </c>
      <c r="CR208" s="57">
        <v>304</v>
      </c>
      <c r="CS208" s="57">
        <v>1255</v>
      </c>
      <c r="CT208" s="57"/>
      <c r="CU208" s="57" t="s">
        <v>27</v>
      </c>
      <c r="CV208" s="57">
        <v>30</v>
      </c>
      <c r="CW208" s="57">
        <v>0</v>
      </c>
      <c r="CX208" s="57">
        <v>0</v>
      </c>
      <c r="CY208" s="57">
        <v>0</v>
      </c>
      <c r="CZ208" s="57">
        <v>0</v>
      </c>
      <c r="DA208" s="57">
        <v>30</v>
      </c>
      <c r="DD208" s="21"/>
      <c r="FE208" s="16" t="s">
        <v>2433</v>
      </c>
      <c r="FF208" s="71" t="s">
        <v>2087</v>
      </c>
      <c r="FG208" s="71" t="s">
        <v>811</v>
      </c>
      <c r="FH208" s="71">
        <v>198</v>
      </c>
      <c r="FI208" s="71">
        <v>235</v>
      </c>
      <c r="FJ208" s="71">
        <v>226</v>
      </c>
      <c r="FK208" s="71">
        <v>264</v>
      </c>
      <c r="FL208" s="71">
        <v>312</v>
      </c>
      <c r="FM208" s="71">
        <v>1235</v>
      </c>
      <c r="FN208" s="71"/>
      <c r="FO208" s="71" t="s">
        <v>811</v>
      </c>
      <c r="FP208" s="71">
        <v>23</v>
      </c>
      <c r="FQ208" s="71">
        <v>1</v>
      </c>
      <c r="FR208" s="71">
        <v>1</v>
      </c>
      <c r="FS208" s="71">
        <v>2</v>
      </c>
      <c r="FT208" s="71">
        <v>0</v>
      </c>
      <c r="FU208" s="71">
        <v>27</v>
      </c>
    </row>
    <row r="209" spans="2:177">
      <c r="B209" s="65" t="s">
        <v>821</v>
      </c>
      <c r="C209" s="65" t="s">
        <v>811</v>
      </c>
      <c r="D209" s="65">
        <v>191</v>
      </c>
      <c r="E209" s="65">
        <v>435</v>
      </c>
      <c r="F209" s="65">
        <v>571</v>
      </c>
      <c r="G209" s="65">
        <v>668</v>
      </c>
      <c r="H209" s="65">
        <v>572</v>
      </c>
      <c r="I209" s="65">
        <v>2437</v>
      </c>
      <c r="K209" s="65" t="s">
        <v>811</v>
      </c>
      <c r="L209" s="65">
        <v>2</v>
      </c>
      <c r="M209" s="65">
        <v>1</v>
      </c>
      <c r="N209" s="65">
        <v>0</v>
      </c>
      <c r="O209" s="65">
        <v>0</v>
      </c>
      <c r="P209" s="65">
        <v>0</v>
      </c>
      <c r="Q209" s="65">
        <v>3</v>
      </c>
      <c r="AK209" s="67" t="s">
        <v>1194</v>
      </c>
      <c r="AL209" s="67" t="s">
        <v>27</v>
      </c>
      <c r="AM209" s="67">
        <v>596</v>
      </c>
      <c r="AN209" s="67">
        <v>630</v>
      </c>
      <c r="AO209" s="67">
        <v>705</v>
      </c>
      <c r="AP209" s="67">
        <v>884</v>
      </c>
      <c r="AQ209" s="67">
        <v>695</v>
      </c>
      <c r="AR209" s="67">
        <v>3510</v>
      </c>
      <c r="AS209" s="67"/>
      <c r="AT209" s="67" t="s">
        <v>27</v>
      </c>
      <c r="AU209" s="67">
        <v>42</v>
      </c>
      <c r="AV209" s="67">
        <v>8</v>
      </c>
      <c r="AW209" s="67">
        <v>1</v>
      </c>
      <c r="AX209" s="67">
        <v>4</v>
      </c>
      <c r="AY209" s="67">
        <v>0</v>
      </c>
      <c r="AZ209" s="67">
        <v>55</v>
      </c>
      <c r="BB209" s="70" t="s">
        <v>1362</v>
      </c>
      <c r="BC209" s="70" t="s">
        <v>2441</v>
      </c>
      <c r="BD209" s="70">
        <v>42</v>
      </c>
      <c r="BE209" s="70">
        <v>52</v>
      </c>
      <c r="BF209" s="70">
        <v>104</v>
      </c>
      <c r="BG209" s="70">
        <v>162</v>
      </c>
      <c r="BH209" s="70">
        <v>112</v>
      </c>
      <c r="BI209" s="70">
        <v>472</v>
      </c>
      <c r="BJ209" s="70"/>
      <c r="BK209" s="70" t="s">
        <v>2441</v>
      </c>
      <c r="BL209" s="70">
        <v>17</v>
      </c>
      <c r="BM209" s="70">
        <v>0</v>
      </c>
      <c r="BN209" s="70">
        <v>0</v>
      </c>
      <c r="BO209" s="70">
        <v>0</v>
      </c>
      <c r="BP209" s="70">
        <v>0</v>
      </c>
      <c r="BQ209" s="70">
        <v>17</v>
      </c>
      <c r="BS209" s="21"/>
      <c r="CL209" s="57" t="s">
        <v>611</v>
      </c>
      <c r="CM209" s="57" t="s">
        <v>27</v>
      </c>
      <c r="CN209" s="57">
        <v>46</v>
      </c>
      <c r="CO209" s="57">
        <v>33</v>
      </c>
      <c r="CP209" s="57">
        <v>57</v>
      </c>
      <c r="CQ209" s="57">
        <v>54</v>
      </c>
      <c r="CR209" s="57">
        <v>69</v>
      </c>
      <c r="CS209" s="57">
        <v>259</v>
      </c>
      <c r="CT209" s="57"/>
      <c r="CU209" s="57" t="s">
        <v>27</v>
      </c>
      <c r="CV209" s="57">
        <v>13</v>
      </c>
      <c r="CW209" s="57">
        <v>0</v>
      </c>
      <c r="CX209" s="57">
        <v>0</v>
      </c>
      <c r="CY209" s="57">
        <v>0</v>
      </c>
      <c r="CZ209" s="57">
        <v>0</v>
      </c>
      <c r="DA209" s="57">
        <v>13</v>
      </c>
      <c r="DD209" s="21"/>
      <c r="FF209" s="71" t="s">
        <v>2091</v>
      </c>
      <c r="FG209" s="71" t="s">
        <v>811</v>
      </c>
      <c r="FH209" s="71">
        <v>144</v>
      </c>
      <c r="FI209" s="71">
        <v>279</v>
      </c>
      <c r="FJ209" s="71">
        <v>315</v>
      </c>
      <c r="FK209" s="71">
        <v>370</v>
      </c>
      <c r="FL209" s="71">
        <v>431</v>
      </c>
      <c r="FM209" s="71">
        <v>1539</v>
      </c>
      <c r="FN209" s="71"/>
      <c r="FO209" s="71" t="s">
        <v>811</v>
      </c>
      <c r="FP209" s="71">
        <v>21</v>
      </c>
      <c r="FQ209" s="71">
        <v>10</v>
      </c>
      <c r="FR209" s="71">
        <v>4</v>
      </c>
      <c r="FS209" s="71">
        <v>2</v>
      </c>
      <c r="FT209" s="71">
        <v>2</v>
      </c>
      <c r="FU209" s="71">
        <v>39</v>
      </c>
    </row>
    <row r="210" spans="2:177">
      <c r="B210" s="65" t="s">
        <v>825</v>
      </c>
      <c r="C210" s="65" t="s">
        <v>27</v>
      </c>
      <c r="D210" s="65">
        <v>1025</v>
      </c>
      <c r="E210" s="65">
        <v>809</v>
      </c>
      <c r="F210" s="65">
        <v>870</v>
      </c>
      <c r="G210" s="65">
        <v>922</v>
      </c>
      <c r="H210" s="65">
        <v>592</v>
      </c>
      <c r="I210" s="65">
        <v>4218</v>
      </c>
      <c r="K210" s="65" t="s">
        <v>27</v>
      </c>
      <c r="L210" s="65">
        <v>136</v>
      </c>
      <c r="M210" s="65">
        <v>3</v>
      </c>
      <c r="N210" s="65">
        <v>0</v>
      </c>
      <c r="O210" s="65">
        <v>0</v>
      </c>
      <c r="P210" s="65">
        <v>0</v>
      </c>
      <c r="Q210" s="65">
        <v>139</v>
      </c>
      <c r="AK210" s="67" t="s">
        <v>1197</v>
      </c>
      <c r="AL210" s="67" t="s">
        <v>27</v>
      </c>
      <c r="AM210" s="67">
        <v>1036</v>
      </c>
      <c r="AN210" s="67">
        <v>1191</v>
      </c>
      <c r="AO210" s="67">
        <v>1548</v>
      </c>
      <c r="AP210" s="67">
        <v>1692</v>
      </c>
      <c r="AQ210" s="67">
        <v>1047</v>
      </c>
      <c r="AR210" s="67">
        <v>6514</v>
      </c>
      <c r="AS210" s="67"/>
      <c r="AT210" s="67" t="s">
        <v>27</v>
      </c>
      <c r="AU210" s="67">
        <v>79</v>
      </c>
      <c r="AV210" s="67">
        <v>3</v>
      </c>
      <c r="AW210" s="67">
        <v>4</v>
      </c>
      <c r="AX210" s="67">
        <v>3</v>
      </c>
      <c r="AY210" s="67">
        <v>0</v>
      </c>
      <c r="AZ210" s="67">
        <v>89</v>
      </c>
      <c r="BB210" s="70" t="s">
        <v>1367</v>
      </c>
      <c r="BC210" s="70" t="s">
        <v>2441</v>
      </c>
      <c r="BD210" s="70">
        <v>60</v>
      </c>
      <c r="BE210" s="70">
        <v>58</v>
      </c>
      <c r="BF210" s="70">
        <v>109</v>
      </c>
      <c r="BG210" s="70">
        <v>132</v>
      </c>
      <c r="BH210" s="70">
        <v>139</v>
      </c>
      <c r="BI210" s="70">
        <v>498</v>
      </c>
      <c r="BJ210" s="70"/>
      <c r="BK210" s="70" t="s">
        <v>2441</v>
      </c>
      <c r="BL210" s="70">
        <v>19</v>
      </c>
      <c r="BM210" s="70">
        <v>0</v>
      </c>
      <c r="BN210" s="70">
        <v>0</v>
      </c>
      <c r="BO210" s="70">
        <v>0</v>
      </c>
      <c r="BP210" s="70">
        <v>0</v>
      </c>
      <c r="BQ210" s="70">
        <v>19</v>
      </c>
      <c r="BS210" s="21"/>
      <c r="CL210" s="57" t="s">
        <v>1753</v>
      </c>
      <c r="CM210" s="57" t="s">
        <v>27</v>
      </c>
      <c r="CN210" s="57">
        <v>295</v>
      </c>
      <c r="CO210" s="57">
        <v>317</v>
      </c>
      <c r="CP210" s="57">
        <v>581</v>
      </c>
      <c r="CQ210" s="57">
        <v>806</v>
      </c>
      <c r="CR210" s="57">
        <v>754</v>
      </c>
      <c r="CS210" s="57">
        <v>2753</v>
      </c>
      <c r="CT210" s="57"/>
      <c r="CU210" s="57" t="s">
        <v>27</v>
      </c>
      <c r="CV210" s="57">
        <v>58</v>
      </c>
      <c r="CW210" s="57">
        <v>0</v>
      </c>
      <c r="CX210" s="57">
        <v>0</v>
      </c>
      <c r="CY210" s="57">
        <v>0</v>
      </c>
      <c r="CZ210" s="57">
        <v>0</v>
      </c>
      <c r="DA210" s="57">
        <v>58</v>
      </c>
      <c r="DD210" s="21"/>
      <c r="FF210" s="71" t="s">
        <v>2093</v>
      </c>
      <c r="FG210" s="71" t="s">
        <v>811</v>
      </c>
      <c r="FH210" s="71">
        <v>322</v>
      </c>
      <c r="FI210" s="71">
        <v>558</v>
      </c>
      <c r="FJ210" s="71">
        <v>595</v>
      </c>
      <c r="FK210" s="71">
        <v>652</v>
      </c>
      <c r="FL210" s="71">
        <v>774</v>
      </c>
      <c r="FM210" s="71">
        <v>2901</v>
      </c>
      <c r="FN210" s="71"/>
      <c r="FO210" s="71" t="s">
        <v>811</v>
      </c>
      <c r="FP210" s="71">
        <v>47</v>
      </c>
      <c r="FQ210" s="71">
        <v>8</v>
      </c>
      <c r="FR210" s="71">
        <v>3</v>
      </c>
      <c r="FS210" s="71">
        <v>1</v>
      </c>
      <c r="FT210" s="71">
        <v>0</v>
      </c>
      <c r="FU210" s="71">
        <v>59</v>
      </c>
    </row>
    <row r="211" spans="2:177">
      <c r="B211" s="65" t="s">
        <v>830</v>
      </c>
      <c r="C211" s="65" t="s">
        <v>27</v>
      </c>
      <c r="D211" s="65">
        <v>549</v>
      </c>
      <c r="E211" s="65">
        <v>911</v>
      </c>
      <c r="F211" s="65">
        <v>1358</v>
      </c>
      <c r="G211" s="65">
        <v>1475</v>
      </c>
      <c r="H211" s="65">
        <v>924</v>
      </c>
      <c r="I211" s="65">
        <v>5217</v>
      </c>
      <c r="K211" s="65" t="s">
        <v>27</v>
      </c>
      <c r="L211" s="65">
        <v>38</v>
      </c>
      <c r="M211" s="65">
        <v>9</v>
      </c>
      <c r="N211" s="65">
        <v>0</v>
      </c>
      <c r="O211" s="65">
        <v>0</v>
      </c>
      <c r="P211" s="65">
        <v>0</v>
      </c>
      <c r="Q211" s="65">
        <v>47</v>
      </c>
      <c r="AK211" s="67" t="s">
        <v>1200</v>
      </c>
      <c r="AL211" s="67" t="s">
        <v>27</v>
      </c>
      <c r="AM211" s="67">
        <v>307</v>
      </c>
      <c r="AN211" s="67">
        <v>275</v>
      </c>
      <c r="AO211" s="67">
        <v>400</v>
      </c>
      <c r="AP211" s="67">
        <v>517</v>
      </c>
      <c r="AQ211" s="67">
        <v>432</v>
      </c>
      <c r="AR211" s="67">
        <v>1931</v>
      </c>
      <c r="AS211" s="67"/>
      <c r="AT211" s="67" t="s">
        <v>27</v>
      </c>
      <c r="AU211" s="67">
        <v>93</v>
      </c>
      <c r="AV211" s="67">
        <v>5</v>
      </c>
      <c r="AW211" s="67">
        <v>3</v>
      </c>
      <c r="AX211" s="67">
        <v>4</v>
      </c>
      <c r="AY211" s="67">
        <v>0</v>
      </c>
      <c r="AZ211" s="67">
        <v>105</v>
      </c>
      <c r="BB211" s="70" t="s">
        <v>1372</v>
      </c>
      <c r="BC211" s="70" t="s">
        <v>2441</v>
      </c>
      <c r="BD211" s="70">
        <v>57</v>
      </c>
      <c r="BE211" s="70">
        <v>40</v>
      </c>
      <c r="BF211" s="70">
        <v>83</v>
      </c>
      <c r="BG211" s="70">
        <v>145</v>
      </c>
      <c r="BH211" s="70">
        <v>175</v>
      </c>
      <c r="BI211" s="70">
        <v>500</v>
      </c>
      <c r="BJ211" s="70"/>
      <c r="BK211" s="70" t="s">
        <v>2441</v>
      </c>
      <c r="BL211" s="70">
        <v>15</v>
      </c>
      <c r="BM211" s="70">
        <v>0</v>
      </c>
      <c r="BN211" s="70">
        <v>0</v>
      </c>
      <c r="BO211" s="70">
        <v>0</v>
      </c>
      <c r="BP211" s="70">
        <v>0</v>
      </c>
      <c r="BQ211" s="70">
        <v>15</v>
      </c>
      <c r="BS211" s="21"/>
      <c r="CL211" s="57" t="s">
        <v>617</v>
      </c>
      <c r="CM211" s="57" t="s">
        <v>27</v>
      </c>
      <c r="CN211" s="57">
        <v>448</v>
      </c>
      <c r="CO211" s="57">
        <v>411</v>
      </c>
      <c r="CP211" s="57">
        <v>715</v>
      </c>
      <c r="CQ211" s="57">
        <v>1220</v>
      </c>
      <c r="CR211" s="57">
        <v>1025</v>
      </c>
      <c r="CS211" s="57">
        <v>3819</v>
      </c>
      <c r="CT211" s="57"/>
      <c r="CU211" s="57" t="s">
        <v>27</v>
      </c>
      <c r="CV211" s="57">
        <v>99</v>
      </c>
      <c r="CW211" s="57">
        <v>0</v>
      </c>
      <c r="CX211" s="57">
        <v>0</v>
      </c>
      <c r="CY211" s="57">
        <v>0</v>
      </c>
      <c r="CZ211" s="57">
        <v>0</v>
      </c>
      <c r="DA211" s="57">
        <v>99</v>
      </c>
      <c r="DD211" s="21"/>
      <c r="FF211" s="71" t="s">
        <v>2095</v>
      </c>
      <c r="FG211" s="71" t="s">
        <v>811</v>
      </c>
      <c r="FH211" s="71">
        <v>207</v>
      </c>
      <c r="FI211" s="71">
        <v>306</v>
      </c>
      <c r="FJ211" s="71">
        <v>333</v>
      </c>
      <c r="FK211" s="71">
        <v>408</v>
      </c>
      <c r="FL211" s="71">
        <v>571</v>
      </c>
      <c r="FM211" s="71">
        <v>1825</v>
      </c>
      <c r="FN211" s="71"/>
      <c r="FO211" s="71" t="s">
        <v>811</v>
      </c>
      <c r="FP211" s="71">
        <v>23</v>
      </c>
      <c r="FQ211" s="71">
        <v>6</v>
      </c>
      <c r="FR211" s="71">
        <v>3</v>
      </c>
      <c r="FS211" s="71">
        <v>2</v>
      </c>
      <c r="FT211" s="71">
        <v>0</v>
      </c>
      <c r="FU211" s="71">
        <v>34</v>
      </c>
    </row>
    <row r="212" spans="2:177">
      <c r="B212" s="65" t="s">
        <v>834</v>
      </c>
      <c r="C212" s="65" t="s">
        <v>27</v>
      </c>
      <c r="D212" s="65">
        <v>642</v>
      </c>
      <c r="E212" s="65">
        <v>840</v>
      </c>
      <c r="F212" s="65">
        <v>1206</v>
      </c>
      <c r="G212" s="65">
        <v>1232</v>
      </c>
      <c r="H212" s="65">
        <v>842</v>
      </c>
      <c r="I212" s="65">
        <v>4762</v>
      </c>
      <c r="K212" s="65" t="s">
        <v>27</v>
      </c>
      <c r="L212" s="65">
        <v>79</v>
      </c>
      <c r="M212" s="65">
        <v>7</v>
      </c>
      <c r="N212" s="65">
        <v>0</v>
      </c>
      <c r="O212" s="65">
        <v>0</v>
      </c>
      <c r="P212" s="65">
        <v>0</v>
      </c>
      <c r="Q212" s="65">
        <v>86</v>
      </c>
      <c r="AK212" s="67" t="s">
        <v>1204</v>
      </c>
      <c r="AL212" s="67" t="s">
        <v>27</v>
      </c>
      <c r="AM212" s="67">
        <v>304</v>
      </c>
      <c r="AN212" s="67">
        <v>418</v>
      </c>
      <c r="AO212" s="67">
        <v>609</v>
      </c>
      <c r="AP212" s="67">
        <v>703</v>
      </c>
      <c r="AQ212" s="67">
        <v>460</v>
      </c>
      <c r="AR212" s="67">
        <v>2494</v>
      </c>
      <c r="AS212" s="67"/>
      <c r="AT212" s="67" t="s">
        <v>27</v>
      </c>
      <c r="AU212" s="67">
        <v>27</v>
      </c>
      <c r="AV212" s="67">
        <v>4</v>
      </c>
      <c r="AW212" s="67">
        <v>1</v>
      </c>
      <c r="AX212" s="67">
        <v>1</v>
      </c>
      <c r="AY212" s="67">
        <v>0</v>
      </c>
      <c r="AZ212" s="67">
        <v>33</v>
      </c>
      <c r="BB212" s="70" t="s">
        <v>1376</v>
      </c>
      <c r="BC212" s="70" t="s">
        <v>2441</v>
      </c>
      <c r="BD212" s="70">
        <v>501</v>
      </c>
      <c r="BE212" s="70">
        <v>311</v>
      </c>
      <c r="BF212" s="70">
        <v>370</v>
      </c>
      <c r="BG212" s="70">
        <v>418</v>
      </c>
      <c r="BH212" s="70">
        <v>326</v>
      </c>
      <c r="BI212" s="70">
        <v>1926</v>
      </c>
      <c r="BJ212" s="70"/>
      <c r="BK212" s="70" t="s">
        <v>2441</v>
      </c>
      <c r="BL212" s="70">
        <v>27</v>
      </c>
      <c r="BM212" s="70">
        <v>0</v>
      </c>
      <c r="BN212" s="70">
        <v>0</v>
      </c>
      <c r="BO212" s="70">
        <v>0</v>
      </c>
      <c r="BP212" s="70">
        <v>0</v>
      </c>
      <c r="BQ212" s="70">
        <v>27</v>
      </c>
      <c r="BS212" s="21"/>
      <c r="CL212" s="57" t="s">
        <v>613</v>
      </c>
      <c r="CM212" s="57" t="s">
        <v>27</v>
      </c>
      <c r="CN212" s="57">
        <v>157</v>
      </c>
      <c r="CO212" s="57">
        <v>56</v>
      </c>
      <c r="CP212" s="57">
        <v>139</v>
      </c>
      <c r="CQ212" s="57">
        <v>175</v>
      </c>
      <c r="CR212" s="57">
        <v>147</v>
      </c>
      <c r="CS212" s="57">
        <v>674</v>
      </c>
      <c r="CT212" s="57"/>
      <c r="CU212" s="57" t="s">
        <v>27</v>
      </c>
      <c r="CV212" s="57">
        <v>64</v>
      </c>
      <c r="CW212" s="57">
        <v>0</v>
      </c>
      <c r="CX212" s="57">
        <v>0</v>
      </c>
      <c r="CY212" s="57">
        <v>0</v>
      </c>
      <c r="CZ212" s="57">
        <v>0</v>
      </c>
      <c r="DA212" s="57">
        <v>64</v>
      </c>
      <c r="DD212" s="21"/>
      <c r="FF212" s="71" t="s">
        <v>2106</v>
      </c>
      <c r="FG212" s="71" t="s">
        <v>811</v>
      </c>
      <c r="FH212" s="71">
        <v>355</v>
      </c>
      <c r="FI212" s="71">
        <v>441</v>
      </c>
      <c r="FJ212" s="71">
        <v>482</v>
      </c>
      <c r="FK212" s="71">
        <v>564</v>
      </c>
      <c r="FL212" s="71">
        <v>655</v>
      </c>
      <c r="FM212" s="71">
        <v>2497</v>
      </c>
      <c r="FN212" s="71"/>
      <c r="FO212" s="71" t="s">
        <v>811</v>
      </c>
      <c r="FP212" s="71">
        <v>24</v>
      </c>
      <c r="FQ212" s="71">
        <v>8</v>
      </c>
      <c r="FR212" s="71">
        <v>2</v>
      </c>
      <c r="FS212" s="71">
        <v>2</v>
      </c>
      <c r="FT212" s="71">
        <v>4</v>
      </c>
      <c r="FU212" s="71">
        <v>40</v>
      </c>
    </row>
    <row r="213" spans="2:177">
      <c r="B213" s="65" t="s">
        <v>840</v>
      </c>
      <c r="C213" s="65" t="s">
        <v>27</v>
      </c>
      <c r="D213" s="65">
        <v>218</v>
      </c>
      <c r="E213" s="65">
        <v>384</v>
      </c>
      <c r="F213" s="65">
        <v>695</v>
      </c>
      <c r="G213" s="65">
        <v>807</v>
      </c>
      <c r="H213" s="65">
        <v>611</v>
      </c>
      <c r="I213" s="65">
        <v>2715</v>
      </c>
      <c r="K213" s="65" t="s">
        <v>27</v>
      </c>
      <c r="L213" s="65">
        <v>20</v>
      </c>
      <c r="M213" s="65">
        <v>3</v>
      </c>
      <c r="N213" s="65">
        <v>0</v>
      </c>
      <c r="O213" s="65">
        <v>0</v>
      </c>
      <c r="P213" s="65">
        <v>0</v>
      </c>
      <c r="Q213" s="65">
        <v>23</v>
      </c>
      <c r="AK213" s="67" t="s">
        <v>1207</v>
      </c>
      <c r="AL213" s="67" t="s">
        <v>27</v>
      </c>
      <c r="AM213" s="67">
        <v>955</v>
      </c>
      <c r="AN213" s="67">
        <v>745</v>
      </c>
      <c r="AO213" s="67">
        <v>894</v>
      </c>
      <c r="AP213" s="67">
        <v>901</v>
      </c>
      <c r="AQ213" s="67">
        <v>591</v>
      </c>
      <c r="AR213" s="67">
        <v>4086</v>
      </c>
      <c r="AS213" s="67"/>
      <c r="AT213" s="67" t="s">
        <v>27</v>
      </c>
      <c r="AU213" s="67">
        <v>113</v>
      </c>
      <c r="AV213" s="67">
        <v>3</v>
      </c>
      <c r="AW213" s="67">
        <v>2</v>
      </c>
      <c r="AX213" s="67">
        <v>1</v>
      </c>
      <c r="AY213" s="67">
        <v>0</v>
      </c>
      <c r="AZ213" s="67">
        <v>119</v>
      </c>
      <c r="BB213" s="70" t="s">
        <v>1380</v>
      </c>
      <c r="BC213" s="70" t="s">
        <v>2441</v>
      </c>
      <c r="BD213" s="70">
        <v>216</v>
      </c>
      <c r="BE213" s="70">
        <v>178</v>
      </c>
      <c r="BF213" s="70">
        <v>307</v>
      </c>
      <c r="BG213" s="70">
        <v>392</v>
      </c>
      <c r="BH213" s="70">
        <v>306</v>
      </c>
      <c r="BI213" s="70">
        <v>1399</v>
      </c>
      <c r="BJ213" s="70"/>
      <c r="BK213" s="70" t="s">
        <v>2441</v>
      </c>
      <c r="BL213" s="70">
        <v>20</v>
      </c>
      <c r="BM213" s="70">
        <v>0</v>
      </c>
      <c r="BN213" s="70">
        <v>0</v>
      </c>
      <c r="BO213" s="70">
        <v>0</v>
      </c>
      <c r="BP213" s="70">
        <v>0</v>
      </c>
      <c r="BQ213" s="70">
        <v>20</v>
      </c>
      <c r="BS213" s="21"/>
      <c r="CL213" s="57" t="s">
        <v>619</v>
      </c>
      <c r="CM213" s="57" t="s">
        <v>27</v>
      </c>
      <c r="CN213" s="57">
        <v>208</v>
      </c>
      <c r="CO213" s="57">
        <v>252</v>
      </c>
      <c r="CP213" s="57">
        <v>520</v>
      </c>
      <c r="CQ213" s="57">
        <v>716</v>
      </c>
      <c r="CR213" s="57">
        <v>641</v>
      </c>
      <c r="CS213" s="57">
        <v>2337</v>
      </c>
      <c r="CT213" s="57"/>
      <c r="CU213" s="57" t="s">
        <v>27</v>
      </c>
      <c r="CV213" s="57">
        <v>25</v>
      </c>
      <c r="CW213" s="57">
        <v>0</v>
      </c>
      <c r="CX213" s="57">
        <v>0</v>
      </c>
      <c r="CY213" s="57">
        <v>0</v>
      </c>
      <c r="CZ213" s="57">
        <v>0</v>
      </c>
      <c r="DA213" s="57">
        <v>25</v>
      </c>
      <c r="DD213" s="21"/>
      <c r="FF213" s="71" t="s">
        <v>2107</v>
      </c>
      <c r="FG213" s="71" t="s">
        <v>811</v>
      </c>
      <c r="FH213" s="71">
        <v>401</v>
      </c>
      <c r="FI213" s="71">
        <v>462</v>
      </c>
      <c r="FJ213" s="71">
        <v>397</v>
      </c>
      <c r="FK213" s="71">
        <v>407</v>
      </c>
      <c r="FL213" s="71">
        <v>469</v>
      </c>
      <c r="FM213" s="71">
        <v>2136</v>
      </c>
      <c r="FN213" s="71"/>
      <c r="FO213" s="71" t="s">
        <v>811</v>
      </c>
      <c r="FP213" s="71">
        <v>58</v>
      </c>
      <c r="FQ213" s="71">
        <v>11</v>
      </c>
      <c r="FR213" s="71">
        <v>2</v>
      </c>
      <c r="FS213" s="71">
        <v>1</v>
      </c>
      <c r="FT213" s="71">
        <v>5</v>
      </c>
      <c r="FU213" s="71">
        <v>77</v>
      </c>
    </row>
    <row r="214" spans="2:177">
      <c r="B214" s="65" t="s">
        <v>845</v>
      </c>
      <c r="C214" s="65" t="s">
        <v>27</v>
      </c>
      <c r="D214" s="65">
        <v>327</v>
      </c>
      <c r="E214" s="65">
        <v>592</v>
      </c>
      <c r="F214" s="65">
        <v>967</v>
      </c>
      <c r="G214" s="65">
        <v>1067</v>
      </c>
      <c r="H214" s="65">
        <v>719</v>
      </c>
      <c r="I214" s="65">
        <v>3672</v>
      </c>
      <c r="K214" s="65" t="s">
        <v>27</v>
      </c>
      <c r="L214" s="65">
        <v>31</v>
      </c>
      <c r="M214" s="65">
        <v>5</v>
      </c>
      <c r="N214" s="65">
        <v>2</v>
      </c>
      <c r="O214" s="65">
        <v>0</v>
      </c>
      <c r="P214" s="65">
        <v>1</v>
      </c>
      <c r="Q214" s="65">
        <v>39</v>
      </c>
      <c r="AK214" s="67" t="s">
        <v>1210</v>
      </c>
      <c r="AL214" s="67" t="s">
        <v>27</v>
      </c>
      <c r="AM214" s="67">
        <v>177</v>
      </c>
      <c r="AN214" s="67">
        <v>243</v>
      </c>
      <c r="AO214" s="67">
        <v>336</v>
      </c>
      <c r="AP214" s="67">
        <v>438</v>
      </c>
      <c r="AQ214" s="67">
        <v>332</v>
      </c>
      <c r="AR214" s="67">
        <v>1526</v>
      </c>
      <c r="AS214" s="67"/>
      <c r="AT214" s="67" t="s">
        <v>27</v>
      </c>
      <c r="AU214" s="67">
        <v>28</v>
      </c>
      <c r="AV214" s="67">
        <v>2</v>
      </c>
      <c r="AW214" s="67">
        <v>0</v>
      </c>
      <c r="AX214" s="67">
        <v>1</v>
      </c>
      <c r="AY214" s="67">
        <v>0</v>
      </c>
      <c r="AZ214" s="67">
        <v>31</v>
      </c>
      <c r="BB214" s="70" t="s">
        <v>1385</v>
      </c>
      <c r="BC214" s="70" t="s">
        <v>2441</v>
      </c>
      <c r="BD214" s="70">
        <v>110</v>
      </c>
      <c r="BE214" s="70">
        <v>103</v>
      </c>
      <c r="BF214" s="70">
        <v>206</v>
      </c>
      <c r="BG214" s="70">
        <v>250</v>
      </c>
      <c r="BH214" s="70">
        <v>174</v>
      </c>
      <c r="BI214" s="70">
        <v>843</v>
      </c>
      <c r="BJ214" s="70"/>
      <c r="BK214" s="70" t="s">
        <v>2441</v>
      </c>
      <c r="BL214" s="70">
        <v>11</v>
      </c>
      <c r="BM214" s="70">
        <v>0</v>
      </c>
      <c r="BN214" s="70">
        <v>0</v>
      </c>
      <c r="BO214" s="70">
        <v>0</v>
      </c>
      <c r="BP214" s="70">
        <v>0</v>
      </c>
      <c r="BQ214" s="70">
        <v>11</v>
      </c>
      <c r="BS214" s="21"/>
      <c r="CL214" s="57" t="s">
        <v>389</v>
      </c>
      <c r="CM214" s="57" t="s">
        <v>27</v>
      </c>
      <c r="CN214" s="57">
        <v>393</v>
      </c>
      <c r="CO214" s="57">
        <v>275</v>
      </c>
      <c r="CP214" s="57">
        <v>341</v>
      </c>
      <c r="CQ214" s="57">
        <v>459</v>
      </c>
      <c r="CR214" s="57">
        <v>395</v>
      </c>
      <c r="CS214" s="57">
        <v>1863</v>
      </c>
      <c r="CT214" s="57"/>
      <c r="CU214" s="57" t="s">
        <v>27</v>
      </c>
      <c r="CV214" s="57">
        <v>82</v>
      </c>
      <c r="CW214" s="57">
        <v>0</v>
      </c>
      <c r="CX214" s="57">
        <v>0</v>
      </c>
      <c r="CY214" s="57">
        <v>0</v>
      </c>
      <c r="CZ214" s="57">
        <v>0</v>
      </c>
      <c r="DA214" s="57">
        <v>82</v>
      </c>
      <c r="DD214" s="21"/>
      <c r="FF214" s="71" t="s">
        <v>2108</v>
      </c>
      <c r="FG214" s="71" t="s">
        <v>811</v>
      </c>
      <c r="FH214" s="71">
        <v>126</v>
      </c>
      <c r="FI214" s="71">
        <v>257</v>
      </c>
      <c r="FJ214" s="71">
        <v>332</v>
      </c>
      <c r="FK214" s="71">
        <v>366</v>
      </c>
      <c r="FL214" s="71">
        <v>560</v>
      </c>
      <c r="FM214" s="71">
        <v>1641</v>
      </c>
      <c r="FN214" s="71"/>
      <c r="FO214" s="71" t="s">
        <v>811</v>
      </c>
      <c r="FP214" s="71">
        <v>23</v>
      </c>
      <c r="FQ214" s="71">
        <v>5</v>
      </c>
      <c r="FR214" s="71">
        <v>1</v>
      </c>
      <c r="FS214" s="71">
        <v>3</v>
      </c>
      <c r="FT214" s="71">
        <v>2</v>
      </c>
      <c r="FU214" s="71">
        <v>34</v>
      </c>
    </row>
    <row r="215" spans="2:177">
      <c r="B215" s="65" t="s">
        <v>848</v>
      </c>
      <c r="C215" s="65" t="s">
        <v>27</v>
      </c>
      <c r="D215" s="65">
        <v>828</v>
      </c>
      <c r="E215" s="65">
        <v>903</v>
      </c>
      <c r="F215" s="65">
        <v>1041</v>
      </c>
      <c r="G215" s="65">
        <v>1074</v>
      </c>
      <c r="H215" s="65">
        <v>735</v>
      </c>
      <c r="I215" s="65">
        <v>4581</v>
      </c>
      <c r="K215" s="65" t="s">
        <v>27</v>
      </c>
      <c r="L215" s="65">
        <v>106</v>
      </c>
      <c r="M215" s="65">
        <v>0</v>
      </c>
      <c r="N215" s="65">
        <v>0</v>
      </c>
      <c r="O215" s="65">
        <v>0</v>
      </c>
      <c r="P215" s="65">
        <v>0</v>
      </c>
      <c r="Q215" s="65">
        <v>106</v>
      </c>
      <c r="AK215" s="67" t="s">
        <v>1213</v>
      </c>
      <c r="AL215" s="67" t="s">
        <v>27</v>
      </c>
      <c r="AM215" s="67">
        <v>299</v>
      </c>
      <c r="AN215" s="67">
        <v>358</v>
      </c>
      <c r="AO215" s="67">
        <v>586</v>
      </c>
      <c r="AP215" s="67">
        <v>616</v>
      </c>
      <c r="AQ215" s="67">
        <v>511</v>
      </c>
      <c r="AR215" s="67">
        <v>2370</v>
      </c>
      <c r="AS215" s="67"/>
      <c r="AT215" s="67" t="s">
        <v>27</v>
      </c>
      <c r="AU215" s="67">
        <v>32</v>
      </c>
      <c r="AV215" s="67">
        <v>8</v>
      </c>
      <c r="AW215" s="67">
        <v>2</v>
      </c>
      <c r="AX215" s="67">
        <v>1</v>
      </c>
      <c r="AY215" s="67">
        <v>4</v>
      </c>
      <c r="AZ215" s="67">
        <v>47</v>
      </c>
      <c r="BB215" s="70" t="s">
        <v>362</v>
      </c>
      <c r="BC215" s="70" t="s">
        <v>2441</v>
      </c>
      <c r="BD215" s="70">
        <v>119</v>
      </c>
      <c r="BE215" s="70">
        <v>125</v>
      </c>
      <c r="BF215" s="70">
        <v>219</v>
      </c>
      <c r="BG215" s="70">
        <v>241</v>
      </c>
      <c r="BH215" s="70">
        <v>221</v>
      </c>
      <c r="BI215" s="70">
        <v>925</v>
      </c>
      <c r="BJ215" s="70"/>
      <c r="BK215" s="70" t="s">
        <v>2441</v>
      </c>
      <c r="BL215" s="70">
        <v>17</v>
      </c>
      <c r="BM215" s="70">
        <v>0</v>
      </c>
      <c r="BN215" s="70">
        <v>0</v>
      </c>
      <c r="BO215" s="70">
        <v>0</v>
      </c>
      <c r="BP215" s="70">
        <v>0</v>
      </c>
      <c r="BQ215" s="70">
        <v>17</v>
      </c>
      <c r="BS215" s="21"/>
      <c r="CL215" s="57" t="s">
        <v>390</v>
      </c>
      <c r="CM215" s="57" t="s">
        <v>27</v>
      </c>
      <c r="CN215" s="57">
        <v>528</v>
      </c>
      <c r="CO215" s="57">
        <v>290</v>
      </c>
      <c r="CP215" s="57">
        <v>421</v>
      </c>
      <c r="CQ215" s="57">
        <v>537</v>
      </c>
      <c r="CR215" s="57">
        <v>467</v>
      </c>
      <c r="CS215" s="57">
        <v>2243</v>
      </c>
      <c r="CT215" s="57"/>
      <c r="CU215" s="57" t="s">
        <v>27</v>
      </c>
      <c r="CV215" s="57">
        <v>148</v>
      </c>
      <c r="CW215" s="57">
        <v>0</v>
      </c>
      <c r="CX215" s="57">
        <v>0</v>
      </c>
      <c r="CY215" s="57">
        <v>0</v>
      </c>
      <c r="CZ215" s="57">
        <v>0</v>
      </c>
      <c r="DA215" s="57">
        <v>148</v>
      </c>
      <c r="DD215" s="21"/>
      <c r="FF215" s="71" t="s">
        <v>2110</v>
      </c>
      <c r="FG215" s="71" t="s">
        <v>811</v>
      </c>
      <c r="FH215" s="71">
        <v>285</v>
      </c>
      <c r="FI215" s="71">
        <v>405</v>
      </c>
      <c r="FJ215" s="71">
        <v>480</v>
      </c>
      <c r="FK215" s="71">
        <v>488</v>
      </c>
      <c r="FL215" s="71">
        <v>732</v>
      </c>
      <c r="FM215" s="71">
        <v>2390</v>
      </c>
      <c r="FN215" s="71"/>
      <c r="FO215" s="71" t="s">
        <v>811</v>
      </c>
      <c r="FP215" s="71">
        <v>19</v>
      </c>
      <c r="FQ215" s="71">
        <v>11</v>
      </c>
      <c r="FR215" s="71">
        <v>6</v>
      </c>
      <c r="FS215" s="71">
        <v>2</v>
      </c>
      <c r="FT215" s="71">
        <v>4</v>
      </c>
      <c r="FU215" s="71">
        <v>42</v>
      </c>
    </row>
    <row r="216" spans="2:177">
      <c r="B216" s="65" t="s">
        <v>851</v>
      </c>
      <c r="C216" s="65" t="s">
        <v>27</v>
      </c>
      <c r="D216" s="65">
        <v>269</v>
      </c>
      <c r="E216" s="65">
        <v>286</v>
      </c>
      <c r="F216" s="65">
        <v>376</v>
      </c>
      <c r="G216" s="65">
        <v>501</v>
      </c>
      <c r="H216" s="65">
        <v>356</v>
      </c>
      <c r="I216" s="65">
        <v>1788</v>
      </c>
      <c r="K216" s="65" t="s">
        <v>27</v>
      </c>
      <c r="L216" s="65">
        <v>52</v>
      </c>
      <c r="M216" s="65">
        <v>1</v>
      </c>
      <c r="N216" s="65">
        <v>1</v>
      </c>
      <c r="O216" s="65">
        <v>0</v>
      </c>
      <c r="P216" s="65">
        <v>0</v>
      </c>
      <c r="Q216" s="65">
        <v>54</v>
      </c>
      <c r="AK216" s="67" t="s">
        <v>1217</v>
      </c>
      <c r="AL216" s="67" t="s">
        <v>27</v>
      </c>
      <c r="AM216" s="67">
        <v>186</v>
      </c>
      <c r="AN216" s="67">
        <v>272</v>
      </c>
      <c r="AO216" s="67">
        <v>631</v>
      </c>
      <c r="AP216" s="67">
        <v>763</v>
      </c>
      <c r="AQ216" s="67">
        <v>636</v>
      </c>
      <c r="AR216" s="67">
        <v>2488</v>
      </c>
      <c r="AS216" s="67"/>
      <c r="AT216" s="67" t="s">
        <v>27</v>
      </c>
      <c r="AU216" s="67">
        <v>29</v>
      </c>
      <c r="AV216" s="67">
        <v>0</v>
      </c>
      <c r="AW216" s="67">
        <v>0</v>
      </c>
      <c r="AX216" s="67">
        <v>1</v>
      </c>
      <c r="AY216" s="67">
        <v>1</v>
      </c>
      <c r="AZ216" s="67">
        <v>31</v>
      </c>
      <c r="BB216" s="70" t="s">
        <v>1394</v>
      </c>
      <c r="BC216" s="70" t="s">
        <v>2441</v>
      </c>
      <c r="BD216" s="70">
        <v>444</v>
      </c>
      <c r="BE216" s="70">
        <v>540</v>
      </c>
      <c r="BF216" s="70">
        <v>854</v>
      </c>
      <c r="BG216" s="70">
        <v>1059</v>
      </c>
      <c r="BH216" s="70">
        <v>828</v>
      </c>
      <c r="BI216" s="70">
        <v>3725</v>
      </c>
      <c r="BJ216" s="70"/>
      <c r="BK216" s="70" t="s">
        <v>2441</v>
      </c>
      <c r="BL216" s="70">
        <v>24</v>
      </c>
      <c r="BM216" s="70">
        <v>0</v>
      </c>
      <c r="BN216" s="70">
        <v>0</v>
      </c>
      <c r="BO216" s="70">
        <v>0</v>
      </c>
      <c r="BP216" s="70">
        <v>0</v>
      </c>
      <c r="BQ216" s="70">
        <v>24</v>
      </c>
      <c r="BS216" s="21"/>
      <c r="CL216" s="57" t="s">
        <v>393</v>
      </c>
      <c r="CM216" s="57" t="s">
        <v>27</v>
      </c>
      <c r="CN216" s="57">
        <v>81</v>
      </c>
      <c r="CO216" s="57">
        <v>103</v>
      </c>
      <c r="CP216" s="57">
        <v>192</v>
      </c>
      <c r="CQ216" s="57">
        <v>290</v>
      </c>
      <c r="CR216" s="57">
        <v>320</v>
      </c>
      <c r="CS216" s="57">
        <v>986</v>
      </c>
      <c r="CT216" s="57"/>
      <c r="CU216" s="57" t="s">
        <v>27</v>
      </c>
      <c r="CV216" s="57">
        <v>22</v>
      </c>
      <c r="CW216" s="57">
        <v>0</v>
      </c>
      <c r="CX216" s="57">
        <v>0</v>
      </c>
      <c r="CY216" s="57">
        <v>0</v>
      </c>
      <c r="CZ216" s="57">
        <v>0</v>
      </c>
      <c r="DA216" s="57">
        <v>22</v>
      </c>
      <c r="DD216" s="21"/>
      <c r="FF216" s="71" t="s">
        <v>2112</v>
      </c>
      <c r="FG216" s="71" t="s">
        <v>811</v>
      </c>
      <c r="FH216" s="71">
        <v>275</v>
      </c>
      <c r="FI216" s="71">
        <v>295</v>
      </c>
      <c r="FJ216" s="71">
        <v>369</v>
      </c>
      <c r="FK216" s="71">
        <v>432</v>
      </c>
      <c r="FL216" s="71">
        <v>436</v>
      </c>
      <c r="FM216" s="71">
        <v>1807</v>
      </c>
      <c r="FN216" s="71"/>
      <c r="FO216" s="71" t="s">
        <v>811</v>
      </c>
      <c r="FP216" s="71">
        <v>23</v>
      </c>
      <c r="FQ216" s="71">
        <v>11</v>
      </c>
      <c r="FR216" s="71">
        <v>6</v>
      </c>
      <c r="FS216" s="71">
        <v>2</v>
      </c>
      <c r="FT216" s="71">
        <v>3</v>
      </c>
      <c r="FU216" s="71">
        <v>45</v>
      </c>
    </row>
    <row r="217" spans="2:177">
      <c r="B217" s="65" t="s">
        <v>853</v>
      </c>
      <c r="C217" s="65" t="s">
        <v>27</v>
      </c>
      <c r="D217" s="65">
        <v>74</v>
      </c>
      <c r="E217" s="65">
        <v>143</v>
      </c>
      <c r="F217" s="65">
        <v>357</v>
      </c>
      <c r="G217" s="65">
        <v>470</v>
      </c>
      <c r="H217" s="65">
        <v>384</v>
      </c>
      <c r="I217" s="65">
        <v>1428</v>
      </c>
      <c r="K217" s="65" t="s">
        <v>27</v>
      </c>
      <c r="L217" s="65">
        <v>10</v>
      </c>
      <c r="M217" s="65">
        <v>0</v>
      </c>
      <c r="N217" s="65">
        <v>0</v>
      </c>
      <c r="O217" s="65">
        <v>0</v>
      </c>
      <c r="P217" s="65">
        <v>0</v>
      </c>
      <c r="Q217" s="65">
        <v>10</v>
      </c>
      <c r="AK217" s="67" t="s">
        <v>1221</v>
      </c>
      <c r="AL217" s="67" t="s">
        <v>27</v>
      </c>
      <c r="AM217" s="67">
        <v>668</v>
      </c>
      <c r="AN217" s="67">
        <v>717</v>
      </c>
      <c r="AO217" s="67">
        <v>840</v>
      </c>
      <c r="AP217" s="67">
        <v>892</v>
      </c>
      <c r="AQ217" s="67">
        <v>531</v>
      </c>
      <c r="AR217" s="67">
        <v>3648</v>
      </c>
      <c r="AS217" s="67"/>
      <c r="AT217" s="67" t="s">
        <v>27</v>
      </c>
      <c r="AU217" s="67">
        <v>61</v>
      </c>
      <c r="AV217" s="67">
        <v>3</v>
      </c>
      <c r="AW217" s="67">
        <v>2</v>
      </c>
      <c r="AX217" s="67">
        <v>1</v>
      </c>
      <c r="AY217" s="67">
        <v>0</v>
      </c>
      <c r="AZ217" s="67">
        <v>67</v>
      </c>
      <c r="BB217" s="70" t="s">
        <v>470</v>
      </c>
      <c r="BC217" s="70" t="s">
        <v>2441</v>
      </c>
      <c r="BD217" s="70" t="s">
        <v>356</v>
      </c>
      <c r="BE217" s="70" t="s">
        <v>356</v>
      </c>
      <c r="BF217" s="70" t="s">
        <v>356</v>
      </c>
      <c r="BG217" s="70" t="s">
        <v>356</v>
      </c>
      <c r="BH217" s="70" t="s">
        <v>356</v>
      </c>
      <c r="BI217" s="70" t="s">
        <v>356</v>
      </c>
      <c r="BJ217" s="70"/>
      <c r="BK217" s="70" t="s">
        <v>2441</v>
      </c>
      <c r="BL217" s="70" t="s">
        <v>356</v>
      </c>
      <c r="BM217" s="70" t="s">
        <v>356</v>
      </c>
      <c r="BN217" s="70" t="s">
        <v>356</v>
      </c>
      <c r="BO217" s="70" t="s">
        <v>356</v>
      </c>
      <c r="BP217" s="70" t="s">
        <v>356</v>
      </c>
      <c r="BQ217" s="70" t="s">
        <v>356</v>
      </c>
      <c r="BS217" s="21"/>
      <c r="CL217" s="57" t="s">
        <v>392</v>
      </c>
      <c r="CM217" s="57" t="s">
        <v>27</v>
      </c>
      <c r="CN217" s="57">
        <v>157</v>
      </c>
      <c r="CO217" s="57">
        <v>65</v>
      </c>
      <c r="CP217" s="57">
        <v>77</v>
      </c>
      <c r="CQ217" s="57">
        <v>116</v>
      </c>
      <c r="CR217" s="57">
        <v>130</v>
      </c>
      <c r="CS217" s="57">
        <v>545</v>
      </c>
      <c r="CT217" s="57"/>
      <c r="CU217" s="57" t="s">
        <v>27</v>
      </c>
      <c r="CV217" s="57">
        <v>87</v>
      </c>
      <c r="CW217" s="57">
        <v>0</v>
      </c>
      <c r="CX217" s="57">
        <v>0</v>
      </c>
      <c r="CY217" s="57">
        <v>0</v>
      </c>
      <c r="CZ217" s="57">
        <v>0</v>
      </c>
      <c r="DA217" s="57">
        <v>87</v>
      </c>
      <c r="DD217" s="21"/>
      <c r="FF217" s="71" t="s">
        <v>2115</v>
      </c>
      <c r="FG217" s="71" t="s">
        <v>811</v>
      </c>
      <c r="FH217" s="71">
        <v>234</v>
      </c>
      <c r="FI217" s="71">
        <v>291</v>
      </c>
      <c r="FJ217" s="71">
        <v>404</v>
      </c>
      <c r="FK217" s="71">
        <v>440</v>
      </c>
      <c r="FL217" s="71">
        <v>564</v>
      </c>
      <c r="FM217" s="71">
        <v>1933</v>
      </c>
      <c r="FN217" s="71"/>
      <c r="FO217" s="71" t="s">
        <v>811</v>
      </c>
      <c r="FP217" s="71">
        <v>17</v>
      </c>
      <c r="FQ217" s="71">
        <v>3</v>
      </c>
      <c r="FR217" s="71">
        <v>2</v>
      </c>
      <c r="FS217" s="71">
        <v>3</v>
      </c>
      <c r="FT217" s="71">
        <v>1</v>
      </c>
      <c r="FU217" s="71">
        <v>26</v>
      </c>
    </row>
    <row r="218" spans="2:177">
      <c r="B218" s="65" t="s">
        <v>856</v>
      </c>
      <c r="C218" s="65" t="s">
        <v>27</v>
      </c>
      <c r="D218" s="65">
        <v>101</v>
      </c>
      <c r="E218" s="65">
        <v>200</v>
      </c>
      <c r="F218" s="65">
        <v>414</v>
      </c>
      <c r="G218" s="65">
        <v>580</v>
      </c>
      <c r="H218" s="65">
        <v>405</v>
      </c>
      <c r="I218" s="65">
        <v>1700</v>
      </c>
      <c r="K218" s="65" t="s">
        <v>27</v>
      </c>
      <c r="L218" s="65">
        <v>8</v>
      </c>
      <c r="M218" s="65">
        <v>0</v>
      </c>
      <c r="N218" s="65">
        <v>0</v>
      </c>
      <c r="O218" s="65">
        <v>0</v>
      </c>
      <c r="P218" s="65">
        <v>0</v>
      </c>
      <c r="Q218" s="65">
        <v>8</v>
      </c>
      <c r="AK218" s="67" t="s">
        <v>1225</v>
      </c>
      <c r="AL218" s="67" t="s">
        <v>27</v>
      </c>
      <c r="AM218" s="67">
        <v>580</v>
      </c>
      <c r="AN218" s="67">
        <v>705</v>
      </c>
      <c r="AO218" s="67">
        <v>815</v>
      </c>
      <c r="AP218" s="67">
        <v>873</v>
      </c>
      <c r="AQ218" s="67">
        <v>554</v>
      </c>
      <c r="AR218" s="67">
        <v>3527</v>
      </c>
      <c r="AS218" s="67"/>
      <c r="AT218" s="67" t="s">
        <v>27</v>
      </c>
      <c r="AU218" s="67">
        <v>58</v>
      </c>
      <c r="AV218" s="67">
        <v>5</v>
      </c>
      <c r="AW218" s="67">
        <v>1</v>
      </c>
      <c r="AX218" s="67">
        <v>3</v>
      </c>
      <c r="AY218" s="67">
        <v>0</v>
      </c>
      <c r="AZ218" s="67">
        <v>67</v>
      </c>
      <c r="BB218" s="70" t="s">
        <v>1404</v>
      </c>
      <c r="BC218" s="70" t="s">
        <v>2441</v>
      </c>
      <c r="BD218" s="70" t="s">
        <v>356</v>
      </c>
      <c r="BE218" s="70" t="s">
        <v>356</v>
      </c>
      <c r="BF218" s="70" t="s">
        <v>356</v>
      </c>
      <c r="BG218" s="70" t="s">
        <v>356</v>
      </c>
      <c r="BH218" s="70" t="s">
        <v>356</v>
      </c>
      <c r="BI218" s="70" t="s">
        <v>356</v>
      </c>
      <c r="BJ218" s="70"/>
      <c r="BK218" s="70" t="s">
        <v>2441</v>
      </c>
      <c r="BL218" s="70" t="s">
        <v>356</v>
      </c>
      <c r="BM218" s="70" t="s">
        <v>356</v>
      </c>
      <c r="BN218" s="70" t="s">
        <v>356</v>
      </c>
      <c r="BO218" s="70" t="s">
        <v>356</v>
      </c>
      <c r="BP218" s="70" t="s">
        <v>356</v>
      </c>
      <c r="BQ218" s="70" t="s">
        <v>356</v>
      </c>
      <c r="BS218" s="21"/>
      <c r="CL218" s="57" t="s">
        <v>621</v>
      </c>
      <c r="CM218" s="57" t="s">
        <v>27</v>
      </c>
      <c r="CN218" s="57">
        <v>65</v>
      </c>
      <c r="CO218" s="57">
        <v>41</v>
      </c>
      <c r="CP218" s="57">
        <v>56</v>
      </c>
      <c r="CQ218" s="57">
        <v>86</v>
      </c>
      <c r="CR218" s="57">
        <v>81</v>
      </c>
      <c r="CS218" s="57">
        <v>329</v>
      </c>
      <c r="CT218" s="57"/>
      <c r="CU218" s="57" t="s">
        <v>27</v>
      </c>
      <c r="CV218" s="57">
        <v>33</v>
      </c>
      <c r="CW218" s="57">
        <v>0</v>
      </c>
      <c r="CX218" s="57">
        <v>0</v>
      </c>
      <c r="CY218" s="57">
        <v>0</v>
      </c>
      <c r="CZ218" s="57">
        <v>0</v>
      </c>
      <c r="DA218" s="57">
        <v>33</v>
      </c>
      <c r="DD218" s="21"/>
      <c r="FF218" s="71" t="s">
        <v>2117</v>
      </c>
      <c r="FG218" s="71" t="s">
        <v>811</v>
      </c>
      <c r="FH218" s="71">
        <v>100</v>
      </c>
      <c r="FI218" s="71">
        <v>155</v>
      </c>
      <c r="FJ218" s="71">
        <v>167</v>
      </c>
      <c r="FK218" s="71">
        <v>215</v>
      </c>
      <c r="FL218" s="71">
        <v>315</v>
      </c>
      <c r="FM218" s="71">
        <v>952</v>
      </c>
      <c r="FN218" s="71"/>
      <c r="FO218" s="71" t="s">
        <v>811</v>
      </c>
      <c r="FP218" s="71">
        <v>6</v>
      </c>
      <c r="FQ218" s="71">
        <v>1</v>
      </c>
      <c r="FR218" s="71">
        <v>0</v>
      </c>
      <c r="FS218" s="71">
        <v>0</v>
      </c>
      <c r="FT218" s="71">
        <v>0</v>
      </c>
      <c r="FU218" s="71">
        <v>7</v>
      </c>
    </row>
    <row r="219" spans="2:177">
      <c r="B219" s="65" t="s">
        <v>859</v>
      </c>
      <c r="C219" s="65" t="s">
        <v>27</v>
      </c>
      <c r="D219" s="65">
        <v>115</v>
      </c>
      <c r="E219" s="65">
        <v>188</v>
      </c>
      <c r="F219" s="65">
        <v>403</v>
      </c>
      <c r="G219" s="65">
        <v>578</v>
      </c>
      <c r="H219" s="65">
        <v>415</v>
      </c>
      <c r="I219" s="65">
        <v>1699</v>
      </c>
      <c r="K219" s="65" t="s">
        <v>27</v>
      </c>
      <c r="L219" s="65">
        <v>10</v>
      </c>
      <c r="M219" s="65">
        <v>2</v>
      </c>
      <c r="N219" s="65">
        <v>0</v>
      </c>
      <c r="O219" s="65">
        <v>0</v>
      </c>
      <c r="P219" s="65">
        <v>0</v>
      </c>
      <c r="Q219" s="65">
        <v>12</v>
      </c>
      <c r="AK219" s="67" t="s">
        <v>1229</v>
      </c>
      <c r="AL219" s="67" t="s">
        <v>27</v>
      </c>
      <c r="AM219" s="67">
        <v>339</v>
      </c>
      <c r="AN219" s="67">
        <v>283</v>
      </c>
      <c r="AO219" s="67">
        <v>360</v>
      </c>
      <c r="AP219" s="67">
        <v>381</v>
      </c>
      <c r="AQ219" s="67">
        <v>258</v>
      </c>
      <c r="AR219" s="67">
        <v>1621</v>
      </c>
      <c r="AS219" s="67"/>
      <c r="AT219" s="67" t="s">
        <v>27</v>
      </c>
      <c r="AU219" s="67">
        <v>28</v>
      </c>
      <c r="AV219" s="67">
        <v>2</v>
      </c>
      <c r="AW219" s="67">
        <v>1</v>
      </c>
      <c r="AX219" s="67">
        <v>0</v>
      </c>
      <c r="AY219" s="67">
        <v>1</v>
      </c>
      <c r="AZ219" s="67">
        <v>32</v>
      </c>
      <c r="BB219" s="70" t="s">
        <v>472</v>
      </c>
      <c r="BC219" s="70" t="s">
        <v>2441</v>
      </c>
      <c r="BD219" s="70" t="s">
        <v>356</v>
      </c>
      <c r="BE219" s="70" t="s">
        <v>356</v>
      </c>
      <c r="BF219" s="70" t="s">
        <v>356</v>
      </c>
      <c r="BG219" s="70" t="s">
        <v>356</v>
      </c>
      <c r="BH219" s="70" t="s">
        <v>356</v>
      </c>
      <c r="BI219" s="70" t="s">
        <v>356</v>
      </c>
      <c r="BJ219" s="70"/>
      <c r="BK219" s="70" t="s">
        <v>2441</v>
      </c>
      <c r="BL219" s="70" t="s">
        <v>356</v>
      </c>
      <c r="BM219" s="70" t="s">
        <v>356</v>
      </c>
      <c r="BN219" s="70" t="s">
        <v>356</v>
      </c>
      <c r="BO219" s="70" t="s">
        <v>356</v>
      </c>
      <c r="BP219" s="70" t="s">
        <v>356</v>
      </c>
      <c r="BQ219" s="70" t="s">
        <v>356</v>
      </c>
      <c r="BS219" s="21"/>
      <c r="CL219" s="57" t="s">
        <v>623</v>
      </c>
      <c r="CM219" s="57" t="s">
        <v>27</v>
      </c>
      <c r="CN219" s="57">
        <v>58</v>
      </c>
      <c r="CO219" s="57">
        <v>73</v>
      </c>
      <c r="CP219" s="57">
        <v>162</v>
      </c>
      <c r="CQ219" s="57">
        <v>260</v>
      </c>
      <c r="CR219" s="57">
        <v>272</v>
      </c>
      <c r="CS219" s="57">
        <v>825</v>
      </c>
      <c r="CT219" s="57"/>
      <c r="CU219" s="57" t="s">
        <v>27</v>
      </c>
      <c r="CV219" s="57">
        <v>6</v>
      </c>
      <c r="CW219" s="57">
        <v>0</v>
      </c>
      <c r="CX219" s="57">
        <v>0</v>
      </c>
      <c r="CY219" s="57">
        <v>0</v>
      </c>
      <c r="CZ219" s="57">
        <v>0</v>
      </c>
      <c r="DA219" s="57">
        <v>6</v>
      </c>
      <c r="DD219" s="21"/>
      <c r="FF219" s="71" t="s">
        <v>2119</v>
      </c>
      <c r="FG219" s="71" t="s">
        <v>811</v>
      </c>
      <c r="FH219" s="71">
        <v>283</v>
      </c>
      <c r="FI219" s="71">
        <v>267</v>
      </c>
      <c r="FJ219" s="71">
        <v>305</v>
      </c>
      <c r="FK219" s="71">
        <v>402</v>
      </c>
      <c r="FL219" s="71">
        <v>535</v>
      </c>
      <c r="FM219" s="71">
        <v>1792</v>
      </c>
      <c r="FN219" s="71"/>
      <c r="FO219" s="71" t="s">
        <v>811</v>
      </c>
      <c r="FP219" s="71">
        <v>16</v>
      </c>
      <c r="FQ219" s="71">
        <v>5</v>
      </c>
      <c r="FR219" s="71">
        <v>2</v>
      </c>
      <c r="FS219" s="71">
        <v>2</v>
      </c>
      <c r="FT219" s="71">
        <v>2</v>
      </c>
      <c r="FU219" s="71">
        <v>27</v>
      </c>
    </row>
    <row r="220" spans="2:177">
      <c r="B220" s="65" t="s">
        <v>863</v>
      </c>
      <c r="C220" s="65" t="s">
        <v>27</v>
      </c>
      <c r="D220" s="65">
        <v>168</v>
      </c>
      <c r="E220" s="65">
        <v>329</v>
      </c>
      <c r="F220" s="65">
        <v>647</v>
      </c>
      <c r="G220" s="65">
        <v>748</v>
      </c>
      <c r="H220" s="65">
        <v>479</v>
      </c>
      <c r="I220" s="65">
        <v>2371</v>
      </c>
      <c r="K220" s="65" t="s">
        <v>27</v>
      </c>
      <c r="L220" s="65">
        <v>13</v>
      </c>
      <c r="M220" s="65">
        <v>3</v>
      </c>
      <c r="N220" s="65">
        <v>0</v>
      </c>
      <c r="O220" s="65">
        <v>0</v>
      </c>
      <c r="P220" s="65">
        <v>0</v>
      </c>
      <c r="Q220" s="65">
        <v>16</v>
      </c>
      <c r="AK220" s="67" t="s">
        <v>1234</v>
      </c>
      <c r="AL220" s="67" t="s">
        <v>27</v>
      </c>
      <c r="AM220" s="67">
        <v>406</v>
      </c>
      <c r="AN220" s="67">
        <v>314</v>
      </c>
      <c r="AO220" s="67">
        <v>532</v>
      </c>
      <c r="AP220" s="67">
        <v>757</v>
      </c>
      <c r="AQ220" s="67">
        <v>700</v>
      </c>
      <c r="AR220" s="67">
        <v>2709</v>
      </c>
      <c r="AS220" s="67"/>
      <c r="AT220" s="67" t="s">
        <v>27</v>
      </c>
      <c r="AU220" s="67">
        <v>50</v>
      </c>
      <c r="AV220" s="67">
        <v>0</v>
      </c>
      <c r="AW220" s="67">
        <v>0</v>
      </c>
      <c r="AX220" s="67">
        <v>0</v>
      </c>
      <c r="AY220" s="67">
        <v>0</v>
      </c>
      <c r="AZ220" s="67">
        <v>50</v>
      </c>
      <c r="BB220" s="70" t="s">
        <v>1412</v>
      </c>
      <c r="BC220" s="70" t="s">
        <v>2441</v>
      </c>
      <c r="BD220" s="70" t="s">
        <v>356</v>
      </c>
      <c r="BE220" s="70" t="s">
        <v>356</v>
      </c>
      <c r="BF220" s="70" t="s">
        <v>356</v>
      </c>
      <c r="BG220" s="70" t="s">
        <v>356</v>
      </c>
      <c r="BH220" s="70" t="s">
        <v>356</v>
      </c>
      <c r="BI220" s="70" t="s">
        <v>356</v>
      </c>
      <c r="BJ220" s="70"/>
      <c r="BK220" s="70" t="s">
        <v>2441</v>
      </c>
      <c r="BL220" s="70" t="s">
        <v>356</v>
      </c>
      <c r="BM220" s="70" t="s">
        <v>356</v>
      </c>
      <c r="BN220" s="70" t="s">
        <v>356</v>
      </c>
      <c r="BO220" s="70" t="s">
        <v>356</v>
      </c>
      <c r="BP220" s="70" t="s">
        <v>356</v>
      </c>
      <c r="BQ220" s="70" t="s">
        <v>356</v>
      </c>
      <c r="BS220" s="21"/>
      <c r="CL220" s="57" t="s">
        <v>395</v>
      </c>
      <c r="CM220" s="57" t="s">
        <v>27</v>
      </c>
      <c r="CN220" s="57">
        <v>15</v>
      </c>
      <c r="CO220" s="57">
        <v>33</v>
      </c>
      <c r="CP220" s="57">
        <v>65</v>
      </c>
      <c r="CQ220" s="57">
        <v>112</v>
      </c>
      <c r="CR220" s="57">
        <v>135</v>
      </c>
      <c r="CS220" s="57">
        <v>360</v>
      </c>
      <c r="CT220" s="57"/>
      <c r="CU220" s="57" t="s">
        <v>27</v>
      </c>
      <c r="CV220" s="57">
        <v>4</v>
      </c>
      <c r="CW220" s="57">
        <v>0</v>
      </c>
      <c r="CX220" s="57">
        <v>0</v>
      </c>
      <c r="CY220" s="57">
        <v>0</v>
      </c>
      <c r="CZ220" s="57">
        <v>0</v>
      </c>
      <c r="DA220" s="57">
        <v>4</v>
      </c>
      <c r="DD220" s="21"/>
      <c r="FF220" s="71" t="s">
        <v>2121</v>
      </c>
      <c r="FG220" s="71" t="s">
        <v>811</v>
      </c>
      <c r="FH220" s="71">
        <v>179</v>
      </c>
      <c r="FI220" s="71">
        <v>206</v>
      </c>
      <c r="FJ220" s="71">
        <v>234</v>
      </c>
      <c r="FK220" s="71">
        <v>301</v>
      </c>
      <c r="FL220" s="71">
        <v>441</v>
      </c>
      <c r="FM220" s="71">
        <v>1361</v>
      </c>
      <c r="FN220" s="71"/>
      <c r="FO220" s="71" t="s">
        <v>811</v>
      </c>
      <c r="FP220" s="71">
        <v>6</v>
      </c>
      <c r="FQ220" s="71">
        <v>5</v>
      </c>
      <c r="FR220" s="71">
        <v>1</v>
      </c>
      <c r="FS220" s="71">
        <v>0</v>
      </c>
      <c r="FT220" s="71">
        <v>1</v>
      </c>
      <c r="FU220" s="71">
        <v>13</v>
      </c>
    </row>
    <row r="221" spans="2:177">
      <c r="B221" s="65" t="s">
        <v>866</v>
      </c>
      <c r="C221" s="65" t="s">
        <v>27</v>
      </c>
      <c r="D221" s="65">
        <v>249</v>
      </c>
      <c r="E221" s="65">
        <v>506</v>
      </c>
      <c r="F221" s="65">
        <v>807</v>
      </c>
      <c r="G221" s="65">
        <v>974</v>
      </c>
      <c r="H221" s="65">
        <v>640</v>
      </c>
      <c r="I221" s="65">
        <v>3176</v>
      </c>
      <c r="K221" s="65" t="s">
        <v>27</v>
      </c>
      <c r="L221" s="65">
        <v>11</v>
      </c>
      <c r="M221" s="65">
        <v>1</v>
      </c>
      <c r="N221" s="65">
        <v>0</v>
      </c>
      <c r="O221" s="65">
        <v>0</v>
      </c>
      <c r="P221" s="65">
        <v>0</v>
      </c>
      <c r="Q221" s="65">
        <v>12</v>
      </c>
      <c r="AK221" s="67" t="s">
        <v>1237</v>
      </c>
      <c r="AL221" s="67" t="s">
        <v>27</v>
      </c>
      <c r="AM221" s="67">
        <v>264</v>
      </c>
      <c r="AN221" s="67">
        <v>248</v>
      </c>
      <c r="AO221" s="67">
        <v>343</v>
      </c>
      <c r="AP221" s="67">
        <v>496</v>
      </c>
      <c r="AQ221" s="67">
        <v>440</v>
      </c>
      <c r="AR221" s="67">
        <v>1791</v>
      </c>
      <c r="AS221" s="67"/>
      <c r="AT221" s="67" t="s">
        <v>27</v>
      </c>
      <c r="AU221" s="67">
        <v>59</v>
      </c>
      <c r="AV221" s="67">
        <v>2</v>
      </c>
      <c r="AW221" s="67">
        <v>0</v>
      </c>
      <c r="AX221" s="67">
        <v>1</v>
      </c>
      <c r="AY221" s="67">
        <v>0</v>
      </c>
      <c r="AZ221" s="67">
        <v>62</v>
      </c>
      <c r="BB221" s="70" t="s">
        <v>1418</v>
      </c>
      <c r="BC221" s="70" t="s">
        <v>2441</v>
      </c>
      <c r="BD221" s="70">
        <v>194</v>
      </c>
      <c r="BE221" s="70">
        <v>137</v>
      </c>
      <c r="BF221" s="70">
        <v>226</v>
      </c>
      <c r="BG221" s="70">
        <v>274</v>
      </c>
      <c r="BH221" s="70">
        <v>214</v>
      </c>
      <c r="BI221" s="70">
        <v>1045</v>
      </c>
      <c r="BJ221" s="70"/>
      <c r="BK221" s="70" t="s">
        <v>2441</v>
      </c>
      <c r="BL221" s="70">
        <v>33</v>
      </c>
      <c r="BM221" s="70">
        <v>0</v>
      </c>
      <c r="BN221" s="70">
        <v>0</v>
      </c>
      <c r="BO221" s="70">
        <v>0</v>
      </c>
      <c r="BP221" s="70">
        <v>0</v>
      </c>
      <c r="BQ221" s="70">
        <v>33</v>
      </c>
      <c r="BS221" s="21"/>
      <c r="CL221" s="57" t="s">
        <v>549</v>
      </c>
      <c r="CM221" s="57" t="s">
        <v>27</v>
      </c>
      <c r="CN221" s="57">
        <v>26</v>
      </c>
      <c r="CO221" s="57">
        <v>23</v>
      </c>
      <c r="CP221" s="57">
        <v>39</v>
      </c>
      <c r="CQ221" s="57">
        <v>46</v>
      </c>
      <c r="CR221" s="57">
        <v>54</v>
      </c>
      <c r="CS221" s="57">
        <v>188</v>
      </c>
      <c r="CT221" s="57"/>
      <c r="CU221" s="57" t="s">
        <v>27</v>
      </c>
      <c r="CV221" s="57">
        <v>12</v>
      </c>
      <c r="CW221" s="57">
        <v>0</v>
      </c>
      <c r="CX221" s="57">
        <v>0</v>
      </c>
      <c r="CY221" s="57">
        <v>0</v>
      </c>
      <c r="CZ221" s="57">
        <v>0</v>
      </c>
      <c r="DA221" s="57">
        <v>12</v>
      </c>
      <c r="DD221" s="21"/>
      <c r="FF221" s="71" t="s">
        <v>2123</v>
      </c>
      <c r="FG221" s="71" t="s">
        <v>811</v>
      </c>
      <c r="FH221" s="71">
        <v>102</v>
      </c>
      <c r="FI221" s="71">
        <v>126</v>
      </c>
      <c r="FJ221" s="71">
        <v>189</v>
      </c>
      <c r="FK221" s="71">
        <v>235</v>
      </c>
      <c r="FL221" s="71">
        <v>306</v>
      </c>
      <c r="FM221" s="71">
        <v>958</v>
      </c>
      <c r="FN221" s="71"/>
      <c r="FO221" s="71" t="s">
        <v>811</v>
      </c>
      <c r="FP221" s="71">
        <v>5</v>
      </c>
      <c r="FQ221" s="71">
        <v>2</v>
      </c>
      <c r="FR221" s="71">
        <v>1</v>
      </c>
      <c r="FS221" s="71">
        <v>1</v>
      </c>
      <c r="FT221" s="71">
        <v>0</v>
      </c>
      <c r="FU221" s="71">
        <v>9</v>
      </c>
    </row>
    <row r="222" spans="2:177">
      <c r="B222" s="65" t="s">
        <v>869</v>
      </c>
      <c r="C222" s="65" t="s">
        <v>27</v>
      </c>
      <c r="D222" s="65">
        <v>454</v>
      </c>
      <c r="E222" s="65">
        <v>504</v>
      </c>
      <c r="F222" s="65">
        <v>682</v>
      </c>
      <c r="G222" s="65">
        <v>747</v>
      </c>
      <c r="H222" s="65">
        <v>555</v>
      </c>
      <c r="I222" s="65">
        <v>2942</v>
      </c>
      <c r="K222" s="65" t="s">
        <v>27</v>
      </c>
      <c r="L222" s="65">
        <v>31</v>
      </c>
      <c r="M222" s="65">
        <v>0</v>
      </c>
      <c r="N222" s="65">
        <v>0</v>
      </c>
      <c r="O222" s="65">
        <v>0</v>
      </c>
      <c r="P222" s="65">
        <v>0</v>
      </c>
      <c r="Q222" s="65">
        <v>31</v>
      </c>
      <c r="AK222" s="67" t="s">
        <v>1240</v>
      </c>
      <c r="AL222" s="67" t="s">
        <v>27</v>
      </c>
      <c r="AM222" s="67">
        <v>1123</v>
      </c>
      <c r="AN222" s="67">
        <v>890</v>
      </c>
      <c r="AO222" s="67">
        <v>1348</v>
      </c>
      <c r="AP222" s="67">
        <v>1529</v>
      </c>
      <c r="AQ222" s="67">
        <v>1130</v>
      </c>
      <c r="AR222" s="67">
        <v>6020</v>
      </c>
      <c r="AS222" s="67"/>
      <c r="AT222" s="67" t="s">
        <v>27</v>
      </c>
      <c r="AU222" s="67">
        <v>94</v>
      </c>
      <c r="AV222" s="67">
        <v>0</v>
      </c>
      <c r="AW222" s="67">
        <v>0</v>
      </c>
      <c r="AX222" s="67">
        <v>0</v>
      </c>
      <c r="AY222" s="67">
        <v>0</v>
      </c>
      <c r="AZ222" s="67">
        <v>94</v>
      </c>
      <c r="BB222" s="70" t="s">
        <v>1424</v>
      </c>
      <c r="BC222" s="70" t="s">
        <v>2441</v>
      </c>
      <c r="BD222" s="70">
        <v>275</v>
      </c>
      <c r="BE222" s="70">
        <v>438</v>
      </c>
      <c r="BF222" s="70">
        <v>663</v>
      </c>
      <c r="BG222" s="70">
        <v>792</v>
      </c>
      <c r="BH222" s="70">
        <v>524</v>
      </c>
      <c r="BI222" s="70">
        <v>2692</v>
      </c>
      <c r="BJ222" s="70"/>
      <c r="BK222" s="70" t="s">
        <v>2441</v>
      </c>
      <c r="BL222" s="70">
        <v>32</v>
      </c>
      <c r="BM222" s="70">
        <v>0</v>
      </c>
      <c r="BN222" s="70">
        <v>0</v>
      </c>
      <c r="BO222" s="70">
        <v>0</v>
      </c>
      <c r="BP222" s="70">
        <v>0</v>
      </c>
      <c r="BQ222" s="70">
        <v>32</v>
      </c>
      <c r="BS222" s="21"/>
      <c r="CL222" s="57" t="s">
        <v>391</v>
      </c>
      <c r="CM222" s="57" t="s">
        <v>27</v>
      </c>
      <c r="CN222" s="57">
        <v>125</v>
      </c>
      <c r="CO222" s="57">
        <v>79</v>
      </c>
      <c r="CP222" s="57">
        <v>115</v>
      </c>
      <c r="CQ222" s="57">
        <v>175</v>
      </c>
      <c r="CR222" s="57">
        <v>179</v>
      </c>
      <c r="CS222" s="57">
        <v>673</v>
      </c>
      <c r="CT222" s="57"/>
      <c r="CU222" s="57" t="s">
        <v>27</v>
      </c>
      <c r="CV222" s="57">
        <v>22</v>
      </c>
      <c r="CW222" s="57">
        <v>0</v>
      </c>
      <c r="CX222" s="57">
        <v>0</v>
      </c>
      <c r="CY222" s="57">
        <v>0</v>
      </c>
      <c r="CZ222" s="57">
        <v>0</v>
      </c>
      <c r="DA222" s="57">
        <v>22</v>
      </c>
      <c r="DD222" s="21"/>
      <c r="FF222" s="71" t="s">
        <v>2125</v>
      </c>
      <c r="FG222" s="71" t="s">
        <v>811</v>
      </c>
      <c r="FH222" s="71">
        <v>116</v>
      </c>
      <c r="FI222" s="71">
        <v>128</v>
      </c>
      <c r="FJ222" s="71">
        <v>171</v>
      </c>
      <c r="FK222" s="71">
        <v>200</v>
      </c>
      <c r="FL222" s="71">
        <v>304</v>
      </c>
      <c r="FM222" s="71">
        <v>919</v>
      </c>
      <c r="FN222" s="71"/>
      <c r="FO222" s="71" t="s">
        <v>811</v>
      </c>
      <c r="FP222" s="71">
        <v>18</v>
      </c>
      <c r="FQ222" s="71">
        <v>3</v>
      </c>
      <c r="FR222" s="71">
        <v>2</v>
      </c>
      <c r="FS222" s="71">
        <v>2</v>
      </c>
      <c r="FT222" s="71">
        <v>1</v>
      </c>
      <c r="FU222" s="71">
        <v>26</v>
      </c>
    </row>
    <row r="223" spans="2:177">
      <c r="B223" s="65" t="s">
        <v>877</v>
      </c>
      <c r="C223" s="65" t="s">
        <v>27</v>
      </c>
      <c r="D223" s="65">
        <v>313</v>
      </c>
      <c r="E223" s="65">
        <v>420</v>
      </c>
      <c r="F223" s="65">
        <v>602</v>
      </c>
      <c r="G223" s="65">
        <v>707</v>
      </c>
      <c r="H223" s="65">
        <v>525</v>
      </c>
      <c r="I223" s="65">
        <v>2567</v>
      </c>
      <c r="K223" s="65" t="s">
        <v>27</v>
      </c>
      <c r="L223" s="65">
        <v>21</v>
      </c>
      <c r="M223" s="65">
        <v>0</v>
      </c>
      <c r="N223" s="65">
        <v>0</v>
      </c>
      <c r="O223" s="65">
        <v>0</v>
      </c>
      <c r="P223" s="65">
        <v>0</v>
      </c>
      <c r="Q223" s="65">
        <v>21</v>
      </c>
      <c r="AK223" s="67" t="s">
        <v>1255</v>
      </c>
      <c r="AL223" s="67" t="s">
        <v>27</v>
      </c>
      <c r="AM223" s="67">
        <v>418</v>
      </c>
      <c r="AN223" s="67">
        <v>572</v>
      </c>
      <c r="AO223" s="67">
        <v>770</v>
      </c>
      <c r="AP223" s="67">
        <v>804</v>
      </c>
      <c r="AQ223" s="67">
        <v>641</v>
      </c>
      <c r="AR223" s="67">
        <v>3205</v>
      </c>
      <c r="AS223" s="67"/>
      <c r="AT223" s="67" t="s">
        <v>27</v>
      </c>
      <c r="AU223" s="67">
        <v>65</v>
      </c>
      <c r="AV223" s="67">
        <v>2</v>
      </c>
      <c r="AW223" s="67">
        <v>0</v>
      </c>
      <c r="AX223" s="67">
        <v>1</v>
      </c>
      <c r="AY223" s="67">
        <v>0</v>
      </c>
      <c r="AZ223" s="67">
        <v>68</v>
      </c>
      <c r="BB223" s="70" t="s">
        <v>473</v>
      </c>
      <c r="BC223" s="70" t="s">
        <v>2441</v>
      </c>
      <c r="BD223" s="70" t="s">
        <v>356</v>
      </c>
      <c r="BE223" s="70" t="s">
        <v>356</v>
      </c>
      <c r="BF223" s="70" t="s">
        <v>356</v>
      </c>
      <c r="BG223" s="70" t="s">
        <v>356</v>
      </c>
      <c r="BH223" s="70" t="s">
        <v>356</v>
      </c>
      <c r="BI223" s="70" t="s">
        <v>356</v>
      </c>
      <c r="BJ223" s="70"/>
      <c r="BK223" s="70" t="s">
        <v>2441</v>
      </c>
      <c r="BL223" s="70" t="s">
        <v>356</v>
      </c>
      <c r="BM223" s="70" t="s">
        <v>356</v>
      </c>
      <c r="BN223" s="70" t="s">
        <v>356</v>
      </c>
      <c r="BO223" s="70" t="s">
        <v>356</v>
      </c>
      <c r="BP223" s="70" t="s">
        <v>356</v>
      </c>
      <c r="BQ223" s="70" t="s">
        <v>356</v>
      </c>
      <c r="BS223" s="21"/>
      <c r="CL223" s="57" t="s">
        <v>396</v>
      </c>
      <c r="CM223" s="57" t="s">
        <v>27</v>
      </c>
      <c r="CN223" s="57">
        <v>92</v>
      </c>
      <c r="CO223" s="57">
        <v>61</v>
      </c>
      <c r="CP223" s="57">
        <v>79</v>
      </c>
      <c r="CQ223" s="57">
        <v>103</v>
      </c>
      <c r="CR223" s="57">
        <v>119</v>
      </c>
      <c r="CS223" s="57">
        <v>454</v>
      </c>
      <c r="CT223" s="57"/>
      <c r="CU223" s="57" t="s">
        <v>27</v>
      </c>
      <c r="CV223" s="57">
        <v>27</v>
      </c>
      <c r="CW223" s="57">
        <v>0</v>
      </c>
      <c r="CX223" s="57">
        <v>0</v>
      </c>
      <c r="CY223" s="57">
        <v>0</v>
      </c>
      <c r="CZ223" s="57">
        <v>0</v>
      </c>
      <c r="DA223" s="57">
        <v>27</v>
      </c>
      <c r="DD223" s="21"/>
      <c r="FF223" s="71" t="s">
        <v>2127</v>
      </c>
      <c r="FG223" s="71" t="s">
        <v>811</v>
      </c>
      <c r="FH223" s="71">
        <v>273</v>
      </c>
      <c r="FI223" s="71">
        <v>329</v>
      </c>
      <c r="FJ223" s="71">
        <v>332</v>
      </c>
      <c r="FK223" s="71">
        <v>324</v>
      </c>
      <c r="FL223" s="71">
        <v>397</v>
      </c>
      <c r="FM223" s="71">
        <v>1655</v>
      </c>
      <c r="FN223" s="71"/>
      <c r="FO223" s="71" t="s">
        <v>811</v>
      </c>
      <c r="FP223" s="71">
        <v>15</v>
      </c>
      <c r="FQ223" s="71">
        <v>4</v>
      </c>
      <c r="FR223" s="71">
        <v>4</v>
      </c>
      <c r="FS223" s="71">
        <v>1</v>
      </c>
      <c r="FT223" s="71">
        <v>1</v>
      </c>
      <c r="FU223" s="71">
        <v>25</v>
      </c>
    </row>
    <row r="224" spans="2:177">
      <c r="B224" s="65" t="s">
        <v>880</v>
      </c>
      <c r="C224" s="65" t="s">
        <v>27</v>
      </c>
      <c r="D224" s="65">
        <v>239</v>
      </c>
      <c r="E224" s="65">
        <v>275</v>
      </c>
      <c r="F224" s="65">
        <v>437</v>
      </c>
      <c r="G224" s="65">
        <v>562</v>
      </c>
      <c r="H224" s="65">
        <v>417</v>
      </c>
      <c r="I224" s="65">
        <v>1930</v>
      </c>
      <c r="K224" s="65" t="s">
        <v>27</v>
      </c>
      <c r="L224" s="65">
        <v>25</v>
      </c>
      <c r="M224" s="65">
        <v>0</v>
      </c>
      <c r="N224" s="65">
        <v>0</v>
      </c>
      <c r="O224" s="65">
        <v>0</v>
      </c>
      <c r="P224" s="65">
        <v>0</v>
      </c>
      <c r="Q224" s="65">
        <v>25</v>
      </c>
      <c r="AK224" s="67" t="s">
        <v>1258</v>
      </c>
      <c r="AL224" s="67" t="s">
        <v>27</v>
      </c>
      <c r="AM224" s="67">
        <v>281</v>
      </c>
      <c r="AN224" s="67">
        <v>251</v>
      </c>
      <c r="AO224" s="67">
        <v>372</v>
      </c>
      <c r="AP224" s="67">
        <v>477</v>
      </c>
      <c r="AQ224" s="67">
        <v>458</v>
      </c>
      <c r="AR224" s="67">
        <v>1839</v>
      </c>
      <c r="AS224" s="67"/>
      <c r="AT224" s="67" t="s">
        <v>27</v>
      </c>
      <c r="AU224" s="67">
        <v>66</v>
      </c>
      <c r="AV224" s="67">
        <v>1</v>
      </c>
      <c r="AW224" s="67">
        <v>0</v>
      </c>
      <c r="AX224" s="67">
        <v>0</v>
      </c>
      <c r="AY224" s="67">
        <v>0</v>
      </c>
      <c r="AZ224" s="67">
        <v>67</v>
      </c>
      <c r="BB224" s="70" t="s">
        <v>1432</v>
      </c>
      <c r="BC224" s="70" t="s">
        <v>2441</v>
      </c>
      <c r="BD224" s="70" t="s">
        <v>356</v>
      </c>
      <c r="BE224" s="70" t="s">
        <v>356</v>
      </c>
      <c r="BF224" s="70" t="s">
        <v>356</v>
      </c>
      <c r="BG224" s="70" t="s">
        <v>356</v>
      </c>
      <c r="BH224" s="70" t="s">
        <v>356</v>
      </c>
      <c r="BI224" s="70" t="s">
        <v>356</v>
      </c>
      <c r="BJ224" s="70"/>
      <c r="BK224" s="70" t="s">
        <v>2441</v>
      </c>
      <c r="BL224" s="70" t="s">
        <v>356</v>
      </c>
      <c r="BM224" s="70" t="s">
        <v>356</v>
      </c>
      <c r="BN224" s="70" t="s">
        <v>356</v>
      </c>
      <c r="BO224" s="70" t="s">
        <v>356</v>
      </c>
      <c r="BP224" s="70" t="s">
        <v>356</v>
      </c>
      <c r="BQ224" s="70" t="s">
        <v>356</v>
      </c>
      <c r="BS224" s="21"/>
      <c r="CL224" s="57" t="s">
        <v>394</v>
      </c>
      <c r="CM224" s="57" t="s">
        <v>27</v>
      </c>
      <c r="CN224" s="57">
        <v>79</v>
      </c>
      <c r="CO224" s="57">
        <v>65</v>
      </c>
      <c r="CP224" s="57">
        <v>99</v>
      </c>
      <c r="CQ224" s="57">
        <v>115</v>
      </c>
      <c r="CR224" s="57">
        <v>176</v>
      </c>
      <c r="CS224" s="57">
        <v>534</v>
      </c>
      <c r="CT224" s="57"/>
      <c r="CU224" s="57" t="s">
        <v>27</v>
      </c>
      <c r="CV224" s="57">
        <v>16</v>
      </c>
      <c r="CW224" s="57">
        <v>0</v>
      </c>
      <c r="CX224" s="57">
        <v>0</v>
      </c>
      <c r="CY224" s="57">
        <v>0</v>
      </c>
      <c r="CZ224" s="57">
        <v>0</v>
      </c>
      <c r="DA224" s="57">
        <v>16</v>
      </c>
      <c r="DD224" s="21"/>
      <c r="FF224" s="71" t="s">
        <v>2129</v>
      </c>
      <c r="FG224" s="71" t="s">
        <v>811</v>
      </c>
      <c r="FH224" s="71">
        <v>159</v>
      </c>
      <c r="FI224" s="71">
        <v>158</v>
      </c>
      <c r="FJ224" s="71">
        <v>199</v>
      </c>
      <c r="FK224" s="71">
        <v>249</v>
      </c>
      <c r="FL224" s="71">
        <v>406</v>
      </c>
      <c r="FM224" s="71">
        <v>1171</v>
      </c>
      <c r="FN224" s="71"/>
      <c r="FO224" s="71" t="s">
        <v>811</v>
      </c>
      <c r="FP224" s="71">
        <v>14</v>
      </c>
      <c r="FQ224" s="71">
        <v>4</v>
      </c>
      <c r="FR224" s="71">
        <v>0</v>
      </c>
      <c r="FS224" s="71">
        <v>0</v>
      </c>
      <c r="FT224" s="71">
        <v>0</v>
      </c>
      <c r="FU224" s="71">
        <v>18</v>
      </c>
    </row>
    <row r="225" spans="2:177">
      <c r="B225" s="65" t="s">
        <v>885</v>
      </c>
      <c r="C225" s="65" t="s">
        <v>27</v>
      </c>
      <c r="D225" s="65">
        <v>534</v>
      </c>
      <c r="E225" s="65">
        <v>553</v>
      </c>
      <c r="F225" s="65">
        <v>583</v>
      </c>
      <c r="G225" s="65">
        <v>629</v>
      </c>
      <c r="H225" s="65">
        <v>568</v>
      </c>
      <c r="I225" s="65">
        <v>2867</v>
      </c>
      <c r="K225" s="65" t="s">
        <v>27</v>
      </c>
      <c r="L225" s="65">
        <v>20</v>
      </c>
      <c r="M225" s="65">
        <v>0</v>
      </c>
      <c r="N225" s="65">
        <v>0</v>
      </c>
      <c r="O225" s="65">
        <v>0</v>
      </c>
      <c r="P225" s="65">
        <v>0</v>
      </c>
      <c r="Q225" s="65">
        <v>20</v>
      </c>
      <c r="AK225" s="67" t="s">
        <v>1261</v>
      </c>
      <c r="AL225" s="67" t="s">
        <v>27</v>
      </c>
      <c r="AM225" s="67">
        <v>462</v>
      </c>
      <c r="AN225" s="67">
        <v>543</v>
      </c>
      <c r="AO225" s="67">
        <v>593</v>
      </c>
      <c r="AP225" s="67">
        <v>719</v>
      </c>
      <c r="AQ225" s="67">
        <v>624</v>
      </c>
      <c r="AR225" s="67">
        <v>2941</v>
      </c>
      <c r="AS225" s="67"/>
      <c r="AT225" s="67" t="s">
        <v>27</v>
      </c>
      <c r="AU225" s="67">
        <v>24</v>
      </c>
      <c r="AV225" s="67">
        <v>13</v>
      </c>
      <c r="AW225" s="67">
        <v>1</v>
      </c>
      <c r="AX225" s="67">
        <v>3</v>
      </c>
      <c r="AY225" s="67">
        <v>0</v>
      </c>
      <c r="AZ225" s="67">
        <v>41</v>
      </c>
      <c r="BB225" s="70" t="s">
        <v>474</v>
      </c>
      <c r="BC225" s="70" t="s">
        <v>2441</v>
      </c>
      <c r="BD225" s="70">
        <v>171</v>
      </c>
      <c r="BE225" s="70">
        <v>251</v>
      </c>
      <c r="BF225" s="70">
        <v>417</v>
      </c>
      <c r="BG225" s="70">
        <v>634</v>
      </c>
      <c r="BH225" s="70">
        <v>462</v>
      </c>
      <c r="BI225" s="70">
        <v>1935</v>
      </c>
      <c r="BJ225" s="70"/>
      <c r="BK225" s="70" t="s">
        <v>2441</v>
      </c>
      <c r="BL225" s="70">
        <v>30</v>
      </c>
      <c r="BM225" s="70">
        <v>0</v>
      </c>
      <c r="BN225" s="70">
        <v>0</v>
      </c>
      <c r="BO225" s="70">
        <v>0</v>
      </c>
      <c r="BP225" s="70">
        <v>0</v>
      </c>
      <c r="BQ225" s="70">
        <v>30</v>
      </c>
      <c r="BS225" s="21"/>
      <c r="CL225" s="57" t="s">
        <v>615</v>
      </c>
      <c r="CM225" s="57" t="s">
        <v>27</v>
      </c>
      <c r="CN225" s="57">
        <v>1074</v>
      </c>
      <c r="CO225" s="57">
        <v>839</v>
      </c>
      <c r="CP225" s="57">
        <v>847</v>
      </c>
      <c r="CQ225" s="57">
        <v>912</v>
      </c>
      <c r="CR225" s="57">
        <v>729</v>
      </c>
      <c r="CS225" s="57">
        <v>4401</v>
      </c>
      <c r="CT225" s="57"/>
      <c r="CU225" s="57" t="s">
        <v>27</v>
      </c>
      <c r="CV225" s="57">
        <v>252</v>
      </c>
      <c r="CW225" s="57">
        <v>1</v>
      </c>
      <c r="CX225" s="57">
        <v>0</v>
      </c>
      <c r="CY225" s="57">
        <v>0</v>
      </c>
      <c r="CZ225" s="57">
        <v>0</v>
      </c>
      <c r="DA225" s="57">
        <v>253</v>
      </c>
      <c r="DD225" s="21"/>
      <c r="FF225" s="71" t="s">
        <v>2134</v>
      </c>
      <c r="FG225" s="71" t="s">
        <v>811</v>
      </c>
      <c r="FH225" s="71">
        <v>182</v>
      </c>
      <c r="FI225" s="71">
        <v>246</v>
      </c>
      <c r="FJ225" s="71">
        <v>300</v>
      </c>
      <c r="FK225" s="71">
        <v>377</v>
      </c>
      <c r="FL225" s="71">
        <v>583</v>
      </c>
      <c r="FM225" s="71">
        <v>1688</v>
      </c>
      <c r="FN225" s="71"/>
      <c r="FO225" s="71" t="s">
        <v>811</v>
      </c>
      <c r="FP225" s="71">
        <v>18</v>
      </c>
      <c r="FQ225" s="71">
        <v>5</v>
      </c>
      <c r="FR225" s="71">
        <v>4</v>
      </c>
      <c r="FS225" s="71">
        <v>0</v>
      </c>
      <c r="FT225" s="71">
        <v>2</v>
      </c>
      <c r="FU225" s="71">
        <v>29</v>
      </c>
    </row>
    <row r="226" spans="2:177">
      <c r="B226" s="65" t="s">
        <v>891</v>
      </c>
      <c r="C226" s="65" t="s">
        <v>27</v>
      </c>
      <c r="D226" s="65">
        <v>321</v>
      </c>
      <c r="E226" s="65">
        <v>340</v>
      </c>
      <c r="F226" s="65">
        <v>350</v>
      </c>
      <c r="G226" s="65">
        <v>433</v>
      </c>
      <c r="H226" s="65">
        <v>328</v>
      </c>
      <c r="I226" s="65">
        <v>1772</v>
      </c>
      <c r="K226" s="65" t="s">
        <v>27</v>
      </c>
      <c r="L226" s="65">
        <v>34</v>
      </c>
      <c r="M226" s="65">
        <v>6</v>
      </c>
      <c r="N226" s="65">
        <v>1</v>
      </c>
      <c r="O226" s="65">
        <v>0</v>
      </c>
      <c r="P226" s="65">
        <v>1</v>
      </c>
      <c r="Q226" s="65">
        <v>42</v>
      </c>
      <c r="AK226" s="67" t="s">
        <v>1264</v>
      </c>
      <c r="AL226" s="67" t="s">
        <v>27</v>
      </c>
      <c r="AM226" s="67">
        <v>988</v>
      </c>
      <c r="AN226" s="67">
        <v>450</v>
      </c>
      <c r="AO226" s="67">
        <v>615</v>
      </c>
      <c r="AP226" s="67">
        <v>603</v>
      </c>
      <c r="AQ226" s="67">
        <v>486</v>
      </c>
      <c r="AR226" s="67">
        <v>3142</v>
      </c>
      <c r="AS226" s="67"/>
      <c r="AT226" s="67" t="s">
        <v>27</v>
      </c>
      <c r="AU226" s="67">
        <v>73</v>
      </c>
      <c r="AV226" s="67">
        <v>0</v>
      </c>
      <c r="AW226" s="67">
        <v>0</v>
      </c>
      <c r="AX226" s="67">
        <v>0</v>
      </c>
      <c r="AY226" s="67">
        <v>0</v>
      </c>
      <c r="AZ226" s="67">
        <v>73</v>
      </c>
      <c r="BB226" s="70" t="s">
        <v>1440</v>
      </c>
      <c r="BC226" s="70" t="s">
        <v>2441</v>
      </c>
      <c r="BD226" s="70">
        <v>260</v>
      </c>
      <c r="BE226" s="70">
        <v>335</v>
      </c>
      <c r="BF226" s="70">
        <v>527</v>
      </c>
      <c r="BG226" s="70">
        <v>735</v>
      </c>
      <c r="BH226" s="70">
        <v>567</v>
      </c>
      <c r="BI226" s="70">
        <v>2424</v>
      </c>
      <c r="BJ226" s="70"/>
      <c r="BK226" s="70" t="s">
        <v>2441</v>
      </c>
      <c r="BL226" s="70">
        <v>38</v>
      </c>
      <c r="BM226" s="70">
        <v>0</v>
      </c>
      <c r="BN226" s="70">
        <v>0</v>
      </c>
      <c r="BO226" s="70">
        <v>0</v>
      </c>
      <c r="BP226" s="70">
        <v>0</v>
      </c>
      <c r="BQ226" s="70">
        <v>38</v>
      </c>
      <c r="BS226" s="21"/>
      <c r="CL226" s="57" t="s">
        <v>554</v>
      </c>
      <c r="CM226" s="57" t="s">
        <v>27</v>
      </c>
      <c r="CN226" s="57">
        <v>57</v>
      </c>
      <c r="CO226" s="57">
        <v>94</v>
      </c>
      <c r="CP226" s="57">
        <v>218</v>
      </c>
      <c r="CQ226" s="57">
        <v>334</v>
      </c>
      <c r="CR226" s="57">
        <v>264</v>
      </c>
      <c r="CS226" s="57">
        <v>967</v>
      </c>
      <c r="CT226" s="57"/>
      <c r="CU226" s="57" t="s">
        <v>27</v>
      </c>
      <c r="CV226" s="57">
        <v>14</v>
      </c>
      <c r="CW226" s="57">
        <v>0</v>
      </c>
      <c r="CX226" s="57">
        <v>0</v>
      </c>
      <c r="CY226" s="57">
        <v>0</v>
      </c>
      <c r="CZ226" s="57">
        <v>0</v>
      </c>
      <c r="DA226" s="57">
        <v>14</v>
      </c>
      <c r="DD226" s="21"/>
    </row>
    <row r="227" spans="2:177">
      <c r="B227" s="65" t="s">
        <v>901</v>
      </c>
      <c r="C227" s="65" t="s">
        <v>27</v>
      </c>
      <c r="D227" s="65">
        <v>138</v>
      </c>
      <c r="E227" s="65">
        <v>163</v>
      </c>
      <c r="F227" s="65">
        <v>177</v>
      </c>
      <c r="G227" s="65">
        <v>225</v>
      </c>
      <c r="H227" s="65">
        <v>234</v>
      </c>
      <c r="I227" s="65">
        <v>937</v>
      </c>
      <c r="K227" s="65" t="s">
        <v>27</v>
      </c>
      <c r="L227" s="65">
        <v>32</v>
      </c>
      <c r="M227" s="65">
        <v>2</v>
      </c>
      <c r="N227" s="65">
        <v>1</v>
      </c>
      <c r="O227" s="65">
        <v>0</v>
      </c>
      <c r="P227" s="65">
        <v>0</v>
      </c>
      <c r="Q227" s="65">
        <v>35</v>
      </c>
      <c r="AK227" s="67" t="s">
        <v>1269</v>
      </c>
      <c r="AL227" s="67" t="s">
        <v>27</v>
      </c>
      <c r="AM227" s="67">
        <v>550</v>
      </c>
      <c r="AN227" s="67">
        <v>656</v>
      </c>
      <c r="AO227" s="67">
        <v>705</v>
      </c>
      <c r="AP227" s="67">
        <v>800</v>
      </c>
      <c r="AQ227" s="67">
        <v>718</v>
      </c>
      <c r="AR227" s="67">
        <v>3429</v>
      </c>
      <c r="AS227" s="67"/>
      <c r="AT227" s="67" t="s">
        <v>27</v>
      </c>
      <c r="AU227" s="67">
        <v>27</v>
      </c>
      <c r="AV227" s="67">
        <v>6</v>
      </c>
      <c r="AW227" s="67">
        <v>1</v>
      </c>
      <c r="AX227" s="67">
        <v>0</v>
      </c>
      <c r="AY227" s="67">
        <v>1</v>
      </c>
      <c r="AZ227" s="67">
        <v>35</v>
      </c>
      <c r="BB227" s="70" t="s">
        <v>1445</v>
      </c>
      <c r="BC227" s="70" t="s">
        <v>2441</v>
      </c>
      <c r="BD227" s="70">
        <v>186</v>
      </c>
      <c r="BE227" s="70">
        <v>200</v>
      </c>
      <c r="BF227" s="70">
        <v>331</v>
      </c>
      <c r="BG227" s="70">
        <v>413</v>
      </c>
      <c r="BH227" s="70">
        <v>318</v>
      </c>
      <c r="BI227" s="70">
        <v>1448</v>
      </c>
      <c r="BJ227" s="70"/>
      <c r="BK227" s="70" t="s">
        <v>2441</v>
      </c>
      <c r="BL227" s="70">
        <v>34</v>
      </c>
      <c r="BM227" s="70">
        <v>0</v>
      </c>
      <c r="BN227" s="70">
        <v>0</v>
      </c>
      <c r="BO227" s="70">
        <v>0</v>
      </c>
      <c r="BP227" s="70">
        <v>0</v>
      </c>
      <c r="BQ227" s="70">
        <v>34</v>
      </c>
      <c r="BS227" s="21"/>
      <c r="CL227" s="57" t="s">
        <v>585</v>
      </c>
      <c r="CM227" s="57" t="s">
        <v>27</v>
      </c>
      <c r="CN227" s="57">
        <v>57</v>
      </c>
      <c r="CO227" s="57">
        <v>36</v>
      </c>
      <c r="CP227" s="57">
        <v>69</v>
      </c>
      <c r="CQ227" s="57">
        <v>82</v>
      </c>
      <c r="CR227" s="57">
        <v>120</v>
      </c>
      <c r="CS227" s="57">
        <v>364</v>
      </c>
      <c r="CT227" s="57"/>
      <c r="CU227" s="57" t="s">
        <v>27</v>
      </c>
      <c r="CV227" s="57">
        <v>19</v>
      </c>
      <c r="CW227" s="57">
        <v>0</v>
      </c>
      <c r="CX227" s="57">
        <v>0</v>
      </c>
      <c r="CY227" s="57">
        <v>0</v>
      </c>
      <c r="CZ227" s="57">
        <v>0</v>
      </c>
      <c r="DA227" s="57">
        <v>19</v>
      </c>
      <c r="DD227" s="21"/>
      <c r="FF227" s="71" t="s">
        <v>2033</v>
      </c>
      <c r="FG227" s="71" t="s">
        <v>2513</v>
      </c>
      <c r="FH227" s="71">
        <v>2606</v>
      </c>
      <c r="FI227" s="71">
        <v>1380</v>
      </c>
      <c r="FJ227" s="71">
        <v>962</v>
      </c>
      <c r="FK227" s="71">
        <v>848</v>
      </c>
      <c r="FL227" s="71">
        <v>927</v>
      </c>
      <c r="FM227" s="71">
        <v>6723</v>
      </c>
      <c r="FN227" s="71"/>
      <c r="FO227" s="71" t="s">
        <v>2513</v>
      </c>
      <c r="FP227" s="71">
        <v>537</v>
      </c>
      <c r="FQ227" s="71">
        <v>72</v>
      </c>
      <c r="FR227" s="71">
        <v>19</v>
      </c>
      <c r="FS227" s="71">
        <v>19</v>
      </c>
      <c r="FT227" s="71">
        <v>22</v>
      </c>
      <c r="FU227" s="71">
        <v>669</v>
      </c>
    </row>
    <row r="228" spans="2:177">
      <c r="B228" s="65" t="s">
        <v>908</v>
      </c>
      <c r="C228" s="65" t="s">
        <v>27</v>
      </c>
      <c r="D228" s="65">
        <v>15</v>
      </c>
      <c r="E228" s="65">
        <v>52</v>
      </c>
      <c r="F228" s="65">
        <v>102</v>
      </c>
      <c r="G228" s="65">
        <v>103</v>
      </c>
      <c r="H228" s="65">
        <v>106</v>
      </c>
      <c r="I228" s="65">
        <v>378</v>
      </c>
      <c r="K228" s="65" t="s">
        <v>27</v>
      </c>
      <c r="L228" s="65">
        <v>3</v>
      </c>
      <c r="M228" s="65">
        <v>0</v>
      </c>
      <c r="N228" s="65">
        <v>0</v>
      </c>
      <c r="O228" s="65">
        <v>0</v>
      </c>
      <c r="P228" s="65">
        <v>0</v>
      </c>
      <c r="Q228" s="65">
        <v>3</v>
      </c>
      <c r="AK228" s="67" t="s">
        <v>1272</v>
      </c>
      <c r="AL228" s="67" t="s">
        <v>27</v>
      </c>
      <c r="AM228" s="67">
        <v>481</v>
      </c>
      <c r="AN228" s="67">
        <v>258</v>
      </c>
      <c r="AO228" s="67">
        <v>384</v>
      </c>
      <c r="AP228" s="67">
        <v>468</v>
      </c>
      <c r="AQ228" s="67">
        <v>493</v>
      </c>
      <c r="AR228" s="67">
        <v>2084</v>
      </c>
      <c r="AS228" s="67"/>
      <c r="AT228" s="67" t="s">
        <v>27</v>
      </c>
      <c r="AU228" s="67">
        <v>118</v>
      </c>
      <c r="AV228" s="67">
        <v>1</v>
      </c>
      <c r="AW228" s="67">
        <v>0</v>
      </c>
      <c r="AX228" s="67">
        <v>0</v>
      </c>
      <c r="AY228" s="67">
        <v>0</v>
      </c>
      <c r="AZ228" s="67">
        <v>119</v>
      </c>
      <c r="BB228" s="70" t="s">
        <v>1449</v>
      </c>
      <c r="BC228" s="70" t="s">
        <v>2441</v>
      </c>
      <c r="BD228" s="70">
        <v>486</v>
      </c>
      <c r="BE228" s="70">
        <v>63</v>
      </c>
      <c r="BF228" s="70">
        <v>125</v>
      </c>
      <c r="BG228" s="70">
        <v>147</v>
      </c>
      <c r="BH228" s="70">
        <v>252</v>
      </c>
      <c r="BI228" s="70">
        <v>1073</v>
      </c>
      <c r="BJ228" s="70"/>
      <c r="BK228" s="70" t="s">
        <v>2441</v>
      </c>
      <c r="BL228" s="70">
        <v>153</v>
      </c>
      <c r="BM228" s="70">
        <v>0</v>
      </c>
      <c r="BN228" s="70">
        <v>0</v>
      </c>
      <c r="BO228" s="70">
        <v>0</v>
      </c>
      <c r="BP228" s="70">
        <v>0</v>
      </c>
      <c r="BQ228" s="70">
        <v>153</v>
      </c>
      <c r="BS228" s="21"/>
      <c r="CL228" s="57" t="s">
        <v>608</v>
      </c>
      <c r="CM228" s="57" t="s">
        <v>27</v>
      </c>
      <c r="CN228" s="57">
        <v>161</v>
      </c>
      <c r="CO228" s="57">
        <v>159</v>
      </c>
      <c r="CP228" s="57">
        <v>278</v>
      </c>
      <c r="CQ228" s="57">
        <v>414</v>
      </c>
      <c r="CR228" s="57">
        <v>332</v>
      </c>
      <c r="CS228" s="57">
        <v>1344</v>
      </c>
      <c r="CT228" s="57"/>
      <c r="CU228" s="57" t="s">
        <v>27</v>
      </c>
      <c r="CV228" s="57">
        <v>28</v>
      </c>
      <c r="CW228" s="57">
        <v>0</v>
      </c>
      <c r="CX228" s="57">
        <v>0</v>
      </c>
      <c r="CY228" s="57">
        <v>0</v>
      </c>
      <c r="CZ228" s="57">
        <v>0</v>
      </c>
      <c r="DA228" s="57">
        <v>28</v>
      </c>
      <c r="DD228" s="21"/>
      <c r="FF228" s="71" t="s">
        <v>2036</v>
      </c>
      <c r="FG228" s="71" t="s">
        <v>2513</v>
      </c>
      <c r="FH228" s="71">
        <v>148</v>
      </c>
      <c r="FI228" s="71">
        <v>196</v>
      </c>
      <c r="FJ228" s="71">
        <v>255</v>
      </c>
      <c r="FK228" s="71">
        <v>389</v>
      </c>
      <c r="FL228" s="71">
        <v>471</v>
      </c>
      <c r="FM228" s="71">
        <v>1459</v>
      </c>
      <c r="FN228" s="71"/>
      <c r="FO228" s="71" t="s">
        <v>2513</v>
      </c>
      <c r="FP228" s="71">
        <v>12</v>
      </c>
      <c r="FQ228" s="71">
        <v>5</v>
      </c>
      <c r="FR228" s="71">
        <v>2</v>
      </c>
      <c r="FS228" s="71">
        <v>0</v>
      </c>
      <c r="FT228" s="71">
        <v>3</v>
      </c>
      <c r="FU228" s="71">
        <v>22</v>
      </c>
    </row>
    <row r="229" spans="2:177">
      <c r="B229" s="65" t="s">
        <v>912</v>
      </c>
      <c r="C229" s="65" t="s">
        <v>27</v>
      </c>
      <c r="D229" s="65">
        <v>66</v>
      </c>
      <c r="E229" s="65">
        <v>138</v>
      </c>
      <c r="F229" s="65">
        <v>282</v>
      </c>
      <c r="G229" s="65">
        <v>370</v>
      </c>
      <c r="H229" s="65">
        <v>279</v>
      </c>
      <c r="I229" s="65">
        <v>1135</v>
      </c>
      <c r="K229" s="65" t="s">
        <v>27</v>
      </c>
      <c r="L229" s="65">
        <v>9</v>
      </c>
      <c r="M229" s="65">
        <v>1</v>
      </c>
      <c r="N229" s="65">
        <v>0</v>
      </c>
      <c r="O229" s="65">
        <v>1</v>
      </c>
      <c r="P229" s="65">
        <v>0</v>
      </c>
      <c r="Q229" s="65">
        <v>11</v>
      </c>
      <c r="AK229" s="67" t="s">
        <v>1276</v>
      </c>
      <c r="AL229" s="67" t="s">
        <v>27</v>
      </c>
      <c r="AM229" s="67">
        <v>361</v>
      </c>
      <c r="AN229" s="67">
        <v>297</v>
      </c>
      <c r="AO229" s="67">
        <v>369</v>
      </c>
      <c r="AP229" s="67">
        <v>507</v>
      </c>
      <c r="AQ229" s="67">
        <v>472</v>
      </c>
      <c r="AR229" s="67">
        <v>2006</v>
      </c>
      <c r="AS229" s="67"/>
      <c r="AT229" s="67" t="s">
        <v>27</v>
      </c>
      <c r="AU229" s="67">
        <v>98</v>
      </c>
      <c r="AV229" s="67">
        <v>1</v>
      </c>
      <c r="AW229" s="67">
        <v>0</v>
      </c>
      <c r="AX229" s="67">
        <v>0</v>
      </c>
      <c r="AY229" s="67">
        <v>0</v>
      </c>
      <c r="AZ229" s="67">
        <v>99</v>
      </c>
      <c r="BB229" s="70" t="s">
        <v>487</v>
      </c>
      <c r="BC229" s="70" t="s">
        <v>2441</v>
      </c>
      <c r="BD229" s="70">
        <v>69</v>
      </c>
      <c r="BE229" s="70">
        <v>27</v>
      </c>
      <c r="BF229" s="70">
        <v>36</v>
      </c>
      <c r="BG229" s="70">
        <v>46</v>
      </c>
      <c r="BH229" s="70">
        <v>108</v>
      </c>
      <c r="BI229" s="70">
        <v>286</v>
      </c>
      <c r="BJ229" s="70"/>
      <c r="BK229" s="70" t="s">
        <v>2441</v>
      </c>
      <c r="BL229" s="70">
        <v>33</v>
      </c>
      <c r="BM229" s="70">
        <v>0</v>
      </c>
      <c r="BN229" s="70">
        <v>0</v>
      </c>
      <c r="BO229" s="70">
        <v>0</v>
      </c>
      <c r="BP229" s="70">
        <v>0</v>
      </c>
      <c r="BQ229" s="70">
        <v>33</v>
      </c>
      <c r="BS229" s="21"/>
      <c r="CL229" s="57" t="s">
        <v>588</v>
      </c>
      <c r="CM229" s="57" t="s">
        <v>27</v>
      </c>
      <c r="CN229" s="57">
        <v>80</v>
      </c>
      <c r="CO229" s="57">
        <v>136</v>
      </c>
      <c r="CP229" s="57">
        <v>284</v>
      </c>
      <c r="CQ229" s="57">
        <v>412</v>
      </c>
      <c r="CR229" s="57">
        <v>326</v>
      </c>
      <c r="CS229" s="57">
        <v>1238</v>
      </c>
      <c r="CT229" s="57"/>
      <c r="CU229" s="57" t="s">
        <v>27</v>
      </c>
      <c r="CV229" s="57">
        <v>14</v>
      </c>
      <c r="CW229" s="57">
        <v>0</v>
      </c>
      <c r="CX229" s="57">
        <v>0</v>
      </c>
      <c r="CY229" s="57">
        <v>0</v>
      </c>
      <c r="CZ229" s="57">
        <v>0</v>
      </c>
      <c r="DA229" s="57">
        <v>14</v>
      </c>
      <c r="DD229" s="21"/>
      <c r="FF229" s="71" t="s">
        <v>2038</v>
      </c>
      <c r="FG229" s="71" t="s">
        <v>2513</v>
      </c>
      <c r="FH229" s="71">
        <v>663</v>
      </c>
      <c r="FI229" s="71">
        <v>657</v>
      </c>
      <c r="FJ229" s="71">
        <v>815</v>
      </c>
      <c r="FK229" s="71">
        <v>770</v>
      </c>
      <c r="FL229" s="71">
        <v>814</v>
      </c>
      <c r="FM229" s="71">
        <v>3719</v>
      </c>
      <c r="FN229" s="71"/>
      <c r="FO229" s="71" t="s">
        <v>2513</v>
      </c>
      <c r="FP229" s="71">
        <v>60</v>
      </c>
      <c r="FQ229" s="71">
        <v>0</v>
      </c>
      <c r="FR229" s="71">
        <v>0</v>
      </c>
      <c r="FS229" s="71">
        <v>0</v>
      </c>
      <c r="FT229" s="71">
        <v>0</v>
      </c>
      <c r="FU229" s="71">
        <v>60</v>
      </c>
    </row>
    <row r="230" spans="2:177">
      <c r="B230" s="65" t="s">
        <v>919</v>
      </c>
      <c r="C230" s="65" t="s">
        <v>27</v>
      </c>
      <c r="D230" s="65">
        <v>154</v>
      </c>
      <c r="E230" s="65">
        <v>283</v>
      </c>
      <c r="F230" s="65">
        <v>403</v>
      </c>
      <c r="G230" s="65">
        <v>513</v>
      </c>
      <c r="H230" s="65">
        <v>388</v>
      </c>
      <c r="I230" s="65">
        <v>1741</v>
      </c>
      <c r="K230" s="65" t="s">
        <v>27</v>
      </c>
      <c r="L230" s="65">
        <v>25</v>
      </c>
      <c r="M230" s="65">
        <v>2</v>
      </c>
      <c r="N230" s="65">
        <v>0</v>
      </c>
      <c r="O230" s="65">
        <v>0</v>
      </c>
      <c r="P230" s="65">
        <v>0</v>
      </c>
      <c r="Q230" s="65">
        <v>27</v>
      </c>
      <c r="AK230" s="67" t="s">
        <v>1279</v>
      </c>
      <c r="AL230" s="67" t="s">
        <v>27</v>
      </c>
      <c r="AM230" s="67">
        <v>561</v>
      </c>
      <c r="AN230" s="67">
        <v>318</v>
      </c>
      <c r="AO230" s="67">
        <v>469</v>
      </c>
      <c r="AP230" s="67">
        <v>502</v>
      </c>
      <c r="AQ230" s="67">
        <v>516</v>
      </c>
      <c r="AR230" s="67">
        <v>2366</v>
      </c>
      <c r="AS230" s="67"/>
      <c r="AT230" s="67" t="s">
        <v>27</v>
      </c>
      <c r="AU230" s="67">
        <v>147</v>
      </c>
      <c r="AV230" s="67">
        <v>1</v>
      </c>
      <c r="AW230" s="67">
        <v>0</v>
      </c>
      <c r="AX230" s="67">
        <v>0</v>
      </c>
      <c r="AY230" s="67">
        <v>0</v>
      </c>
      <c r="AZ230" s="67">
        <v>148</v>
      </c>
      <c r="BB230" s="70" t="s">
        <v>1458</v>
      </c>
      <c r="BC230" s="70" t="s">
        <v>2441</v>
      </c>
      <c r="BD230" s="70">
        <v>934</v>
      </c>
      <c r="BE230" s="70">
        <v>671</v>
      </c>
      <c r="BF230" s="70">
        <v>954</v>
      </c>
      <c r="BG230" s="70">
        <v>859</v>
      </c>
      <c r="BH230" s="70">
        <v>739</v>
      </c>
      <c r="BI230" s="70">
        <v>4157</v>
      </c>
      <c r="BJ230" s="70"/>
      <c r="BK230" s="70" t="s">
        <v>2441</v>
      </c>
      <c r="BL230" s="70">
        <v>208</v>
      </c>
      <c r="BM230" s="70">
        <v>0</v>
      </c>
      <c r="BN230" s="70">
        <v>0</v>
      </c>
      <c r="BO230" s="70">
        <v>0</v>
      </c>
      <c r="BP230" s="70">
        <v>0</v>
      </c>
      <c r="BQ230" s="70">
        <v>208</v>
      </c>
      <c r="BS230" s="21"/>
      <c r="CL230" s="57" t="s">
        <v>590</v>
      </c>
      <c r="CM230" s="57" t="s">
        <v>27</v>
      </c>
      <c r="CN230" s="57">
        <v>996</v>
      </c>
      <c r="CO230" s="57">
        <v>577</v>
      </c>
      <c r="CP230" s="57">
        <v>596</v>
      </c>
      <c r="CQ230" s="57">
        <v>630</v>
      </c>
      <c r="CR230" s="57">
        <v>483</v>
      </c>
      <c r="CS230" s="57">
        <v>3282</v>
      </c>
      <c r="CT230" s="57"/>
      <c r="CU230" s="57" t="s">
        <v>27</v>
      </c>
      <c r="CV230" s="57">
        <v>290</v>
      </c>
      <c r="CW230" s="57">
        <v>3</v>
      </c>
      <c r="CX230" s="57">
        <v>0</v>
      </c>
      <c r="CY230" s="57">
        <v>0</v>
      </c>
      <c r="CZ230" s="57">
        <v>0</v>
      </c>
      <c r="DA230" s="57">
        <v>293</v>
      </c>
      <c r="DD230" s="21"/>
      <c r="FF230" s="71" t="s">
        <v>2041</v>
      </c>
      <c r="FG230" s="71" t="s">
        <v>2513</v>
      </c>
      <c r="FH230" s="71">
        <v>197</v>
      </c>
      <c r="FI230" s="71">
        <v>297</v>
      </c>
      <c r="FJ230" s="71">
        <v>314</v>
      </c>
      <c r="FK230" s="71">
        <v>417</v>
      </c>
      <c r="FL230" s="71">
        <v>600</v>
      </c>
      <c r="FM230" s="71">
        <v>1825</v>
      </c>
      <c r="FN230" s="71"/>
      <c r="FO230" s="71" t="s">
        <v>2513</v>
      </c>
      <c r="FP230" s="71">
        <v>12</v>
      </c>
      <c r="FQ230" s="71">
        <v>4</v>
      </c>
      <c r="FR230" s="71">
        <v>1</v>
      </c>
      <c r="FS230" s="71">
        <v>0</v>
      </c>
      <c r="FT230" s="71">
        <v>4</v>
      </c>
      <c r="FU230" s="71">
        <v>21</v>
      </c>
    </row>
    <row r="231" spans="2:177">
      <c r="B231" s="65" t="s">
        <v>922</v>
      </c>
      <c r="C231" s="65" t="s">
        <v>27</v>
      </c>
      <c r="D231" s="65">
        <v>191</v>
      </c>
      <c r="E231" s="65">
        <v>249</v>
      </c>
      <c r="F231" s="65">
        <v>389</v>
      </c>
      <c r="G231" s="65">
        <v>506</v>
      </c>
      <c r="H231" s="65">
        <v>363</v>
      </c>
      <c r="I231" s="65">
        <v>1698</v>
      </c>
      <c r="K231" s="65" t="s">
        <v>27</v>
      </c>
      <c r="L231" s="65">
        <v>14</v>
      </c>
      <c r="M231" s="65">
        <v>3</v>
      </c>
      <c r="N231" s="65">
        <v>0</v>
      </c>
      <c r="O231" s="65">
        <v>0</v>
      </c>
      <c r="P231" s="65">
        <v>0</v>
      </c>
      <c r="Q231" s="65">
        <v>17</v>
      </c>
      <c r="AK231" s="67" t="s">
        <v>1282</v>
      </c>
      <c r="AL231" s="67" t="s">
        <v>27</v>
      </c>
      <c r="AM231" s="67">
        <v>823</v>
      </c>
      <c r="AN231" s="67">
        <v>869</v>
      </c>
      <c r="AO231" s="67">
        <v>910</v>
      </c>
      <c r="AP231" s="67">
        <v>1020</v>
      </c>
      <c r="AQ231" s="67">
        <v>737</v>
      </c>
      <c r="AR231" s="67">
        <v>4359</v>
      </c>
      <c r="AS231" s="67"/>
      <c r="AT231" s="67" t="s">
        <v>27</v>
      </c>
      <c r="AU231" s="67">
        <v>177</v>
      </c>
      <c r="AV231" s="67">
        <v>4</v>
      </c>
      <c r="AW231" s="67">
        <v>0</v>
      </c>
      <c r="AX231" s="67">
        <v>0</v>
      </c>
      <c r="AY231" s="67">
        <v>1</v>
      </c>
      <c r="AZ231" s="67">
        <v>182</v>
      </c>
      <c r="BB231" s="70" t="s">
        <v>1461</v>
      </c>
      <c r="BC231" s="70" t="s">
        <v>2441</v>
      </c>
      <c r="BD231" s="70">
        <v>205</v>
      </c>
      <c r="BE231" s="70">
        <v>142</v>
      </c>
      <c r="BF231" s="70">
        <v>338</v>
      </c>
      <c r="BG231" s="70">
        <v>431</v>
      </c>
      <c r="BH231" s="70">
        <v>395</v>
      </c>
      <c r="BI231" s="70">
        <v>1511</v>
      </c>
      <c r="BJ231" s="70"/>
      <c r="BK231" s="70" t="s">
        <v>2441</v>
      </c>
      <c r="BL231" s="70">
        <v>52</v>
      </c>
      <c r="BM231" s="70">
        <v>0</v>
      </c>
      <c r="BN231" s="70">
        <v>0</v>
      </c>
      <c r="BO231" s="70">
        <v>0</v>
      </c>
      <c r="BP231" s="70">
        <v>0</v>
      </c>
      <c r="BQ231" s="70">
        <v>52</v>
      </c>
      <c r="BS231" s="21"/>
      <c r="FF231" s="71" t="s">
        <v>2043</v>
      </c>
      <c r="FG231" s="71" t="s">
        <v>2513</v>
      </c>
      <c r="FH231" s="71">
        <v>38</v>
      </c>
      <c r="FI231" s="71">
        <v>81</v>
      </c>
      <c r="FJ231" s="71">
        <v>109</v>
      </c>
      <c r="FK231" s="71">
        <v>165</v>
      </c>
      <c r="FL231" s="71">
        <v>266</v>
      </c>
      <c r="FM231" s="71">
        <v>659</v>
      </c>
      <c r="FN231" s="71"/>
      <c r="FO231" s="71" t="s">
        <v>2513</v>
      </c>
      <c r="FP231" s="71">
        <v>7</v>
      </c>
      <c r="FQ231" s="71">
        <v>2</v>
      </c>
      <c r="FR231" s="71">
        <v>2</v>
      </c>
      <c r="FS231" s="71">
        <v>2</v>
      </c>
      <c r="FT231" s="71">
        <v>5</v>
      </c>
      <c r="FU231" s="71">
        <v>18</v>
      </c>
    </row>
    <row r="232" spans="2:177">
      <c r="B232" s="65" t="s">
        <v>925</v>
      </c>
      <c r="C232" s="65" t="s">
        <v>27</v>
      </c>
      <c r="D232" s="65">
        <v>502</v>
      </c>
      <c r="E232" s="65">
        <v>530</v>
      </c>
      <c r="F232" s="65">
        <v>636</v>
      </c>
      <c r="G232" s="65">
        <v>694</v>
      </c>
      <c r="H232" s="65">
        <v>518</v>
      </c>
      <c r="I232" s="65">
        <v>2880</v>
      </c>
      <c r="K232" s="65" t="s">
        <v>27</v>
      </c>
      <c r="L232" s="65">
        <v>18</v>
      </c>
      <c r="M232" s="65">
        <v>2</v>
      </c>
      <c r="N232" s="65">
        <v>0</v>
      </c>
      <c r="O232" s="65">
        <v>0</v>
      </c>
      <c r="P232" s="65">
        <v>0</v>
      </c>
      <c r="Q232" s="65">
        <v>20</v>
      </c>
      <c r="AK232" s="67" t="s">
        <v>1285</v>
      </c>
      <c r="AL232" s="67" t="s">
        <v>27</v>
      </c>
      <c r="AM232" s="67">
        <v>541</v>
      </c>
      <c r="AN232" s="67">
        <v>735</v>
      </c>
      <c r="AO232" s="67">
        <v>920</v>
      </c>
      <c r="AP232" s="67">
        <v>1008</v>
      </c>
      <c r="AQ232" s="67">
        <v>691</v>
      </c>
      <c r="AR232" s="67">
        <v>3895</v>
      </c>
      <c r="AS232" s="67"/>
      <c r="AT232" s="67" t="s">
        <v>27</v>
      </c>
      <c r="AU232" s="67">
        <v>38</v>
      </c>
      <c r="AV232" s="67">
        <v>6</v>
      </c>
      <c r="AW232" s="67">
        <v>1</v>
      </c>
      <c r="AX232" s="67">
        <v>2</v>
      </c>
      <c r="AY232" s="67">
        <v>0</v>
      </c>
      <c r="AZ232" s="67">
        <v>47</v>
      </c>
      <c r="BB232" s="70" t="s">
        <v>1464</v>
      </c>
      <c r="BC232" s="70" t="s">
        <v>2441</v>
      </c>
      <c r="BD232" s="70">
        <v>238</v>
      </c>
      <c r="BE232" s="70">
        <v>394</v>
      </c>
      <c r="BF232" s="70">
        <v>675</v>
      </c>
      <c r="BG232" s="70">
        <v>895</v>
      </c>
      <c r="BH232" s="70">
        <v>800</v>
      </c>
      <c r="BI232" s="70">
        <v>3002</v>
      </c>
      <c r="BJ232" s="70"/>
      <c r="BK232" s="70" t="s">
        <v>2441</v>
      </c>
      <c r="BL232" s="70">
        <v>19</v>
      </c>
      <c r="BM232" s="70">
        <v>0</v>
      </c>
      <c r="BN232" s="70">
        <v>0</v>
      </c>
      <c r="BO232" s="70">
        <v>0</v>
      </c>
      <c r="BP232" s="70">
        <v>0</v>
      </c>
      <c r="BQ232" s="70">
        <v>19</v>
      </c>
      <c r="BS232" s="21"/>
      <c r="CL232" s="57" t="s">
        <v>530</v>
      </c>
      <c r="CM232" s="57" t="s">
        <v>2513</v>
      </c>
      <c r="CN232" s="57">
        <v>122</v>
      </c>
      <c r="CO232" s="57">
        <v>63</v>
      </c>
      <c r="CP232" s="57">
        <v>132</v>
      </c>
      <c r="CQ232" s="57">
        <v>188</v>
      </c>
      <c r="CR232" s="57">
        <v>212</v>
      </c>
      <c r="CS232" s="57">
        <v>717</v>
      </c>
      <c r="CT232" s="57"/>
      <c r="CU232" s="57" t="s">
        <v>2513</v>
      </c>
      <c r="CV232" s="57">
        <v>38</v>
      </c>
      <c r="CW232" s="57">
        <v>0</v>
      </c>
      <c r="CX232" s="57">
        <v>0</v>
      </c>
      <c r="CY232" s="57">
        <v>0</v>
      </c>
      <c r="CZ232" s="57">
        <v>0</v>
      </c>
      <c r="DA232" s="57">
        <v>38</v>
      </c>
      <c r="FF232" s="71" t="s">
        <v>2044</v>
      </c>
      <c r="FG232" s="71" t="s">
        <v>2513</v>
      </c>
      <c r="FH232" s="71">
        <v>78</v>
      </c>
      <c r="FI232" s="71">
        <v>116</v>
      </c>
      <c r="FJ232" s="71">
        <v>160</v>
      </c>
      <c r="FK232" s="71">
        <v>261</v>
      </c>
      <c r="FL232" s="71">
        <v>328</v>
      </c>
      <c r="FM232" s="71">
        <v>943</v>
      </c>
      <c r="FN232" s="71"/>
      <c r="FO232" s="71" t="s">
        <v>2513</v>
      </c>
      <c r="FP232" s="71">
        <v>9</v>
      </c>
      <c r="FQ232" s="71">
        <v>3</v>
      </c>
      <c r="FR232" s="71">
        <v>1</v>
      </c>
      <c r="FS232" s="71">
        <v>2</v>
      </c>
      <c r="FT232" s="71">
        <v>0</v>
      </c>
      <c r="FU232" s="71">
        <v>15</v>
      </c>
    </row>
    <row r="233" spans="2:177">
      <c r="B233" s="65" t="s">
        <v>930</v>
      </c>
      <c r="C233" s="65" t="s">
        <v>27</v>
      </c>
      <c r="D233" s="65">
        <v>437</v>
      </c>
      <c r="E233" s="65">
        <v>553</v>
      </c>
      <c r="F233" s="65">
        <v>551</v>
      </c>
      <c r="G233" s="65">
        <v>544</v>
      </c>
      <c r="H233" s="65">
        <v>379</v>
      </c>
      <c r="I233" s="65">
        <v>2464</v>
      </c>
      <c r="K233" s="65" t="s">
        <v>27</v>
      </c>
      <c r="L233" s="65">
        <v>39</v>
      </c>
      <c r="M233" s="65">
        <v>6</v>
      </c>
      <c r="N233" s="65">
        <v>1</v>
      </c>
      <c r="O233" s="65">
        <v>2</v>
      </c>
      <c r="P233" s="65">
        <v>0</v>
      </c>
      <c r="Q233" s="65">
        <v>48</v>
      </c>
      <c r="AK233" s="67" t="s">
        <v>1289</v>
      </c>
      <c r="AL233" s="67" t="s">
        <v>27</v>
      </c>
      <c r="AM233" s="67">
        <v>1083</v>
      </c>
      <c r="AN233" s="67">
        <v>961</v>
      </c>
      <c r="AO233" s="67">
        <v>977</v>
      </c>
      <c r="AP233" s="67">
        <v>962</v>
      </c>
      <c r="AQ233" s="67">
        <v>604</v>
      </c>
      <c r="AR233" s="67">
        <v>4587</v>
      </c>
      <c r="AS233" s="67"/>
      <c r="AT233" s="67" t="s">
        <v>27</v>
      </c>
      <c r="AU233" s="67">
        <v>77</v>
      </c>
      <c r="AV233" s="67">
        <v>7</v>
      </c>
      <c r="AW233" s="67">
        <v>1</v>
      </c>
      <c r="AX233" s="67">
        <v>0</v>
      </c>
      <c r="AY233" s="67">
        <v>0</v>
      </c>
      <c r="AZ233" s="67">
        <v>85</v>
      </c>
      <c r="BB233" s="70" t="s">
        <v>1467</v>
      </c>
      <c r="BC233" s="70" t="s">
        <v>2441</v>
      </c>
      <c r="BD233" s="70">
        <v>154</v>
      </c>
      <c r="BE233" s="70">
        <v>124</v>
      </c>
      <c r="BF233" s="70">
        <v>259</v>
      </c>
      <c r="BG233" s="70">
        <v>304</v>
      </c>
      <c r="BH233" s="70">
        <v>296</v>
      </c>
      <c r="BI233" s="70">
        <v>1137</v>
      </c>
      <c r="BJ233" s="70"/>
      <c r="BK233" s="70" t="s">
        <v>2441</v>
      </c>
      <c r="BL233" s="70">
        <v>23</v>
      </c>
      <c r="BM233" s="70">
        <v>0</v>
      </c>
      <c r="BN233" s="70">
        <v>0</v>
      </c>
      <c r="BO233" s="70">
        <v>0</v>
      </c>
      <c r="BP233" s="70">
        <v>0</v>
      </c>
      <c r="BQ233" s="70">
        <v>23</v>
      </c>
      <c r="BS233" s="21"/>
      <c r="CL233" s="57" t="s">
        <v>532</v>
      </c>
      <c r="CM233" s="57" t="s">
        <v>2513</v>
      </c>
      <c r="CN233" s="57">
        <v>180</v>
      </c>
      <c r="CO233" s="57">
        <v>115</v>
      </c>
      <c r="CP233" s="57">
        <v>188</v>
      </c>
      <c r="CQ233" s="57">
        <v>230</v>
      </c>
      <c r="CR233" s="57">
        <v>268</v>
      </c>
      <c r="CS233" s="57">
        <v>981</v>
      </c>
      <c r="CT233" s="57"/>
      <c r="CU233" s="57" t="s">
        <v>2513</v>
      </c>
      <c r="CV233" s="57">
        <v>61</v>
      </c>
      <c r="CW233" s="57">
        <v>0</v>
      </c>
      <c r="CX233" s="57">
        <v>0</v>
      </c>
      <c r="CY233" s="57">
        <v>0</v>
      </c>
      <c r="CZ233" s="57">
        <v>0</v>
      </c>
      <c r="DA233" s="57">
        <v>61</v>
      </c>
      <c r="FF233" s="71" t="s">
        <v>2047</v>
      </c>
      <c r="FG233" s="71" t="s">
        <v>2513</v>
      </c>
      <c r="FH233" s="71">
        <v>540</v>
      </c>
      <c r="FI233" s="71">
        <v>486</v>
      </c>
      <c r="FJ233" s="71">
        <v>433</v>
      </c>
      <c r="FK233" s="71">
        <v>495</v>
      </c>
      <c r="FL233" s="71">
        <v>680</v>
      </c>
      <c r="FM233" s="71">
        <v>2634</v>
      </c>
      <c r="FN233" s="71"/>
      <c r="FO233" s="71" t="s">
        <v>2513</v>
      </c>
      <c r="FP233" s="71">
        <v>145</v>
      </c>
      <c r="FQ233" s="71">
        <v>35</v>
      </c>
      <c r="FR233" s="71">
        <v>8</v>
      </c>
      <c r="FS233" s="71">
        <v>3</v>
      </c>
      <c r="FT233" s="71">
        <v>7</v>
      </c>
      <c r="FU233" s="71">
        <v>198</v>
      </c>
    </row>
    <row r="234" spans="2:177">
      <c r="B234" s="65" t="s">
        <v>935</v>
      </c>
      <c r="C234" s="65" t="s">
        <v>27</v>
      </c>
      <c r="D234" s="65">
        <v>207</v>
      </c>
      <c r="E234" s="65">
        <v>226</v>
      </c>
      <c r="F234" s="65">
        <v>330</v>
      </c>
      <c r="G234" s="65">
        <v>321</v>
      </c>
      <c r="H234" s="65">
        <v>230</v>
      </c>
      <c r="I234" s="65">
        <v>1314</v>
      </c>
      <c r="K234" s="65" t="s">
        <v>27</v>
      </c>
      <c r="L234" s="65">
        <v>19</v>
      </c>
      <c r="M234" s="65">
        <v>2</v>
      </c>
      <c r="N234" s="65">
        <v>2</v>
      </c>
      <c r="O234" s="65">
        <v>2</v>
      </c>
      <c r="P234" s="65">
        <v>0</v>
      </c>
      <c r="Q234" s="65">
        <v>25</v>
      </c>
      <c r="AJ234" s="16" t="s">
        <v>2984</v>
      </c>
      <c r="AK234" s="67" t="s">
        <v>2558</v>
      </c>
      <c r="AL234" s="67" t="s">
        <v>27</v>
      </c>
      <c r="AM234" s="67">
        <v>569</v>
      </c>
      <c r="AN234" s="67">
        <v>789</v>
      </c>
      <c r="AO234" s="67">
        <v>1068</v>
      </c>
      <c r="AP234" s="67">
        <v>1097</v>
      </c>
      <c r="AQ234" s="67">
        <v>793</v>
      </c>
      <c r="AR234" s="67">
        <v>4316</v>
      </c>
      <c r="AS234" s="67"/>
      <c r="AT234" s="67" t="s">
        <v>27</v>
      </c>
      <c r="AU234" s="67">
        <v>60</v>
      </c>
      <c r="AV234" s="67">
        <v>6</v>
      </c>
      <c r="AW234" s="67">
        <v>0</v>
      </c>
      <c r="AX234" s="67">
        <v>3</v>
      </c>
      <c r="AY234" s="67">
        <v>1</v>
      </c>
      <c r="AZ234" s="67">
        <v>70</v>
      </c>
      <c r="BB234" s="70" t="s">
        <v>1470</v>
      </c>
      <c r="BC234" s="70" t="s">
        <v>2441</v>
      </c>
      <c r="BD234" s="70">
        <v>178</v>
      </c>
      <c r="BE234" s="70">
        <v>212</v>
      </c>
      <c r="BF234" s="70">
        <v>374</v>
      </c>
      <c r="BG234" s="70">
        <v>523</v>
      </c>
      <c r="BH234" s="70">
        <v>393</v>
      </c>
      <c r="BI234" s="70">
        <v>1680</v>
      </c>
      <c r="BJ234" s="70"/>
      <c r="BK234" s="70" t="s">
        <v>2441</v>
      </c>
      <c r="BL234" s="70">
        <v>22</v>
      </c>
      <c r="BM234" s="70">
        <v>0</v>
      </c>
      <c r="BN234" s="70">
        <v>0</v>
      </c>
      <c r="BO234" s="70">
        <v>0</v>
      </c>
      <c r="BP234" s="70">
        <v>0</v>
      </c>
      <c r="BQ234" s="70">
        <v>22</v>
      </c>
      <c r="BS234" s="21"/>
      <c r="CL234" s="57" t="s">
        <v>535</v>
      </c>
      <c r="CM234" s="57" t="s">
        <v>2513</v>
      </c>
      <c r="CN234" s="57">
        <v>38</v>
      </c>
      <c r="CO234" s="57">
        <v>61</v>
      </c>
      <c r="CP234" s="57">
        <v>116</v>
      </c>
      <c r="CQ234" s="57">
        <v>151</v>
      </c>
      <c r="CR234" s="57">
        <v>194</v>
      </c>
      <c r="CS234" s="57">
        <v>560</v>
      </c>
      <c r="CT234" s="57"/>
      <c r="CU234" s="57" t="s">
        <v>2513</v>
      </c>
      <c r="CV234" s="57">
        <v>7</v>
      </c>
      <c r="CW234" s="57">
        <v>0</v>
      </c>
      <c r="CX234" s="57">
        <v>0</v>
      </c>
      <c r="CY234" s="57">
        <v>0</v>
      </c>
      <c r="CZ234" s="57">
        <v>0</v>
      </c>
      <c r="DA234" s="57">
        <v>7</v>
      </c>
      <c r="FF234" s="71" t="s">
        <v>2050</v>
      </c>
      <c r="FG234" s="71" t="s">
        <v>2513</v>
      </c>
      <c r="FH234" s="71">
        <v>134</v>
      </c>
      <c r="FI234" s="71">
        <v>184</v>
      </c>
      <c r="FJ234" s="71">
        <v>207</v>
      </c>
      <c r="FK234" s="71">
        <v>273</v>
      </c>
      <c r="FL234" s="71">
        <v>389</v>
      </c>
      <c r="FM234" s="71">
        <v>1187</v>
      </c>
      <c r="FN234" s="71"/>
      <c r="FO234" s="71" t="s">
        <v>2513</v>
      </c>
      <c r="FP234" s="71">
        <v>26</v>
      </c>
      <c r="FQ234" s="71">
        <v>2</v>
      </c>
      <c r="FR234" s="71">
        <v>2</v>
      </c>
      <c r="FS234" s="71">
        <v>3</v>
      </c>
      <c r="FT234" s="71">
        <v>3</v>
      </c>
      <c r="FU234" s="71">
        <v>36</v>
      </c>
    </row>
    <row r="235" spans="2:177">
      <c r="B235" s="65" t="s">
        <v>940</v>
      </c>
      <c r="C235" s="65" t="s">
        <v>27</v>
      </c>
      <c r="D235" s="65">
        <v>626</v>
      </c>
      <c r="E235" s="65">
        <v>665</v>
      </c>
      <c r="F235" s="65">
        <v>933</v>
      </c>
      <c r="G235" s="65">
        <v>1074</v>
      </c>
      <c r="H235" s="65">
        <v>836</v>
      </c>
      <c r="I235" s="65">
        <v>4134</v>
      </c>
      <c r="K235" s="65" t="s">
        <v>27</v>
      </c>
      <c r="L235" s="65">
        <v>35</v>
      </c>
      <c r="M235" s="65">
        <v>6</v>
      </c>
      <c r="N235" s="65">
        <v>1</v>
      </c>
      <c r="O235" s="65">
        <v>1</v>
      </c>
      <c r="P235" s="65">
        <v>0</v>
      </c>
      <c r="Q235" s="65">
        <v>43</v>
      </c>
      <c r="BB235" s="70" t="s">
        <v>1473</v>
      </c>
      <c r="BC235" s="70" t="s">
        <v>2441</v>
      </c>
      <c r="BD235" s="70">
        <v>1527</v>
      </c>
      <c r="BE235" s="70">
        <v>972</v>
      </c>
      <c r="BF235" s="70">
        <v>1014</v>
      </c>
      <c r="BG235" s="70">
        <v>1098</v>
      </c>
      <c r="BH235" s="70">
        <v>768</v>
      </c>
      <c r="BI235" s="70">
        <v>5379</v>
      </c>
      <c r="BJ235" s="70"/>
      <c r="BK235" s="70" t="s">
        <v>2441</v>
      </c>
      <c r="BL235" s="70">
        <v>400</v>
      </c>
      <c r="BM235" s="70">
        <v>0</v>
      </c>
      <c r="BN235" s="70">
        <v>0</v>
      </c>
      <c r="BO235" s="70">
        <v>0</v>
      </c>
      <c r="BP235" s="70">
        <v>0</v>
      </c>
      <c r="BQ235" s="70">
        <v>400</v>
      </c>
      <c r="BS235" s="21"/>
      <c r="CL235" s="57" t="s">
        <v>538</v>
      </c>
      <c r="CM235" s="57" t="s">
        <v>2513</v>
      </c>
      <c r="CN235" s="57">
        <v>101</v>
      </c>
      <c r="CO235" s="57">
        <v>76</v>
      </c>
      <c r="CP235" s="57">
        <v>184</v>
      </c>
      <c r="CQ235" s="57">
        <v>225</v>
      </c>
      <c r="CR235" s="57">
        <v>265</v>
      </c>
      <c r="CS235" s="57">
        <v>851</v>
      </c>
      <c r="CT235" s="57"/>
      <c r="CU235" s="57" t="s">
        <v>2513</v>
      </c>
      <c r="CV235" s="57">
        <v>26</v>
      </c>
      <c r="CW235" s="57">
        <v>0</v>
      </c>
      <c r="CX235" s="57">
        <v>0</v>
      </c>
      <c r="CY235" s="57">
        <v>0</v>
      </c>
      <c r="CZ235" s="57">
        <v>0</v>
      </c>
      <c r="DA235" s="57">
        <v>26</v>
      </c>
      <c r="FF235" s="71" t="s">
        <v>2052</v>
      </c>
      <c r="FG235" s="71" t="s">
        <v>2513</v>
      </c>
      <c r="FH235" s="71">
        <v>254</v>
      </c>
      <c r="FI235" s="71">
        <v>235</v>
      </c>
      <c r="FJ235" s="71">
        <v>240</v>
      </c>
      <c r="FK235" s="71">
        <v>300</v>
      </c>
      <c r="FL235" s="71">
        <v>420</v>
      </c>
      <c r="FM235" s="71">
        <v>1449</v>
      </c>
      <c r="FN235" s="71"/>
      <c r="FO235" s="71" t="s">
        <v>2513</v>
      </c>
      <c r="FP235" s="71">
        <v>41</v>
      </c>
      <c r="FQ235" s="71">
        <v>2</v>
      </c>
      <c r="FR235" s="71">
        <v>1</v>
      </c>
      <c r="FS235" s="71">
        <v>0</v>
      </c>
      <c r="FT235" s="71">
        <v>0</v>
      </c>
      <c r="FU235" s="71">
        <v>44</v>
      </c>
    </row>
    <row r="236" spans="2:177">
      <c r="B236" s="65" t="s">
        <v>946</v>
      </c>
      <c r="C236" s="65" t="s">
        <v>27</v>
      </c>
      <c r="D236" s="65">
        <v>324</v>
      </c>
      <c r="E236" s="65">
        <v>285</v>
      </c>
      <c r="F236" s="65">
        <v>345</v>
      </c>
      <c r="G236" s="65">
        <v>424</v>
      </c>
      <c r="H236" s="65">
        <v>348</v>
      </c>
      <c r="I236" s="65">
        <v>1726</v>
      </c>
      <c r="K236" s="65" t="s">
        <v>27</v>
      </c>
      <c r="L236" s="65">
        <v>48</v>
      </c>
      <c r="M236" s="65">
        <v>9</v>
      </c>
      <c r="N236" s="65">
        <v>0</v>
      </c>
      <c r="O236" s="65">
        <v>2</v>
      </c>
      <c r="P236" s="65">
        <v>0</v>
      </c>
      <c r="Q236" s="65">
        <v>59</v>
      </c>
      <c r="AK236" s="67" t="s">
        <v>2557</v>
      </c>
      <c r="AL236" s="67" t="s">
        <v>2513</v>
      </c>
      <c r="AM236" s="67" t="s">
        <v>356</v>
      </c>
      <c r="AN236" s="67" t="s">
        <v>356</v>
      </c>
      <c r="AO236" s="67" t="s">
        <v>356</v>
      </c>
      <c r="AP236" s="67" t="s">
        <v>356</v>
      </c>
      <c r="AQ236" s="67" t="s">
        <v>356</v>
      </c>
      <c r="AR236" s="67" t="s">
        <v>356</v>
      </c>
      <c r="AS236" s="67"/>
      <c r="AT236" s="67" t="s">
        <v>2513</v>
      </c>
      <c r="AU236" s="67" t="s">
        <v>356</v>
      </c>
      <c r="AV236" s="67" t="s">
        <v>356</v>
      </c>
      <c r="AW236" s="67" t="s">
        <v>356</v>
      </c>
      <c r="AX236" s="67" t="s">
        <v>356</v>
      </c>
      <c r="AY236" s="67" t="s">
        <v>356</v>
      </c>
      <c r="AZ236" s="67" t="s">
        <v>356</v>
      </c>
      <c r="BB236" s="70" t="s">
        <v>2249</v>
      </c>
      <c r="BC236" s="70" t="s">
        <v>2441</v>
      </c>
      <c r="BD236" s="70" t="s">
        <v>356</v>
      </c>
      <c r="BE236" s="70" t="s">
        <v>356</v>
      </c>
      <c r="BF236" s="70" t="s">
        <v>356</v>
      </c>
      <c r="BG236" s="70" t="s">
        <v>356</v>
      </c>
      <c r="BH236" s="70" t="s">
        <v>356</v>
      </c>
      <c r="BI236" s="70" t="s">
        <v>356</v>
      </c>
      <c r="BJ236" s="70"/>
      <c r="BK236" s="70" t="s">
        <v>2441</v>
      </c>
      <c r="BL236" s="70" t="s">
        <v>356</v>
      </c>
      <c r="BM236" s="70" t="s">
        <v>356</v>
      </c>
      <c r="BN236" s="70" t="s">
        <v>356</v>
      </c>
      <c r="BO236" s="70" t="s">
        <v>356</v>
      </c>
      <c r="BP236" s="70" t="s">
        <v>356</v>
      </c>
      <c r="BQ236" s="70" t="s">
        <v>356</v>
      </c>
      <c r="BS236" s="21"/>
      <c r="CL236" s="57" t="s">
        <v>540</v>
      </c>
      <c r="CM236" s="57" t="s">
        <v>2513</v>
      </c>
      <c r="CN236" s="57">
        <v>982</v>
      </c>
      <c r="CO236" s="57">
        <v>428</v>
      </c>
      <c r="CP236" s="57">
        <v>553</v>
      </c>
      <c r="CQ236" s="57">
        <v>603</v>
      </c>
      <c r="CR236" s="57">
        <v>585</v>
      </c>
      <c r="CS236" s="57">
        <v>3151</v>
      </c>
      <c r="CT236" s="57"/>
      <c r="CU236" s="57" t="s">
        <v>2513</v>
      </c>
      <c r="CV236" s="57">
        <v>221</v>
      </c>
      <c r="CW236" s="57">
        <v>0</v>
      </c>
      <c r="CX236" s="57">
        <v>0</v>
      </c>
      <c r="CY236" s="57">
        <v>0</v>
      </c>
      <c r="CZ236" s="57">
        <v>0</v>
      </c>
      <c r="DA236" s="57">
        <v>221</v>
      </c>
      <c r="FF236" s="71" t="s">
        <v>2054</v>
      </c>
      <c r="FG236" s="71" t="s">
        <v>2513</v>
      </c>
      <c r="FH236" s="71">
        <v>217</v>
      </c>
      <c r="FI236" s="71">
        <v>285</v>
      </c>
      <c r="FJ236" s="71">
        <v>330</v>
      </c>
      <c r="FK236" s="71">
        <v>389</v>
      </c>
      <c r="FL236" s="71">
        <v>526</v>
      </c>
      <c r="FM236" s="71">
        <v>1747</v>
      </c>
      <c r="FN236" s="71"/>
      <c r="FO236" s="71" t="s">
        <v>2513</v>
      </c>
      <c r="FP236" s="71">
        <v>50</v>
      </c>
      <c r="FQ236" s="71">
        <v>10</v>
      </c>
      <c r="FR236" s="71">
        <v>2</v>
      </c>
      <c r="FS236" s="71">
        <v>0</v>
      </c>
      <c r="FT236" s="71">
        <v>1</v>
      </c>
      <c r="FU236" s="71">
        <v>63</v>
      </c>
    </row>
    <row r="237" spans="2:177">
      <c r="B237" s="65" t="s">
        <v>949</v>
      </c>
      <c r="C237" s="65" t="s">
        <v>27</v>
      </c>
      <c r="D237" s="65">
        <v>165</v>
      </c>
      <c r="E237" s="65">
        <v>239</v>
      </c>
      <c r="F237" s="65">
        <v>361</v>
      </c>
      <c r="G237" s="65">
        <v>382</v>
      </c>
      <c r="H237" s="65">
        <v>301</v>
      </c>
      <c r="I237" s="65">
        <v>1448</v>
      </c>
      <c r="K237" s="65" t="s">
        <v>27</v>
      </c>
      <c r="L237" s="65">
        <v>22</v>
      </c>
      <c r="M237" s="65">
        <v>3</v>
      </c>
      <c r="N237" s="65">
        <v>0</v>
      </c>
      <c r="O237" s="65">
        <v>0</v>
      </c>
      <c r="P237" s="65">
        <v>0</v>
      </c>
      <c r="Q237" s="65">
        <v>25</v>
      </c>
      <c r="AK237" s="67" t="s">
        <v>1178</v>
      </c>
      <c r="AL237" s="67" t="s">
        <v>2513</v>
      </c>
      <c r="AM237" s="67">
        <v>231</v>
      </c>
      <c r="AN237" s="67">
        <v>378</v>
      </c>
      <c r="AO237" s="67">
        <v>585</v>
      </c>
      <c r="AP237" s="67">
        <v>672</v>
      </c>
      <c r="AQ237" s="67">
        <v>517</v>
      </c>
      <c r="AR237" s="67">
        <v>2383</v>
      </c>
      <c r="AS237" s="67"/>
      <c r="AT237" s="67" t="s">
        <v>2513</v>
      </c>
      <c r="AU237" s="67">
        <v>33</v>
      </c>
      <c r="AV237" s="67">
        <v>1</v>
      </c>
      <c r="AW237" s="67">
        <v>0</v>
      </c>
      <c r="AX237" s="67">
        <v>0</v>
      </c>
      <c r="AY237" s="67">
        <v>0</v>
      </c>
      <c r="AZ237" s="67">
        <v>34</v>
      </c>
      <c r="BB237" s="70" t="s">
        <v>1483</v>
      </c>
      <c r="BC237" s="70" t="s">
        <v>2441</v>
      </c>
      <c r="BD237" s="70">
        <v>101</v>
      </c>
      <c r="BE237" s="70">
        <v>72</v>
      </c>
      <c r="BF237" s="70">
        <v>111</v>
      </c>
      <c r="BG237" s="70">
        <v>149</v>
      </c>
      <c r="BH237" s="70">
        <v>130</v>
      </c>
      <c r="BI237" s="70">
        <v>563</v>
      </c>
      <c r="BJ237" s="70"/>
      <c r="BK237" s="70" t="s">
        <v>2441</v>
      </c>
      <c r="BL237" s="70">
        <v>32</v>
      </c>
      <c r="BM237" s="70">
        <v>0</v>
      </c>
      <c r="BN237" s="70">
        <v>0</v>
      </c>
      <c r="BO237" s="70">
        <v>0</v>
      </c>
      <c r="BP237" s="70">
        <v>0</v>
      </c>
      <c r="BQ237" s="70">
        <v>32</v>
      </c>
      <c r="BS237" s="21"/>
      <c r="CL237" s="57" t="s">
        <v>569</v>
      </c>
      <c r="CM237" s="57" t="s">
        <v>2513</v>
      </c>
      <c r="CN237" s="57">
        <v>148</v>
      </c>
      <c r="CO237" s="57">
        <v>139</v>
      </c>
      <c r="CP237" s="57">
        <v>164</v>
      </c>
      <c r="CQ237" s="57">
        <v>237</v>
      </c>
      <c r="CR237" s="57">
        <v>217</v>
      </c>
      <c r="CS237" s="57">
        <v>905</v>
      </c>
      <c r="CT237" s="57"/>
      <c r="CU237" s="57" t="s">
        <v>2513</v>
      </c>
      <c r="CV237" s="57">
        <v>15</v>
      </c>
      <c r="CW237" s="57">
        <v>0</v>
      </c>
      <c r="CX237" s="57">
        <v>0</v>
      </c>
      <c r="CY237" s="57">
        <v>0</v>
      </c>
      <c r="CZ237" s="57">
        <v>0</v>
      </c>
      <c r="DA237" s="57">
        <v>15</v>
      </c>
      <c r="FF237" s="71" t="s">
        <v>2056</v>
      </c>
      <c r="FG237" s="71" t="s">
        <v>2513</v>
      </c>
      <c r="FH237" s="71">
        <v>191</v>
      </c>
      <c r="FI237" s="71">
        <v>291</v>
      </c>
      <c r="FJ237" s="71">
        <v>328</v>
      </c>
      <c r="FK237" s="71">
        <v>358</v>
      </c>
      <c r="FL237" s="71">
        <v>463</v>
      </c>
      <c r="FM237" s="71">
        <v>1631</v>
      </c>
      <c r="FN237" s="71"/>
      <c r="FO237" s="71" t="s">
        <v>2513</v>
      </c>
      <c r="FP237" s="71">
        <v>31</v>
      </c>
      <c r="FQ237" s="71">
        <v>9</v>
      </c>
      <c r="FR237" s="71">
        <v>3</v>
      </c>
      <c r="FS237" s="71">
        <v>2</v>
      </c>
      <c r="FT237" s="71">
        <v>5</v>
      </c>
      <c r="FU237" s="71">
        <v>50</v>
      </c>
    </row>
    <row r="238" spans="2:177">
      <c r="B238" s="65" t="s">
        <v>955</v>
      </c>
      <c r="C238" s="65" t="s">
        <v>27</v>
      </c>
      <c r="D238" s="65">
        <v>273</v>
      </c>
      <c r="E238" s="65">
        <v>545</v>
      </c>
      <c r="F238" s="65">
        <v>848</v>
      </c>
      <c r="G238" s="65">
        <v>1073</v>
      </c>
      <c r="H238" s="65">
        <v>866</v>
      </c>
      <c r="I238" s="65">
        <v>3605</v>
      </c>
      <c r="K238" s="65" t="s">
        <v>27</v>
      </c>
      <c r="L238" s="65">
        <v>14</v>
      </c>
      <c r="M238" s="65">
        <v>4</v>
      </c>
      <c r="N238" s="65">
        <v>0</v>
      </c>
      <c r="O238" s="65">
        <v>0</v>
      </c>
      <c r="P238" s="65">
        <v>0</v>
      </c>
      <c r="Q238" s="65">
        <v>18</v>
      </c>
      <c r="AK238" s="67" t="s">
        <v>1181</v>
      </c>
      <c r="AL238" s="67" t="s">
        <v>2513</v>
      </c>
      <c r="AM238" s="67">
        <v>481</v>
      </c>
      <c r="AN238" s="67">
        <v>486</v>
      </c>
      <c r="AO238" s="67">
        <v>565</v>
      </c>
      <c r="AP238" s="67">
        <v>592</v>
      </c>
      <c r="AQ238" s="67">
        <v>453</v>
      </c>
      <c r="AR238" s="67">
        <v>2577</v>
      </c>
      <c r="AS238" s="67"/>
      <c r="AT238" s="67" t="s">
        <v>2513</v>
      </c>
      <c r="AU238" s="67">
        <v>24</v>
      </c>
      <c r="AV238" s="67">
        <v>3</v>
      </c>
      <c r="AW238" s="67">
        <v>0</v>
      </c>
      <c r="AX238" s="67">
        <v>2</v>
      </c>
      <c r="AY238" s="67">
        <v>0</v>
      </c>
      <c r="AZ238" s="67">
        <v>29</v>
      </c>
      <c r="BB238" s="70" t="s">
        <v>1488</v>
      </c>
      <c r="BC238" s="70" t="s">
        <v>2441</v>
      </c>
      <c r="BD238" s="70">
        <v>80</v>
      </c>
      <c r="BE238" s="70">
        <v>40</v>
      </c>
      <c r="BF238" s="70">
        <v>68</v>
      </c>
      <c r="BG238" s="70">
        <v>88</v>
      </c>
      <c r="BH238" s="70">
        <v>74</v>
      </c>
      <c r="BI238" s="70">
        <v>350</v>
      </c>
      <c r="BJ238" s="70"/>
      <c r="BK238" s="70" t="s">
        <v>2441</v>
      </c>
      <c r="BL238" s="70">
        <v>25</v>
      </c>
      <c r="BM238" s="70">
        <v>0</v>
      </c>
      <c r="BN238" s="70">
        <v>0</v>
      </c>
      <c r="BO238" s="70">
        <v>0</v>
      </c>
      <c r="BP238" s="70">
        <v>0</v>
      </c>
      <c r="BQ238" s="70">
        <v>25</v>
      </c>
      <c r="BS238" s="21"/>
      <c r="CL238" s="57" t="s">
        <v>592</v>
      </c>
      <c r="CM238" s="57" t="s">
        <v>2513</v>
      </c>
      <c r="CN238" s="57">
        <v>64</v>
      </c>
      <c r="CO238" s="57">
        <v>37</v>
      </c>
      <c r="CP238" s="57">
        <v>64</v>
      </c>
      <c r="CQ238" s="57">
        <v>95</v>
      </c>
      <c r="CR238" s="57">
        <v>95</v>
      </c>
      <c r="CS238" s="57">
        <v>355</v>
      </c>
      <c r="CT238" s="57"/>
      <c r="CU238" s="57" t="s">
        <v>2513</v>
      </c>
      <c r="CV238" s="57">
        <v>27</v>
      </c>
      <c r="CW238" s="57">
        <v>0</v>
      </c>
      <c r="CX238" s="57">
        <v>0</v>
      </c>
      <c r="CY238" s="57">
        <v>0</v>
      </c>
      <c r="CZ238" s="57">
        <v>0</v>
      </c>
      <c r="DA238" s="57">
        <v>27</v>
      </c>
      <c r="FF238" s="71" t="s">
        <v>2058</v>
      </c>
      <c r="FG238" s="71" t="s">
        <v>2513</v>
      </c>
      <c r="FH238" s="71">
        <v>342</v>
      </c>
      <c r="FI238" s="71">
        <v>457</v>
      </c>
      <c r="FJ238" s="71">
        <v>475</v>
      </c>
      <c r="FK238" s="71">
        <v>521</v>
      </c>
      <c r="FL238" s="71">
        <v>583</v>
      </c>
      <c r="FM238" s="71">
        <v>2378</v>
      </c>
      <c r="FN238" s="71"/>
      <c r="FO238" s="71" t="s">
        <v>2513</v>
      </c>
      <c r="FP238" s="71">
        <v>38</v>
      </c>
      <c r="FQ238" s="71">
        <v>7</v>
      </c>
      <c r="FR238" s="71">
        <v>4</v>
      </c>
      <c r="FS238" s="71">
        <v>3</v>
      </c>
      <c r="FT238" s="71">
        <v>6</v>
      </c>
      <c r="FU238" s="71">
        <v>58</v>
      </c>
    </row>
    <row r="239" spans="2:177">
      <c r="B239" s="65" t="s">
        <v>959</v>
      </c>
      <c r="C239" s="65" t="s">
        <v>27</v>
      </c>
      <c r="D239" s="65">
        <v>256</v>
      </c>
      <c r="E239" s="65">
        <v>471</v>
      </c>
      <c r="F239" s="65">
        <v>798</v>
      </c>
      <c r="G239" s="65">
        <v>1044</v>
      </c>
      <c r="H239" s="65">
        <v>851</v>
      </c>
      <c r="I239" s="65">
        <v>3420</v>
      </c>
      <c r="K239" s="65" t="s">
        <v>27</v>
      </c>
      <c r="L239" s="65">
        <v>18</v>
      </c>
      <c r="M239" s="65">
        <v>0</v>
      </c>
      <c r="N239" s="65">
        <v>0</v>
      </c>
      <c r="O239" s="65">
        <v>0</v>
      </c>
      <c r="P239" s="65">
        <v>1</v>
      </c>
      <c r="Q239" s="65">
        <v>19</v>
      </c>
      <c r="AK239" s="67" t="s">
        <v>1185</v>
      </c>
      <c r="AL239" s="67" t="s">
        <v>2513</v>
      </c>
      <c r="AM239" s="67">
        <v>757</v>
      </c>
      <c r="AN239" s="67">
        <v>364</v>
      </c>
      <c r="AO239" s="67">
        <v>449</v>
      </c>
      <c r="AP239" s="67">
        <v>478</v>
      </c>
      <c r="AQ239" s="67">
        <v>430</v>
      </c>
      <c r="AR239" s="67">
        <v>2478</v>
      </c>
      <c r="AS239" s="67"/>
      <c r="AT239" s="67" t="s">
        <v>2513</v>
      </c>
      <c r="AU239" s="67">
        <v>76</v>
      </c>
      <c r="AV239" s="67">
        <v>3</v>
      </c>
      <c r="AW239" s="67">
        <v>1</v>
      </c>
      <c r="AX239" s="67">
        <v>0</v>
      </c>
      <c r="AY239" s="67">
        <v>0</v>
      </c>
      <c r="AZ239" s="67">
        <v>80</v>
      </c>
      <c r="BB239" s="70" t="s">
        <v>1494</v>
      </c>
      <c r="BC239" s="70" t="s">
        <v>2441</v>
      </c>
      <c r="BD239" s="70">
        <v>97</v>
      </c>
      <c r="BE239" s="70">
        <v>67</v>
      </c>
      <c r="BF239" s="70">
        <v>115</v>
      </c>
      <c r="BG239" s="70">
        <v>230</v>
      </c>
      <c r="BH239" s="70">
        <v>205</v>
      </c>
      <c r="BI239" s="70">
        <v>714</v>
      </c>
      <c r="BJ239" s="70"/>
      <c r="BK239" s="70" t="s">
        <v>2441</v>
      </c>
      <c r="BL239" s="70">
        <v>26</v>
      </c>
      <c r="BM239" s="70">
        <v>0</v>
      </c>
      <c r="BN239" s="70">
        <v>0</v>
      </c>
      <c r="BO239" s="70">
        <v>0</v>
      </c>
      <c r="BP239" s="70">
        <v>0</v>
      </c>
      <c r="BQ239" s="70">
        <v>26</v>
      </c>
      <c r="BS239" s="21"/>
      <c r="CL239" s="57" t="s">
        <v>571</v>
      </c>
      <c r="CM239" s="57" t="s">
        <v>2513</v>
      </c>
      <c r="CN239" s="57">
        <v>137</v>
      </c>
      <c r="CO239" s="57">
        <v>119</v>
      </c>
      <c r="CP239" s="57">
        <v>173</v>
      </c>
      <c r="CQ239" s="57">
        <v>257</v>
      </c>
      <c r="CR239" s="57">
        <v>219</v>
      </c>
      <c r="CS239" s="57">
        <v>905</v>
      </c>
      <c r="CT239" s="57"/>
      <c r="CU239" s="57" t="s">
        <v>2513</v>
      </c>
      <c r="CV239" s="57">
        <v>15</v>
      </c>
      <c r="CW239" s="57">
        <v>0</v>
      </c>
      <c r="CX239" s="57">
        <v>0</v>
      </c>
      <c r="CY239" s="57">
        <v>0</v>
      </c>
      <c r="CZ239" s="57">
        <v>0</v>
      </c>
      <c r="DA239" s="57">
        <v>15</v>
      </c>
      <c r="FF239" s="71" t="s">
        <v>2060</v>
      </c>
      <c r="FG239" s="71" t="s">
        <v>2513</v>
      </c>
      <c r="FH239" s="71">
        <v>1957</v>
      </c>
      <c r="FI239" s="71">
        <v>1513</v>
      </c>
      <c r="FJ239" s="71">
        <v>873</v>
      </c>
      <c r="FK239" s="71">
        <v>788</v>
      </c>
      <c r="FL239" s="71">
        <v>816</v>
      </c>
      <c r="FM239" s="71">
        <v>5947</v>
      </c>
      <c r="FN239" s="71"/>
      <c r="FO239" s="71" t="s">
        <v>2513</v>
      </c>
      <c r="FP239" s="71">
        <v>441</v>
      </c>
      <c r="FQ239" s="71">
        <v>98</v>
      </c>
      <c r="FR239" s="71">
        <v>16</v>
      </c>
      <c r="FS239" s="71">
        <v>0</v>
      </c>
      <c r="FT239" s="71">
        <v>0</v>
      </c>
      <c r="FU239" s="71">
        <v>555</v>
      </c>
    </row>
    <row r="240" spans="2:177">
      <c r="B240" s="65" t="s">
        <v>962</v>
      </c>
      <c r="C240" s="65" t="s">
        <v>27</v>
      </c>
      <c r="D240" s="65">
        <v>306</v>
      </c>
      <c r="E240" s="65">
        <v>485</v>
      </c>
      <c r="F240" s="65">
        <v>876</v>
      </c>
      <c r="G240" s="65">
        <v>1248</v>
      </c>
      <c r="H240" s="65">
        <v>1077</v>
      </c>
      <c r="I240" s="65">
        <v>3992</v>
      </c>
      <c r="K240" s="65" t="s">
        <v>27</v>
      </c>
      <c r="L240" s="65">
        <v>22</v>
      </c>
      <c r="M240" s="65">
        <v>2</v>
      </c>
      <c r="N240" s="65">
        <v>0</v>
      </c>
      <c r="O240" s="65">
        <v>0</v>
      </c>
      <c r="P240" s="65">
        <v>0</v>
      </c>
      <c r="Q240" s="65">
        <v>24</v>
      </c>
      <c r="AK240" s="67" t="s">
        <v>1190</v>
      </c>
      <c r="AL240" s="67" t="s">
        <v>2513</v>
      </c>
      <c r="AM240" s="67">
        <v>1099</v>
      </c>
      <c r="AN240" s="67">
        <v>986</v>
      </c>
      <c r="AO240" s="67">
        <v>1099</v>
      </c>
      <c r="AP240" s="67">
        <v>1167</v>
      </c>
      <c r="AQ240" s="67">
        <v>792</v>
      </c>
      <c r="AR240" s="67">
        <v>5143</v>
      </c>
      <c r="AS240" s="67"/>
      <c r="AT240" s="67" t="s">
        <v>2513</v>
      </c>
      <c r="AU240" s="67">
        <v>100</v>
      </c>
      <c r="AV240" s="67">
        <v>3</v>
      </c>
      <c r="AW240" s="67">
        <v>0</v>
      </c>
      <c r="AX240" s="67">
        <v>0</v>
      </c>
      <c r="AY240" s="67">
        <v>0</v>
      </c>
      <c r="AZ240" s="67">
        <v>103</v>
      </c>
      <c r="BB240" s="70" t="s">
        <v>1498</v>
      </c>
      <c r="BC240" s="70" t="s">
        <v>2441</v>
      </c>
      <c r="BD240" s="70" t="s">
        <v>356</v>
      </c>
      <c r="BE240" s="70" t="s">
        <v>356</v>
      </c>
      <c r="BF240" s="70" t="s">
        <v>356</v>
      </c>
      <c r="BG240" s="70" t="s">
        <v>356</v>
      </c>
      <c r="BH240" s="70" t="s">
        <v>356</v>
      </c>
      <c r="BI240" s="70" t="s">
        <v>356</v>
      </c>
      <c r="BJ240" s="70"/>
      <c r="BK240" s="70" t="s">
        <v>2441</v>
      </c>
      <c r="BL240" s="70" t="s">
        <v>356</v>
      </c>
      <c r="BM240" s="70" t="s">
        <v>356</v>
      </c>
      <c r="BN240" s="70" t="s">
        <v>356</v>
      </c>
      <c r="BO240" s="70" t="s">
        <v>356</v>
      </c>
      <c r="BP240" s="70" t="s">
        <v>356</v>
      </c>
      <c r="BQ240" s="70" t="s">
        <v>356</v>
      </c>
      <c r="BS240" s="21"/>
      <c r="CL240" s="57" t="s">
        <v>574</v>
      </c>
      <c r="CM240" s="57" t="s">
        <v>2513</v>
      </c>
      <c r="CN240" s="57">
        <v>210</v>
      </c>
      <c r="CO240" s="57">
        <v>290</v>
      </c>
      <c r="CP240" s="57">
        <v>469</v>
      </c>
      <c r="CQ240" s="57">
        <v>621</v>
      </c>
      <c r="CR240" s="57">
        <v>532</v>
      </c>
      <c r="CS240" s="57">
        <v>2122</v>
      </c>
      <c r="CT240" s="57"/>
      <c r="CU240" s="57" t="s">
        <v>2513</v>
      </c>
      <c r="CV240" s="57">
        <v>10</v>
      </c>
      <c r="CW240" s="57">
        <v>0</v>
      </c>
      <c r="CX240" s="57">
        <v>0</v>
      </c>
      <c r="CY240" s="57">
        <v>0</v>
      </c>
      <c r="CZ240" s="57">
        <v>0</v>
      </c>
      <c r="DA240" s="57">
        <v>10</v>
      </c>
      <c r="FF240" s="71" t="s">
        <v>2063</v>
      </c>
      <c r="FG240" s="71" t="s">
        <v>2513</v>
      </c>
      <c r="FH240" s="71">
        <v>286</v>
      </c>
      <c r="FI240" s="71">
        <v>472</v>
      </c>
      <c r="FJ240" s="71">
        <v>520</v>
      </c>
      <c r="FK240" s="71">
        <v>529</v>
      </c>
      <c r="FL240" s="71">
        <v>580</v>
      </c>
      <c r="FM240" s="71">
        <v>2387</v>
      </c>
      <c r="FN240" s="71"/>
      <c r="FO240" s="71" t="s">
        <v>2513</v>
      </c>
      <c r="FP240" s="71">
        <v>36</v>
      </c>
      <c r="FQ240" s="71">
        <v>6</v>
      </c>
      <c r="FR240" s="71">
        <v>0</v>
      </c>
      <c r="FS240" s="71">
        <v>0</v>
      </c>
      <c r="FT240" s="71">
        <v>0</v>
      </c>
      <c r="FU240" s="71">
        <v>42</v>
      </c>
    </row>
    <row r="241" spans="2:177">
      <c r="B241" s="65" t="s">
        <v>965</v>
      </c>
      <c r="C241" s="65" t="s">
        <v>27</v>
      </c>
      <c r="D241" s="65">
        <v>667</v>
      </c>
      <c r="E241" s="65">
        <v>519</v>
      </c>
      <c r="F241" s="65">
        <v>767</v>
      </c>
      <c r="G241" s="65">
        <v>1063</v>
      </c>
      <c r="H241" s="65">
        <v>843</v>
      </c>
      <c r="I241" s="65">
        <v>3859</v>
      </c>
      <c r="K241" s="65" t="s">
        <v>27</v>
      </c>
      <c r="L241" s="65">
        <v>26</v>
      </c>
      <c r="M241" s="65">
        <v>0</v>
      </c>
      <c r="N241" s="65">
        <v>0</v>
      </c>
      <c r="O241" s="65">
        <v>0</v>
      </c>
      <c r="P241" s="65">
        <v>0</v>
      </c>
      <c r="Q241" s="65">
        <v>26</v>
      </c>
      <c r="AK241" s="67" t="s">
        <v>1194</v>
      </c>
      <c r="AL241" s="67" t="s">
        <v>2513</v>
      </c>
      <c r="AM241" s="67">
        <v>718</v>
      </c>
      <c r="AN241" s="67">
        <v>733</v>
      </c>
      <c r="AO241" s="67">
        <v>879</v>
      </c>
      <c r="AP241" s="67">
        <v>990</v>
      </c>
      <c r="AQ241" s="67">
        <v>713</v>
      </c>
      <c r="AR241" s="67">
        <v>4033</v>
      </c>
      <c r="AS241" s="67"/>
      <c r="AT241" s="67" t="s">
        <v>2513</v>
      </c>
      <c r="AU241" s="67">
        <v>45</v>
      </c>
      <c r="AV241" s="67">
        <v>4</v>
      </c>
      <c r="AW241" s="67">
        <v>1</v>
      </c>
      <c r="AX241" s="67">
        <v>0</v>
      </c>
      <c r="AY241" s="67">
        <v>1</v>
      </c>
      <c r="AZ241" s="67">
        <v>51</v>
      </c>
      <c r="BB241" s="70" t="s">
        <v>1502</v>
      </c>
      <c r="BC241" s="70" t="s">
        <v>2441</v>
      </c>
      <c r="BD241" s="70" t="s">
        <v>356</v>
      </c>
      <c r="BE241" s="70" t="s">
        <v>356</v>
      </c>
      <c r="BF241" s="70" t="s">
        <v>356</v>
      </c>
      <c r="BG241" s="70" t="s">
        <v>356</v>
      </c>
      <c r="BH241" s="70" t="s">
        <v>356</v>
      </c>
      <c r="BI241" s="70" t="s">
        <v>356</v>
      </c>
      <c r="BJ241" s="70"/>
      <c r="BK241" s="70" t="s">
        <v>2441</v>
      </c>
      <c r="BL241" s="70" t="s">
        <v>356</v>
      </c>
      <c r="BM241" s="70" t="s">
        <v>356</v>
      </c>
      <c r="BN241" s="70" t="s">
        <v>356</v>
      </c>
      <c r="BO241" s="70" t="s">
        <v>356</v>
      </c>
      <c r="BP241" s="70" t="s">
        <v>356</v>
      </c>
      <c r="BQ241" s="70" t="s">
        <v>356</v>
      </c>
      <c r="BS241" s="21"/>
      <c r="CL241" s="57" t="s">
        <v>565</v>
      </c>
      <c r="CM241" s="57" t="s">
        <v>2513</v>
      </c>
      <c r="CN241" s="57">
        <v>260</v>
      </c>
      <c r="CO241" s="57">
        <v>125</v>
      </c>
      <c r="CP241" s="57">
        <v>178</v>
      </c>
      <c r="CQ241" s="57">
        <v>230</v>
      </c>
      <c r="CR241" s="57">
        <v>390</v>
      </c>
      <c r="CS241" s="57">
        <v>1183</v>
      </c>
      <c r="CT241" s="57"/>
      <c r="CU241" s="57" t="s">
        <v>2513</v>
      </c>
      <c r="CV241" s="57">
        <v>65</v>
      </c>
      <c r="CW241" s="57">
        <v>0</v>
      </c>
      <c r="CX241" s="57">
        <v>0</v>
      </c>
      <c r="CY241" s="57">
        <v>0</v>
      </c>
      <c r="CZ241" s="57">
        <v>0</v>
      </c>
      <c r="DA241" s="57">
        <v>65</v>
      </c>
      <c r="FF241" s="71" t="s">
        <v>2065</v>
      </c>
      <c r="FG241" s="71" t="s">
        <v>2513</v>
      </c>
      <c r="FH241" s="71">
        <v>152</v>
      </c>
      <c r="FI241" s="71">
        <v>320</v>
      </c>
      <c r="FJ241" s="71">
        <v>530</v>
      </c>
      <c r="FK241" s="71">
        <v>551</v>
      </c>
      <c r="FL241" s="71">
        <v>608</v>
      </c>
      <c r="FM241" s="71">
        <v>2161</v>
      </c>
      <c r="FN241" s="71"/>
      <c r="FO241" s="71" t="s">
        <v>2513</v>
      </c>
      <c r="FP241" s="71">
        <v>19</v>
      </c>
      <c r="FQ241" s="71">
        <v>2</v>
      </c>
      <c r="FR241" s="71">
        <v>0</v>
      </c>
      <c r="FS241" s="71">
        <v>0</v>
      </c>
      <c r="FT241" s="71">
        <v>0</v>
      </c>
      <c r="FU241" s="71">
        <v>21</v>
      </c>
    </row>
    <row r="242" spans="2:177">
      <c r="B242" s="65" t="s">
        <v>968</v>
      </c>
      <c r="C242" s="65" t="s">
        <v>27</v>
      </c>
      <c r="D242" s="65">
        <v>12</v>
      </c>
      <c r="E242" s="65">
        <v>38</v>
      </c>
      <c r="F242" s="65">
        <v>60</v>
      </c>
      <c r="G242" s="65">
        <v>92</v>
      </c>
      <c r="H242" s="65">
        <v>95</v>
      </c>
      <c r="I242" s="65">
        <v>297</v>
      </c>
      <c r="K242" s="65" t="s">
        <v>27</v>
      </c>
      <c r="L242" s="65">
        <v>1</v>
      </c>
      <c r="M242" s="65">
        <v>0</v>
      </c>
      <c r="N242" s="65">
        <v>0</v>
      </c>
      <c r="O242" s="65">
        <v>0</v>
      </c>
      <c r="P242" s="65">
        <v>0</v>
      </c>
      <c r="Q242" s="65">
        <v>1</v>
      </c>
      <c r="AK242" s="67" t="s">
        <v>1197</v>
      </c>
      <c r="AL242" s="67" t="s">
        <v>2513</v>
      </c>
      <c r="AM242" s="67">
        <v>1023</v>
      </c>
      <c r="AN242" s="67">
        <v>1095</v>
      </c>
      <c r="AO242" s="67">
        <v>1467</v>
      </c>
      <c r="AP242" s="67">
        <v>1639</v>
      </c>
      <c r="AQ242" s="67">
        <v>1097</v>
      </c>
      <c r="AR242" s="67">
        <v>6321</v>
      </c>
      <c r="AS242" s="67"/>
      <c r="AT242" s="67" t="s">
        <v>2513</v>
      </c>
      <c r="AU242" s="67">
        <v>70</v>
      </c>
      <c r="AV242" s="67">
        <v>6</v>
      </c>
      <c r="AW242" s="67">
        <v>3</v>
      </c>
      <c r="AX242" s="67">
        <v>0</v>
      </c>
      <c r="AY242" s="67">
        <v>0</v>
      </c>
      <c r="AZ242" s="67">
        <v>79</v>
      </c>
      <c r="BB242" s="70" t="s">
        <v>1511</v>
      </c>
      <c r="BC242" s="70" t="s">
        <v>2441</v>
      </c>
      <c r="BD242" s="70">
        <v>498</v>
      </c>
      <c r="BE242" s="70">
        <v>455</v>
      </c>
      <c r="BF242" s="70">
        <v>844</v>
      </c>
      <c r="BG242" s="70">
        <v>1204</v>
      </c>
      <c r="BH242" s="70">
        <v>1072</v>
      </c>
      <c r="BI242" s="70">
        <v>4073</v>
      </c>
      <c r="BJ242" s="70"/>
      <c r="BK242" s="70" t="s">
        <v>2441</v>
      </c>
      <c r="BL242" s="70">
        <v>66</v>
      </c>
      <c r="BM242" s="70">
        <v>0</v>
      </c>
      <c r="BN242" s="70">
        <v>0</v>
      </c>
      <c r="BO242" s="70">
        <v>0</v>
      </c>
      <c r="BP242" s="70">
        <v>0</v>
      </c>
      <c r="BQ242" s="70">
        <v>66</v>
      </c>
      <c r="BS242" s="21"/>
      <c r="CL242" s="57" t="s">
        <v>578</v>
      </c>
      <c r="CM242" s="57" t="s">
        <v>2513</v>
      </c>
      <c r="CN242" s="57">
        <v>99</v>
      </c>
      <c r="CO242" s="57">
        <v>105</v>
      </c>
      <c r="CP242" s="57">
        <v>163</v>
      </c>
      <c r="CQ242" s="57">
        <v>242</v>
      </c>
      <c r="CR242" s="57">
        <v>235</v>
      </c>
      <c r="CS242" s="57">
        <v>844</v>
      </c>
      <c r="CT242" s="57"/>
      <c r="CU242" s="57" t="s">
        <v>2513</v>
      </c>
      <c r="CV242" s="57">
        <v>18</v>
      </c>
      <c r="CW242" s="57">
        <v>0</v>
      </c>
      <c r="CX242" s="57">
        <v>0</v>
      </c>
      <c r="CY242" s="57">
        <v>0</v>
      </c>
      <c r="CZ242" s="57">
        <v>0</v>
      </c>
      <c r="DA242" s="57">
        <v>18</v>
      </c>
      <c r="FF242" s="71" t="s">
        <v>2067</v>
      </c>
      <c r="FG242" s="71" t="s">
        <v>2513</v>
      </c>
      <c r="FH242" s="71">
        <v>422</v>
      </c>
      <c r="FI242" s="71">
        <v>455</v>
      </c>
      <c r="FJ242" s="71">
        <v>655</v>
      </c>
      <c r="FK242" s="71">
        <v>590</v>
      </c>
      <c r="FL242" s="71">
        <v>614</v>
      </c>
      <c r="FM242" s="71">
        <v>2736</v>
      </c>
      <c r="FN242" s="71"/>
      <c r="FO242" s="71" t="s">
        <v>2513</v>
      </c>
      <c r="FP242" s="71">
        <v>59</v>
      </c>
      <c r="FQ242" s="71">
        <v>0</v>
      </c>
      <c r="FR242" s="71">
        <v>0</v>
      </c>
      <c r="FS242" s="71">
        <v>0</v>
      </c>
      <c r="FT242" s="71">
        <v>0</v>
      </c>
      <c r="FU242" s="71">
        <v>59</v>
      </c>
    </row>
    <row r="243" spans="2:177">
      <c r="B243" s="65" t="s">
        <v>971</v>
      </c>
      <c r="C243" s="65" t="s">
        <v>27</v>
      </c>
      <c r="D243" s="65">
        <v>37</v>
      </c>
      <c r="E243" s="65">
        <v>99</v>
      </c>
      <c r="F243" s="65">
        <v>164</v>
      </c>
      <c r="G243" s="65">
        <v>222</v>
      </c>
      <c r="H243" s="65">
        <v>210</v>
      </c>
      <c r="I243" s="65">
        <v>732</v>
      </c>
      <c r="K243" s="65" t="s">
        <v>27</v>
      </c>
      <c r="L243" s="65">
        <v>2</v>
      </c>
      <c r="M243" s="65">
        <v>2</v>
      </c>
      <c r="N243" s="65">
        <v>2</v>
      </c>
      <c r="O243" s="65">
        <v>0</v>
      </c>
      <c r="P243" s="65">
        <v>0</v>
      </c>
      <c r="Q243" s="65">
        <v>6</v>
      </c>
      <c r="AK243" s="67" t="s">
        <v>1200</v>
      </c>
      <c r="AL243" s="67" t="s">
        <v>2513</v>
      </c>
      <c r="AM243" s="67">
        <v>293</v>
      </c>
      <c r="AN243" s="67">
        <v>343</v>
      </c>
      <c r="AO243" s="67">
        <v>443</v>
      </c>
      <c r="AP243" s="67">
        <v>517</v>
      </c>
      <c r="AQ243" s="67">
        <v>434</v>
      </c>
      <c r="AR243" s="67">
        <v>2030</v>
      </c>
      <c r="AS243" s="67"/>
      <c r="AT243" s="67" t="s">
        <v>2513</v>
      </c>
      <c r="AU243" s="67">
        <v>94</v>
      </c>
      <c r="AV243" s="67">
        <v>2</v>
      </c>
      <c r="AW243" s="67">
        <v>0</v>
      </c>
      <c r="AX243" s="67">
        <v>3</v>
      </c>
      <c r="AY243" s="67">
        <v>1</v>
      </c>
      <c r="AZ243" s="67">
        <v>100</v>
      </c>
      <c r="BB243" s="70" t="s">
        <v>1515</v>
      </c>
      <c r="BC243" s="70" t="s">
        <v>2441</v>
      </c>
      <c r="BD243" s="70">
        <v>154</v>
      </c>
      <c r="BE243" s="70">
        <v>88</v>
      </c>
      <c r="BF243" s="70">
        <v>166</v>
      </c>
      <c r="BG243" s="70">
        <v>288</v>
      </c>
      <c r="BH243" s="70">
        <v>273</v>
      </c>
      <c r="BI243" s="70">
        <v>969</v>
      </c>
      <c r="BJ243" s="70"/>
      <c r="BK243" s="70" t="s">
        <v>2441</v>
      </c>
      <c r="BL243" s="70">
        <v>38</v>
      </c>
      <c r="BM243" s="70">
        <v>0</v>
      </c>
      <c r="BN243" s="70">
        <v>0</v>
      </c>
      <c r="BO243" s="70">
        <v>0</v>
      </c>
      <c r="BP243" s="70">
        <v>0</v>
      </c>
      <c r="BQ243" s="70">
        <v>38</v>
      </c>
      <c r="BS243" s="21"/>
      <c r="CL243" s="57" t="s">
        <v>582</v>
      </c>
      <c r="CM243" s="57" t="s">
        <v>2513</v>
      </c>
      <c r="CN243" s="57">
        <v>155</v>
      </c>
      <c r="CO243" s="57">
        <v>87</v>
      </c>
      <c r="CP243" s="57">
        <v>174</v>
      </c>
      <c r="CQ243" s="57">
        <v>215</v>
      </c>
      <c r="CR243" s="57">
        <v>214</v>
      </c>
      <c r="CS243" s="57">
        <v>845</v>
      </c>
      <c r="CT243" s="57"/>
      <c r="CU243" s="57" t="s">
        <v>2513</v>
      </c>
      <c r="CV243" s="57">
        <v>59</v>
      </c>
      <c r="CW243" s="57">
        <v>0</v>
      </c>
      <c r="CX243" s="57">
        <v>0</v>
      </c>
      <c r="CY243" s="57">
        <v>0</v>
      </c>
      <c r="CZ243" s="57">
        <v>0</v>
      </c>
      <c r="DA243" s="57">
        <v>59</v>
      </c>
      <c r="FF243" s="71" t="s">
        <v>2069</v>
      </c>
      <c r="FG243" s="71" t="s">
        <v>2513</v>
      </c>
      <c r="FH243" s="71">
        <v>471</v>
      </c>
      <c r="FI243" s="71">
        <v>535</v>
      </c>
      <c r="FJ243" s="71">
        <v>767</v>
      </c>
      <c r="FK243" s="71">
        <v>681</v>
      </c>
      <c r="FL243" s="71">
        <v>797</v>
      </c>
      <c r="FM243" s="71">
        <v>3251</v>
      </c>
      <c r="FN243" s="71"/>
      <c r="FO243" s="71" t="s">
        <v>2513</v>
      </c>
      <c r="FP243" s="71">
        <v>50</v>
      </c>
      <c r="FQ243" s="71">
        <v>4</v>
      </c>
      <c r="FR243" s="71">
        <v>0</v>
      </c>
      <c r="FS243" s="71">
        <v>0</v>
      </c>
      <c r="FT243" s="71">
        <v>0</v>
      </c>
      <c r="FU243" s="71">
        <v>54</v>
      </c>
    </row>
    <row r="244" spans="2:177">
      <c r="B244" s="65" t="s">
        <v>974</v>
      </c>
      <c r="C244" s="65" t="s">
        <v>27</v>
      </c>
      <c r="D244" s="65">
        <v>18</v>
      </c>
      <c r="E244" s="65">
        <v>22</v>
      </c>
      <c r="F244" s="65">
        <v>48</v>
      </c>
      <c r="G244" s="65">
        <v>66</v>
      </c>
      <c r="H244" s="65">
        <v>60</v>
      </c>
      <c r="I244" s="65">
        <v>214</v>
      </c>
      <c r="K244" s="65" t="s">
        <v>27</v>
      </c>
      <c r="L244" s="65">
        <v>3</v>
      </c>
      <c r="M244" s="65">
        <v>0</v>
      </c>
      <c r="N244" s="65">
        <v>0</v>
      </c>
      <c r="O244" s="65">
        <v>0</v>
      </c>
      <c r="P244" s="65">
        <v>0</v>
      </c>
      <c r="Q244" s="65">
        <v>3</v>
      </c>
      <c r="AK244" s="67" t="s">
        <v>1204</v>
      </c>
      <c r="AL244" s="67" t="s">
        <v>2513</v>
      </c>
      <c r="AM244" s="67">
        <v>446</v>
      </c>
      <c r="AN244" s="67">
        <v>528</v>
      </c>
      <c r="AO244" s="67">
        <v>674</v>
      </c>
      <c r="AP244" s="67">
        <v>717</v>
      </c>
      <c r="AQ244" s="67">
        <v>511</v>
      </c>
      <c r="AR244" s="67">
        <v>2876</v>
      </c>
      <c r="AS244" s="67"/>
      <c r="AT244" s="67" t="s">
        <v>2513</v>
      </c>
      <c r="AU244" s="67">
        <v>21</v>
      </c>
      <c r="AV244" s="67">
        <v>4</v>
      </c>
      <c r="AW244" s="67">
        <v>0</v>
      </c>
      <c r="AX244" s="67">
        <v>0</v>
      </c>
      <c r="AY244" s="67">
        <v>0</v>
      </c>
      <c r="AZ244" s="67">
        <v>25</v>
      </c>
      <c r="BB244" s="70" t="s">
        <v>1520</v>
      </c>
      <c r="BC244" s="70" t="s">
        <v>2441</v>
      </c>
      <c r="BD244" s="70">
        <v>442</v>
      </c>
      <c r="BE244" s="70">
        <v>339</v>
      </c>
      <c r="BF244" s="70">
        <v>514</v>
      </c>
      <c r="BG244" s="70">
        <v>689</v>
      </c>
      <c r="BH244" s="70">
        <v>594</v>
      </c>
      <c r="BI244" s="70">
        <v>2578</v>
      </c>
      <c r="BJ244" s="70"/>
      <c r="BK244" s="70" t="s">
        <v>2441</v>
      </c>
      <c r="BL244" s="70">
        <v>59</v>
      </c>
      <c r="BM244" s="70">
        <v>0</v>
      </c>
      <c r="BN244" s="70">
        <v>0</v>
      </c>
      <c r="BO244" s="70">
        <v>0</v>
      </c>
      <c r="BP244" s="70">
        <v>0</v>
      </c>
      <c r="BQ244" s="70">
        <v>59</v>
      </c>
      <c r="BS244" s="21"/>
      <c r="CL244" s="57" t="s">
        <v>626</v>
      </c>
      <c r="CM244" s="57" t="s">
        <v>2513</v>
      </c>
      <c r="CN244" s="57">
        <v>25</v>
      </c>
      <c r="CO244" s="57">
        <v>28</v>
      </c>
      <c r="CP244" s="57">
        <v>74</v>
      </c>
      <c r="CQ244" s="57">
        <v>130</v>
      </c>
      <c r="CR244" s="57">
        <v>140</v>
      </c>
      <c r="CS244" s="57">
        <v>397</v>
      </c>
      <c r="CT244" s="57"/>
      <c r="CU244" s="57" t="s">
        <v>2513</v>
      </c>
      <c r="CV244" s="57">
        <v>5</v>
      </c>
      <c r="CW244" s="57">
        <v>0</v>
      </c>
      <c r="CX244" s="57">
        <v>0</v>
      </c>
      <c r="CY244" s="57">
        <v>0</v>
      </c>
      <c r="CZ244" s="57">
        <v>0</v>
      </c>
      <c r="DA244" s="57">
        <v>5</v>
      </c>
      <c r="FF244" s="71" t="s">
        <v>2413</v>
      </c>
      <c r="FG244" s="71" t="s">
        <v>2513</v>
      </c>
      <c r="FH244" s="71">
        <v>88</v>
      </c>
      <c r="FI244" s="71">
        <v>241</v>
      </c>
      <c r="FJ244" s="71">
        <v>214</v>
      </c>
      <c r="FK244" s="71">
        <v>280</v>
      </c>
      <c r="FL244" s="71">
        <v>268</v>
      </c>
      <c r="FM244" s="71">
        <v>1091</v>
      </c>
      <c r="FN244" s="71"/>
      <c r="FO244" s="71" t="s">
        <v>2513</v>
      </c>
      <c r="FP244" s="71">
        <v>12</v>
      </c>
      <c r="FQ244" s="71">
        <v>7</v>
      </c>
      <c r="FR244" s="71">
        <v>1</v>
      </c>
      <c r="FS244" s="71">
        <v>0</v>
      </c>
      <c r="FT244" s="71">
        <v>0</v>
      </c>
      <c r="FU244" s="71">
        <v>20</v>
      </c>
    </row>
    <row r="245" spans="2:177">
      <c r="B245" s="65" t="s">
        <v>979</v>
      </c>
      <c r="C245" s="65" t="s">
        <v>27</v>
      </c>
      <c r="D245" s="65">
        <v>532</v>
      </c>
      <c r="E245" s="65">
        <v>502</v>
      </c>
      <c r="F245" s="65">
        <v>474</v>
      </c>
      <c r="G245" s="65">
        <v>521</v>
      </c>
      <c r="H245" s="65">
        <v>410</v>
      </c>
      <c r="I245" s="65">
        <v>2439</v>
      </c>
      <c r="K245" s="65" t="s">
        <v>27</v>
      </c>
      <c r="L245" s="65">
        <v>83</v>
      </c>
      <c r="M245" s="65">
        <v>2</v>
      </c>
      <c r="N245" s="65">
        <v>1</v>
      </c>
      <c r="O245" s="65">
        <v>0</v>
      </c>
      <c r="P245" s="65">
        <v>0</v>
      </c>
      <c r="Q245" s="65">
        <v>86</v>
      </c>
      <c r="AK245" s="67" t="s">
        <v>1207</v>
      </c>
      <c r="AL245" s="67" t="s">
        <v>2513</v>
      </c>
      <c r="AM245" s="67">
        <v>865</v>
      </c>
      <c r="AN245" s="67">
        <v>756</v>
      </c>
      <c r="AO245" s="67">
        <v>808</v>
      </c>
      <c r="AP245" s="67">
        <v>831</v>
      </c>
      <c r="AQ245" s="67">
        <v>613</v>
      </c>
      <c r="AR245" s="67">
        <v>3873</v>
      </c>
      <c r="AS245" s="67"/>
      <c r="AT245" s="67" t="s">
        <v>2513</v>
      </c>
      <c r="AU245" s="67">
        <v>95</v>
      </c>
      <c r="AV245" s="67">
        <v>4</v>
      </c>
      <c r="AW245" s="67">
        <v>1</v>
      </c>
      <c r="AX245" s="67">
        <v>0</v>
      </c>
      <c r="AY245" s="67">
        <v>0</v>
      </c>
      <c r="AZ245" s="67">
        <v>100</v>
      </c>
      <c r="BB245" s="70" t="s">
        <v>1523</v>
      </c>
      <c r="BC245" s="70" t="s">
        <v>2441</v>
      </c>
      <c r="BD245" s="70">
        <v>289</v>
      </c>
      <c r="BE245" s="70">
        <v>215</v>
      </c>
      <c r="BF245" s="70">
        <v>359</v>
      </c>
      <c r="BG245" s="70">
        <v>453</v>
      </c>
      <c r="BH245" s="70">
        <v>412</v>
      </c>
      <c r="BI245" s="70">
        <v>1728</v>
      </c>
      <c r="BJ245" s="70"/>
      <c r="BK245" s="70" t="s">
        <v>2441</v>
      </c>
      <c r="BL245" s="70">
        <v>42</v>
      </c>
      <c r="BM245" s="70">
        <v>0</v>
      </c>
      <c r="BN245" s="70">
        <v>0</v>
      </c>
      <c r="BO245" s="70">
        <v>0</v>
      </c>
      <c r="BP245" s="70">
        <v>0</v>
      </c>
      <c r="BQ245" s="70">
        <v>42</v>
      </c>
      <c r="BS245" s="21"/>
      <c r="CL245" s="57" t="s">
        <v>628</v>
      </c>
      <c r="CM245" s="57" t="s">
        <v>2513</v>
      </c>
      <c r="CN245" s="57">
        <v>59</v>
      </c>
      <c r="CO245" s="57">
        <v>67</v>
      </c>
      <c r="CP245" s="57">
        <v>105</v>
      </c>
      <c r="CQ245" s="57">
        <v>192</v>
      </c>
      <c r="CR245" s="57">
        <v>190</v>
      </c>
      <c r="CS245" s="57">
        <v>613</v>
      </c>
      <c r="CT245" s="57"/>
      <c r="CU245" s="57" t="s">
        <v>2513</v>
      </c>
      <c r="CV245" s="57">
        <v>25</v>
      </c>
      <c r="CW245" s="57">
        <v>0</v>
      </c>
      <c r="CX245" s="57">
        <v>0</v>
      </c>
      <c r="CY245" s="57">
        <v>0</v>
      </c>
      <c r="CZ245" s="57">
        <v>0</v>
      </c>
      <c r="DA245" s="57">
        <v>25</v>
      </c>
      <c r="FF245" s="71" t="s">
        <v>2072</v>
      </c>
      <c r="FG245" s="71" t="s">
        <v>2513</v>
      </c>
      <c r="FH245" s="71">
        <v>358</v>
      </c>
      <c r="FI245" s="71">
        <v>444</v>
      </c>
      <c r="FJ245" s="71">
        <v>519</v>
      </c>
      <c r="FK245" s="71">
        <v>588</v>
      </c>
      <c r="FL245" s="71">
        <v>730</v>
      </c>
      <c r="FM245" s="71">
        <v>2639</v>
      </c>
      <c r="FN245" s="71"/>
      <c r="FO245" s="71" t="s">
        <v>2513</v>
      </c>
      <c r="FP245" s="71">
        <v>73</v>
      </c>
      <c r="FQ245" s="71">
        <v>18</v>
      </c>
      <c r="FR245" s="71">
        <v>8</v>
      </c>
      <c r="FS245" s="71">
        <v>8</v>
      </c>
      <c r="FT245" s="71">
        <v>3</v>
      </c>
      <c r="FU245" s="71">
        <v>110</v>
      </c>
    </row>
    <row r="246" spans="2:177">
      <c r="B246" s="65" t="s">
        <v>985</v>
      </c>
      <c r="C246" s="65" t="s">
        <v>27</v>
      </c>
      <c r="D246" s="65">
        <v>268</v>
      </c>
      <c r="E246" s="65">
        <v>374</v>
      </c>
      <c r="F246" s="65">
        <v>412</v>
      </c>
      <c r="G246" s="65">
        <v>434</v>
      </c>
      <c r="H246" s="65">
        <v>294</v>
      </c>
      <c r="I246" s="65">
        <v>1782</v>
      </c>
      <c r="K246" s="65" t="s">
        <v>27</v>
      </c>
      <c r="L246" s="65">
        <v>50</v>
      </c>
      <c r="M246" s="65">
        <v>6</v>
      </c>
      <c r="N246" s="65">
        <v>3</v>
      </c>
      <c r="O246" s="65">
        <v>0</v>
      </c>
      <c r="P246" s="65">
        <v>0</v>
      </c>
      <c r="Q246" s="65">
        <v>59</v>
      </c>
      <c r="AK246" s="67" t="s">
        <v>1210</v>
      </c>
      <c r="AL246" s="67" t="s">
        <v>2513</v>
      </c>
      <c r="AM246" s="67">
        <v>218</v>
      </c>
      <c r="AN246" s="67">
        <v>233</v>
      </c>
      <c r="AO246" s="67">
        <v>384</v>
      </c>
      <c r="AP246" s="67">
        <v>445</v>
      </c>
      <c r="AQ246" s="67">
        <v>361</v>
      </c>
      <c r="AR246" s="67">
        <v>1641</v>
      </c>
      <c r="AS246" s="67"/>
      <c r="AT246" s="67" t="s">
        <v>2513</v>
      </c>
      <c r="AU246" s="67">
        <v>27</v>
      </c>
      <c r="AV246" s="67">
        <v>4</v>
      </c>
      <c r="AW246" s="67">
        <v>0</v>
      </c>
      <c r="AX246" s="67">
        <v>0</v>
      </c>
      <c r="AY246" s="67">
        <v>0</v>
      </c>
      <c r="AZ246" s="67">
        <v>31</v>
      </c>
      <c r="BB246" s="70" t="s">
        <v>1527</v>
      </c>
      <c r="BC246" s="70" t="s">
        <v>2441</v>
      </c>
      <c r="BD246" s="70">
        <v>141</v>
      </c>
      <c r="BE246" s="70">
        <v>138</v>
      </c>
      <c r="BF246" s="70">
        <v>267</v>
      </c>
      <c r="BG246" s="70">
        <v>427</v>
      </c>
      <c r="BH246" s="70">
        <v>434</v>
      </c>
      <c r="BI246" s="70">
        <v>1407</v>
      </c>
      <c r="BJ246" s="70"/>
      <c r="BK246" s="70" t="s">
        <v>2441</v>
      </c>
      <c r="BL246" s="70">
        <v>25</v>
      </c>
      <c r="BM246" s="70">
        <v>0</v>
      </c>
      <c r="BN246" s="70">
        <v>0</v>
      </c>
      <c r="BO246" s="70">
        <v>0</v>
      </c>
      <c r="BP246" s="70">
        <v>0</v>
      </c>
      <c r="BQ246" s="70">
        <v>25</v>
      </c>
      <c r="BS246" s="21"/>
      <c r="CL246" s="57" t="s">
        <v>632</v>
      </c>
      <c r="CM246" s="57" t="s">
        <v>2513</v>
      </c>
      <c r="CN246" s="57">
        <v>33</v>
      </c>
      <c r="CO246" s="57">
        <v>75</v>
      </c>
      <c r="CP246" s="57">
        <v>126</v>
      </c>
      <c r="CQ246" s="57">
        <v>153</v>
      </c>
      <c r="CR246" s="57">
        <v>162</v>
      </c>
      <c r="CS246" s="57">
        <v>549</v>
      </c>
      <c r="CT246" s="57"/>
      <c r="CU246" s="57" t="s">
        <v>2513</v>
      </c>
      <c r="CV246" s="57">
        <v>2</v>
      </c>
      <c r="CW246" s="57">
        <v>0</v>
      </c>
      <c r="CX246" s="57">
        <v>0</v>
      </c>
      <c r="CY246" s="57">
        <v>0</v>
      </c>
      <c r="CZ246" s="57">
        <v>0</v>
      </c>
      <c r="DA246" s="57">
        <v>2</v>
      </c>
      <c r="FF246" s="71" t="s">
        <v>2075</v>
      </c>
      <c r="FG246" s="71" t="s">
        <v>2513</v>
      </c>
      <c r="FH246" s="71">
        <v>533</v>
      </c>
      <c r="FI246" s="71">
        <v>537</v>
      </c>
      <c r="FJ246" s="71">
        <v>607</v>
      </c>
      <c r="FK246" s="71">
        <v>637</v>
      </c>
      <c r="FL246" s="71">
        <v>790</v>
      </c>
      <c r="FM246" s="71">
        <v>3104</v>
      </c>
      <c r="FN246" s="71"/>
      <c r="FO246" s="71" t="s">
        <v>2513</v>
      </c>
      <c r="FP246" s="71">
        <v>67</v>
      </c>
      <c r="FQ246" s="71">
        <v>14</v>
      </c>
      <c r="FR246" s="71">
        <v>8</v>
      </c>
      <c r="FS246" s="71">
        <v>6</v>
      </c>
      <c r="FT246" s="71">
        <v>4</v>
      </c>
      <c r="FU246" s="71">
        <v>99</v>
      </c>
    </row>
    <row r="247" spans="2:177">
      <c r="B247" s="65" t="s">
        <v>989</v>
      </c>
      <c r="C247" s="65" t="s">
        <v>27</v>
      </c>
      <c r="D247" s="65">
        <v>842</v>
      </c>
      <c r="E247" s="65">
        <v>774</v>
      </c>
      <c r="F247" s="65">
        <v>726</v>
      </c>
      <c r="G247" s="65">
        <v>642</v>
      </c>
      <c r="H247" s="65">
        <v>445</v>
      </c>
      <c r="I247" s="65">
        <v>3429</v>
      </c>
      <c r="K247" s="65" t="s">
        <v>27</v>
      </c>
      <c r="L247" s="65">
        <v>93</v>
      </c>
      <c r="M247" s="65">
        <v>3</v>
      </c>
      <c r="N247" s="65">
        <v>1</v>
      </c>
      <c r="O247" s="65">
        <v>0</v>
      </c>
      <c r="P247" s="65">
        <v>0</v>
      </c>
      <c r="Q247" s="65">
        <v>97</v>
      </c>
      <c r="AK247" s="67" t="s">
        <v>1213</v>
      </c>
      <c r="AL247" s="67" t="s">
        <v>2513</v>
      </c>
      <c r="AM247" s="67">
        <v>736</v>
      </c>
      <c r="AN247" s="67">
        <v>665</v>
      </c>
      <c r="AO247" s="67">
        <v>812</v>
      </c>
      <c r="AP247" s="67">
        <v>790</v>
      </c>
      <c r="AQ247" s="67">
        <v>577</v>
      </c>
      <c r="AR247" s="67">
        <v>3580</v>
      </c>
      <c r="AS247" s="67"/>
      <c r="AT247" s="67" t="s">
        <v>2513</v>
      </c>
      <c r="AU247" s="67">
        <v>37</v>
      </c>
      <c r="AV247" s="67">
        <v>0</v>
      </c>
      <c r="AW247" s="67">
        <v>2</v>
      </c>
      <c r="AX247" s="67">
        <v>0</v>
      </c>
      <c r="AY247" s="67">
        <v>2</v>
      </c>
      <c r="AZ247" s="67">
        <v>41</v>
      </c>
      <c r="BB247" s="70" t="s">
        <v>1530</v>
      </c>
      <c r="BC247" s="70" t="s">
        <v>2441</v>
      </c>
      <c r="BD247" s="70">
        <v>89</v>
      </c>
      <c r="BE247" s="70">
        <v>95</v>
      </c>
      <c r="BF247" s="70">
        <v>201</v>
      </c>
      <c r="BG247" s="70">
        <v>261</v>
      </c>
      <c r="BH247" s="70">
        <v>230</v>
      </c>
      <c r="BI247" s="70">
        <v>876</v>
      </c>
      <c r="BJ247" s="70"/>
      <c r="BK247" s="70" t="s">
        <v>2441</v>
      </c>
      <c r="BL247" s="70">
        <v>14</v>
      </c>
      <c r="BM247" s="70">
        <v>6</v>
      </c>
      <c r="BN247" s="70">
        <v>5</v>
      </c>
      <c r="BO247" s="70">
        <v>0</v>
      </c>
      <c r="BP247" s="70">
        <v>0</v>
      </c>
      <c r="BQ247" s="70">
        <v>25</v>
      </c>
      <c r="BS247" s="21"/>
      <c r="CL247" s="57" t="s">
        <v>634</v>
      </c>
      <c r="CM247" s="57" t="s">
        <v>2513</v>
      </c>
      <c r="CN247" s="57">
        <v>57</v>
      </c>
      <c r="CO247" s="57">
        <v>49</v>
      </c>
      <c r="CP247" s="57">
        <v>101</v>
      </c>
      <c r="CQ247" s="57">
        <v>144</v>
      </c>
      <c r="CR247" s="57">
        <v>140</v>
      </c>
      <c r="CS247" s="57">
        <v>491</v>
      </c>
      <c r="CT247" s="57"/>
      <c r="CU247" s="57" t="s">
        <v>2513</v>
      </c>
      <c r="CV247" s="57">
        <v>22</v>
      </c>
      <c r="CW247" s="57">
        <v>0</v>
      </c>
      <c r="CX247" s="57">
        <v>0</v>
      </c>
      <c r="CY247" s="57">
        <v>0</v>
      </c>
      <c r="CZ247" s="57">
        <v>0</v>
      </c>
      <c r="DA247" s="57">
        <v>22</v>
      </c>
      <c r="FF247" s="71" t="s">
        <v>2077</v>
      </c>
      <c r="FG247" s="71" t="s">
        <v>2513</v>
      </c>
      <c r="FH247" s="71">
        <v>316</v>
      </c>
      <c r="FI247" s="71">
        <v>497</v>
      </c>
      <c r="FJ247" s="71">
        <v>537</v>
      </c>
      <c r="FK247" s="71">
        <v>604</v>
      </c>
      <c r="FL247" s="71">
        <v>766</v>
      </c>
      <c r="FM247" s="71">
        <v>2720</v>
      </c>
      <c r="FN247" s="71"/>
      <c r="FO247" s="71" t="s">
        <v>2513</v>
      </c>
      <c r="FP247" s="71">
        <v>24</v>
      </c>
      <c r="FQ247" s="71">
        <v>10</v>
      </c>
      <c r="FR247" s="71">
        <v>4</v>
      </c>
      <c r="FS247" s="71">
        <v>2</v>
      </c>
      <c r="FT247" s="71">
        <v>2</v>
      </c>
      <c r="FU247" s="71">
        <v>42</v>
      </c>
    </row>
    <row r="248" spans="2:177">
      <c r="B248" s="65" t="s">
        <v>994</v>
      </c>
      <c r="C248" s="65" t="s">
        <v>27</v>
      </c>
      <c r="D248" s="65">
        <v>619</v>
      </c>
      <c r="E248" s="65">
        <v>556</v>
      </c>
      <c r="F248" s="65">
        <v>565</v>
      </c>
      <c r="G248" s="65">
        <v>590</v>
      </c>
      <c r="H248" s="65">
        <v>402</v>
      </c>
      <c r="I248" s="65">
        <v>2732</v>
      </c>
      <c r="K248" s="65" t="s">
        <v>27</v>
      </c>
      <c r="L248" s="65">
        <v>79</v>
      </c>
      <c r="M248" s="65">
        <v>10</v>
      </c>
      <c r="N248" s="65">
        <v>1</v>
      </c>
      <c r="O248" s="65">
        <v>0</v>
      </c>
      <c r="P248" s="65">
        <v>1</v>
      </c>
      <c r="Q248" s="65">
        <v>91</v>
      </c>
      <c r="AK248" s="67" t="s">
        <v>1217</v>
      </c>
      <c r="AL248" s="67" t="s">
        <v>2513</v>
      </c>
      <c r="AM248" s="67">
        <v>206</v>
      </c>
      <c r="AN248" s="67">
        <v>329</v>
      </c>
      <c r="AO248" s="67">
        <v>620</v>
      </c>
      <c r="AP248" s="67">
        <v>869</v>
      </c>
      <c r="AQ248" s="67">
        <v>614</v>
      </c>
      <c r="AR248" s="67">
        <v>2638</v>
      </c>
      <c r="AS248" s="67"/>
      <c r="AT248" s="67" t="s">
        <v>2513</v>
      </c>
      <c r="AU248" s="67">
        <v>31</v>
      </c>
      <c r="AV248" s="67">
        <v>1</v>
      </c>
      <c r="AW248" s="67">
        <v>0</v>
      </c>
      <c r="AX248" s="67">
        <v>0</v>
      </c>
      <c r="AY248" s="67">
        <v>0</v>
      </c>
      <c r="AZ248" s="67">
        <v>32</v>
      </c>
      <c r="BB248" s="70" t="s">
        <v>1534</v>
      </c>
      <c r="BC248" s="70" t="s">
        <v>2441</v>
      </c>
      <c r="BD248" s="70">
        <v>147</v>
      </c>
      <c r="BE248" s="70">
        <v>160</v>
      </c>
      <c r="BF248" s="70">
        <v>299</v>
      </c>
      <c r="BG248" s="70">
        <v>515</v>
      </c>
      <c r="BH248" s="70">
        <v>420</v>
      </c>
      <c r="BI248" s="70">
        <v>1541</v>
      </c>
      <c r="BJ248" s="70"/>
      <c r="BK248" s="70" t="s">
        <v>2441</v>
      </c>
      <c r="BL248" s="70">
        <v>46</v>
      </c>
      <c r="BM248" s="70">
        <v>0</v>
      </c>
      <c r="BN248" s="70">
        <v>0</v>
      </c>
      <c r="BO248" s="70">
        <v>0</v>
      </c>
      <c r="BP248" s="70">
        <v>0</v>
      </c>
      <c r="BQ248" s="70">
        <v>46</v>
      </c>
      <c r="BS248" s="21"/>
      <c r="CL248" s="57" t="s">
        <v>636</v>
      </c>
      <c r="CM248" s="57" t="s">
        <v>2513</v>
      </c>
      <c r="CN248" s="57">
        <v>14</v>
      </c>
      <c r="CO248" s="57">
        <v>23</v>
      </c>
      <c r="CP248" s="57">
        <v>52</v>
      </c>
      <c r="CQ248" s="57">
        <v>117</v>
      </c>
      <c r="CR248" s="57">
        <v>114</v>
      </c>
      <c r="CS248" s="57">
        <v>320</v>
      </c>
      <c r="CT248" s="57"/>
      <c r="CU248" s="57" t="s">
        <v>2513</v>
      </c>
      <c r="CV248" s="57">
        <v>4</v>
      </c>
      <c r="CW248" s="57">
        <v>0</v>
      </c>
      <c r="CX248" s="57">
        <v>0</v>
      </c>
      <c r="CY248" s="57">
        <v>0</v>
      </c>
      <c r="CZ248" s="57">
        <v>0</v>
      </c>
      <c r="DA248" s="57">
        <v>4</v>
      </c>
      <c r="FF248" s="71" t="s">
        <v>2079</v>
      </c>
      <c r="FG248" s="71" t="s">
        <v>2513</v>
      </c>
      <c r="FH248" s="71">
        <v>2287</v>
      </c>
      <c r="FI248" s="71">
        <v>1023</v>
      </c>
      <c r="FJ248" s="71">
        <v>796</v>
      </c>
      <c r="FK248" s="71">
        <v>639</v>
      </c>
      <c r="FL248" s="71">
        <v>718</v>
      </c>
      <c r="FM248" s="71">
        <v>5463</v>
      </c>
      <c r="FN248" s="71"/>
      <c r="FO248" s="71" t="s">
        <v>2513</v>
      </c>
      <c r="FP248" s="71">
        <v>340</v>
      </c>
      <c r="FQ248" s="71">
        <v>0</v>
      </c>
      <c r="FR248" s="71">
        <v>0</v>
      </c>
      <c r="FS248" s="71">
        <v>0</v>
      </c>
      <c r="FT248" s="71">
        <v>0</v>
      </c>
      <c r="FU248" s="71">
        <v>340</v>
      </c>
    </row>
    <row r="249" spans="2:177">
      <c r="B249" s="65" t="s">
        <v>1002</v>
      </c>
      <c r="C249" s="65" t="s">
        <v>27</v>
      </c>
      <c r="D249" s="65">
        <v>207</v>
      </c>
      <c r="E249" s="65">
        <v>252</v>
      </c>
      <c r="F249" s="65">
        <v>321</v>
      </c>
      <c r="G249" s="65">
        <v>351</v>
      </c>
      <c r="H249" s="65">
        <v>280</v>
      </c>
      <c r="I249" s="65">
        <v>1411</v>
      </c>
      <c r="K249" s="65" t="s">
        <v>27</v>
      </c>
      <c r="L249" s="65">
        <v>28</v>
      </c>
      <c r="M249" s="65">
        <v>2</v>
      </c>
      <c r="N249" s="65">
        <v>1</v>
      </c>
      <c r="O249" s="65">
        <v>0</v>
      </c>
      <c r="P249" s="65">
        <v>0</v>
      </c>
      <c r="Q249" s="65">
        <v>31</v>
      </c>
      <c r="AK249" s="67" t="s">
        <v>1221</v>
      </c>
      <c r="AL249" s="67" t="s">
        <v>2513</v>
      </c>
      <c r="AM249" s="67">
        <v>542</v>
      </c>
      <c r="AN249" s="67">
        <v>658</v>
      </c>
      <c r="AO249" s="67">
        <v>834</v>
      </c>
      <c r="AP249" s="67">
        <v>762</v>
      </c>
      <c r="AQ249" s="67">
        <v>524</v>
      </c>
      <c r="AR249" s="67">
        <v>3320</v>
      </c>
      <c r="AS249" s="67"/>
      <c r="AT249" s="67" t="s">
        <v>2513</v>
      </c>
      <c r="AU249" s="67">
        <v>50</v>
      </c>
      <c r="AV249" s="67">
        <v>1</v>
      </c>
      <c r="AW249" s="67">
        <v>3</v>
      </c>
      <c r="AX249" s="67">
        <v>1</v>
      </c>
      <c r="AY249" s="67">
        <v>1</v>
      </c>
      <c r="AZ249" s="67">
        <v>56</v>
      </c>
      <c r="BB249" s="70" t="s">
        <v>1538</v>
      </c>
      <c r="BC249" s="70" t="s">
        <v>2441</v>
      </c>
      <c r="BD249" s="70">
        <v>45</v>
      </c>
      <c r="BE249" s="70">
        <v>61</v>
      </c>
      <c r="BF249" s="70">
        <v>109</v>
      </c>
      <c r="BG249" s="70">
        <v>183</v>
      </c>
      <c r="BH249" s="70">
        <v>219</v>
      </c>
      <c r="BI249" s="70">
        <v>617</v>
      </c>
      <c r="BJ249" s="70"/>
      <c r="BK249" s="70" t="s">
        <v>2441</v>
      </c>
      <c r="BL249" s="70">
        <v>12</v>
      </c>
      <c r="BM249" s="70">
        <v>0</v>
      </c>
      <c r="BN249" s="70">
        <v>0</v>
      </c>
      <c r="BO249" s="70">
        <v>0</v>
      </c>
      <c r="BP249" s="70">
        <v>0</v>
      </c>
      <c r="BQ249" s="70">
        <v>12</v>
      </c>
      <c r="BS249" s="21"/>
      <c r="CL249" s="57" t="s">
        <v>2294</v>
      </c>
      <c r="CM249" s="57" t="s">
        <v>2513</v>
      </c>
      <c r="CN249" s="57">
        <v>95</v>
      </c>
      <c r="CO249" s="57">
        <v>88</v>
      </c>
      <c r="CP249" s="57">
        <v>211</v>
      </c>
      <c r="CQ249" s="57">
        <v>302</v>
      </c>
      <c r="CR249" s="57">
        <v>283</v>
      </c>
      <c r="CS249" s="57">
        <v>979</v>
      </c>
      <c r="CT249" s="57"/>
      <c r="CU249" s="57" t="s">
        <v>2513</v>
      </c>
      <c r="CV249" s="57">
        <v>30</v>
      </c>
      <c r="CW249" s="57">
        <v>0</v>
      </c>
      <c r="CX249" s="57">
        <v>0</v>
      </c>
      <c r="CY249" s="57">
        <v>0</v>
      </c>
      <c r="CZ249" s="57">
        <v>0</v>
      </c>
      <c r="DA249" s="57">
        <v>30</v>
      </c>
      <c r="FF249" s="71" t="s">
        <v>2082</v>
      </c>
      <c r="FG249" s="71" t="s">
        <v>2513</v>
      </c>
      <c r="FH249" s="71">
        <v>902</v>
      </c>
      <c r="FI249" s="71">
        <v>1075</v>
      </c>
      <c r="FJ249" s="71">
        <v>702</v>
      </c>
      <c r="FK249" s="71">
        <v>576</v>
      </c>
      <c r="FL249" s="71">
        <v>589</v>
      </c>
      <c r="FM249" s="71">
        <v>3844</v>
      </c>
      <c r="FN249" s="71"/>
      <c r="FO249" s="71" t="s">
        <v>2513</v>
      </c>
      <c r="FP249" s="71">
        <v>136</v>
      </c>
      <c r="FQ249" s="71">
        <v>0</v>
      </c>
      <c r="FR249" s="71">
        <v>0</v>
      </c>
      <c r="FS249" s="71">
        <v>0</v>
      </c>
      <c r="FT249" s="71">
        <v>0</v>
      </c>
      <c r="FU249" s="71">
        <v>136</v>
      </c>
    </row>
    <row r="250" spans="2:177">
      <c r="B250" s="65" t="s">
        <v>1007</v>
      </c>
      <c r="C250" s="65" t="s">
        <v>27</v>
      </c>
      <c r="D250" s="65">
        <v>330</v>
      </c>
      <c r="E250" s="65">
        <v>397</v>
      </c>
      <c r="F250" s="65">
        <v>430</v>
      </c>
      <c r="G250" s="65">
        <v>483</v>
      </c>
      <c r="H250" s="65">
        <v>341</v>
      </c>
      <c r="I250" s="65">
        <v>1981</v>
      </c>
      <c r="K250" s="65" t="s">
        <v>27</v>
      </c>
      <c r="L250" s="65">
        <v>34</v>
      </c>
      <c r="M250" s="65">
        <v>3</v>
      </c>
      <c r="N250" s="65">
        <v>2</v>
      </c>
      <c r="O250" s="65">
        <v>0</v>
      </c>
      <c r="P250" s="65">
        <v>0</v>
      </c>
      <c r="Q250" s="65">
        <v>39</v>
      </c>
      <c r="AK250" s="67" t="s">
        <v>1225</v>
      </c>
      <c r="AL250" s="67" t="s">
        <v>2513</v>
      </c>
      <c r="AM250" s="67">
        <v>818</v>
      </c>
      <c r="AN250" s="67">
        <v>807</v>
      </c>
      <c r="AO250" s="67">
        <v>959</v>
      </c>
      <c r="AP250" s="67">
        <v>921</v>
      </c>
      <c r="AQ250" s="67">
        <v>571</v>
      </c>
      <c r="AR250" s="67">
        <v>4076</v>
      </c>
      <c r="AS250" s="67"/>
      <c r="AT250" s="67" t="s">
        <v>2513</v>
      </c>
      <c r="AU250" s="67">
        <v>52</v>
      </c>
      <c r="AV250" s="67">
        <v>4</v>
      </c>
      <c r="AW250" s="67">
        <v>0</v>
      </c>
      <c r="AX250" s="67">
        <v>1</v>
      </c>
      <c r="AY250" s="67">
        <v>0</v>
      </c>
      <c r="AZ250" s="67">
        <v>57</v>
      </c>
      <c r="BB250" s="70" t="s">
        <v>43</v>
      </c>
      <c r="BC250" s="70" t="s">
        <v>2441</v>
      </c>
      <c r="BD250" s="70">
        <v>454</v>
      </c>
      <c r="BE250" s="70">
        <v>530</v>
      </c>
      <c r="BF250" s="70">
        <v>987</v>
      </c>
      <c r="BG250" s="70">
        <v>1335</v>
      </c>
      <c r="BH250" s="70">
        <v>1232</v>
      </c>
      <c r="BI250" s="70">
        <v>4538</v>
      </c>
      <c r="BJ250" s="70"/>
      <c r="BK250" s="70" t="s">
        <v>2441</v>
      </c>
      <c r="BL250" s="70">
        <v>62</v>
      </c>
      <c r="BM250" s="70">
        <v>0</v>
      </c>
      <c r="BN250" s="70">
        <v>0</v>
      </c>
      <c r="BO250" s="70">
        <v>0</v>
      </c>
      <c r="BP250" s="70">
        <v>0</v>
      </c>
      <c r="BQ250" s="70">
        <v>62</v>
      </c>
      <c r="BS250" s="21"/>
      <c r="CL250" s="57" t="s">
        <v>542</v>
      </c>
      <c r="CM250" s="57" t="s">
        <v>2513</v>
      </c>
      <c r="CN250" s="57">
        <v>47</v>
      </c>
      <c r="CO250" s="57">
        <v>34</v>
      </c>
      <c r="CP250" s="57">
        <v>60</v>
      </c>
      <c r="CQ250" s="57">
        <v>79</v>
      </c>
      <c r="CR250" s="57">
        <v>99</v>
      </c>
      <c r="CS250" s="57">
        <v>319</v>
      </c>
      <c r="CT250" s="57"/>
      <c r="CU250" s="57" t="s">
        <v>2513</v>
      </c>
      <c r="CV250" s="57">
        <v>15</v>
      </c>
      <c r="CW250" s="57">
        <v>0</v>
      </c>
      <c r="CX250" s="57">
        <v>0</v>
      </c>
      <c r="CY250" s="57">
        <v>0</v>
      </c>
      <c r="CZ250" s="57">
        <v>0</v>
      </c>
      <c r="DA250" s="57">
        <v>15</v>
      </c>
      <c r="FE250" s="16" t="s">
        <v>2431</v>
      </c>
      <c r="FF250" s="71" t="s">
        <v>2085</v>
      </c>
      <c r="FG250" s="71" t="s">
        <v>2513</v>
      </c>
      <c r="FH250" s="71">
        <v>357</v>
      </c>
      <c r="FI250" s="71">
        <v>317</v>
      </c>
      <c r="FJ250" s="71">
        <v>455</v>
      </c>
      <c r="FK250" s="71">
        <v>479</v>
      </c>
      <c r="FL250" s="71">
        <v>596</v>
      </c>
      <c r="FM250" s="71">
        <v>2204</v>
      </c>
      <c r="FN250" s="71"/>
      <c r="FO250" s="71" t="s">
        <v>2513</v>
      </c>
      <c r="FP250" s="71">
        <v>50</v>
      </c>
      <c r="FQ250" s="71">
        <v>0</v>
      </c>
      <c r="FR250" s="71">
        <v>0</v>
      </c>
      <c r="FS250" s="71">
        <v>0</v>
      </c>
      <c r="FT250" s="71">
        <v>0</v>
      </c>
      <c r="FU250" s="71">
        <v>50</v>
      </c>
    </row>
    <row r="251" spans="2:177">
      <c r="B251" s="65" t="s">
        <v>1013</v>
      </c>
      <c r="C251" s="65" t="s">
        <v>27</v>
      </c>
      <c r="D251" s="65">
        <v>127</v>
      </c>
      <c r="E251" s="65">
        <v>216</v>
      </c>
      <c r="F251" s="65">
        <v>292</v>
      </c>
      <c r="G251" s="65">
        <v>352</v>
      </c>
      <c r="H251" s="65">
        <v>278</v>
      </c>
      <c r="I251" s="65">
        <v>1265</v>
      </c>
      <c r="K251" s="65" t="s">
        <v>27</v>
      </c>
      <c r="L251" s="65">
        <v>9</v>
      </c>
      <c r="M251" s="65">
        <v>7</v>
      </c>
      <c r="N251" s="65">
        <v>1</v>
      </c>
      <c r="O251" s="65">
        <v>1</v>
      </c>
      <c r="P251" s="65">
        <v>3</v>
      </c>
      <c r="Q251" s="65">
        <v>21</v>
      </c>
      <c r="AK251" s="67" t="s">
        <v>1229</v>
      </c>
      <c r="AL251" s="67" t="s">
        <v>2513</v>
      </c>
      <c r="AM251" s="67">
        <v>260</v>
      </c>
      <c r="AN251" s="67">
        <v>277</v>
      </c>
      <c r="AO251" s="67">
        <v>358</v>
      </c>
      <c r="AP251" s="67">
        <v>402</v>
      </c>
      <c r="AQ251" s="67">
        <v>282</v>
      </c>
      <c r="AR251" s="67">
        <v>1579</v>
      </c>
      <c r="AS251" s="67"/>
      <c r="AT251" s="67" t="s">
        <v>2513</v>
      </c>
      <c r="AU251" s="67">
        <v>26</v>
      </c>
      <c r="AV251" s="67">
        <v>4</v>
      </c>
      <c r="AW251" s="67">
        <v>0</v>
      </c>
      <c r="AX251" s="67">
        <v>0</v>
      </c>
      <c r="AY251" s="67">
        <v>0</v>
      </c>
      <c r="AZ251" s="67">
        <v>30</v>
      </c>
      <c r="BB251" s="70" t="s">
        <v>1545</v>
      </c>
      <c r="BC251" s="70" t="s">
        <v>2441</v>
      </c>
      <c r="BD251" s="70">
        <v>361</v>
      </c>
      <c r="BE251" s="70">
        <v>378</v>
      </c>
      <c r="BF251" s="70">
        <v>693</v>
      </c>
      <c r="BG251" s="70">
        <v>915</v>
      </c>
      <c r="BH251" s="70">
        <v>828</v>
      </c>
      <c r="BI251" s="70">
        <v>3175</v>
      </c>
      <c r="BJ251" s="70"/>
      <c r="BK251" s="70" t="s">
        <v>2441</v>
      </c>
      <c r="BL251" s="70">
        <v>40</v>
      </c>
      <c r="BM251" s="70">
        <v>0</v>
      </c>
      <c r="BN251" s="70">
        <v>0</v>
      </c>
      <c r="BO251" s="70">
        <v>0</v>
      </c>
      <c r="BP251" s="70">
        <v>0</v>
      </c>
      <c r="BQ251" s="70">
        <v>40</v>
      </c>
      <c r="BS251" s="21"/>
      <c r="CL251" s="57" t="s">
        <v>595</v>
      </c>
      <c r="CM251" s="57" t="s">
        <v>2513</v>
      </c>
      <c r="CN251" s="57">
        <v>281</v>
      </c>
      <c r="CO251" s="57">
        <v>107</v>
      </c>
      <c r="CP251" s="57">
        <v>148</v>
      </c>
      <c r="CQ251" s="57">
        <v>212</v>
      </c>
      <c r="CR251" s="57">
        <v>264</v>
      </c>
      <c r="CS251" s="57">
        <v>1012</v>
      </c>
      <c r="CT251" s="57"/>
      <c r="CU251" s="57" t="s">
        <v>2513</v>
      </c>
      <c r="CV251" s="57">
        <v>93</v>
      </c>
      <c r="CW251" s="57">
        <v>0</v>
      </c>
      <c r="CX251" s="57">
        <v>0</v>
      </c>
      <c r="CY251" s="57">
        <v>0</v>
      </c>
      <c r="CZ251" s="57">
        <v>0</v>
      </c>
      <c r="DA251" s="57">
        <v>93</v>
      </c>
      <c r="FE251" s="16" t="s">
        <v>2433</v>
      </c>
      <c r="FF251" s="71" t="s">
        <v>2087</v>
      </c>
      <c r="FG251" s="71" t="s">
        <v>2513</v>
      </c>
      <c r="FH251" s="71">
        <v>296</v>
      </c>
      <c r="FI251" s="71">
        <v>264</v>
      </c>
      <c r="FJ251" s="71">
        <v>266</v>
      </c>
      <c r="FK251" s="71">
        <v>302</v>
      </c>
      <c r="FL251" s="71">
        <v>362</v>
      </c>
      <c r="FM251" s="71">
        <v>1490</v>
      </c>
      <c r="FN251" s="71"/>
      <c r="FO251" s="71" t="s">
        <v>2513</v>
      </c>
      <c r="FP251" s="71">
        <v>69</v>
      </c>
      <c r="FQ251" s="71">
        <v>4</v>
      </c>
      <c r="FR251" s="71">
        <v>1</v>
      </c>
      <c r="FS251" s="71">
        <v>0</v>
      </c>
      <c r="FT251" s="71">
        <v>4</v>
      </c>
      <c r="FU251" s="71">
        <v>78</v>
      </c>
    </row>
    <row r="252" spans="2:177">
      <c r="B252" s="65" t="s">
        <v>1018</v>
      </c>
      <c r="C252" s="65" t="s">
        <v>27</v>
      </c>
      <c r="D252" s="65">
        <v>117</v>
      </c>
      <c r="E252" s="65">
        <v>214</v>
      </c>
      <c r="F252" s="65">
        <v>314</v>
      </c>
      <c r="G252" s="65">
        <v>354</v>
      </c>
      <c r="H252" s="65">
        <v>297</v>
      </c>
      <c r="I252" s="65">
        <v>1296</v>
      </c>
      <c r="K252" s="65" t="s">
        <v>27</v>
      </c>
      <c r="L252" s="65">
        <v>15</v>
      </c>
      <c r="M252" s="65">
        <v>0</v>
      </c>
      <c r="N252" s="65">
        <v>1</v>
      </c>
      <c r="O252" s="65">
        <v>0</v>
      </c>
      <c r="P252" s="65">
        <v>0</v>
      </c>
      <c r="Q252" s="65">
        <v>16</v>
      </c>
      <c r="AK252" s="67" t="s">
        <v>1234</v>
      </c>
      <c r="AL252" s="67" t="s">
        <v>2513</v>
      </c>
      <c r="AM252" s="67">
        <v>327</v>
      </c>
      <c r="AN252" s="67">
        <v>274</v>
      </c>
      <c r="AO252" s="67">
        <v>473</v>
      </c>
      <c r="AP252" s="67">
        <v>734</v>
      </c>
      <c r="AQ252" s="67">
        <v>620</v>
      </c>
      <c r="AR252" s="67">
        <v>2428</v>
      </c>
      <c r="AS252" s="67"/>
      <c r="AT252" s="67" t="s">
        <v>2513</v>
      </c>
      <c r="AU252" s="67">
        <v>38</v>
      </c>
      <c r="AV252" s="67">
        <v>0</v>
      </c>
      <c r="AW252" s="67">
        <v>0</v>
      </c>
      <c r="AX252" s="67">
        <v>0</v>
      </c>
      <c r="AY252" s="67">
        <v>0</v>
      </c>
      <c r="AZ252" s="67">
        <v>38</v>
      </c>
      <c r="BB252" s="70" t="s">
        <v>1548</v>
      </c>
      <c r="BC252" s="70" t="s">
        <v>2441</v>
      </c>
      <c r="BD252" s="70">
        <v>276</v>
      </c>
      <c r="BE252" s="70">
        <v>359</v>
      </c>
      <c r="BF252" s="70">
        <v>574</v>
      </c>
      <c r="BG252" s="70">
        <v>855</v>
      </c>
      <c r="BH252" s="70">
        <v>699</v>
      </c>
      <c r="BI252" s="70">
        <v>2763</v>
      </c>
      <c r="BJ252" s="70"/>
      <c r="BK252" s="70" t="s">
        <v>2441</v>
      </c>
      <c r="BL252" s="70">
        <v>36</v>
      </c>
      <c r="BM252" s="70">
        <v>2</v>
      </c>
      <c r="BN252" s="70">
        <v>0</v>
      </c>
      <c r="BO252" s="70">
        <v>0</v>
      </c>
      <c r="BP252" s="70">
        <v>0</v>
      </c>
      <c r="BQ252" s="70">
        <v>38</v>
      </c>
      <c r="BS252" s="21"/>
      <c r="CL252" s="57" t="s">
        <v>406</v>
      </c>
      <c r="CM252" s="57" t="s">
        <v>2513</v>
      </c>
      <c r="CN252" s="57">
        <v>70</v>
      </c>
      <c r="CO252" s="57">
        <v>114</v>
      </c>
      <c r="CP252" s="57">
        <v>222</v>
      </c>
      <c r="CQ252" s="57">
        <v>205</v>
      </c>
      <c r="CR252" s="57">
        <v>212</v>
      </c>
      <c r="CS252" s="57">
        <v>823</v>
      </c>
      <c r="CT252" s="57"/>
      <c r="CU252" s="57" t="s">
        <v>2513</v>
      </c>
      <c r="CV252" s="57">
        <v>8</v>
      </c>
      <c r="CW252" s="57">
        <v>0</v>
      </c>
      <c r="CX252" s="57">
        <v>0</v>
      </c>
      <c r="CY252" s="57">
        <v>0</v>
      </c>
      <c r="CZ252" s="57">
        <v>0</v>
      </c>
      <c r="DA252" s="57">
        <v>8</v>
      </c>
      <c r="FF252" s="71" t="s">
        <v>685</v>
      </c>
      <c r="FG252" s="71" t="s">
        <v>2513</v>
      </c>
      <c r="FH252" s="71">
        <v>321</v>
      </c>
      <c r="FI252" s="71">
        <v>432</v>
      </c>
      <c r="FJ252" s="71">
        <v>406</v>
      </c>
      <c r="FK252" s="71">
        <v>406</v>
      </c>
      <c r="FL252" s="71">
        <v>423</v>
      </c>
      <c r="FM252" s="71">
        <v>1988</v>
      </c>
      <c r="FN252" s="71"/>
      <c r="FO252" s="71" t="s">
        <v>2513</v>
      </c>
      <c r="FP252" s="71">
        <v>104</v>
      </c>
      <c r="FQ252" s="71">
        <v>10</v>
      </c>
      <c r="FR252" s="71">
        <v>0</v>
      </c>
      <c r="FS252" s="71">
        <v>0</v>
      </c>
      <c r="FT252" s="71">
        <v>0</v>
      </c>
      <c r="FU252" s="71">
        <v>114</v>
      </c>
    </row>
    <row r="253" spans="2:177">
      <c r="B253" s="65" t="s">
        <v>1024</v>
      </c>
      <c r="C253" s="65" t="s">
        <v>27</v>
      </c>
      <c r="D253" s="65">
        <v>262</v>
      </c>
      <c r="E253" s="65">
        <v>381</v>
      </c>
      <c r="F253" s="65">
        <v>462</v>
      </c>
      <c r="G253" s="65">
        <v>526</v>
      </c>
      <c r="H253" s="65">
        <v>408</v>
      </c>
      <c r="I253" s="65">
        <v>2039</v>
      </c>
      <c r="K253" s="65" t="s">
        <v>27</v>
      </c>
      <c r="L253" s="65">
        <v>53</v>
      </c>
      <c r="M253" s="65">
        <v>7</v>
      </c>
      <c r="N253" s="65">
        <v>0</v>
      </c>
      <c r="O253" s="65">
        <v>1</v>
      </c>
      <c r="P253" s="65">
        <v>2</v>
      </c>
      <c r="Q253" s="65">
        <v>63</v>
      </c>
      <c r="AK253" s="67" t="s">
        <v>1237</v>
      </c>
      <c r="AL253" s="67" t="s">
        <v>2513</v>
      </c>
      <c r="AM253" s="67">
        <v>131</v>
      </c>
      <c r="AN253" s="67">
        <v>242</v>
      </c>
      <c r="AO253" s="67">
        <v>341</v>
      </c>
      <c r="AP253" s="67">
        <v>487</v>
      </c>
      <c r="AQ253" s="67">
        <v>427</v>
      </c>
      <c r="AR253" s="67">
        <v>1628</v>
      </c>
      <c r="AS253" s="67"/>
      <c r="AT253" s="67" t="s">
        <v>2513</v>
      </c>
      <c r="AU253" s="67">
        <v>58</v>
      </c>
      <c r="AV253" s="67">
        <v>2</v>
      </c>
      <c r="AW253" s="67">
        <v>2</v>
      </c>
      <c r="AX253" s="67">
        <v>1</v>
      </c>
      <c r="AY253" s="67">
        <v>1</v>
      </c>
      <c r="AZ253" s="67">
        <v>64</v>
      </c>
      <c r="BB253" s="70" t="s">
        <v>1552</v>
      </c>
      <c r="BC253" s="70" t="s">
        <v>2441</v>
      </c>
      <c r="BD253" s="70">
        <v>58</v>
      </c>
      <c r="BE253" s="70">
        <v>94</v>
      </c>
      <c r="BF253" s="70">
        <v>165</v>
      </c>
      <c r="BG253" s="70">
        <v>308</v>
      </c>
      <c r="BH253" s="70">
        <v>282</v>
      </c>
      <c r="BI253" s="70">
        <v>907</v>
      </c>
      <c r="BJ253" s="70"/>
      <c r="BK253" s="70" t="s">
        <v>2441</v>
      </c>
      <c r="BL253" s="70">
        <v>19</v>
      </c>
      <c r="BM253" s="70">
        <v>0</v>
      </c>
      <c r="BN253" s="70">
        <v>0</v>
      </c>
      <c r="BO253" s="70">
        <v>0</v>
      </c>
      <c r="BP253" s="70">
        <v>0</v>
      </c>
      <c r="BQ253" s="70">
        <v>19</v>
      </c>
      <c r="BS253" s="21"/>
      <c r="CL253" s="57" t="s">
        <v>564</v>
      </c>
      <c r="CM253" s="57" t="s">
        <v>2513</v>
      </c>
      <c r="CN253" s="57">
        <v>618</v>
      </c>
      <c r="CO253" s="57">
        <v>77</v>
      </c>
      <c r="CP253" s="57">
        <v>160</v>
      </c>
      <c r="CQ253" s="57">
        <v>213</v>
      </c>
      <c r="CR253" s="57">
        <v>424</v>
      </c>
      <c r="CS253" s="57">
        <v>1492</v>
      </c>
      <c r="CT253" s="57"/>
      <c r="CU253" s="57" t="s">
        <v>2513</v>
      </c>
      <c r="CV253" s="57">
        <v>132</v>
      </c>
      <c r="CW253" s="57">
        <v>0</v>
      </c>
      <c r="CX253" s="57">
        <v>0</v>
      </c>
      <c r="CY253" s="57">
        <v>0</v>
      </c>
      <c r="CZ253" s="57">
        <v>0</v>
      </c>
      <c r="DA253" s="57">
        <v>132</v>
      </c>
      <c r="FF253" s="71" t="s">
        <v>2091</v>
      </c>
      <c r="FG253" s="71" t="s">
        <v>2513</v>
      </c>
      <c r="FH253" s="71">
        <v>150</v>
      </c>
      <c r="FI253" s="71">
        <v>285</v>
      </c>
      <c r="FJ253" s="71">
        <v>334</v>
      </c>
      <c r="FK253" s="71">
        <v>372</v>
      </c>
      <c r="FL253" s="71">
        <v>450</v>
      </c>
      <c r="FM253" s="71">
        <v>1591</v>
      </c>
      <c r="FN253" s="71"/>
      <c r="FO253" s="71" t="s">
        <v>2513</v>
      </c>
      <c r="FP253" s="71">
        <v>16</v>
      </c>
      <c r="FQ253" s="71">
        <v>4</v>
      </c>
      <c r="FR253" s="71">
        <v>1</v>
      </c>
      <c r="FS253" s="71">
        <v>2</v>
      </c>
      <c r="FT253" s="71">
        <v>3</v>
      </c>
      <c r="FU253" s="71">
        <v>26</v>
      </c>
    </row>
    <row r="254" spans="2:177">
      <c r="B254" s="65" t="s">
        <v>1029</v>
      </c>
      <c r="C254" s="65" t="s">
        <v>27</v>
      </c>
      <c r="D254" s="65">
        <v>161</v>
      </c>
      <c r="E254" s="65">
        <v>184</v>
      </c>
      <c r="F254" s="65">
        <v>240</v>
      </c>
      <c r="G254" s="65">
        <v>343</v>
      </c>
      <c r="H254" s="65">
        <v>311</v>
      </c>
      <c r="I254" s="65">
        <v>1239</v>
      </c>
      <c r="K254" s="65" t="s">
        <v>27</v>
      </c>
      <c r="L254" s="65">
        <v>13</v>
      </c>
      <c r="M254" s="65">
        <v>1</v>
      </c>
      <c r="N254" s="65">
        <v>1</v>
      </c>
      <c r="O254" s="65">
        <v>2</v>
      </c>
      <c r="P254" s="65">
        <v>1</v>
      </c>
      <c r="Q254" s="65">
        <v>18</v>
      </c>
      <c r="AK254" s="67" t="s">
        <v>1240</v>
      </c>
      <c r="AL254" s="67" t="s">
        <v>2513</v>
      </c>
      <c r="AM254" s="67">
        <v>1403</v>
      </c>
      <c r="AN254" s="67">
        <v>986</v>
      </c>
      <c r="AO254" s="67">
        <v>1284</v>
      </c>
      <c r="AP254" s="67">
        <v>1366</v>
      </c>
      <c r="AQ254" s="67">
        <v>1058</v>
      </c>
      <c r="AR254" s="67">
        <v>6097</v>
      </c>
      <c r="AS254" s="67"/>
      <c r="AT254" s="67" t="s">
        <v>2513</v>
      </c>
      <c r="AU254" s="67">
        <v>90</v>
      </c>
      <c r="AV254" s="67">
        <v>0</v>
      </c>
      <c r="AW254" s="67">
        <v>0</v>
      </c>
      <c r="AX254" s="67">
        <v>0</v>
      </c>
      <c r="AY254" s="67">
        <v>0</v>
      </c>
      <c r="AZ254" s="67">
        <v>90</v>
      </c>
      <c r="BB254" s="70" t="s">
        <v>1555</v>
      </c>
      <c r="BC254" s="70" t="s">
        <v>2441</v>
      </c>
      <c r="BD254" s="70">
        <v>56</v>
      </c>
      <c r="BE254" s="70">
        <v>62</v>
      </c>
      <c r="BF254" s="70">
        <v>150</v>
      </c>
      <c r="BG254" s="70">
        <v>243</v>
      </c>
      <c r="BH254" s="70">
        <v>207</v>
      </c>
      <c r="BI254" s="70">
        <v>718</v>
      </c>
      <c r="BJ254" s="70"/>
      <c r="BK254" s="70" t="s">
        <v>2441</v>
      </c>
      <c r="BL254" s="70">
        <v>18</v>
      </c>
      <c r="BM254" s="70">
        <v>0</v>
      </c>
      <c r="BN254" s="70">
        <v>0</v>
      </c>
      <c r="BO254" s="70">
        <v>0</v>
      </c>
      <c r="BP254" s="70">
        <v>0</v>
      </c>
      <c r="BQ254" s="70">
        <v>18</v>
      </c>
      <c r="BS254" s="21"/>
      <c r="CL254" s="57" t="s">
        <v>409</v>
      </c>
      <c r="CM254" s="57" t="s">
        <v>2513</v>
      </c>
      <c r="CN254" s="57">
        <v>877</v>
      </c>
      <c r="CO254" s="57">
        <v>877</v>
      </c>
      <c r="CP254" s="57">
        <v>982</v>
      </c>
      <c r="CQ254" s="57">
        <v>941</v>
      </c>
      <c r="CR254" s="57">
        <v>772</v>
      </c>
      <c r="CS254" s="57">
        <v>4449</v>
      </c>
      <c r="CT254" s="57"/>
      <c r="CU254" s="57" t="s">
        <v>2513</v>
      </c>
      <c r="CV254" s="57">
        <v>158</v>
      </c>
      <c r="CW254" s="57">
        <v>0</v>
      </c>
      <c r="CX254" s="57">
        <v>0</v>
      </c>
      <c r="CY254" s="57">
        <v>0</v>
      </c>
      <c r="CZ254" s="57">
        <v>0</v>
      </c>
      <c r="DA254" s="57">
        <v>158</v>
      </c>
      <c r="FF254" s="71" t="s">
        <v>2093</v>
      </c>
      <c r="FG254" s="71" t="s">
        <v>2513</v>
      </c>
      <c r="FH254" s="71">
        <v>318</v>
      </c>
      <c r="FI254" s="71">
        <v>517</v>
      </c>
      <c r="FJ254" s="71">
        <v>652</v>
      </c>
      <c r="FK254" s="71">
        <v>719</v>
      </c>
      <c r="FL254" s="71">
        <v>815</v>
      </c>
      <c r="FM254" s="71">
        <v>3021</v>
      </c>
      <c r="FN254" s="71"/>
      <c r="FO254" s="71" t="s">
        <v>2513</v>
      </c>
      <c r="FP254" s="71">
        <v>33</v>
      </c>
      <c r="FQ254" s="71">
        <v>8</v>
      </c>
      <c r="FR254" s="71">
        <v>3</v>
      </c>
      <c r="FS254" s="71">
        <v>7</v>
      </c>
      <c r="FT254" s="71">
        <v>4</v>
      </c>
      <c r="FU254" s="71">
        <v>55</v>
      </c>
    </row>
    <row r="255" spans="2:177">
      <c r="B255" s="65" t="s">
        <v>1033</v>
      </c>
      <c r="C255" s="65" t="s">
        <v>27</v>
      </c>
      <c r="D255" s="65">
        <v>69</v>
      </c>
      <c r="E255" s="65">
        <v>153</v>
      </c>
      <c r="F255" s="65">
        <v>196</v>
      </c>
      <c r="G255" s="65">
        <v>271</v>
      </c>
      <c r="H255" s="65">
        <v>203</v>
      </c>
      <c r="I255" s="65">
        <v>892</v>
      </c>
      <c r="K255" s="65" t="s">
        <v>27</v>
      </c>
      <c r="L255" s="65">
        <v>4</v>
      </c>
      <c r="M255" s="65">
        <v>0</v>
      </c>
      <c r="N255" s="65">
        <v>0</v>
      </c>
      <c r="O255" s="65">
        <v>0</v>
      </c>
      <c r="P255" s="65">
        <v>0</v>
      </c>
      <c r="Q255" s="65">
        <v>4</v>
      </c>
      <c r="AK255" s="67" t="s">
        <v>1246</v>
      </c>
      <c r="AL255" s="67" t="s">
        <v>2513</v>
      </c>
      <c r="AM255" s="67">
        <v>323</v>
      </c>
      <c r="AN255" s="67">
        <v>343</v>
      </c>
      <c r="AO255" s="67">
        <v>411</v>
      </c>
      <c r="AP255" s="67">
        <v>404</v>
      </c>
      <c r="AQ255" s="67">
        <v>319</v>
      </c>
      <c r="AR255" s="67">
        <v>1800</v>
      </c>
      <c r="AS255" s="67"/>
      <c r="AT255" s="67" t="s">
        <v>2513</v>
      </c>
      <c r="AU255" s="67">
        <v>18</v>
      </c>
      <c r="AV255" s="67">
        <v>1</v>
      </c>
      <c r="AW255" s="67">
        <v>1</v>
      </c>
      <c r="AX255" s="67">
        <v>2</v>
      </c>
      <c r="AY255" s="67">
        <v>0</v>
      </c>
      <c r="AZ255" s="67">
        <v>22</v>
      </c>
      <c r="BB255" s="70" t="s">
        <v>1558</v>
      </c>
      <c r="BC255" s="70" t="s">
        <v>2441</v>
      </c>
      <c r="BD255" s="70">
        <v>200</v>
      </c>
      <c r="BE255" s="70">
        <v>101</v>
      </c>
      <c r="BF255" s="70">
        <v>116</v>
      </c>
      <c r="BG255" s="70">
        <v>156</v>
      </c>
      <c r="BH255" s="70">
        <v>209</v>
      </c>
      <c r="BI255" s="70">
        <v>782</v>
      </c>
      <c r="BJ255" s="70"/>
      <c r="BK255" s="70" t="s">
        <v>2441</v>
      </c>
      <c r="BL255" s="70">
        <v>57</v>
      </c>
      <c r="BM255" s="70">
        <v>0</v>
      </c>
      <c r="BN255" s="70">
        <v>0</v>
      </c>
      <c r="BO255" s="70">
        <v>0</v>
      </c>
      <c r="BP255" s="70">
        <v>0</v>
      </c>
      <c r="BQ255" s="70">
        <v>57</v>
      </c>
      <c r="BS255" s="21"/>
      <c r="CL255" s="57" t="s">
        <v>605</v>
      </c>
      <c r="CM255" s="57" t="s">
        <v>2513</v>
      </c>
      <c r="CN255" s="57">
        <v>25</v>
      </c>
      <c r="CO255" s="57">
        <v>61</v>
      </c>
      <c r="CP255" s="57">
        <v>121</v>
      </c>
      <c r="CQ255" s="57">
        <v>192</v>
      </c>
      <c r="CR255" s="57">
        <v>186</v>
      </c>
      <c r="CS255" s="57">
        <v>585</v>
      </c>
      <c r="CT255" s="57"/>
      <c r="CU255" s="57" t="s">
        <v>2513</v>
      </c>
      <c r="CV255" s="57">
        <v>7</v>
      </c>
      <c r="CW255" s="57">
        <v>0</v>
      </c>
      <c r="CX255" s="57">
        <v>0</v>
      </c>
      <c r="CY255" s="57">
        <v>0</v>
      </c>
      <c r="CZ255" s="57">
        <v>0</v>
      </c>
      <c r="DA255" s="57">
        <v>7</v>
      </c>
      <c r="FF255" s="71" t="s">
        <v>2095</v>
      </c>
      <c r="FG255" s="71" t="s">
        <v>2513</v>
      </c>
      <c r="FH255" s="71">
        <v>194</v>
      </c>
      <c r="FI255" s="71">
        <v>348</v>
      </c>
      <c r="FJ255" s="71">
        <v>336</v>
      </c>
      <c r="FK255" s="71">
        <v>442</v>
      </c>
      <c r="FL255" s="71">
        <v>619</v>
      </c>
      <c r="FM255" s="71">
        <v>1939</v>
      </c>
      <c r="FN255" s="71"/>
      <c r="FO255" s="71" t="s">
        <v>2513</v>
      </c>
      <c r="FP255" s="71">
        <v>29</v>
      </c>
      <c r="FQ255" s="71">
        <v>17</v>
      </c>
      <c r="FR255" s="71">
        <v>5</v>
      </c>
      <c r="FS255" s="71">
        <v>3</v>
      </c>
      <c r="FT255" s="71">
        <v>0</v>
      </c>
      <c r="FU255" s="71">
        <v>54</v>
      </c>
    </row>
    <row r="256" spans="2:177">
      <c r="B256" s="65" t="s">
        <v>450</v>
      </c>
      <c r="C256" s="65" t="s">
        <v>27</v>
      </c>
      <c r="D256" s="65">
        <v>7</v>
      </c>
      <c r="E256" s="65">
        <v>16</v>
      </c>
      <c r="F256" s="65">
        <v>22</v>
      </c>
      <c r="G256" s="65">
        <v>32</v>
      </c>
      <c r="H256" s="65">
        <v>42</v>
      </c>
      <c r="I256" s="65">
        <v>119</v>
      </c>
      <c r="K256" s="65" t="s">
        <v>27</v>
      </c>
      <c r="L256" s="65">
        <v>0</v>
      </c>
      <c r="M256" s="65">
        <v>0</v>
      </c>
      <c r="N256" s="65">
        <v>0</v>
      </c>
      <c r="O256" s="65">
        <v>0</v>
      </c>
      <c r="P256" s="65">
        <v>0</v>
      </c>
      <c r="Q256" s="65">
        <v>0</v>
      </c>
      <c r="AK256" s="67" t="s">
        <v>1252</v>
      </c>
      <c r="AL256" s="67" t="s">
        <v>2513</v>
      </c>
      <c r="AM256" s="67">
        <v>369</v>
      </c>
      <c r="AN256" s="67">
        <v>461</v>
      </c>
      <c r="AO256" s="67">
        <v>590</v>
      </c>
      <c r="AP256" s="67">
        <v>720</v>
      </c>
      <c r="AQ256" s="67">
        <v>542</v>
      </c>
      <c r="AR256" s="67">
        <v>2682</v>
      </c>
      <c r="AS256" s="67"/>
      <c r="AT256" s="67" t="s">
        <v>2513</v>
      </c>
      <c r="AU256" s="67">
        <v>40</v>
      </c>
      <c r="AV256" s="67">
        <v>1</v>
      </c>
      <c r="AW256" s="67">
        <v>0</v>
      </c>
      <c r="AX256" s="67">
        <v>0</v>
      </c>
      <c r="AY256" s="67">
        <v>0</v>
      </c>
      <c r="AZ256" s="67">
        <v>41</v>
      </c>
      <c r="BS256" s="21"/>
      <c r="CL256" s="57" t="s">
        <v>410</v>
      </c>
      <c r="CM256" s="57" t="s">
        <v>2513</v>
      </c>
      <c r="CN256" s="57">
        <v>140</v>
      </c>
      <c r="CO256" s="57">
        <v>119</v>
      </c>
      <c r="CP256" s="57">
        <v>242</v>
      </c>
      <c r="CQ256" s="57">
        <v>390</v>
      </c>
      <c r="CR256" s="57">
        <v>364</v>
      </c>
      <c r="CS256" s="57">
        <v>1255</v>
      </c>
      <c r="CT256" s="57"/>
      <c r="CU256" s="57" t="s">
        <v>2513</v>
      </c>
      <c r="CV256" s="57">
        <v>20</v>
      </c>
      <c r="CW256" s="57">
        <v>0</v>
      </c>
      <c r="CX256" s="57">
        <v>0</v>
      </c>
      <c r="CY256" s="57">
        <v>0</v>
      </c>
      <c r="CZ256" s="57">
        <v>0</v>
      </c>
      <c r="DA256" s="57">
        <v>20</v>
      </c>
      <c r="FF256" s="71" t="s">
        <v>2097</v>
      </c>
      <c r="FG256" s="71" t="s">
        <v>2513</v>
      </c>
      <c r="FH256" s="71">
        <v>259</v>
      </c>
      <c r="FI256" s="71">
        <v>328</v>
      </c>
      <c r="FJ256" s="71">
        <v>320</v>
      </c>
      <c r="FK256" s="71">
        <v>376</v>
      </c>
      <c r="FL256" s="71">
        <v>530</v>
      </c>
      <c r="FM256" s="71">
        <v>1813</v>
      </c>
      <c r="FN256" s="71"/>
      <c r="FO256" s="71" t="s">
        <v>2513</v>
      </c>
      <c r="FP256" s="71">
        <v>46</v>
      </c>
      <c r="FQ256" s="71">
        <v>12</v>
      </c>
      <c r="FR256" s="71">
        <v>4</v>
      </c>
      <c r="FS256" s="71">
        <v>1</v>
      </c>
      <c r="FT256" s="71">
        <v>5</v>
      </c>
      <c r="FU256" s="71">
        <v>68</v>
      </c>
    </row>
    <row r="257" spans="2:177">
      <c r="B257" s="65" t="s">
        <v>1043</v>
      </c>
      <c r="C257" s="65" t="s">
        <v>27</v>
      </c>
      <c r="D257" s="65">
        <v>33</v>
      </c>
      <c r="E257" s="65">
        <v>103</v>
      </c>
      <c r="F257" s="65">
        <v>184</v>
      </c>
      <c r="G257" s="65">
        <v>201</v>
      </c>
      <c r="H257" s="65">
        <v>191</v>
      </c>
      <c r="I257" s="65">
        <v>712</v>
      </c>
      <c r="K257" s="65" t="s">
        <v>27</v>
      </c>
      <c r="L257" s="65">
        <v>3</v>
      </c>
      <c r="M257" s="65">
        <v>0</v>
      </c>
      <c r="N257" s="65">
        <v>0</v>
      </c>
      <c r="O257" s="65">
        <v>0</v>
      </c>
      <c r="P257" s="65">
        <v>0</v>
      </c>
      <c r="Q257" s="65">
        <v>3</v>
      </c>
      <c r="AK257" s="67" t="s">
        <v>1255</v>
      </c>
      <c r="AL257" s="67" t="s">
        <v>2513</v>
      </c>
      <c r="AM257" s="67">
        <v>324</v>
      </c>
      <c r="AN257" s="67">
        <v>570</v>
      </c>
      <c r="AO257" s="67">
        <v>802</v>
      </c>
      <c r="AP257" s="67">
        <v>840</v>
      </c>
      <c r="AQ257" s="67">
        <v>676</v>
      </c>
      <c r="AR257" s="67">
        <v>3212</v>
      </c>
      <c r="AS257" s="67"/>
      <c r="AT257" s="67" t="s">
        <v>2513</v>
      </c>
      <c r="AU257" s="67">
        <v>63</v>
      </c>
      <c r="AV257" s="67">
        <v>6</v>
      </c>
      <c r="AW257" s="67">
        <v>1</v>
      </c>
      <c r="AX257" s="67">
        <v>0</v>
      </c>
      <c r="AY257" s="67">
        <v>0</v>
      </c>
      <c r="AZ257" s="67">
        <v>70</v>
      </c>
      <c r="BB257" s="70" t="s">
        <v>1292</v>
      </c>
      <c r="BC257" s="70" t="s">
        <v>811</v>
      </c>
      <c r="BD257" s="70">
        <v>225</v>
      </c>
      <c r="BE257" s="70">
        <v>222</v>
      </c>
      <c r="BF257" s="70">
        <v>448</v>
      </c>
      <c r="BG257" s="70">
        <v>616</v>
      </c>
      <c r="BH257" s="70">
        <v>565</v>
      </c>
      <c r="BI257" s="70">
        <v>2076</v>
      </c>
      <c r="BJ257" s="70"/>
      <c r="BK257" s="70" t="s">
        <v>811</v>
      </c>
      <c r="BL257" s="70">
        <v>23</v>
      </c>
      <c r="BM257" s="70">
        <v>0</v>
      </c>
      <c r="BN257" s="70">
        <v>0</v>
      </c>
      <c r="BO257" s="70">
        <v>0</v>
      </c>
      <c r="BP257" s="70">
        <v>0</v>
      </c>
      <c r="BQ257" s="70">
        <v>23</v>
      </c>
      <c r="BT257" s="21"/>
      <c r="CL257" s="57" t="s">
        <v>601</v>
      </c>
      <c r="CM257" s="57" t="s">
        <v>2513</v>
      </c>
      <c r="CN257" s="57">
        <v>114</v>
      </c>
      <c r="CO257" s="57">
        <v>144</v>
      </c>
      <c r="CP257" s="57">
        <v>337</v>
      </c>
      <c r="CQ257" s="57">
        <v>440</v>
      </c>
      <c r="CR257" s="57">
        <v>369</v>
      </c>
      <c r="CS257" s="57">
        <v>1404</v>
      </c>
      <c r="CT257" s="57"/>
      <c r="CU257" s="57" t="s">
        <v>2513</v>
      </c>
      <c r="CV257" s="57">
        <v>30</v>
      </c>
      <c r="CW257" s="57">
        <v>0</v>
      </c>
      <c r="CX257" s="57">
        <v>0</v>
      </c>
      <c r="CY257" s="57">
        <v>0</v>
      </c>
      <c r="CZ257" s="57">
        <v>0</v>
      </c>
      <c r="DA257" s="57">
        <v>30</v>
      </c>
      <c r="FF257" s="71" t="s">
        <v>2676</v>
      </c>
      <c r="FG257" s="71" t="s">
        <v>2513</v>
      </c>
      <c r="FH257" s="71">
        <v>90</v>
      </c>
      <c r="FI257" s="71">
        <v>157</v>
      </c>
      <c r="FJ257" s="71">
        <v>181</v>
      </c>
      <c r="FK257" s="71">
        <v>225</v>
      </c>
      <c r="FL257" s="71">
        <v>309</v>
      </c>
      <c r="FM257" s="71">
        <v>962</v>
      </c>
      <c r="FN257" s="71"/>
      <c r="FO257" s="71" t="s">
        <v>2513</v>
      </c>
      <c r="FP257" s="71">
        <v>12</v>
      </c>
      <c r="FQ257" s="71">
        <v>2</v>
      </c>
      <c r="FR257" s="71">
        <v>0</v>
      </c>
      <c r="FS257" s="71">
        <v>1</v>
      </c>
      <c r="FT257" s="71">
        <v>0</v>
      </c>
      <c r="FU257" s="71">
        <v>15</v>
      </c>
    </row>
    <row r="258" spans="2:177">
      <c r="B258" s="65" t="s">
        <v>1046</v>
      </c>
      <c r="C258" s="65" t="s">
        <v>27</v>
      </c>
      <c r="D258" s="65">
        <v>150</v>
      </c>
      <c r="E258" s="65">
        <v>81</v>
      </c>
      <c r="F258" s="65">
        <v>153</v>
      </c>
      <c r="G258" s="65">
        <v>240</v>
      </c>
      <c r="H258" s="65">
        <v>278</v>
      </c>
      <c r="I258" s="65">
        <v>902</v>
      </c>
      <c r="K258" s="65" t="s">
        <v>27</v>
      </c>
      <c r="L258" s="65">
        <v>18</v>
      </c>
      <c r="M258" s="65">
        <v>0</v>
      </c>
      <c r="N258" s="65">
        <v>0</v>
      </c>
      <c r="O258" s="65">
        <v>0</v>
      </c>
      <c r="P258" s="65">
        <v>0</v>
      </c>
      <c r="Q258" s="65">
        <v>18</v>
      </c>
      <c r="AK258" s="67" t="s">
        <v>1258</v>
      </c>
      <c r="AL258" s="67" t="s">
        <v>2513</v>
      </c>
      <c r="AM258" s="67">
        <v>370</v>
      </c>
      <c r="AN258" s="67">
        <v>281</v>
      </c>
      <c r="AO258" s="67">
        <v>426</v>
      </c>
      <c r="AP258" s="67">
        <v>557</v>
      </c>
      <c r="AQ258" s="67">
        <v>432</v>
      </c>
      <c r="AR258" s="67">
        <v>2066</v>
      </c>
      <c r="AS258" s="67"/>
      <c r="AT258" s="67" t="s">
        <v>2513</v>
      </c>
      <c r="AU258" s="67">
        <v>66</v>
      </c>
      <c r="AV258" s="67">
        <v>1</v>
      </c>
      <c r="AW258" s="67">
        <v>0</v>
      </c>
      <c r="AX258" s="67">
        <v>0</v>
      </c>
      <c r="AY258" s="67">
        <v>0</v>
      </c>
      <c r="AZ258" s="67">
        <v>67</v>
      </c>
      <c r="BB258" s="70" t="s">
        <v>1295</v>
      </c>
      <c r="BC258" s="70" t="s">
        <v>811</v>
      </c>
      <c r="BD258" s="70">
        <v>427</v>
      </c>
      <c r="BE258" s="70">
        <v>238</v>
      </c>
      <c r="BF258" s="70">
        <v>452</v>
      </c>
      <c r="BG258" s="70">
        <v>458</v>
      </c>
      <c r="BH258" s="70">
        <v>437</v>
      </c>
      <c r="BI258" s="70">
        <v>2012</v>
      </c>
      <c r="BJ258" s="70"/>
      <c r="BK258" s="70" t="s">
        <v>811</v>
      </c>
      <c r="BL258" s="70">
        <v>82</v>
      </c>
      <c r="BM258" s="70">
        <v>0</v>
      </c>
      <c r="BN258" s="70">
        <v>0</v>
      </c>
      <c r="BO258" s="70">
        <v>0</v>
      </c>
      <c r="BP258" s="70">
        <v>0</v>
      </c>
      <c r="BQ258" s="70">
        <v>82</v>
      </c>
      <c r="BT258" s="21"/>
      <c r="CL258" s="57" t="s">
        <v>611</v>
      </c>
      <c r="CM258" s="57" t="s">
        <v>2513</v>
      </c>
      <c r="CN258" s="57">
        <v>89</v>
      </c>
      <c r="CO258" s="57">
        <v>60</v>
      </c>
      <c r="CP258" s="57">
        <v>71</v>
      </c>
      <c r="CQ258" s="57">
        <v>85</v>
      </c>
      <c r="CR258" s="57">
        <v>75</v>
      </c>
      <c r="CS258" s="57">
        <v>380</v>
      </c>
      <c r="CT258" s="57"/>
      <c r="CU258" s="57" t="s">
        <v>2513</v>
      </c>
      <c r="CV258" s="57">
        <v>21</v>
      </c>
      <c r="CW258" s="57">
        <v>0</v>
      </c>
      <c r="CX258" s="57">
        <v>0</v>
      </c>
      <c r="CY258" s="57">
        <v>0</v>
      </c>
      <c r="CZ258" s="57">
        <v>0</v>
      </c>
      <c r="DA258" s="57">
        <v>21</v>
      </c>
      <c r="FF258" s="71" t="s">
        <v>2677</v>
      </c>
      <c r="FG258" s="71" t="s">
        <v>2513</v>
      </c>
      <c r="FH258" s="71">
        <v>193</v>
      </c>
      <c r="FI258" s="71">
        <v>264</v>
      </c>
      <c r="FJ258" s="71">
        <v>268</v>
      </c>
      <c r="FK258" s="71">
        <v>367</v>
      </c>
      <c r="FL258" s="71">
        <v>508</v>
      </c>
      <c r="FM258" s="71">
        <v>1600</v>
      </c>
      <c r="FN258" s="71"/>
      <c r="FO258" s="71" t="s">
        <v>2513</v>
      </c>
      <c r="FP258" s="71">
        <v>39</v>
      </c>
      <c r="FQ258" s="71">
        <v>9</v>
      </c>
      <c r="FR258" s="71">
        <v>3</v>
      </c>
      <c r="FS258" s="71">
        <v>2</v>
      </c>
      <c r="FT258" s="71">
        <v>2</v>
      </c>
      <c r="FU258" s="71">
        <v>55</v>
      </c>
    </row>
    <row r="259" spans="2:177">
      <c r="B259" s="65" t="s">
        <v>76</v>
      </c>
      <c r="C259" s="65" t="s">
        <v>27</v>
      </c>
      <c r="D259" s="65">
        <v>164</v>
      </c>
      <c r="E259" s="65">
        <v>258</v>
      </c>
      <c r="F259" s="65">
        <v>426</v>
      </c>
      <c r="G259" s="65">
        <v>522</v>
      </c>
      <c r="H259" s="65">
        <v>359</v>
      </c>
      <c r="I259" s="65">
        <v>1729</v>
      </c>
      <c r="K259" s="65" t="s">
        <v>27</v>
      </c>
      <c r="L259" s="65">
        <v>29</v>
      </c>
      <c r="M259" s="65">
        <v>0</v>
      </c>
      <c r="N259" s="65">
        <v>0</v>
      </c>
      <c r="O259" s="65">
        <v>1</v>
      </c>
      <c r="P259" s="65">
        <v>0</v>
      </c>
      <c r="Q259" s="65">
        <v>30</v>
      </c>
      <c r="AK259" s="67" t="s">
        <v>1261</v>
      </c>
      <c r="AL259" s="67" t="s">
        <v>2513</v>
      </c>
      <c r="AM259" s="67">
        <v>413</v>
      </c>
      <c r="AN259" s="67">
        <v>471</v>
      </c>
      <c r="AO259" s="67">
        <v>638</v>
      </c>
      <c r="AP259" s="67">
        <v>828</v>
      </c>
      <c r="AQ259" s="67">
        <v>673</v>
      </c>
      <c r="AR259" s="67">
        <v>3023</v>
      </c>
      <c r="AS259" s="67"/>
      <c r="AT259" s="67" t="s">
        <v>2513</v>
      </c>
      <c r="AU259" s="67">
        <v>30</v>
      </c>
      <c r="AV259" s="67">
        <v>11</v>
      </c>
      <c r="AW259" s="67">
        <v>3</v>
      </c>
      <c r="AX259" s="67">
        <v>0</v>
      </c>
      <c r="AY259" s="67">
        <v>1</v>
      </c>
      <c r="AZ259" s="67">
        <v>45</v>
      </c>
      <c r="BB259" s="70" t="s">
        <v>1299</v>
      </c>
      <c r="BC259" s="70" t="s">
        <v>27</v>
      </c>
      <c r="BD259" s="70">
        <v>170</v>
      </c>
      <c r="BE259" s="70">
        <v>227</v>
      </c>
      <c r="BF259" s="70">
        <v>497</v>
      </c>
      <c r="BG259" s="70">
        <v>625</v>
      </c>
      <c r="BH259" s="70">
        <v>484</v>
      </c>
      <c r="BI259" s="70">
        <v>2003</v>
      </c>
      <c r="BJ259" s="70"/>
      <c r="BK259" s="70" t="s">
        <v>27</v>
      </c>
      <c r="BL259" s="70">
        <v>15</v>
      </c>
      <c r="BM259" s="70">
        <v>0</v>
      </c>
      <c r="BN259" s="70">
        <v>0</v>
      </c>
      <c r="BO259" s="70">
        <v>0</v>
      </c>
      <c r="BP259" s="70">
        <v>0</v>
      </c>
      <c r="BQ259" s="70">
        <v>15</v>
      </c>
      <c r="BT259" s="21"/>
      <c r="CL259" s="57" t="s">
        <v>1753</v>
      </c>
      <c r="CM259" s="57" t="s">
        <v>2513</v>
      </c>
      <c r="CN259" s="57">
        <v>315</v>
      </c>
      <c r="CO259" s="57">
        <v>348</v>
      </c>
      <c r="CP259" s="57">
        <v>686</v>
      </c>
      <c r="CQ259" s="57">
        <v>1064</v>
      </c>
      <c r="CR259" s="57">
        <v>993</v>
      </c>
      <c r="CS259" s="57">
        <v>3406</v>
      </c>
      <c r="CT259" s="57"/>
      <c r="CU259" s="57" t="s">
        <v>2513</v>
      </c>
      <c r="CV259" s="57">
        <v>48</v>
      </c>
      <c r="CW259" s="57">
        <v>0</v>
      </c>
      <c r="CX259" s="57">
        <v>0</v>
      </c>
      <c r="CY259" s="57">
        <v>0</v>
      </c>
      <c r="CZ259" s="57">
        <v>0</v>
      </c>
      <c r="DA259" s="57">
        <v>48</v>
      </c>
      <c r="FF259" s="71" t="s">
        <v>2106</v>
      </c>
      <c r="FG259" s="71" t="s">
        <v>2513</v>
      </c>
      <c r="FH259" s="71">
        <v>359</v>
      </c>
      <c r="FI259" s="71">
        <v>430</v>
      </c>
      <c r="FJ259" s="71">
        <v>440</v>
      </c>
      <c r="FK259" s="71">
        <v>518</v>
      </c>
      <c r="FL259" s="71">
        <v>645</v>
      </c>
      <c r="FM259" s="71">
        <v>2392</v>
      </c>
      <c r="FN259" s="71"/>
      <c r="FO259" s="71" t="s">
        <v>2513</v>
      </c>
      <c r="FP259" s="71">
        <v>49</v>
      </c>
      <c r="FQ259" s="71">
        <v>7</v>
      </c>
      <c r="FR259" s="71">
        <v>4</v>
      </c>
      <c r="FS259" s="71">
        <v>3</v>
      </c>
      <c r="FT259" s="71">
        <v>3</v>
      </c>
      <c r="FU259" s="71">
        <v>66</v>
      </c>
    </row>
    <row r="260" spans="2:177">
      <c r="B260" s="65" t="s">
        <v>1057</v>
      </c>
      <c r="C260" s="65" t="s">
        <v>27</v>
      </c>
      <c r="D260" s="65">
        <v>184</v>
      </c>
      <c r="E260" s="65">
        <v>334</v>
      </c>
      <c r="F260" s="65">
        <v>442</v>
      </c>
      <c r="G260" s="65">
        <v>534</v>
      </c>
      <c r="H260" s="65">
        <v>381</v>
      </c>
      <c r="I260" s="65">
        <v>1875</v>
      </c>
      <c r="K260" s="65" t="s">
        <v>27</v>
      </c>
      <c r="L260" s="65">
        <v>24</v>
      </c>
      <c r="M260" s="65">
        <v>3</v>
      </c>
      <c r="N260" s="65">
        <v>1</v>
      </c>
      <c r="O260" s="65">
        <v>1</v>
      </c>
      <c r="P260" s="65">
        <v>0</v>
      </c>
      <c r="Q260" s="65">
        <v>29</v>
      </c>
      <c r="AK260" s="67" t="s">
        <v>1264</v>
      </c>
      <c r="AL260" s="67" t="s">
        <v>2513</v>
      </c>
      <c r="AM260" s="67">
        <v>964</v>
      </c>
      <c r="AN260" s="67">
        <v>510</v>
      </c>
      <c r="AO260" s="67">
        <v>625</v>
      </c>
      <c r="AP260" s="67">
        <v>684</v>
      </c>
      <c r="AQ260" s="67">
        <v>535</v>
      </c>
      <c r="AR260" s="67">
        <v>3318</v>
      </c>
      <c r="AS260" s="67"/>
      <c r="AT260" s="67" t="s">
        <v>2513</v>
      </c>
      <c r="AU260" s="67">
        <v>74</v>
      </c>
      <c r="AV260" s="67">
        <v>0</v>
      </c>
      <c r="AW260" s="67">
        <v>0</v>
      </c>
      <c r="AX260" s="67">
        <v>0</v>
      </c>
      <c r="AY260" s="67">
        <v>0</v>
      </c>
      <c r="AZ260" s="67">
        <v>74</v>
      </c>
      <c r="BB260" s="70" t="s">
        <v>1302</v>
      </c>
      <c r="BC260" s="70" t="s">
        <v>27</v>
      </c>
      <c r="BD260" s="70">
        <v>120</v>
      </c>
      <c r="BE260" s="70">
        <v>160</v>
      </c>
      <c r="BF260" s="70">
        <v>334</v>
      </c>
      <c r="BG260" s="70">
        <v>448</v>
      </c>
      <c r="BH260" s="70">
        <v>345</v>
      </c>
      <c r="BI260" s="70">
        <v>1407</v>
      </c>
      <c r="BJ260" s="70"/>
      <c r="BK260" s="70" t="s">
        <v>27</v>
      </c>
      <c r="BL260" s="70">
        <v>22</v>
      </c>
      <c r="BM260" s="70">
        <v>0</v>
      </c>
      <c r="BN260" s="70">
        <v>0</v>
      </c>
      <c r="BO260" s="70">
        <v>0</v>
      </c>
      <c r="BP260" s="70">
        <v>0</v>
      </c>
      <c r="BQ260" s="70">
        <v>22</v>
      </c>
      <c r="BT260" s="21"/>
      <c r="CL260" s="57" t="s">
        <v>617</v>
      </c>
      <c r="CM260" s="57" t="s">
        <v>2513</v>
      </c>
      <c r="CN260" s="57">
        <v>378</v>
      </c>
      <c r="CO260" s="57">
        <v>437</v>
      </c>
      <c r="CP260" s="57">
        <v>727</v>
      </c>
      <c r="CQ260" s="57">
        <v>1150</v>
      </c>
      <c r="CR260" s="57">
        <v>1097</v>
      </c>
      <c r="CS260" s="57">
        <v>3789</v>
      </c>
      <c r="CT260" s="57"/>
      <c r="CU260" s="57" t="s">
        <v>2513</v>
      </c>
      <c r="CV260" s="57">
        <v>76</v>
      </c>
      <c r="CW260" s="57">
        <v>0</v>
      </c>
      <c r="CX260" s="57">
        <v>0</v>
      </c>
      <c r="CY260" s="57">
        <v>0</v>
      </c>
      <c r="CZ260" s="57">
        <v>0</v>
      </c>
      <c r="DA260" s="57">
        <v>76</v>
      </c>
      <c r="FF260" s="71" t="s">
        <v>2107</v>
      </c>
      <c r="FG260" s="71" t="s">
        <v>2513</v>
      </c>
      <c r="FH260" s="71">
        <v>345</v>
      </c>
      <c r="FI260" s="71">
        <v>427</v>
      </c>
      <c r="FJ260" s="71">
        <v>428</v>
      </c>
      <c r="FK260" s="71">
        <v>421</v>
      </c>
      <c r="FL260" s="71">
        <v>493</v>
      </c>
      <c r="FM260" s="71">
        <v>2114</v>
      </c>
      <c r="FN260" s="71"/>
      <c r="FO260" s="71" t="s">
        <v>2513</v>
      </c>
      <c r="FP260" s="71">
        <v>52</v>
      </c>
      <c r="FQ260" s="71">
        <v>18</v>
      </c>
      <c r="FR260" s="71">
        <v>6</v>
      </c>
      <c r="FS260" s="71">
        <v>3</v>
      </c>
      <c r="FT260" s="71">
        <v>5</v>
      </c>
      <c r="FU260" s="71">
        <v>84</v>
      </c>
    </row>
    <row r="261" spans="2:177">
      <c r="B261" s="65" t="s">
        <v>162</v>
      </c>
      <c r="C261" s="65" t="s">
        <v>27</v>
      </c>
      <c r="D261" s="65">
        <v>101</v>
      </c>
      <c r="E261" s="65">
        <v>236</v>
      </c>
      <c r="F261" s="65">
        <v>394</v>
      </c>
      <c r="G261" s="65">
        <v>485</v>
      </c>
      <c r="H261" s="65">
        <v>348</v>
      </c>
      <c r="I261" s="65">
        <v>1564</v>
      </c>
      <c r="K261" s="65" t="s">
        <v>27</v>
      </c>
      <c r="L261" s="65">
        <v>26</v>
      </c>
      <c r="M261" s="65">
        <v>3</v>
      </c>
      <c r="N261" s="65">
        <v>0</v>
      </c>
      <c r="O261" s="65">
        <v>2</v>
      </c>
      <c r="P261" s="65">
        <v>0</v>
      </c>
      <c r="Q261" s="65">
        <v>31</v>
      </c>
      <c r="AK261" s="67" t="s">
        <v>1269</v>
      </c>
      <c r="AL261" s="67" t="s">
        <v>2513</v>
      </c>
      <c r="AM261" s="67">
        <v>316</v>
      </c>
      <c r="AN261" s="67">
        <v>421</v>
      </c>
      <c r="AO261" s="67">
        <v>634</v>
      </c>
      <c r="AP261" s="67">
        <v>764</v>
      </c>
      <c r="AQ261" s="67">
        <v>643</v>
      </c>
      <c r="AR261" s="67">
        <v>2778</v>
      </c>
      <c r="AS261" s="67"/>
      <c r="AT261" s="67" t="s">
        <v>2513</v>
      </c>
      <c r="AU261" s="67">
        <v>27</v>
      </c>
      <c r="AV261" s="67">
        <v>6</v>
      </c>
      <c r="AW261" s="67">
        <v>4</v>
      </c>
      <c r="AX261" s="67">
        <v>1</v>
      </c>
      <c r="AY261" s="67">
        <v>2</v>
      </c>
      <c r="AZ261" s="67">
        <v>40</v>
      </c>
      <c r="BB261" s="70" t="s">
        <v>1305</v>
      </c>
      <c r="BC261" s="70" t="s">
        <v>27</v>
      </c>
      <c r="BD261" s="70">
        <v>341</v>
      </c>
      <c r="BE261" s="70">
        <v>276</v>
      </c>
      <c r="BF261" s="70">
        <v>305</v>
      </c>
      <c r="BG261" s="70">
        <v>367</v>
      </c>
      <c r="BH261" s="70">
        <v>264</v>
      </c>
      <c r="BI261" s="70">
        <v>1553</v>
      </c>
      <c r="BJ261" s="70"/>
      <c r="BK261" s="70" t="s">
        <v>27</v>
      </c>
      <c r="BL261" s="70">
        <v>53</v>
      </c>
      <c r="BM261" s="70">
        <v>0</v>
      </c>
      <c r="BN261" s="70">
        <v>0</v>
      </c>
      <c r="BO261" s="70">
        <v>0</v>
      </c>
      <c r="BP261" s="70">
        <v>0</v>
      </c>
      <c r="BQ261" s="70">
        <v>53</v>
      </c>
      <c r="BT261" s="21"/>
      <c r="CL261" s="57" t="s">
        <v>613</v>
      </c>
      <c r="CM261" s="57" t="s">
        <v>2513</v>
      </c>
      <c r="CN261" s="57">
        <v>171</v>
      </c>
      <c r="CO261" s="57">
        <v>77</v>
      </c>
      <c r="CP261" s="57">
        <v>140</v>
      </c>
      <c r="CQ261" s="57">
        <v>161</v>
      </c>
      <c r="CR261" s="57">
        <v>152</v>
      </c>
      <c r="CS261" s="57">
        <v>701</v>
      </c>
      <c r="CT261" s="57"/>
      <c r="CU261" s="57" t="s">
        <v>2513</v>
      </c>
      <c r="CV261" s="57">
        <v>74</v>
      </c>
      <c r="CW261" s="57">
        <v>0</v>
      </c>
      <c r="CX261" s="57">
        <v>0</v>
      </c>
      <c r="CY261" s="57">
        <v>0</v>
      </c>
      <c r="CZ261" s="57">
        <v>0</v>
      </c>
      <c r="DA261" s="57">
        <v>74</v>
      </c>
      <c r="FF261" s="71" t="s">
        <v>2108</v>
      </c>
      <c r="FG261" s="71" t="s">
        <v>2513</v>
      </c>
      <c r="FH261" s="71">
        <v>186</v>
      </c>
      <c r="FI261" s="71">
        <v>300</v>
      </c>
      <c r="FJ261" s="71">
        <v>363</v>
      </c>
      <c r="FK261" s="71">
        <v>439</v>
      </c>
      <c r="FL261" s="71">
        <v>701</v>
      </c>
      <c r="FM261" s="71">
        <v>1989</v>
      </c>
      <c r="FN261" s="71"/>
      <c r="FO261" s="71" t="s">
        <v>2513</v>
      </c>
      <c r="FP261" s="71">
        <v>28</v>
      </c>
      <c r="FQ261" s="71">
        <v>6</v>
      </c>
      <c r="FR261" s="71">
        <v>7</v>
      </c>
      <c r="FS261" s="71">
        <v>1</v>
      </c>
      <c r="FT261" s="71">
        <v>1</v>
      </c>
      <c r="FU261" s="71">
        <v>43</v>
      </c>
    </row>
    <row r="262" spans="2:177">
      <c r="B262" s="16"/>
      <c r="C262" s="16"/>
      <c r="D262" s="16"/>
      <c r="E262" s="16"/>
      <c r="F262" s="16"/>
      <c r="G262" s="16"/>
      <c r="H262" s="16"/>
      <c r="I262" s="16"/>
      <c r="J262" s="16"/>
      <c r="K262" s="16"/>
      <c r="L262" s="16"/>
      <c r="M262" s="16"/>
      <c r="N262" s="16"/>
      <c r="O262" s="16"/>
      <c r="P262" s="16"/>
      <c r="Q262" s="16"/>
      <c r="AK262" s="67" t="s">
        <v>1272</v>
      </c>
      <c r="AL262" s="67" t="s">
        <v>2513</v>
      </c>
      <c r="AM262" s="67">
        <v>550</v>
      </c>
      <c r="AN262" s="67">
        <v>293</v>
      </c>
      <c r="AO262" s="67">
        <v>351</v>
      </c>
      <c r="AP262" s="67">
        <v>488</v>
      </c>
      <c r="AQ262" s="67">
        <v>469</v>
      </c>
      <c r="AR262" s="67">
        <v>2151</v>
      </c>
      <c r="AS262" s="67"/>
      <c r="AT262" s="67" t="s">
        <v>2513</v>
      </c>
      <c r="AU262" s="67">
        <v>119</v>
      </c>
      <c r="AV262" s="67">
        <v>1</v>
      </c>
      <c r="AW262" s="67">
        <v>0</v>
      </c>
      <c r="AX262" s="67">
        <v>0</v>
      </c>
      <c r="AY262" s="67">
        <v>0</v>
      </c>
      <c r="AZ262" s="67">
        <v>120</v>
      </c>
      <c r="BB262" s="70" t="s">
        <v>1308</v>
      </c>
      <c r="BC262" s="70" t="s">
        <v>27</v>
      </c>
      <c r="BD262" s="70">
        <v>328</v>
      </c>
      <c r="BE262" s="70">
        <v>232</v>
      </c>
      <c r="BF262" s="70">
        <v>336</v>
      </c>
      <c r="BG262" s="70">
        <v>324</v>
      </c>
      <c r="BH262" s="70">
        <v>281</v>
      </c>
      <c r="BI262" s="70">
        <v>1501</v>
      </c>
      <c r="BJ262" s="70"/>
      <c r="BK262" s="70" t="s">
        <v>27</v>
      </c>
      <c r="BL262" s="70">
        <v>20</v>
      </c>
      <c r="BM262" s="70">
        <v>0</v>
      </c>
      <c r="BN262" s="70">
        <v>0</v>
      </c>
      <c r="BO262" s="70">
        <v>0</v>
      </c>
      <c r="BP262" s="70">
        <v>0</v>
      </c>
      <c r="BQ262" s="70">
        <v>20</v>
      </c>
      <c r="BT262" s="21"/>
      <c r="CL262" s="57" t="s">
        <v>619</v>
      </c>
      <c r="CM262" s="57" t="s">
        <v>2513</v>
      </c>
      <c r="CN262" s="57">
        <v>211</v>
      </c>
      <c r="CO262" s="57">
        <v>278</v>
      </c>
      <c r="CP262" s="57">
        <v>483</v>
      </c>
      <c r="CQ262" s="57">
        <v>790</v>
      </c>
      <c r="CR262" s="57">
        <v>718</v>
      </c>
      <c r="CS262" s="57">
        <v>2480</v>
      </c>
      <c r="CT262" s="57"/>
      <c r="CU262" s="57" t="s">
        <v>2513</v>
      </c>
      <c r="CV262" s="57">
        <v>25</v>
      </c>
      <c r="CW262" s="57">
        <v>0</v>
      </c>
      <c r="CX262" s="57">
        <v>0</v>
      </c>
      <c r="CY262" s="57">
        <v>0</v>
      </c>
      <c r="CZ262" s="57">
        <v>0</v>
      </c>
      <c r="DA262" s="57">
        <v>25</v>
      </c>
      <c r="FF262" s="71" t="s">
        <v>2110</v>
      </c>
      <c r="FG262" s="71" t="s">
        <v>2513</v>
      </c>
      <c r="FH262" s="71">
        <v>203</v>
      </c>
      <c r="FI262" s="71">
        <v>381</v>
      </c>
      <c r="FJ262" s="71">
        <v>432</v>
      </c>
      <c r="FK262" s="71">
        <v>494</v>
      </c>
      <c r="FL262" s="71">
        <v>691</v>
      </c>
      <c r="FM262" s="71">
        <v>2201</v>
      </c>
      <c r="FN262" s="71"/>
      <c r="FO262" s="71" t="s">
        <v>2513</v>
      </c>
      <c r="FP262" s="71">
        <v>21</v>
      </c>
      <c r="FQ262" s="71">
        <v>5</v>
      </c>
      <c r="FR262" s="71">
        <v>5</v>
      </c>
      <c r="FS262" s="71">
        <v>2</v>
      </c>
      <c r="FT262" s="71">
        <v>4</v>
      </c>
      <c r="FU262" s="71">
        <v>37</v>
      </c>
    </row>
    <row r="263" spans="2:177">
      <c r="B263" s="65" t="s">
        <v>812</v>
      </c>
      <c r="C263" s="65" t="s">
        <v>2513</v>
      </c>
      <c r="D263" s="65">
        <v>99</v>
      </c>
      <c r="E263" s="65">
        <v>141</v>
      </c>
      <c r="F263" s="65">
        <v>284</v>
      </c>
      <c r="G263" s="65">
        <v>336</v>
      </c>
      <c r="H263" s="65">
        <v>329</v>
      </c>
      <c r="I263" s="65">
        <v>1189</v>
      </c>
      <c r="K263" s="65" t="s">
        <v>2513</v>
      </c>
      <c r="L263" s="65">
        <v>3</v>
      </c>
      <c r="M263" s="65">
        <v>0</v>
      </c>
      <c r="N263" s="65">
        <v>0</v>
      </c>
      <c r="O263" s="65">
        <v>0</v>
      </c>
      <c r="P263" s="65">
        <v>0</v>
      </c>
      <c r="Q263" s="65">
        <v>3</v>
      </c>
      <c r="AK263" s="67" t="s">
        <v>1276</v>
      </c>
      <c r="AL263" s="67" t="s">
        <v>2513</v>
      </c>
      <c r="AM263" s="67">
        <v>375</v>
      </c>
      <c r="AN263" s="67">
        <v>318</v>
      </c>
      <c r="AO263" s="67">
        <v>391</v>
      </c>
      <c r="AP263" s="67">
        <v>469</v>
      </c>
      <c r="AQ263" s="67">
        <v>472</v>
      </c>
      <c r="AR263" s="67">
        <v>2025</v>
      </c>
      <c r="AS263" s="67"/>
      <c r="AT263" s="67" t="s">
        <v>2513</v>
      </c>
      <c r="AU263" s="67">
        <v>93</v>
      </c>
      <c r="AV263" s="67">
        <v>0</v>
      </c>
      <c r="AW263" s="67">
        <v>0</v>
      </c>
      <c r="AX263" s="67">
        <v>0</v>
      </c>
      <c r="AY263" s="67">
        <v>0</v>
      </c>
      <c r="AZ263" s="67">
        <v>93</v>
      </c>
      <c r="BB263" s="70" t="s">
        <v>1312</v>
      </c>
      <c r="BC263" s="70" t="s">
        <v>27</v>
      </c>
      <c r="BD263" s="70">
        <v>389</v>
      </c>
      <c r="BE263" s="70">
        <v>312</v>
      </c>
      <c r="BF263" s="70">
        <v>464</v>
      </c>
      <c r="BG263" s="70">
        <v>493</v>
      </c>
      <c r="BH263" s="70">
        <v>408</v>
      </c>
      <c r="BI263" s="70">
        <v>2066</v>
      </c>
      <c r="BJ263" s="70"/>
      <c r="BK263" s="70" t="s">
        <v>27</v>
      </c>
      <c r="BL263" s="70">
        <v>46</v>
      </c>
      <c r="BM263" s="70">
        <v>0</v>
      </c>
      <c r="BN263" s="70">
        <v>0</v>
      </c>
      <c r="BO263" s="70">
        <v>0</v>
      </c>
      <c r="BP263" s="70">
        <v>0</v>
      </c>
      <c r="BQ263" s="70">
        <v>46</v>
      </c>
      <c r="BT263" s="21"/>
      <c r="CL263" s="57" t="s">
        <v>386</v>
      </c>
      <c r="CM263" s="57" t="s">
        <v>2513</v>
      </c>
      <c r="CN263" s="57">
        <v>351</v>
      </c>
      <c r="CO263" s="57">
        <v>328</v>
      </c>
      <c r="CP263" s="57">
        <v>440</v>
      </c>
      <c r="CQ263" s="57">
        <v>597</v>
      </c>
      <c r="CR263" s="57">
        <v>519</v>
      </c>
      <c r="CS263" s="57">
        <v>2235</v>
      </c>
      <c r="CT263" s="57"/>
      <c r="CU263" s="57" t="s">
        <v>2513</v>
      </c>
      <c r="CV263" s="57">
        <v>50</v>
      </c>
      <c r="CW263" s="57">
        <v>0</v>
      </c>
      <c r="CX263" s="57">
        <v>0</v>
      </c>
      <c r="CY263" s="57">
        <v>0</v>
      </c>
      <c r="CZ263" s="57">
        <v>0</v>
      </c>
      <c r="DA263" s="57">
        <v>50</v>
      </c>
      <c r="FF263" s="71" t="s">
        <v>2112</v>
      </c>
      <c r="FG263" s="71" t="s">
        <v>2513</v>
      </c>
      <c r="FH263" s="71">
        <v>254</v>
      </c>
      <c r="FI263" s="71">
        <v>245</v>
      </c>
      <c r="FJ263" s="71">
        <v>318</v>
      </c>
      <c r="FK263" s="71">
        <v>398</v>
      </c>
      <c r="FL263" s="71">
        <v>485</v>
      </c>
      <c r="FM263" s="71">
        <v>1700</v>
      </c>
      <c r="FN263" s="71"/>
      <c r="FO263" s="71" t="s">
        <v>2513</v>
      </c>
      <c r="FP263" s="71">
        <v>26</v>
      </c>
      <c r="FQ263" s="71">
        <v>7</v>
      </c>
      <c r="FR263" s="71">
        <v>6</v>
      </c>
      <c r="FS263" s="71">
        <v>1</v>
      </c>
      <c r="FT263" s="71">
        <v>3</v>
      </c>
      <c r="FU263" s="71">
        <v>43</v>
      </c>
    </row>
    <row r="264" spans="2:177">
      <c r="B264" s="65" t="s">
        <v>821</v>
      </c>
      <c r="C264" s="65" t="s">
        <v>2513</v>
      </c>
      <c r="D264" s="65">
        <v>116</v>
      </c>
      <c r="E264" s="65">
        <v>375</v>
      </c>
      <c r="F264" s="65">
        <v>487</v>
      </c>
      <c r="G264" s="65">
        <v>589</v>
      </c>
      <c r="H264" s="65">
        <v>453</v>
      </c>
      <c r="I264" s="65">
        <v>2020</v>
      </c>
      <c r="K264" s="65" t="s">
        <v>2513</v>
      </c>
      <c r="L264" s="65">
        <v>2</v>
      </c>
      <c r="M264" s="65">
        <v>1</v>
      </c>
      <c r="N264" s="65">
        <v>0</v>
      </c>
      <c r="O264" s="65">
        <v>0</v>
      </c>
      <c r="P264" s="65">
        <v>1</v>
      </c>
      <c r="Q264" s="65">
        <v>4</v>
      </c>
      <c r="AK264" s="67" t="s">
        <v>1279</v>
      </c>
      <c r="AL264" s="67" t="s">
        <v>2513</v>
      </c>
      <c r="AM264" s="67">
        <v>494</v>
      </c>
      <c r="AN264" s="67">
        <v>326</v>
      </c>
      <c r="AO264" s="67">
        <v>458</v>
      </c>
      <c r="AP264" s="67">
        <v>494</v>
      </c>
      <c r="AQ264" s="67">
        <v>530</v>
      </c>
      <c r="AR264" s="67">
        <v>2302</v>
      </c>
      <c r="AS264" s="67"/>
      <c r="AT264" s="67" t="s">
        <v>2513</v>
      </c>
      <c r="AU264" s="67">
        <v>142</v>
      </c>
      <c r="AV264" s="67">
        <v>2</v>
      </c>
      <c r="AW264" s="67">
        <v>0</v>
      </c>
      <c r="AX264" s="67">
        <v>0</v>
      </c>
      <c r="AY264" s="67">
        <v>1</v>
      </c>
      <c r="AZ264" s="67">
        <v>145</v>
      </c>
      <c r="BB264" s="70" t="s">
        <v>1314</v>
      </c>
      <c r="BC264" s="70" t="s">
        <v>27</v>
      </c>
      <c r="BD264" s="70">
        <v>398</v>
      </c>
      <c r="BE264" s="70">
        <v>326</v>
      </c>
      <c r="BF264" s="70">
        <v>456</v>
      </c>
      <c r="BG264" s="70">
        <v>540</v>
      </c>
      <c r="BH264" s="70">
        <v>519</v>
      </c>
      <c r="BI264" s="70">
        <v>2239</v>
      </c>
      <c r="BJ264" s="70"/>
      <c r="BK264" s="70" t="s">
        <v>27</v>
      </c>
      <c r="BL264" s="70">
        <v>21</v>
      </c>
      <c r="BM264" s="70">
        <v>0</v>
      </c>
      <c r="BN264" s="70">
        <v>0</v>
      </c>
      <c r="BO264" s="70">
        <v>0</v>
      </c>
      <c r="BP264" s="70">
        <v>0</v>
      </c>
      <c r="BQ264" s="70">
        <v>21</v>
      </c>
      <c r="BT264" s="21"/>
      <c r="CL264" s="57" t="s">
        <v>389</v>
      </c>
      <c r="CM264" s="57" t="s">
        <v>2513</v>
      </c>
      <c r="CN264" s="57">
        <v>327</v>
      </c>
      <c r="CO264" s="57">
        <v>221</v>
      </c>
      <c r="CP264" s="57">
        <v>343</v>
      </c>
      <c r="CQ264" s="57">
        <v>483</v>
      </c>
      <c r="CR264" s="57">
        <v>440</v>
      </c>
      <c r="CS264" s="57">
        <v>1814</v>
      </c>
      <c r="CT264" s="57"/>
      <c r="CU264" s="57" t="s">
        <v>2513</v>
      </c>
      <c r="CV264" s="57">
        <v>60</v>
      </c>
      <c r="CW264" s="57">
        <v>0</v>
      </c>
      <c r="CX264" s="57">
        <v>0</v>
      </c>
      <c r="CY264" s="57">
        <v>0</v>
      </c>
      <c r="CZ264" s="57">
        <v>0</v>
      </c>
      <c r="DA264" s="57">
        <v>60</v>
      </c>
      <c r="FF264" s="71" t="s">
        <v>2115</v>
      </c>
      <c r="FG264" s="71" t="s">
        <v>2513</v>
      </c>
      <c r="FH264" s="71">
        <v>169</v>
      </c>
      <c r="FI264" s="71">
        <v>276</v>
      </c>
      <c r="FJ264" s="71">
        <v>330</v>
      </c>
      <c r="FK264" s="71">
        <v>409</v>
      </c>
      <c r="FL264" s="71">
        <v>487</v>
      </c>
      <c r="FM264" s="71">
        <v>1671</v>
      </c>
      <c r="FN264" s="71"/>
      <c r="FO264" s="71" t="s">
        <v>2513</v>
      </c>
      <c r="FP264" s="71">
        <v>8</v>
      </c>
      <c r="FQ264" s="71">
        <v>2</v>
      </c>
      <c r="FR264" s="71">
        <v>2</v>
      </c>
      <c r="FS264" s="71">
        <v>0</v>
      </c>
      <c r="FT264" s="71">
        <v>0</v>
      </c>
      <c r="FU264" s="71">
        <v>12</v>
      </c>
    </row>
    <row r="265" spans="2:177">
      <c r="B265" s="65" t="s">
        <v>825</v>
      </c>
      <c r="C265" s="65" t="s">
        <v>2513</v>
      </c>
      <c r="D265" s="65">
        <v>915</v>
      </c>
      <c r="E265" s="65">
        <v>838</v>
      </c>
      <c r="F265" s="65">
        <v>874</v>
      </c>
      <c r="G265" s="65">
        <v>911</v>
      </c>
      <c r="H265" s="65">
        <v>615</v>
      </c>
      <c r="I265" s="65">
        <v>4153</v>
      </c>
      <c r="K265" s="65" t="s">
        <v>2513</v>
      </c>
      <c r="L265" s="65">
        <v>137</v>
      </c>
      <c r="M265" s="65">
        <v>6</v>
      </c>
      <c r="N265" s="65">
        <v>0</v>
      </c>
      <c r="O265" s="65">
        <v>0</v>
      </c>
      <c r="P265" s="65">
        <v>1</v>
      </c>
      <c r="Q265" s="65">
        <v>144</v>
      </c>
      <c r="AK265" s="67" t="s">
        <v>1282</v>
      </c>
      <c r="AL265" s="67" t="s">
        <v>2513</v>
      </c>
      <c r="AM265" s="67">
        <v>1125</v>
      </c>
      <c r="AN265" s="67">
        <v>875</v>
      </c>
      <c r="AO265" s="67">
        <v>912</v>
      </c>
      <c r="AP265" s="67">
        <v>938</v>
      </c>
      <c r="AQ265" s="67">
        <v>744</v>
      </c>
      <c r="AR265" s="67">
        <v>4594</v>
      </c>
      <c r="AS265" s="67"/>
      <c r="AT265" s="67" t="s">
        <v>2513</v>
      </c>
      <c r="AU265" s="67">
        <v>184</v>
      </c>
      <c r="AV265" s="67">
        <v>2</v>
      </c>
      <c r="AW265" s="67">
        <v>7</v>
      </c>
      <c r="AX265" s="67">
        <v>0</v>
      </c>
      <c r="AY265" s="67">
        <v>0</v>
      </c>
      <c r="AZ265" s="67">
        <v>193</v>
      </c>
      <c r="BB265" s="70" t="s">
        <v>1317</v>
      </c>
      <c r="BC265" s="70" t="s">
        <v>27</v>
      </c>
      <c r="BD265" s="70">
        <v>178</v>
      </c>
      <c r="BE265" s="70">
        <v>233</v>
      </c>
      <c r="BF265" s="70">
        <v>362</v>
      </c>
      <c r="BG265" s="70">
        <v>561</v>
      </c>
      <c r="BH265" s="70">
        <v>462</v>
      </c>
      <c r="BI265" s="70">
        <v>1796</v>
      </c>
      <c r="BJ265" s="70"/>
      <c r="BK265" s="70" t="s">
        <v>27</v>
      </c>
      <c r="BL265" s="70">
        <v>25</v>
      </c>
      <c r="BM265" s="70">
        <v>0</v>
      </c>
      <c r="BN265" s="70">
        <v>0</v>
      </c>
      <c r="BO265" s="70">
        <v>0</v>
      </c>
      <c r="BP265" s="70">
        <v>0</v>
      </c>
      <c r="BQ265" s="70">
        <v>25</v>
      </c>
      <c r="BT265" s="21"/>
      <c r="CL265" s="57" t="s">
        <v>390</v>
      </c>
      <c r="CM265" s="57" t="s">
        <v>2513</v>
      </c>
      <c r="CN265" s="57">
        <v>357</v>
      </c>
      <c r="CO265" s="57">
        <v>210</v>
      </c>
      <c r="CP265" s="57">
        <v>322</v>
      </c>
      <c r="CQ265" s="57">
        <v>462</v>
      </c>
      <c r="CR265" s="57">
        <v>434</v>
      </c>
      <c r="CS265" s="57">
        <v>1785</v>
      </c>
      <c r="CT265" s="57"/>
      <c r="CU265" s="57" t="s">
        <v>2513</v>
      </c>
      <c r="CV265" s="57">
        <v>90</v>
      </c>
      <c r="CW265" s="57">
        <v>0</v>
      </c>
      <c r="CX265" s="57">
        <v>0</v>
      </c>
      <c r="CY265" s="57">
        <v>0</v>
      </c>
      <c r="CZ265" s="57">
        <v>0</v>
      </c>
      <c r="DA265" s="57">
        <v>90</v>
      </c>
      <c r="FF265" s="71" t="s">
        <v>2117</v>
      </c>
      <c r="FG265" s="71" t="s">
        <v>2513</v>
      </c>
      <c r="FH265" s="71">
        <v>48</v>
      </c>
      <c r="FI265" s="71">
        <v>114</v>
      </c>
      <c r="FJ265" s="71">
        <v>167</v>
      </c>
      <c r="FK265" s="71">
        <v>174</v>
      </c>
      <c r="FL265" s="71">
        <v>276</v>
      </c>
      <c r="FM265" s="71">
        <v>779</v>
      </c>
      <c r="FN265" s="71"/>
      <c r="FO265" s="71" t="s">
        <v>2513</v>
      </c>
      <c r="FP265" s="71">
        <v>6</v>
      </c>
      <c r="FQ265" s="71">
        <v>0</v>
      </c>
      <c r="FR265" s="71">
        <v>0</v>
      </c>
      <c r="FS265" s="71">
        <v>2</v>
      </c>
      <c r="FT265" s="71">
        <v>0</v>
      </c>
      <c r="FU265" s="71">
        <v>8</v>
      </c>
    </row>
    <row r="266" spans="2:177">
      <c r="B266" s="65" t="s">
        <v>830</v>
      </c>
      <c r="C266" s="65" t="s">
        <v>2513</v>
      </c>
      <c r="D266" s="65">
        <v>576</v>
      </c>
      <c r="E266" s="65">
        <v>936</v>
      </c>
      <c r="F266" s="65">
        <v>1334</v>
      </c>
      <c r="G266" s="65">
        <v>1370</v>
      </c>
      <c r="H266" s="65">
        <v>798</v>
      </c>
      <c r="I266" s="65">
        <v>5014</v>
      </c>
      <c r="K266" s="65" t="s">
        <v>2513</v>
      </c>
      <c r="L266" s="65">
        <v>46</v>
      </c>
      <c r="M266" s="65">
        <v>4</v>
      </c>
      <c r="N266" s="65">
        <v>1</v>
      </c>
      <c r="O266" s="65">
        <v>0</v>
      </c>
      <c r="P266" s="65">
        <v>0</v>
      </c>
      <c r="Q266" s="65">
        <v>51</v>
      </c>
      <c r="AK266" s="67" t="s">
        <v>1285</v>
      </c>
      <c r="AL266" s="67" t="s">
        <v>2513</v>
      </c>
      <c r="AM266" s="67">
        <v>668</v>
      </c>
      <c r="AN266" s="67">
        <v>739</v>
      </c>
      <c r="AO266" s="67">
        <v>920</v>
      </c>
      <c r="AP266" s="67">
        <v>993</v>
      </c>
      <c r="AQ266" s="67">
        <v>703</v>
      </c>
      <c r="AR266" s="67">
        <v>4023</v>
      </c>
      <c r="AS266" s="67"/>
      <c r="AT266" s="67" t="s">
        <v>2513</v>
      </c>
      <c r="AU266" s="67">
        <v>46</v>
      </c>
      <c r="AV266" s="67">
        <v>3</v>
      </c>
      <c r="AW266" s="67">
        <v>0</v>
      </c>
      <c r="AX266" s="67">
        <v>0</v>
      </c>
      <c r="AY266" s="67">
        <v>0</v>
      </c>
      <c r="AZ266" s="67">
        <v>49</v>
      </c>
      <c r="BB266" s="70" t="s">
        <v>1320</v>
      </c>
      <c r="BC266" s="70" t="s">
        <v>27</v>
      </c>
      <c r="BD266" s="70">
        <v>232</v>
      </c>
      <c r="BE266" s="70">
        <v>123</v>
      </c>
      <c r="BF266" s="70">
        <v>149</v>
      </c>
      <c r="BG266" s="70">
        <v>238</v>
      </c>
      <c r="BH266" s="70">
        <v>208</v>
      </c>
      <c r="BI266" s="70">
        <v>950</v>
      </c>
      <c r="BJ266" s="70"/>
      <c r="BK266" s="70" t="s">
        <v>27</v>
      </c>
      <c r="BL266" s="70">
        <v>26</v>
      </c>
      <c r="BM266" s="70">
        <v>0</v>
      </c>
      <c r="BN266" s="70">
        <v>0</v>
      </c>
      <c r="BO266" s="70">
        <v>0</v>
      </c>
      <c r="BP266" s="70">
        <v>0</v>
      </c>
      <c r="BQ266" s="70">
        <v>26</v>
      </c>
      <c r="BT266" s="21"/>
      <c r="CL266" s="57" t="s">
        <v>393</v>
      </c>
      <c r="CM266" s="57" t="s">
        <v>2513</v>
      </c>
      <c r="CN266" s="57">
        <v>63</v>
      </c>
      <c r="CO266" s="57">
        <v>94</v>
      </c>
      <c r="CP266" s="57">
        <v>206</v>
      </c>
      <c r="CQ266" s="57">
        <v>294</v>
      </c>
      <c r="CR266" s="57">
        <v>284</v>
      </c>
      <c r="CS266" s="57">
        <v>941</v>
      </c>
      <c r="CT266" s="57"/>
      <c r="CU266" s="57" t="s">
        <v>2513</v>
      </c>
      <c r="CV266" s="57">
        <v>25</v>
      </c>
      <c r="CW266" s="57">
        <v>0</v>
      </c>
      <c r="CX266" s="57">
        <v>0</v>
      </c>
      <c r="CY266" s="57">
        <v>0</v>
      </c>
      <c r="CZ266" s="57">
        <v>0</v>
      </c>
      <c r="DA266" s="57">
        <v>25</v>
      </c>
      <c r="FF266" s="71" t="s">
        <v>2119</v>
      </c>
      <c r="FG266" s="71" t="s">
        <v>2513</v>
      </c>
      <c r="FH266" s="71">
        <v>216</v>
      </c>
      <c r="FI266" s="71">
        <v>203</v>
      </c>
      <c r="FJ266" s="71">
        <v>256</v>
      </c>
      <c r="FK266" s="71">
        <v>320</v>
      </c>
      <c r="FL266" s="71">
        <v>444</v>
      </c>
      <c r="FM266" s="71">
        <v>1439</v>
      </c>
      <c r="FN266" s="71"/>
      <c r="FO266" s="71" t="s">
        <v>2513</v>
      </c>
      <c r="FP266" s="71">
        <v>15</v>
      </c>
      <c r="FQ266" s="71">
        <v>5</v>
      </c>
      <c r="FR266" s="71">
        <v>3</v>
      </c>
      <c r="FS266" s="71">
        <v>3</v>
      </c>
      <c r="FT266" s="71">
        <v>4</v>
      </c>
      <c r="FU266" s="71">
        <v>30</v>
      </c>
    </row>
    <row r="267" spans="2:177">
      <c r="B267" s="65" t="s">
        <v>834</v>
      </c>
      <c r="C267" s="65" t="s">
        <v>2513</v>
      </c>
      <c r="D267" s="65">
        <v>739</v>
      </c>
      <c r="E267" s="65">
        <v>850</v>
      </c>
      <c r="F267" s="65">
        <v>1113</v>
      </c>
      <c r="G267" s="65">
        <v>1205</v>
      </c>
      <c r="H267" s="65">
        <v>724</v>
      </c>
      <c r="I267" s="65">
        <v>4631</v>
      </c>
      <c r="K267" s="65" t="s">
        <v>2513</v>
      </c>
      <c r="L267" s="65">
        <v>83</v>
      </c>
      <c r="M267" s="65">
        <v>6</v>
      </c>
      <c r="N267" s="65">
        <v>0</v>
      </c>
      <c r="O267" s="65">
        <v>0</v>
      </c>
      <c r="P267" s="65">
        <v>0</v>
      </c>
      <c r="Q267" s="65">
        <v>89</v>
      </c>
      <c r="AK267" s="67" t="s">
        <v>1289</v>
      </c>
      <c r="AL267" s="67" t="s">
        <v>2513</v>
      </c>
      <c r="AM267" s="67">
        <v>1008</v>
      </c>
      <c r="AN267" s="67">
        <v>915</v>
      </c>
      <c r="AO267" s="67">
        <v>909</v>
      </c>
      <c r="AP267" s="67">
        <v>941</v>
      </c>
      <c r="AQ267" s="67">
        <v>609</v>
      </c>
      <c r="AR267" s="67">
        <v>4382</v>
      </c>
      <c r="AS267" s="67"/>
      <c r="AT267" s="67" t="s">
        <v>2513</v>
      </c>
      <c r="AU267" s="67">
        <v>83</v>
      </c>
      <c r="AV267" s="67">
        <v>1</v>
      </c>
      <c r="AW267" s="67">
        <v>1</v>
      </c>
      <c r="AX267" s="67">
        <v>1</v>
      </c>
      <c r="AY267" s="67">
        <v>1</v>
      </c>
      <c r="AZ267" s="67">
        <v>87</v>
      </c>
      <c r="BB267" s="70" t="s">
        <v>1323</v>
      </c>
      <c r="BC267" s="70" t="s">
        <v>27</v>
      </c>
      <c r="BD267" s="70">
        <v>221</v>
      </c>
      <c r="BE267" s="70">
        <v>246</v>
      </c>
      <c r="BF267" s="70">
        <v>435</v>
      </c>
      <c r="BG267" s="70">
        <v>563</v>
      </c>
      <c r="BH267" s="70">
        <v>565</v>
      </c>
      <c r="BI267" s="70">
        <v>2030</v>
      </c>
      <c r="BJ267" s="70"/>
      <c r="BK267" s="70" t="s">
        <v>27</v>
      </c>
      <c r="BL267" s="70">
        <v>20</v>
      </c>
      <c r="BM267" s="70">
        <v>0</v>
      </c>
      <c r="BN267" s="70">
        <v>0</v>
      </c>
      <c r="BO267" s="70">
        <v>0</v>
      </c>
      <c r="BP267" s="70">
        <v>0</v>
      </c>
      <c r="BQ267" s="70">
        <v>20</v>
      </c>
      <c r="BS267" s="21"/>
      <c r="CL267" s="57" t="s">
        <v>392</v>
      </c>
      <c r="CM267" s="57" t="s">
        <v>2513</v>
      </c>
      <c r="CN267" s="57">
        <v>187</v>
      </c>
      <c r="CO267" s="57">
        <v>63</v>
      </c>
      <c r="CP267" s="57">
        <v>103</v>
      </c>
      <c r="CQ267" s="57">
        <v>124</v>
      </c>
      <c r="CR267" s="57">
        <v>163</v>
      </c>
      <c r="CS267" s="57">
        <v>640</v>
      </c>
      <c r="CT267" s="57"/>
      <c r="CU267" s="57" t="s">
        <v>2513</v>
      </c>
      <c r="CV267" s="57">
        <v>80</v>
      </c>
      <c r="CW267" s="57">
        <v>0</v>
      </c>
      <c r="CX267" s="57">
        <v>0</v>
      </c>
      <c r="CY267" s="57">
        <v>0</v>
      </c>
      <c r="CZ267" s="57">
        <v>0</v>
      </c>
      <c r="DA267" s="57">
        <v>80</v>
      </c>
      <c r="FF267" s="71" t="s">
        <v>2121</v>
      </c>
      <c r="FG267" s="71" t="s">
        <v>2513</v>
      </c>
      <c r="FH267" s="71">
        <v>128</v>
      </c>
      <c r="FI267" s="71">
        <v>162</v>
      </c>
      <c r="FJ267" s="71">
        <v>193</v>
      </c>
      <c r="FK267" s="71">
        <v>258</v>
      </c>
      <c r="FL267" s="71">
        <v>404</v>
      </c>
      <c r="FM267" s="71">
        <v>1145</v>
      </c>
      <c r="FN267" s="71"/>
      <c r="FO267" s="71" t="s">
        <v>2513</v>
      </c>
      <c r="FP267" s="71">
        <v>7</v>
      </c>
      <c r="FQ267" s="71">
        <v>0</v>
      </c>
      <c r="FR267" s="71">
        <v>0</v>
      </c>
      <c r="FS267" s="71">
        <v>0</v>
      </c>
      <c r="FT267" s="71">
        <v>0</v>
      </c>
      <c r="FU267" s="71">
        <v>7</v>
      </c>
    </row>
    <row r="268" spans="2:177">
      <c r="B268" s="65" t="s">
        <v>840</v>
      </c>
      <c r="C268" s="65" t="s">
        <v>2513</v>
      </c>
      <c r="D268" s="65">
        <v>234</v>
      </c>
      <c r="E268" s="65">
        <v>481</v>
      </c>
      <c r="F268" s="65">
        <v>719</v>
      </c>
      <c r="G268" s="65">
        <v>901</v>
      </c>
      <c r="H268" s="65">
        <v>575</v>
      </c>
      <c r="I268" s="65">
        <v>2910</v>
      </c>
      <c r="K268" s="65" t="s">
        <v>2513</v>
      </c>
      <c r="L268" s="65">
        <v>19</v>
      </c>
      <c r="M268" s="65">
        <v>2</v>
      </c>
      <c r="N268" s="65">
        <v>0</v>
      </c>
      <c r="O268" s="65">
        <v>1</v>
      </c>
      <c r="P268" s="65">
        <v>0</v>
      </c>
      <c r="Q268" s="65">
        <v>22</v>
      </c>
      <c r="AK268" s="67" t="s">
        <v>2558</v>
      </c>
      <c r="AL268" s="67" t="s">
        <v>2513</v>
      </c>
      <c r="AM268" s="67" t="s">
        <v>356</v>
      </c>
      <c r="AN268" s="67" t="s">
        <v>356</v>
      </c>
      <c r="AO268" s="67" t="s">
        <v>356</v>
      </c>
      <c r="AP268" s="67" t="s">
        <v>356</v>
      </c>
      <c r="AQ268" s="67" t="s">
        <v>356</v>
      </c>
      <c r="AR268" s="67" t="s">
        <v>356</v>
      </c>
      <c r="AS268" s="67"/>
      <c r="AT268" s="67" t="s">
        <v>2513</v>
      </c>
      <c r="AU268" s="67" t="s">
        <v>356</v>
      </c>
      <c r="AV268" s="67" t="s">
        <v>356</v>
      </c>
      <c r="AW268" s="67" t="s">
        <v>356</v>
      </c>
      <c r="AX268" s="67" t="s">
        <v>356</v>
      </c>
      <c r="AY268" s="67" t="s">
        <v>356</v>
      </c>
      <c r="AZ268" s="67" t="s">
        <v>356</v>
      </c>
      <c r="BB268" s="70" t="s">
        <v>1326</v>
      </c>
      <c r="BC268" s="70" t="s">
        <v>27</v>
      </c>
      <c r="BD268" s="70">
        <v>82</v>
      </c>
      <c r="BE268" s="70">
        <v>108</v>
      </c>
      <c r="BF268" s="70">
        <v>168</v>
      </c>
      <c r="BG268" s="70">
        <v>225</v>
      </c>
      <c r="BH268" s="70">
        <v>222</v>
      </c>
      <c r="BI268" s="70">
        <v>805</v>
      </c>
      <c r="BJ268" s="70"/>
      <c r="BK268" s="70" t="s">
        <v>27</v>
      </c>
      <c r="BL268" s="70">
        <v>17</v>
      </c>
      <c r="BM268" s="70">
        <v>0</v>
      </c>
      <c r="BN268" s="70">
        <v>0</v>
      </c>
      <c r="BO268" s="70">
        <v>0</v>
      </c>
      <c r="BP268" s="70">
        <v>0</v>
      </c>
      <c r="BQ268" s="70">
        <v>17</v>
      </c>
      <c r="BS268" s="21"/>
      <c r="CL268" s="57" t="s">
        <v>621</v>
      </c>
      <c r="CM268" s="57" t="s">
        <v>2513</v>
      </c>
      <c r="CN268" s="57">
        <v>77</v>
      </c>
      <c r="CO268" s="57">
        <v>37</v>
      </c>
      <c r="CP268" s="57">
        <v>85</v>
      </c>
      <c r="CQ268" s="57">
        <v>102</v>
      </c>
      <c r="CR268" s="57">
        <v>109</v>
      </c>
      <c r="CS268" s="57">
        <v>410</v>
      </c>
      <c r="CT268" s="57"/>
      <c r="CU268" s="57" t="s">
        <v>2513</v>
      </c>
      <c r="CV268" s="57">
        <v>39</v>
      </c>
      <c r="CW268" s="57">
        <v>0</v>
      </c>
      <c r="CX268" s="57">
        <v>0</v>
      </c>
      <c r="CY268" s="57">
        <v>0</v>
      </c>
      <c r="CZ268" s="57">
        <v>0</v>
      </c>
      <c r="DA268" s="57">
        <v>39</v>
      </c>
      <c r="FF268" s="71" t="s">
        <v>2123</v>
      </c>
      <c r="FG268" s="71" t="s">
        <v>2513</v>
      </c>
      <c r="FH268" s="71">
        <v>71</v>
      </c>
      <c r="FI268" s="71">
        <v>110</v>
      </c>
      <c r="FJ268" s="71">
        <v>148</v>
      </c>
      <c r="FK268" s="71">
        <v>183</v>
      </c>
      <c r="FL268" s="71">
        <v>307</v>
      </c>
      <c r="FM268" s="71">
        <v>819</v>
      </c>
      <c r="FN268" s="71"/>
      <c r="FO268" s="71" t="s">
        <v>2513</v>
      </c>
      <c r="FP268" s="71">
        <v>3</v>
      </c>
      <c r="FQ268" s="71">
        <v>2</v>
      </c>
      <c r="FR268" s="71">
        <v>1</v>
      </c>
      <c r="FS268" s="71">
        <v>0</v>
      </c>
      <c r="FT268" s="71">
        <v>0</v>
      </c>
      <c r="FU268" s="71">
        <v>6</v>
      </c>
    </row>
    <row r="269" spans="2:177">
      <c r="B269" s="65" t="s">
        <v>845</v>
      </c>
      <c r="C269" s="65" t="s">
        <v>2513</v>
      </c>
      <c r="D269" s="65">
        <v>275</v>
      </c>
      <c r="E269" s="65">
        <v>588</v>
      </c>
      <c r="F269" s="65">
        <v>1002</v>
      </c>
      <c r="G269" s="65">
        <v>1100</v>
      </c>
      <c r="H269" s="65">
        <v>637</v>
      </c>
      <c r="I269" s="65">
        <v>3602</v>
      </c>
      <c r="K269" s="65" t="s">
        <v>2513</v>
      </c>
      <c r="L269" s="65">
        <v>30</v>
      </c>
      <c r="M269" s="65">
        <v>1</v>
      </c>
      <c r="N269" s="65">
        <v>3</v>
      </c>
      <c r="O269" s="65">
        <v>1</v>
      </c>
      <c r="P269" s="65">
        <v>0</v>
      </c>
      <c r="Q269" s="65">
        <v>35</v>
      </c>
      <c r="BB269" s="70" t="s">
        <v>1329</v>
      </c>
      <c r="BC269" s="70" t="s">
        <v>27</v>
      </c>
      <c r="BD269" s="70">
        <v>23</v>
      </c>
      <c r="BE269" s="70">
        <v>38</v>
      </c>
      <c r="BF269" s="70">
        <v>83</v>
      </c>
      <c r="BG269" s="70">
        <v>101</v>
      </c>
      <c r="BH269" s="70">
        <v>152</v>
      </c>
      <c r="BI269" s="70">
        <v>397</v>
      </c>
      <c r="BJ269" s="70"/>
      <c r="BK269" s="70" t="s">
        <v>27</v>
      </c>
      <c r="BL269" s="70">
        <v>0</v>
      </c>
      <c r="BM269" s="70">
        <v>0</v>
      </c>
      <c r="BN269" s="70">
        <v>0</v>
      </c>
      <c r="BO269" s="70">
        <v>0</v>
      </c>
      <c r="BP269" s="70">
        <v>0</v>
      </c>
      <c r="BQ269" s="70">
        <v>0</v>
      </c>
      <c r="BS269" s="21"/>
      <c r="CL269" s="57" t="s">
        <v>623</v>
      </c>
      <c r="CM269" s="57" t="s">
        <v>2513</v>
      </c>
      <c r="CN269" s="57">
        <v>85</v>
      </c>
      <c r="CO269" s="57">
        <v>112</v>
      </c>
      <c r="CP269" s="57">
        <v>206</v>
      </c>
      <c r="CQ269" s="57">
        <v>302</v>
      </c>
      <c r="CR269" s="57">
        <v>297</v>
      </c>
      <c r="CS269" s="57">
        <v>1002</v>
      </c>
      <c r="CT269" s="57"/>
      <c r="CU269" s="57" t="s">
        <v>2513</v>
      </c>
      <c r="CV269" s="57">
        <v>12</v>
      </c>
      <c r="CW269" s="57">
        <v>0</v>
      </c>
      <c r="CX269" s="57">
        <v>0</v>
      </c>
      <c r="CY269" s="57">
        <v>0</v>
      </c>
      <c r="CZ269" s="57">
        <v>0</v>
      </c>
      <c r="DA269" s="57">
        <v>12</v>
      </c>
      <c r="FF269" s="71" t="s">
        <v>2125</v>
      </c>
      <c r="FG269" s="71" t="s">
        <v>2513</v>
      </c>
      <c r="FH269" s="71">
        <v>98</v>
      </c>
      <c r="FI269" s="71">
        <v>128</v>
      </c>
      <c r="FJ269" s="71">
        <v>133</v>
      </c>
      <c r="FK269" s="71">
        <v>186</v>
      </c>
      <c r="FL269" s="71">
        <v>288</v>
      </c>
      <c r="FM269" s="71">
        <v>833</v>
      </c>
      <c r="FN269" s="71"/>
      <c r="FO269" s="71" t="s">
        <v>2513</v>
      </c>
      <c r="FP269" s="71">
        <v>9</v>
      </c>
      <c r="FQ269" s="71">
        <v>3</v>
      </c>
      <c r="FR269" s="71">
        <v>1</v>
      </c>
      <c r="FS269" s="71">
        <v>0</v>
      </c>
      <c r="FT269" s="71">
        <v>0</v>
      </c>
      <c r="FU269" s="71">
        <v>13</v>
      </c>
    </row>
    <row r="270" spans="2:177">
      <c r="B270" s="65" t="s">
        <v>848</v>
      </c>
      <c r="C270" s="65" t="s">
        <v>2513</v>
      </c>
      <c r="D270" s="65">
        <v>683</v>
      </c>
      <c r="E270" s="65">
        <v>790</v>
      </c>
      <c r="F270" s="65">
        <v>1010</v>
      </c>
      <c r="G270" s="65">
        <v>1077</v>
      </c>
      <c r="H270" s="65">
        <v>651</v>
      </c>
      <c r="I270" s="65">
        <v>4211</v>
      </c>
      <c r="K270" s="65" t="s">
        <v>2513</v>
      </c>
      <c r="L270" s="65">
        <v>111</v>
      </c>
      <c r="M270" s="65">
        <v>3</v>
      </c>
      <c r="N270" s="65">
        <v>0</v>
      </c>
      <c r="O270" s="65">
        <v>1</v>
      </c>
      <c r="P270" s="65">
        <v>0</v>
      </c>
      <c r="Q270" s="65">
        <v>115</v>
      </c>
      <c r="BB270" s="70" t="s">
        <v>1333</v>
      </c>
      <c r="BC270" s="70" t="s">
        <v>27</v>
      </c>
      <c r="BD270" s="70">
        <v>221</v>
      </c>
      <c r="BE270" s="70">
        <v>232</v>
      </c>
      <c r="BF270" s="70">
        <v>435</v>
      </c>
      <c r="BG270" s="70">
        <v>595</v>
      </c>
      <c r="BH270" s="70">
        <v>554</v>
      </c>
      <c r="BI270" s="70">
        <v>2037</v>
      </c>
      <c r="BJ270" s="70"/>
      <c r="BK270" s="70" t="s">
        <v>27</v>
      </c>
      <c r="BL270" s="70">
        <v>35</v>
      </c>
      <c r="BM270" s="70">
        <v>0</v>
      </c>
      <c r="BN270" s="70">
        <v>0</v>
      </c>
      <c r="BO270" s="70">
        <v>0</v>
      </c>
      <c r="BP270" s="70">
        <v>0</v>
      </c>
      <c r="BQ270" s="70">
        <v>35</v>
      </c>
      <c r="BS270" s="21"/>
      <c r="CL270" s="57" t="s">
        <v>395</v>
      </c>
      <c r="CM270" s="57" t="s">
        <v>2513</v>
      </c>
      <c r="CN270" s="57">
        <v>52</v>
      </c>
      <c r="CO270" s="57">
        <v>47</v>
      </c>
      <c r="CP270" s="57">
        <v>83</v>
      </c>
      <c r="CQ270" s="57">
        <v>156</v>
      </c>
      <c r="CR270" s="57">
        <v>177</v>
      </c>
      <c r="CS270" s="57">
        <v>515</v>
      </c>
      <c r="CT270" s="57"/>
      <c r="CU270" s="57" t="s">
        <v>2513</v>
      </c>
      <c r="CV270" s="57">
        <v>29</v>
      </c>
      <c r="CW270" s="57">
        <v>1</v>
      </c>
      <c r="CX270" s="57">
        <v>0</v>
      </c>
      <c r="CY270" s="57">
        <v>0</v>
      </c>
      <c r="CZ270" s="57">
        <v>0</v>
      </c>
      <c r="DA270" s="57">
        <v>30</v>
      </c>
      <c r="FF270" s="71" t="s">
        <v>2127</v>
      </c>
      <c r="FG270" s="71" t="s">
        <v>2513</v>
      </c>
      <c r="FH270" s="71">
        <v>259</v>
      </c>
      <c r="FI270" s="71">
        <v>306</v>
      </c>
      <c r="FJ270" s="71">
        <v>273</v>
      </c>
      <c r="FK270" s="71">
        <v>292</v>
      </c>
      <c r="FL270" s="71">
        <v>352</v>
      </c>
      <c r="FM270" s="71">
        <v>1482</v>
      </c>
      <c r="FN270" s="71"/>
      <c r="FO270" s="71" t="s">
        <v>2513</v>
      </c>
      <c r="FP270" s="71">
        <v>16</v>
      </c>
      <c r="FQ270" s="71">
        <v>12</v>
      </c>
      <c r="FR270" s="71">
        <v>3</v>
      </c>
      <c r="FS270" s="71">
        <v>2</v>
      </c>
      <c r="FT270" s="71">
        <v>0</v>
      </c>
      <c r="FU270" s="71">
        <v>33</v>
      </c>
    </row>
    <row r="271" spans="2:177">
      <c r="B271" s="65" t="s">
        <v>851</v>
      </c>
      <c r="C271" s="65" t="s">
        <v>2513</v>
      </c>
      <c r="D271" s="65">
        <v>246</v>
      </c>
      <c r="E271" s="65">
        <v>263</v>
      </c>
      <c r="F271" s="65">
        <v>413</v>
      </c>
      <c r="G271" s="65">
        <v>499</v>
      </c>
      <c r="H271" s="65">
        <v>359</v>
      </c>
      <c r="I271" s="65">
        <v>1780</v>
      </c>
      <c r="K271" s="65" t="s">
        <v>2513</v>
      </c>
      <c r="L271" s="65">
        <v>51</v>
      </c>
      <c r="M271" s="65">
        <v>7</v>
      </c>
      <c r="N271" s="65">
        <v>0</v>
      </c>
      <c r="O271" s="65">
        <v>0</v>
      </c>
      <c r="P271" s="65">
        <v>0</v>
      </c>
      <c r="Q271" s="65">
        <v>58</v>
      </c>
      <c r="BB271" s="70" t="s">
        <v>1337</v>
      </c>
      <c r="BC271" s="70" t="s">
        <v>27</v>
      </c>
      <c r="BD271" s="70">
        <v>508</v>
      </c>
      <c r="BE271" s="70">
        <v>396</v>
      </c>
      <c r="BF271" s="70">
        <v>450</v>
      </c>
      <c r="BG271" s="70">
        <v>503</v>
      </c>
      <c r="BH271" s="70">
        <v>453</v>
      </c>
      <c r="BI271" s="70">
        <v>2310</v>
      </c>
      <c r="BJ271" s="70"/>
      <c r="BK271" s="70" t="s">
        <v>27</v>
      </c>
      <c r="BL271" s="70">
        <v>16</v>
      </c>
      <c r="BM271" s="70">
        <v>0</v>
      </c>
      <c r="BN271" s="70">
        <v>0</v>
      </c>
      <c r="BO271" s="70">
        <v>0</v>
      </c>
      <c r="BP271" s="70">
        <v>0</v>
      </c>
      <c r="BQ271" s="70">
        <v>16</v>
      </c>
      <c r="BS271" s="21"/>
      <c r="CL271" s="57" t="s">
        <v>549</v>
      </c>
      <c r="CM271" s="57" t="s">
        <v>2513</v>
      </c>
      <c r="CN271" s="57">
        <v>41</v>
      </c>
      <c r="CO271" s="57">
        <v>33</v>
      </c>
      <c r="CP271" s="57">
        <v>48</v>
      </c>
      <c r="CQ271" s="57">
        <v>60</v>
      </c>
      <c r="CR271" s="57">
        <v>71</v>
      </c>
      <c r="CS271" s="57">
        <v>253</v>
      </c>
      <c r="CT271" s="57"/>
      <c r="CU271" s="57" t="s">
        <v>2513</v>
      </c>
      <c r="CV271" s="57">
        <v>17</v>
      </c>
      <c r="CW271" s="57">
        <v>0</v>
      </c>
      <c r="CX271" s="57">
        <v>0</v>
      </c>
      <c r="CY271" s="57">
        <v>0</v>
      </c>
      <c r="CZ271" s="57">
        <v>0</v>
      </c>
      <c r="DA271" s="57">
        <v>17</v>
      </c>
      <c r="FF271" s="71" t="s">
        <v>680</v>
      </c>
      <c r="FG271" s="71" t="s">
        <v>2513</v>
      </c>
      <c r="FH271" s="71">
        <v>49</v>
      </c>
      <c r="FI271" s="71">
        <v>79</v>
      </c>
      <c r="FJ271" s="71">
        <v>96</v>
      </c>
      <c r="FK271" s="71">
        <v>153</v>
      </c>
      <c r="FL271" s="71">
        <v>202</v>
      </c>
      <c r="FM271" s="71">
        <v>579</v>
      </c>
      <c r="FN271" s="71"/>
      <c r="FO271" s="71" t="s">
        <v>2513</v>
      </c>
      <c r="FP271" s="71">
        <v>3</v>
      </c>
      <c r="FQ271" s="71">
        <v>0</v>
      </c>
      <c r="FR271" s="71">
        <v>0</v>
      </c>
      <c r="FS271" s="71">
        <v>0</v>
      </c>
      <c r="FT271" s="71">
        <v>0</v>
      </c>
      <c r="FU271" s="71">
        <v>3</v>
      </c>
    </row>
    <row r="272" spans="2:177">
      <c r="B272" s="65" t="s">
        <v>853</v>
      </c>
      <c r="C272" s="65" t="s">
        <v>2513</v>
      </c>
      <c r="D272" s="65">
        <v>91</v>
      </c>
      <c r="E272" s="65">
        <v>145</v>
      </c>
      <c r="F272" s="65">
        <v>320</v>
      </c>
      <c r="G272" s="65">
        <v>469</v>
      </c>
      <c r="H272" s="65">
        <v>364</v>
      </c>
      <c r="I272" s="65">
        <v>1389</v>
      </c>
      <c r="K272" s="65" t="s">
        <v>2513</v>
      </c>
      <c r="L272" s="65">
        <v>8</v>
      </c>
      <c r="M272" s="65">
        <v>1</v>
      </c>
      <c r="N272" s="65">
        <v>0</v>
      </c>
      <c r="O272" s="65">
        <v>0</v>
      </c>
      <c r="P272" s="65">
        <v>0</v>
      </c>
      <c r="Q272" s="65">
        <v>9</v>
      </c>
      <c r="BB272" s="70" t="s">
        <v>1341</v>
      </c>
      <c r="BC272" s="70" t="s">
        <v>27</v>
      </c>
      <c r="BD272" s="70">
        <v>1523</v>
      </c>
      <c r="BE272" s="70">
        <v>660</v>
      </c>
      <c r="BF272" s="70">
        <v>927</v>
      </c>
      <c r="BG272" s="70">
        <v>1112</v>
      </c>
      <c r="BH272" s="70">
        <v>842</v>
      </c>
      <c r="BI272" s="70">
        <v>5064</v>
      </c>
      <c r="BJ272" s="70"/>
      <c r="BK272" s="70" t="s">
        <v>27</v>
      </c>
      <c r="BL272" s="70">
        <v>253</v>
      </c>
      <c r="BM272" s="70">
        <v>0</v>
      </c>
      <c r="BN272" s="70">
        <v>0</v>
      </c>
      <c r="BO272" s="70">
        <v>0</v>
      </c>
      <c r="BP272" s="70">
        <v>0</v>
      </c>
      <c r="BQ272" s="70">
        <v>253</v>
      </c>
      <c r="BS272" s="21"/>
      <c r="CL272" s="57" t="s">
        <v>391</v>
      </c>
      <c r="CM272" s="57" t="s">
        <v>2513</v>
      </c>
      <c r="CN272" s="57">
        <v>113</v>
      </c>
      <c r="CO272" s="57">
        <v>64</v>
      </c>
      <c r="CP272" s="57">
        <v>97</v>
      </c>
      <c r="CQ272" s="57">
        <v>176</v>
      </c>
      <c r="CR272" s="57">
        <v>167</v>
      </c>
      <c r="CS272" s="57">
        <v>617</v>
      </c>
      <c r="CT272" s="57"/>
      <c r="CU272" s="57" t="s">
        <v>2513</v>
      </c>
      <c r="CV272" s="57">
        <v>26</v>
      </c>
      <c r="CW272" s="57">
        <v>0</v>
      </c>
      <c r="CX272" s="57">
        <v>0</v>
      </c>
      <c r="CY272" s="57">
        <v>0</v>
      </c>
      <c r="CZ272" s="57">
        <v>0</v>
      </c>
      <c r="DA272" s="57">
        <v>26</v>
      </c>
      <c r="FF272" s="71" t="s">
        <v>2129</v>
      </c>
      <c r="FG272" s="71" t="s">
        <v>2513</v>
      </c>
      <c r="FH272" s="71">
        <v>104</v>
      </c>
      <c r="FI272" s="71">
        <v>147</v>
      </c>
      <c r="FJ272" s="71">
        <v>166</v>
      </c>
      <c r="FK272" s="71">
        <v>286</v>
      </c>
      <c r="FL272" s="71">
        <v>350</v>
      </c>
      <c r="FM272" s="71">
        <v>1053</v>
      </c>
      <c r="FN272" s="71"/>
      <c r="FO272" s="71" t="s">
        <v>2513</v>
      </c>
      <c r="FP272" s="71">
        <v>13</v>
      </c>
      <c r="FQ272" s="71">
        <v>1</v>
      </c>
      <c r="FR272" s="71">
        <v>2</v>
      </c>
      <c r="FS272" s="71">
        <v>1</v>
      </c>
      <c r="FT272" s="71">
        <v>0</v>
      </c>
      <c r="FU272" s="71">
        <v>17</v>
      </c>
    </row>
    <row r="273" spans="2:177">
      <c r="B273" s="65" t="s">
        <v>856</v>
      </c>
      <c r="C273" s="65" t="s">
        <v>2513</v>
      </c>
      <c r="D273" s="65">
        <v>75</v>
      </c>
      <c r="E273" s="65">
        <v>168</v>
      </c>
      <c r="F273" s="65">
        <v>287</v>
      </c>
      <c r="G273" s="65">
        <v>470</v>
      </c>
      <c r="H273" s="65">
        <v>403</v>
      </c>
      <c r="I273" s="65">
        <v>1403</v>
      </c>
      <c r="K273" s="65" t="s">
        <v>2513</v>
      </c>
      <c r="L273" s="65">
        <v>8</v>
      </c>
      <c r="M273" s="65">
        <v>0</v>
      </c>
      <c r="N273" s="65">
        <v>0</v>
      </c>
      <c r="O273" s="65">
        <v>0</v>
      </c>
      <c r="P273" s="65">
        <v>0</v>
      </c>
      <c r="Q273" s="65">
        <v>8</v>
      </c>
      <c r="BB273" s="70" t="s">
        <v>1344</v>
      </c>
      <c r="BC273" s="70" t="s">
        <v>27</v>
      </c>
      <c r="BD273" s="70">
        <v>39</v>
      </c>
      <c r="BE273" s="70">
        <v>48</v>
      </c>
      <c r="BF273" s="70">
        <v>112</v>
      </c>
      <c r="BG273" s="70">
        <v>160</v>
      </c>
      <c r="BH273" s="70">
        <v>209</v>
      </c>
      <c r="BI273" s="70">
        <v>568</v>
      </c>
      <c r="BJ273" s="70"/>
      <c r="BK273" s="70" t="s">
        <v>27</v>
      </c>
      <c r="BL273" s="70">
        <v>11</v>
      </c>
      <c r="BM273" s="70">
        <v>0</v>
      </c>
      <c r="BN273" s="70">
        <v>0</v>
      </c>
      <c r="BO273" s="70">
        <v>0</v>
      </c>
      <c r="BP273" s="70">
        <v>0</v>
      </c>
      <c r="BQ273" s="70">
        <v>11</v>
      </c>
      <c r="BS273" s="21"/>
      <c r="CL273" s="57" t="s">
        <v>396</v>
      </c>
      <c r="CM273" s="57" t="s">
        <v>2513</v>
      </c>
      <c r="CN273" s="57">
        <v>103</v>
      </c>
      <c r="CO273" s="57">
        <v>37</v>
      </c>
      <c r="CP273" s="57">
        <v>116</v>
      </c>
      <c r="CQ273" s="57">
        <v>107</v>
      </c>
      <c r="CR273" s="57">
        <v>111</v>
      </c>
      <c r="CS273" s="57">
        <v>474</v>
      </c>
      <c r="CT273" s="57"/>
      <c r="CU273" s="57" t="s">
        <v>2513</v>
      </c>
      <c r="CV273" s="57">
        <v>24</v>
      </c>
      <c r="CW273" s="57">
        <v>0</v>
      </c>
      <c r="CX273" s="57">
        <v>0</v>
      </c>
      <c r="CY273" s="57">
        <v>0</v>
      </c>
      <c r="CZ273" s="57">
        <v>0</v>
      </c>
      <c r="DA273" s="57">
        <v>24</v>
      </c>
      <c r="FF273" s="71" t="s">
        <v>2134</v>
      </c>
      <c r="FG273" s="71" t="s">
        <v>2513</v>
      </c>
      <c r="FH273" s="71">
        <v>164</v>
      </c>
      <c r="FI273" s="71">
        <v>238</v>
      </c>
      <c r="FJ273" s="71">
        <v>248</v>
      </c>
      <c r="FK273" s="71">
        <v>358</v>
      </c>
      <c r="FL273" s="71">
        <v>520</v>
      </c>
      <c r="FM273" s="71">
        <v>1528</v>
      </c>
      <c r="FN273" s="71"/>
      <c r="FO273" s="71" t="s">
        <v>2513</v>
      </c>
      <c r="FP273" s="71">
        <v>26</v>
      </c>
      <c r="FQ273" s="71">
        <v>10</v>
      </c>
      <c r="FR273" s="71">
        <v>4</v>
      </c>
      <c r="FS273" s="71">
        <v>0</v>
      </c>
      <c r="FT273" s="71">
        <v>3</v>
      </c>
      <c r="FU273" s="71">
        <v>43</v>
      </c>
    </row>
    <row r="274" spans="2:177">
      <c r="B274" s="65" t="s">
        <v>859</v>
      </c>
      <c r="C274" s="65" t="s">
        <v>2513</v>
      </c>
      <c r="D274" s="65">
        <v>107</v>
      </c>
      <c r="E274" s="65">
        <v>229</v>
      </c>
      <c r="F274" s="65">
        <v>384</v>
      </c>
      <c r="G274" s="65">
        <v>534</v>
      </c>
      <c r="H274" s="65">
        <v>374</v>
      </c>
      <c r="I274" s="65">
        <v>1628</v>
      </c>
      <c r="K274" s="65" t="s">
        <v>2513</v>
      </c>
      <c r="L274" s="65">
        <v>19</v>
      </c>
      <c r="M274" s="65">
        <v>2</v>
      </c>
      <c r="N274" s="65">
        <v>4</v>
      </c>
      <c r="O274" s="65">
        <v>0</v>
      </c>
      <c r="P274" s="65">
        <v>0</v>
      </c>
      <c r="Q274" s="65">
        <v>25</v>
      </c>
      <c r="BB274" s="70" t="s">
        <v>1347</v>
      </c>
      <c r="BC274" s="70" t="s">
        <v>27</v>
      </c>
      <c r="BD274" s="70">
        <v>480</v>
      </c>
      <c r="BE274" s="70">
        <v>411</v>
      </c>
      <c r="BF274" s="70">
        <v>680</v>
      </c>
      <c r="BG274" s="70">
        <v>873</v>
      </c>
      <c r="BH274" s="70">
        <v>803</v>
      </c>
      <c r="BI274" s="70">
        <v>3247</v>
      </c>
      <c r="BJ274" s="70"/>
      <c r="BK274" s="70" t="s">
        <v>27</v>
      </c>
      <c r="BL274" s="70">
        <v>44</v>
      </c>
      <c r="BM274" s="70">
        <v>0</v>
      </c>
      <c r="BN274" s="70">
        <v>0</v>
      </c>
      <c r="BO274" s="70">
        <v>0</v>
      </c>
      <c r="BP274" s="70">
        <v>0</v>
      </c>
      <c r="BQ274" s="70">
        <v>44</v>
      </c>
      <c r="BS274" s="21"/>
      <c r="CL274" s="57" t="s">
        <v>394</v>
      </c>
      <c r="CM274" s="57" t="s">
        <v>2513</v>
      </c>
      <c r="CN274" s="57">
        <v>76</v>
      </c>
      <c r="CO274" s="57">
        <v>59</v>
      </c>
      <c r="CP274" s="57">
        <v>115</v>
      </c>
      <c r="CQ274" s="57">
        <v>160</v>
      </c>
      <c r="CR274" s="57">
        <v>147</v>
      </c>
      <c r="CS274" s="57">
        <v>557</v>
      </c>
      <c r="CT274" s="57"/>
      <c r="CU274" s="57" t="s">
        <v>2513</v>
      </c>
      <c r="CV274" s="57">
        <v>18</v>
      </c>
      <c r="CW274" s="57">
        <v>0</v>
      </c>
      <c r="CX274" s="57">
        <v>0</v>
      </c>
      <c r="CY274" s="57">
        <v>0</v>
      </c>
      <c r="CZ274" s="57">
        <v>0</v>
      </c>
      <c r="DA274" s="57">
        <v>18</v>
      </c>
    </row>
    <row r="275" spans="2:177">
      <c r="B275" s="65" t="s">
        <v>863</v>
      </c>
      <c r="C275" s="65" t="s">
        <v>2513</v>
      </c>
      <c r="D275" s="65">
        <v>114</v>
      </c>
      <c r="E275" s="65">
        <v>272</v>
      </c>
      <c r="F275" s="65">
        <v>518</v>
      </c>
      <c r="G275" s="65">
        <v>673</v>
      </c>
      <c r="H275" s="65">
        <v>478</v>
      </c>
      <c r="I275" s="65">
        <v>2055</v>
      </c>
      <c r="K275" s="65" t="s">
        <v>2513</v>
      </c>
      <c r="L275" s="65">
        <v>14</v>
      </c>
      <c r="M275" s="65">
        <v>0</v>
      </c>
      <c r="N275" s="65">
        <v>0</v>
      </c>
      <c r="O275" s="65">
        <v>0</v>
      </c>
      <c r="P275" s="65">
        <v>0</v>
      </c>
      <c r="Q275" s="65">
        <v>14</v>
      </c>
      <c r="BB275" s="70" t="s">
        <v>1350</v>
      </c>
      <c r="BC275" s="70" t="s">
        <v>27</v>
      </c>
      <c r="BD275" s="70">
        <v>123</v>
      </c>
      <c r="BE275" s="70">
        <v>92</v>
      </c>
      <c r="BF275" s="70">
        <v>165</v>
      </c>
      <c r="BG275" s="70">
        <v>263</v>
      </c>
      <c r="BH275" s="70">
        <v>232</v>
      </c>
      <c r="BI275" s="70">
        <v>875</v>
      </c>
      <c r="BJ275" s="70"/>
      <c r="BK275" s="70" t="s">
        <v>27</v>
      </c>
      <c r="BL275" s="70">
        <v>46</v>
      </c>
      <c r="BM275" s="70">
        <v>0</v>
      </c>
      <c r="BN275" s="70">
        <v>0</v>
      </c>
      <c r="BO275" s="70">
        <v>0</v>
      </c>
      <c r="BP275" s="70">
        <v>0</v>
      </c>
      <c r="BQ275" s="70">
        <v>46</v>
      </c>
      <c r="BS275" s="21"/>
      <c r="CL275" s="57" t="s">
        <v>615</v>
      </c>
      <c r="CM275" s="57" t="s">
        <v>2513</v>
      </c>
      <c r="CN275" s="57">
        <v>1172</v>
      </c>
      <c r="CO275" s="57">
        <v>812</v>
      </c>
      <c r="CP275" s="57">
        <v>736</v>
      </c>
      <c r="CQ275" s="57">
        <v>837</v>
      </c>
      <c r="CR275" s="57">
        <v>649</v>
      </c>
      <c r="CS275" s="57">
        <v>4206</v>
      </c>
      <c r="CT275" s="57"/>
      <c r="CU275" s="57" t="s">
        <v>2513</v>
      </c>
      <c r="CV275" s="57">
        <v>256</v>
      </c>
      <c r="CW275" s="57">
        <v>0</v>
      </c>
      <c r="CX275" s="57">
        <v>0</v>
      </c>
      <c r="CY275" s="57">
        <v>0</v>
      </c>
      <c r="CZ275" s="57">
        <v>0</v>
      </c>
      <c r="DA275" s="57">
        <v>256</v>
      </c>
    </row>
    <row r="276" spans="2:177">
      <c r="B276" s="65" t="s">
        <v>866</v>
      </c>
      <c r="C276" s="65" t="s">
        <v>2513</v>
      </c>
      <c r="D276" s="65">
        <v>92</v>
      </c>
      <c r="E276" s="65">
        <v>249</v>
      </c>
      <c r="F276" s="65">
        <v>474</v>
      </c>
      <c r="G276" s="65">
        <v>639</v>
      </c>
      <c r="H276" s="65">
        <v>484</v>
      </c>
      <c r="I276" s="65">
        <v>1938</v>
      </c>
      <c r="K276" s="65" t="s">
        <v>2513</v>
      </c>
      <c r="L276" s="65">
        <v>16</v>
      </c>
      <c r="M276" s="65">
        <v>1</v>
      </c>
      <c r="N276" s="65">
        <v>1</v>
      </c>
      <c r="O276" s="65">
        <v>1</v>
      </c>
      <c r="P276" s="65">
        <v>0</v>
      </c>
      <c r="Q276" s="65">
        <v>19</v>
      </c>
      <c r="BB276" s="70" t="s">
        <v>1356</v>
      </c>
      <c r="BC276" s="70" t="s">
        <v>27</v>
      </c>
      <c r="BD276" s="70">
        <v>597</v>
      </c>
      <c r="BE276" s="70">
        <v>387</v>
      </c>
      <c r="BF276" s="70">
        <v>506</v>
      </c>
      <c r="BG276" s="70">
        <v>601</v>
      </c>
      <c r="BH276" s="70">
        <v>460</v>
      </c>
      <c r="BI276" s="70">
        <v>2551</v>
      </c>
      <c r="BJ276" s="70"/>
      <c r="BK276" s="70" t="s">
        <v>27</v>
      </c>
      <c r="BL276" s="70">
        <v>120</v>
      </c>
      <c r="BM276" s="70">
        <v>0</v>
      </c>
      <c r="BN276" s="70">
        <v>0</v>
      </c>
      <c r="BO276" s="70">
        <v>0</v>
      </c>
      <c r="BP276" s="70">
        <v>0</v>
      </c>
      <c r="BQ276" s="70">
        <v>120</v>
      </c>
      <c r="BS276" s="21"/>
      <c r="CL276" s="57" t="s">
        <v>554</v>
      </c>
      <c r="CM276" s="57" t="s">
        <v>2513</v>
      </c>
      <c r="CN276" s="57">
        <v>57</v>
      </c>
      <c r="CO276" s="57">
        <v>92</v>
      </c>
      <c r="CP276" s="57">
        <v>208</v>
      </c>
      <c r="CQ276" s="57">
        <v>306</v>
      </c>
      <c r="CR276" s="57">
        <v>292</v>
      </c>
      <c r="CS276" s="57">
        <v>955</v>
      </c>
      <c r="CT276" s="57"/>
      <c r="CU276" s="57" t="s">
        <v>2513</v>
      </c>
      <c r="CV276" s="57">
        <v>17</v>
      </c>
      <c r="CW276" s="57">
        <v>0</v>
      </c>
      <c r="CX276" s="57">
        <v>0</v>
      </c>
      <c r="CY276" s="57">
        <v>0</v>
      </c>
      <c r="CZ276" s="57">
        <v>0</v>
      </c>
      <c r="DA276" s="57">
        <v>17</v>
      </c>
    </row>
    <row r="277" spans="2:177">
      <c r="B277" s="65" t="s">
        <v>869</v>
      </c>
      <c r="C277" s="65" t="s">
        <v>2513</v>
      </c>
      <c r="D277" s="65">
        <v>425</v>
      </c>
      <c r="E277" s="65">
        <v>440</v>
      </c>
      <c r="F277" s="65">
        <v>689</v>
      </c>
      <c r="G277" s="65">
        <v>743</v>
      </c>
      <c r="H277" s="65">
        <v>521</v>
      </c>
      <c r="I277" s="65">
        <v>2818</v>
      </c>
      <c r="K277" s="65" t="s">
        <v>2513</v>
      </c>
      <c r="L277" s="65">
        <v>28</v>
      </c>
      <c r="M277" s="65">
        <v>0</v>
      </c>
      <c r="N277" s="65">
        <v>0</v>
      </c>
      <c r="O277" s="65">
        <v>0</v>
      </c>
      <c r="P277" s="65">
        <v>0</v>
      </c>
      <c r="Q277" s="65">
        <v>28</v>
      </c>
      <c r="BB277" s="70" t="s">
        <v>1359</v>
      </c>
      <c r="BC277" s="70" t="s">
        <v>27</v>
      </c>
      <c r="BD277" s="70">
        <v>165</v>
      </c>
      <c r="BE277" s="70">
        <v>73</v>
      </c>
      <c r="BF277" s="70">
        <v>126</v>
      </c>
      <c r="BG277" s="70">
        <v>211</v>
      </c>
      <c r="BH277" s="70">
        <v>206</v>
      </c>
      <c r="BI277" s="70">
        <v>781</v>
      </c>
      <c r="BJ277" s="70"/>
      <c r="BK277" s="70" t="s">
        <v>27</v>
      </c>
      <c r="BL277" s="70">
        <v>33</v>
      </c>
      <c r="BM277" s="70">
        <v>0</v>
      </c>
      <c r="BN277" s="70">
        <v>0</v>
      </c>
      <c r="BO277" s="70">
        <v>0</v>
      </c>
      <c r="BP277" s="70">
        <v>0</v>
      </c>
      <c r="BQ277" s="70">
        <v>33</v>
      </c>
      <c r="BS277" s="21"/>
      <c r="CL277" s="57" t="s">
        <v>585</v>
      </c>
      <c r="CM277" s="57" t="s">
        <v>2513</v>
      </c>
      <c r="CN277" s="57">
        <v>62</v>
      </c>
      <c r="CO277" s="57">
        <v>32</v>
      </c>
      <c r="CP277" s="57">
        <v>56</v>
      </c>
      <c r="CQ277" s="57">
        <v>97</v>
      </c>
      <c r="CR277" s="57">
        <v>92</v>
      </c>
      <c r="CS277" s="57">
        <v>339</v>
      </c>
      <c r="CT277" s="57"/>
      <c r="CU277" s="57" t="s">
        <v>2513</v>
      </c>
      <c r="CV277" s="57">
        <v>20</v>
      </c>
      <c r="CW277" s="57">
        <v>0</v>
      </c>
      <c r="CX277" s="57">
        <v>0</v>
      </c>
      <c r="CY277" s="57">
        <v>0</v>
      </c>
      <c r="CZ277" s="57">
        <v>0</v>
      </c>
      <c r="DA277" s="57">
        <v>20</v>
      </c>
    </row>
    <row r="278" spans="2:177">
      <c r="B278" s="65" t="s">
        <v>877</v>
      </c>
      <c r="C278" s="65" t="s">
        <v>2513</v>
      </c>
      <c r="D278" s="65">
        <v>279</v>
      </c>
      <c r="E278" s="65">
        <v>415</v>
      </c>
      <c r="F278" s="65">
        <v>597</v>
      </c>
      <c r="G278" s="65">
        <v>661</v>
      </c>
      <c r="H278" s="65">
        <v>504</v>
      </c>
      <c r="I278" s="65">
        <v>2456</v>
      </c>
      <c r="K278" s="65" t="s">
        <v>2513</v>
      </c>
      <c r="L278" s="65">
        <v>19</v>
      </c>
      <c r="M278" s="65">
        <v>0</v>
      </c>
      <c r="N278" s="65">
        <v>0</v>
      </c>
      <c r="O278" s="65">
        <v>0</v>
      </c>
      <c r="P278" s="65">
        <v>0</v>
      </c>
      <c r="Q278" s="65">
        <v>19</v>
      </c>
      <c r="BB278" s="70" t="s">
        <v>1362</v>
      </c>
      <c r="BC278" s="70" t="s">
        <v>27</v>
      </c>
      <c r="BD278" s="70">
        <v>97</v>
      </c>
      <c r="BE278" s="70">
        <v>53</v>
      </c>
      <c r="BF278" s="70">
        <v>111</v>
      </c>
      <c r="BG278" s="70">
        <v>177</v>
      </c>
      <c r="BH278" s="70">
        <v>152</v>
      </c>
      <c r="BI278" s="70">
        <v>590</v>
      </c>
      <c r="BJ278" s="70"/>
      <c r="BK278" s="70" t="s">
        <v>27</v>
      </c>
      <c r="BL278" s="70">
        <v>21</v>
      </c>
      <c r="BM278" s="70">
        <v>0</v>
      </c>
      <c r="BN278" s="70">
        <v>0</v>
      </c>
      <c r="BO278" s="70">
        <v>0</v>
      </c>
      <c r="BP278" s="70">
        <v>0</v>
      </c>
      <c r="BQ278" s="70">
        <v>21</v>
      </c>
      <c r="BS278" s="21"/>
      <c r="CL278" s="57" t="s">
        <v>608</v>
      </c>
      <c r="CM278" s="57" t="s">
        <v>2513</v>
      </c>
      <c r="CN278" s="57">
        <v>120</v>
      </c>
      <c r="CO278" s="57">
        <v>158</v>
      </c>
      <c r="CP278" s="57">
        <v>304</v>
      </c>
      <c r="CQ278" s="57">
        <v>386</v>
      </c>
      <c r="CR278" s="57">
        <v>367</v>
      </c>
      <c r="CS278" s="57">
        <v>1335</v>
      </c>
      <c r="CT278" s="57"/>
      <c r="CU278" s="57" t="s">
        <v>2513</v>
      </c>
      <c r="CV278" s="57">
        <v>32</v>
      </c>
      <c r="CW278" s="57">
        <v>1</v>
      </c>
      <c r="CX278" s="57">
        <v>0</v>
      </c>
      <c r="CY278" s="57">
        <v>0</v>
      </c>
      <c r="CZ278" s="57">
        <v>0</v>
      </c>
      <c r="DA278" s="57">
        <v>33</v>
      </c>
    </row>
    <row r="279" spans="2:177">
      <c r="B279" s="65" t="s">
        <v>880</v>
      </c>
      <c r="C279" s="65" t="s">
        <v>2513</v>
      </c>
      <c r="D279" s="65">
        <v>214</v>
      </c>
      <c r="E279" s="65">
        <v>287</v>
      </c>
      <c r="F279" s="65">
        <v>426</v>
      </c>
      <c r="G279" s="65">
        <v>529</v>
      </c>
      <c r="H279" s="65">
        <v>388</v>
      </c>
      <c r="I279" s="65">
        <v>1844</v>
      </c>
      <c r="K279" s="65" t="s">
        <v>2513</v>
      </c>
      <c r="L279" s="65">
        <v>20</v>
      </c>
      <c r="M279" s="65">
        <v>0</v>
      </c>
      <c r="N279" s="65">
        <v>0</v>
      </c>
      <c r="O279" s="65">
        <v>0</v>
      </c>
      <c r="P279" s="65">
        <v>0</v>
      </c>
      <c r="Q279" s="65">
        <v>20</v>
      </c>
      <c r="BB279" s="70" t="s">
        <v>1367</v>
      </c>
      <c r="BC279" s="70" t="s">
        <v>27</v>
      </c>
      <c r="BD279" s="70">
        <v>70</v>
      </c>
      <c r="BE279" s="70">
        <v>58</v>
      </c>
      <c r="BF279" s="70">
        <v>102</v>
      </c>
      <c r="BG279" s="70">
        <v>158</v>
      </c>
      <c r="BH279" s="70">
        <v>162</v>
      </c>
      <c r="BI279" s="70">
        <v>550</v>
      </c>
      <c r="BJ279" s="70"/>
      <c r="BK279" s="70" t="s">
        <v>27</v>
      </c>
      <c r="BL279" s="70">
        <v>19</v>
      </c>
      <c r="BM279" s="70">
        <v>0</v>
      </c>
      <c r="BN279" s="70">
        <v>0</v>
      </c>
      <c r="BO279" s="70">
        <v>0</v>
      </c>
      <c r="BP279" s="70">
        <v>0</v>
      </c>
      <c r="BQ279" s="70">
        <v>19</v>
      </c>
      <c r="BS279" s="21"/>
      <c r="CL279" s="57" t="s">
        <v>588</v>
      </c>
      <c r="CM279" s="57" t="s">
        <v>2513</v>
      </c>
      <c r="CN279" s="57">
        <v>91</v>
      </c>
      <c r="CO279" s="57">
        <v>137</v>
      </c>
      <c r="CP279" s="57">
        <v>256</v>
      </c>
      <c r="CQ279" s="57">
        <v>399</v>
      </c>
      <c r="CR279" s="57">
        <v>342</v>
      </c>
      <c r="CS279" s="57">
        <v>1225</v>
      </c>
      <c r="CT279" s="57"/>
      <c r="CU279" s="57" t="s">
        <v>2513</v>
      </c>
      <c r="CV279" s="57">
        <v>17</v>
      </c>
      <c r="CW279" s="57">
        <v>0</v>
      </c>
      <c r="CX279" s="57">
        <v>0</v>
      </c>
      <c r="CY279" s="57">
        <v>0</v>
      </c>
      <c r="CZ279" s="57">
        <v>0</v>
      </c>
      <c r="DA279" s="57">
        <v>17</v>
      </c>
    </row>
    <row r="280" spans="2:177">
      <c r="B280" s="65" t="s">
        <v>885</v>
      </c>
      <c r="C280" s="65" t="s">
        <v>2513</v>
      </c>
      <c r="D280" s="65">
        <v>286</v>
      </c>
      <c r="E280" s="65">
        <v>321</v>
      </c>
      <c r="F280" s="65">
        <v>477</v>
      </c>
      <c r="G280" s="65">
        <v>567</v>
      </c>
      <c r="H280" s="65">
        <v>488</v>
      </c>
      <c r="I280" s="65">
        <v>2139</v>
      </c>
      <c r="K280" s="65" t="s">
        <v>2513</v>
      </c>
      <c r="L280" s="65">
        <v>21</v>
      </c>
      <c r="M280" s="65">
        <v>0</v>
      </c>
      <c r="N280" s="65">
        <v>0</v>
      </c>
      <c r="O280" s="65">
        <v>0</v>
      </c>
      <c r="P280" s="65">
        <v>0</v>
      </c>
      <c r="Q280" s="65">
        <v>21</v>
      </c>
      <c r="BB280" s="70" t="s">
        <v>1372</v>
      </c>
      <c r="BC280" s="70" t="s">
        <v>27</v>
      </c>
      <c r="BD280" s="70">
        <v>48</v>
      </c>
      <c r="BE280" s="70">
        <v>39</v>
      </c>
      <c r="BF280" s="70">
        <v>76</v>
      </c>
      <c r="BG280" s="70">
        <v>159</v>
      </c>
      <c r="BH280" s="70">
        <v>177</v>
      </c>
      <c r="BI280" s="70">
        <v>499</v>
      </c>
      <c r="BJ280" s="70"/>
      <c r="BK280" s="70" t="s">
        <v>27</v>
      </c>
      <c r="BL280" s="70">
        <v>19</v>
      </c>
      <c r="BM280" s="70">
        <v>0</v>
      </c>
      <c r="BN280" s="70">
        <v>0</v>
      </c>
      <c r="BO280" s="70">
        <v>0</v>
      </c>
      <c r="BP280" s="70">
        <v>0</v>
      </c>
      <c r="BQ280" s="70">
        <v>19</v>
      </c>
      <c r="BS280" s="21"/>
      <c r="CL280" s="57" t="s">
        <v>590</v>
      </c>
      <c r="CM280" s="57" t="s">
        <v>2513</v>
      </c>
      <c r="CN280" s="57">
        <v>816</v>
      </c>
      <c r="CO280" s="57">
        <v>496</v>
      </c>
      <c r="CP280" s="57">
        <v>521</v>
      </c>
      <c r="CQ280" s="57">
        <v>611</v>
      </c>
      <c r="CR280" s="57">
        <v>519</v>
      </c>
      <c r="CS280" s="57">
        <v>2963</v>
      </c>
      <c r="CT280" s="57"/>
      <c r="CU280" s="57" t="s">
        <v>2513</v>
      </c>
      <c r="CV280" s="57">
        <v>273</v>
      </c>
      <c r="CW280" s="57">
        <v>3</v>
      </c>
      <c r="CX280" s="57">
        <v>0</v>
      </c>
      <c r="CY280" s="57">
        <v>0</v>
      </c>
      <c r="CZ280" s="57">
        <v>0</v>
      </c>
      <c r="DA280" s="57">
        <v>276</v>
      </c>
    </row>
    <row r="281" spans="2:177">
      <c r="B281" s="65" t="s">
        <v>891</v>
      </c>
      <c r="C281" s="65" t="s">
        <v>2513</v>
      </c>
      <c r="D281" s="65">
        <v>255</v>
      </c>
      <c r="E281" s="65">
        <v>310</v>
      </c>
      <c r="F281" s="65">
        <v>367</v>
      </c>
      <c r="G281" s="65">
        <v>401</v>
      </c>
      <c r="H281" s="65">
        <v>324</v>
      </c>
      <c r="I281" s="65">
        <v>1657</v>
      </c>
      <c r="K281" s="65" t="s">
        <v>2513</v>
      </c>
      <c r="L281" s="65">
        <v>50</v>
      </c>
      <c r="M281" s="65">
        <v>7</v>
      </c>
      <c r="N281" s="65">
        <v>2</v>
      </c>
      <c r="O281" s="65">
        <v>2</v>
      </c>
      <c r="P281" s="65">
        <v>1</v>
      </c>
      <c r="Q281" s="65">
        <v>62</v>
      </c>
      <c r="BB281" s="70" t="s">
        <v>1376</v>
      </c>
      <c r="BC281" s="70" t="s">
        <v>27</v>
      </c>
      <c r="BD281" s="70">
        <v>434</v>
      </c>
      <c r="BE281" s="70">
        <v>353</v>
      </c>
      <c r="BF281" s="70">
        <v>378</v>
      </c>
      <c r="BG281" s="70">
        <v>420</v>
      </c>
      <c r="BH281" s="70">
        <v>390</v>
      </c>
      <c r="BI281" s="70">
        <v>1975</v>
      </c>
      <c r="BJ281" s="70"/>
      <c r="BK281" s="70" t="s">
        <v>27</v>
      </c>
      <c r="BL281" s="70">
        <v>20</v>
      </c>
      <c r="BM281" s="70">
        <v>0</v>
      </c>
      <c r="BN281" s="70">
        <v>0</v>
      </c>
      <c r="BO281" s="70">
        <v>0</v>
      </c>
      <c r="BP281" s="70">
        <v>0</v>
      </c>
      <c r="BQ281" s="70">
        <v>20</v>
      </c>
      <c r="BS281" s="21"/>
    </row>
    <row r="282" spans="2:177">
      <c r="B282" s="65" t="s">
        <v>901</v>
      </c>
      <c r="C282" s="65" t="s">
        <v>2513</v>
      </c>
      <c r="D282" s="65">
        <v>169</v>
      </c>
      <c r="E282" s="65">
        <v>197</v>
      </c>
      <c r="F282" s="65">
        <v>209</v>
      </c>
      <c r="G282" s="65">
        <v>282</v>
      </c>
      <c r="H282" s="65">
        <v>304</v>
      </c>
      <c r="I282" s="65">
        <v>1161</v>
      </c>
      <c r="K282" s="65" t="s">
        <v>2513</v>
      </c>
      <c r="L282" s="65">
        <v>32</v>
      </c>
      <c r="M282" s="65">
        <v>0</v>
      </c>
      <c r="N282" s="65">
        <v>0</v>
      </c>
      <c r="O282" s="65">
        <v>0</v>
      </c>
      <c r="P282" s="65">
        <v>0</v>
      </c>
      <c r="Q282" s="65">
        <v>32</v>
      </c>
      <c r="BB282" s="70" t="s">
        <v>1380</v>
      </c>
      <c r="BC282" s="70" t="s">
        <v>27</v>
      </c>
      <c r="BD282" s="70">
        <v>169</v>
      </c>
      <c r="BE282" s="70">
        <v>162</v>
      </c>
      <c r="BF282" s="70">
        <v>301</v>
      </c>
      <c r="BG282" s="70">
        <v>381</v>
      </c>
      <c r="BH282" s="70">
        <v>277</v>
      </c>
      <c r="BI282" s="70">
        <v>1290</v>
      </c>
      <c r="BJ282" s="70"/>
      <c r="BK282" s="70" t="s">
        <v>27</v>
      </c>
      <c r="BL282" s="70">
        <v>13</v>
      </c>
      <c r="BM282" s="70">
        <v>0</v>
      </c>
      <c r="BN282" s="70">
        <v>0</v>
      </c>
      <c r="BO282" s="70">
        <v>0</v>
      </c>
      <c r="BP282" s="70">
        <v>0</v>
      </c>
      <c r="BQ282" s="70">
        <v>13</v>
      </c>
      <c r="BS282" s="21"/>
    </row>
    <row r="283" spans="2:177">
      <c r="B283" s="65" t="s">
        <v>908</v>
      </c>
      <c r="C283" s="65" t="s">
        <v>2513</v>
      </c>
      <c r="D283" s="65">
        <v>14</v>
      </c>
      <c r="E283" s="65">
        <v>56</v>
      </c>
      <c r="F283" s="65">
        <v>77</v>
      </c>
      <c r="G283" s="65">
        <v>117</v>
      </c>
      <c r="H283" s="65">
        <v>128</v>
      </c>
      <c r="I283" s="65">
        <v>392</v>
      </c>
      <c r="K283" s="65" t="s">
        <v>2513</v>
      </c>
      <c r="L283" s="65">
        <v>2</v>
      </c>
      <c r="M283" s="65">
        <v>0</v>
      </c>
      <c r="N283" s="65">
        <v>0</v>
      </c>
      <c r="O283" s="65">
        <v>0</v>
      </c>
      <c r="P283" s="65">
        <v>0</v>
      </c>
      <c r="Q283" s="65">
        <v>2</v>
      </c>
      <c r="BB283" s="70" t="s">
        <v>1385</v>
      </c>
      <c r="BC283" s="70" t="s">
        <v>27</v>
      </c>
      <c r="BD283" s="70">
        <v>91</v>
      </c>
      <c r="BE283" s="70">
        <v>112</v>
      </c>
      <c r="BF283" s="70">
        <v>180</v>
      </c>
      <c r="BG283" s="70">
        <v>226</v>
      </c>
      <c r="BH283" s="70">
        <v>187</v>
      </c>
      <c r="BI283" s="70">
        <v>796</v>
      </c>
      <c r="BJ283" s="70"/>
      <c r="BK283" s="70" t="s">
        <v>27</v>
      </c>
      <c r="BL283" s="70">
        <v>13</v>
      </c>
      <c r="BM283" s="70">
        <v>0</v>
      </c>
      <c r="BN283" s="70">
        <v>0</v>
      </c>
      <c r="BO283" s="70">
        <v>0</v>
      </c>
      <c r="BP283" s="70">
        <v>0</v>
      </c>
      <c r="BQ283" s="70">
        <v>13</v>
      </c>
      <c r="BS283" s="21"/>
    </row>
    <row r="284" spans="2:177">
      <c r="B284" s="65" t="s">
        <v>912</v>
      </c>
      <c r="C284" s="65" t="s">
        <v>2513</v>
      </c>
      <c r="D284" s="65">
        <v>67</v>
      </c>
      <c r="E284" s="65">
        <v>144</v>
      </c>
      <c r="F284" s="65">
        <v>297</v>
      </c>
      <c r="G284" s="65">
        <v>409</v>
      </c>
      <c r="H284" s="65">
        <v>257</v>
      </c>
      <c r="I284" s="65">
        <v>1174</v>
      </c>
      <c r="K284" s="65" t="s">
        <v>2513</v>
      </c>
      <c r="L284" s="65">
        <v>16</v>
      </c>
      <c r="M284" s="65">
        <v>1</v>
      </c>
      <c r="N284" s="65">
        <v>0</v>
      </c>
      <c r="O284" s="65">
        <v>1</v>
      </c>
      <c r="P284" s="65">
        <v>1</v>
      </c>
      <c r="Q284" s="65">
        <v>19</v>
      </c>
      <c r="BB284" s="70" t="s">
        <v>362</v>
      </c>
      <c r="BC284" s="70" t="s">
        <v>27</v>
      </c>
      <c r="BD284" s="70">
        <v>97</v>
      </c>
      <c r="BE284" s="70">
        <v>121</v>
      </c>
      <c r="BF284" s="70">
        <v>186</v>
      </c>
      <c r="BG284" s="70">
        <v>250</v>
      </c>
      <c r="BH284" s="70">
        <v>230</v>
      </c>
      <c r="BI284" s="70">
        <v>884</v>
      </c>
      <c r="BJ284" s="70"/>
      <c r="BK284" s="70" t="s">
        <v>27</v>
      </c>
      <c r="BL284" s="70">
        <v>13</v>
      </c>
      <c r="BM284" s="70">
        <v>0</v>
      </c>
      <c r="BN284" s="70">
        <v>0</v>
      </c>
      <c r="BO284" s="70">
        <v>0</v>
      </c>
      <c r="BP284" s="70">
        <v>0</v>
      </c>
      <c r="BQ284" s="70">
        <v>13</v>
      </c>
      <c r="BS284" s="21"/>
    </row>
    <row r="285" spans="2:177">
      <c r="B285" s="65" t="s">
        <v>919</v>
      </c>
      <c r="C285" s="65" t="s">
        <v>2513</v>
      </c>
      <c r="D285" s="65">
        <v>102</v>
      </c>
      <c r="E285" s="65">
        <v>235</v>
      </c>
      <c r="F285" s="65">
        <v>383</v>
      </c>
      <c r="G285" s="65">
        <v>494</v>
      </c>
      <c r="H285" s="65">
        <v>368</v>
      </c>
      <c r="I285" s="65">
        <v>1582</v>
      </c>
      <c r="K285" s="65" t="s">
        <v>2513</v>
      </c>
      <c r="L285" s="65">
        <v>18</v>
      </c>
      <c r="M285" s="65">
        <v>5</v>
      </c>
      <c r="N285" s="65">
        <v>2</v>
      </c>
      <c r="O285" s="65">
        <v>1</v>
      </c>
      <c r="P285" s="65">
        <v>2</v>
      </c>
      <c r="Q285" s="65">
        <v>28</v>
      </c>
      <c r="BB285" s="70" t="s">
        <v>1394</v>
      </c>
      <c r="BC285" s="70" t="s">
        <v>27</v>
      </c>
      <c r="BD285" s="70">
        <v>408</v>
      </c>
      <c r="BE285" s="70">
        <v>524</v>
      </c>
      <c r="BF285" s="70">
        <v>840</v>
      </c>
      <c r="BG285" s="70">
        <v>1051</v>
      </c>
      <c r="BH285" s="70">
        <v>834</v>
      </c>
      <c r="BI285" s="70">
        <v>3657</v>
      </c>
      <c r="BJ285" s="70"/>
      <c r="BK285" s="70" t="s">
        <v>27</v>
      </c>
      <c r="BL285" s="70">
        <v>24</v>
      </c>
      <c r="BM285" s="70">
        <v>0</v>
      </c>
      <c r="BN285" s="70">
        <v>0</v>
      </c>
      <c r="BO285" s="70">
        <v>0</v>
      </c>
      <c r="BP285" s="70">
        <v>0</v>
      </c>
      <c r="BQ285" s="70">
        <v>24</v>
      </c>
      <c r="BS285" s="21"/>
    </row>
    <row r="286" spans="2:177">
      <c r="B286" s="65" t="s">
        <v>922</v>
      </c>
      <c r="C286" s="65" t="s">
        <v>2513</v>
      </c>
      <c r="D286" s="65">
        <v>71</v>
      </c>
      <c r="E286" s="65">
        <v>161</v>
      </c>
      <c r="F286" s="65">
        <v>343</v>
      </c>
      <c r="G286" s="65">
        <v>467</v>
      </c>
      <c r="H286" s="65">
        <v>372</v>
      </c>
      <c r="I286" s="65">
        <v>1414</v>
      </c>
      <c r="K286" s="65" t="s">
        <v>2513</v>
      </c>
      <c r="L286" s="65">
        <v>10</v>
      </c>
      <c r="M286" s="65">
        <v>4</v>
      </c>
      <c r="N286" s="65">
        <v>5</v>
      </c>
      <c r="O286" s="65">
        <v>0</v>
      </c>
      <c r="P286" s="65">
        <v>1</v>
      </c>
      <c r="Q286" s="65">
        <v>20</v>
      </c>
      <c r="BB286" s="70" t="s">
        <v>470</v>
      </c>
      <c r="BC286" s="70" t="s">
        <v>27</v>
      </c>
      <c r="BD286" s="70">
        <v>35</v>
      </c>
      <c r="BE286" s="70">
        <v>60</v>
      </c>
      <c r="BF286" s="70">
        <v>109</v>
      </c>
      <c r="BG286" s="70">
        <v>183</v>
      </c>
      <c r="BH286" s="70">
        <v>158</v>
      </c>
      <c r="BI286" s="70">
        <v>545</v>
      </c>
      <c r="BJ286" s="70"/>
      <c r="BK286" s="70" t="s">
        <v>27</v>
      </c>
      <c r="BL286" s="70">
        <v>2</v>
      </c>
      <c r="BM286" s="70">
        <v>0</v>
      </c>
      <c r="BN286" s="70">
        <v>0</v>
      </c>
      <c r="BO286" s="70">
        <v>0</v>
      </c>
      <c r="BP286" s="70">
        <v>0</v>
      </c>
      <c r="BQ286" s="70">
        <v>2</v>
      </c>
      <c r="BS286" s="21"/>
    </row>
    <row r="287" spans="2:177">
      <c r="B287" s="65" t="s">
        <v>925</v>
      </c>
      <c r="C287" s="65" t="s">
        <v>2513</v>
      </c>
      <c r="D287" s="65">
        <v>245</v>
      </c>
      <c r="E287" s="65">
        <v>340</v>
      </c>
      <c r="F287" s="65">
        <v>524</v>
      </c>
      <c r="G287" s="65">
        <v>686</v>
      </c>
      <c r="H287" s="65">
        <v>514</v>
      </c>
      <c r="I287" s="65">
        <v>2309</v>
      </c>
      <c r="K287" s="65" t="s">
        <v>2513</v>
      </c>
      <c r="L287" s="65">
        <v>24</v>
      </c>
      <c r="M287" s="65">
        <v>0</v>
      </c>
      <c r="N287" s="65">
        <v>0</v>
      </c>
      <c r="O287" s="65">
        <v>0</v>
      </c>
      <c r="P287" s="65">
        <v>1</v>
      </c>
      <c r="Q287" s="65">
        <v>25</v>
      </c>
      <c r="BB287" s="70" t="s">
        <v>1404</v>
      </c>
      <c r="BC287" s="70" t="s">
        <v>27</v>
      </c>
      <c r="BD287" s="70">
        <v>167</v>
      </c>
      <c r="BE287" s="70">
        <v>237</v>
      </c>
      <c r="BF287" s="70">
        <v>323</v>
      </c>
      <c r="BG287" s="70">
        <v>409</v>
      </c>
      <c r="BH287" s="70">
        <v>332</v>
      </c>
      <c r="BI287" s="70">
        <v>1468</v>
      </c>
      <c r="BJ287" s="70"/>
      <c r="BK287" s="70" t="s">
        <v>27</v>
      </c>
      <c r="BL287" s="70">
        <v>24</v>
      </c>
      <c r="BM287" s="70">
        <v>2</v>
      </c>
      <c r="BN287" s="70">
        <v>0</v>
      </c>
      <c r="BO287" s="70">
        <v>0</v>
      </c>
      <c r="BP287" s="70">
        <v>0</v>
      </c>
      <c r="BQ287" s="70">
        <v>26</v>
      </c>
      <c r="BS287" s="21"/>
    </row>
    <row r="288" spans="2:177">
      <c r="B288" s="65" t="s">
        <v>930</v>
      </c>
      <c r="C288" s="65" t="s">
        <v>2513</v>
      </c>
      <c r="D288" s="65">
        <v>426</v>
      </c>
      <c r="E288" s="65">
        <v>500</v>
      </c>
      <c r="F288" s="65">
        <v>513</v>
      </c>
      <c r="G288" s="65">
        <v>560</v>
      </c>
      <c r="H288" s="65">
        <v>373</v>
      </c>
      <c r="I288" s="65">
        <v>2372</v>
      </c>
      <c r="K288" s="65" t="s">
        <v>2513</v>
      </c>
      <c r="L288" s="65">
        <v>34</v>
      </c>
      <c r="M288" s="65">
        <v>2</v>
      </c>
      <c r="N288" s="65">
        <v>2</v>
      </c>
      <c r="O288" s="65">
        <v>0</v>
      </c>
      <c r="P288" s="65">
        <v>0</v>
      </c>
      <c r="Q288" s="65">
        <v>38</v>
      </c>
      <c r="BB288" s="70" t="s">
        <v>472</v>
      </c>
      <c r="BC288" s="70" t="s">
        <v>27</v>
      </c>
      <c r="BD288" s="70">
        <v>696</v>
      </c>
      <c r="BE288" s="70">
        <v>444</v>
      </c>
      <c r="BF288" s="70">
        <v>495</v>
      </c>
      <c r="BG288" s="70">
        <v>464</v>
      </c>
      <c r="BH288" s="70">
        <v>341</v>
      </c>
      <c r="BI288" s="70">
        <v>2440</v>
      </c>
      <c r="BJ288" s="70"/>
      <c r="BK288" s="70" t="s">
        <v>27</v>
      </c>
      <c r="BL288" s="70">
        <v>128</v>
      </c>
      <c r="BM288" s="70">
        <v>0</v>
      </c>
      <c r="BN288" s="70">
        <v>0</v>
      </c>
      <c r="BO288" s="70">
        <v>0</v>
      </c>
      <c r="BP288" s="70">
        <v>0</v>
      </c>
      <c r="BQ288" s="70">
        <v>128</v>
      </c>
      <c r="BS288" s="21"/>
    </row>
    <row r="289" spans="2:72">
      <c r="B289" s="65" t="s">
        <v>935</v>
      </c>
      <c r="C289" s="65" t="s">
        <v>2513</v>
      </c>
      <c r="D289" s="65">
        <v>162</v>
      </c>
      <c r="E289" s="65">
        <v>230</v>
      </c>
      <c r="F289" s="65">
        <v>251</v>
      </c>
      <c r="G289" s="65">
        <v>312</v>
      </c>
      <c r="H289" s="65">
        <v>236</v>
      </c>
      <c r="I289" s="65">
        <v>1191</v>
      </c>
      <c r="K289" s="65" t="s">
        <v>2513</v>
      </c>
      <c r="L289" s="65">
        <v>20</v>
      </c>
      <c r="M289" s="65">
        <v>6</v>
      </c>
      <c r="N289" s="65">
        <v>2</v>
      </c>
      <c r="O289" s="65">
        <v>2</v>
      </c>
      <c r="P289" s="65">
        <v>1</v>
      </c>
      <c r="Q289" s="65">
        <v>31</v>
      </c>
      <c r="BB289" s="70" t="s">
        <v>1412</v>
      </c>
      <c r="BC289" s="70" t="s">
        <v>27</v>
      </c>
      <c r="BD289" s="70">
        <v>81</v>
      </c>
      <c r="BE289" s="70">
        <v>108</v>
      </c>
      <c r="BF289" s="70">
        <v>240</v>
      </c>
      <c r="BG289" s="70">
        <v>281</v>
      </c>
      <c r="BH289" s="70">
        <v>216</v>
      </c>
      <c r="BI289" s="70">
        <v>926</v>
      </c>
      <c r="BJ289" s="70"/>
      <c r="BK289" s="70" t="s">
        <v>27</v>
      </c>
      <c r="BL289" s="70">
        <v>5</v>
      </c>
      <c r="BM289" s="70">
        <v>0</v>
      </c>
      <c r="BN289" s="70">
        <v>0</v>
      </c>
      <c r="BO289" s="70">
        <v>0</v>
      </c>
      <c r="BP289" s="70">
        <v>0</v>
      </c>
      <c r="BQ289" s="70">
        <v>5</v>
      </c>
      <c r="BS289" s="21"/>
    </row>
    <row r="290" spans="2:72">
      <c r="B290" s="65" t="s">
        <v>940</v>
      </c>
      <c r="C290" s="65" t="s">
        <v>2513</v>
      </c>
      <c r="D290" s="65">
        <v>469</v>
      </c>
      <c r="E290" s="65">
        <v>562</v>
      </c>
      <c r="F290" s="65">
        <v>823</v>
      </c>
      <c r="G290" s="65">
        <v>941</v>
      </c>
      <c r="H290" s="65">
        <v>740</v>
      </c>
      <c r="I290" s="65">
        <v>3535</v>
      </c>
      <c r="K290" s="65" t="s">
        <v>2513</v>
      </c>
      <c r="L290" s="65">
        <v>35</v>
      </c>
      <c r="M290" s="65">
        <v>6</v>
      </c>
      <c r="N290" s="65">
        <v>0</v>
      </c>
      <c r="O290" s="65">
        <v>2</v>
      </c>
      <c r="P290" s="65">
        <v>1</v>
      </c>
      <c r="Q290" s="65">
        <v>44</v>
      </c>
      <c r="BB290" s="70" t="s">
        <v>1418</v>
      </c>
      <c r="BC290" s="70" t="s">
        <v>27</v>
      </c>
      <c r="BD290" s="70">
        <v>108</v>
      </c>
      <c r="BE290" s="70">
        <v>83</v>
      </c>
      <c r="BF290" s="70">
        <v>172</v>
      </c>
      <c r="BG290" s="70">
        <v>248</v>
      </c>
      <c r="BH290" s="70">
        <v>204</v>
      </c>
      <c r="BI290" s="70">
        <v>815</v>
      </c>
      <c r="BJ290" s="70"/>
      <c r="BK290" s="70" t="s">
        <v>27</v>
      </c>
      <c r="BL290" s="70">
        <v>36</v>
      </c>
      <c r="BM290" s="70">
        <v>0</v>
      </c>
      <c r="BN290" s="70">
        <v>0</v>
      </c>
      <c r="BO290" s="70">
        <v>0</v>
      </c>
      <c r="BP290" s="70">
        <v>0</v>
      </c>
      <c r="BQ290" s="70">
        <v>36</v>
      </c>
      <c r="BS290" s="21"/>
    </row>
    <row r="291" spans="2:72">
      <c r="B291" s="65" t="s">
        <v>946</v>
      </c>
      <c r="C291" s="65" t="s">
        <v>2513</v>
      </c>
      <c r="D291" s="65">
        <v>302</v>
      </c>
      <c r="E291" s="65">
        <v>271</v>
      </c>
      <c r="F291" s="65">
        <v>378</v>
      </c>
      <c r="G291" s="65">
        <v>447</v>
      </c>
      <c r="H291" s="65">
        <v>360</v>
      </c>
      <c r="I291" s="65">
        <v>1758</v>
      </c>
      <c r="K291" s="65" t="s">
        <v>2513</v>
      </c>
      <c r="L291" s="65">
        <v>48</v>
      </c>
      <c r="M291" s="65">
        <v>8</v>
      </c>
      <c r="N291" s="65">
        <v>2</v>
      </c>
      <c r="O291" s="65">
        <v>0</v>
      </c>
      <c r="P291" s="65">
        <v>0</v>
      </c>
      <c r="Q291" s="65">
        <v>58</v>
      </c>
      <c r="BB291" s="70" t="s">
        <v>1424</v>
      </c>
      <c r="BC291" s="70" t="s">
        <v>27</v>
      </c>
      <c r="BD291" s="70">
        <v>400</v>
      </c>
      <c r="BE291" s="70">
        <v>480</v>
      </c>
      <c r="BF291" s="70">
        <v>764</v>
      </c>
      <c r="BG291" s="70">
        <v>688</v>
      </c>
      <c r="BH291" s="70">
        <v>575</v>
      </c>
      <c r="BI291" s="70">
        <v>2907</v>
      </c>
      <c r="BJ291" s="70"/>
      <c r="BK291" s="70" t="s">
        <v>27</v>
      </c>
      <c r="BL291" s="70">
        <v>41</v>
      </c>
      <c r="BM291" s="70">
        <v>0</v>
      </c>
      <c r="BN291" s="70">
        <v>0</v>
      </c>
      <c r="BO291" s="70">
        <v>0</v>
      </c>
      <c r="BP291" s="70">
        <v>0</v>
      </c>
      <c r="BQ291" s="70">
        <v>41</v>
      </c>
      <c r="BS291" s="21"/>
    </row>
    <row r="292" spans="2:72">
      <c r="B292" s="65" t="s">
        <v>949</v>
      </c>
      <c r="C292" s="65" t="s">
        <v>2513</v>
      </c>
      <c r="D292" s="65">
        <v>139</v>
      </c>
      <c r="E292" s="65">
        <v>196</v>
      </c>
      <c r="F292" s="65">
        <v>340</v>
      </c>
      <c r="G292" s="65">
        <v>414</v>
      </c>
      <c r="H292" s="65">
        <v>359</v>
      </c>
      <c r="I292" s="65">
        <v>1448</v>
      </c>
      <c r="K292" s="65" t="s">
        <v>2513</v>
      </c>
      <c r="L292" s="65">
        <v>24</v>
      </c>
      <c r="M292" s="65">
        <v>5</v>
      </c>
      <c r="N292" s="65">
        <v>1</v>
      </c>
      <c r="O292" s="65">
        <v>0</v>
      </c>
      <c r="P292" s="65">
        <v>0</v>
      </c>
      <c r="Q292" s="65">
        <v>30</v>
      </c>
      <c r="BB292" s="70" t="s">
        <v>473</v>
      </c>
      <c r="BC292" s="70" t="s">
        <v>27</v>
      </c>
      <c r="BD292" s="70">
        <v>195</v>
      </c>
      <c r="BE292" s="70">
        <v>176</v>
      </c>
      <c r="BF292" s="70">
        <v>260</v>
      </c>
      <c r="BG292" s="70">
        <v>299</v>
      </c>
      <c r="BH292" s="70">
        <v>223</v>
      </c>
      <c r="BI292" s="70">
        <v>1153</v>
      </c>
      <c r="BJ292" s="70"/>
      <c r="BK292" s="70" t="s">
        <v>27</v>
      </c>
      <c r="BL292" s="70">
        <v>47</v>
      </c>
      <c r="BM292" s="70">
        <v>0</v>
      </c>
      <c r="BN292" s="70">
        <v>0</v>
      </c>
      <c r="BO292" s="70">
        <v>0</v>
      </c>
      <c r="BP292" s="70">
        <v>0</v>
      </c>
      <c r="BQ292" s="70">
        <v>47</v>
      </c>
      <c r="BS292" s="21"/>
    </row>
    <row r="293" spans="2:72">
      <c r="B293" s="65" t="s">
        <v>955</v>
      </c>
      <c r="C293" s="65" t="s">
        <v>2513</v>
      </c>
      <c r="D293" s="65">
        <v>333</v>
      </c>
      <c r="E293" s="65">
        <v>532</v>
      </c>
      <c r="F293" s="65">
        <v>925</v>
      </c>
      <c r="G293" s="65">
        <v>1160</v>
      </c>
      <c r="H293" s="65">
        <v>871</v>
      </c>
      <c r="I293" s="65">
        <v>3821</v>
      </c>
      <c r="K293" s="65" t="s">
        <v>2513</v>
      </c>
      <c r="L293" s="65">
        <v>11</v>
      </c>
      <c r="M293" s="65">
        <v>0</v>
      </c>
      <c r="N293" s="65">
        <v>0</v>
      </c>
      <c r="O293" s="65">
        <v>0</v>
      </c>
      <c r="P293" s="65">
        <v>0</v>
      </c>
      <c r="Q293" s="65">
        <v>11</v>
      </c>
      <c r="BB293" s="70" t="s">
        <v>1432</v>
      </c>
      <c r="BC293" s="70" t="s">
        <v>27</v>
      </c>
      <c r="BD293" s="70">
        <v>101</v>
      </c>
      <c r="BE293" s="70">
        <v>92</v>
      </c>
      <c r="BF293" s="70">
        <v>146</v>
      </c>
      <c r="BG293" s="70">
        <v>234</v>
      </c>
      <c r="BH293" s="70">
        <v>189</v>
      </c>
      <c r="BI293" s="70">
        <v>762</v>
      </c>
      <c r="BJ293" s="70"/>
      <c r="BK293" s="70" t="s">
        <v>27</v>
      </c>
      <c r="BL293" s="70">
        <v>22</v>
      </c>
      <c r="BM293" s="70">
        <v>0</v>
      </c>
      <c r="BN293" s="70">
        <v>0</v>
      </c>
      <c r="BO293" s="70">
        <v>0</v>
      </c>
      <c r="BP293" s="70">
        <v>0</v>
      </c>
      <c r="BQ293" s="70">
        <v>22</v>
      </c>
      <c r="BS293" s="21"/>
    </row>
    <row r="294" spans="2:72">
      <c r="B294" s="65" t="s">
        <v>959</v>
      </c>
      <c r="C294" s="65" t="s">
        <v>2513</v>
      </c>
      <c r="D294" s="65">
        <v>237</v>
      </c>
      <c r="E294" s="65">
        <v>404</v>
      </c>
      <c r="F294" s="65">
        <v>806</v>
      </c>
      <c r="G294" s="65">
        <v>1091</v>
      </c>
      <c r="H294" s="65">
        <v>890</v>
      </c>
      <c r="I294" s="65">
        <v>3428</v>
      </c>
      <c r="K294" s="65" t="s">
        <v>2513</v>
      </c>
      <c r="L294" s="65">
        <v>19</v>
      </c>
      <c r="M294" s="65">
        <v>5</v>
      </c>
      <c r="N294" s="65">
        <v>0</v>
      </c>
      <c r="O294" s="65">
        <v>1</v>
      </c>
      <c r="P294" s="65">
        <v>1</v>
      </c>
      <c r="Q294" s="65">
        <v>26</v>
      </c>
      <c r="BB294" s="70" t="s">
        <v>474</v>
      </c>
      <c r="BC294" s="70" t="s">
        <v>27</v>
      </c>
      <c r="BD294" s="70">
        <v>202</v>
      </c>
      <c r="BE294" s="70">
        <v>212</v>
      </c>
      <c r="BF294" s="70">
        <v>493</v>
      </c>
      <c r="BG294" s="70">
        <v>658</v>
      </c>
      <c r="BH294" s="70">
        <v>517</v>
      </c>
      <c r="BI294" s="70">
        <v>2082</v>
      </c>
      <c r="BJ294" s="70"/>
      <c r="BK294" s="70" t="s">
        <v>27</v>
      </c>
      <c r="BL294" s="70">
        <v>32</v>
      </c>
      <c r="BM294" s="70">
        <v>0</v>
      </c>
      <c r="BN294" s="70">
        <v>0</v>
      </c>
      <c r="BO294" s="70">
        <v>0</v>
      </c>
      <c r="BP294" s="70">
        <v>0</v>
      </c>
      <c r="BQ294" s="70">
        <v>32</v>
      </c>
      <c r="BS294" s="21"/>
    </row>
    <row r="295" spans="2:72">
      <c r="B295" s="65" t="s">
        <v>962</v>
      </c>
      <c r="C295" s="65" t="s">
        <v>2513</v>
      </c>
      <c r="D295" s="65">
        <v>275</v>
      </c>
      <c r="E295" s="65">
        <v>492</v>
      </c>
      <c r="F295" s="65">
        <v>931</v>
      </c>
      <c r="G295" s="65">
        <v>1210</v>
      </c>
      <c r="H295" s="65">
        <v>1067</v>
      </c>
      <c r="I295" s="65">
        <v>3975</v>
      </c>
      <c r="K295" s="65" t="s">
        <v>2513</v>
      </c>
      <c r="L295" s="65">
        <v>20</v>
      </c>
      <c r="M295" s="65">
        <v>4</v>
      </c>
      <c r="N295" s="65">
        <v>1</v>
      </c>
      <c r="O295" s="65">
        <v>2</v>
      </c>
      <c r="P295" s="65">
        <v>0</v>
      </c>
      <c r="Q295" s="65">
        <v>27</v>
      </c>
      <c r="BB295" s="70" t="s">
        <v>1440</v>
      </c>
      <c r="BC295" s="70" t="s">
        <v>27</v>
      </c>
      <c r="BD295" s="70">
        <v>335</v>
      </c>
      <c r="BE295" s="70">
        <v>385</v>
      </c>
      <c r="BF295" s="70">
        <v>606</v>
      </c>
      <c r="BG295" s="70">
        <v>709</v>
      </c>
      <c r="BH295" s="70">
        <v>591</v>
      </c>
      <c r="BI295" s="70">
        <v>2626</v>
      </c>
      <c r="BJ295" s="70"/>
      <c r="BK295" s="70" t="s">
        <v>27</v>
      </c>
      <c r="BL295" s="70">
        <v>43</v>
      </c>
      <c r="BM295" s="70">
        <v>0</v>
      </c>
      <c r="BN295" s="70">
        <v>0</v>
      </c>
      <c r="BO295" s="70">
        <v>0</v>
      </c>
      <c r="BP295" s="70">
        <v>0</v>
      </c>
      <c r="BQ295" s="70">
        <v>43</v>
      </c>
      <c r="BS295" s="21"/>
    </row>
    <row r="296" spans="2:72">
      <c r="B296" s="65" t="s">
        <v>965</v>
      </c>
      <c r="C296" s="65" t="s">
        <v>2513</v>
      </c>
      <c r="D296" s="65">
        <v>601</v>
      </c>
      <c r="E296" s="65">
        <v>445</v>
      </c>
      <c r="F296" s="65">
        <v>795</v>
      </c>
      <c r="G296" s="65">
        <v>1085</v>
      </c>
      <c r="H296" s="65">
        <v>905</v>
      </c>
      <c r="I296" s="65">
        <v>3831</v>
      </c>
      <c r="K296" s="65" t="s">
        <v>2513</v>
      </c>
      <c r="L296" s="65">
        <v>24</v>
      </c>
      <c r="M296" s="65">
        <v>0</v>
      </c>
      <c r="N296" s="65">
        <v>0</v>
      </c>
      <c r="O296" s="65">
        <v>0</v>
      </c>
      <c r="P296" s="65">
        <v>0</v>
      </c>
      <c r="Q296" s="65">
        <v>24</v>
      </c>
      <c r="BB296" s="70" t="s">
        <v>1445</v>
      </c>
      <c r="BC296" s="70" t="s">
        <v>27</v>
      </c>
      <c r="BD296" s="70">
        <v>126</v>
      </c>
      <c r="BE296" s="70">
        <v>146</v>
      </c>
      <c r="BF296" s="70">
        <v>293</v>
      </c>
      <c r="BG296" s="70">
        <v>390</v>
      </c>
      <c r="BH296" s="70">
        <v>336</v>
      </c>
      <c r="BI296" s="70">
        <v>1291</v>
      </c>
      <c r="BJ296" s="70"/>
      <c r="BK296" s="70" t="s">
        <v>27</v>
      </c>
      <c r="BL296" s="70">
        <v>32</v>
      </c>
      <c r="BM296" s="70">
        <v>0</v>
      </c>
      <c r="BN296" s="70">
        <v>0</v>
      </c>
      <c r="BO296" s="70">
        <v>0</v>
      </c>
      <c r="BP296" s="70">
        <v>0</v>
      </c>
      <c r="BQ296" s="70">
        <v>32</v>
      </c>
      <c r="BS296" s="21"/>
    </row>
    <row r="297" spans="2:72">
      <c r="B297" s="65" t="s">
        <v>968</v>
      </c>
      <c r="C297" s="65" t="s">
        <v>2513</v>
      </c>
      <c r="D297" s="65">
        <v>13</v>
      </c>
      <c r="E297" s="65">
        <v>35</v>
      </c>
      <c r="F297" s="65">
        <v>75</v>
      </c>
      <c r="G297" s="65">
        <v>136</v>
      </c>
      <c r="H297" s="65">
        <v>143</v>
      </c>
      <c r="I297" s="65">
        <v>402</v>
      </c>
      <c r="K297" s="65" t="s">
        <v>2513</v>
      </c>
      <c r="L297" s="65">
        <v>2</v>
      </c>
      <c r="M297" s="65">
        <v>0</v>
      </c>
      <c r="N297" s="65">
        <v>0</v>
      </c>
      <c r="O297" s="65">
        <v>0</v>
      </c>
      <c r="P297" s="65">
        <v>0</v>
      </c>
      <c r="Q297" s="65">
        <v>2</v>
      </c>
      <c r="BB297" s="70" t="s">
        <v>1449</v>
      </c>
      <c r="BC297" s="70" t="s">
        <v>27</v>
      </c>
      <c r="BD297" s="70">
        <v>457</v>
      </c>
      <c r="BE297" s="70">
        <v>58</v>
      </c>
      <c r="BF297" s="70">
        <v>143</v>
      </c>
      <c r="BG297" s="70">
        <v>174</v>
      </c>
      <c r="BH297" s="70">
        <v>313</v>
      </c>
      <c r="BI297" s="70">
        <v>1145</v>
      </c>
      <c r="BJ297" s="70"/>
      <c r="BK297" s="70" t="s">
        <v>27</v>
      </c>
      <c r="BL297" s="70">
        <v>160</v>
      </c>
      <c r="BM297" s="70">
        <v>0</v>
      </c>
      <c r="BN297" s="70">
        <v>0</v>
      </c>
      <c r="BO297" s="70">
        <v>0</v>
      </c>
      <c r="BP297" s="70">
        <v>0</v>
      </c>
      <c r="BQ297" s="70">
        <v>160</v>
      </c>
      <c r="BS297" s="21"/>
    </row>
    <row r="298" spans="2:72">
      <c r="B298" s="65" t="s">
        <v>971</v>
      </c>
      <c r="C298" s="65" t="s">
        <v>2513</v>
      </c>
      <c r="D298" s="65">
        <v>53</v>
      </c>
      <c r="E298" s="65">
        <v>126</v>
      </c>
      <c r="F298" s="65">
        <v>203</v>
      </c>
      <c r="G298" s="65">
        <v>346</v>
      </c>
      <c r="H298" s="65">
        <v>266</v>
      </c>
      <c r="I298" s="65">
        <v>994</v>
      </c>
      <c r="K298" s="65" t="s">
        <v>2513</v>
      </c>
      <c r="L298" s="65">
        <v>8</v>
      </c>
      <c r="M298" s="65">
        <v>1</v>
      </c>
      <c r="N298" s="65">
        <v>0</v>
      </c>
      <c r="O298" s="65">
        <v>1</v>
      </c>
      <c r="P298" s="65">
        <v>0</v>
      </c>
      <c r="Q298" s="65">
        <v>10</v>
      </c>
      <c r="BB298" s="70" t="s">
        <v>487</v>
      </c>
      <c r="BC298" s="70" t="s">
        <v>27</v>
      </c>
      <c r="BD298" s="70">
        <v>72</v>
      </c>
      <c r="BE298" s="70">
        <v>30</v>
      </c>
      <c r="BF298" s="70">
        <v>48</v>
      </c>
      <c r="BG298" s="70">
        <v>63</v>
      </c>
      <c r="BH298" s="70">
        <v>131</v>
      </c>
      <c r="BI298" s="70">
        <v>344</v>
      </c>
      <c r="BJ298" s="70"/>
      <c r="BK298" s="70" t="s">
        <v>27</v>
      </c>
      <c r="BL298" s="70">
        <v>41</v>
      </c>
      <c r="BM298" s="70">
        <v>0</v>
      </c>
      <c r="BN298" s="70">
        <v>0</v>
      </c>
      <c r="BO298" s="70">
        <v>0</v>
      </c>
      <c r="BP298" s="70">
        <v>0</v>
      </c>
      <c r="BQ298" s="70">
        <v>41</v>
      </c>
      <c r="BS298" s="21"/>
    </row>
    <row r="299" spans="2:72">
      <c r="B299" s="65" t="s">
        <v>974</v>
      </c>
      <c r="C299" s="65" t="s">
        <v>2513</v>
      </c>
      <c r="D299" s="65">
        <v>6</v>
      </c>
      <c r="E299" s="65">
        <v>23</v>
      </c>
      <c r="F299" s="65">
        <v>31</v>
      </c>
      <c r="G299" s="65">
        <v>49</v>
      </c>
      <c r="H299" s="65">
        <v>52</v>
      </c>
      <c r="I299" s="65">
        <v>161</v>
      </c>
      <c r="K299" s="65" t="s">
        <v>2513</v>
      </c>
      <c r="L299" s="65">
        <v>2</v>
      </c>
      <c r="M299" s="65">
        <v>0</v>
      </c>
      <c r="N299" s="65">
        <v>0</v>
      </c>
      <c r="O299" s="65">
        <v>0</v>
      </c>
      <c r="P299" s="65">
        <v>0</v>
      </c>
      <c r="Q299" s="65">
        <v>2</v>
      </c>
      <c r="BB299" s="70" t="s">
        <v>1458</v>
      </c>
      <c r="BC299" s="70" t="s">
        <v>27</v>
      </c>
      <c r="BD299" s="70">
        <v>876</v>
      </c>
      <c r="BE299" s="70">
        <v>704</v>
      </c>
      <c r="BF299" s="70">
        <v>958</v>
      </c>
      <c r="BG299" s="70">
        <v>936</v>
      </c>
      <c r="BH299" s="70">
        <v>745</v>
      </c>
      <c r="BI299" s="70">
        <v>4219</v>
      </c>
      <c r="BJ299" s="70"/>
      <c r="BK299" s="70" t="s">
        <v>27</v>
      </c>
      <c r="BL299" s="70">
        <v>214</v>
      </c>
      <c r="BM299" s="70">
        <v>0</v>
      </c>
      <c r="BN299" s="70">
        <v>0</v>
      </c>
      <c r="BO299" s="70">
        <v>0</v>
      </c>
      <c r="BP299" s="70">
        <v>0</v>
      </c>
      <c r="BQ299" s="70">
        <v>214</v>
      </c>
      <c r="BS299" s="21"/>
    </row>
    <row r="300" spans="2:72">
      <c r="B300" s="65" t="s">
        <v>979</v>
      </c>
      <c r="C300" s="65" t="s">
        <v>2513</v>
      </c>
      <c r="D300" s="65">
        <v>478</v>
      </c>
      <c r="E300" s="65">
        <v>462</v>
      </c>
      <c r="F300" s="65">
        <v>526</v>
      </c>
      <c r="G300" s="65">
        <v>565</v>
      </c>
      <c r="H300" s="65">
        <v>377</v>
      </c>
      <c r="I300" s="65">
        <v>2408</v>
      </c>
      <c r="K300" s="65" t="s">
        <v>2513</v>
      </c>
      <c r="L300" s="65">
        <v>91</v>
      </c>
      <c r="M300" s="65">
        <v>0</v>
      </c>
      <c r="N300" s="65">
        <v>0</v>
      </c>
      <c r="O300" s="65">
        <v>0</v>
      </c>
      <c r="P300" s="65">
        <v>0</v>
      </c>
      <c r="Q300" s="65">
        <v>91</v>
      </c>
      <c r="BB300" s="70" t="s">
        <v>1461</v>
      </c>
      <c r="BC300" s="70" t="s">
        <v>27</v>
      </c>
      <c r="BD300" s="70">
        <v>242</v>
      </c>
      <c r="BE300" s="70">
        <v>189</v>
      </c>
      <c r="BF300" s="70">
        <v>433</v>
      </c>
      <c r="BG300" s="70">
        <v>495</v>
      </c>
      <c r="BH300" s="70">
        <v>472</v>
      </c>
      <c r="BI300" s="70">
        <v>1831</v>
      </c>
      <c r="BJ300" s="70"/>
      <c r="BK300" s="70" t="s">
        <v>27</v>
      </c>
      <c r="BL300" s="70">
        <v>56</v>
      </c>
      <c r="BM300" s="70">
        <v>0</v>
      </c>
      <c r="BN300" s="70">
        <v>0</v>
      </c>
      <c r="BO300" s="70">
        <v>0</v>
      </c>
      <c r="BP300" s="70">
        <v>0</v>
      </c>
      <c r="BQ300" s="70">
        <v>56</v>
      </c>
      <c r="BT300" s="21"/>
    </row>
    <row r="301" spans="2:72">
      <c r="B301" s="65" t="s">
        <v>985</v>
      </c>
      <c r="C301" s="65" t="s">
        <v>2513</v>
      </c>
      <c r="D301" s="65">
        <v>321</v>
      </c>
      <c r="E301" s="65">
        <v>437</v>
      </c>
      <c r="F301" s="65">
        <v>410</v>
      </c>
      <c r="G301" s="65">
        <v>423</v>
      </c>
      <c r="H301" s="65">
        <v>300</v>
      </c>
      <c r="I301" s="65">
        <v>1891</v>
      </c>
      <c r="K301" s="65" t="s">
        <v>2513</v>
      </c>
      <c r="L301" s="65">
        <v>50</v>
      </c>
      <c r="M301" s="65">
        <v>4</v>
      </c>
      <c r="N301" s="65">
        <v>2</v>
      </c>
      <c r="O301" s="65">
        <v>0</v>
      </c>
      <c r="P301" s="65">
        <v>0</v>
      </c>
      <c r="Q301" s="65">
        <v>56</v>
      </c>
      <c r="BB301" s="70" t="s">
        <v>1464</v>
      </c>
      <c r="BC301" s="70" t="s">
        <v>27</v>
      </c>
      <c r="BD301" s="70">
        <v>167</v>
      </c>
      <c r="BE301" s="70">
        <v>280</v>
      </c>
      <c r="BF301" s="70">
        <v>524</v>
      </c>
      <c r="BG301" s="70">
        <v>778</v>
      </c>
      <c r="BH301" s="70">
        <v>667</v>
      </c>
      <c r="BI301" s="70">
        <v>2416</v>
      </c>
      <c r="BJ301" s="70"/>
      <c r="BK301" s="70" t="s">
        <v>27</v>
      </c>
      <c r="BL301" s="70">
        <v>20</v>
      </c>
      <c r="BM301" s="70">
        <v>0</v>
      </c>
      <c r="BN301" s="70">
        <v>0</v>
      </c>
      <c r="BO301" s="70">
        <v>0</v>
      </c>
      <c r="BP301" s="70">
        <v>0</v>
      </c>
      <c r="BQ301" s="70">
        <v>20</v>
      </c>
      <c r="BT301" s="21"/>
    </row>
    <row r="302" spans="2:72">
      <c r="B302" s="65" t="s">
        <v>989</v>
      </c>
      <c r="C302" s="65" t="s">
        <v>2513</v>
      </c>
      <c r="D302" s="65">
        <v>862</v>
      </c>
      <c r="E302" s="65">
        <v>798</v>
      </c>
      <c r="F302" s="65">
        <v>785</v>
      </c>
      <c r="G302" s="65">
        <v>757</v>
      </c>
      <c r="H302" s="65">
        <v>509</v>
      </c>
      <c r="I302" s="65">
        <v>3711</v>
      </c>
      <c r="K302" s="65" t="s">
        <v>2513</v>
      </c>
      <c r="L302" s="65">
        <v>78</v>
      </c>
      <c r="M302" s="65">
        <v>12</v>
      </c>
      <c r="N302" s="65">
        <v>1</v>
      </c>
      <c r="O302" s="65">
        <v>0</v>
      </c>
      <c r="P302" s="65">
        <v>0</v>
      </c>
      <c r="Q302" s="65">
        <v>91</v>
      </c>
      <c r="BB302" s="70" t="s">
        <v>1467</v>
      </c>
      <c r="BC302" s="70" t="s">
        <v>27</v>
      </c>
      <c r="BD302" s="70">
        <v>156</v>
      </c>
      <c r="BE302" s="70">
        <v>135</v>
      </c>
      <c r="BF302" s="70">
        <v>289</v>
      </c>
      <c r="BG302" s="70">
        <v>412</v>
      </c>
      <c r="BH302" s="70">
        <v>387</v>
      </c>
      <c r="BI302" s="70">
        <v>1379</v>
      </c>
      <c r="BJ302" s="70"/>
      <c r="BK302" s="70" t="s">
        <v>27</v>
      </c>
      <c r="BL302" s="70">
        <v>19</v>
      </c>
      <c r="BM302" s="70">
        <v>0</v>
      </c>
      <c r="BN302" s="70">
        <v>0</v>
      </c>
      <c r="BO302" s="70">
        <v>0</v>
      </c>
      <c r="BP302" s="70">
        <v>0</v>
      </c>
      <c r="BQ302" s="70">
        <v>19</v>
      </c>
      <c r="BT302" s="21"/>
    </row>
    <row r="303" spans="2:72">
      <c r="B303" s="65" t="s">
        <v>994</v>
      </c>
      <c r="C303" s="65" t="s">
        <v>2513</v>
      </c>
      <c r="D303" s="65">
        <v>642</v>
      </c>
      <c r="E303" s="65">
        <v>552</v>
      </c>
      <c r="F303" s="65">
        <v>613</v>
      </c>
      <c r="G303" s="65">
        <v>664</v>
      </c>
      <c r="H303" s="65">
        <v>449</v>
      </c>
      <c r="I303" s="65">
        <v>2920</v>
      </c>
      <c r="K303" s="65" t="s">
        <v>2513</v>
      </c>
      <c r="L303" s="65">
        <v>106</v>
      </c>
      <c r="M303" s="65">
        <v>14</v>
      </c>
      <c r="N303" s="65">
        <v>5</v>
      </c>
      <c r="O303" s="65">
        <v>2</v>
      </c>
      <c r="P303" s="65">
        <v>0</v>
      </c>
      <c r="Q303" s="65">
        <v>127</v>
      </c>
      <c r="BB303" s="70" t="s">
        <v>1470</v>
      </c>
      <c r="BC303" s="70" t="s">
        <v>27</v>
      </c>
      <c r="BD303" s="70">
        <v>148</v>
      </c>
      <c r="BE303" s="70">
        <v>208</v>
      </c>
      <c r="BF303" s="70">
        <v>409</v>
      </c>
      <c r="BG303" s="70">
        <v>556</v>
      </c>
      <c r="BH303" s="70">
        <v>449</v>
      </c>
      <c r="BI303" s="70">
        <v>1770</v>
      </c>
      <c r="BJ303" s="70"/>
      <c r="BK303" s="70" t="s">
        <v>27</v>
      </c>
      <c r="BL303" s="70">
        <v>18</v>
      </c>
      <c r="BM303" s="70">
        <v>0</v>
      </c>
      <c r="BN303" s="70">
        <v>0</v>
      </c>
      <c r="BO303" s="70">
        <v>0</v>
      </c>
      <c r="BP303" s="70">
        <v>0</v>
      </c>
      <c r="BQ303" s="70">
        <v>18</v>
      </c>
      <c r="BT303" s="21"/>
    </row>
    <row r="304" spans="2:72">
      <c r="B304" s="65" t="s">
        <v>1002</v>
      </c>
      <c r="C304" s="65" t="s">
        <v>2513</v>
      </c>
      <c r="D304" s="65">
        <v>156</v>
      </c>
      <c r="E304" s="65">
        <v>244</v>
      </c>
      <c r="F304" s="65">
        <v>320</v>
      </c>
      <c r="G304" s="65">
        <v>343</v>
      </c>
      <c r="H304" s="65">
        <v>287</v>
      </c>
      <c r="I304" s="65">
        <v>1350</v>
      </c>
      <c r="K304" s="65" t="s">
        <v>2513</v>
      </c>
      <c r="L304" s="65">
        <v>20</v>
      </c>
      <c r="M304" s="65">
        <v>5</v>
      </c>
      <c r="N304" s="65">
        <v>3</v>
      </c>
      <c r="O304" s="65">
        <v>1</v>
      </c>
      <c r="P304" s="65">
        <v>1</v>
      </c>
      <c r="Q304" s="65">
        <v>30</v>
      </c>
      <c r="BB304" s="70" t="s">
        <v>1473</v>
      </c>
      <c r="BC304" s="70" t="s">
        <v>27</v>
      </c>
      <c r="BD304" s="70">
        <v>1508</v>
      </c>
      <c r="BE304" s="70">
        <v>842</v>
      </c>
      <c r="BF304" s="70">
        <v>965</v>
      </c>
      <c r="BG304" s="70">
        <v>1020</v>
      </c>
      <c r="BH304" s="70">
        <v>757</v>
      </c>
      <c r="BI304" s="70">
        <v>5092</v>
      </c>
      <c r="BJ304" s="70"/>
      <c r="BK304" s="70" t="s">
        <v>27</v>
      </c>
      <c r="BL304" s="70">
        <v>417</v>
      </c>
      <c r="BM304" s="70">
        <v>4</v>
      </c>
      <c r="BN304" s="70">
        <v>0</v>
      </c>
      <c r="BO304" s="70">
        <v>0</v>
      </c>
      <c r="BP304" s="70">
        <v>0</v>
      </c>
      <c r="BQ304" s="70">
        <v>421</v>
      </c>
      <c r="BT304" s="21"/>
    </row>
    <row r="305" spans="2:72">
      <c r="B305" s="65" t="s">
        <v>1007</v>
      </c>
      <c r="C305" s="65" t="s">
        <v>2513</v>
      </c>
      <c r="D305" s="65">
        <v>399</v>
      </c>
      <c r="E305" s="65">
        <v>432</v>
      </c>
      <c r="F305" s="65">
        <v>467</v>
      </c>
      <c r="G305" s="65">
        <v>513</v>
      </c>
      <c r="H305" s="65">
        <v>358</v>
      </c>
      <c r="I305" s="65">
        <v>2169</v>
      </c>
      <c r="K305" s="65" t="s">
        <v>2513</v>
      </c>
      <c r="L305" s="65">
        <v>84</v>
      </c>
      <c r="M305" s="65">
        <v>15</v>
      </c>
      <c r="N305" s="65">
        <v>2</v>
      </c>
      <c r="O305" s="65">
        <v>1</v>
      </c>
      <c r="P305" s="65">
        <v>0</v>
      </c>
      <c r="Q305" s="65">
        <v>102</v>
      </c>
      <c r="BB305" s="70" t="s">
        <v>2249</v>
      </c>
      <c r="BC305" s="70" t="s">
        <v>27</v>
      </c>
      <c r="BD305" s="70">
        <v>131</v>
      </c>
      <c r="BE305" s="70">
        <v>135</v>
      </c>
      <c r="BF305" s="70">
        <v>231</v>
      </c>
      <c r="BG305" s="70">
        <v>321</v>
      </c>
      <c r="BH305" s="70">
        <v>270</v>
      </c>
      <c r="BI305" s="70">
        <v>1088</v>
      </c>
      <c r="BJ305" s="70"/>
      <c r="BK305" s="70" t="s">
        <v>27</v>
      </c>
      <c r="BL305" s="70">
        <v>31</v>
      </c>
      <c r="BM305" s="70">
        <v>2</v>
      </c>
      <c r="BN305" s="70">
        <v>2</v>
      </c>
      <c r="BO305" s="70">
        <v>0</v>
      </c>
      <c r="BP305" s="70">
        <v>0</v>
      </c>
      <c r="BQ305" s="70">
        <v>35</v>
      </c>
      <c r="BT305" s="21"/>
    </row>
    <row r="306" spans="2:72">
      <c r="B306" s="65" t="s">
        <v>1013</v>
      </c>
      <c r="C306" s="65" t="s">
        <v>2513</v>
      </c>
      <c r="D306" s="65">
        <v>119</v>
      </c>
      <c r="E306" s="65">
        <v>214</v>
      </c>
      <c r="F306" s="65">
        <v>303</v>
      </c>
      <c r="G306" s="65">
        <v>383</v>
      </c>
      <c r="H306" s="65">
        <v>275</v>
      </c>
      <c r="I306" s="65">
        <v>1294</v>
      </c>
      <c r="K306" s="65" t="s">
        <v>2513</v>
      </c>
      <c r="L306" s="65">
        <v>15</v>
      </c>
      <c r="M306" s="65">
        <v>3</v>
      </c>
      <c r="N306" s="65">
        <v>6</v>
      </c>
      <c r="O306" s="65">
        <v>0</v>
      </c>
      <c r="P306" s="65">
        <v>1</v>
      </c>
      <c r="Q306" s="65">
        <v>25</v>
      </c>
      <c r="BB306" s="70" t="s">
        <v>1483</v>
      </c>
      <c r="BC306" s="70" t="s">
        <v>27</v>
      </c>
      <c r="BD306" s="70">
        <v>125</v>
      </c>
      <c r="BE306" s="70">
        <v>80</v>
      </c>
      <c r="BF306" s="70">
        <v>135</v>
      </c>
      <c r="BG306" s="70">
        <v>148</v>
      </c>
      <c r="BH306" s="70">
        <v>133</v>
      </c>
      <c r="BI306" s="70">
        <v>621</v>
      </c>
      <c r="BJ306" s="70"/>
      <c r="BK306" s="70" t="s">
        <v>27</v>
      </c>
      <c r="BL306" s="70">
        <v>34</v>
      </c>
      <c r="BM306" s="70">
        <v>0</v>
      </c>
      <c r="BN306" s="70">
        <v>0</v>
      </c>
      <c r="BO306" s="70">
        <v>0</v>
      </c>
      <c r="BP306" s="70">
        <v>0</v>
      </c>
      <c r="BQ306" s="70">
        <v>34</v>
      </c>
      <c r="BT306" s="21"/>
    </row>
    <row r="307" spans="2:72">
      <c r="B307" s="65" t="s">
        <v>1018</v>
      </c>
      <c r="C307" s="65" t="s">
        <v>2513</v>
      </c>
      <c r="D307" s="65">
        <v>104</v>
      </c>
      <c r="E307" s="65">
        <v>173</v>
      </c>
      <c r="F307" s="65">
        <v>269</v>
      </c>
      <c r="G307" s="65">
        <v>329</v>
      </c>
      <c r="H307" s="65">
        <v>272</v>
      </c>
      <c r="I307" s="65">
        <v>1147</v>
      </c>
      <c r="K307" s="65" t="s">
        <v>2513</v>
      </c>
      <c r="L307" s="65">
        <v>24</v>
      </c>
      <c r="M307" s="65">
        <v>4</v>
      </c>
      <c r="N307" s="65">
        <v>3</v>
      </c>
      <c r="O307" s="65">
        <v>0</v>
      </c>
      <c r="P307" s="65">
        <v>1</v>
      </c>
      <c r="Q307" s="65">
        <v>32</v>
      </c>
      <c r="BB307" s="70" t="s">
        <v>1488</v>
      </c>
      <c r="BC307" s="70" t="s">
        <v>27</v>
      </c>
      <c r="BD307" s="70">
        <v>87</v>
      </c>
      <c r="BE307" s="70">
        <v>56</v>
      </c>
      <c r="BF307" s="70">
        <v>93</v>
      </c>
      <c r="BG307" s="70">
        <v>88</v>
      </c>
      <c r="BH307" s="70">
        <v>92</v>
      </c>
      <c r="BI307" s="70">
        <v>416</v>
      </c>
      <c r="BJ307" s="70"/>
      <c r="BK307" s="70" t="s">
        <v>27</v>
      </c>
      <c r="BL307" s="70">
        <v>29</v>
      </c>
      <c r="BM307" s="70">
        <v>0</v>
      </c>
      <c r="BN307" s="70">
        <v>0</v>
      </c>
      <c r="BO307" s="70">
        <v>0</v>
      </c>
      <c r="BP307" s="70">
        <v>0</v>
      </c>
      <c r="BQ307" s="70">
        <v>29</v>
      </c>
      <c r="BT307" s="21"/>
    </row>
    <row r="308" spans="2:72">
      <c r="B308" s="65" t="s">
        <v>1024</v>
      </c>
      <c r="C308" s="65" t="s">
        <v>2513</v>
      </c>
      <c r="D308" s="65">
        <v>244</v>
      </c>
      <c r="E308" s="65">
        <v>357</v>
      </c>
      <c r="F308" s="65">
        <v>434</v>
      </c>
      <c r="G308" s="65">
        <v>478</v>
      </c>
      <c r="H308" s="65">
        <v>370</v>
      </c>
      <c r="I308" s="65">
        <v>1883</v>
      </c>
      <c r="K308" s="65" t="s">
        <v>2513</v>
      </c>
      <c r="L308" s="65">
        <v>49</v>
      </c>
      <c r="M308" s="65">
        <v>7</v>
      </c>
      <c r="N308" s="65">
        <v>2</v>
      </c>
      <c r="O308" s="65">
        <v>1</v>
      </c>
      <c r="P308" s="65">
        <v>0</v>
      </c>
      <c r="Q308" s="65">
        <v>59</v>
      </c>
      <c r="BB308" s="70" t="s">
        <v>1494</v>
      </c>
      <c r="BC308" s="70" t="s">
        <v>27</v>
      </c>
      <c r="BD308" s="70">
        <v>75</v>
      </c>
      <c r="BE308" s="70">
        <v>64</v>
      </c>
      <c r="BF308" s="70">
        <v>129</v>
      </c>
      <c r="BG308" s="70">
        <v>205</v>
      </c>
      <c r="BH308" s="70">
        <v>210</v>
      </c>
      <c r="BI308" s="70">
        <v>683</v>
      </c>
      <c r="BJ308" s="70"/>
      <c r="BK308" s="70" t="s">
        <v>27</v>
      </c>
      <c r="BL308" s="70">
        <v>27</v>
      </c>
      <c r="BM308" s="70">
        <v>0</v>
      </c>
      <c r="BN308" s="70">
        <v>0</v>
      </c>
      <c r="BO308" s="70">
        <v>0</v>
      </c>
      <c r="BP308" s="70">
        <v>0</v>
      </c>
      <c r="BQ308" s="70">
        <v>27</v>
      </c>
      <c r="BT308" s="21"/>
    </row>
    <row r="309" spans="2:72">
      <c r="B309" s="65" t="s">
        <v>1029</v>
      </c>
      <c r="C309" s="65" t="s">
        <v>2513</v>
      </c>
      <c r="D309" s="65">
        <v>233</v>
      </c>
      <c r="E309" s="65">
        <v>251</v>
      </c>
      <c r="F309" s="65">
        <v>288</v>
      </c>
      <c r="G309" s="65">
        <v>362</v>
      </c>
      <c r="H309" s="65">
        <v>316</v>
      </c>
      <c r="I309" s="65">
        <v>1450</v>
      </c>
      <c r="K309" s="65" t="s">
        <v>2513</v>
      </c>
      <c r="L309" s="65">
        <v>14</v>
      </c>
      <c r="M309" s="65">
        <v>5</v>
      </c>
      <c r="N309" s="65">
        <v>0</v>
      </c>
      <c r="O309" s="65">
        <v>1</v>
      </c>
      <c r="P309" s="65">
        <v>1</v>
      </c>
      <c r="Q309" s="65">
        <v>21</v>
      </c>
      <c r="BB309" s="70" t="s">
        <v>1498</v>
      </c>
      <c r="BC309" s="70" t="s">
        <v>27</v>
      </c>
      <c r="BD309" s="70">
        <v>35</v>
      </c>
      <c r="BE309" s="70">
        <v>85</v>
      </c>
      <c r="BF309" s="70">
        <v>175</v>
      </c>
      <c r="BG309" s="70">
        <v>229</v>
      </c>
      <c r="BH309" s="70">
        <v>224</v>
      </c>
      <c r="BI309" s="70">
        <v>748</v>
      </c>
      <c r="BJ309" s="70"/>
      <c r="BK309" s="70" t="s">
        <v>27</v>
      </c>
      <c r="BL309" s="70">
        <v>12</v>
      </c>
      <c r="BM309" s="70">
        <v>0</v>
      </c>
      <c r="BN309" s="70">
        <v>0</v>
      </c>
      <c r="BO309" s="70">
        <v>0</v>
      </c>
      <c r="BP309" s="70">
        <v>0</v>
      </c>
      <c r="BQ309" s="70">
        <v>12</v>
      </c>
      <c r="BT309" s="21"/>
    </row>
    <row r="310" spans="2:72">
      <c r="B310" s="65" t="s">
        <v>1033</v>
      </c>
      <c r="C310" s="65" t="s">
        <v>2513</v>
      </c>
      <c r="D310" s="65">
        <v>49</v>
      </c>
      <c r="E310" s="65">
        <v>139</v>
      </c>
      <c r="F310" s="65">
        <v>225</v>
      </c>
      <c r="G310" s="65">
        <v>285</v>
      </c>
      <c r="H310" s="65">
        <v>236</v>
      </c>
      <c r="I310" s="65">
        <v>934</v>
      </c>
      <c r="K310" s="65" t="s">
        <v>2513</v>
      </c>
      <c r="L310" s="65">
        <v>5</v>
      </c>
      <c r="M310" s="65">
        <v>2</v>
      </c>
      <c r="N310" s="65">
        <v>0</v>
      </c>
      <c r="O310" s="65">
        <v>0</v>
      </c>
      <c r="P310" s="65">
        <v>0</v>
      </c>
      <c r="Q310" s="65">
        <v>7</v>
      </c>
      <c r="BB310" s="70" t="s">
        <v>1502</v>
      </c>
      <c r="BC310" s="70" t="s">
        <v>27</v>
      </c>
      <c r="BD310" s="70">
        <v>18</v>
      </c>
      <c r="BE310" s="70">
        <v>50</v>
      </c>
      <c r="BF310" s="70">
        <v>111</v>
      </c>
      <c r="BG310" s="70">
        <v>149</v>
      </c>
      <c r="BH310" s="70">
        <v>131</v>
      </c>
      <c r="BI310" s="70">
        <v>459</v>
      </c>
      <c r="BJ310" s="70"/>
      <c r="BK310" s="70" t="s">
        <v>27</v>
      </c>
      <c r="BL310" s="70">
        <v>4</v>
      </c>
      <c r="BM310" s="70">
        <v>0</v>
      </c>
      <c r="BN310" s="70">
        <v>0</v>
      </c>
      <c r="BO310" s="70">
        <v>0</v>
      </c>
      <c r="BP310" s="70">
        <v>0</v>
      </c>
      <c r="BQ310" s="70">
        <v>4</v>
      </c>
      <c r="BT310" s="21"/>
    </row>
    <row r="311" spans="2:72">
      <c r="B311" s="65" t="s">
        <v>1037</v>
      </c>
      <c r="C311" s="65" t="s">
        <v>2513</v>
      </c>
      <c r="D311" s="65">
        <v>6</v>
      </c>
      <c r="E311" s="65">
        <v>12</v>
      </c>
      <c r="F311" s="65">
        <v>22</v>
      </c>
      <c r="G311" s="65">
        <v>38</v>
      </c>
      <c r="H311" s="65">
        <v>60</v>
      </c>
      <c r="I311" s="65">
        <v>138</v>
      </c>
      <c r="K311" s="65" t="s">
        <v>2513</v>
      </c>
      <c r="L311" s="65">
        <v>0</v>
      </c>
      <c r="M311" s="65">
        <v>0</v>
      </c>
      <c r="N311" s="65">
        <v>0</v>
      </c>
      <c r="O311" s="65">
        <v>0</v>
      </c>
      <c r="P311" s="65">
        <v>0</v>
      </c>
      <c r="Q311" s="65">
        <v>0</v>
      </c>
      <c r="BB311" s="70" t="s">
        <v>1511</v>
      </c>
      <c r="BC311" s="70" t="s">
        <v>27</v>
      </c>
      <c r="BD311" s="70">
        <v>526</v>
      </c>
      <c r="BE311" s="70">
        <v>540</v>
      </c>
      <c r="BF311" s="70">
        <v>941</v>
      </c>
      <c r="BG311" s="70">
        <v>1288</v>
      </c>
      <c r="BH311" s="70">
        <v>1059</v>
      </c>
      <c r="BI311" s="70">
        <v>4354</v>
      </c>
      <c r="BJ311" s="70"/>
      <c r="BK311" s="70" t="s">
        <v>27</v>
      </c>
      <c r="BL311" s="70">
        <v>82</v>
      </c>
      <c r="BM311" s="70">
        <v>0</v>
      </c>
      <c r="BN311" s="70">
        <v>0</v>
      </c>
      <c r="BO311" s="70">
        <v>0</v>
      </c>
      <c r="BP311" s="70">
        <v>0</v>
      </c>
      <c r="BQ311" s="70">
        <v>82</v>
      </c>
      <c r="BT311" s="21"/>
    </row>
    <row r="312" spans="2:72">
      <c r="B312" s="65" t="s">
        <v>1043</v>
      </c>
      <c r="C312" s="65" t="s">
        <v>2513</v>
      </c>
      <c r="D312" s="65">
        <v>108</v>
      </c>
      <c r="E312" s="65">
        <v>179</v>
      </c>
      <c r="F312" s="65">
        <v>282</v>
      </c>
      <c r="G312" s="65">
        <v>307</v>
      </c>
      <c r="H312" s="65">
        <v>256</v>
      </c>
      <c r="I312" s="65">
        <v>1132</v>
      </c>
      <c r="K312" s="65" t="s">
        <v>2513</v>
      </c>
      <c r="L312" s="65">
        <v>11</v>
      </c>
      <c r="M312" s="65">
        <v>0</v>
      </c>
      <c r="N312" s="65">
        <v>0</v>
      </c>
      <c r="O312" s="65">
        <v>0</v>
      </c>
      <c r="P312" s="65">
        <v>0</v>
      </c>
      <c r="Q312" s="65">
        <v>11</v>
      </c>
      <c r="BB312" s="70" t="s">
        <v>1515</v>
      </c>
      <c r="BC312" s="70" t="s">
        <v>27</v>
      </c>
      <c r="BD312" s="70">
        <v>191</v>
      </c>
      <c r="BE312" s="70">
        <v>100</v>
      </c>
      <c r="BF312" s="70">
        <v>203</v>
      </c>
      <c r="BG312" s="70">
        <v>318</v>
      </c>
      <c r="BH312" s="70">
        <v>263</v>
      </c>
      <c r="BI312" s="70">
        <v>1075</v>
      </c>
      <c r="BJ312" s="70"/>
      <c r="BK312" s="70" t="s">
        <v>27</v>
      </c>
      <c r="BL312" s="70">
        <v>36</v>
      </c>
      <c r="BM312" s="70">
        <v>0</v>
      </c>
      <c r="BN312" s="70">
        <v>0</v>
      </c>
      <c r="BO312" s="70">
        <v>0</v>
      </c>
      <c r="BP312" s="70">
        <v>0</v>
      </c>
      <c r="BQ312" s="70">
        <v>36</v>
      </c>
      <c r="BT312" s="21"/>
    </row>
    <row r="313" spans="2:72">
      <c r="B313" s="65" t="s">
        <v>1046</v>
      </c>
      <c r="C313" s="65" t="s">
        <v>2513</v>
      </c>
      <c r="D313" s="65">
        <v>112</v>
      </c>
      <c r="E313" s="65">
        <v>91</v>
      </c>
      <c r="F313" s="65">
        <v>161</v>
      </c>
      <c r="G313" s="65">
        <v>231</v>
      </c>
      <c r="H313" s="65">
        <v>267</v>
      </c>
      <c r="I313" s="65">
        <v>862</v>
      </c>
      <c r="K313" s="65" t="s">
        <v>2513</v>
      </c>
      <c r="L313" s="65">
        <v>21</v>
      </c>
      <c r="M313" s="65">
        <v>0</v>
      </c>
      <c r="N313" s="65">
        <v>0</v>
      </c>
      <c r="O313" s="65">
        <v>0</v>
      </c>
      <c r="P313" s="65">
        <v>0</v>
      </c>
      <c r="Q313" s="65">
        <v>21</v>
      </c>
      <c r="BB313" s="70" t="s">
        <v>1520</v>
      </c>
      <c r="BC313" s="70" t="s">
        <v>27</v>
      </c>
      <c r="BD313" s="70">
        <v>543</v>
      </c>
      <c r="BE313" s="70">
        <v>408</v>
      </c>
      <c r="BF313" s="70">
        <v>631</v>
      </c>
      <c r="BG313" s="70">
        <v>740</v>
      </c>
      <c r="BH313" s="70">
        <v>598</v>
      </c>
      <c r="BI313" s="70">
        <v>2920</v>
      </c>
      <c r="BJ313" s="70"/>
      <c r="BK313" s="70" t="s">
        <v>27</v>
      </c>
      <c r="BL313" s="70">
        <v>53</v>
      </c>
      <c r="BM313" s="70">
        <v>0</v>
      </c>
      <c r="BN313" s="70">
        <v>0</v>
      </c>
      <c r="BO313" s="70">
        <v>0</v>
      </c>
      <c r="BP313" s="70">
        <v>0</v>
      </c>
      <c r="BQ313" s="70">
        <v>53</v>
      </c>
      <c r="BT313" s="21"/>
    </row>
    <row r="314" spans="2:72">
      <c r="B314" s="65" t="s">
        <v>76</v>
      </c>
      <c r="C314" s="65" t="s">
        <v>2513</v>
      </c>
      <c r="D314" s="65">
        <v>160</v>
      </c>
      <c r="E314" s="65">
        <v>244</v>
      </c>
      <c r="F314" s="65">
        <v>392</v>
      </c>
      <c r="G314" s="65">
        <v>465</v>
      </c>
      <c r="H314" s="65">
        <v>332</v>
      </c>
      <c r="I314" s="65">
        <v>1593</v>
      </c>
      <c r="K314" s="65" t="s">
        <v>2513</v>
      </c>
      <c r="L314" s="65">
        <v>21</v>
      </c>
      <c r="M314" s="65">
        <v>2</v>
      </c>
      <c r="N314" s="65">
        <v>0</v>
      </c>
      <c r="O314" s="65">
        <v>0</v>
      </c>
      <c r="P314" s="65">
        <v>0</v>
      </c>
      <c r="Q314" s="65">
        <v>23</v>
      </c>
      <c r="BB314" s="70" t="s">
        <v>1523</v>
      </c>
      <c r="BC314" s="70" t="s">
        <v>27</v>
      </c>
      <c r="BD314" s="70">
        <v>310</v>
      </c>
      <c r="BE314" s="70">
        <v>256</v>
      </c>
      <c r="BF314" s="70">
        <v>397</v>
      </c>
      <c r="BG314" s="70">
        <v>534</v>
      </c>
      <c r="BH314" s="70">
        <v>400</v>
      </c>
      <c r="BI314" s="70">
        <v>1897</v>
      </c>
      <c r="BJ314" s="70"/>
      <c r="BK314" s="70" t="s">
        <v>27</v>
      </c>
      <c r="BL314" s="70">
        <v>47</v>
      </c>
      <c r="BM314" s="70">
        <v>0</v>
      </c>
      <c r="BN314" s="70">
        <v>0</v>
      </c>
      <c r="BO314" s="70">
        <v>0</v>
      </c>
      <c r="BP314" s="70">
        <v>0</v>
      </c>
      <c r="BQ314" s="70">
        <v>47</v>
      </c>
      <c r="BT314" s="21"/>
    </row>
    <row r="315" spans="2:72">
      <c r="B315" s="65" t="s">
        <v>1057</v>
      </c>
      <c r="C315" s="65" t="s">
        <v>2513</v>
      </c>
      <c r="D315" s="65">
        <v>227</v>
      </c>
      <c r="E315" s="65">
        <v>331</v>
      </c>
      <c r="F315" s="65">
        <v>456</v>
      </c>
      <c r="G315" s="65">
        <v>507</v>
      </c>
      <c r="H315" s="65">
        <v>344</v>
      </c>
      <c r="I315" s="65">
        <v>1865</v>
      </c>
      <c r="K315" s="65" t="s">
        <v>2513</v>
      </c>
      <c r="L315" s="65">
        <v>29</v>
      </c>
      <c r="M315" s="65">
        <v>4</v>
      </c>
      <c r="N315" s="65">
        <v>1</v>
      </c>
      <c r="O315" s="65">
        <v>0</v>
      </c>
      <c r="P315" s="65">
        <v>0</v>
      </c>
      <c r="Q315" s="65">
        <v>34</v>
      </c>
      <c r="BB315" s="70" t="s">
        <v>1527</v>
      </c>
      <c r="BC315" s="70" t="s">
        <v>27</v>
      </c>
      <c r="BD315" s="70">
        <v>153</v>
      </c>
      <c r="BE315" s="70">
        <v>158</v>
      </c>
      <c r="BF315" s="70">
        <v>294</v>
      </c>
      <c r="BG315" s="70">
        <v>470</v>
      </c>
      <c r="BH315" s="70">
        <v>451</v>
      </c>
      <c r="BI315" s="70">
        <v>1526</v>
      </c>
      <c r="BJ315" s="70"/>
      <c r="BK315" s="70" t="s">
        <v>27</v>
      </c>
      <c r="BL315" s="70">
        <v>26</v>
      </c>
      <c r="BM315" s="70">
        <v>0</v>
      </c>
      <c r="BN315" s="70">
        <v>0</v>
      </c>
      <c r="BO315" s="70">
        <v>0</v>
      </c>
      <c r="BP315" s="70">
        <v>0</v>
      </c>
      <c r="BQ315" s="70">
        <v>26</v>
      </c>
      <c r="BT315" s="21"/>
    </row>
    <row r="316" spans="2:72">
      <c r="B316" s="65" t="s">
        <v>162</v>
      </c>
      <c r="C316" s="65" t="s">
        <v>2513</v>
      </c>
      <c r="D316" s="65">
        <v>121</v>
      </c>
      <c r="E316" s="65">
        <v>225</v>
      </c>
      <c r="F316" s="65">
        <v>361</v>
      </c>
      <c r="G316" s="65">
        <v>433</v>
      </c>
      <c r="H316" s="65">
        <v>350</v>
      </c>
      <c r="I316" s="65">
        <v>1490</v>
      </c>
      <c r="K316" s="65" t="s">
        <v>2513</v>
      </c>
      <c r="L316" s="65">
        <v>31</v>
      </c>
      <c r="M316" s="65">
        <v>0</v>
      </c>
      <c r="N316" s="65">
        <v>0</v>
      </c>
      <c r="O316" s="65">
        <v>0</v>
      </c>
      <c r="P316" s="65">
        <v>0</v>
      </c>
      <c r="Q316" s="65">
        <v>31</v>
      </c>
      <c r="BB316" s="70" t="s">
        <v>1530</v>
      </c>
      <c r="BC316" s="70" t="s">
        <v>27</v>
      </c>
      <c r="BD316" s="70">
        <v>313</v>
      </c>
      <c r="BE316" s="70">
        <v>252</v>
      </c>
      <c r="BF316" s="70">
        <v>257</v>
      </c>
      <c r="BG316" s="70">
        <v>295</v>
      </c>
      <c r="BH316" s="70">
        <v>273</v>
      </c>
      <c r="BI316" s="70">
        <v>1390</v>
      </c>
      <c r="BJ316" s="70"/>
      <c r="BK316" s="70" t="s">
        <v>27</v>
      </c>
      <c r="BL316" s="70">
        <v>42</v>
      </c>
      <c r="BM316" s="70">
        <v>0</v>
      </c>
      <c r="BN316" s="70">
        <v>0</v>
      </c>
      <c r="BO316" s="70">
        <v>0</v>
      </c>
      <c r="BP316" s="70">
        <v>0</v>
      </c>
      <c r="BQ316" s="70">
        <v>42</v>
      </c>
      <c r="BT316" s="21"/>
    </row>
    <row r="317" spans="2:72">
      <c r="BB317" s="70" t="s">
        <v>1534</v>
      </c>
      <c r="BC317" s="70" t="s">
        <v>27</v>
      </c>
      <c r="BD317" s="70">
        <v>174</v>
      </c>
      <c r="BE317" s="70">
        <v>187</v>
      </c>
      <c r="BF317" s="70">
        <v>325</v>
      </c>
      <c r="BG317" s="70">
        <v>556</v>
      </c>
      <c r="BH317" s="70">
        <v>484</v>
      </c>
      <c r="BI317" s="70">
        <v>1726</v>
      </c>
      <c r="BJ317" s="70"/>
      <c r="BK317" s="70" t="s">
        <v>27</v>
      </c>
      <c r="BL317" s="70">
        <v>45</v>
      </c>
      <c r="BM317" s="70">
        <v>0</v>
      </c>
      <c r="BN317" s="70">
        <v>0</v>
      </c>
      <c r="BO317" s="70">
        <v>0</v>
      </c>
      <c r="BP317" s="70">
        <v>0</v>
      </c>
      <c r="BQ317" s="70">
        <v>45</v>
      </c>
      <c r="BT317" s="21"/>
    </row>
    <row r="318" spans="2:72">
      <c r="BB318" s="70" t="s">
        <v>1538</v>
      </c>
      <c r="BC318" s="70" t="s">
        <v>27</v>
      </c>
      <c r="BD318" s="70">
        <v>41</v>
      </c>
      <c r="BE318" s="70">
        <v>66</v>
      </c>
      <c r="BF318" s="70">
        <v>142</v>
      </c>
      <c r="BG318" s="70">
        <v>218</v>
      </c>
      <c r="BH318" s="70">
        <v>239</v>
      </c>
      <c r="BI318" s="70">
        <v>706</v>
      </c>
      <c r="BJ318" s="70"/>
      <c r="BK318" s="70" t="s">
        <v>27</v>
      </c>
      <c r="BL318" s="70">
        <v>10</v>
      </c>
      <c r="BM318" s="70">
        <v>0</v>
      </c>
      <c r="BN318" s="70">
        <v>0</v>
      </c>
      <c r="BO318" s="70">
        <v>0</v>
      </c>
      <c r="BP318" s="70">
        <v>0</v>
      </c>
      <c r="BQ318" s="70">
        <v>10</v>
      </c>
      <c r="BT318" s="21"/>
    </row>
    <row r="319" spans="2:72">
      <c r="BB319" s="70" t="s">
        <v>43</v>
      </c>
      <c r="BC319" s="70" t="s">
        <v>27</v>
      </c>
      <c r="BD319" s="70">
        <v>368</v>
      </c>
      <c r="BE319" s="70">
        <v>409</v>
      </c>
      <c r="BF319" s="70">
        <v>861</v>
      </c>
      <c r="BG319" s="70">
        <v>1260</v>
      </c>
      <c r="BH319" s="70">
        <v>1160</v>
      </c>
      <c r="BI319" s="70">
        <v>4058</v>
      </c>
      <c r="BJ319" s="70"/>
      <c r="BK319" s="70" t="s">
        <v>27</v>
      </c>
      <c r="BL319" s="70">
        <v>58</v>
      </c>
      <c r="BM319" s="70">
        <v>0</v>
      </c>
      <c r="BN319" s="70">
        <v>0</v>
      </c>
      <c r="BO319" s="70">
        <v>0</v>
      </c>
      <c r="BP319" s="70">
        <v>0</v>
      </c>
      <c r="BQ319" s="70">
        <v>58</v>
      </c>
      <c r="BT319" s="21"/>
    </row>
    <row r="320" spans="2:72">
      <c r="BB320" s="70" t="s">
        <v>1545</v>
      </c>
      <c r="BC320" s="70" t="s">
        <v>27</v>
      </c>
      <c r="BD320" s="70">
        <v>429</v>
      </c>
      <c r="BE320" s="70">
        <v>355</v>
      </c>
      <c r="BF320" s="70">
        <v>666</v>
      </c>
      <c r="BG320" s="70">
        <v>920</v>
      </c>
      <c r="BH320" s="70">
        <v>867</v>
      </c>
      <c r="BI320" s="70">
        <v>3237</v>
      </c>
      <c r="BJ320" s="70"/>
      <c r="BK320" s="70" t="s">
        <v>27</v>
      </c>
      <c r="BL320" s="70">
        <v>39</v>
      </c>
      <c r="BM320" s="70">
        <v>0</v>
      </c>
      <c r="BN320" s="70">
        <v>0</v>
      </c>
      <c r="BO320" s="70">
        <v>0</v>
      </c>
      <c r="BP320" s="70">
        <v>0</v>
      </c>
      <c r="BQ320" s="70">
        <v>39</v>
      </c>
      <c r="BT320" s="21"/>
    </row>
    <row r="321" spans="54:72">
      <c r="BB321" s="70" t="s">
        <v>1548</v>
      </c>
      <c r="BC321" s="70" t="s">
        <v>27</v>
      </c>
      <c r="BD321" s="70">
        <v>330</v>
      </c>
      <c r="BE321" s="70">
        <v>379</v>
      </c>
      <c r="BF321" s="70">
        <v>622</v>
      </c>
      <c r="BG321" s="70">
        <v>890</v>
      </c>
      <c r="BH321" s="70">
        <v>785</v>
      </c>
      <c r="BI321" s="70">
        <v>3006</v>
      </c>
      <c r="BJ321" s="70"/>
      <c r="BK321" s="70" t="s">
        <v>27</v>
      </c>
      <c r="BL321" s="70">
        <v>39</v>
      </c>
      <c r="BM321" s="70">
        <v>0</v>
      </c>
      <c r="BN321" s="70">
        <v>0</v>
      </c>
      <c r="BO321" s="70">
        <v>0</v>
      </c>
      <c r="BP321" s="70">
        <v>0</v>
      </c>
      <c r="BQ321" s="70">
        <v>39</v>
      </c>
      <c r="BT321" s="21"/>
    </row>
    <row r="322" spans="54:72">
      <c r="BB322" s="70" t="s">
        <v>1552</v>
      </c>
      <c r="BC322" s="70" t="s">
        <v>27</v>
      </c>
      <c r="BD322" s="70">
        <v>115</v>
      </c>
      <c r="BE322" s="70">
        <v>96</v>
      </c>
      <c r="BF322" s="70">
        <v>238</v>
      </c>
      <c r="BG322" s="70">
        <v>361</v>
      </c>
      <c r="BH322" s="70">
        <v>372</v>
      </c>
      <c r="BI322" s="70">
        <v>1182</v>
      </c>
      <c r="BJ322" s="70"/>
      <c r="BK322" s="70" t="s">
        <v>27</v>
      </c>
      <c r="BL322" s="70">
        <v>23</v>
      </c>
      <c r="BM322" s="70">
        <v>0</v>
      </c>
      <c r="BN322" s="70">
        <v>0</v>
      </c>
      <c r="BO322" s="70">
        <v>0</v>
      </c>
      <c r="BP322" s="70">
        <v>0</v>
      </c>
      <c r="BQ322" s="70">
        <v>23</v>
      </c>
      <c r="BT322" s="21"/>
    </row>
    <row r="323" spans="54:72">
      <c r="BB323" s="70" t="s">
        <v>1555</v>
      </c>
      <c r="BC323" s="70" t="s">
        <v>27</v>
      </c>
      <c r="BD323" s="70">
        <v>51</v>
      </c>
      <c r="BE323" s="70">
        <v>51</v>
      </c>
      <c r="BF323" s="70">
        <v>110</v>
      </c>
      <c r="BG323" s="70">
        <v>188</v>
      </c>
      <c r="BH323" s="70">
        <v>201</v>
      </c>
      <c r="BI323" s="70">
        <v>601</v>
      </c>
      <c r="BJ323" s="70"/>
      <c r="BK323" s="70" t="s">
        <v>27</v>
      </c>
      <c r="BL323" s="70">
        <v>12</v>
      </c>
      <c r="BM323" s="70">
        <v>0</v>
      </c>
      <c r="BN323" s="70">
        <v>0</v>
      </c>
      <c r="BO323" s="70">
        <v>0</v>
      </c>
      <c r="BP323" s="70">
        <v>0</v>
      </c>
      <c r="BQ323" s="70">
        <v>12</v>
      </c>
      <c r="BT323" s="21"/>
    </row>
    <row r="324" spans="54:72">
      <c r="BB324" s="70" t="s">
        <v>1558</v>
      </c>
      <c r="BC324" s="70" t="s">
        <v>27</v>
      </c>
      <c r="BD324" s="70">
        <v>174</v>
      </c>
      <c r="BE324" s="70">
        <v>82</v>
      </c>
      <c r="BF324" s="70">
        <v>115</v>
      </c>
      <c r="BG324" s="70">
        <v>196</v>
      </c>
      <c r="BH324" s="70">
        <v>195</v>
      </c>
      <c r="BI324" s="70">
        <v>762</v>
      </c>
      <c r="BJ324" s="70"/>
      <c r="BK324" s="70" t="s">
        <v>27</v>
      </c>
      <c r="BL324" s="70">
        <v>49</v>
      </c>
      <c r="BM324" s="70">
        <v>0</v>
      </c>
      <c r="BN324" s="70">
        <v>0</v>
      </c>
      <c r="BO324" s="70">
        <v>0</v>
      </c>
      <c r="BP324" s="70">
        <v>0</v>
      </c>
      <c r="BQ324" s="70">
        <v>49</v>
      </c>
      <c r="BT324" s="21"/>
    </row>
    <row r="326" spans="54:72">
      <c r="BB326" s="70" t="s">
        <v>1292</v>
      </c>
      <c r="BC326" s="70" t="s">
        <v>2513</v>
      </c>
      <c r="BD326" s="70">
        <v>200</v>
      </c>
      <c r="BE326" s="70">
        <v>226</v>
      </c>
      <c r="BF326" s="70">
        <v>402</v>
      </c>
      <c r="BG326" s="70">
        <v>570</v>
      </c>
      <c r="BH326" s="70">
        <v>564</v>
      </c>
      <c r="BI326" s="70">
        <v>1962</v>
      </c>
      <c r="BJ326" s="70"/>
      <c r="BK326" s="70" t="s">
        <v>2513</v>
      </c>
      <c r="BL326" s="70">
        <v>25</v>
      </c>
      <c r="BM326" s="70">
        <v>0</v>
      </c>
      <c r="BN326" s="70">
        <v>0</v>
      </c>
      <c r="BO326" s="70">
        <v>0</v>
      </c>
      <c r="BP326" s="70">
        <v>0</v>
      </c>
      <c r="BQ326" s="70">
        <v>25</v>
      </c>
    </row>
    <row r="327" spans="54:72">
      <c r="BB327" s="70" t="s">
        <v>1295</v>
      </c>
      <c r="BC327" s="70" t="s">
        <v>2513</v>
      </c>
      <c r="BD327" s="70">
        <v>419</v>
      </c>
      <c r="BE327" s="70">
        <v>254</v>
      </c>
      <c r="BF327" s="70">
        <v>387</v>
      </c>
      <c r="BG327" s="70">
        <v>478</v>
      </c>
      <c r="BH327" s="70">
        <v>416</v>
      </c>
      <c r="BI327" s="70">
        <v>1954</v>
      </c>
      <c r="BJ327" s="70"/>
      <c r="BK327" s="70" t="s">
        <v>2513</v>
      </c>
      <c r="BL327" s="70">
        <v>82</v>
      </c>
      <c r="BM327" s="70">
        <v>0</v>
      </c>
      <c r="BN327" s="70">
        <v>0</v>
      </c>
      <c r="BO327" s="70">
        <v>0</v>
      </c>
      <c r="BP327" s="70">
        <v>0</v>
      </c>
      <c r="BQ327" s="70">
        <v>82</v>
      </c>
    </row>
    <row r="328" spans="54:72">
      <c r="BB328" s="70" t="s">
        <v>1299</v>
      </c>
      <c r="BC328" s="70" t="s">
        <v>2513</v>
      </c>
      <c r="BD328" s="70">
        <v>196</v>
      </c>
      <c r="BE328" s="70">
        <v>274</v>
      </c>
      <c r="BF328" s="70">
        <v>444</v>
      </c>
      <c r="BG328" s="70">
        <v>635</v>
      </c>
      <c r="BH328" s="70">
        <v>556</v>
      </c>
      <c r="BI328" s="70">
        <v>2105</v>
      </c>
      <c r="BJ328" s="70"/>
      <c r="BK328" s="70" t="s">
        <v>2513</v>
      </c>
      <c r="BL328" s="70">
        <v>15</v>
      </c>
      <c r="BM328" s="70">
        <v>0</v>
      </c>
      <c r="BN328" s="70">
        <v>0</v>
      </c>
      <c r="BO328" s="70">
        <v>0</v>
      </c>
      <c r="BP328" s="70">
        <v>0</v>
      </c>
      <c r="BQ328" s="70">
        <v>15</v>
      </c>
    </row>
    <row r="329" spans="54:72">
      <c r="BB329" s="70" t="s">
        <v>1302</v>
      </c>
      <c r="BC329" s="70" t="s">
        <v>2513</v>
      </c>
      <c r="BD329" s="70">
        <v>142</v>
      </c>
      <c r="BE329" s="70">
        <v>175</v>
      </c>
      <c r="BF329" s="70">
        <v>323</v>
      </c>
      <c r="BG329" s="70">
        <v>460</v>
      </c>
      <c r="BH329" s="70">
        <v>368</v>
      </c>
      <c r="BI329" s="70">
        <v>1468</v>
      </c>
      <c r="BJ329" s="70"/>
      <c r="BK329" s="70" t="s">
        <v>2513</v>
      </c>
      <c r="BL329" s="70">
        <v>22</v>
      </c>
      <c r="BM329" s="70">
        <v>0</v>
      </c>
      <c r="BN329" s="70">
        <v>0</v>
      </c>
      <c r="BO329" s="70">
        <v>0</v>
      </c>
      <c r="BP329" s="70">
        <v>0</v>
      </c>
      <c r="BQ329" s="70">
        <v>22</v>
      </c>
    </row>
    <row r="330" spans="54:72">
      <c r="BB330" s="70" t="s">
        <v>1305</v>
      </c>
      <c r="BC330" s="70" t="s">
        <v>2513</v>
      </c>
      <c r="BD330" s="70">
        <v>351</v>
      </c>
      <c r="BE330" s="70">
        <v>239</v>
      </c>
      <c r="BF330" s="70">
        <v>340</v>
      </c>
      <c r="BG330" s="70">
        <v>374</v>
      </c>
      <c r="BH330" s="70">
        <v>283</v>
      </c>
      <c r="BI330" s="70">
        <v>1587</v>
      </c>
      <c r="BJ330" s="70"/>
      <c r="BK330" s="70" t="s">
        <v>2513</v>
      </c>
      <c r="BL330" s="70">
        <v>52</v>
      </c>
      <c r="BM330" s="70">
        <v>0</v>
      </c>
      <c r="BN330" s="70">
        <v>0</v>
      </c>
      <c r="BO330" s="70">
        <v>0</v>
      </c>
      <c r="BP330" s="70">
        <v>0</v>
      </c>
      <c r="BQ330" s="70">
        <v>52</v>
      </c>
    </row>
    <row r="331" spans="54:72">
      <c r="BB331" s="70" t="s">
        <v>1308</v>
      </c>
      <c r="BC331" s="70" t="s">
        <v>2513</v>
      </c>
      <c r="BD331" s="70">
        <v>273</v>
      </c>
      <c r="BE331" s="70">
        <v>227</v>
      </c>
      <c r="BF331" s="70">
        <v>323</v>
      </c>
      <c r="BG331" s="70">
        <v>330</v>
      </c>
      <c r="BH331" s="70">
        <v>282</v>
      </c>
      <c r="BI331" s="70">
        <v>1435</v>
      </c>
      <c r="BJ331" s="70"/>
      <c r="BK331" s="70" t="s">
        <v>2513</v>
      </c>
      <c r="BL331" s="70">
        <v>21</v>
      </c>
      <c r="BM331" s="70">
        <v>0</v>
      </c>
      <c r="BN331" s="70">
        <v>0</v>
      </c>
      <c r="BO331" s="70">
        <v>0</v>
      </c>
      <c r="BP331" s="70">
        <v>0</v>
      </c>
      <c r="BQ331" s="70">
        <v>21</v>
      </c>
    </row>
    <row r="332" spans="54:72">
      <c r="BB332" s="70" t="s">
        <v>1312</v>
      </c>
      <c r="BC332" s="70" t="s">
        <v>2513</v>
      </c>
      <c r="BD332" s="70">
        <v>431</v>
      </c>
      <c r="BE332" s="70">
        <v>335</v>
      </c>
      <c r="BF332" s="70">
        <v>436</v>
      </c>
      <c r="BG332" s="70">
        <v>497</v>
      </c>
      <c r="BH332" s="70">
        <v>426</v>
      </c>
      <c r="BI332" s="70">
        <v>2125</v>
      </c>
      <c r="BJ332" s="70"/>
      <c r="BK332" s="70" t="s">
        <v>2513</v>
      </c>
      <c r="BL332" s="70">
        <v>53</v>
      </c>
      <c r="BM332" s="70">
        <v>0</v>
      </c>
      <c r="BN332" s="70">
        <v>0</v>
      </c>
      <c r="BO332" s="70">
        <v>0</v>
      </c>
      <c r="BP332" s="70">
        <v>0</v>
      </c>
      <c r="BQ332" s="70">
        <v>53</v>
      </c>
    </row>
    <row r="333" spans="54:72">
      <c r="BB333" s="70" t="s">
        <v>1314</v>
      </c>
      <c r="BC333" s="70" t="s">
        <v>2513</v>
      </c>
      <c r="BD333" s="70">
        <v>449</v>
      </c>
      <c r="BE333" s="70">
        <v>331</v>
      </c>
      <c r="BF333" s="70">
        <v>496</v>
      </c>
      <c r="BG333" s="70">
        <v>540</v>
      </c>
      <c r="BH333" s="70">
        <v>587</v>
      </c>
      <c r="BI333" s="70">
        <v>2403</v>
      </c>
      <c r="BJ333" s="70"/>
      <c r="BK333" s="70" t="s">
        <v>2513</v>
      </c>
      <c r="BL333" s="70">
        <v>24</v>
      </c>
      <c r="BM333" s="70">
        <v>0</v>
      </c>
      <c r="BN333" s="70">
        <v>0</v>
      </c>
      <c r="BO333" s="70">
        <v>0</v>
      </c>
      <c r="BP333" s="70">
        <v>0</v>
      </c>
      <c r="BQ333" s="70">
        <v>24</v>
      </c>
    </row>
    <row r="334" spans="54:72">
      <c r="BB334" s="70" t="s">
        <v>1317</v>
      </c>
      <c r="BC334" s="70" t="s">
        <v>2513</v>
      </c>
      <c r="BD334" s="70">
        <v>212</v>
      </c>
      <c r="BE334" s="70">
        <v>213</v>
      </c>
      <c r="BF334" s="70">
        <v>366</v>
      </c>
      <c r="BG334" s="70">
        <v>504</v>
      </c>
      <c r="BH334" s="70">
        <v>483</v>
      </c>
      <c r="BI334" s="70">
        <v>1778</v>
      </c>
      <c r="BJ334" s="70"/>
      <c r="BK334" s="70" t="s">
        <v>2513</v>
      </c>
      <c r="BL334" s="70">
        <v>25</v>
      </c>
      <c r="BM334" s="70">
        <v>0</v>
      </c>
      <c r="BN334" s="70">
        <v>0</v>
      </c>
      <c r="BO334" s="70">
        <v>0</v>
      </c>
      <c r="BP334" s="70">
        <v>0</v>
      </c>
      <c r="BQ334" s="70">
        <v>25</v>
      </c>
    </row>
    <row r="335" spans="54:72">
      <c r="BB335" s="70" t="s">
        <v>1320</v>
      </c>
      <c r="BC335" s="70" t="s">
        <v>2513</v>
      </c>
      <c r="BD335" s="70">
        <v>196</v>
      </c>
      <c r="BE335" s="70">
        <v>119</v>
      </c>
      <c r="BF335" s="70">
        <v>171</v>
      </c>
      <c r="BG335" s="70">
        <v>212</v>
      </c>
      <c r="BH335" s="70">
        <v>254</v>
      </c>
      <c r="BI335" s="70">
        <v>952</v>
      </c>
      <c r="BJ335" s="70"/>
      <c r="BK335" s="70" t="s">
        <v>2513</v>
      </c>
      <c r="BL335" s="70">
        <v>28</v>
      </c>
      <c r="BM335" s="70">
        <v>0</v>
      </c>
      <c r="BN335" s="70">
        <v>0</v>
      </c>
      <c r="BO335" s="70">
        <v>0</v>
      </c>
      <c r="BP335" s="70">
        <v>0</v>
      </c>
      <c r="BQ335" s="70">
        <v>28</v>
      </c>
    </row>
    <row r="336" spans="54:72">
      <c r="BB336" s="70" t="s">
        <v>1323</v>
      </c>
      <c r="BC336" s="70" t="s">
        <v>2513</v>
      </c>
      <c r="BD336" s="70">
        <v>223</v>
      </c>
      <c r="BE336" s="70">
        <v>239</v>
      </c>
      <c r="BF336" s="70">
        <v>385</v>
      </c>
      <c r="BG336" s="70">
        <v>542</v>
      </c>
      <c r="BH336" s="70">
        <v>580</v>
      </c>
      <c r="BI336" s="70">
        <v>1969</v>
      </c>
      <c r="BJ336" s="70"/>
      <c r="BK336" s="70" t="s">
        <v>2513</v>
      </c>
      <c r="BL336" s="70">
        <v>22</v>
      </c>
      <c r="BM336" s="70">
        <v>0</v>
      </c>
      <c r="BN336" s="70">
        <v>0</v>
      </c>
      <c r="BO336" s="70">
        <v>0</v>
      </c>
      <c r="BP336" s="70">
        <v>0</v>
      </c>
      <c r="BQ336" s="70">
        <v>22</v>
      </c>
    </row>
    <row r="337" spans="54:69">
      <c r="BB337" s="70" t="s">
        <v>1326</v>
      </c>
      <c r="BC337" s="70" t="s">
        <v>2513</v>
      </c>
      <c r="BD337" s="70">
        <v>103</v>
      </c>
      <c r="BE337" s="70">
        <v>82</v>
      </c>
      <c r="BF337" s="70">
        <v>157</v>
      </c>
      <c r="BG337" s="70">
        <v>231</v>
      </c>
      <c r="BH337" s="70">
        <v>243</v>
      </c>
      <c r="BI337" s="70">
        <v>816</v>
      </c>
      <c r="BJ337" s="70"/>
      <c r="BK337" s="70" t="s">
        <v>2513</v>
      </c>
      <c r="BL337" s="70">
        <v>16</v>
      </c>
      <c r="BM337" s="70">
        <v>0</v>
      </c>
      <c r="BN337" s="70">
        <v>0</v>
      </c>
      <c r="BO337" s="70">
        <v>0</v>
      </c>
      <c r="BP337" s="70">
        <v>0</v>
      </c>
      <c r="BQ337" s="70">
        <v>16</v>
      </c>
    </row>
    <row r="338" spans="54:69">
      <c r="BB338" s="70" t="s">
        <v>1329</v>
      </c>
      <c r="BC338" s="70" t="s">
        <v>2513</v>
      </c>
      <c r="BD338" s="70">
        <v>32</v>
      </c>
      <c r="BE338" s="70">
        <v>38</v>
      </c>
      <c r="BF338" s="70">
        <v>70</v>
      </c>
      <c r="BG338" s="70">
        <v>120</v>
      </c>
      <c r="BH338" s="70">
        <v>213</v>
      </c>
      <c r="BI338" s="70">
        <v>473</v>
      </c>
      <c r="BJ338" s="70"/>
      <c r="BK338" s="70" t="s">
        <v>2513</v>
      </c>
      <c r="BL338" s="70">
        <v>1</v>
      </c>
      <c r="BM338" s="70">
        <v>0</v>
      </c>
      <c r="BN338" s="70">
        <v>0</v>
      </c>
      <c r="BO338" s="70">
        <v>0</v>
      </c>
      <c r="BP338" s="70">
        <v>0</v>
      </c>
      <c r="BQ338" s="70">
        <v>1</v>
      </c>
    </row>
    <row r="339" spans="54:69">
      <c r="BB339" s="70" t="s">
        <v>1333</v>
      </c>
      <c r="BC339" s="70" t="s">
        <v>2513</v>
      </c>
      <c r="BD339" s="70">
        <v>114</v>
      </c>
      <c r="BE339" s="70">
        <v>200</v>
      </c>
      <c r="BF339" s="70">
        <v>384</v>
      </c>
      <c r="BG339" s="70">
        <v>569</v>
      </c>
      <c r="BH339" s="70">
        <v>508</v>
      </c>
      <c r="BI339" s="70">
        <v>1775</v>
      </c>
      <c r="BJ339" s="70"/>
      <c r="BK339" s="70" t="s">
        <v>2513</v>
      </c>
      <c r="BL339" s="70">
        <v>26</v>
      </c>
      <c r="BM339" s="70">
        <v>2</v>
      </c>
      <c r="BN339" s="70">
        <v>0</v>
      </c>
      <c r="BO339" s="70">
        <v>0</v>
      </c>
      <c r="BP339" s="70">
        <v>0</v>
      </c>
      <c r="BQ339" s="70">
        <v>28</v>
      </c>
    </row>
    <row r="340" spans="54:69">
      <c r="BB340" s="70" t="s">
        <v>1337</v>
      </c>
      <c r="BC340" s="70" t="s">
        <v>2513</v>
      </c>
      <c r="BD340" s="70">
        <v>153</v>
      </c>
      <c r="BE340" s="70">
        <v>222</v>
      </c>
      <c r="BF340" s="70">
        <v>396</v>
      </c>
      <c r="BG340" s="70">
        <v>496</v>
      </c>
      <c r="BH340" s="70">
        <v>443</v>
      </c>
      <c r="BI340" s="70">
        <v>1710</v>
      </c>
      <c r="BJ340" s="70"/>
      <c r="BK340" s="70" t="s">
        <v>2513</v>
      </c>
      <c r="BL340" s="70">
        <v>13</v>
      </c>
      <c r="BM340" s="70">
        <v>0</v>
      </c>
      <c r="BN340" s="70">
        <v>0</v>
      </c>
      <c r="BO340" s="70">
        <v>0</v>
      </c>
      <c r="BP340" s="70">
        <v>0</v>
      </c>
      <c r="BQ340" s="70">
        <v>13</v>
      </c>
    </row>
    <row r="341" spans="54:69">
      <c r="BB341" s="70" t="s">
        <v>1341</v>
      </c>
      <c r="BC341" s="70" t="s">
        <v>2513</v>
      </c>
      <c r="BD341" s="70">
        <v>1535</v>
      </c>
      <c r="BE341" s="70">
        <v>702</v>
      </c>
      <c r="BF341" s="70">
        <v>966</v>
      </c>
      <c r="BG341" s="70">
        <v>1128</v>
      </c>
      <c r="BH341" s="70">
        <v>907</v>
      </c>
      <c r="BI341" s="70">
        <v>5238</v>
      </c>
      <c r="BJ341" s="70"/>
      <c r="BK341" s="70" t="s">
        <v>2513</v>
      </c>
      <c r="BL341" s="70">
        <v>226</v>
      </c>
      <c r="BM341" s="70">
        <v>0</v>
      </c>
      <c r="BN341" s="70">
        <v>0</v>
      </c>
      <c r="BO341" s="70">
        <v>0</v>
      </c>
      <c r="BP341" s="70">
        <v>0</v>
      </c>
      <c r="BQ341" s="70">
        <v>226</v>
      </c>
    </row>
    <row r="342" spans="54:69">
      <c r="BB342" s="70" t="s">
        <v>1344</v>
      </c>
      <c r="BC342" s="70" t="s">
        <v>2513</v>
      </c>
      <c r="BD342" s="70">
        <v>75</v>
      </c>
      <c r="BE342" s="70">
        <v>64</v>
      </c>
      <c r="BF342" s="70">
        <v>136</v>
      </c>
      <c r="BG342" s="70">
        <v>206</v>
      </c>
      <c r="BH342" s="70">
        <v>263</v>
      </c>
      <c r="BI342" s="70">
        <v>744</v>
      </c>
      <c r="BJ342" s="70"/>
      <c r="BK342" s="70" t="s">
        <v>2513</v>
      </c>
      <c r="BL342" s="70">
        <v>12</v>
      </c>
      <c r="BM342" s="70">
        <v>0</v>
      </c>
      <c r="BN342" s="70">
        <v>0</v>
      </c>
      <c r="BO342" s="70">
        <v>0</v>
      </c>
      <c r="BP342" s="70">
        <v>0</v>
      </c>
      <c r="BQ342" s="70">
        <v>12</v>
      </c>
    </row>
    <row r="343" spans="54:69">
      <c r="BB343" s="70" t="s">
        <v>1347</v>
      </c>
      <c r="BC343" s="70" t="s">
        <v>2513</v>
      </c>
      <c r="BD343" s="70">
        <v>526</v>
      </c>
      <c r="BE343" s="70">
        <v>438</v>
      </c>
      <c r="BF343" s="70">
        <v>661</v>
      </c>
      <c r="BG343" s="70">
        <v>779</v>
      </c>
      <c r="BH343" s="70">
        <v>826</v>
      </c>
      <c r="BI343" s="70">
        <v>3230</v>
      </c>
      <c r="BJ343" s="70"/>
      <c r="BK343" s="70" t="s">
        <v>2513</v>
      </c>
      <c r="BL343" s="70">
        <v>50</v>
      </c>
      <c r="BM343" s="70">
        <v>0</v>
      </c>
      <c r="BN343" s="70">
        <v>0</v>
      </c>
      <c r="BO343" s="70">
        <v>0</v>
      </c>
      <c r="BP343" s="70">
        <v>0</v>
      </c>
      <c r="BQ343" s="70">
        <v>50</v>
      </c>
    </row>
    <row r="344" spans="54:69">
      <c r="BB344" s="70" t="s">
        <v>1350</v>
      </c>
      <c r="BC344" s="70" t="s">
        <v>2513</v>
      </c>
      <c r="BD344" s="70">
        <v>189</v>
      </c>
      <c r="BE344" s="70">
        <v>102</v>
      </c>
      <c r="BF344" s="70">
        <v>162</v>
      </c>
      <c r="BG344" s="70">
        <v>275</v>
      </c>
      <c r="BH344" s="70">
        <v>240</v>
      </c>
      <c r="BI344" s="70">
        <v>968</v>
      </c>
      <c r="BJ344" s="70"/>
      <c r="BK344" s="70" t="s">
        <v>2513</v>
      </c>
      <c r="BL344" s="70">
        <v>45</v>
      </c>
      <c r="BM344" s="70">
        <v>0</v>
      </c>
      <c r="BN344" s="70">
        <v>0</v>
      </c>
      <c r="BO344" s="70">
        <v>0</v>
      </c>
      <c r="BP344" s="70">
        <v>0</v>
      </c>
      <c r="BQ344" s="70">
        <v>45</v>
      </c>
    </row>
    <row r="345" spans="54:69">
      <c r="BB345" s="70" t="s">
        <v>1356</v>
      </c>
      <c r="BC345" s="70" t="s">
        <v>2513</v>
      </c>
      <c r="BD345" s="70">
        <v>610</v>
      </c>
      <c r="BE345" s="70">
        <v>369</v>
      </c>
      <c r="BF345" s="70">
        <v>540</v>
      </c>
      <c r="BG345" s="70">
        <v>634</v>
      </c>
      <c r="BH345" s="70">
        <v>513</v>
      </c>
      <c r="BI345" s="70">
        <v>2666</v>
      </c>
      <c r="BJ345" s="70"/>
      <c r="BK345" s="70" t="s">
        <v>2513</v>
      </c>
      <c r="BL345" s="70">
        <v>124</v>
      </c>
      <c r="BM345" s="70">
        <v>0</v>
      </c>
      <c r="BN345" s="70">
        <v>0</v>
      </c>
      <c r="BO345" s="70">
        <v>0</v>
      </c>
      <c r="BP345" s="70">
        <v>0</v>
      </c>
      <c r="BQ345" s="70">
        <v>124</v>
      </c>
    </row>
    <row r="346" spans="54:69">
      <c r="BB346" s="70" t="s">
        <v>1359</v>
      </c>
      <c r="BC346" s="70" t="s">
        <v>2513</v>
      </c>
      <c r="BD346" s="70">
        <v>167</v>
      </c>
      <c r="BE346" s="70">
        <v>83</v>
      </c>
      <c r="BF346" s="70">
        <v>169</v>
      </c>
      <c r="BG346" s="70">
        <v>207</v>
      </c>
      <c r="BH346" s="70">
        <v>216</v>
      </c>
      <c r="BI346" s="70">
        <v>842</v>
      </c>
      <c r="BJ346" s="70"/>
      <c r="BK346" s="70" t="s">
        <v>2513</v>
      </c>
      <c r="BL346" s="70">
        <v>36</v>
      </c>
      <c r="BM346" s="70">
        <v>0</v>
      </c>
      <c r="BN346" s="70">
        <v>0</v>
      </c>
      <c r="BO346" s="70">
        <v>0</v>
      </c>
      <c r="BP346" s="70">
        <v>0</v>
      </c>
      <c r="BQ346" s="70">
        <v>36</v>
      </c>
    </row>
    <row r="347" spans="54:69">
      <c r="BB347" s="70" t="s">
        <v>1362</v>
      </c>
      <c r="BC347" s="70" t="s">
        <v>2513</v>
      </c>
      <c r="BD347" s="70">
        <v>120</v>
      </c>
      <c r="BE347" s="70">
        <v>87</v>
      </c>
      <c r="BF347" s="70">
        <v>110</v>
      </c>
      <c r="BG347" s="70">
        <v>183</v>
      </c>
      <c r="BH347" s="70">
        <v>191</v>
      </c>
      <c r="BI347" s="70">
        <v>691</v>
      </c>
      <c r="BJ347" s="70"/>
      <c r="BK347" s="70" t="s">
        <v>2513</v>
      </c>
      <c r="BL347" s="70">
        <v>16</v>
      </c>
      <c r="BM347" s="70">
        <v>0</v>
      </c>
      <c r="BN347" s="70">
        <v>0</v>
      </c>
      <c r="BO347" s="70">
        <v>0</v>
      </c>
      <c r="BP347" s="70">
        <v>0</v>
      </c>
      <c r="BQ347" s="70">
        <v>16</v>
      </c>
    </row>
    <row r="348" spans="54:69">
      <c r="BB348" s="70" t="s">
        <v>1367</v>
      </c>
      <c r="BC348" s="70" t="s">
        <v>2513</v>
      </c>
      <c r="BD348" s="70">
        <v>104</v>
      </c>
      <c r="BE348" s="70">
        <v>70</v>
      </c>
      <c r="BF348" s="70">
        <v>140</v>
      </c>
      <c r="BG348" s="70">
        <v>166</v>
      </c>
      <c r="BH348" s="70">
        <v>197</v>
      </c>
      <c r="BI348" s="70">
        <v>677</v>
      </c>
      <c r="BJ348" s="70"/>
      <c r="BK348" s="70" t="s">
        <v>2513</v>
      </c>
      <c r="BL348" s="70">
        <v>22</v>
      </c>
      <c r="BM348" s="70">
        <v>0</v>
      </c>
      <c r="BN348" s="70">
        <v>0</v>
      </c>
      <c r="BO348" s="70">
        <v>0</v>
      </c>
      <c r="BP348" s="70">
        <v>0</v>
      </c>
      <c r="BQ348" s="70">
        <v>22</v>
      </c>
    </row>
    <row r="349" spans="54:69">
      <c r="BB349" s="70" t="s">
        <v>1372</v>
      </c>
      <c r="BC349" s="70" t="s">
        <v>2513</v>
      </c>
      <c r="BD349" s="70">
        <v>61</v>
      </c>
      <c r="BE349" s="70">
        <v>57</v>
      </c>
      <c r="BF349" s="70">
        <v>133</v>
      </c>
      <c r="BG349" s="70">
        <v>167</v>
      </c>
      <c r="BH349" s="70">
        <v>181</v>
      </c>
      <c r="BI349" s="70">
        <v>599</v>
      </c>
      <c r="BJ349" s="70"/>
      <c r="BK349" s="70" t="s">
        <v>2513</v>
      </c>
      <c r="BL349" s="70">
        <v>21</v>
      </c>
      <c r="BM349" s="70">
        <v>0</v>
      </c>
      <c r="BN349" s="70">
        <v>0</v>
      </c>
      <c r="BO349" s="70">
        <v>0</v>
      </c>
      <c r="BP349" s="70">
        <v>0</v>
      </c>
      <c r="BQ349" s="70">
        <v>21</v>
      </c>
    </row>
    <row r="350" spans="54:69">
      <c r="BB350" s="70" t="s">
        <v>1376</v>
      </c>
      <c r="BC350" s="70" t="s">
        <v>2513</v>
      </c>
      <c r="BD350" s="70">
        <v>447</v>
      </c>
      <c r="BE350" s="70">
        <v>326</v>
      </c>
      <c r="BF350" s="70">
        <v>403</v>
      </c>
      <c r="BG350" s="70">
        <v>430</v>
      </c>
      <c r="BH350" s="70">
        <v>350</v>
      </c>
      <c r="BI350" s="70">
        <v>1956</v>
      </c>
      <c r="BJ350" s="70"/>
      <c r="BK350" s="70" t="s">
        <v>2513</v>
      </c>
      <c r="BL350" s="70">
        <v>26</v>
      </c>
      <c r="BM350" s="70">
        <v>0</v>
      </c>
      <c r="BN350" s="70">
        <v>0</v>
      </c>
      <c r="BO350" s="70">
        <v>0</v>
      </c>
      <c r="BP350" s="70">
        <v>0</v>
      </c>
      <c r="BQ350" s="70">
        <v>26</v>
      </c>
    </row>
    <row r="351" spans="54:69">
      <c r="BB351" s="70" t="s">
        <v>1380</v>
      </c>
      <c r="BC351" s="70" t="s">
        <v>2513</v>
      </c>
      <c r="BD351" s="70">
        <v>168</v>
      </c>
      <c r="BE351" s="70">
        <v>145</v>
      </c>
      <c r="BF351" s="70">
        <v>241</v>
      </c>
      <c r="BG351" s="70">
        <v>344</v>
      </c>
      <c r="BH351" s="70">
        <v>291</v>
      </c>
      <c r="BI351" s="70">
        <v>1189</v>
      </c>
      <c r="BJ351" s="70"/>
      <c r="BK351" s="70" t="s">
        <v>2513</v>
      </c>
      <c r="BL351" s="70">
        <v>17</v>
      </c>
      <c r="BM351" s="70">
        <v>0</v>
      </c>
      <c r="BN351" s="70">
        <v>0</v>
      </c>
      <c r="BO351" s="70">
        <v>0</v>
      </c>
      <c r="BP351" s="70">
        <v>0</v>
      </c>
      <c r="BQ351" s="70">
        <v>17</v>
      </c>
    </row>
    <row r="352" spans="54:69">
      <c r="BB352" s="70" t="s">
        <v>1385</v>
      </c>
      <c r="BC352" s="70" t="s">
        <v>2513</v>
      </c>
      <c r="BD352" s="70">
        <v>93</v>
      </c>
      <c r="BE352" s="70">
        <v>103</v>
      </c>
      <c r="BF352" s="70">
        <v>186</v>
      </c>
      <c r="BG352" s="70">
        <v>224</v>
      </c>
      <c r="BH352" s="70">
        <v>210</v>
      </c>
      <c r="BI352" s="70">
        <v>816</v>
      </c>
      <c r="BJ352" s="70"/>
      <c r="BK352" s="70" t="s">
        <v>2513</v>
      </c>
      <c r="BL352" s="70">
        <v>14</v>
      </c>
      <c r="BM352" s="70">
        <v>0</v>
      </c>
      <c r="BN352" s="70">
        <v>0</v>
      </c>
      <c r="BO352" s="70">
        <v>0</v>
      </c>
      <c r="BP352" s="70">
        <v>0</v>
      </c>
      <c r="BQ352" s="70">
        <v>14</v>
      </c>
    </row>
    <row r="353" spans="54:69">
      <c r="BB353" s="70" t="s">
        <v>362</v>
      </c>
      <c r="BC353" s="70" t="s">
        <v>2513</v>
      </c>
      <c r="BD353" s="70">
        <v>102</v>
      </c>
      <c r="BE353" s="70">
        <v>116</v>
      </c>
      <c r="BF353" s="70">
        <v>177</v>
      </c>
      <c r="BG353" s="70">
        <v>240</v>
      </c>
      <c r="BH353" s="70">
        <v>209</v>
      </c>
      <c r="BI353" s="70">
        <v>844</v>
      </c>
      <c r="BJ353" s="70"/>
      <c r="BK353" s="70" t="s">
        <v>2513</v>
      </c>
      <c r="BL353" s="70">
        <v>18</v>
      </c>
      <c r="BM353" s="70">
        <v>0</v>
      </c>
      <c r="BN353" s="70">
        <v>0</v>
      </c>
      <c r="BO353" s="70">
        <v>0</v>
      </c>
      <c r="BP353" s="70">
        <v>0</v>
      </c>
      <c r="BQ353" s="70">
        <v>18</v>
      </c>
    </row>
    <row r="354" spans="54:69">
      <c r="BB354" s="70" t="s">
        <v>1394</v>
      </c>
      <c r="BC354" s="70" t="s">
        <v>2513</v>
      </c>
      <c r="BD354" s="70">
        <v>382</v>
      </c>
      <c r="BE354" s="70">
        <v>539</v>
      </c>
      <c r="BF354" s="70">
        <v>834</v>
      </c>
      <c r="BG354" s="70">
        <v>1028</v>
      </c>
      <c r="BH354" s="70">
        <v>774</v>
      </c>
      <c r="BI354" s="70">
        <v>3557</v>
      </c>
      <c r="BJ354" s="70"/>
      <c r="BK354" s="70" t="s">
        <v>2513</v>
      </c>
      <c r="BL354" s="70">
        <v>24</v>
      </c>
      <c r="BM354" s="70">
        <v>0</v>
      </c>
      <c r="BN354" s="70">
        <v>0</v>
      </c>
      <c r="BO354" s="70">
        <v>0</v>
      </c>
      <c r="BP354" s="70">
        <v>0</v>
      </c>
      <c r="BQ354" s="70">
        <v>24</v>
      </c>
    </row>
    <row r="355" spans="54:69">
      <c r="BB355" s="70" t="s">
        <v>470</v>
      </c>
      <c r="BC355" s="70" t="s">
        <v>2513</v>
      </c>
      <c r="BD355" s="70">
        <v>38</v>
      </c>
      <c r="BE355" s="70">
        <v>59</v>
      </c>
      <c r="BF355" s="70">
        <v>123</v>
      </c>
      <c r="BG355" s="70">
        <v>182</v>
      </c>
      <c r="BH355" s="70">
        <v>186</v>
      </c>
      <c r="BI355" s="70">
        <v>588</v>
      </c>
      <c r="BJ355" s="70"/>
      <c r="BK355" s="70" t="s">
        <v>2513</v>
      </c>
      <c r="BL355" s="70">
        <v>3</v>
      </c>
      <c r="BM355" s="70">
        <v>1</v>
      </c>
      <c r="BN355" s="70">
        <v>0</v>
      </c>
      <c r="BO355" s="70">
        <v>0</v>
      </c>
      <c r="BP355" s="70">
        <v>0</v>
      </c>
      <c r="BQ355" s="70">
        <v>4</v>
      </c>
    </row>
    <row r="356" spans="54:69">
      <c r="BB356" s="70" t="s">
        <v>1404</v>
      </c>
      <c r="BC356" s="70" t="s">
        <v>2513</v>
      </c>
      <c r="BD356" s="70">
        <v>378</v>
      </c>
      <c r="BE356" s="70">
        <v>417</v>
      </c>
      <c r="BF356" s="70">
        <v>529</v>
      </c>
      <c r="BG356" s="70">
        <v>646</v>
      </c>
      <c r="BH356" s="70">
        <v>494</v>
      </c>
      <c r="BI356" s="70">
        <v>2464</v>
      </c>
      <c r="BJ356" s="70"/>
      <c r="BK356" s="70" t="s">
        <v>2513</v>
      </c>
      <c r="BL356" s="70">
        <v>47</v>
      </c>
      <c r="BM356" s="70">
        <v>0</v>
      </c>
      <c r="BN356" s="70">
        <v>0</v>
      </c>
      <c r="BO356" s="70">
        <v>0</v>
      </c>
      <c r="BP356" s="70">
        <v>0</v>
      </c>
      <c r="BQ356" s="70">
        <v>47</v>
      </c>
    </row>
    <row r="357" spans="54:69">
      <c r="BB357" s="70" t="s">
        <v>472</v>
      </c>
      <c r="BC357" s="70" t="s">
        <v>2513</v>
      </c>
      <c r="BD357" s="70">
        <v>609</v>
      </c>
      <c r="BE357" s="70">
        <v>372</v>
      </c>
      <c r="BF357" s="70">
        <v>510</v>
      </c>
      <c r="BG357" s="70">
        <v>472</v>
      </c>
      <c r="BH357" s="70">
        <v>412</v>
      </c>
      <c r="BI357" s="70">
        <v>2375</v>
      </c>
      <c r="BJ357" s="70"/>
      <c r="BK357" s="70" t="s">
        <v>2513</v>
      </c>
      <c r="BL357" s="70">
        <v>123</v>
      </c>
      <c r="BM357" s="70">
        <v>0</v>
      </c>
      <c r="BN357" s="70">
        <v>0</v>
      </c>
      <c r="BO357" s="70">
        <v>0</v>
      </c>
      <c r="BP357" s="70">
        <v>0</v>
      </c>
      <c r="BQ357" s="70">
        <v>123</v>
      </c>
    </row>
    <row r="358" spans="54:69">
      <c r="BB358" s="70" t="s">
        <v>1412</v>
      </c>
      <c r="BC358" s="70" t="s">
        <v>2513</v>
      </c>
      <c r="BD358" s="70">
        <v>74</v>
      </c>
      <c r="BE358" s="70">
        <v>138</v>
      </c>
      <c r="BF358" s="70">
        <v>243</v>
      </c>
      <c r="BG358" s="70">
        <v>341</v>
      </c>
      <c r="BH358" s="70">
        <v>270</v>
      </c>
      <c r="BI358" s="70">
        <v>1066</v>
      </c>
      <c r="BJ358" s="70"/>
      <c r="BK358" s="70" t="s">
        <v>2513</v>
      </c>
      <c r="BL358" s="70">
        <v>12</v>
      </c>
      <c r="BM358" s="70">
        <v>0</v>
      </c>
      <c r="BN358" s="70">
        <v>0</v>
      </c>
      <c r="BO358" s="70">
        <v>0</v>
      </c>
      <c r="BP358" s="70">
        <v>0</v>
      </c>
      <c r="BQ358" s="70">
        <v>12</v>
      </c>
    </row>
    <row r="359" spans="54:69">
      <c r="BB359" s="70" t="s">
        <v>1418</v>
      </c>
      <c r="BC359" s="70" t="s">
        <v>2513</v>
      </c>
      <c r="BD359" s="70">
        <v>133</v>
      </c>
      <c r="BE359" s="70">
        <v>110</v>
      </c>
      <c r="BF359" s="70">
        <v>228</v>
      </c>
      <c r="BG359" s="70">
        <v>266</v>
      </c>
      <c r="BH359" s="70">
        <v>258</v>
      </c>
      <c r="BI359" s="70">
        <v>995</v>
      </c>
      <c r="BJ359" s="70"/>
      <c r="BK359" s="70" t="s">
        <v>2513</v>
      </c>
      <c r="BL359" s="70">
        <v>41</v>
      </c>
      <c r="BM359" s="70">
        <v>0</v>
      </c>
      <c r="BN359" s="70">
        <v>0</v>
      </c>
      <c r="BO359" s="70">
        <v>0</v>
      </c>
      <c r="BP359" s="70">
        <v>0</v>
      </c>
      <c r="BQ359" s="70">
        <v>41</v>
      </c>
    </row>
    <row r="360" spans="54:69">
      <c r="BB360" s="70" t="s">
        <v>1424</v>
      </c>
      <c r="BC360" s="70" t="s">
        <v>2513</v>
      </c>
      <c r="BD360" s="70">
        <v>348</v>
      </c>
      <c r="BE360" s="70">
        <v>394</v>
      </c>
      <c r="BF360" s="70">
        <v>644</v>
      </c>
      <c r="BG360" s="70">
        <v>772</v>
      </c>
      <c r="BH360" s="70">
        <v>566</v>
      </c>
      <c r="BI360" s="70">
        <v>2724</v>
      </c>
      <c r="BJ360" s="70"/>
      <c r="BK360" s="70" t="s">
        <v>2513</v>
      </c>
      <c r="BL360" s="70">
        <v>48</v>
      </c>
      <c r="BM360" s="70">
        <v>0</v>
      </c>
      <c r="BN360" s="70">
        <v>0</v>
      </c>
      <c r="BO360" s="70">
        <v>0</v>
      </c>
      <c r="BP360" s="70">
        <v>0</v>
      </c>
      <c r="BQ360" s="70">
        <v>48</v>
      </c>
    </row>
    <row r="361" spans="54:69">
      <c r="BB361" s="70" t="s">
        <v>473</v>
      </c>
      <c r="BC361" s="70" t="s">
        <v>2513</v>
      </c>
      <c r="BD361" s="70">
        <v>306</v>
      </c>
      <c r="BE361" s="70">
        <v>240</v>
      </c>
      <c r="BF361" s="70">
        <v>381</v>
      </c>
      <c r="BG361" s="70">
        <v>451</v>
      </c>
      <c r="BH361" s="70">
        <v>371</v>
      </c>
      <c r="BI361" s="70">
        <v>1749</v>
      </c>
      <c r="BJ361" s="70"/>
      <c r="BK361" s="70" t="s">
        <v>2513</v>
      </c>
      <c r="BL361" s="70">
        <v>68</v>
      </c>
      <c r="BM361" s="70">
        <v>0</v>
      </c>
      <c r="BN361" s="70">
        <v>0</v>
      </c>
      <c r="BO361" s="70">
        <v>0</v>
      </c>
      <c r="BP361" s="70">
        <v>0</v>
      </c>
      <c r="BQ361" s="70">
        <v>68</v>
      </c>
    </row>
    <row r="362" spans="54:69">
      <c r="BB362" s="70" t="s">
        <v>1432</v>
      </c>
      <c r="BC362" s="70" t="s">
        <v>2513</v>
      </c>
      <c r="BD362" s="70">
        <v>182</v>
      </c>
      <c r="BE362" s="70">
        <v>170</v>
      </c>
      <c r="BF362" s="70">
        <v>270</v>
      </c>
      <c r="BG362" s="70">
        <v>405</v>
      </c>
      <c r="BH362" s="70">
        <v>327</v>
      </c>
      <c r="BI362" s="70">
        <v>1354</v>
      </c>
      <c r="BJ362" s="70"/>
      <c r="BK362" s="70" t="s">
        <v>2513</v>
      </c>
      <c r="BL362" s="70">
        <v>42</v>
      </c>
      <c r="BM362" s="70">
        <v>0</v>
      </c>
      <c r="BN362" s="70">
        <v>0</v>
      </c>
      <c r="BO362" s="70">
        <v>0</v>
      </c>
      <c r="BP362" s="70">
        <v>0</v>
      </c>
      <c r="BQ362" s="70">
        <v>42</v>
      </c>
    </row>
    <row r="363" spans="54:69">
      <c r="BB363" s="70" t="s">
        <v>474</v>
      </c>
      <c r="BC363" s="70" t="s">
        <v>2513</v>
      </c>
      <c r="BD363" s="70">
        <v>162</v>
      </c>
      <c r="BE363" s="70">
        <v>215</v>
      </c>
      <c r="BF363" s="70">
        <v>386</v>
      </c>
      <c r="BG363" s="70">
        <v>585</v>
      </c>
      <c r="BH363" s="70">
        <v>475</v>
      </c>
      <c r="BI363" s="70">
        <v>1823</v>
      </c>
      <c r="BJ363" s="70"/>
      <c r="BK363" s="70" t="s">
        <v>2513</v>
      </c>
      <c r="BL363" s="70">
        <v>21</v>
      </c>
      <c r="BM363" s="70">
        <v>0</v>
      </c>
      <c r="BN363" s="70">
        <v>0</v>
      </c>
      <c r="BO363" s="70">
        <v>0</v>
      </c>
      <c r="BP363" s="70">
        <v>0</v>
      </c>
      <c r="BQ363" s="70">
        <v>21</v>
      </c>
    </row>
    <row r="364" spans="54:69">
      <c r="BB364" s="70" t="s">
        <v>1440</v>
      </c>
      <c r="BC364" s="70" t="s">
        <v>2513</v>
      </c>
      <c r="BD364" s="70">
        <v>337</v>
      </c>
      <c r="BE364" s="70">
        <v>340</v>
      </c>
      <c r="BF364" s="70">
        <v>500</v>
      </c>
      <c r="BG364" s="70">
        <v>649</v>
      </c>
      <c r="BH364" s="70">
        <v>593</v>
      </c>
      <c r="BI364" s="70">
        <v>2419</v>
      </c>
      <c r="BJ364" s="70"/>
      <c r="BK364" s="70" t="s">
        <v>2513</v>
      </c>
      <c r="BL364" s="70">
        <v>33</v>
      </c>
      <c r="BM364" s="70">
        <v>0</v>
      </c>
      <c r="BN364" s="70">
        <v>0</v>
      </c>
      <c r="BO364" s="70">
        <v>0</v>
      </c>
      <c r="BP364" s="70">
        <v>0</v>
      </c>
      <c r="BQ364" s="70">
        <v>33</v>
      </c>
    </row>
    <row r="365" spans="54:69">
      <c r="BB365" s="70" t="s">
        <v>1445</v>
      </c>
      <c r="BC365" s="70" t="s">
        <v>2513</v>
      </c>
      <c r="BD365" s="70">
        <v>162</v>
      </c>
      <c r="BE365" s="70">
        <v>162</v>
      </c>
      <c r="BF365" s="70">
        <v>278</v>
      </c>
      <c r="BG365" s="70">
        <v>368</v>
      </c>
      <c r="BH365" s="70">
        <v>288</v>
      </c>
      <c r="BI365" s="70">
        <v>1258</v>
      </c>
      <c r="BJ365" s="70"/>
      <c r="BK365" s="70" t="s">
        <v>2513</v>
      </c>
      <c r="BL365" s="70">
        <v>35</v>
      </c>
      <c r="BM365" s="70">
        <v>0</v>
      </c>
      <c r="BN365" s="70">
        <v>0</v>
      </c>
      <c r="BO365" s="70">
        <v>0</v>
      </c>
      <c r="BP365" s="70">
        <v>0</v>
      </c>
      <c r="BQ365" s="70">
        <v>35</v>
      </c>
    </row>
    <row r="366" spans="54:69">
      <c r="BB366" s="70" t="s">
        <v>1449</v>
      </c>
      <c r="BC366" s="70" t="s">
        <v>2513</v>
      </c>
      <c r="BD366" s="70">
        <v>409</v>
      </c>
      <c r="BE366" s="70">
        <v>78</v>
      </c>
      <c r="BF366" s="70">
        <v>141</v>
      </c>
      <c r="BG366" s="70">
        <v>175</v>
      </c>
      <c r="BH366" s="70">
        <v>319</v>
      </c>
      <c r="BI366" s="70">
        <v>1122</v>
      </c>
      <c r="BJ366" s="70"/>
      <c r="BK366" s="70" t="s">
        <v>2513</v>
      </c>
      <c r="BL366" s="70">
        <v>177</v>
      </c>
      <c r="BM366" s="70">
        <v>0</v>
      </c>
      <c r="BN366" s="70">
        <v>0</v>
      </c>
      <c r="BO366" s="70">
        <v>0</v>
      </c>
      <c r="BP366" s="70">
        <v>0</v>
      </c>
      <c r="BQ366" s="70">
        <v>177</v>
      </c>
    </row>
    <row r="367" spans="54:69">
      <c r="BB367" s="70" t="s">
        <v>487</v>
      </c>
      <c r="BC367" s="70" t="s">
        <v>2513</v>
      </c>
      <c r="BD367" s="70">
        <v>67</v>
      </c>
      <c r="BE367" s="70">
        <v>35</v>
      </c>
      <c r="BF367" s="70">
        <v>51</v>
      </c>
      <c r="BG367" s="70">
        <v>76</v>
      </c>
      <c r="BH367" s="70">
        <v>180</v>
      </c>
      <c r="BI367" s="70">
        <v>409</v>
      </c>
      <c r="BJ367" s="70"/>
      <c r="BK367" s="70" t="s">
        <v>2513</v>
      </c>
      <c r="BL367" s="70">
        <v>30</v>
      </c>
      <c r="BM367" s="70">
        <v>0</v>
      </c>
      <c r="BN367" s="70">
        <v>0</v>
      </c>
      <c r="BO367" s="70">
        <v>0</v>
      </c>
      <c r="BP367" s="70">
        <v>0</v>
      </c>
      <c r="BQ367" s="70">
        <v>30</v>
      </c>
    </row>
    <row r="368" spans="54:69">
      <c r="BB368" s="70" t="s">
        <v>1458</v>
      </c>
      <c r="BC368" s="70" t="s">
        <v>2513</v>
      </c>
      <c r="BD368" s="70">
        <v>900</v>
      </c>
      <c r="BE368" s="70">
        <v>734</v>
      </c>
      <c r="BF368" s="70">
        <v>915</v>
      </c>
      <c r="BG368" s="70">
        <v>916</v>
      </c>
      <c r="BH368" s="70">
        <v>735</v>
      </c>
      <c r="BI368" s="70">
        <v>4200</v>
      </c>
      <c r="BJ368" s="70"/>
      <c r="BK368" s="70" t="s">
        <v>2513</v>
      </c>
      <c r="BL368" s="70">
        <v>245</v>
      </c>
      <c r="BM368" s="70">
        <v>0</v>
      </c>
      <c r="BN368" s="70">
        <v>0</v>
      </c>
      <c r="BO368" s="70">
        <v>0</v>
      </c>
      <c r="BP368" s="70">
        <v>0</v>
      </c>
      <c r="BQ368" s="70">
        <v>245</v>
      </c>
    </row>
    <row r="369" spans="54:69">
      <c r="BB369" s="70" t="s">
        <v>1461</v>
      </c>
      <c r="BC369" s="70" t="s">
        <v>2513</v>
      </c>
      <c r="BD369" s="70">
        <v>307</v>
      </c>
      <c r="BE369" s="70">
        <v>233</v>
      </c>
      <c r="BF369" s="70">
        <v>414</v>
      </c>
      <c r="BG369" s="70">
        <v>586</v>
      </c>
      <c r="BH369" s="70">
        <v>518</v>
      </c>
      <c r="BI369" s="70">
        <v>2058</v>
      </c>
      <c r="BJ369" s="70"/>
      <c r="BK369" s="70" t="s">
        <v>2513</v>
      </c>
      <c r="BL369" s="70">
        <v>60</v>
      </c>
      <c r="BM369" s="70">
        <v>0</v>
      </c>
      <c r="BN369" s="70">
        <v>0</v>
      </c>
      <c r="BO369" s="70">
        <v>0</v>
      </c>
      <c r="BP369" s="70">
        <v>0</v>
      </c>
      <c r="BQ369" s="70">
        <v>60</v>
      </c>
    </row>
    <row r="370" spans="54:69">
      <c r="BB370" s="70" t="s">
        <v>1464</v>
      </c>
      <c r="BC370" s="70" t="s">
        <v>2513</v>
      </c>
      <c r="BD370" s="70">
        <v>104</v>
      </c>
      <c r="BE370" s="70">
        <v>224</v>
      </c>
      <c r="BF370" s="70">
        <v>439</v>
      </c>
      <c r="BG370" s="70">
        <v>642</v>
      </c>
      <c r="BH370" s="70">
        <v>652</v>
      </c>
      <c r="BI370" s="70">
        <v>2061</v>
      </c>
      <c r="BJ370" s="70"/>
      <c r="BK370" s="70" t="s">
        <v>2513</v>
      </c>
      <c r="BL370" s="70">
        <v>15</v>
      </c>
      <c r="BM370" s="70">
        <v>0</v>
      </c>
      <c r="BN370" s="70">
        <v>0</v>
      </c>
      <c r="BO370" s="70">
        <v>0</v>
      </c>
      <c r="BP370" s="70">
        <v>0</v>
      </c>
      <c r="BQ370" s="70">
        <v>15</v>
      </c>
    </row>
    <row r="371" spans="54:69">
      <c r="BB371" s="70" t="s">
        <v>1467</v>
      </c>
      <c r="BC371" s="70" t="s">
        <v>2513</v>
      </c>
      <c r="BD371" s="70">
        <v>191</v>
      </c>
      <c r="BE371" s="70">
        <v>137</v>
      </c>
      <c r="BF371" s="70">
        <v>320</v>
      </c>
      <c r="BG371" s="70">
        <v>420</v>
      </c>
      <c r="BH371" s="70">
        <v>405</v>
      </c>
      <c r="BI371" s="70">
        <v>1473</v>
      </c>
      <c r="BJ371" s="70"/>
      <c r="BK371" s="70" t="s">
        <v>2513</v>
      </c>
      <c r="BL371" s="70">
        <v>27</v>
      </c>
      <c r="BM371" s="70">
        <v>0</v>
      </c>
      <c r="BN371" s="70">
        <v>0</v>
      </c>
      <c r="BO371" s="70">
        <v>0</v>
      </c>
      <c r="BP371" s="70">
        <v>0</v>
      </c>
      <c r="BQ371" s="70">
        <v>27</v>
      </c>
    </row>
    <row r="372" spans="54:69">
      <c r="BB372" s="70" t="s">
        <v>1470</v>
      </c>
      <c r="BC372" s="70" t="s">
        <v>2513</v>
      </c>
      <c r="BD372" s="70">
        <v>121</v>
      </c>
      <c r="BE372" s="70">
        <v>189</v>
      </c>
      <c r="BF372" s="70">
        <v>411</v>
      </c>
      <c r="BG372" s="70">
        <v>519</v>
      </c>
      <c r="BH372" s="70">
        <v>445</v>
      </c>
      <c r="BI372" s="70">
        <v>1685</v>
      </c>
      <c r="BJ372" s="70"/>
      <c r="BK372" s="70" t="s">
        <v>2513</v>
      </c>
      <c r="BL372" s="70">
        <v>18</v>
      </c>
      <c r="BM372" s="70">
        <v>0</v>
      </c>
      <c r="BN372" s="70">
        <v>0</v>
      </c>
      <c r="BO372" s="70">
        <v>0</v>
      </c>
      <c r="BP372" s="70">
        <v>0</v>
      </c>
      <c r="BQ372" s="70">
        <v>18</v>
      </c>
    </row>
    <row r="373" spans="54:69">
      <c r="BB373" s="70" t="s">
        <v>1473</v>
      </c>
      <c r="BC373" s="70" t="s">
        <v>2513</v>
      </c>
      <c r="BD373" s="70">
        <v>1827</v>
      </c>
      <c r="BE373" s="70">
        <v>983</v>
      </c>
      <c r="BF373" s="70">
        <v>1002</v>
      </c>
      <c r="BG373" s="70">
        <v>1012</v>
      </c>
      <c r="BH373" s="70">
        <v>757</v>
      </c>
      <c r="BI373" s="70">
        <v>5581</v>
      </c>
      <c r="BJ373" s="70"/>
      <c r="BK373" s="70" t="s">
        <v>2513</v>
      </c>
      <c r="BL373" s="70">
        <v>375</v>
      </c>
      <c r="BM373" s="70">
        <v>5</v>
      </c>
      <c r="BN373" s="70">
        <v>0</v>
      </c>
      <c r="BO373" s="70">
        <v>0</v>
      </c>
      <c r="BP373" s="70">
        <v>0</v>
      </c>
      <c r="BQ373" s="70">
        <v>380</v>
      </c>
    </row>
    <row r="374" spans="54:69">
      <c r="BB374" s="70" t="s">
        <v>2249</v>
      </c>
      <c r="BC374" s="70" t="s">
        <v>2513</v>
      </c>
      <c r="BD374" s="70">
        <v>185</v>
      </c>
      <c r="BE374" s="70">
        <v>236</v>
      </c>
      <c r="BF374" s="70">
        <v>345</v>
      </c>
      <c r="BG374" s="70">
        <v>456</v>
      </c>
      <c r="BH374" s="70">
        <v>354</v>
      </c>
      <c r="BI374" s="70">
        <v>1576</v>
      </c>
      <c r="BJ374" s="70"/>
      <c r="BK374" s="70" t="s">
        <v>2513</v>
      </c>
      <c r="BL374" s="70">
        <v>38</v>
      </c>
      <c r="BM374" s="70">
        <v>0</v>
      </c>
      <c r="BN374" s="70">
        <v>0</v>
      </c>
      <c r="BO374" s="70">
        <v>0</v>
      </c>
      <c r="BP374" s="70">
        <v>0</v>
      </c>
      <c r="BQ374" s="70">
        <v>38</v>
      </c>
    </row>
    <row r="375" spans="54:69">
      <c r="BB375" s="70" t="s">
        <v>1483</v>
      </c>
      <c r="BC375" s="70" t="s">
        <v>2513</v>
      </c>
      <c r="BD375" s="70">
        <v>113</v>
      </c>
      <c r="BE375" s="70">
        <v>83</v>
      </c>
      <c r="BF375" s="70">
        <v>116</v>
      </c>
      <c r="BG375" s="70">
        <v>141</v>
      </c>
      <c r="BH375" s="70">
        <v>166</v>
      </c>
      <c r="BI375" s="70">
        <v>619</v>
      </c>
      <c r="BJ375" s="70"/>
      <c r="BK375" s="70" t="s">
        <v>2513</v>
      </c>
      <c r="BL375" s="70">
        <v>32</v>
      </c>
      <c r="BM375" s="70">
        <v>0</v>
      </c>
      <c r="BN375" s="70">
        <v>0</v>
      </c>
      <c r="BO375" s="70">
        <v>0</v>
      </c>
      <c r="BP375" s="70">
        <v>0</v>
      </c>
      <c r="BQ375" s="70">
        <v>32</v>
      </c>
    </row>
    <row r="376" spans="54:69">
      <c r="BB376" s="70" t="s">
        <v>1488</v>
      </c>
      <c r="BC376" s="70" t="s">
        <v>2513</v>
      </c>
      <c r="BD376" s="70">
        <v>77</v>
      </c>
      <c r="BE376" s="70">
        <v>60</v>
      </c>
      <c r="BF376" s="70">
        <v>79</v>
      </c>
      <c r="BG376" s="70">
        <v>99</v>
      </c>
      <c r="BH376" s="70">
        <v>87</v>
      </c>
      <c r="BI376" s="70">
        <v>402</v>
      </c>
      <c r="BJ376" s="70"/>
      <c r="BK376" s="70" t="s">
        <v>2513</v>
      </c>
      <c r="BL376" s="70">
        <v>27</v>
      </c>
      <c r="BM376" s="70">
        <v>0</v>
      </c>
      <c r="BN376" s="70">
        <v>0</v>
      </c>
      <c r="BO376" s="70">
        <v>0</v>
      </c>
      <c r="BP376" s="70">
        <v>0</v>
      </c>
      <c r="BQ376" s="70">
        <v>27</v>
      </c>
    </row>
    <row r="377" spans="54:69">
      <c r="BB377" s="70" t="s">
        <v>1494</v>
      </c>
      <c r="BC377" s="70" t="s">
        <v>2513</v>
      </c>
      <c r="BD377" s="70">
        <v>89</v>
      </c>
      <c r="BE377" s="70">
        <v>60</v>
      </c>
      <c r="BF377" s="70">
        <v>171</v>
      </c>
      <c r="BG377" s="70">
        <v>238</v>
      </c>
      <c r="BH377" s="70">
        <v>237</v>
      </c>
      <c r="BI377" s="70">
        <v>795</v>
      </c>
      <c r="BJ377" s="70"/>
      <c r="BK377" s="70" t="s">
        <v>2513</v>
      </c>
      <c r="BL377" s="70">
        <v>30</v>
      </c>
      <c r="BM377" s="70">
        <v>0</v>
      </c>
      <c r="BN377" s="70">
        <v>0</v>
      </c>
      <c r="BO377" s="70">
        <v>0</v>
      </c>
      <c r="BP377" s="70">
        <v>0</v>
      </c>
      <c r="BQ377" s="70">
        <v>30</v>
      </c>
    </row>
    <row r="378" spans="54:69">
      <c r="BB378" s="70" t="s">
        <v>1498</v>
      </c>
      <c r="BC378" s="70" t="s">
        <v>2513</v>
      </c>
      <c r="BD378" s="70">
        <v>59</v>
      </c>
      <c r="BE378" s="70">
        <v>74</v>
      </c>
      <c r="BF378" s="70">
        <v>231</v>
      </c>
      <c r="BG378" s="70">
        <v>392</v>
      </c>
      <c r="BH378" s="70">
        <v>334</v>
      </c>
      <c r="BI378" s="70">
        <v>1090</v>
      </c>
      <c r="BJ378" s="70"/>
      <c r="BK378" s="70" t="s">
        <v>2513</v>
      </c>
      <c r="BL378" s="70">
        <v>15</v>
      </c>
      <c r="BM378" s="70">
        <v>0</v>
      </c>
      <c r="BN378" s="70">
        <v>0</v>
      </c>
      <c r="BO378" s="70">
        <v>0</v>
      </c>
      <c r="BP378" s="70">
        <v>0</v>
      </c>
      <c r="BQ378" s="70">
        <v>15</v>
      </c>
    </row>
    <row r="379" spans="54:69">
      <c r="BB379" s="70" t="s">
        <v>1502</v>
      </c>
      <c r="BC379" s="70" t="s">
        <v>2513</v>
      </c>
      <c r="BD379" s="70">
        <v>24</v>
      </c>
      <c r="BE379" s="70">
        <v>53</v>
      </c>
      <c r="BF379" s="70">
        <v>107</v>
      </c>
      <c r="BG379" s="70">
        <v>217</v>
      </c>
      <c r="BH379" s="70">
        <v>143</v>
      </c>
      <c r="BI379" s="70">
        <v>544</v>
      </c>
      <c r="BJ379" s="70"/>
      <c r="BK379" s="70" t="s">
        <v>2513</v>
      </c>
      <c r="BL379" s="70">
        <v>3</v>
      </c>
      <c r="BM379" s="70">
        <v>0</v>
      </c>
      <c r="BN379" s="70">
        <v>1</v>
      </c>
      <c r="BO379" s="70">
        <v>0</v>
      </c>
      <c r="BP379" s="70">
        <v>0</v>
      </c>
      <c r="BQ379" s="70">
        <v>4</v>
      </c>
    </row>
    <row r="380" spans="54:69">
      <c r="BB380" s="70" t="s">
        <v>2473</v>
      </c>
      <c r="BC380" s="70" t="s">
        <v>2513</v>
      </c>
      <c r="BD380" s="70">
        <v>37</v>
      </c>
      <c r="BE380" s="70">
        <v>23</v>
      </c>
      <c r="BF380" s="70">
        <v>29</v>
      </c>
      <c r="BG380" s="70">
        <v>32</v>
      </c>
      <c r="BH380" s="70">
        <v>42</v>
      </c>
      <c r="BI380" s="70">
        <v>163</v>
      </c>
      <c r="BJ380" s="70"/>
      <c r="BK380" s="70" t="s">
        <v>2513</v>
      </c>
      <c r="BL380" s="70">
        <v>9</v>
      </c>
      <c r="BM380" s="70">
        <v>0</v>
      </c>
      <c r="BN380" s="70">
        <v>0</v>
      </c>
      <c r="BO380" s="70">
        <v>0</v>
      </c>
      <c r="BP380" s="70">
        <v>0</v>
      </c>
      <c r="BQ380" s="70">
        <v>9</v>
      </c>
    </row>
    <row r="381" spans="54:69">
      <c r="BB381" s="70" t="s">
        <v>1511</v>
      </c>
      <c r="BC381" s="70" t="s">
        <v>2513</v>
      </c>
      <c r="BD381" s="70">
        <v>819</v>
      </c>
      <c r="BE381" s="70">
        <v>692</v>
      </c>
      <c r="BF381" s="70">
        <v>1100</v>
      </c>
      <c r="BG381" s="70">
        <v>1487</v>
      </c>
      <c r="BH381" s="70">
        <v>1210</v>
      </c>
      <c r="BI381" s="70">
        <v>5308</v>
      </c>
      <c r="BJ381" s="70"/>
      <c r="BK381" s="70" t="s">
        <v>2513</v>
      </c>
      <c r="BL381" s="70">
        <v>84</v>
      </c>
      <c r="BM381" s="70">
        <v>0</v>
      </c>
      <c r="BN381" s="70">
        <v>0</v>
      </c>
      <c r="BO381" s="70">
        <v>0</v>
      </c>
      <c r="BP381" s="70">
        <v>0</v>
      </c>
      <c r="BQ381" s="70">
        <v>84</v>
      </c>
    </row>
    <row r="382" spans="54:69">
      <c r="BB382" s="70" t="s">
        <v>1515</v>
      </c>
      <c r="BC382" s="70" t="s">
        <v>2513</v>
      </c>
      <c r="BD382" s="70">
        <v>165</v>
      </c>
      <c r="BE382" s="70">
        <v>121</v>
      </c>
      <c r="BF382" s="70">
        <v>228</v>
      </c>
      <c r="BG382" s="70">
        <v>286</v>
      </c>
      <c r="BH382" s="70">
        <v>296</v>
      </c>
      <c r="BI382" s="70">
        <v>1096</v>
      </c>
      <c r="BJ382" s="70"/>
      <c r="BK382" s="70" t="s">
        <v>2513</v>
      </c>
      <c r="BL382" s="70">
        <v>33</v>
      </c>
      <c r="BM382" s="70">
        <v>0</v>
      </c>
      <c r="BN382" s="70">
        <v>0</v>
      </c>
      <c r="BO382" s="70">
        <v>0</v>
      </c>
      <c r="BP382" s="70">
        <v>0</v>
      </c>
      <c r="BQ382" s="70">
        <v>33</v>
      </c>
    </row>
    <row r="383" spans="54:69">
      <c r="BB383" s="70" t="s">
        <v>1520</v>
      </c>
      <c r="BC383" s="70" t="s">
        <v>2513</v>
      </c>
      <c r="BD383" s="70">
        <v>438</v>
      </c>
      <c r="BE383" s="70">
        <v>335</v>
      </c>
      <c r="BF383" s="70">
        <v>552</v>
      </c>
      <c r="BG383" s="70">
        <v>739</v>
      </c>
      <c r="BH383" s="70">
        <v>630</v>
      </c>
      <c r="BI383" s="70">
        <v>2694</v>
      </c>
      <c r="BJ383" s="70"/>
      <c r="BK383" s="70" t="s">
        <v>2513</v>
      </c>
      <c r="BL383" s="70">
        <v>45</v>
      </c>
      <c r="BM383" s="70">
        <v>0</v>
      </c>
      <c r="BN383" s="70">
        <v>0</v>
      </c>
      <c r="BO383" s="70">
        <v>0</v>
      </c>
      <c r="BP383" s="70">
        <v>0</v>
      </c>
      <c r="BQ383" s="70">
        <v>45</v>
      </c>
    </row>
    <row r="384" spans="54:69">
      <c r="BB384" s="70" t="s">
        <v>1523</v>
      </c>
      <c r="BC384" s="70" t="s">
        <v>2513</v>
      </c>
      <c r="BD384" s="70">
        <v>351</v>
      </c>
      <c r="BE384" s="70">
        <v>264</v>
      </c>
      <c r="BF384" s="70">
        <v>426</v>
      </c>
      <c r="BG384" s="70">
        <v>472</v>
      </c>
      <c r="BH384" s="70">
        <v>419</v>
      </c>
      <c r="BI384" s="70">
        <v>1932</v>
      </c>
      <c r="BJ384" s="70"/>
      <c r="BK384" s="70" t="s">
        <v>2513</v>
      </c>
      <c r="BL384" s="70">
        <v>45</v>
      </c>
      <c r="BM384" s="70">
        <v>0</v>
      </c>
      <c r="BN384" s="70">
        <v>0</v>
      </c>
      <c r="BO384" s="70">
        <v>0</v>
      </c>
      <c r="BP384" s="70">
        <v>0</v>
      </c>
      <c r="BQ384" s="70">
        <v>45</v>
      </c>
    </row>
    <row r="385" spans="54:69">
      <c r="BB385" s="70" t="s">
        <v>1527</v>
      </c>
      <c r="BC385" s="70" t="s">
        <v>2513</v>
      </c>
      <c r="BD385" s="70">
        <v>176</v>
      </c>
      <c r="BE385" s="70">
        <v>194</v>
      </c>
      <c r="BF385" s="70">
        <v>340</v>
      </c>
      <c r="BG385" s="70">
        <v>415</v>
      </c>
      <c r="BH385" s="70">
        <v>443</v>
      </c>
      <c r="BI385" s="70">
        <v>1568</v>
      </c>
      <c r="BJ385" s="70"/>
      <c r="BK385" s="70" t="s">
        <v>2513</v>
      </c>
      <c r="BL385" s="70">
        <v>27</v>
      </c>
      <c r="BM385" s="70">
        <v>0</v>
      </c>
      <c r="BN385" s="70">
        <v>0</v>
      </c>
      <c r="BO385" s="70">
        <v>0</v>
      </c>
      <c r="BP385" s="70">
        <v>0</v>
      </c>
      <c r="BQ385" s="70">
        <v>27</v>
      </c>
    </row>
    <row r="386" spans="54:69">
      <c r="BB386" s="70" t="s">
        <v>1530</v>
      </c>
      <c r="BC386" s="70" t="s">
        <v>2513</v>
      </c>
      <c r="BD386" s="70">
        <v>319</v>
      </c>
      <c r="BE386" s="70">
        <v>230</v>
      </c>
      <c r="BF386" s="70">
        <v>282</v>
      </c>
      <c r="BG386" s="70">
        <v>408</v>
      </c>
      <c r="BH386" s="70">
        <v>404</v>
      </c>
      <c r="BI386" s="70">
        <v>1643</v>
      </c>
      <c r="BJ386" s="70"/>
      <c r="BK386" s="70" t="s">
        <v>2513</v>
      </c>
      <c r="BL386" s="70">
        <v>34</v>
      </c>
      <c r="BM386" s="70">
        <v>0</v>
      </c>
      <c r="BN386" s="70">
        <v>0</v>
      </c>
      <c r="BO386" s="70">
        <v>0</v>
      </c>
      <c r="BP386" s="70">
        <v>0</v>
      </c>
      <c r="BQ386" s="70">
        <v>34</v>
      </c>
    </row>
    <row r="387" spans="54:69">
      <c r="BB387" s="70" t="s">
        <v>1534</v>
      </c>
      <c r="BC387" s="70" t="s">
        <v>2513</v>
      </c>
      <c r="BD387" s="70">
        <v>196</v>
      </c>
      <c r="BE387" s="70">
        <v>205</v>
      </c>
      <c r="BF387" s="70">
        <v>394</v>
      </c>
      <c r="BG387" s="70">
        <v>576</v>
      </c>
      <c r="BH387" s="70">
        <v>504</v>
      </c>
      <c r="BI387" s="70">
        <v>1875</v>
      </c>
      <c r="BJ387" s="70"/>
      <c r="BK387" s="70" t="s">
        <v>2513</v>
      </c>
      <c r="BL387" s="70">
        <v>45</v>
      </c>
      <c r="BM387" s="70">
        <v>0</v>
      </c>
      <c r="BN387" s="70">
        <v>0</v>
      </c>
      <c r="BO387" s="70">
        <v>0</v>
      </c>
      <c r="BP387" s="70">
        <v>0</v>
      </c>
      <c r="BQ387" s="70">
        <v>45</v>
      </c>
    </row>
    <row r="388" spans="54:69">
      <c r="BB388" s="70" t="s">
        <v>1538</v>
      </c>
      <c r="BC388" s="70" t="s">
        <v>2513</v>
      </c>
      <c r="BD388" s="70">
        <v>40</v>
      </c>
      <c r="BE388" s="70">
        <v>62</v>
      </c>
      <c r="BF388" s="70">
        <v>130</v>
      </c>
      <c r="BG388" s="70">
        <v>189</v>
      </c>
      <c r="BH388" s="70">
        <v>216</v>
      </c>
      <c r="BI388" s="70">
        <v>637</v>
      </c>
      <c r="BJ388" s="70"/>
      <c r="BK388" s="70" t="s">
        <v>2513</v>
      </c>
      <c r="BL388" s="70">
        <v>10</v>
      </c>
      <c r="BM388" s="70">
        <v>0</v>
      </c>
      <c r="BN388" s="70">
        <v>0</v>
      </c>
      <c r="BO388" s="70">
        <v>0</v>
      </c>
      <c r="BP388" s="70">
        <v>0</v>
      </c>
      <c r="BQ388" s="70">
        <v>10</v>
      </c>
    </row>
    <row r="389" spans="54:69">
      <c r="BB389" s="70" t="s">
        <v>43</v>
      </c>
      <c r="BC389" s="70" t="s">
        <v>2513</v>
      </c>
      <c r="BD389" s="70">
        <v>400</v>
      </c>
      <c r="BE389" s="70">
        <v>468</v>
      </c>
      <c r="BF389" s="70">
        <v>985</v>
      </c>
      <c r="BG389" s="70">
        <v>1337</v>
      </c>
      <c r="BH389" s="70">
        <v>1203</v>
      </c>
      <c r="BI389" s="70">
        <v>4393</v>
      </c>
      <c r="BJ389" s="70"/>
      <c r="BK389" s="70" t="s">
        <v>2513</v>
      </c>
      <c r="BL389" s="70">
        <v>73</v>
      </c>
      <c r="BM389" s="70">
        <v>0</v>
      </c>
      <c r="BN389" s="70">
        <v>0</v>
      </c>
      <c r="BO389" s="70">
        <v>0</v>
      </c>
      <c r="BP389" s="70">
        <v>0</v>
      </c>
      <c r="BQ389" s="70">
        <v>73</v>
      </c>
    </row>
    <row r="390" spans="54:69">
      <c r="BB390" s="70" t="s">
        <v>1545</v>
      </c>
      <c r="BC390" s="70" t="s">
        <v>2513</v>
      </c>
      <c r="BD390" s="70">
        <v>385</v>
      </c>
      <c r="BE390" s="70">
        <v>369</v>
      </c>
      <c r="BF390" s="70">
        <v>728</v>
      </c>
      <c r="BG390" s="70">
        <v>1010</v>
      </c>
      <c r="BH390" s="70">
        <v>939</v>
      </c>
      <c r="BI390" s="70">
        <v>3431</v>
      </c>
      <c r="BJ390" s="70"/>
      <c r="BK390" s="70" t="s">
        <v>2513</v>
      </c>
      <c r="BL390" s="70">
        <v>40</v>
      </c>
      <c r="BM390" s="70">
        <v>0</v>
      </c>
      <c r="BN390" s="70">
        <v>0</v>
      </c>
      <c r="BO390" s="70">
        <v>0</v>
      </c>
      <c r="BP390" s="70">
        <v>0</v>
      </c>
      <c r="BQ390" s="70">
        <v>40</v>
      </c>
    </row>
    <row r="391" spans="54:69">
      <c r="BB391" s="70" t="s">
        <v>1548</v>
      </c>
      <c r="BC391" s="70" t="s">
        <v>2513</v>
      </c>
      <c r="BD391" s="70">
        <v>422</v>
      </c>
      <c r="BE391" s="70">
        <v>399</v>
      </c>
      <c r="BF391" s="70">
        <v>668</v>
      </c>
      <c r="BG391" s="70">
        <v>983</v>
      </c>
      <c r="BH391" s="70">
        <v>892</v>
      </c>
      <c r="BI391" s="70">
        <v>3364</v>
      </c>
      <c r="BJ391" s="70"/>
      <c r="BK391" s="70" t="s">
        <v>2513</v>
      </c>
      <c r="BL391" s="70">
        <v>47</v>
      </c>
      <c r="BM391" s="70">
        <v>2</v>
      </c>
      <c r="BN391" s="70">
        <v>0</v>
      </c>
      <c r="BO391" s="70">
        <v>0</v>
      </c>
      <c r="BP391" s="70">
        <v>0</v>
      </c>
      <c r="BQ391" s="70">
        <v>49</v>
      </c>
    </row>
    <row r="392" spans="54:69">
      <c r="BB392" s="70" t="s">
        <v>1552</v>
      </c>
      <c r="BC392" s="70" t="s">
        <v>2513</v>
      </c>
      <c r="BD392" s="70">
        <v>84</v>
      </c>
      <c r="BE392" s="70">
        <v>99</v>
      </c>
      <c r="BF392" s="70">
        <v>253</v>
      </c>
      <c r="BG392" s="70">
        <v>401</v>
      </c>
      <c r="BH392" s="70">
        <v>403</v>
      </c>
      <c r="BI392" s="70">
        <v>1240</v>
      </c>
      <c r="BJ392" s="70"/>
      <c r="BK392" s="70" t="s">
        <v>2513</v>
      </c>
      <c r="BL392" s="70">
        <v>16</v>
      </c>
      <c r="BM392" s="70">
        <v>0</v>
      </c>
      <c r="BN392" s="70">
        <v>0</v>
      </c>
      <c r="BO392" s="70">
        <v>0</v>
      </c>
      <c r="BP392" s="70">
        <v>0</v>
      </c>
      <c r="BQ392" s="70">
        <v>16</v>
      </c>
    </row>
    <row r="393" spans="54:69">
      <c r="BB393" s="70" t="s">
        <v>1555</v>
      </c>
      <c r="BC393" s="70" t="s">
        <v>2513</v>
      </c>
      <c r="BD393" s="70">
        <v>33</v>
      </c>
      <c r="BE393" s="70">
        <v>41</v>
      </c>
      <c r="BF393" s="70">
        <v>84</v>
      </c>
      <c r="BG393" s="70">
        <v>181</v>
      </c>
      <c r="BH393" s="70">
        <v>189</v>
      </c>
      <c r="BI393" s="70">
        <v>528</v>
      </c>
      <c r="BJ393" s="70"/>
      <c r="BK393" s="70" t="s">
        <v>2513</v>
      </c>
      <c r="BL393" s="70">
        <v>12</v>
      </c>
      <c r="BM393" s="70">
        <v>0</v>
      </c>
      <c r="BN393" s="70">
        <v>0</v>
      </c>
      <c r="BO393" s="70">
        <v>0</v>
      </c>
      <c r="BP393" s="70">
        <v>0</v>
      </c>
      <c r="BQ393" s="70">
        <v>12</v>
      </c>
    </row>
    <row r="394" spans="54:69">
      <c r="BB394" s="70" t="s">
        <v>1558</v>
      </c>
      <c r="BC394" s="70" t="s">
        <v>2513</v>
      </c>
      <c r="BD394" s="70">
        <v>247</v>
      </c>
      <c r="BE394" s="70">
        <v>110</v>
      </c>
      <c r="BF394" s="70">
        <v>170</v>
      </c>
      <c r="BG394" s="70">
        <v>241</v>
      </c>
      <c r="BH394" s="70">
        <v>231</v>
      </c>
      <c r="BI394" s="70">
        <v>999</v>
      </c>
      <c r="BJ394" s="70"/>
      <c r="BK394" s="70" t="s">
        <v>2513</v>
      </c>
      <c r="BL394" s="70">
        <v>46</v>
      </c>
      <c r="BM394" s="70">
        <v>0</v>
      </c>
      <c r="BN394" s="70">
        <v>0</v>
      </c>
      <c r="BO394" s="70">
        <v>0</v>
      </c>
      <c r="BP394" s="70">
        <v>0</v>
      </c>
      <c r="BQ394" s="70">
        <v>46</v>
      </c>
    </row>
  </sheetData>
  <phoneticPr fontId="3" type="noConversion"/>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
  <dimension ref="A1:AE109"/>
  <sheetViews>
    <sheetView workbookViewId="0">
      <selection activeCell="M14" sqref="M14"/>
    </sheetView>
    <sheetView workbookViewId="1">
      <selection activeCell="O28" sqref="O28"/>
    </sheetView>
  </sheetViews>
  <sheetFormatPr defaultColWidth="0" defaultRowHeight="13.8" zeroHeight="1"/>
  <cols>
    <col min="1" max="1" width="10.19921875" style="2" customWidth="1"/>
    <col min="2" max="2" width="9" style="4" customWidth="1"/>
    <col min="3" max="3" width="12.69921875" style="4" customWidth="1"/>
    <col min="4" max="4" width="9" style="4" customWidth="1"/>
    <col min="5" max="5" width="7.69921875" style="4" customWidth="1"/>
    <col min="6" max="7" width="7.69921875" style="15" customWidth="1"/>
    <col min="8" max="8" width="9.5" style="15" customWidth="1"/>
    <col min="9" max="15" width="7.69921875" style="15" customWidth="1"/>
    <col min="16" max="18" width="7.69921875" style="4" customWidth="1"/>
    <col min="19" max="19" width="15" style="15" customWidth="1"/>
    <col min="20" max="20" width="10.19921875" style="4" customWidth="1"/>
    <col min="21" max="21" width="7.69921875" style="4" customWidth="1"/>
    <col min="22" max="31" width="9" style="4" customWidth="1"/>
    <col min="32" max="16384" width="9" style="2" hidden="1"/>
  </cols>
  <sheetData>
    <row r="1" spans="2:19" s="4" customFormat="1" ht="18">
      <c r="B1" s="108" t="s">
        <v>2138</v>
      </c>
      <c r="F1" s="15"/>
      <c r="G1" s="15"/>
      <c r="H1" s="15"/>
      <c r="I1" s="15"/>
      <c r="J1" s="15"/>
      <c r="K1" s="15"/>
      <c r="L1" s="15"/>
      <c r="M1" s="15"/>
      <c r="N1" s="15"/>
      <c r="O1" s="15"/>
      <c r="S1" s="15"/>
    </row>
    <row r="2" spans="2:19" s="4" customFormat="1" ht="13.5" customHeight="1">
      <c r="F2" s="15"/>
      <c r="G2" s="15"/>
      <c r="H2" s="15"/>
      <c r="I2" s="15"/>
      <c r="J2" s="15"/>
      <c r="K2" s="15"/>
      <c r="L2" s="15"/>
      <c r="M2" s="15"/>
      <c r="N2" s="15"/>
      <c r="O2" s="15"/>
      <c r="S2" s="15"/>
    </row>
    <row r="3" spans="2:19" s="4" customFormat="1" ht="13.5" customHeight="1">
      <c r="B3" s="99" t="str">
        <f>主頁!B27</f>
        <v>核心科目</v>
      </c>
      <c r="C3" s="98"/>
      <c r="D3" s="101" t="s">
        <v>2139</v>
      </c>
      <c r="F3" s="99" t="str">
        <f>主頁!B34</f>
        <v>選修科目</v>
      </c>
      <c r="G3" s="98"/>
      <c r="H3" s="101" t="s">
        <v>2139</v>
      </c>
      <c r="I3" s="15"/>
      <c r="J3" s="15"/>
      <c r="K3" s="15"/>
      <c r="L3" s="15"/>
      <c r="M3" s="15"/>
      <c r="N3" s="15"/>
      <c r="O3" s="15"/>
      <c r="S3" s="15"/>
    </row>
    <row r="4" spans="2:19" s="4" customFormat="1" ht="13.5" customHeight="1">
      <c r="B4" s="100" t="str">
        <f>主頁!B28</f>
        <v>中國語文</v>
      </c>
      <c r="C4" s="102" t="str">
        <f>IF(主頁!C28=0,"",主頁!C28)</f>
        <v/>
      </c>
      <c r="D4" s="102" t="str">
        <f>IF(計分版!K15=TRUE,"是","")</f>
        <v/>
      </c>
      <c r="F4" s="100" t="str">
        <f>主頁!B35</f>
        <v/>
      </c>
      <c r="G4" s="102" t="str">
        <f>IF(主頁!C35=0,"",主頁!C35)</f>
        <v/>
      </c>
      <c r="H4" s="102" t="str">
        <f>IF(計分版!P15=TRUE,"是","")</f>
        <v/>
      </c>
      <c r="I4" s="15"/>
      <c r="J4" s="15"/>
      <c r="K4" s="15"/>
      <c r="L4" s="15"/>
      <c r="M4" s="15"/>
      <c r="N4" s="15"/>
      <c r="O4" s="15"/>
      <c r="S4" s="15"/>
    </row>
    <row r="5" spans="2:19" s="4" customFormat="1" ht="13.5" customHeight="1">
      <c r="B5" s="103" t="str">
        <f>主頁!B29</f>
        <v>英國語文</v>
      </c>
      <c r="C5" s="104" t="str">
        <f>IF(主頁!C29=0,"",主頁!C29)</f>
        <v/>
      </c>
      <c r="D5" s="104" t="str">
        <f>IF(計分版!L15=TRUE,"是","")</f>
        <v/>
      </c>
      <c r="F5" s="103" t="str">
        <f>主頁!B36</f>
        <v/>
      </c>
      <c r="G5" s="104" t="str">
        <f>IF(主頁!C36=0,"",主頁!C36)</f>
        <v/>
      </c>
      <c r="H5" s="104" t="str">
        <f>IF(計分版!Q15=TRUE,"是","")</f>
        <v/>
      </c>
      <c r="I5" s="15"/>
      <c r="J5" s="15"/>
      <c r="K5" s="15"/>
      <c r="L5" s="15"/>
      <c r="M5" s="15"/>
      <c r="N5" s="15"/>
      <c r="O5" s="15"/>
      <c r="S5" s="15"/>
    </row>
    <row r="6" spans="2:19" s="4" customFormat="1" ht="13.5" customHeight="1">
      <c r="B6" s="100" t="str">
        <f>主頁!B30</f>
        <v>數學</v>
      </c>
      <c r="C6" s="102" t="str">
        <f>IF(主頁!C30=0,"",主頁!C30)</f>
        <v/>
      </c>
      <c r="D6" s="102" t="str">
        <f>IF(計分版!M15=TRUE,"是","")</f>
        <v/>
      </c>
      <c r="F6" s="100" t="str">
        <f>主頁!B37</f>
        <v/>
      </c>
      <c r="G6" s="102" t="str">
        <f>IF(主頁!C37=0,"",主頁!C37)</f>
        <v/>
      </c>
      <c r="H6" s="102" t="str">
        <f>IF(計分版!R15=TRUE,"是","")</f>
        <v/>
      </c>
      <c r="I6" s="15"/>
      <c r="J6" s="15"/>
      <c r="K6" s="15"/>
      <c r="L6" s="15"/>
      <c r="M6" s="15"/>
      <c r="N6" s="15"/>
      <c r="O6" s="15"/>
      <c r="S6" s="15"/>
    </row>
    <row r="7" spans="2:19" s="4" customFormat="1" ht="13.5" customHeight="1">
      <c r="B7" s="103" t="str">
        <f>主頁!B31</f>
        <v>公社科 ##</v>
      </c>
      <c r="C7" s="104" t="str">
        <f>IF(主頁!C31=0,"",主頁!C31)</f>
        <v/>
      </c>
      <c r="D7" s="104" t="str">
        <f>IF(計分版!N15=TRUE,"是","")</f>
        <v/>
      </c>
      <c r="F7" s="103" t="str">
        <f>主頁!B38</f>
        <v/>
      </c>
      <c r="G7" s="104" t="str">
        <f>IF(主頁!C38=0,"",主頁!C38)</f>
        <v/>
      </c>
      <c r="H7" s="104" t="str">
        <f>IF(計分版!S15=TRUE,"是","")</f>
        <v/>
      </c>
      <c r="I7" s="15"/>
      <c r="J7" s="15"/>
      <c r="K7" s="15"/>
      <c r="L7" s="15"/>
      <c r="M7" s="15"/>
      <c r="N7" s="15"/>
      <c r="O7" s="15"/>
      <c r="S7" s="15"/>
    </row>
    <row r="8" spans="2:19" s="4" customFormat="1" ht="13.5" customHeight="1">
      <c r="B8" s="100" t="str">
        <f>主頁!B32</f>
        <v>M1/2</v>
      </c>
      <c r="C8" s="102" t="str">
        <f>IF(主頁!C32=0,"",主頁!C32)</f>
        <v/>
      </c>
      <c r="D8" s="102" t="str">
        <f>IF(計分版!O15=TRUE,"是","")</f>
        <v/>
      </c>
      <c r="F8" s="100" t="str">
        <f>主頁!B39</f>
        <v/>
      </c>
      <c r="G8" s="102" t="str">
        <f>IF(主頁!C39=0,"",主頁!C39)</f>
        <v/>
      </c>
      <c r="H8" s="102" t="str">
        <f>IF(計分版!T15=TRUE,"是","")</f>
        <v/>
      </c>
      <c r="I8" s="15"/>
      <c r="J8" s="15"/>
      <c r="K8" s="15"/>
      <c r="L8" s="15"/>
      <c r="M8" s="15"/>
      <c r="N8" s="15"/>
      <c r="O8" s="15"/>
      <c r="S8" s="15"/>
    </row>
    <row r="9" spans="2:19" s="4" customFormat="1" ht="13.5" customHeight="1">
      <c r="B9" s="23"/>
      <c r="C9" s="15"/>
      <c r="D9" s="15"/>
      <c r="F9" s="15"/>
      <c r="G9" s="15"/>
      <c r="H9" s="15"/>
      <c r="I9" s="15"/>
      <c r="J9" s="15"/>
      <c r="K9" s="15"/>
      <c r="L9" s="15"/>
      <c r="M9" s="15"/>
      <c r="N9" s="15"/>
      <c r="O9" s="15"/>
      <c r="S9" s="15"/>
    </row>
    <row r="10" spans="2:19" s="4" customFormat="1" ht="13.5" customHeight="1">
      <c r="B10" s="4" t="s">
        <v>2140</v>
      </c>
      <c r="F10" s="15"/>
      <c r="G10" s="15"/>
      <c r="H10" s="15"/>
      <c r="I10" s="15"/>
      <c r="J10" s="15"/>
      <c r="K10" s="15"/>
      <c r="L10" s="15"/>
      <c r="M10" s="15"/>
      <c r="N10" s="15"/>
      <c r="O10" s="15"/>
      <c r="S10" s="15"/>
    </row>
    <row r="11" spans="2:19" s="4" customFormat="1" ht="13.5" customHeight="1">
      <c r="F11" s="15"/>
      <c r="G11" s="15"/>
      <c r="H11" s="15"/>
      <c r="I11" s="15"/>
      <c r="J11" s="15"/>
      <c r="K11" s="15"/>
      <c r="L11" s="15"/>
      <c r="M11" s="15"/>
      <c r="N11" s="15"/>
      <c r="O11" s="15"/>
      <c r="S11" s="15"/>
    </row>
    <row r="12" spans="2:19" s="36" customFormat="1" ht="13.5" customHeight="1">
      <c r="B12" s="106" t="s">
        <v>2141</v>
      </c>
      <c r="C12" s="105"/>
      <c r="D12" s="105"/>
      <c r="E12" s="105" t="s">
        <v>109</v>
      </c>
      <c r="F12" s="105" t="s">
        <v>108</v>
      </c>
      <c r="G12" s="105" t="s">
        <v>106</v>
      </c>
      <c r="H12" s="105" t="s">
        <v>2142</v>
      </c>
      <c r="I12" s="526" t="s">
        <v>2143</v>
      </c>
      <c r="J12" s="526"/>
      <c r="K12" s="105" t="s">
        <v>2144</v>
      </c>
    </row>
    <row r="13" spans="2:19" s="4" customFormat="1" ht="13.5" customHeight="1">
      <c r="B13" s="4" t="s">
        <v>1333</v>
      </c>
      <c r="C13" s="4" t="str">
        <f>INDEX('Reference Score Calculation'!$D$126:$D$199,MATCH($B13,'Reference Score Calculation'!$A$126:$A$199,0))</f>
        <v>翻譯</v>
      </c>
      <c r="D13" s="15" t="str">
        <f>INDEX('Reference Score Calculation'!$E$126:$E$199,MATCH($B13,'Reference Score Calculation'!$A$126:$A$199,0))</f>
        <v>Best 5</v>
      </c>
      <c r="E13" s="109">
        <f>ROUND(INDEX('Reference Score Calculation'!G$101:G$203,MATCH('Retake 扣分'!$B13,'Reference Score Calculation'!$A$101:$A$203,0)),2)</f>
        <v>26</v>
      </c>
      <c r="F13" s="109">
        <f>ROUND(INDEX('Reference Score Calculation'!H$101:H$203,MATCH('Retake 扣分'!$B13,'Reference Score Calculation'!$A$101:$A$203,0)),2)</f>
        <v>23</v>
      </c>
      <c r="G13" s="109">
        <f>ROUND(INDEX('Reference Score Calculation'!I$101:I$203,MATCH('Retake 扣分'!$B13,'Reference Score Calculation'!$A$101:$A$203,0)),2)</f>
        <v>21.5</v>
      </c>
      <c r="H13" s="192">
        <f>ROUND(INDEX(計分版!$J$103:$J$255,MATCH('Retake 扣分'!B13,計分版!$B$103:$B$255,0)),2)</f>
        <v>0</v>
      </c>
      <c r="I13" s="527" t="str">
        <f>INDEX('Reference Score Calculation'!$AU$126:$AU$199,MATCH($B13,'Reference Score Calculation'!$A$126:$A$199,0))</f>
        <v>5%或更少(全Cert)</v>
      </c>
      <c r="J13" s="527"/>
      <c r="K13" s="15" t="s">
        <v>2145</v>
      </c>
      <c r="N13" s="29"/>
    </row>
    <row r="14" spans="2:19" s="4" customFormat="1" ht="13.5" customHeight="1">
      <c r="B14" s="4" t="s">
        <v>1341</v>
      </c>
      <c r="C14" s="4" t="str">
        <f>INDEX('Reference Score Calculation'!$D$126:$D$199,MATCH($B14,'Reference Score Calculation'!$A$126:$A$199,0))</f>
        <v>工商管理學士綜合課程</v>
      </c>
      <c r="D14" s="15" t="str">
        <f>INDEX('Reference Score Calculation'!$E$126:$E$199,MATCH($B14,'Reference Score Calculation'!$A$126:$A$199,0))</f>
        <v>Best 5</v>
      </c>
      <c r="E14" s="109">
        <f>ROUND(INDEX('Reference Score Calculation'!G$101:G$203,MATCH('Retake 扣分'!$B14,'Reference Score Calculation'!$A$101:$A$203,0)),2)</f>
        <v>27.5</v>
      </c>
      <c r="F14" s="109">
        <f>ROUND(INDEX('Reference Score Calculation'!H$101:H$203,MATCH('Retake 扣分'!$B14,'Reference Score Calculation'!$A$101:$A$203,0)),2)</f>
        <v>26</v>
      </c>
      <c r="G14" s="109">
        <f>ROUND(INDEX('Reference Score Calculation'!I$101:I$203,MATCH('Retake 扣分'!$B14,'Reference Score Calculation'!$A$101:$A$203,0)),2)</f>
        <v>24.5</v>
      </c>
      <c r="H14" s="192">
        <f>ROUND(INDEX(計分版!$J$103:$J$255,MATCH('Retake 扣分'!B14,計分版!$B$103:$B$255,0)),2)</f>
        <v>0</v>
      </c>
      <c r="I14" s="527" t="str">
        <f>INDEX('Reference Score Calculation'!$AU$126:$AU$199,MATCH($B14,'Reference Score Calculation'!$A$126:$A$199,0))</f>
        <v>5%或更少(全Cert)</v>
      </c>
      <c r="J14" s="527"/>
      <c r="K14" s="15" t="s">
        <v>2145</v>
      </c>
      <c r="N14" s="29"/>
    </row>
    <row r="15" spans="2:19" s="4" customFormat="1" ht="13.5" customHeight="1">
      <c r="B15" s="4" t="s">
        <v>1344</v>
      </c>
      <c r="C15" s="4" t="str">
        <f>INDEX('Reference Score Calculation'!$D$126:$D$199,MATCH($B15,'Reference Score Calculation'!$A$126:$A$199,0))</f>
        <v>環球商業學</v>
      </c>
      <c r="D15" s="15" t="str">
        <f>INDEX('Reference Score Calculation'!$E$126:$E$199,MATCH($B15,'Reference Score Calculation'!$A$126:$A$199,0))</f>
        <v>4C2X</v>
      </c>
      <c r="E15" s="109">
        <f>ROUND(INDEX('Reference Score Calculation'!G$101:G$203,MATCH('Retake 扣分'!$B15,'Reference Score Calculation'!$A$101:$A$203,0)),2)</f>
        <v>43.5</v>
      </c>
      <c r="F15" s="109">
        <f>ROUND(INDEX('Reference Score Calculation'!H$101:H$203,MATCH('Retake 扣分'!$B15,'Reference Score Calculation'!$A$101:$A$203,0)),2)</f>
        <v>40.5</v>
      </c>
      <c r="G15" s="109">
        <f>ROUND(INDEX('Reference Score Calculation'!I$101:I$203,MATCH('Retake 扣分'!$B15,'Reference Score Calculation'!$A$101:$A$203,0)),2)</f>
        <v>40.5</v>
      </c>
      <c r="H15" s="192">
        <f>ROUND(INDEX(計分版!$J$103:$J$255,MATCH('Retake 扣分'!B15,計分版!$B$103:$B$255,0)),2)</f>
        <v>0</v>
      </c>
      <c r="I15" s="527" t="str">
        <f>INDEX('Reference Score Calculation'!$AU$126:$AU$199,MATCH($B15,'Reference Score Calculation'!$A$126:$A$199,0))</f>
        <v>5%或更少(全Cert)</v>
      </c>
      <c r="J15" s="527"/>
      <c r="K15" s="15" t="s">
        <v>2145</v>
      </c>
      <c r="N15" s="29"/>
    </row>
    <row r="16" spans="2:19" s="4" customFormat="1" ht="13.5" customHeight="1">
      <c r="B16" s="4" t="s">
        <v>1347</v>
      </c>
      <c r="C16" s="4" t="str">
        <f>INDEX('Reference Score Calculation'!$D$126:$D$199,MATCH($B16,'Reference Score Calculation'!$A$126:$A$199,0))</f>
        <v>酒店旅遊及房地產</v>
      </c>
      <c r="D16" s="15" t="str">
        <f>INDEX('Reference Score Calculation'!$E$126:$E$199,MATCH($B16,'Reference Score Calculation'!$A$126:$A$199,0))</f>
        <v>Best 5</v>
      </c>
      <c r="E16" s="109">
        <f>ROUND(INDEX('Reference Score Calculation'!G$101:G$203,MATCH('Retake 扣分'!$B16,'Reference Score Calculation'!$A$101:$A$203,0)),2)</f>
        <v>24.5</v>
      </c>
      <c r="F16" s="109">
        <f>ROUND(INDEX('Reference Score Calculation'!H$101:H$203,MATCH('Retake 扣分'!$B16,'Reference Score Calculation'!$A$101:$A$203,0)),2)</f>
        <v>23</v>
      </c>
      <c r="G16" s="109">
        <f>ROUND(INDEX('Reference Score Calculation'!I$101:I$203,MATCH('Retake 扣分'!$B16,'Reference Score Calculation'!$A$101:$A$203,0)),2)</f>
        <v>23</v>
      </c>
      <c r="H16" s="192">
        <f>ROUND(INDEX(計分版!$J$103:$J$255,MATCH('Retake 扣分'!B16,計分版!$B$103:$B$255,0)),2)</f>
        <v>0</v>
      </c>
      <c r="I16" s="527" t="str">
        <f>INDEX('Reference Score Calculation'!$AU$126:$AU$199,MATCH($B16,'Reference Score Calculation'!$A$126:$A$199,0))</f>
        <v>5%或更少(全Cert)</v>
      </c>
      <c r="J16" s="527"/>
      <c r="K16" s="15" t="s">
        <v>2145</v>
      </c>
      <c r="N16" s="29"/>
    </row>
    <row r="17" spans="2:28" s="4" customFormat="1" ht="13.5" customHeight="1">
      <c r="B17" s="4" t="s">
        <v>1350</v>
      </c>
      <c r="C17" s="4" t="str">
        <f>INDEX('Reference Score Calculation'!$D$126:$D$199,MATCH($B17,'Reference Score Calculation'!$A$126:$A$199,0))</f>
        <v>保險、金融與精算學</v>
      </c>
      <c r="D17" s="15" t="str">
        <f>INDEX('Reference Score Calculation'!$E$126:$E$199,MATCH($B17,'Reference Score Calculation'!$A$126:$A$199,0))</f>
        <v>Best 5</v>
      </c>
      <c r="E17" s="109">
        <f>ROUND(INDEX('Reference Score Calculation'!G$101:G$203,MATCH('Retake 扣分'!$B17,'Reference Score Calculation'!$A$101:$A$203,0)),2)</f>
        <v>32</v>
      </c>
      <c r="F17" s="109">
        <f>ROUND(INDEX('Reference Score Calculation'!H$101:H$203,MATCH('Retake 扣分'!$B17,'Reference Score Calculation'!$A$101:$A$203,0)),2)</f>
        <v>32</v>
      </c>
      <c r="G17" s="109">
        <f>ROUND(INDEX('Reference Score Calculation'!I$101:I$203,MATCH('Retake 扣分'!$B17,'Reference Score Calculation'!$A$101:$A$203,0)),2)</f>
        <v>30.5</v>
      </c>
      <c r="H17" s="192">
        <f>ROUND(INDEX(計分版!$J$103:$J$255,MATCH('Retake 扣分'!B17,計分版!$B$103:$B$255,0)),2)</f>
        <v>0</v>
      </c>
      <c r="I17" s="527" t="str">
        <f>INDEX('Reference Score Calculation'!$AU$126:$AU$199,MATCH($B17,'Reference Score Calculation'!$A$126:$A$199,0))</f>
        <v>6%-10%(全Cert)</v>
      </c>
      <c r="J17" s="527"/>
      <c r="K17" s="15" t="s">
        <v>2145</v>
      </c>
      <c r="N17" s="29"/>
    </row>
    <row r="18" spans="2:28" s="4" customFormat="1" ht="13.5" customHeight="1">
      <c r="B18" s="4" t="s">
        <v>1356</v>
      </c>
      <c r="C18" s="4" t="str">
        <f>INDEX('Reference Score Calculation'!$D$126:$D$199,MATCH($B18,'Reference Score Calculation'!$A$126:$A$199,0))</f>
        <v>專業會計學</v>
      </c>
      <c r="D18" s="15" t="str">
        <f>INDEX('Reference Score Calculation'!$E$126:$E$199,MATCH($B18,'Reference Score Calculation'!$A$126:$A$199,0))</f>
        <v>Best 5</v>
      </c>
      <c r="E18" s="109">
        <f>ROUND(INDEX('Reference Score Calculation'!G$101:G$203,MATCH('Retake 扣分'!$B18,'Reference Score Calculation'!$A$101:$A$203,0)),2)</f>
        <v>27.5</v>
      </c>
      <c r="F18" s="109">
        <f>ROUND(INDEX('Reference Score Calculation'!H$101:H$203,MATCH('Retake 扣分'!$B18,'Reference Score Calculation'!$A$101:$A$203,0)),2)</f>
        <v>26</v>
      </c>
      <c r="G18" s="109">
        <f>ROUND(INDEX('Reference Score Calculation'!I$101:I$203,MATCH('Retake 扣分'!$B18,'Reference Score Calculation'!$A$101:$A$203,0)),2)</f>
        <v>24.5</v>
      </c>
      <c r="H18" s="192">
        <f>ROUND(INDEX(計分版!$J$103:$J$255,MATCH('Retake 扣分'!B18,計分版!$B$103:$B$255,0)),2)</f>
        <v>0</v>
      </c>
      <c r="I18" s="527" t="str">
        <f>INDEX('Reference Score Calculation'!$AU$126:$AU$199,MATCH($B18,'Reference Score Calculation'!$A$126:$A$199,0))</f>
        <v>5%或更少(全Cert)</v>
      </c>
      <c r="J18" s="527"/>
      <c r="K18" s="15" t="s">
        <v>2145</v>
      </c>
      <c r="N18" s="29"/>
    </row>
    <row r="19" spans="2:28" s="4" customFormat="1" ht="13.5" customHeight="1">
      <c r="B19" s="4" t="s">
        <v>1359</v>
      </c>
      <c r="C19" s="4" t="str">
        <f>INDEX('Reference Score Calculation'!$D$126:$D$199,MATCH($B19,'Reference Score Calculation'!$A$126:$A$199,0))</f>
        <v>計量金融學</v>
      </c>
      <c r="D19" s="15" t="str">
        <f>INDEX('Reference Score Calculation'!$E$126:$E$199,MATCH($B19,'Reference Score Calculation'!$A$126:$A$199,0))</f>
        <v>Best 5</v>
      </c>
      <c r="E19" s="109">
        <f>ROUND(INDEX('Reference Score Calculation'!G$101:G$203,MATCH('Retake 扣分'!$B19,'Reference Score Calculation'!$A$101:$A$203,0)),2)</f>
        <v>54</v>
      </c>
      <c r="F19" s="109">
        <f>ROUND(INDEX('Reference Score Calculation'!H$101:H$203,MATCH('Retake 扣分'!$B19,'Reference Score Calculation'!$A$101:$A$203,0)),2)</f>
        <v>52.5</v>
      </c>
      <c r="G19" s="109">
        <f>ROUND(INDEX('Reference Score Calculation'!I$101:I$203,MATCH('Retake 扣分'!$B19,'Reference Score Calculation'!$A$101:$A$203,0)),2)</f>
        <v>51</v>
      </c>
      <c r="H19" s="192">
        <f>ROUND(INDEX(計分版!$J$103:$J$255,MATCH('Retake 扣分'!B19,計分版!$B$103:$B$255,0)),2)</f>
        <v>0</v>
      </c>
      <c r="I19" s="527" t="str">
        <f>INDEX('Reference Score Calculation'!$AU$126:$AU$199,MATCH($B19,'Reference Score Calculation'!$A$126:$A$199,0))</f>
        <v>5%或更少(全Cert)</v>
      </c>
      <c r="J19" s="527"/>
      <c r="K19" s="15" t="s">
        <v>2145</v>
      </c>
      <c r="N19" s="29"/>
    </row>
    <row r="20" spans="2:28" s="4" customFormat="1" ht="13.5" customHeight="1">
      <c r="B20" s="4" t="s">
        <v>1367</v>
      </c>
      <c r="C20" s="4" t="str">
        <f>INDEX('Reference Score Calculation'!$D$126:$D$199,MATCH($B20,'Reference Score Calculation'!$A$126:$A$199,0))</f>
        <v>工商管理學士（工商管理學士綜合課程）及法律博士雙學位課程</v>
      </c>
      <c r="D20" s="15" t="str">
        <f>INDEX('Reference Score Calculation'!$E$126:$E$199,MATCH($B20,'Reference Score Calculation'!$A$126:$A$199,0))</f>
        <v>4C2X</v>
      </c>
      <c r="E20" s="109">
        <f>ROUND(INDEX('Reference Score Calculation'!G$101:G$203,MATCH('Retake 扣分'!$B20,'Reference Score Calculation'!$A$101:$A$203,0)),2)</f>
        <v>54.25</v>
      </c>
      <c r="F20" s="109">
        <f>ROUND(INDEX('Reference Score Calculation'!H$101:H$203,MATCH('Retake 扣分'!$B20,'Reference Score Calculation'!$A$101:$A$203,0)),2)</f>
        <v>49.75</v>
      </c>
      <c r="G20" s="109">
        <f>ROUND(INDEX('Reference Score Calculation'!I$101:I$203,MATCH('Retake 扣分'!$B20,'Reference Score Calculation'!$A$101:$A$203,0)),2)</f>
        <v>50.5</v>
      </c>
      <c r="H20" s="192">
        <f>ROUND(INDEX(計分版!$J$103:$J$255,MATCH('Retake 扣分'!B20,計分版!$B$103:$B$255,0)),2)</f>
        <v>0</v>
      </c>
      <c r="I20" s="527" t="str">
        <f>INDEX('Reference Score Calculation'!$AU$126:$AU$199,MATCH($B20,'Reference Score Calculation'!$A$126:$A$199,0))</f>
        <v>5%或更少(全Cert)</v>
      </c>
      <c r="J20" s="527"/>
      <c r="K20" s="15" t="s">
        <v>2145</v>
      </c>
      <c r="N20" s="29"/>
    </row>
    <row r="21" spans="2:28" s="4" customFormat="1" ht="13.5" customHeight="1">
      <c r="B21" s="4" t="s">
        <v>1376</v>
      </c>
      <c r="C21" s="4" t="str">
        <f>INDEX('Reference Score Calculation'!$D$126:$D$199,MATCH($B21,'Reference Score Calculation'!$A$126:$A$199,0))</f>
        <v>健康與體育運動科學</v>
      </c>
      <c r="D21" s="15" t="str">
        <f>INDEX('Reference Score Calculation'!$E$126:$E$199,MATCH($B21,'Reference Score Calculation'!$A$126:$A$199,0))</f>
        <v>Best 5</v>
      </c>
      <c r="E21" s="109">
        <f>ROUND(INDEX('Reference Score Calculation'!G$101:G$203,MATCH('Retake 扣分'!$B21,'Reference Score Calculation'!$A$101:$A$203,0)),2)</f>
        <v>30.5</v>
      </c>
      <c r="F21" s="109">
        <f>ROUND(INDEX('Reference Score Calculation'!H$101:H$203,MATCH('Retake 扣分'!$B21,'Reference Score Calculation'!$A$101:$A$203,0)),2)</f>
        <v>26</v>
      </c>
      <c r="G21" s="109">
        <f>ROUND(INDEX('Reference Score Calculation'!I$101:I$203,MATCH('Retake 扣分'!$B21,'Reference Score Calculation'!$A$101:$A$203,0)),2)</f>
        <v>26</v>
      </c>
      <c r="H21" s="192">
        <f>ROUND(INDEX(計分版!$J$103:$J$255,MATCH('Retake 扣分'!B21,計分版!$B$103:$B$255,0)),2)</f>
        <v>0</v>
      </c>
      <c r="I21" s="527" t="str">
        <f>INDEX('Reference Score Calculation'!$AU$126:$AU$199,MATCH($B21,'Reference Score Calculation'!$A$126:$A$199,0))</f>
        <v>5%或更少(全Cert)</v>
      </c>
      <c r="J21" s="527"/>
      <c r="K21" s="15" t="s">
        <v>2145</v>
      </c>
      <c r="N21" s="29"/>
    </row>
    <row r="22" spans="2:28" s="4" customFormat="1" ht="13.5" customHeight="1">
      <c r="B22" s="4" t="s">
        <v>1380</v>
      </c>
      <c r="C22" s="4" t="str">
        <f>INDEX('Reference Score Calculation'!$D$126:$D$199,MATCH($B22,'Reference Score Calculation'!$A$126:$A$199,0))</f>
        <v>文學士 (中國語文研究) 及教育學士 (中國語文教育)</v>
      </c>
      <c r="D22" s="15" t="str">
        <f>INDEX('Reference Score Calculation'!$E$126:$E$199,MATCH($B22,'Reference Score Calculation'!$A$126:$A$199,0))</f>
        <v>Best 5</v>
      </c>
      <c r="E22" s="109">
        <f>ROUND(INDEX('Reference Score Calculation'!G$101:G$203,MATCH('Retake 扣分'!$B22,'Reference Score Calculation'!$A$101:$A$203,0)),2)</f>
        <v>43.5</v>
      </c>
      <c r="F22" s="109">
        <f>ROUND(INDEX('Reference Score Calculation'!H$101:H$203,MATCH('Retake 扣分'!$B22,'Reference Score Calculation'!$A$101:$A$203,0)),2)</f>
        <v>42</v>
      </c>
      <c r="G22" s="109">
        <f>ROUND(INDEX('Reference Score Calculation'!I$101:I$203,MATCH('Retake 扣分'!$B22,'Reference Score Calculation'!$A$101:$A$203,0)),2)</f>
        <v>39.5</v>
      </c>
      <c r="H22" s="192">
        <f>ROUND(INDEX(計分版!$J$103:$J$255,MATCH('Retake 扣分'!B22,計分版!$B$103:$B$255,0)),2)</f>
        <v>0</v>
      </c>
      <c r="I22" s="527" t="str">
        <f>INDEX('Reference Score Calculation'!$AU$126:$AU$199,MATCH($B22,'Reference Score Calculation'!$A$126:$A$199,0))</f>
        <v>5%或更少(全Cert)</v>
      </c>
      <c r="J22" s="527"/>
      <c r="K22" s="15" t="s">
        <v>2145</v>
      </c>
      <c r="N22" s="29"/>
    </row>
    <row r="23" spans="2:28" s="4" customFormat="1" ht="13.5" customHeight="1">
      <c r="B23" s="4" t="s">
        <v>362</v>
      </c>
      <c r="C23" s="4" t="str">
        <f>INDEX('Reference Score Calculation'!$D$126:$D$199,MATCH($B23,'Reference Score Calculation'!$A$126:$A$199,0))</f>
        <v>教育學士(數學及數學教育)</v>
      </c>
      <c r="D23" s="15" t="str">
        <f>INDEX('Reference Score Calculation'!$E$126:$E$199,MATCH($B23,'Reference Score Calculation'!$A$126:$A$199,0))</f>
        <v>Best 5</v>
      </c>
      <c r="E23" s="109">
        <f>ROUND(INDEX('Reference Score Calculation'!G$101:G$203,MATCH('Retake 扣分'!$B23,'Reference Score Calculation'!$A$101:$A$203,0)),2)</f>
        <v>53</v>
      </c>
      <c r="F23" s="109">
        <f>ROUND(INDEX('Reference Score Calculation'!H$101:H$203,MATCH('Retake 扣分'!$B23,'Reference Score Calculation'!$A$101:$A$203,0)),2)</f>
        <v>50.75</v>
      </c>
      <c r="G23" s="109">
        <f>ROUND(INDEX('Reference Score Calculation'!I$101:I$203,MATCH('Retake 扣分'!$B23,'Reference Score Calculation'!$A$101:$A$203,0)),2)</f>
        <v>50</v>
      </c>
      <c r="H23" s="192">
        <f>ROUND(INDEX(計分版!$J$103:$J$255,MATCH('Retake 扣分'!B23,計分版!$B$103:$B$255,0)),2)</f>
        <v>0</v>
      </c>
      <c r="I23" s="527" t="str">
        <f>INDEX('Reference Score Calculation'!$AU$126:$AU$199,MATCH($B23,'Reference Score Calculation'!$A$126:$A$199,0))</f>
        <v>5%或更少(全Cert)</v>
      </c>
      <c r="J23" s="527"/>
      <c r="K23" s="15" t="s">
        <v>2145</v>
      </c>
      <c r="N23" s="29"/>
    </row>
    <row r="24" spans="2:28" s="4" customFormat="1" ht="13.5" customHeight="1">
      <c r="B24" s="4" t="s">
        <v>1424</v>
      </c>
      <c r="C24" s="4" t="str">
        <f>INDEX('Reference Score Calculation'!$D$126:$D$199,MATCH($B24,'Reference Score Calculation'!$A$126:$A$199,0))</f>
        <v>電子工程學</v>
      </c>
      <c r="D24" s="15" t="str">
        <f>INDEX('Reference Score Calculation'!$E$126:$E$199,MATCH($B24,'Reference Score Calculation'!$A$126:$A$199,0))</f>
        <v>Best 5</v>
      </c>
      <c r="E24" s="109">
        <f>ROUND(INDEX('Reference Score Calculation'!G$101:G$203,MATCH('Retake 扣分'!$B24,'Reference Score Calculation'!$A$101:$A$203,0)),2)</f>
        <v>29.5</v>
      </c>
      <c r="F24" s="109">
        <f>ROUND(INDEX('Reference Score Calculation'!H$101:H$203,MATCH('Retake 扣分'!$B24,'Reference Score Calculation'!$A$101:$A$203,0)),2)</f>
        <v>28</v>
      </c>
      <c r="G24" s="109">
        <f>ROUND(INDEX('Reference Score Calculation'!I$101:I$203,MATCH('Retake 扣分'!$B24,'Reference Score Calculation'!$A$101:$A$203,0)),2)</f>
        <v>26.5</v>
      </c>
      <c r="H24" s="192">
        <f>ROUND(INDEX(計分版!$J$103:$J$255,MATCH('Retake 扣分'!B24,計分版!$B$103:$B$255,0)),2)</f>
        <v>0</v>
      </c>
      <c r="I24" s="527" t="str">
        <f>INDEX('Reference Score Calculation'!$AU$126:$AU$199,MATCH($B24,'Reference Score Calculation'!$A$126:$A$199,0))</f>
        <v>5%或更少(全Cert)</v>
      </c>
      <c r="J24" s="527"/>
      <c r="K24" s="15" t="s">
        <v>2145</v>
      </c>
      <c r="N24" s="29"/>
    </row>
    <row r="25" spans="2:28" s="4" customFormat="1" ht="13.5" customHeight="1">
      <c r="B25" s="4" t="s">
        <v>1449</v>
      </c>
      <c r="C25" s="4" t="str">
        <f>INDEX('Reference Score Calculation'!$D$126:$D$199,MATCH($B25,'Reference Score Calculation'!$A$126:$A$199,0))</f>
        <v>內外全科醫學士課程</v>
      </c>
      <c r="D25" s="15" t="str">
        <f>INDEX('Reference Score Calculation'!$E$126:$E$199,MATCH($B25,'Reference Score Calculation'!$A$126:$A$199,0))</f>
        <v>4C3X</v>
      </c>
      <c r="E25" s="109">
        <f>ROUND(INDEX('Reference Score Calculation'!G$101:G$203,MATCH('Retake 扣分'!$B25,'Reference Score Calculation'!$A$101:$A$203,0)),2)</f>
        <v>44</v>
      </c>
      <c r="F25" s="109">
        <f>ROUND(INDEX('Reference Score Calculation'!H$101:H$203,MATCH('Retake 扣分'!$B25,'Reference Score Calculation'!$A$101:$A$203,0)),2)</f>
        <v>43</v>
      </c>
      <c r="G25" s="109">
        <f>ROUND(INDEX('Reference Score Calculation'!I$101:I$203,MATCH('Retake 扣分'!$B25,'Reference Score Calculation'!$A$101:$A$203,0)),2)</f>
        <v>41</v>
      </c>
      <c r="H25" s="192">
        <f>ROUND(INDEX(計分版!$J$103:$J$255,MATCH('Retake 扣分'!B25,計分版!$B$103:$B$255,0)),2)</f>
        <v>0</v>
      </c>
      <c r="I25" s="527" t="str">
        <f>INDEX('Reference Score Calculation'!$AU$126:$AU$199,MATCH($B25,'Reference Score Calculation'!$A$126:$A$199,0))</f>
        <v>6%-10%(全Cert)</v>
      </c>
      <c r="J25" s="527"/>
      <c r="K25" s="15" t="s">
        <v>2145</v>
      </c>
      <c r="N25" s="29"/>
    </row>
    <row r="26" spans="2:28" s="4" customFormat="1" ht="13.5" customHeight="1">
      <c r="B26" s="4" t="s">
        <v>487</v>
      </c>
      <c r="C26" s="4" t="str">
        <f>INDEX('Reference Score Calculation'!$D$126:$D$199,MATCH($B26,'Reference Score Calculation'!$A$126:$A$199,0))</f>
        <v>內外全科醫學士課程環球醫學領袖培訓專修組別</v>
      </c>
      <c r="D26" s="15" t="str">
        <f>INDEX('Reference Score Calculation'!$E$126:$E$199,MATCH($B26,'Reference Score Calculation'!$A$126:$A$199,0))</f>
        <v>4C3X</v>
      </c>
      <c r="E26" s="109">
        <f>ROUND(INDEX('Reference Score Calculation'!G$101:G$203,MATCH('Retake 扣分'!$B26,'Reference Score Calculation'!$A$101:$A$203,0)),2)</f>
        <v>47.5</v>
      </c>
      <c r="F26" s="109">
        <f>ROUND(INDEX('Reference Score Calculation'!H$101:H$203,MATCH('Retake 扣分'!$B26,'Reference Score Calculation'!$A$101:$A$203,0)),2)</f>
        <v>47</v>
      </c>
      <c r="G26" s="109">
        <f>ROUND(INDEX('Reference Score Calculation'!I$101:I$203,MATCH('Retake 扣分'!$B26,'Reference Score Calculation'!$A$101:$A$203,0)),2)</f>
        <v>46</v>
      </c>
      <c r="H26" s="192">
        <f>ROUND(INDEX(計分版!$J$103:$J$255,MATCH('Retake 扣分'!B26,計分版!$B$103:$B$255,0)),2)</f>
        <v>0</v>
      </c>
      <c r="I26" s="527" t="str">
        <f>INDEX('Reference Score Calculation'!$AU$126:$AU$199,MATCH($B26,'Reference Score Calculation'!$A$126:$A$199,0))</f>
        <v>6%-10%(全Cert)</v>
      </c>
      <c r="J26" s="527"/>
      <c r="K26" s="15" t="s">
        <v>2145</v>
      </c>
      <c r="N26" s="29"/>
    </row>
    <row r="27" spans="2:28" s="4" customFormat="1" ht="13.5" customHeight="1">
      <c r="B27" s="4" t="s">
        <v>1461</v>
      </c>
      <c r="C27" s="4" t="str">
        <f>INDEX('Reference Score Calculation'!$D$126:$D$199,MATCH($B27,'Reference Score Calculation'!$A$126:$A$199,0))</f>
        <v>藥劑學</v>
      </c>
      <c r="D27" s="15" t="str">
        <f>INDEX('Reference Score Calculation'!$E$126:$E$199,MATCH($B27,'Reference Score Calculation'!$A$126:$A$199,0))</f>
        <v>4C2X</v>
      </c>
      <c r="E27" s="109">
        <f>ROUND(INDEX('Reference Score Calculation'!G$101:G$203,MATCH('Retake 扣分'!$B27,'Reference Score Calculation'!$A$101:$A$203,0)),2)</f>
        <v>36</v>
      </c>
      <c r="F27" s="109">
        <f>ROUND(INDEX('Reference Score Calculation'!H$101:H$203,MATCH('Retake 扣分'!$B27,'Reference Score Calculation'!$A$101:$A$203,0)),2)</f>
        <v>34.5</v>
      </c>
      <c r="G27" s="109">
        <f>ROUND(INDEX('Reference Score Calculation'!I$101:I$203,MATCH('Retake 扣分'!$B27,'Reference Score Calculation'!$A$101:$A$203,0)),2)</f>
        <v>33</v>
      </c>
      <c r="H27" s="192">
        <f>ROUND(INDEX(計分版!$J$103:$J$255,MATCH('Retake 扣分'!B27,計分版!$B$103:$B$255,0)),2)</f>
        <v>0</v>
      </c>
      <c r="I27" s="527" t="str">
        <f>INDEX('Reference Score Calculation'!$AU$126:$AU$199,MATCH($B27,'Reference Score Calculation'!$A$126:$A$199,0))</f>
        <v>5%或更少(全Cert)</v>
      </c>
      <c r="J27" s="527"/>
      <c r="K27" s="15" t="s">
        <v>2145</v>
      </c>
      <c r="N27" s="29"/>
    </row>
    <row r="28" spans="2:28" s="4" customFormat="1" ht="13.5" customHeight="1">
      <c r="B28" s="4" t="s">
        <v>1530</v>
      </c>
      <c r="C28" s="4" t="str">
        <f>INDEX('Reference Score Calculation'!$D$126:$D$199,MATCH($B28,'Reference Score Calculation'!$A$126:$A$199,0))</f>
        <v>政治與行政學</v>
      </c>
      <c r="D28" s="15" t="str">
        <f>INDEX('Reference Score Calculation'!$E$126:$E$199,MATCH($B28,'Reference Score Calculation'!$A$126:$A$199,0))</f>
        <v>Best 5</v>
      </c>
      <c r="E28" s="109">
        <f>ROUND(INDEX('Reference Score Calculation'!G$101:G$203,MATCH('Retake 扣分'!$B28,'Reference Score Calculation'!$A$101:$A$203,0)),2)</f>
        <v>27.75</v>
      </c>
      <c r="F28" s="109">
        <f>ROUND(INDEX('Reference Score Calculation'!H$101:H$203,MATCH('Retake 扣分'!$B28,'Reference Score Calculation'!$A$101:$A$203,0)),2)</f>
        <v>27.38</v>
      </c>
      <c r="G28" s="109">
        <f>ROUND(INDEX('Reference Score Calculation'!I$101:I$203,MATCH('Retake 扣分'!$B28,'Reference Score Calculation'!$A$101:$A$203,0)),2)</f>
        <v>26.75</v>
      </c>
      <c r="H28" s="192">
        <f>ROUND(INDEX(計分版!$J$103:$J$255,MATCH('Retake 扣分'!B28,計分版!$B$103:$B$255,0)),2)</f>
        <v>0</v>
      </c>
      <c r="I28" s="527" t="str">
        <f>INDEX('Reference Score Calculation'!$AU$126:$AU$199,MATCH($B28,'Reference Score Calculation'!$A$126:$A$199,0))</f>
        <v>5%或更少(全Cert)</v>
      </c>
      <c r="J28" s="527"/>
      <c r="K28" s="15" t="s">
        <v>2146</v>
      </c>
      <c r="N28" s="29"/>
    </row>
    <row r="29" spans="2:28" s="4" customFormat="1" ht="13.5" customHeight="1">
      <c r="B29" s="4" t="s">
        <v>1558</v>
      </c>
      <c r="C29" s="4" t="str">
        <f>INDEX('Reference Score Calculation'!$D$126:$D$199,MATCH($B29,'Reference Score Calculation'!$A$126:$A$199,0))</f>
        <v>法學士</v>
      </c>
      <c r="D29" s="15" t="str">
        <f>INDEX('Reference Score Calculation'!$E$126:$E$199,MATCH($B29,'Reference Score Calculation'!$A$126:$A$199,0))</f>
        <v>4C2X</v>
      </c>
      <c r="E29" s="109">
        <f>ROUND(INDEX('Reference Score Calculation'!G$101:G$203,MATCH('Retake 扣分'!$B29,'Reference Score Calculation'!$A$101:$A$203,0)),2)</f>
        <v>47.5</v>
      </c>
      <c r="F29" s="109">
        <f>ROUND(INDEX('Reference Score Calculation'!H$101:H$203,MATCH('Retake 扣分'!$B29,'Reference Score Calculation'!$A$101:$A$203,0)),2)</f>
        <v>45.25</v>
      </c>
      <c r="G29" s="109">
        <f>ROUND(INDEX('Reference Score Calculation'!I$101:I$203,MATCH('Retake 扣分'!$B29,'Reference Score Calculation'!$A$101:$A$203,0)),2)</f>
        <v>43.75</v>
      </c>
      <c r="H29" s="192">
        <f>ROUND(INDEX(計分版!$J$103:$J$255,MATCH('Retake 扣分'!B29,計分版!$B$103:$B$255,0)),2)</f>
        <v>0</v>
      </c>
      <c r="I29" s="527" t="str">
        <f>INDEX('Reference Score Calculation'!$AU$126:$AU$199,MATCH($B29,'Reference Score Calculation'!$A$126:$A$199,0))</f>
        <v>5%或更少(全Cert)</v>
      </c>
      <c r="J29" s="527"/>
      <c r="K29" s="15" t="s">
        <v>2146</v>
      </c>
      <c r="N29" s="29"/>
    </row>
    <row r="30" spans="2:28" s="4" customFormat="1" ht="13.5" customHeight="1">
      <c r="F30" s="15"/>
      <c r="G30" s="15"/>
      <c r="H30" s="115"/>
      <c r="I30" s="15"/>
      <c r="J30" s="15"/>
      <c r="K30" s="15"/>
      <c r="L30" s="15"/>
      <c r="M30" s="15"/>
      <c r="N30" s="15"/>
      <c r="O30" s="15"/>
      <c r="S30" s="15"/>
    </row>
    <row r="31" spans="2:28" s="4" customFormat="1" ht="13.5" customHeight="1">
      <c r="F31" s="15"/>
      <c r="G31" s="15"/>
      <c r="H31" s="115"/>
      <c r="I31" s="15"/>
      <c r="J31" s="15"/>
      <c r="K31" s="15"/>
      <c r="L31" s="15"/>
      <c r="M31" s="15"/>
      <c r="N31" s="15"/>
      <c r="O31" s="15"/>
      <c r="S31" s="15"/>
    </row>
    <row r="32" spans="2:28" s="15" customFormat="1" ht="13.5" customHeight="1">
      <c r="B32" s="107" t="s">
        <v>1666</v>
      </c>
      <c r="C32" s="74"/>
      <c r="D32" s="74"/>
      <c r="E32" s="74" t="s">
        <v>109</v>
      </c>
      <c r="F32" s="74" t="s">
        <v>108</v>
      </c>
      <c r="G32" s="74" t="s">
        <v>106</v>
      </c>
      <c r="H32" s="116" t="s">
        <v>2142</v>
      </c>
      <c r="I32" s="74" t="s">
        <v>322</v>
      </c>
      <c r="J32" s="74" t="s">
        <v>323</v>
      </c>
      <c r="K32" s="74" t="s">
        <v>79</v>
      </c>
      <c r="L32" s="74" t="s">
        <v>324</v>
      </c>
      <c r="M32" s="74" t="s">
        <v>325</v>
      </c>
      <c r="N32" s="74" t="str">
        <f>計分版!P1</f>
        <v>請選擇第一選修科</v>
      </c>
      <c r="O32" s="74" t="str">
        <f>計分版!Q1</f>
        <v>請選擇第二選修科</v>
      </c>
      <c r="P32" s="74" t="str">
        <f>計分版!R1</f>
        <v>請選擇第三選修科</v>
      </c>
      <c r="Q32" s="74" t="str">
        <f>計分版!S1</f>
        <v>請選擇第四選修科</v>
      </c>
      <c r="R32" s="74" t="str">
        <f>計分版!T1</f>
        <v>請選擇語言科目</v>
      </c>
      <c r="S32" s="74" t="s">
        <v>2143</v>
      </c>
      <c r="T32" s="74" t="s">
        <v>2144</v>
      </c>
      <c r="U32" s="111"/>
      <c r="V32" s="111"/>
      <c r="W32" s="111"/>
      <c r="X32" s="111"/>
      <c r="Y32" s="111"/>
      <c r="Z32" s="111"/>
      <c r="AA32" s="111"/>
      <c r="AB32" s="111"/>
    </row>
    <row r="33" spans="2:20" s="4" customFormat="1" ht="14.4">
      <c r="B33" s="4" t="str">
        <f>'Reference Score Calculation'!A228</f>
        <v>JS6004</v>
      </c>
      <c r="C33" s="4" t="str">
        <f>'Reference Score Calculation'!D228</f>
        <v>建築學文學士</v>
      </c>
      <c r="D33" s="4" t="str">
        <f>'Reference Score Calculation'!E228</f>
        <v>Best 6</v>
      </c>
      <c r="E33" s="109">
        <f>'Reference Score Calculation'!G228</f>
        <v>36</v>
      </c>
      <c r="F33" s="109">
        <f>'Reference Score Calculation'!H228</f>
        <v>32</v>
      </c>
      <c r="G33" s="109">
        <f>'Reference Score Calculation'!I228</f>
        <v>32</v>
      </c>
      <c r="H33" s="192">
        <f>計分版!J251</f>
        <v>4.3500000000000001E-9</v>
      </c>
      <c r="I33" s="15">
        <f>ROUND(計分版!V251,2)</f>
        <v>0</v>
      </c>
      <c r="J33" s="15">
        <f>ROUND(計分版!W251,2)</f>
        <v>0</v>
      </c>
      <c r="K33" s="15">
        <f>ROUND(計分版!X251,2)</f>
        <v>0</v>
      </c>
      <c r="L33" s="15">
        <f>ROUND(計分版!Y251,2)</f>
        <v>0</v>
      </c>
      <c r="M33" s="15">
        <f>ROUND(計分版!Z251,2)</f>
        <v>0</v>
      </c>
      <c r="N33" s="15">
        <f>ROUND(計分版!AA251,2)</f>
        <v>0</v>
      </c>
      <c r="O33" s="15">
        <f>ROUND(計分版!AB251,2)</f>
        <v>0</v>
      </c>
      <c r="P33" s="15">
        <f>ROUND(計分版!AC251,2)</f>
        <v>0</v>
      </c>
      <c r="Q33" s="15">
        <f>ROUND(計分版!AD251,2)</f>
        <v>0</v>
      </c>
      <c r="R33" s="15">
        <f>ROUND(計分版!AE251,2)</f>
        <v>0</v>
      </c>
      <c r="S33" s="110" t="str">
        <f>'Reference Score Calculation'!AU228</f>
        <v>無</v>
      </c>
      <c r="T33" s="4" t="str">
        <f>'Reference Score Calculation'!AP228</f>
        <v>Best results in 2 or more sittings of HKDSE</v>
      </c>
    </row>
    <row r="34" spans="2:20" s="4" customFormat="1" ht="14.4">
      <c r="B34" s="4" t="str">
        <f>'Reference Score Calculation'!A229</f>
        <v>JS6016</v>
      </c>
      <c r="C34" s="4" t="str">
        <f>'Reference Score Calculation'!D229</f>
        <v>理學士(測量學)</v>
      </c>
      <c r="D34" s="4" t="str">
        <f>'Reference Score Calculation'!E229</f>
        <v>Best 5</v>
      </c>
      <c r="E34" s="109">
        <f>'Reference Score Calculation'!G229</f>
        <v>31</v>
      </c>
      <c r="F34" s="109">
        <f>'Reference Score Calculation'!H229</f>
        <v>29</v>
      </c>
      <c r="G34" s="109">
        <f>'Reference Score Calculation'!I229</f>
        <v>28</v>
      </c>
      <c r="H34" s="192">
        <f>計分版!J252</f>
        <v>3.9500000000000006E-9</v>
      </c>
      <c r="I34" s="15">
        <f>ROUND(計分版!V252,2)</f>
        <v>0</v>
      </c>
      <c r="J34" s="15">
        <f>ROUND(計分版!W252,2)</f>
        <v>0</v>
      </c>
      <c r="K34" s="15">
        <f>ROUND(計分版!X252,2)</f>
        <v>0</v>
      </c>
      <c r="L34" s="15">
        <f>ROUND(計分版!Y252,2)</f>
        <v>0</v>
      </c>
      <c r="M34" s="15">
        <f>ROUND(計分版!Z252,2)</f>
        <v>0</v>
      </c>
      <c r="N34" s="15">
        <f>ROUND(計分版!AA252,2)</f>
        <v>0</v>
      </c>
      <c r="O34" s="15">
        <f>ROUND(計分版!AB252,2)</f>
        <v>0</v>
      </c>
      <c r="P34" s="15">
        <f>ROUND(計分版!AC252,2)</f>
        <v>0</v>
      </c>
      <c r="Q34" s="15">
        <f>ROUND(計分版!AD252,2)</f>
        <v>0</v>
      </c>
      <c r="R34" s="15">
        <f>ROUND(計分版!AE252,2)</f>
        <v>0</v>
      </c>
      <c r="S34" s="110" t="str">
        <f>'Reference Score Calculation'!AU229</f>
        <v>無</v>
      </c>
      <c r="T34" s="4" t="str">
        <f>'Reference Score Calculation'!AP229</f>
        <v>Best results in year 2023 and 2024 Only</v>
      </c>
    </row>
    <row r="35" spans="2:20" s="4" customFormat="1" ht="14.4">
      <c r="B35" s="4" t="str">
        <f>'Reference Score Calculation'!A230</f>
        <v>JS6028</v>
      </c>
      <c r="C35" s="4" t="str">
        <f>'Reference Score Calculation'!D230</f>
        <v>園境學文學士</v>
      </c>
      <c r="D35" s="4" t="str">
        <f>'Reference Score Calculation'!E230</f>
        <v>Best 5</v>
      </c>
      <c r="E35" s="109">
        <f>'Reference Score Calculation'!G230</f>
        <v>26</v>
      </c>
      <c r="F35" s="109">
        <f>'Reference Score Calculation'!H230</f>
        <v>26</v>
      </c>
      <c r="G35" s="109">
        <f>'Reference Score Calculation'!I230</f>
        <v>25</v>
      </c>
      <c r="H35" s="192">
        <f>計分版!J253</f>
        <v>3.9500000000000006E-9</v>
      </c>
      <c r="I35" s="15">
        <f>ROUND(計分版!V253,2)</f>
        <v>0</v>
      </c>
      <c r="J35" s="15">
        <f>ROUND(計分版!W253,2)</f>
        <v>0</v>
      </c>
      <c r="K35" s="15">
        <f>ROUND(計分版!X253,2)</f>
        <v>0</v>
      </c>
      <c r="L35" s="15">
        <f>ROUND(計分版!Y253,2)</f>
        <v>0</v>
      </c>
      <c r="M35" s="15">
        <f>ROUND(計分版!Z253,2)</f>
        <v>0</v>
      </c>
      <c r="N35" s="15">
        <f>ROUND(計分版!AA253,2)</f>
        <v>0</v>
      </c>
      <c r="O35" s="15">
        <f>ROUND(計分版!AB253,2)</f>
        <v>0</v>
      </c>
      <c r="P35" s="15">
        <f>ROUND(計分版!AC253,2)</f>
        <v>0</v>
      </c>
      <c r="Q35" s="15">
        <f>ROUND(計分版!AD253,2)</f>
        <v>0</v>
      </c>
      <c r="R35" s="15">
        <f>ROUND(計分版!AE253,2)</f>
        <v>0</v>
      </c>
      <c r="S35" s="110" t="str">
        <f>'Reference Score Calculation'!AU230</f>
        <v>無</v>
      </c>
      <c r="T35" s="4" t="str">
        <f>'Reference Score Calculation'!AP230</f>
        <v>Best results in 2 or more sittings of HKDSE</v>
      </c>
    </row>
    <row r="36" spans="2:20" s="4" customFormat="1" ht="14.4">
      <c r="B36" s="4" t="str">
        <f>'Reference Score Calculation'!A231</f>
        <v>JS6042</v>
      </c>
      <c r="C36" s="4" t="str">
        <f>'Reference Score Calculation'!D231</f>
        <v>文學士(城市研究)</v>
      </c>
      <c r="D36" s="4" t="str">
        <f>'Reference Score Calculation'!E231</f>
        <v>Best 5</v>
      </c>
      <c r="E36" s="109">
        <f>'Reference Score Calculation'!G231</f>
        <v>32</v>
      </c>
      <c r="F36" s="109">
        <f>'Reference Score Calculation'!H231</f>
        <v>29</v>
      </c>
      <c r="G36" s="109">
        <f>'Reference Score Calculation'!I231</f>
        <v>26</v>
      </c>
      <c r="H36" s="192">
        <f>計分版!J254</f>
        <v>3.9500000000000006E-9</v>
      </c>
      <c r="I36" s="15">
        <f>ROUND(計分版!V254,2)</f>
        <v>0</v>
      </c>
      <c r="J36" s="15">
        <f>ROUND(計分版!W254,2)</f>
        <v>0</v>
      </c>
      <c r="K36" s="15">
        <f>ROUND(計分版!X254,2)</f>
        <v>0</v>
      </c>
      <c r="L36" s="15">
        <f>ROUND(計分版!Y254,2)</f>
        <v>0</v>
      </c>
      <c r="M36" s="15">
        <f>ROUND(計分版!Z254,2)</f>
        <v>0</v>
      </c>
      <c r="N36" s="15">
        <f>ROUND(計分版!AA254,2)</f>
        <v>0</v>
      </c>
      <c r="O36" s="15">
        <f>ROUND(計分版!AB254,2)</f>
        <v>0</v>
      </c>
      <c r="P36" s="15">
        <f>ROUND(計分版!AC254,2)</f>
        <v>0</v>
      </c>
      <c r="Q36" s="15">
        <f>ROUND(計分版!AD254,2)</f>
        <v>0</v>
      </c>
      <c r="R36" s="15">
        <f>ROUND(計分版!AE254,2)</f>
        <v>0</v>
      </c>
      <c r="S36" s="110" t="str">
        <f>'Reference Score Calculation'!AU231</f>
        <v>無</v>
      </c>
      <c r="T36" s="4" t="str">
        <f>'Reference Score Calculation'!AP231</f>
        <v>Best results in the latest 2 sittings of HKDSE, one of which should include the year of admission (i.e. 2024)</v>
      </c>
    </row>
    <row r="37" spans="2:20" s="4" customFormat="1" ht="14.4">
      <c r="B37" s="4" t="str">
        <f>'Reference Score Calculation'!A232</f>
        <v>JS6054</v>
      </c>
      <c r="C37" s="4" t="str">
        <f>'Reference Score Calculation'!D232</f>
        <v>文學士</v>
      </c>
      <c r="D37" s="4" t="str">
        <f>'Reference Score Calculation'!E232</f>
        <v>Best 5</v>
      </c>
      <c r="E37" s="109">
        <f>'Reference Score Calculation'!G232</f>
        <v>33</v>
      </c>
      <c r="F37" s="109">
        <f>'Reference Score Calculation'!H232</f>
        <v>31</v>
      </c>
      <c r="G37" s="109">
        <f>'Reference Score Calculation'!I232</f>
        <v>30</v>
      </c>
      <c r="H37" s="192">
        <f>計分版!J255</f>
        <v>3.6500000000000004E-9</v>
      </c>
      <c r="I37" s="15">
        <f>ROUND(計分版!V255,2)</f>
        <v>0</v>
      </c>
      <c r="J37" s="15">
        <f>ROUND(計分版!W255,2)</f>
        <v>0</v>
      </c>
      <c r="K37" s="15">
        <f>ROUND(計分版!X255,2)</f>
        <v>0</v>
      </c>
      <c r="L37" s="15">
        <f>ROUND(計分版!Y255,2)</f>
        <v>0</v>
      </c>
      <c r="M37" s="15">
        <f>ROUND(計分版!Z255,2)</f>
        <v>0</v>
      </c>
      <c r="N37" s="15">
        <f>ROUND(計分版!AA255,2)</f>
        <v>0</v>
      </c>
      <c r="O37" s="15">
        <f>ROUND(計分版!AB255,2)</f>
        <v>0</v>
      </c>
      <c r="P37" s="15">
        <f>ROUND(計分版!AC255,2)</f>
        <v>0</v>
      </c>
      <c r="Q37" s="15">
        <f>ROUND(計分版!AD255,2)</f>
        <v>0</v>
      </c>
      <c r="R37" s="15">
        <f>ROUND(計分版!AE255,2)</f>
        <v>0</v>
      </c>
      <c r="S37" s="110" t="str">
        <f>'Reference Score Calculation'!AU232</f>
        <v>無</v>
      </c>
      <c r="T37" s="4" t="str">
        <f>'Reference Score Calculation'!AP232</f>
        <v>Best results in 2 or more sittings of HKDSE</v>
      </c>
    </row>
    <row r="38" spans="2:20" s="4" customFormat="1" ht="14.4">
      <c r="B38" s="4" t="str">
        <f>'Reference Score Calculation'!A233</f>
        <v>JS6286</v>
      </c>
      <c r="C38" s="4" t="str">
        <f>'Reference Score Calculation'!D233</f>
        <v>文學士(人文及數碼科技)</v>
      </c>
      <c r="D38" s="4" t="str">
        <f>'Reference Score Calculation'!E233</f>
        <v>Best 5</v>
      </c>
      <c r="E38" s="109">
        <f>'Reference Score Calculation'!G233</f>
        <v>35</v>
      </c>
      <c r="F38" s="109">
        <f>'Reference Score Calculation'!H233</f>
        <v>33</v>
      </c>
      <c r="G38" s="109">
        <f>'Reference Score Calculation'!I233</f>
        <v>30</v>
      </c>
      <c r="H38" s="192">
        <f>計分版!J256</f>
        <v>3.6500000000000004E-9</v>
      </c>
      <c r="I38" s="15">
        <f>ROUND(計分版!V256,2)</f>
        <v>0</v>
      </c>
      <c r="J38" s="15">
        <f>ROUND(計分版!W256,2)</f>
        <v>0</v>
      </c>
      <c r="K38" s="15">
        <f>ROUND(計分版!X256,2)</f>
        <v>0</v>
      </c>
      <c r="L38" s="15">
        <f>ROUND(計分版!Y256,2)</f>
        <v>0</v>
      </c>
      <c r="M38" s="15">
        <f>ROUND(計分版!Z256,2)</f>
        <v>0</v>
      </c>
      <c r="N38" s="15">
        <f>ROUND(計分版!AA256,2)</f>
        <v>0</v>
      </c>
      <c r="O38" s="15">
        <f>ROUND(計分版!AB256,2)</f>
        <v>0</v>
      </c>
      <c r="P38" s="15">
        <f>ROUND(計分版!AC256,2)</f>
        <v>0</v>
      </c>
      <c r="Q38" s="15">
        <f>ROUND(計分版!AD256,2)</f>
        <v>0</v>
      </c>
      <c r="R38" s="15">
        <f>ROUND(計分版!AE256,2)</f>
        <v>0</v>
      </c>
      <c r="S38" s="110" t="str">
        <f>'Reference Score Calculation'!AU233</f>
        <v>無</v>
      </c>
      <c r="T38" s="4" t="str">
        <f>'Reference Score Calculation'!AP233</f>
        <v>Best results in 2 or more sittings of HKDSE</v>
      </c>
    </row>
    <row r="39" spans="2:20" s="4" customFormat="1" ht="14.4">
      <c r="B39" s="4" t="str">
        <f>'Reference Score Calculation'!A234</f>
        <v>JS6755</v>
      </c>
      <c r="C39" s="4" t="str">
        <f>'Reference Score Calculation'!D234</f>
        <v>工商管理學學士</v>
      </c>
      <c r="D39" s="4" t="str">
        <f>'Reference Score Calculation'!E234</f>
        <v>Best 6</v>
      </c>
      <c r="E39" s="109">
        <f>'Reference Score Calculation'!G234</f>
        <v>39</v>
      </c>
      <c r="F39" s="109">
        <f>'Reference Score Calculation'!H234</f>
        <v>37</v>
      </c>
      <c r="G39" s="109">
        <f>'Reference Score Calculation'!I234</f>
        <v>36</v>
      </c>
      <c r="H39" s="192">
        <f>計分版!J257</f>
        <v>3.7500000000000005E-9</v>
      </c>
      <c r="I39" s="15">
        <f>ROUND(計分版!V257,2)</f>
        <v>0</v>
      </c>
      <c r="J39" s="15">
        <f>ROUND(計分版!W257,2)</f>
        <v>0</v>
      </c>
      <c r="K39" s="15">
        <f>ROUND(計分版!X257,2)</f>
        <v>0</v>
      </c>
      <c r="L39" s="15">
        <f>ROUND(計分版!Y257,2)</f>
        <v>0</v>
      </c>
      <c r="M39" s="15">
        <f>ROUND(計分版!Z257,2)</f>
        <v>0</v>
      </c>
      <c r="N39" s="15">
        <f>ROUND(計分版!AA257,2)</f>
        <v>0</v>
      </c>
      <c r="O39" s="15">
        <f>ROUND(計分版!AB257,2)</f>
        <v>0</v>
      </c>
      <c r="P39" s="15">
        <f>ROUND(計分版!AC257,2)</f>
        <v>0</v>
      </c>
      <c r="Q39" s="15">
        <f>ROUND(計分版!AD257,2)</f>
        <v>0</v>
      </c>
      <c r="R39" s="15">
        <f>ROUND(計分版!AE257,2)</f>
        <v>0</v>
      </c>
      <c r="S39" s="110" t="str">
        <f>'Reference Score Calculation'!AU234</f>
        <v>無</v>
      </c>
      <c r="T39" s="4" t="str">
        <f>'Reference Score Calculation'!AP234</f>
        <v>Best results in year 2022 and 2024 or, 2023 and 2024</v>
      </c>
    </row>
    <row r="40" spans="2:20" s="4" customFormat="1" ht="14.4">
      <c r="B40" s="4" t="str">
        <f>'Reference Score Calculation'!A235</f>
        <v>JS6767</v>
      </c>
      <c r="C40" s="4" t="str">
        <f>'Reference Score Calculation'!D235</f>
        <v>經濟學學士 / 經濟金融學學士</v>
      </c>
      <c r="D40" s="4" t="str">
        <f>'Reference Score Calculation'!E235</f>
        <v>Best 6</v>
      </c>
      <c r="E40" s="109">
        <f>'Reference Score Calculation'!G235</f>
        <v>42</v>
      </c>
      <c r="F40" s="109">
        <f>'Reference Score Calculation'!H235</f>
        <v>41</v>
      </c>
      <c r="G40" s="109">
        <f>'Reference Score Calculation'!I235</f>
        <v>40</v>
      </c>
      <c r="H40" s="192">
        <f>計分版!J258</f>
        <v>3.7500000000000005E-9</v>
      </c>
      <c r="I40" s="15">
        <f>ROUND(計分版!V258,2)</f>
        <v>0</v>
      </c>
      <c r="J40" s="15">
        <f>ROUND(計分版!W258,2)</f>
        <v>0</v>
      </c>
      <c r="K40" s="15">
        <f>ROUND(計分版!X258,2)</f>
        <v>0</v>
      </c>
      <c r="L40" s="15">
        <f>ROUND(計分版!Y258,2)</f>
        <v>0</v>
      </c>
      <c r="M40" s="15">
        <f>ROUND(計分版!Z258,2)</f>
        <v>0</v>
      </c>
      <c r="N40" s="15">
        <f>ROUND(計分版!AA258,2)</f>
        <v>0</v>
      </c>
      <c r="O40" s="15">
        <f>ROUND(計分版!AB258,2)</f>
        <v>0</v>
      </c>
      <c r="P40" s="15">
        <f>ROUND(計分版!AC258,2)</f>
        <v>0</v>
      </c>
      <c r="Q40" s="15">
        <f>ROUND(計分版!AD258,2)</f>
        <v>0</v>
      </c>
      <c r="R40" s="15">
        <f>ROUND(計分版!AE258,2)</f>
        <v>0</v>
      </c>
      <c r="S40" s="110" t="str">
        <f>'Reference Score Calculation'!AU235</f>
        <v>無</v>
      </c>
      <c r="T40" s="4" t="str">
        <f>'Reference Score Calculation'!AP235</f>
        <v>Best results in year 2022 and 2024 or, 2023 and 2024</v>
      </c>
    </row>
    <row r="41" spans="2:20" s="4" customFormat="1" ht="14.4">
      <c r="B41" s="4" t="str">
        <f>'Reference Score Calculation'!A236</f>
        <v>JS6781</v>
      </c>
      <c r="C41" s="4" t="str">
        <f>'Reference Score Calculation'!D236</f>
        <v>工商管理學學士 / 工商管理學學士(會計及財務)</v>
      </c>
      <c r="D41" s="4" t="str">
        <f>'Reference Score Calculation'!E236</f>
        <v>Best 6</v>
      </c>
      <c r="E41" s="109">
        <f>'Reference Score Calculation'!G236</f>
        <v>40</v>
      </c>
      <c r="F41" s="109">
        <f>'Reference Score Calculation'!H236</f>
        <v>38</v>
      </c>
      <c r="G41" s="109">
        <f>'Reference Score Calculation'!I236</f>
        <v>37</v>
      </c>
      <c r="H41" s="192">
        <f>計分版!J259</f>
        <v>3.7500000000000005E-9</v>
      </c>
      <c r="I41" s="15">
        <f>ROUND(計分版!V259,2)</f>
        <v>0</v>
      </c>
      <c r="J41" s="15">
        <f>ROUND(計分版!W259,2)</f>
        <v>0</v>
      </c>
      <c r="K41" s="15">
        <f>ROUND(計分版!X259,2)</f>
        <v>0</v>
      </c>
      <c r="L41" s="15">
        <f>ROUND(計分版!Y259,2)</f>
        <v>0</v>
      </c>
      <c r="M41" s="15">
        <f>ROUND(計分版!Z259,2)</f>
        <v>0</v>
      </c>
      <c r="N41" s="15">
        <f>ROUND(計分版!AA259,2)</f>
        <v>0</v>
      </c>
      <c r="O41" s="15">
        <f>ROUND(計分版!AB259,2)</f>
        <v>0</v>
      </c>
      <c r="P41" s="15">
        <f>ROUND(計分版!AC259,2)</f>
        <v>0</v>
      </c>
      <c r="Q41" s="15">
        <f>ROUND(計分版!AD259,2)</f>
        <v>0</v>
      </c>
      <c r="R41" s="15">
        <f>ROUND(計分版!AE259,2)</f>
        <v>0</v>
      </c>
      <c r="S41" s="110" t="str">
        <f>'Reference Score Calculation'!AU236</f>
        <v>無</v>
      </c>
      <c r="T41" s="4" t="str">
        <f>'Reference Score Calculation'!AP236</f>
        <v>Best results in year 2022 and 2024 or, 2023 and 2024</v>
      </c>
    </row>
    <row r="42" spans="2:20" s="4" customFormat="1" ht="14.4">
      <c r="B42" s="4" t="str">
        <f>'Reference Score Calculation'!A237</f>
        <v>JS6860</v>
      </c>
      <c r="C42" s="4" t="str">
        <f>'Reference Score Calculation'!D237</f>
        <v>金融學學士(資產管理及私人銀行)</v>
      </c>
      <c r="D42" s="4" t="str">
        <f>'Reference Score Calculation'!E237</f>
        <v>Best 6</v>
      </c>
      <c r="E42" s="109">
        <f>'Reference Score Calculation'!G237</f>
        <v>48</v>
      </c>
      <c r="F42" s="109">
        <f>'Reference Score Calculation'!H237</f>
        <v>46</v>
      </c>
      <c r="G42" s="109">
        <f>'Reference Score Calculation'!I237</f>
        <v>46</v>
      </c>
      <c r="H42" s="192">
        <f>計分版!J260</f>
        <v>3.7500000000000005E-9</v>
      </c>
      <c r="I42" s="15">
        <f>ROUND(計分版!V260,2)</f>
        <v>0</v>
      </c>
      <c r="J42" s="15">
        <f>ROUND(計分版!W260,2)</f>
        <v>0</v>
      </c>
      <c r="K42" s="15">
        <f>ROUND(計分版!X260,2)</f>
        <v>0</v>
      </c>
      <c r="L42" s="15">
        <f>ROUND(計分版!Y260,2)</f>
        <v>0</v>
      </c>
      <c r="M42" s="15">
        <f>ROUND(計分版!Z260,2)</f>
        <v>0</v>
      </c>
      <c r="N42" s="15">
        <f>ROUND(計分版!AA260,2)</f>
        <v>0</v>
      </c>
      <c r="O42" s="15">
        <f>ROUND(計分版!AB260,2)</f>
        <v>0</v>
      </c>
      <c r="P42" s="15">
        <f>ROUND(計分版!AC260,2)</f>
        <v>0</v>
      </c>
      <c r="Q42" s="15">
        <f>ROUND(計分版!AD260,2)</f>
        <v>0</v>
      </c>
      <c r="R42" s="15">
        <f>ROUND(計分版!AE260,2)</f>
        <v>0</v>
      </c>
      <c r="S42" s="110" t="str">
        <f>'Reference Score Calculation'!AU237</f>
        <v>無</v>
      </c>
      <c r="T42" s="4" t="str">
        <f>'Reference Score Calculation'!AP237</f>
        <v>Best results in year 2022 and 2024 or, 2023 and 2024</v>
      </c>
    </row>
    <row r="43" spans="2:20" s="4" customFormat="1" ht="14.4">
      <c r="B43" s="4" t="str">
        <f>'Reference Score Calculation'!A238</f>
        <v>JS6793</v>
      </c>
      <c r="C43" s="4" t="str">
        <f>'Reference Score Calculation'!D238</f>
        <v>工商管理學學士(資訊系統)</v>
      </c>
      <c r="D43" s="4" t="str">
        <f>'Reference Score Calculation'!E238</f>
        <v>Best 6</v>
      </c>
      <c r="E43" s="109">
        <f>'Reference Score Calculation'!G238</f>
        <v>39</v>
      </c>
      <c r="F43" s="109">
        <f>'Reference Score Calculation'!H238</f>
        <v>36</v>
      </c>
      <c r="G43" s="109">
        <f>'Reference Score Calculation'!I238</f>
        <v>35</v>
      </c>
      <c r="H43" s="192">
        <f>計分版!J261</f>
        <v>3.7500000000000005E-9</v>
      </c>
      <c r="I43" s="15">
        <f>ROUND(計分版!V261,2)</f>
        <v>0</v>
      </c>
      <c r="J43" s="15">
        <f>ROUND(計分版!W261,2)</f>
        <v>0</v>
      </c>
      <c r="K43" s="15">
        <f>ROUND(計分版!X261,2)</f>
        <v>0</v>
      </c>
      <c r="L43" s="15">
        <f>ROUND(計分版!Y261,2)</f>
        <v>0</v>
      </c>
      <c r="M43" s="15">
        <f>ROUND(計分版!Z261,2)</f>
        <v>0</v>
      </c>
      <c r="N43" s="15">
        <f>ROUND(計分版!AA261,2)</f>
        <v>0</v>
      </c>
      <c r="O43" s="15">
        <f>ROUND(計分版!AB261,2)</f>
        <v>0</v>
      </c>
      <c r="P43" s="15">
        <f>ROUND(計分版!AC261,2)</f>
        <v>0</v>
      </c>
      <c r="Q43" s="15">
        <f>ROUND(計分版!AD261,2)</f>
        <v>0</v>
      </c>
      <c r="R43" s="15">
        <f>ROUND(計分版!AE261,2)</f>
        <v>0</v>
      </c>
      <c r="S43" s="110" t="str">
        <f>'Reference Score Calculation'!AU238</f>
        <v>無</v>
      </c>
      <c r="T43" s="4" t="str">
        <f>'Reference Score Calculation'!AP238</f>
        <v>Best results in year 2022 and 2024 or, 2023 and 2024</v>
      </c>
    </row>
    <row r="44" spans="2:20" s="4" customFormat="1" ht="14.4">
      <c r="B44" s="4" t="str">
        <f>'Reference Score Calculation'!A239</f>
        <v>JS6808</v>
      </c>
      <c r="C44" s="4" t="str">
        <f>'Reference Score Calculation'!D239</f>
        <v>工商管理學學士(法學)及法學士 (雙學位課程)</v>
      </c>
      <c r="D44" s="4" t="str">
        <f>'Reference Score Calculation'!E239</f>
        <v>Best 6</v>
      </c>
      <c r="E44" s="109">
        <f>'Reference Score Calculation'!G239</f>
        <v>49</v>
      </c>
      <c r="F44" s="109">
        <f>'Reference Score Calculation'!H239</f>
        <v>46</v>
      </c>
      <c r="G44" s="109">
        <f>'Reference Score Calculation'!I239</f>
        <v>45</v>
      </c>
      <c r="H44" s="192">
        <f>計分版!J262</f>
        <v>3.7500000000000005E-9</v>
      </c>
      <c r="I44" s="15">
        <f>ROUND(計分版!V262,2)</f>
        <v>0</v>
      </c>
      <c r="J44" s="15">
        <f>ROUND(計分版!W262,2)</f>
        <v>0</v>
      </c>
      <c r="K44" s="15">
        <f>ROUND(計分版!X262,2)</f>
        <v>0</v>
      </c>
      <c r="L44" s="15">
        <f>ROUND(計分版!Y262,2)</f>
        <v>0</v>
      </c>
      <c r="M44" s="15">
        <f>ROUND(計分版!Z262,2)</f>
        <v>0</v>
      </c>
      <c r="N44" s="15">
        <f>ROUND(計分版!AA262,2)</f>
        <v>0</v>
      </c>
      <c r="O44" s="15">
        <f>ROUND(計分版!AB262,2)</f>
        <v>0</v>
      </c>
      <c r="P44" s="15">
        <f>ROUND(計分版!AC262,2)</f>
        <v>0</v>
      </c>
      <c r="Q44" s="15">
        <f>ROUND(計分版!AD262,2)</f>
        <v>0</v>
      </c>
      <c r="R44" s="15">
        <f>ROUND(計分版!AE262,2)</f>
        <v>0</v>
      </c>
      <c r="S44" s="110" t="str">
        <f>'Reference Score Calculation'!AU239</f>
        <v>無</v>
      </c>
      <c r="T44" s="4" t="str">
        <f>'Reference Score Calculation'!AP239</f>
        <v>Best results in year 2022 and 2024 or, 2023 and 2024</v>
      </c>
    </row>
    <row r="45" spans="2:20" s="4" customFormat="1" ht="14.4">
      <c r="B45" s="4" t="str">
        <f>'Reference Score Calculation'!A240</f>
        <v>JS6846</v>
      </c>
      <c r="C45" s="4" t="str">
        <f>'Reference Score Calculation'!D240</f>
        <v>理學士(營銷分析及科技)</v>
      </c>
      <c r="D45" s="4" t="str">
        <f>'Reference Score Calculation'!E240</f>
        <v>Best 6</v>
      </c>
      <c r="E45" s="109">
        <f>'Reference Score Calculation'!G240</f>
        <v>36</v>
      </c>
      <c r="F45" s="109">
        <f>'Reference Score Calculation'!H240</f>
        <v>35</v>
      </c>
      <c r="G45" s="109">
        <f>'Reference Score Calculation'!I240</f>
        <v>33</v>
      </c>
      <c r="H45" s="192">
        <f>計分版!J263</f>
        <v>3.7500000000000005E-9</v>
      </c>
      <c r="I45" s="15">
        <f>ROUND(計分版!V263,2)</f>
        <v>0</v>
      </c>
      <c r="J45" s="15">
        <f>ROUND(計分版!W263,2)</f>
        <v>0</v>
      </c>
      <c r="K45" s="15">
        <f>ROUND(計分版!X263,2)</f>
        <v>0</v>
      </c>
      <c r="L45" s="15">
        <f>ROUND(計分版!Y263,2)</f>
        <v>0</v>
      </c>
      <c r="M45" s="15">
        <f>ROUND(計分版!Z263,2)</f>
        <v>0</v>
      </c>
      <c r="N45" s="15">
        <f>ROUND(計分版!AA263,2)</f>
        <v>0</v>
      </c>
      <c r="O45" s="15">
        <f>ROUND(計分版!AB263,2)</f>
        <v>0</v>
      </c>
      <c r="P45" s="15">
        <f>ROUND(計分版!AC263,2)</f>
        <v>0</v>
      </c>
      <c r="Q45" s="15">
        <f>ROUND(計分版!AD263,2)</f>
        <v>0</v>
      </c>
      <c r="R45" s="15">
        <f>ROUND(計分版!AE263,2)</f>
        <v>0</v>
      </c>
      <c r="S45" s="110" t="str">
        <f>'Reference Score Calculation'!AU240</f>
        <v>無</v>
      </c>
      <c r="T45" s="4" t="str">
        <f>'Reference Score Calculation'!AP240</f>
        <v>Best results in year 2022 and 2024 or, 2023 and 2024</v>
      </c>
    </row>
    <row r="46" spans="2:20" s="4" customFormat="1" ht="14.4">
      <c r="B46" s="4" t="str">
        <f>'Reference Score Calculation'!A241</f>
        <v>JS6884</v>
      </c>
      <c r="C46" s="4" t="str">
        <f>'Reference Score Calculation'!D241</f>
        <v>理學士(計量金融)</v>
      </c>
      <c r="D46" s="4" t="str">
        <f>'Reference Score Calculation'!E241</f>
        <v>Best 6</v>
      </c>
      <c r="E46" s="109">
        <f>'Reference Score Calculation'!G241</f>
        <v>50</v>
      </c>
      <c r="F46" s="109">
        <f>'Reference Score Calculation'!H241</f>
        <v>48</v>
      </c>
      <c r="G46" s="109">
        <f>'Reference Score Calculation'!I241</f>
        <v>47</v>
      </c>
      <c r="H46" s="192">
        <f>計分版!J264</f>
        <v>3.7E-9</v>
      </c>
      <c r="I46" s="15">
        <f>ROUND(計分版!V264,2)</f>
        <v>0</v>
      </c>
      <c r="J46" s="15">
        <f>ROUND(計分版!W264,2)</f>
        <v>0</v>
      </c>
      <c r="K46" s="15">
        <f>ROUND(計分版!X264,2)</f>
        <v>0</v>
      </c>
      <c r="L46" s="15">
        <f>ROUND(計分版!Y264,2)</f>
        <v>0</v>
      </c>
      <c r="M46" s="15">
        <f>ROUND(計分版!Z264,2)</f>
        <v>0</v>
      </c>
      <c r="N46" s="15">
        <f>ROUND(計分版!AA264,2)</f>
        <v>0</v>
      </c>
      <c r="O46" s="15">
        <f>ROUND(計分版!AB264,2)</f>
        <v>0</v>
      </c>
      <c r="P46" s="15">
        <f>ROUND(計分版!AC264,2)</f>
        <v>0</v>
      </c>
      <c r="Q46" s="15">
        <f>ROUND(計分版!AD264,2)</f>
        <v>0</v>
      </c>
      <c r="R46" s="15">
        <f>ROUND(計分版!AE264,2)</f>
        <v>0</v>
      </c>
      <c r="S46" s="110" t="str">
        <f>'Reference Score Calculation'!AU241</f>
        <v>無</v>
      </c>
      <c r="T46" s="4" t="str">
        <f>'Reference Score Calculation'!AP241</f>
        <v>Best results in year 2022 and 2024 or, 2023 and 2024</v>
      </c>
    </row>
    <row r="47" spans="2:20" s="4" customFormat="1" ht="14.4">
      <c r="B47" s="4" t="str">
        <f>'Reference Score Calculation'!A242</f>
        <v>JS6896</v>
      </c>
      <c r="C47" s="4" t="str">
        <f>'Reference Score Calculation'!D242</f>
        <v>工商管理學學士(國際商業及環球管理)</v>
      </c>
      <c r="D47" s="4" t="str">
        <f>'Reference Score Calculation'!E242</f>
        <v>Best 6</v>
      </c>
      <c r="E47" s="109">
        <f>'Reference Score Calculation'!G242</f>
        <v>55</v>
      </c>
      <c r="F47" s="109">
        <f>'Reference Score Calculation'!H242</f>
        <v>53</v>
      </c>
      <c r="G47" s="109">
        <f>'Reference Score Calculation'!I242</f>
        <v>52</v>
      </c>
      <c r="H47" s="192">
        <f>計分版!J265</f>
        <v>3.7500000000000005E-9</v>
      </c>
      <c r="I47" s="15">
        <f>ROUND(計分版!V265,2)</f>
        <v>0</v>
      </c>
      <c r="J47" s="15">
        <f>ROUND(計分版!W265,2)</f>
        <v>0</v>
      </c>
      <c r="K47" s="15">
        <f>ROUND(計分版!X265,2)</f>
        <v>0</v>
      </c>
      <c r="L47" s="15">
        <f>ROUND(計分版!Y265,2)</f>
        <v>0</v>
      </c>
      <c r="M47" s="15">
        <f>ROUND(計分版!Z265,2)</f>
        <v>0</v>
      </c>
      <c r="N47" s="15">
        <f>ROUND(計分版!AA265,2)</f>
        <v>0</v>
      </c>
      <c r="O47" s="15">
        <f>ROUND(計分版!AB265,2)</f>
        <v>0</v>
      </c>
      <c r="P47" s="15">
        <f>ROUND(計分版!AC265,2)</f>
        <v>0</v>
      </c>
      <c r="Q47" s="15">
        <f>ROUND(計分版!AD265,2)</f>
        <v>0</v>
      </c>
      <c r="R47" s="15">
        <f>ROUND(計分版!AE265,2)</f>
        <v>0</v>
      </c>
      <c r="S47" s="110" t="str">
        <f>'Reference Score Calculation'!AU242</f>
        <v>無</v>
      </c>
      <c r="T47" s="4" t="str">
        <f>'Reference Score Calculation'!AP242</f>
        <v>Best results in year 2022 and 2024 or, 2023 and 2024</v>
      </c>
    </row>
    <row r="48" spans="2:20" s="4" customFormat="1" ht="14.4">
      <c r="B48" s="4" t="str">
        <f>'Reference Score Calculation'!A243</f>
        <v>JS6107</v>
      </c>
      <c r="C48" s="4" t="str">
        <f>'Reference Score Calculation'!D243</f>
        <v>牙醫學士</v>
      </c>
      <c r="D48" s="4" t="str">
        <f>'Reference Score Calculation'!E243</f>
        <v>Best 6</v>
      </c>
      <c r="E48" s="109">
        <f>'Reference Score Calculation'!G243</f>
        <v>49</v>
      </c>
      <c r="F48" s="109">
        <f>'Reference Score Calculation'!H243</f>
        <v>48</v>
      </c>
      <c r="G48" s="109">
        <f>'Reference Score Calculation'!I243</f>
        <v>46</v>
      </c>
      <c r="H48" s="192">
        <f>計分版!J266</f>
        <v>4.08E-9</v>
      </c>
      <c r="I48" s="15">
        <f>ROUND(計分版!V266,2)</f>
        <v>0</v>
      </c>
      <c r="J48" s="15">
        <f>ROUND(計分版!W266,2)</f>
        <v>0</v>
      </c>
      <c r="K48" s="15">
        <f>ROUND(計分版!X266,2)</f>
        <v>0</v>
      </c>
      <c r="L48" s="15">
        <f>ROUND(計分版!Y266,2)</f>
        <v>0</v>
      </c>
      <c r="M48" s="15">
        <f>ROUND(計分版!Z266,2)</f>
        <v>0</v>
      </c>
      <c r="N48" s="15">
        <f>ROUND(計分版!AA266,2)</f>
        <v>0</v>
      </c>
      <c r="O48" s="15">
        <f>ROUND(計分版!AB266,2)</f>
        <v>0</v>
      </c>
      <c r="P48" s="15">
        <f>ROUND(計分版!AC266,2)</f>
        <v>0</v>
      </c>
      <c r="Q48" s="15">
        <f>ROUND(計分版!AD266,2)</f>
        <v>0</v>
      </c>
      <c r="R48" s="15">
        <f>ROUND(計分版!AE266,2)</f>
        <v>0</v>
      </c>
      <c r="S48" s="110" t="str">
        <f>'Reference Score Calculation'!AU243</f>
        <v>10%(重考科目)</v>
      </c>
      <c r="T48" s="4" t="str">
        <f>'Reference Score Calculation'!AP243</f>
        <v>Best results in year 2023 and 2024 Only</v>
      </c>
    </row>
    <row r="49" spans="2:20" s="4" customFormat="1" ht="14.4">
      <c r="B49" s="4" t="str">
        <f>'Reference Score Calculation'!A244</f>
        <v>JS6066</v>
      </c>
      <c r="C49" s="4" t="str">
        <f>'Reference Score Calculation'!D244</f>
        <v>文學士及教育學士(語文教育) - 英文教育 (雙學位課程)</v>
      </c>
      <c r="D49" s="4" t="str">
        <f>'Reference Score Calculation'!E244</f>
        <v>Best 5</v>
      </c>
      <c r="E49" s="109">
        <f>'Reference Score Calculation'!G244</f>
        <v>36</v>
      </c>
      <c r="F49" s="109">
        <f>'Reference Score Calculation'!H244</f>
        <v>35</v>
      </c>
      <c r="G49" s="109">
        <f>'Reference Score Calculation'!I244</f>
        <v>34</v>
      </c>
      <c r="H49" s="192">
        <f>計分版!J267</f>
        <v>3.2999999999999998E-9</v>
      </c>
      <c r="I49" s="15">
        <f>ROUND(計分版!V267,2)</f>
        <v>0</v>
      </c>
      <c r="J49" s="15">
        <f>ROUND(計分版!W267,2)</f>
        <v>0</v>
      </c>
      <c r="K49" s="15">
        <f>ROUND(計分版!X267,2)</f>
        <v>0</v>
      </c>
      <c r="L49" s="15">
        <f>ROUND(計分版!Y267,2)</f>
        <v>0</v>
      </c>
      <c r="M49" s="15">
        <f>ROUND(計分版!Z267,2)</f>
        <v>0</v>
      </c>
      <c r="N49" s="15">
        <f>ROUND(計分版!AA267,2)</f>
        <v>0</v>
      </c>
      <c r="O49" s="15">
        <f>ROUND(計分版!AB267,2)</f>
        <v>0</v>
      </c>
      <c r="P49" s="15">
        <f>ROUND(計分版!AC267,2)</f>
        <v>0</v>
      </c>
      <c r="Q49" s="15">
        <f>ROUND(計分版!AD267,2)</f>
        <v>0</v>
      </c>
      <c r="R49" s="15">
        <f>ROUND(計分版!AE267,2)</f>
        <v>0</v>
      </c>
      <c r="S49" s="110" t="str">
        <f>'Reference Score Calculation'!AU244</f>
        <v>無</v>
      </c>
      <c r="T49" s="4" t="str">
        <f>'Reference Score Calculation'!AP244</f>
        <v>Best results in 2 or more sittings of HKDSE</v>
      </c>
    </row>
    <row r="50" spans="2:20" s="4" customFormat="1" ht="14.4">
      <c r="B50" s="4" t="str">
        <f>'Reference Score Calculation'!A245</f>
        <v>JS6080</v>
      </c>
      <c r="C50" s="4" t="str">
        <f>'Reference Score Calculation'!D245</f>
        <v>文學士及教育學士(語文教育) - 中文教育 (雙學位課程)</v>
      </c>
      <c r="D50" s="4" t="str">
        <f>'Reference Score Calculation'!E245</f>
        <v>Best 5</v>
      </c>
      <c r="E50" s="109">
        <f>'Reference Score Calculation'!G245</f>
        <v>39</v>
      </c>
      <c r="F50" s="109">
        <f>'Reference Score Calculation'!H245</f>
        <v>37</v>
      </c>
      <c r="G50" s="109">
        <f>'Reference Score Calculation'!I245</f>
        <v>35</v>
      </c>
      <c r="H50" s="192">
        <f>計分版!J268</f>
        <v>3.6E-9</v>
      </c>
      <c r="I50" s="15">
        <f>ROUND(計分版!V268,2)</f>
        <v>0</v>
      </c>
      <c r="J50" s="15">
        <f>ROUND(計分版!W268,2)</f>
        <v>0</v>
      </c>
      <c r="K50" s="15">
        <f>ROUND(計分版!X268,2)</f>
        <v>0</v>
      </c>
      <c r="L50" s="15">
        <f>ROUND(計分版!Y268,2)</f>
        <v>0</v>
      </c>
      <c r="M50" s="15">
        <f>ROUND(計分版!Z268,2)</f>
        <v>0</v>
      </c>
      <c r="N50" s="15">
        <f>ROUND(計分版!AA268,2)</f>
        <v>0</v>
      </c>
      <c r="O50" s="15">
        <f>ROUND(計分版!AB268,2)</f>
        <v>0</v>
      </c>
      <c r="P50" s="15">
        <f>ROUND(計分版!AC268,2)</f>
        <v>0</v>
      </c>
      <c r="Q50" s="15">
        <f>ROUND(計分版!AD268,2)</f>
        <v>0</v>
      </c>
      <c r="R50" s="15">
        <f>ROUND(計分版!AE268,2)</f>
        <v>0</v>
      </c>
      <c r="S50" s="110" t="str">
        <f>'Reference Score Calculation'!AU245</f>
        <v>無</v>
      </c>
      <c r="T50" s="4" t="str">
        <f>'Reference Score Calculation'!AP245</f>
        <v>Best results in 2 or more sittings of HKDSE</v>
      </c>
    </row>
    <row r="51" spans="2:20" s="4" customFormat="1" ht="14.4">
      <c r="B51" s="4" t="str">
        <f>'Reference Score Calculation'!A246</f>
        <v>JS6092</v>
      </c>
      <c r="C51" s="4" t="str">
        <f>'Reference Score Calculation'!D246</f>
        <v>教育學士(幼兒教育及特殊教育)</v>
      </c>
      <c r="D51" s="4" t="str">
        <f>'Reference Score Calculation'!E246</f>
        <v>Best 5</v>
      </c>
      <c r="E51" s="109">
        <f>'Reference Score Calculation'!G246</f>
        <v>27</v>
      </c>
      <c r="F51" s="109">
        <f>'Reference Score Calculation'!H246</f>
        <v>25</v>
      </c>
      <c r="G51" s="109">
        <f>'Reference Score Calculation'!I246</f>
        <v>24</v>
      </c>
      <c r="H51" s="192">
        <f>計分版!J269</f>
        <v>3.1800000000000002E-9</v>
      </c>
      <c r="I51" s="15">
        <f>ROUND(計分版!V269,2)</f>
        <v>0</v>
      </c>
      <c r="J51" s="15">
        <f>ROUND(計分版!W269,2)</f>
        <v>0</v>
      </c>
      <c r="K51" s="15">
        <f>ROUND(計分版!X269,2)</f>
        <v>0</v>
      </c>
      <c r="L51" s="15">
        <f>ROUND(計分版!Y269,2)</f>
        <v>0</v>
      </c>
      <c r="M51" s="15">
        <f>ROUND(計分版!Z269,2)</f>
        <v>0</v>
      </c>
      <c r="N51" s="15">
        <f>ROUND(計分版!AA269,2)</f>
        <v>0</v>
      </c>
      <c r="O51" s="15">
        <f>ROUND(計分版!AB269,2)</f>
        <v>0</v>
      </c>
      <c r="P51" s="15">
        <f>ROUND(計分版!AC269,2)</f>
        <v>0</v>
      </c>
      <c r="Q51" s="15">
        <f>ROUND(計分版!AD269,2)</f>
        <v>0</v>
      </c>
      <c r="R51" s="15">
        <f>ROUND(計分版!AE269,2)</f>
        <v>0</v>
      </c>
      <c r="S51" s="110" t="str">
        <f>'Reference Score Calculation'!AU246</f>
        <v>無</v>
      </c>
      <c r="T51" s="4" t="str">
        <f>'Reference Score Calculation'!AP246</f>
        <v>Best results in 2 or more sittings of HKDSE</v>
      </c>
    </row>
    <row r="52" spans="2:20" s="4" customFormat="1" ht="14.4">
      <c r="B52" s="4" t="str">
        <f>'Reference Score Calculation'!A247</f>
        <v>JS6119</v>
      </c>
      <c r="C52" s="4" t="str">
        <f>'Reference Score Calculation'!D247</f>
        <v>教育學士及理學士 (雙學位課程)</v>
      </c>
      <c r="D52" s="4" t="str">
        <f>'Reference Score Calculation'!E247</f>
        <v>Best 5</v>
      </c>
      <c r="E52" s="109">
        <f>'Reference Score Calculation'!G247</f>
        <v>43</v>
      </c>
      <c r="F52" s="109">
        <f>'Reference Score Calculation'!H247</f>
        <v>42</v>
      </c>
      <c r="G52" s="109">
        <f>'Reference Score Calculation'!I247</f>
        <v>40</v>
      </c>
      <c r="H52" s="192">
        <f>計分版!J270</f>
        <v>2.1500000000000002E-9</v>
      </c>
      <c r="I52" s="15">
        <f>ROUND(計分版!V270,2)</f>
        <v>0</v>
      </c>
      <c r="J52" s="15">
        <f>ROUND(計分版!W270,2)</f>
        <v>0</v>
      </c>
      <c r="K52" s="15">
        <f>ROUND(計分版!X270,2)</f>
        <v>0</v>
      </c>
      <c r="L52" s="15">
        <f>ROUND(計分版!Y270,2)</f>
        <v>0</v>
      </c>
      <c r="M52" s="15">
        <f>ROUND(計分版!Z270,2)</f>
        <v>0</v>
      </c>
      <c r="N52" s="15">
        <f>ROUND(計分版!AA270,2)</f>
        <v>0</v>
      </c>
      <c r="O52" s="15">
        <f>ROUND(計分版!AB270,2)</f>
        <v>0</v>
      </c>
      <c r="P52" s="15">
        <f>ROUND(計分版!AC270,2)</f>
        <v>0</v>
      </c>
      <c r="Q52" s="15">
        <f>ROUND(計分版!AD270,2)</f>
        <v>0</v>
      </c>
      <c r="R52" s="15">
        <f>ROUND(計分版!AE270,2)</f>
        <v>0</v>
      </c>
      <c r="S52" s="110" t="str">
        <f>'Reference Score Calculation'!AU247</f>
        <v>無</v>
      </c>
      <c r="T52" s="4" t="str">
        <f>'Reference Score Calculation'!AP247</f>
        <v>Best results in year 2023 and 2024 Only</v>
      </c>
    </row>
    <row r="53" spans="2:20" s="4" customFormat="1" ht="14.4">
      <c r="B53" s="4" t="str">
        <f>'Reference Score Calculation'!A248</f>
        <v>JS6157</v>
      </c>
      <c r="C53" s="4" t="str">
        <f>'Reference Score Calculation'!D248</f>
        <v>理學士(言語及聽覺科學)</v>
      </c>
      <c r="D53" s="4" t="str">
        <f>'Reference Score Calculation'!E248</f>
        <v>Best 6</v>
      </c>
      <c r="E53" s="109">
        <f>'Reference Score Calculation'!G248</f>
        <v>39</v>
      </c>
      <c r="F53" s="109">
        <f>'Reference Score Calculation'!H248</f>
        <v>38</v>
      </c>
      <c r="G53" s="109">
        <f>'Reference Score Calculation'!I248</f>
        <v>36</v>
      </c>
      <c r="H53" s="192">
        <f>計分版!J271</f>
        <v>3.9000000000000002E-9</v>
      </c>
      <c r="I53" s="15">
        <f>ROUND(計分版!V271,2)</f>
        <v>0</v>
      </c>
      <c r="J53" s="15">
        <f>ROUND(計分版!W271,2)</f>
        <v>0</v>
      </c>
      <c r="K53" s="15">
        <f>ROUND(計分版!X271,2)</f>
        <v>0</v>
      </c>
      <c r="L53" s="15">
        <f>ROUND(計分版!Y271,2)</f>
        <v>0</v>
      </c>
      <c r="M53" s="15">
        <f>ROUND(計分版!Z271,2)</f>
        <v>0</v>
      </c>
      <c r="N53" s="15">
        <f>ROUND(計分版!AA271,2)</f>
        <v>0</v>
      </c>
      <c r="O53" s="15">
        <f>ROUND(計分版!AB271,2)</f>
        <v>0</v>
      </c>
      <c r="P53" s="15">
        <f>ROUND(計分版!AC271,2)</f>
        <v>0</v>
      </c>
      <c r="Q53" s="15">
        <f>ROUND(計分版!AD271,2)</f>
        <v>0</v>
      </c>
      <c r="R53" s="15">
        <f>ROUND(計分版!AE271,2)</f>
        <v>0</v>
      </c>
      <c r="S53" s="110" t="str">
        <f>'Reference Score Calculation'!AU248</f>
        <v>無</v>
      </c>
      <c r="T53" s="4" t="str">
        <f>'Reference Score Calculation'!AP248</f>
        <v>Best results in 2 or more sittings of HKDSE</v>
      </c>
    </row>
    <row r="54" spans="2:20" s="4" customFormat="1" ht="14.4">
      <c r="B54" s="4" t="str">
        <f>'Reference Score Calculation'!A249</f>
        <v>JS6262</v>
      </c>
      <c r="C54" s="4" t="str">
        <f>'Reference Score Calculation'!D249</f>
        <v>工學學士(數據科學及工程)</v>
      </c>
      <c r="D54" s="4" t="str">
        <f>'Reference Score Calculation'!E249</f>
        <v>Best 5</v>
      </c>
      <c r="E54" s="109">
        <f>'Reference Score Calculation'!G249</f>
        <v>31</v>
      </c>
      <c r="F54" s="109">
        <f>'Reference Score Calculation'!H249</f>
        <v>30</v>
      </c>
      <c r="G54" s="109">
        <f>'Reference Score Calculation'!I249</f>
        <v>28</v>
      </c>
      <c r="H54" s="192">
        <f>計分版!J272</f>
        <v>3.1500000000000001E-9</v>
      </c>
      <c r="I54" s="15">
        <f>ROUND(計分版!V272,2)</f>
        <v>0</v>
      </c>
      <c r="J54" s="15">
        <f>ROUND(計分版!W272,2)</f>
        <v>0</v>
      </c>
      <c r="K54" s="15">
        <f>ROUND(計分版!X272,2)</f>
        <v>0</v>
      </c>
      <c r="L54" s="15">
        <f>ROUND(計分版!Y272,2)</f>
        <v>0</v>
      </c>
      <c r="M54" s="15">
        <f>ROUND(計分版!Z272,2)</f>
        <v>0</v>
      </c>
      <c r="N54" s="15">
        <f>ROUND(計分版!AA272,2)</f>
        <v>0</v>
      </c>
      <c r="O54" s="15">
        <f>ROUND(計分版!AB272,2)</f>
        <v>0</v>
      </c>
      <c r="P54" s="15">
        <f>ROUND(計分版!AC272,2)</f>
        <v>0</v>
      </c>
      <c r="Q54" s="15">
        <f>ROUND(計分版!AD272,2)</f>
        <v>0</v>
      </c>
      <c r="R54" s="15">
        <f>ROUND(計分版!AE272,2)</f>
        <v>0</v>
      </c>
      <c r="S54" s="110" t="str">
        <f>'Reference Score Calculation'!AU249</f>
        <v>無</v>
      </c>
      <c r="T54" s="4" t="str">
        <f>'Reference Score Calculation'!AP249</f>
        <v>Best results in the latest 3 sittings of HKDSE</v>
      </c>
    </row>
    <row r="55" spans="2:20" s="4" customFormat="1" ht="14.4">
      <c r="B55" s="4" t="str">
        <f>'Reference Score Calculation'!A250</f>
        <v>JS6925</v>
      </c>
      <c r="C55" s="4" t="str">
        <f>'Reference Score Calculation'!D250</f>
        <v>工學學士(生物醫學工程)</v>
      </c>
      <c r="D55" s="4" t="str">
        <f>'Reference Score Calculation'!E250</f>
        <v>Best 5</v>
      </c>
      <c r="E55" s="109">
        <f>'Reference Score Calculation'!G250</f>
        <v>31</v>
      </c>
      <c r="F55" s="109">
        <f>'Reference Score Calculation'!H250</f>
        <v>28</v>
      </c>
      <c r="G55" s="109">
        <f>'Reference Score Calculation'!I250</f>
        <v>27</v>
      </c>
      <c r="H55" s="192">
        <f>計分版!J273</f>
        <v>3.1500000000000001E-9</v>
      </c>
      <c r="I55" s="15">
        <f>ROUND(計分版!V273,2)</f>
        <v>0</v>
      </c>
      <c r="J55" s="15">
        <f>ROUND(計分版!W273,2)</f>
        <v>0</v>
      </c>
      <c r="K55" s="15">
        <f>ROUND(計分版!X273,2)</f>
        <v>0</v>
      </c>
      <c r="L55" s="15">
        <f>ROUND(計分版!Y273,2)</f>
        <v>0</v>
      </c>
      <c r="M55" s="15">
        <f>ROUND(計分版!Z273,2)</f>
        <v>0</v>
      </c>
      <c r="N55" s="15">
        <f>ROUND(計分版!AA273,2)</f>
        <v>0</v>
      </c>
      <c r="O55" s="15">
        <f>ROUND(計分版!AB273,2)</f>
        <v>0</v>
      </c>
      <c r="P55" s="15">
        <f>ROUND(計分版!AC273,2)</f>
        <v>0</v>
      </c>
      <c r="Q55" s="15">
        <f>ROUND(計分版!AD273,2)</f>
        <v>0</v>
      </c>
      <c r="R55" s="15">
        <f>ROUND(計分版!AE273,2)</f>
        <v>0</v>
      </c>
      <c r="S55" s="110" t="str">
        <f>'Reference Score Calculation'!AU250</f>
        <v>無</v>
      </c>
      <c r="T55" s="4" t="str">
        <f>'Reference Score Calculation'!AP250</f>
        <v>Best results in the latest 3 sittings of HKDSE</v>
      </c>
    </row>
    <row r="56" spans="2:20" s="4" customFormat="1" ht="14.4">
      <c r="B56" s="4" t="str">
        <f>'Reference Score Calculation'!A251</f>
        <v>JS6937</v>
      </c>
      <c r="C56" s="4" t="str">
        <f>'Reference Score Calculation'!D251</f>
        <v>環球工程與商業課程</v>
      </c>
      <c r="D56" s="4" t="str">
        <f>'Reference Score Calculation'!E251</f>
        <v>Best 5</v>
      </c>
      <c r="E56" s="109">
        <f>'Reference Score Calculation'!G251</f>
        <v>34</v>
      </c>
      <c r="F56" s="109">
        <f>'Reference Score Calculation'!H251</f>
        <v>31</v>
      </c>
      <c r="G56" s="109">
        <f>'Reference Score Calculation'!I251</f>
        <v>29</v>
      </c>
      <c r="H56" s="192">
        <f>計分版!J274</f>
        <v>3.1500000000000001E-9</v>
      </c>
      <c r="I56" s="15">
        <f>ROUND(計分版!V274,2)</f>
        <v>0</v>
      </c>
      <c r="J56" s="15">
        <f>ROUND(計分版!W274,2)</f>
        <v>0</v>
      </c>
      <c r="K56" s="15">
        <f>ROUND(計分版!X274,2)</f>
        <v>0</v>
      </c>
      <c r="L56" s="15">
        <f>ROUND(計分版!Y274,2)</f>
        <v>0</v>
      </c>
      <c r="M56" s="15">
        <f>ROUND(計分版!Z274,2)</f>
        <v>0</v>
      </c>
      <c r="N56" s="15">
        <f>ROUND(計分版!AA274,2)</f>
        <v>0</v>
      </c>
      <c r="O56" s="15">
        <f>ROUND(計分版!AB274,2)</f>
        <v>0</v>
      </c>
      <c r="P56" s="15">
        <f>ROUND(計分版!AC274,2)</f>
        <v>0</v>
      </c>
      <c r="Q56" s="15">
        <f>ROUND(計分版!AD274,2)</f>
        <v>0</v>
      </c>
      <c r="R56" s="15">
        <f>ROUND(計分版!AE274,2)</f>
        <v>0</v>
      </c>
      <c r="S56" s="110" t="str">
        <f>'Reference Score Calculation'!AU251</f>
        <v>無</v>
      </c>
      <c r="T56" s="4" t="str">
        <f>'Reference Score Calculation'!AP251</f>
        <v>Best results in year 2023 and 2024 Only</v>
      </c>
    </row>
    <row r="57" spans="2:20" s="4" customFormat="1" ht="14.4">
      <c r="B57" s="4" t="str">
        <f>'Reference Score Calculation'!A252</f>
        <v>JS6951</v>
      </c>
      <c r="C57" s="4" t="str">
        <f>'Reference Score Calculation'!D252</f>
        <v>工學學士(工程科學)</v>
      </c>
      <c r="D57" s="4" t="str">
        <f>'Reference Score Calculation'!E252</f>
        <v>Best 5</v>
      </c>
      <c r="E57" s="109">
        <f>'Reference Score Calculation'!G252</f>
        <v>28</v>
      </c>
      <c r="F57" s="109">
        <f>'Reference Score Calculation'!H252</f>
        <v>26</v>
      </c>
      <c r="G57" s="109">
        <f>'Reference Score Calculation'!I252</f>
        <v>25</v>
      </c>
      <c r="H57" s="192">
        <f>計分版!J275</f>
        <v>3.1500000000000001E-9</v>
      </c>
      <c r="I57" s="15">
        <f>ROUND(計分版!V275,2)</f>
        <v>0</v>
      </c>
      <c r="J57" s="15">
        <f>ROUND(計分版!W275,2)</f>
        <v>0</v>
      </c>
      <c r="K57" s="15">
        <f>ROUND(計分版!X275,2)</f>
        <v>0</v>
      </c>
      <c r="L57" s="15">
        <f>ROUND(計分版!Y275,2)</f>
        <v>0</v>
      </c>
      <c r="M57" s="15">
        <f>ROUND(計分版!Z275,2)</f>
        <v>0</v>
      </c>
      <c r="N57" s="15">
        <f>ROUND(計分版!AA275,2)</f>
        <v>0</v>
      </c>
      <c r="O57" s="15">
        <f>ROUND(計分版!AB275,2)</f>
        <v>0</v>
      </c>
      <c r="P57" s="15">
        <f>ROUND(計分版!AC275,2)</f>
        <v>0</v>
      </c>
      <c r="Q57" s="15">
        <f>ROUND(計分版!AD275,2)</f>
        <v>0</v>
      </c>
      <c r="R57" s="15">
        <f>ROUND(計分版!AE275,2)</f>
        <v>0</v>
      </c>
      <c r="S57" s="110" t="str">
        <f>'Reference Score Calculation'!AU252</f>
        <v>無</v>
      </c>
      <c r="T57" s="4" t="str">
        <f>'Reference Score Calculation'!AP252</f>
        <v>Best results in the latest 3 sittings of HKDSE</v>
      </c>
    </row>
    <row r="58" spans="2:20" s="4" customFormat="1" ht="14.4">
      <c r="B58" s="4" t="str">
        <f>'Reference Score Calculation'!A253</f>
        <v>JS6963</v>
      </c>
      <c r="C58" s="4" t="str">
        <f>'Reference Score Calculation'!D253</f>
        <v>工學學士</v>
      </c>
      <c r="D58" s="4" t="str">
        <f>'Reference Score Calculation'!E253</f>
        <v>Best 5</v>
      </c>
      <c r="E58" s="109">
        <f>'Reference Score Calculation'!G253</f>
        <v>26</v>
      </c>
      <c r="F58" s="109">
        <f>'Reference Score Calculation'!H253</f>
        <v>25</v>
      </c>
      <c r="G58" s="109">
        <f>'Reference Score Calculation'!I253</f>
        <v>23</v>
      </c>
      <c r="H58" s="192">
        <f>計分版!J276</f>
        <v>3.1500000000000001E-9</v>
      </c>
      <c r="I58" s="15">
        <f>ROUND(計分版!V276,2)</f>
        <v>0</v>
      </c>
      <c r="J58" s="15">
        <f>ROUND(計分版!W276,2)</f>
        <v>0</v>
      </c>
      <c r="K58" s="15">
        <f>ROUND(計分版!X276,2)</f>
        <v>0</v>
      </c>
      <c r="L58" s="15">
        <f>ROUND(計分版!Y276,2)</f>
        <v>0</v>
      </c>
      <c r="M58" s="15">
        <f>ROUND(計分版!Z276,2)</f>
        <v>0</v>
      </c>
      <c r="N58" s="15">
        <f>ROUND(計分版!AA276,2)</f>
        <v>0</v>
      </c>
      <c r="O58" s="15">
        <f>ROUND(計分版!AB276,2)</f>
        <v>0</v>
      </c>
      <c r="P58" s="15">
        <f>ROUND(計分版!AC276,2)</f>
        <v>0</v>
      </c>
      <c r="Q58" s="15">
        <f>ROUND(計分版!AD276,2)</f>
        <v>0</v>
      </c>
      <c r="R58" s="15">
        <f>ROUND(計分版!AE276,2)</f>
        <v>0</v>
      </c>
      <c r="S58" s="110" t="str">
        <f>'Reference Score Calculation'!AU253</f>
        <v>無</v>
      </c>
      <c r="T58" s="4" t="str">
        <f>'Reference Score Calculation'!AP253</f>
        <v>Best results in the latest 3 sittings of HKDSE</v>
      </c>
    </row>
    <row r="59" spans="2:20" s="4" customFormat="1" ht="14.4">
      <c r="B59" s="4" t="str">
        <f>'Reference Score Calculation'!A254</f>
        <v>JS6078</v>
      </c>
      <c r="C59" s="4" t="str">
        <f>'Reference Score Calculation'!D254</f>
        <v>文學士及法學士 (雙學位課程)</v>
      </c>
      <c r="D59" s="4" t="str">
        <f>'Reference Score Calculation'!E254</f>
        <v>Best 6</v>
      </c>
      <c r="E59" s="109">
        <f>'Reference Score Calculation'!G254</f>
        <v>40</v>
      </c>
      <c r="F59" s="109">
        <f>'Reference Score Calculation'!H254</f>
        <v>39</v>
      </c>
      <c r="G59" s="109">
        <f>'Reference Score Calculation'!I254</f>
        <v>37</v>
      </c>
      <c r="H59" s="192">
        <f>計分版!J277</f>
        <v>3.7E-9</v>
      </c>
      <c r="I59" s="15">
        <f>ROUND(計分版!V277,2)</f>
        <v>0</v>
      </c>
      <c r="J59" s="15">
        <f>ROUND(計分版!W277,2)</f>
        <v>0</v>
      </c>
      <c r="K59" s="15">
        <f>ROUND(計分版!X277,2)</f>
        <v>0</v>
      </c>
      <c r="L59" s="15">
        <f>ROUND(計分版!Y277,2)</f>
        <v>0</v>
      </c>
      <c r="M59" s="15">
        <f>ROUND(計分版!Z277,2)</f>
        <v>0</v>
      </c>
      <c r="N59" s="15">
        <f>ROUND(計分版!AA277,2)</f>
        <v>0</v>
      </c>
      <c r="O59" s="15">
        <f>ROUND(計分版!AB277,2)</f>
        <v>0</v>
      </c>
      <c r="P59" s="15">
        <f>ROUND(計分版!AC277,2)</f>
        <v>0</v>
      </c>
      <c r="Q59" s="15">
        <f>ROUND(計分版!AD277,2)</f>
        <v>0</v>
      </c>
      <c r="R59" s="15">
        <f>ROUND(計分版!AE277,2)</f>
        <v>0</v>
      </c>
      <c r="S59" s="110" t="str">
        <f>'Reference Score Calculation'!AU254</f>
        <v>無</v>
      </c>
      <c r="T59" s="4" t="str">
        <f>'Reference Score Calculation'!AP254</f>
        <v>Best results in year 2023 and 2024 Only</v>
      </c>
    </row>
    <row r="60" spans="2:20" s="4" customFormat="1" ht="14.4">
      <c r="B60" s="4" t="str">
        <f>'Reference Score Calculation'!A255</f>
        <v>JS6406</v>
      </c>
      <c r="C60" s="4" t="str">
        <f>'Reference Score Calculation'!D255</f>
        <v>法學士</v>
      </c>
      <c r="D60" s="4" t="str">
        <f>'Reference Score Calculation'!E255</f>
        <v>Best 6</v>
      </c>
      <c r="E60" s="109">
        <f>'Reference Score Calculation'!G255</f>
        <v>36</v>
      </c>
      <c r="F60" s="109">
        <f>'Reference Score Calculation'!H255</f>
        <v>35</v>
      </c>
      <c r="G60" s="109">
        <f>'Reference Score Calculation'!I255</f>
        <v>33</v>
      </c>
      <c r="H60" s="192">
        <f>計分版!J278</f>
        <v>3.7E-9</v>
      </c>
      <c r="I60" s="15">
        <f>ROUND(計分版!V278,2)</f>
        <v>0</v>
      </c>
      <c r="J60" s="15">
        <f>ROUND(計分版!W278,2)</f>
        <v>0</v>
      </c>
      <c r="K60" s="15">
        <f>ROUND(計分版!X278,2)</f>
        <v>0</v>
      </c>
      <c r="L60" s="15">
        <f>ROUND(計分版!Y278,2)</f>
        <v>0</v>
      </c>
      <c r="M60" s="15">
        <f>ROUND(計分版!Z278,2)</f>
        <v>0</v>
      </c>
      <c r="N60" s="15">
        <f>ROUND(計分版!AA278,2)</f>
        <v>0</v>
      </c>
      <c r="O60" s="15">
        <f>ROUND(計分版!AB278,2)</f>
        <v>0</v>
      </c>
      <c r="P60" s="15">
        <f>ROUND(計分版!AC278,2)</f>
        <v>0</v>
      </c>
      <c r="Q60" s="15">
        <f>ROUND(計分版!AD278,2)</f>
        <v>0</v>
      </c>
      <c r="R60" s="15">
        <f>ROUND(計分版!AE278,2)</f>
        <v>0</v>
      </c>
      <c r="S60" s="110" t="str">
        <f>'Reference Score Calculation'!AU255</f>
        <v>無</v>
      </c>
      <c r="T60" s="4" t="str">
        <f>'Reference Score Calculation'!AP255</f>
        <v>Best results in year 2023 and 2024 Only</v>
      </c>
    </row>
    <row r="61" spans="2:20" s="4" customFormat="1" ht="14.4">
      <c r="B61" s="4" t="str">
        <f>'Reference Score Calculation'!A256</f>
        <v>JS6418</v>
      </c>
      <c r="C61" s="4" t="str">
        <f>'Reference Score Calculation'!D256</f>
        <v>護理學學士菁英領袖培育專修組別</v>
      </c>
      <c r="D61" s="4" t="str">
        <f>'Reference Score Calculation'!E256</f>
        <v>Best 5</v>
      </c>
      <c r="E61" s="109">
        <f>'Reference Score Calculation'!G256</f>
        <v>38</v>
      </c>
      <c r="F61" s="109">
        <f>'Reference Score Calculation'!H256</f>
        <v>36</v>
      </c>
      <c r="G61" s="109">
        <f>'Reference Score Calculation'!I256</f>
        <v>35</v>
      </c>
      <c r="H61" s="192">
        <f>計分版!J279</f>
        <v>3.9500000000000006E-9</v>
      </c>
      <c r="I61" s="15">
        <f>ROUND(計分版!V279,2)</f>
        <v>0</v>
      </c>
      <c r="J61" s="15">
        <f>ROUND(計分版!W279,2)</f>
        <v>0</v>
      </c>
      <c r="K61" s="15">
        <f>ROUND(計分版!X279,2)</f>
        <v>0</v>
      </c>
      <c r="L61" s="15">
        <f>ROUND(計分版!Y279,2)</f>
        <v>0</v>
      </c>
      <c r="M61" s="15">
        <f>ROUND(計分版!Z279,2)</f>
        <v>0</v>
      </c>
      <c r="N61" s="15">
        <f>ROUND(計分版!AA279,2)</f>
        <v>0</v>
      </c>
      <c r="O61" s="15">
        <f>ROUND(計分版!AB279,2)</f>
        <v>0</v>
      </c>
      <c r="P61" s="15">
        <f>ROUND(計分版!AC279,2)</f>
        <v>0</v>
      </c>
      <c r="Q61" s="15">
        <f>ROUND(計分版!AD279,2)</f>
        <v>0</v>
      </c>
      <c r="R61" s="15">
        <f>ROUND(計分版!AE279,2)</f>
        <v>0</v>
      </c>
      <c r="S61" s="110" t="str">
        <f>'Reference Score Calculation'!AU256</f>
        <v>無</v>
      </c>
      <c r="T61" s="4" t="str">
        <f>'Reference Score Calculation'!AP256</f>
        <v>Best results in year 2022, 2023 and 2024</v>
      </c>
    </row>
    <row r="62" spans="2:20" s="4" customFormat="1" ht="14.4">
      <c r="B62" s="4" t="str">
        <f>'Reference Score Calculation'!A257</f>
        <v>JS6456</v>
      </c>
      <c r="C62" s="4" t="str">
        <f>'Reference Score Calculation'!D257</f>
        <v>內外全科醫學士</v>
      </c>
      <c r="D62" s="4" t="str">
        <f>'Reference Score Calculation'!E257</f>
        <v>Best 6</v>
      </c>
      <c r="E62" s="109">
        <f>'Reference Score Calculation'!G257</f>
        <v>47</v>
      </c>
      <c r="F62" s="109">
        <f>'Reference Score Calculation'!H257</f>
        <v>45</v>
      </c>
      <c r="G62" s="109">
        <f>'Reference Score Calculation'!I257</f>
        <v>44</v>
      </c>
      <c r="H62" s="192">
        <f>計分版!J280</f>
        <v>3.9000000000000002E-9</v>
      </c>
      <c r="I62" s="15">
        <f>ROUND(計分版!V280,2)</f>
        <v>0</v>
      </c>
      <c r="J62" s="15">
        <f>ROUND(計分版!W280,2)</f>
        <v>0</v>
      </c>
      <c r="K62" s="15">
        <f>ROUND(計分版!X280,2)</f>
        <v>0</v>
      </c>
      <c r="L62" s="15">
        <f>ROUND(計分版!Y280,2)</f>
        <v>0</v>
      </c>
      <c r="M62" s="15">
        <f>ROUND(計分版!Z280,2)</f>
        <v>0</v>
      </c>
      <c r="N62" s="15">
        <f>ROUND(計分版!AA280,2)</f>
        <v>0</v>
      </c>
      <c r="O62" s="15">
        <f>ROUND(計分版!AB280,2)</f>
        <v>0</v>
      </c>
      <c r="P62" s="15">
        <f>ROUND(計分版!AC280,2)</f>
        <v>0</v>
      </c>
      <c r="Q62" s="15">
        <f>ROUND(計分版!AD280,2)</f>
        <v>0</v>
      </c>
      <c r="R62" s="15">
        <f>ROUND(計分版!AE280,2)</f>
        <v>0</v>
      </c>
      <c r="S62" s="110" t="str">
        <f>'Reference Score Calculation'!AU257</f>
        <v>10%(重考科目)</v>
      </c>
      <c r="T62" s="4" t="str">
        <f>'Reference Score Calculation'!AP257</f>
        <v>Latest results in year 2022, 2023 and 2024</v>
      </c>
    </row>
    <row r="63" spans="2:20" s="4" customFormat="1" ht="14.4">
      <c r="B63" s="4" t="str">
        <f>'Reference Score Calculation'!A258</f>
        <v>JS6468</v>
      </c>
      <c r="C63" s="4" t="str">
        <f>'Reference Score Calculation'!D258</f>
        <v>護理學學士</v>
      </c>
      <c r="D63" s="4" t="str">
        <f>'Reference Score Calculation'!E258</f>
        <v>Best 5</v>
      </c>
      <c r="E63" s="109">
        <f>'Reference Score Calculation'!G258</f>
        <v>28</v>
      </c>
      <c r="F63" s="109">
        <f>'Reference Score Calculation'!H258</f>
        <v>27</v>
      </c>
      <c r="G63" s="109">
        <f>'Reference Score Calculation'!I258</f>
        <v>26</v>
      </c>
      <c r="H63" s="192">
        <f>計分版!J281</f>
        <v>3.9500000000000006E-9</v>
      </c>
      <c r="I63" s="15">
        <f>ROUND(計分版!V281,2)</f>
        <v>0</v>
      </c>
      <c r="J63" s="15">
        <f>ROUND(計分版!W281,2)</f>
        <v>0</v>
      </c>
      <c r="K63" s="15">
        <f>ROUND(計分版!X281,2)</f>
        <v>0</v>
      </c>
      <c r="L63" s="15">
        <f>ROUND(計分版!Y281,2)</f>
        <v>0</v>
      </c>
      <c r="M63" s="15">
        <f>ROUND(計分版!Z281,2)</f>
        <v>0</v>
      </c>
      <c r="N63" s="15">
        <f>ROUND(計分版!AA281,2)</f>
        <v>0</v>
      </c>
      <c r="O63" s="15">
        <f>ROUND(計分版!AB281,2)</f>
        <v>0</v>
      </c>
      <c r="P63" s="15">
        <f>ROUND(計分版!AC281,2)</f>
        <v>0</v>
      </c>
      <c r="Q63" s="15">
        <f>ROUND(計分版!AD281,2)</f>
        <v>0</v>
      </c>
      <c r="R63" s="15">
        <f>ROUND(計分版!AE281,2)</f>
        <v>0</v>
      </c>
      <c r="S63" s="110" t="str">
        <f>'Reference Score Calculation'!AU258</f>
        <v>無</v>
      </c>
      <c r="T63" s="4" t="str">
        <f>'Reference Score Calculation'!AP258</f>
        <v>Best results in year 2022, 2023 and 2024</v>
      </c>
    </row>
    <row r="64" spans="2:20" s="4" customFormat="1" ht="14.4">
      <c r="B64" s="4" t="str">
        <f>'Reference Score Calculation'!A259</f>
        <v>JS6470</v>
      </c>
      <c r="C64" s="4" t="str">
        <f>'Reference Score Calculation'!D259</f>
        <v>理學士(生物訊息學)</v>
      </c>
      <c r="D64" s="4" t="str">
        <f>'Reference Score Calculation'!E259</f>
        <v>Best 6</v>
      </c>
      <c r="E64" s="109">
        <f>'Reference Score Calculation'!G259</f>
        <v>38</v>
      </c>
      <c r="F64" s="109">
        <f>'Reference Score Calculation'!H259</f>
        <v>36</v>
      </c>
      <c r="G64" s="109">
        <f>'Reference Score Calculation'!I259</f>
        <v>35</v>
      </c>
      <c r="H64" s="192">
        <f>計分版!J282</f>
        <v>3.9000000000000002E-9</v>
      </c>
      <c r="I64" s="15">
        <f>ROUND(計分版!V282,2)</f>
        <v>0</v>
      </c>
      <c r="J64" s="15">
        <f>ROUND(計分版!W282,2)</f>
        <v>0</v>
      </c>
      <c r="K64" s="15">
        <f>ROUND(計分版!X282,2)</f>
        <v>0</v>
      </c>
      <c r="L64" s="15">
        <f>ROUND(計分版!Y282,2)</f>
        <v>0</v>
      </c>
      <c r="M64" s="15">
        <f>ROUND(計分版!Z282,2)</f>
        <v>0</v>
      </c>
      <c r="N64" s="15">
        <f>ROUND(計分版!AA282,2)</f>
        <v>0</v>
      </c>
      <c r="O64" s="15">
        <f>ROUND(計分版!AB282,2)</f>
        <v>0</v>
      </c>
      <c r="P64" s="15">
        <f>ROUND(計分版!AC282,2)</f>
        <v>0</v>
      </c>
      <c r="Q64" s="15">
        <f>ROUND(計分版!AD282,2)</f>
        <v>0</v>
      </c>
      <c r="R64" s="15">
        <f>ROUND(計分版!AE282,2)</f>
        <v>0</v>
      </c>
      <c r="S64" s="110" t="str">
        <f>'Reference Score Calculation'!AU259</f>
        <v>10%(重考科目)</v>
      </c>
      <c r="T64" s="4" t="str">
        <f>'Reference Score Calculation'!AP259</f>
        <v>Latest results in year 2022, 2023 and 2024</v>
      </c>
    </row>
    <row r="65" spans="2:20" s="4" customFormat="1" ht="14.4">
      <c r="B65" s="4" t="str">
        <f>'Reference Score Calculation'!A260</f>
        <v>JS6482</v>
      </c>
      <c r="C65" s="4" t="str">
        <f>'Reference Score Calculation'!D260</f>
        <v>中醫全科學士</v>
      </c>
      <c r="D65" s="4" t="str">
        <f>'Reference Score Calculation'!E260</f>
        <v>Best 5</v>
      </c>
      <c r="E65" s="109">
        <f>'Reference Score Calculation'!G260</f>
        <v>34</v>
      </c>
      <c r="F65" s="109">
        <f>'Reference Score Calculation'!H260</f>
        <v>31</v>
      </c>
      <c r="G65" s="109">
        <f>'Reference Score Calculation'!I260</f>
        <v>30</v>
      </c>
      <c r="H65" s="192">
        <f>計分版!J283</f>
        <v>3.9500000000000006E-9</v>
      </c>
      <c r="I65" s="15">
        <f>ROUND(計分版!V283,2)</f>
        <v>0</v>
      </c>
      <c r="J65" s="15">
        <f>ROUND(計分版!W283,2)</f>
        <v>0</v>
      </c>
      <c r="K65" s="15">
        <f>ROUND(計分版!X283,2)</f>
        <v>0</v>
      </c>
      <c r="L65" s="15">
        <f>ROUND(計分版!Y283,2)</f>
        <v>0</v>
      </c>
      <c r="M65" s="15">
        <f>ROUND(計分版!Z283,2)</f>
        <v>0</v>
      </c>
      <c r="N65" s="15">
        <f>ROUND(計分版!AA283,2)</f>
        <v>0</v>
      </c>
      <c r="O65" s="15">
        <f>ROUND(計分版!AB283,2)</f>
        <v>0</v>
      </c>
      <c r="P65" s="15">
        <f>ROUND(計分版!AC283,2)</f>
        <v>0</v>
      </c>
      <c r="Q65" s="15">
        <f>ROUND(計分版!AD283,2)</f>
        <v>0</v>
      </c>
      <c r="R65" s="15">
        <f>ROUND(計分版!AE283,2)</f>
        <v>0</v>
      </c>
      <c r="S65" s="110" t="str">
        <f>'Reference Score Calculation'!AU260</f>
        <v>無</v>
      </c>
      <c r="T65" s="4" t="str">
        <f>'Reference Score Calculation'!AP260</f>
        <v>Best results in year 2022, 2023 and 2024</v>
      </c>
    </row>
    <row r="66" spans="2:20" s="4" customFormat="1" ht="14.4">
      <c r="B66" s="4" t="str">
        <f>'Reference Score Calculation'!A261</f>
        <v>JS6494</v>
      </c>
      <c r="C66" s="4" t="str">
        <f>'Reference Score Calculation'!D261</f>
        <v>藥劑學學士</v>
      </c>
      <c r="D66" s="4" t="str">
        <f>'Reference Score Calculation'!E261</f>
        <v>Best 6</v>
      </c>
      <c r="E66" s="109">
        <f>'Reference Score Calculation'!G261</f>
        <v>41</v>
      </c>
      <c r="F66" s="109">
        <f>'Reference Score Calculation'!H261</f>
        <v>39</v>
      </c>
      <c r="G66" s="109">
        <f>'Reference Score Calculation'!I261</f>
        <v>38</v>
      </c>
      <c r="H66" s="192">
        <f>計分版!J284</f>
        <v>3.9000000000000002E-9</v>
      </c>
      <c r="I66" s="15">
        <f>ROUND(計分版!V284,2)</f>
        <v>0</v>
      </c>
      <c r="J66" s="15">
        <f>ROUND(計分版!W284,2)</f>
        <v>0</v>
      </c>
      <c r="K66" s="15">
        <f>ROUND(計分版!X284,2)</f>
        <v>0</v>
      </c>
      <c r="L66" s="15">
        <f>ROUND(計分版!Y284,2)</f>
        <v>0</v>
      </c>
      <c r="M66" s="15">
        <f>ROUND(計分版!Z284,2)</f>
        <v>0</v>
      </c>
      <c r="N66" s="15">
        <f>ROUND(計分版!AA284,2)</f>
        <v>0</v>
      </c>
      <c r="O66" s="15">
        <f>ROUND(計分版!AB284,2)</f>
        <v>0</v>
      </c>
      <c r="P66" s="15">
        <f>ROUND(計分版!AC284,2)</f>
        <v>0</v>
      </c>
      <c r="Q66" s="15">
        <f>ROUND(計分版!AD284,2)</f>
        <v>0</v>
      </c>
      <c r="R66" s="15">
        <f>ROUND(計分版!AE284,2)</f>
        <v>0</v>
      </c>
      <c r="S66" s="110" t="str">
        <f>'Reference Score Calculation'!AU261</f>
        <v>10%(重考科目)</v>
      </c>
      <c r="T66" s="4" t="str">
        <f>'Reference Score Calculation'!AP261</f>
        <v>Latest results in year 2022, 2023 and 2024</v>
      </c>
    </row>
    <row r="67" spans="2:20" s="4" customFormat="1" ht="14.4">
      <c r="B67" s="4" t="str">
        <f>'Reference Score Calculation'!A262</f>
        <v>JS6949</v>
      </c>
      <c r="C67" s="4" t="str">
        <f>'Reference Score Calculation'!D262</f>
        <v>生物醫學學士</v>
      </c>
      <c r="D67" s="4" t="str">
        <f>'Reference Score Calculation'!E262</f>
        <v>Best 6</v>
      </c>
      <c r="E67" s="109">
        <f>'Reference Score Calculation'!G262</f>
        <v>41</v>
      </c>
      <c r="F67" s="109">
        <f>'Reference Score Calculation'!H262</f>
        <v>39</v>
      </c>
      <c r="G67" s="109">
        <f>'Reference Score Calculation'!I262</f>
        <v>39</v>
      </c>
      <c r="H67" s="192">
        <f>計分版!J285</f>
        <v>3.9000000000000002E-9</v>
      </c>
      <c r="I67" s="15">
        <f>ROUND(計分版!V285,2)</f>
        <v>0</v>
      </c>
      <c r="J67" s="15">
        <f>ROUND(計分版!W285,2)</f>
        <v>0</v>
      </c>
      <c r="K67" s="15">
        <f>ROUND(計分版!X285,2)</f>
        <v>0</v>
      </c>
      <c r="L67" s="15">
        <f>ROUND(計分版!Y285,2)</f>
        <v>0</v>
      </c>
      <c r="M67" s="15">
        <f>ROUND(計分版!Z285,2)</f>
        <v>0</v>
      </c>
      <c r="N67" s="15">
        <f>ROUND(計分版!AA285,2)</f>
        <v>0</v>
      </c>
      <c r="O67" s="15">
        <f>ROUND(計分版!AB285,2)</f>
        <v>0</v>
      </c>
      <c r="P67" s="15">
        <f>ROUND(計分版!AC285,2)</f>
        <v>0</v>
      </c>
      <c r="Q67" s="15">
        <f>ROUND(計分版!AD285,2)</f>
        <v>0</v>
      </c>
      <c r="R67" s="15">
        <f>ROUND(計分版!AE285,2)</f>
        <v>0</v>
      </c>
      <c r="S67" s="110" t="str">
        <f>'Reference Score Calculation'!AU262</f>
        <v>10%(重考科目)</v>
      </c>
      <c r="T67" s="4" t="str">
        <f>'Reference Score Calculation'!AP262</f>
        <v>Latest results in year 2022, 2023 and 2024</v>
      </c>
    </row>
    <row r="68" spans="2:20" s="4" customFormat="1" ht="14.4">
      <c r="B68" s="4" t="str">
        <f>'Reference Score Calculation'!A263</f>
        <v>JS6688</v>
      </c>
      <c r="C68" s="4" t="str">
        <f>'Reference Score Calculation'!D263</f>
        <v>科研專才啟導課程</v>
      </c>
      <c r="D68" s="4" t="str">
        <f>'Reference Score Calculation'!E263</f>
        <v>Best 5</v>
      </c>
      <c r="E68" s="109">
        <f>'Reference Score Calculation'!G263</f>
        <v>40</v>
      </c>
      <c r="F68" s="109">
        <f>'Reference Score Calculation'!H263</f>
        <v>37</v>
      </c>
      <c r="G68" s="109">
        <f>'Reference Score Calculation'!I263</f>
        <v>35</v>
      </c>
      <c r="H68" s="192">
        <f>計分版!J286</f>
        <v>2.7499999999999998E-9</v>
      </c>
      <c r="I68" s="15">
        <f>ROUND(計分版!V286,2)</f>
        <v>0</v>
      </c>
      <c r="J68" s="15">
        <f>ROUND(計分版!W286,2)</f>
        <v>0</v>
      </c>
      <c r="K68" s="15">
        <f>ROUND(計分版!X286,2)</f>
        <v>0</v>
      </c>
      <c r="L68" s="15">
        <f>ROUND(計分版!Y286,2)</f>
        <v>0</v>
      </c>
      <c r="M68" s="15">
        <f>ROUND(計分版!Z286,2)</f>
        <v>0</v>
      </c>
      <c r="N68" s="15">
        <f>ROUND(計分版!AA286,2)</f>
        <v>0</v>
      </c>
      <c r="O68" s="15">
        <f>ROUND(計分版!AB286,2)</f>
        <v>0</v>
      </c>
      <c r="P68" s="15">
        <f>ROUND(計分版!AC286,2)</f>
        <v>0</v>
      </c>
      <c r="Q68" s="15">
        <f>ROUND(計分版!AD286,2)</f>
        <v>0</v>
      </c>
      <c r="R68" s="15">
        <f>ROUND(計分版!AE286,2)</f>
        <v>0</v>
      </c>
      <c r="S68" s="110" t="str">
        <f>'Reference Score Calculation'!AU263</f>
        <v>無</v>
      </c>
      <c r="T68" s="4" t="str">
        <f>'Reference Score Calculation'!AP263</f>
        <v>Best results in year 2023 and 2024 Only</v>
      </c>
    </row>
    <row r="69" spans="2:20" s="4" customFormat="1" ht="14.4">
      <c r="B69" s="4" t="str">
        <f>'Reference Score Calculation'!A264</f>
        <v>JS6729</v>
      </c>
      <c r="C69" s="4" t="str">
        <f>'Reference Score Calculation'!D264</f>
        <v>理學士(精算學)</v>
      </c>
      <c r="D69" s="4" t="str">
        <f>'Reference Score Calculation'!E264</f>
        <v>Best 5</v>
      </c>
      <c r="E69" s="109">
        <f>'Reference Score Calculation'!G264</f>
        <v>34</v>
      </c>
      <c r="F69" s="109">
        <f>'Reference Score Calculation'!H264</f>
        <v>32</v>
      </c>
      <c r="G69" s="109">
        <f>'Reference Score Calculation'!I264</f>
        <v>31</v>
      </c>
      <c r="H69" s="192">
        <f>計分版!J287</f>
        <v>2.9000000000000003E-9</v>
      </c>
      <c r="I69" s="15">
        <f>ROUND(計分版!V287,2)</f>
        <v>0</v>
      </c>
      <c r="J69" s="15">
        <f>ROUND(計分版!W287,2)</f>
        <v>0</v>
      </c>
      <c r="K69" s="15">
        <f>ROUND(計分版!X287,2)</f>
        <v>0</v>
      </c>
      <c r="L69" s="15">
        <f>ROUND(計分版!Y287,2)</f>
        <v>0</v>
      </c>
      <c r="M69" s="15">
        <f>ROUND(計分版!Z287,2)</f>
        <v>0</v>
      </c>
      <c r="N69" s="15">
        <f>ROUND(計分版!AA287,2)</f>
        <v>0</v>
      </c>
      <c r="O69" s="15">
        <f>ROUND(計分版!AB287,2)</f>
        <v>0</v>
      </c>
      <c r="P69" s="15">
        <f>ROUND(計分版!AC287,2)</f>
        <v>0</v>
      </c>
      <c r="Q69" s="15">
        <f>ROUND(計分版!AD287,2)</f>
        <v>0</v>
      </c>
      <c r="R69" s="15">
        <f>ROUND(計分版!AE287,2)</f>
        <v>0</v>
      </c>
      <c r="S69" s="110" t="str">
        <f>'Reference Score Calculation'!AU264</f>
        <v>無</v>
      </c>
      <c r="T69" s="4" t="str">
        <f>'Reference Score Calculation'!AP264</f>
        <v>Best results in year 2023 and 2024 Only</v>
      </c>
    </row>
    <row r="70" spans="2:20" s="4" customFormat="1" ht="14.4">
      <c r="B70" s="4" t="str">
        <f>'Reference Score Calculation'!A265</f>
        <v>JS6858</v>
      </c>
      <c r="C70" s="4" t="str">
        <f>'Reference Score Calculation'!D265</f>
        <v>理學士及法學士(雙學位課程)</v>
      </c>
      <c r="D70" s="4" t="str">
        <f>'Reference Score Calculation'!E265</f>
        <v>Best 6</v>
      </c>
      <c r="E70" s="109">
        <f>'Reference Score Calculation'!G265</f>
        <v>60</v>
      </c>
      <c r="F70" s="109">
        <f>'Reference Score Calculation'!H265</f>
        <v>54</v>
      </c>
      <c r="G70" s="109">
        <f>'Reference Score Calculation'!I265</f>
        <v>53</v>
      </c>
      <c r="H70" s="192">
        <f>計分版!J288</f>
        <v>4.0000000000000002E-9</v>
      </c>
      <c r="I70" s="15">
        <f>ROUND(計分版!V288,2)</f>
        <v>0</v>
      </c>
      <c r="J70" s="15">
        <f>ROUND(計分版!W288,2)</f>
        <v>0</v>
      </c>
      <c r="K70" s="15">
        <f>ROUND(計分版!X288,2)</f>
        <v>0</v>
      </c>
      <c r="L70" s="15">
        <f>ROUND(計分版!Y288,2)</f>
        <v>0</v>
      </c>
      <c r="M70" s="15">
        <f>ROUND(計分版!Z288,2)</f>
        <v>0</v>
      </c>
      <c r="N70" s="15">
        <f>ROUND(計分版!AA288,2)</f>
        <v>0</v>
      </c>
      <c r="O70" s="15">
        <f>ROUND(計分版!AB288,2)</f>
        <v>0</v>
      </c>
      <c r="P70" s="15">
        <f>ROUND(計分版!AC288,2)</f>
        <v>0</v>
      </c>
      <c r="Q70" s="15">
        <f>ROUND(計分版!AD288,2)</f>
        <v>0</v>
      </c>
      <c r="R70" s="15">
        <f>ROUND(計分版!AE288,2)</f>
        <v>0</v>
      </c>
      <c r="S70" s="110" t="str">
        <f>'Reference Score Calculation'!AU265</f>
        <v>無</v>
      </c>
      <c r="T70" s="4" t="str">
        <f>'Reference Score Calculation'!AP265</f>
        <v>Best results in year 2023 and 2024 Only</v>
      </c>
    </row>
    <row r="71" spans="2:20" s="4" customFormat="1" ht="14.4">
      <c r="B71" s="4" t="str">
        <f>'Reference Score Calculation'!A266</f>
        <v>JS6901</v>
      </c>
      <c r="C71" s="4" t="str">
        <f>'Reference Score Calculation'!D266</f>
        <v>理學士</v>
      </c>
      <c r="D71" s="4" t="str">
        <f>'Reference Score Calculation'!E266</f>
        <v>Best 5</v>
      </c>
      <c r="E71" s="109">
        <f>'Reference Score Calculation'!G266</f>
        <v>34</v>
      </c>
      <c r="F71" s="109">
        <f>'Reference Score Calculation'!H266</f>
        <v>32</v>
      </c>
      <c r="G71" s="109">
        <f>'Reference Score Calculation'!I266</f>
        <v>29</v>
      </c>
      <c r="H71" s="192">
        <f>計分版!J289</f>
        <v>2.2500000000000003E-9</v>
      </c>
      <c r="I71" s="15">
        <f>ROUND(計分版!V289,2)</f>
        <v>0</v>
      </c>
      <c r="J71" s="15">
        <f>ROUND(計分版!W289,2)</f>
        <v>0</v>
      </c>
      <c r="K71" s="15">
        <f>ROUND(計分版!X289,2)</f>
        <v>0</v>
      </c>
      <c r="L71" s="15">
        <f>ROUND(計分版!Y289,2)</f>
        <v>0</v>
      </c>
      <c r="M71" s="15">
        <f>ROUND(計分版!Z289,2)</f>
        <v>0</v>
      </c>
      <c r="N71" s="15">
        <f>ROUND(計分版!AA289,2)</f>
        <v>0</v>
      </c>
      <c r="O71" s="15">
        <f>ROUND(計分版!AB289,2)</f>
        <v>0</v>
      </c>
      <c r="P71" s="15">
        <f>ROUND(計分版!AC289,2)</f>
        <v>0</v>
      </c>
      <c r="Q71" s="15">
        <f>ROUND(計分版!AD289,2)</f>
        <v>0</v>
      </c>
      <c r="R71" s="15">
        <f>ROUND(計分版!AE289,2)</f>
        <v>0</v>
      </c>
      <c r="S71" s="110" t="str">
        <f>'Reference Score Calculation'!AU266</f>
        <v>無</v>
      </c>
      <c r="T71" s="4" t="str">
        <f>'Reference Score Calculation'!AP266</f>
        <v>Best results in year 2023 and 2024 Only</v>
      </c>
    </row>
    <row r="72" spans="2:20" s="4" customFormat="1" ht="14.4">
      <c r="B72" s="4" t="str">
        <f>'Reference Score Calculation'!A267</f>
        <v>JS6705</v>
      </c>
      <c r="C72" s="4" t="str">
        <f>'Reference Score Calculation'!D267</f>
        <v>心理學學士</v>
      </c>
      <c r="D72" s="4" t="str">
        <f>'Reference Score Calculation'!E267</f>
        <v>Best 5</v>
      </c>
      <c r="E72" s="109">
        <f>'Reference Score Calculation'!G267</f>
        <v>31</v>
      </c>
      <c r="F72" s="109">
        <f>'Reference Score Calculation'!H267</f>
        <v>29</v>
      </c>
      <c r="G72" s="109">
        <f>'Reference Score Calculation'!I267</f>
        <v>28</v>
      </c>
      <c r="H72" s="192">
        <f>計分版!J290</f>
        <v>3.9500000000000006E-9</v>
      </c>
      <c r="I72" s="15">
        <f>ROUND(計分版!V290,2)</f>
        <v>0</v>
      </c>
      <c r="J72" s="15">
        <f>ROUND(計分版!W290,2)</f>
        <v>0</v>
      </c>
      <c r="K72" s="15">
        <f>ROUND(計分版!X290,2)</f>
        <v>0</v>
      </c>
      <c r="L72" s="15">
        <f>ROUND(計分版!Y290,2)</f>
        <v>0</v>
      </c>
      <c r="M72" s="15">
        <f>ROUND(計分版!Z290,2)</f>
        <v>0</v>
      </c>
      <c r="N72" s="15">
        <f>ROUND(計分版!AA290,2)</f>
        <v>0</v>
      </c>
      <c r="O72" s="15">
        <f>ROUND(計分版!AB290,2)</f>
        <v>0</v>
      </c>
      <c r="P72" s="15">
        <f>ROUND(計分版!AC290,2)</f>
        <v>0</v>
      </c>
      <c r="Q72" s="15">
        <f>ROUND(計分版!AD290,2)</f>
        <v>0</v>
      </c>
      <c r="R72" s="15">
        <f>ROUND(計分版!AE290,2)</f>
        <v>0</v>
      </c>
      <c r="S72" s="110" t="str">
        <f>'Reference Score Calculation'!AU267</f>
        <v>無</v>
      </c>
      <c r="T72" s="4" t="str">
        <f>'Reference Score Calculation'!AP267</f>
        <v>Best results in year 2023 and 2024 Only</v>
      </c>
    </row>
    <row r="73" spans="2:20" s="4" customFormat="1" ht="14.4">
      <c r="B73" s="4" t="str">
        <f>'Reference Score Calculation'!A268</f>
        <v>JS6717</v>
      </c>
      <c r="C73" s="4" t="str">
        <f>'Reference Score Calculation'!D268</f>
        <v>社會科學學士</v>
      </c>
      <c r="D73" s="4" t="str">
        <f>'Reference Score Calculation'!E268</f>
        <v>Best 5</v>
      </c>
      <c r="E73" s="109">
        <f>'Reference Score Calculation'!G268</f>
        <v>28</v>
      </c>
      <c r="F73" s="109">
        <f>'Reference Score Calculation'!H268</f>
        <v>26</v>
      </c>
      <c r="G73" s="109">
        <f>'Reference Score Calculation'!I268</f>
        <v>25</v>
      </c>
      <c r="H73" s="192">
        <f>計分版!J291</f>
        <v>3.9500000000000006E-9</v>
      </c>
      <c r="I73" s="15">
        <f>ROUND(計分版!V291,2)</f>
        <v>0</v>
      </c>
      <c r="J73" s="15">
        <f>ROUND(計分版!W291,2)</f>
        <v>0</v>
      </c>
      <c r="K73" s="15">
        <f>ROUND(計分版!X291,2)</f>
        <v>0</v>
      </c>
      <c r="L73" s="15">
        <f>ROUND(計分版!Y291,2)</f>
        <v>0</v>
      </c>
      <c r="M73" s="15">
        <f>ROUND(計分版!Z291,2)</f>
        <v>0</v>
      </c>
      <c r="N73" s="15">
        <f>ROUND(計分版!AA291,2)</f>
        <v>0</v>
      </c>
      <c r="O73" s="15">
        <f>ROUND(計分版!AB291,2)</f>
        <v>0</v>
      </c>
      <c r="P73" s="15">
        <f>ROUND(計分版!AC291,2)</f>
        <v>0</v>
      </c>
      <c r="Q73" s="15">
        <f>ROUND(計分版!AD291,2)</f>
        <v>0</v>
      </c>
      <c r="R73" s="15">
        <f>ROUND(計分版!AE291,2)</f>
        <v>0</v>
      </c>
      <c r="S73" s="110" t="str">
        <f>'Reference Score Calculation'!AU268</f>
        <v>無</v>
      </c>
      <c r="T73" s="4" t="str">
        <f>'Reference Score Calculation'!AP268</f>
        <v>Best results in year 2023 and 2024 Only</v>
      </c>
    </row>
    <row r="74" spans="2:20" s="4" customFormat="1" ht="14.4">
      <c r="B74" s="4" t="str">
        <f>'Reference Score Calculation'!A269</f>
        <v>JS6731</v>
      </c>
      <c r="C74" s="4" t="str">
        <f>'Reference Score Calculation'!D269</f>
        <v>社會工作學學士</v>
      </c>
      <c r="D74" s="4" t="str">
        <f>'Reference Score Calculation'!E269</f>
        <v>Best 5</v>
      </c>
      <c r="E74" s="109">
        <f>'Reference Score Calculation'!G269</f>
        <v>28</v>
      </c>
      <c r="F74" s="109">
        <f>'Reference Score Calculation'!H269</f>
        <v>28</v>
      </c>
      <c r="G74" s="109">
        <f>'Reference Score Calculation'!I269</f>
        <v>26</v>
      </c>
      <c r="H74" s="192">
        <f>計分版!J292</f>
        <v>3.9500000000000006E-9</v>
      </c>
      <c r="I74" s="15">
        <f>ROUND(計分版!V292,2)</f>
        <v>0</v>
      </c>
      <c r="J74" s="15">
        <f>ROUND(計分版!W292,2)</f>
        <v>0</v>
      </c>
      <c r="K74" s="15">
        <f>ROUND(計分版!X292,2)</f>
        <v>0</v>
      </c>
      <c r="L74" s="15">
        <f>ROUND(計分版!Y292,2)</f>
        <v>0</v>
      </c>
      <c r="M74" s="15">
        <f>ROUND(計分版!Z292,2)</f>
        <v>0</v>
      </c>
      <c r="N74" s="15">
        <f>ROUND(計分版!AA292,2)</f>
        <v>0</v>
      </c>
      <c r="O74" s="15">
        <f>ROUND(計分版!AB292,2)</f>
        <v>0</v>
      </c>
      <c r="P74" s="15">
        <f>ROUND(計分版!AC292,2)</f>
        <v>0</v>
      </c>
      <c r="Q74" s="15">
        <f>ROUND(計分版!AD292,2)</f>
        <v>0</v>
      </c>
      <c r="R74" s="15">
        <f>ROUND(計分版!AE292,2)</f>
        <v>0</v>
      </c>
      <c r="S74" s="110" t="str">
        <f>'Reference Score Calculation'!AU269</f>
        <v>無</v>
      </c>
      <c r="T74" s="4" t="str">
        <f>'Reference Score Calculation'!AP269</f>
        <v>Best results in year 2023 and 2024 Only</v>
      </c>
    </row>
    <row r="75" spans="2:20" s="4" customFormat="1" ht="14.4">
      <c r="B75" s="4" t="str">
        <f>'Reference Score Calculation'!A270</f>
        <v>JS6810</v>
      </c>
      <c r="C75" s="4" t="str">
        <f>'Reference Score Calculation'!D270</f>
        <v>社會科學學士(政治學與法學)及法學士 (雙學位課程)</v>
      </c>
      <c r="D75" s="4" t="str">
        <f>'Reference Score Calculation'!E270</f>
        <v>Best 6</v>
      </c>
      <c r="E75" s="109">
        <f>'Reference Score Calculation'!G270</f>
        <v>41</v>
      </c>
      <c r="F75" s="109">
        <f>'Reference Score Calculation'!H270</f>
        <v>38</v>
      </c>
      <c r="G75" s="109">
        <f>'Reference Score Calculation'!I270</f>
        <v>38</v>
      </c>
      <c r="H75" s="192">
        <f>計分版!J293</f>
        <v>3.9000000000000002E-9</v>
      </c>
      <c r="I75" s="15">
        <f>ROUND(計分版!V293,2)</f>
        <v>0</v>
      </c>
      <c r="J75" s="15">
        <f>ROUND(計分版!W293,2)</f>
        <v>0</v>
      </c>
      <c r="K75" s="15">
        <f>ROUND(計分版!X293,2)</f>
        <v>0</v>
      </c>
      <c r="L75" s="15">
        <f>ROUND(計分版!Y293,2)</f>
        <v>0</v>
      </c>
      <c r="M75" s="15">
        <f>ROUND(計分版!Z293,2)</f>
        <v>0</v>
      </c>
      <c r="N75" s="15">
        <f>ROUND(計分版!AA293,2)</f>
        <v>0</v>
      </c>
      <c r="O75" s="15">
        <f>ROUND(計分版!AB293,2)</f>
        <v>0</v>
      </c>
      <c r="P75" s="15">
        <f>ROUND(計分版!AC293,2)</f>
        <v>0</v>
      </c>
      <c r="Q75" s="15">
        <f>ROUND(計分版!AD293,2)</f>
        <v>0</v>
      </c>
      <c r="R75" s="15">
        <f>ROUND(計分版!AE293,2)</f>
        <v>0</v>
      </c>
      <c r="S75" s="110" t="str">
        <f>'Reference Score Calculation'!AU270</f>
        <v>無</v>
      </c>
      <c r="T75" s="4" t="str">
        <f>'Reference Score Calculation'!AP270</f>
        <v>Best results in year 2023 and 2024 Only</v>
      </c>
    </row>
    <row r="76" spans="2:20" s="4" customFormat="1" ht="14.4">
      <c r="B76" s="4" t="str">
        <f>'Reference Score Calculation'!A271</f>
        <v>JS6822</v>
      </c>
      <c r="C76" s="4" t="str">
        <f>'Reference Score Calculation'!D271</f>
        <v>新聞學學士</v>
      </c>
      <c r="D76" s="4" t="str">
        <f>'Reference Score Calculation'!E271</f>
        <v>Best 5</v>
      </c>
      <c r="E76" s="109">
        <f>'Reference Score Calculation'!G271</f>
        <v>26</v>
      </c>
      <c r="F76" s="109">
        <f>'Reference Score Calculation'!H271</f>
        <v>25</v>
      </c>
      <c r="G76" s="109">
        <f>'Reference Score Calculation'!I271</f>
        <v>24</v>
      </c>
      <c r="H76" s="192">
        <f>計分版!J294</f>
        <v>3.9500000000000006E-9</v>
      </c>
      <c r="I76" s="15">
        <f>ROUND(計分版!V294,2)</f>
        <v>0</v>
      </c>
      <c r="J76" s="15">
        <f>ROUND(計分版!W294,2)</f>
        <v>0</v>
      </c>
      <c r="K76" s="15">
        <f>ROUND(計分版!X294,2)</f>
        <v>0</v>
      </c>
      <c r="L76" s="15">
        <f>ROUND(計分版!Y294,2)</f>
        <v>0</v>
      </c>
      <c r="M76" s="15">
        <f>ROUND(計分版!Z294,2)</f>
        <v>0</v>
      </c>
      <c r="N76" s="15">
        <f>ROUND(計分版!AA294,2)</f>
        <v>0</v>
      </c>
      <c r="O76" s="15">
        <f>ROUND(計分版!AB294,2)</f>
        <v>0</v>
      </c>
      <c r="P76" s="15">
        <f>ROUND(計分版!AC294,2)</f>
        <v>0</v>
      </c>
      <c r="Q76" s="15">
        <f>ROUND(計分版!AD294,2)</f>
        <v>0</v>
      </c>
      <c r="R76" s="15">
        <f>ROUND(計分版!AE294,2)</f>
        <v>0</v>
      </c>
      <c r="S76" s="110" t="str">
        <f>'Reference Score Calculation'!AU271</f>
        <v>無</v>
      </c>
      <c r="T76" s="4" t="str">
        <f>'Reference Score Calculation'!AP271</f>
        <v>Best results in year 2023 and 2024 Only</v>
      </c>
    </row>
    <row r="77" spans="2:20" s="4" customFormat="1" ht="14.4">
      <c r="B77" s="4" t="str">
        <f>'Reference Score Calculation'!A272</f>
        <v>JS6212</v>
      </c>
      <c r="C77" s="4" t="str">
        <f>'Reference Score Calculation'!D272</f>
        <v>文理學士</v>
      </c>
      <c r="D77" s="4" t="str">
        <f>'Reference Score Calculation'!E272</f>
        <v>Best 5</v>
      </c>
      <c r="E77" s="109">
        <f>'Reference Score Calculation'!G272</f>
        <v>32</v>
      </c>
      <c r="F77" s="109">
        <f>'Reference Score Calculation'!H272</f>
        <v>32</v>
      </c>
      <c r="G77" s="109">
        <f>'Reference Score Calculation'!I272</f>
        <v>30</v>
      </c>
      <c r="H77" s="192">
        <f>計分版!J295</f>
        <v>3.9500000000000006E-9</v>
      </c>
      <c r="I77" s="15">
        <f>ROUND(計分版!V295,2)</f>
        <v>0</v>
      </c>
      <c r="J77" s="15">
        <f>ROUND(計分版!W295,2)</f>
        <v>0</v>
      </c>
      <c r="K77" s="15">
        <f>ROUND(計分版!X295,2)</f>
        <v>0</v>
      </c>
      <c r="L77" s="15">
        <f>ROUND(計分版!Y295,2)</f>
        <v>0</v>
      </c>
      <c r="M77" s="15">
        <f>ROUND(計分版!Z295,2)</f>
        <v>0</v>
      </c>
      <c r="N77" s="15">
        <f>ROUND(計分版!AA295,2)</f>
        <v>0</v>
      </c>
      <c r="O77" s="15">
        <f>ROUND(計分版!AB295,2)</f>
        <v>0</v>
      </c>
      <c r="P77" s="15">
        <f>ROUND(計分版!AC295,2)</f>
        <v>0</v>
      </c>
      <c r="Q77" s="15">
        <f>ROUND(計分版!AD295,2)</f>
        <v>0</v>
      </c>
      <c r="R77" s="15">
        <f>ROUND(計分版!AE295,2)</f>
        <v>0</v>
      </c>
      <c r="S77" s="110" t="str">
        <f>'Reference Score Calculation'!AU272</f>
        <v>無</v>
      </c>
      <c r="T77" s="4" t="str">
        <f>'Reference Score Calculation'!AP272</f>
        <v>Best results in year 2023 and 2024 Only</v>
      </c>
    </row>
    <row r="78" spans="2:20" s="4" customFormat="1" ht="14.4">
      <c r="B78" s="4" t="str">
        <f>'Reference Score Calculation'!A273</f>
        <v>JS6224</v>
      </c>
      <c r="C78" s="4" t="str">
        <f>'Reference Score Calculation'!D273</f>
        <v>文理學士(應用人工智能)</v>
      </c>
      <c r="D78" s="4" t="str">
        <f>'Reference Score Calculation'!E273</f>
        <v>Best 5</v>
      </c>
      <c r="E78" s="109">
        <f>'Reference Score Calculation'!G273</f>
        <v>57</v>
      </c>
      <c r="F78" s="109">
        <f>'Reference Score Calculation'!H273</f>
        <v>53</v>
      </c>
      <c r="G78" s="109">
        <f>'Reference Score Calculation'!I273</f>
        <v>50</v>
      </c>
      <c r="H78" s="192">
        <f>計分版!J296</f>
        <v>3.7E-9</v>
      </c>
      <c r="I78" s="15">
        <f>ROUND(計分版!V296,2)</f>
        <v>0</v>
      </c>
      <c r="J78" s="15">
        <f>ROUND(計分版!W296,2)</f>
        <v>0</v>
      </c>
      <c r="K78" s="15">
        <f>ROUND(計分版!X296,2)</f>
        <v>0</v>
      </c>
      <c r="L78" s="15">
        <f>ROUND(計分版!Y296,2)</f>
        <v>0</v>
      </c>
      <c r="M78" s="15">
        <f>ROUND(計分版!Z296,2)</f>
        <v>0</v>
      </c>
      <c r="N78" s="15">
        <f>ROUND(計分版!AA296,2)</f>
        <v>0</v>
      </c>
      <c r="O78" s="15">
        <f>ROUND(計分版!AB296,2)</f>
        <v>0</v>
      </c>
      <c r="P78" s="15">
        <f>ROUND(計分版!AC296,2)</f>
        <v>0</v>
      </c>
      <c r="Q78" s="15">
        <f>ROUND(計分版!AD296,2)</f>
        <v>0</v>
      </c>
      <c r="R78" s="15">
        <f>ROUND(計分版!AE296,2)</f>
        <v>0</v>
      </c>
      <c r="S78" s="110" t="str">
        <f>'Reference Score Calculation'!AU273</f>
        <v>無</v>
      </c>
      <c r="T78" s="4" t="str">
        <f>'Reference Score Calculation'!AP273</f>
        <v>Best results in year 2023 and 2024 Only</v>
      </c>
    </row>
    <row r="79" spans="2:20" s="4" customFormat="1" ht="14.4">
      <c r="B79" s="4" t="str">
        <f>'Reference Score Calculation'!A274</f>
        <v>JS6236</v>
      </c>
      <c r="C79" s="4" t="str">
        <f>'Reference Score Calculation'!D274</f>
        <v>文理學士(設計＋)</v>
      </c>
      <c r="D79" s="4" t="str">
        <f>'Reference Score Calculation'!E274</f>
        <v>Best 6</v>
      </c>
      <c r="E79" s="109">
        <f>'Reference Score Calculation'!G274</f>
        <v>35</v>
      </c>
      <c r="F79" s="109">
        <f>'Reference Score Calculation'!H274</f>
        <v>35</v>
      </c>
      <c r="G79" s="109">
        <f>'Reference Score Calculation'!I274</f>
        <v>35</v>
      </c>
      <c r="H79" s="192">
        <f>計分版!J297</f>
        <v>4.3500000000000001E-9</v>
      </c>
      <c r="I79" s="15">
        <f>ROUND(計分版!V297,2)</f>
        <v>0</v>
      </c>
      <c r="J79" s="15">
        <f>ROUND(計分版!W297,2)</f>
        <v>0</v>
      </c>
      <c r="K79" s="15">
        <f>ROUND(計分版!X297,2)</f>
        <v>0</v>
      </c>
      <c r="L79" s="15">
        <f>ROUND(計分版!Y297,2)</f>
        <v>0</v>
      </c>
      <c r="M79" s="15">
        <f>ROUND(計分版!Z297,2)</f>
        <v>0</v>
      </c>
      <c r="N79" s="15">
        <f>ROUND(計分版!AA297,2)</f>
        <v>0</v>
      </c>
      <c r="O79" s="15">
        <f>ROUND(計分版!AB297,2)</f>
        <v>0</v>
      </c>
      <c r="P79" s="15">
        <f>ROUND(計分版!AC297,2)</f>
        <v>0</v>
      </c>
      <c r="Q79" s="15">
        <f>ROUND(計分版!AD297,2)</f>
        <v>0</v>
      </c>
      <c r="R79" s="15">
        <f>ROUND(計分版!AE297,2)</f>
        <v>0</v>
      </c>
      <c r="S79" s="110" t="str">
        <f>'Reference Score Calculation'!AU274</f>
        <v>無</v>
      </c>
      <c r="T79" s="4" t="str">
        <f>'Reference Score Calculation'!AP274</f>
        <v>Best results in 2 or more sittings of HKDSE</v>
      </c>
    </row>
    <row r="80" spans="2:20" s="4" customFormat="1" ht="14.4">
      <c r="B80" s="4" t="str">
        <f>'Reference Score Calculation'!A275</f>
        <v>JS6248</v>
      </c>
      <c r="C80" s="4" t="str">
        <f>'Reference Score Calculation'!D275</f>
        <v>文理學士(金融科技)</v>
      </c>
      <c r="D80" s="4" t="str">
        <f>'Reference Score Calculation'!E275</f>
        <v>Best 6</v>
      </c>
      <c r="E80" s="109">
        <f>'Reference Score Calculation'!G275</f>
        <v>37</v>
      </c>
      <c r="F80" s="109">
        <f>'Reference Score Calculation'!H275</f>
        <v>36</v>
      </c>
      <c r="G80" s="109">
        <f>'Reference Score Calculation'!I275</f>
        <v>35</v>
      </c>
      <c r="H80" s="192">
        <f>計分版!J298</f>
        <v>3.8500000000000006E-9</v>
      </c>
      <c r="I80" s="15">
        <f>ROUND(計分版!V298,2)</f>
        <v>0</v>
      </c>
      <c r="J80" s="15">
        <f>ROUND(計分版!W298,2)</f>
        <v>0</v>
      </c>
      <c r="K80" s="15">
        <f>ROUND(計分版!X298,2)</f>
        <v>0</v>
      </c>
      <c r="L80" s="15">
        <f>ROUND(計分版!Y298,2)</f>
        <v>0</v>
      </c>
      <c r="M80" s="15">
        <f>ROUND(計分版!Z298,2)</f>
        <v>0</v>
      </c>
      <c r="N80" s="15">
        <f>ROUND(計分版!AA298,2)</f>
        <v>0</v>
      </c>
      <c r="O80" s="15">
        <f>ROUND(計分版!AB298,2)</f>
        <v>0</v>
      </c>
      <c r="P80" s="15">
        <f>ROUND(計分版!AC298,2)</f>
        <v>0</v>
      </c>
      <c r="Q80" s="15">
        <f>ROUND(計分版!AD298,2)</f>
        <v>0</v>
      </c>
      <c r="R80" s="15">
        <f>ROUND(計分版!AE298,2)</f>
        <v>0</v>
      </c>
      <c r="S80" s="110" t="str">
        <f>'Reference Score Calculation'!AU275</f>
        <v>無</v>
      </c>
      <c r="T80" s="4" t="str">
        <f>'Reference Score Calculation'!AP275</f>
        <v>Best results in year 2023 and 2024 Only</v>
      </c>
    </row>
    <row r="81" spans="2:20" s="4" customFormat="1" ht="14.4">
      <c r="B81" s="4" t="str">
        <f>'Reference Score Calculation'!A276</f>
        <v>JS6250</v>
      </c>
      <c r="C81" s="4" t="str">
        <f>'Reference Score Calculation'!D276</f>
        <v>文理學士(環球衞生及發展)</v>
      </c>
      <c r="D81" s="4" t="str">
        <f>'Reference Score Calculation'!E276</f>
        <v>Best 5</v>
      </c>
      <c r="E81" s="109">
        <f>'Reference Score Calculation'!G276</f>
        <v>30</v>
      </c>
      <c r="F81" s="109">
        <f>'Reference Score Calculation'!H276</f>
        <v>28</v>
      </c>
      <c r="G81" s="109">
        <f>'Reference Score Calculation'!I276</f>
        <v>28</v>
      </c>
      <c r="H81" s="192">
        <f>計分版!J299</f>
        <v>3.9500000000000006E-9</v>
      </c>
      <c r="I81" s="15">
        <f>ROUND(計分版!V299,2)</f>
        <v>0</v>
      </c>
      <c r="J81" s="15">
        <f>ROUND(計分版!W299,2)</f>
        <v>0</v>
      </c>
      <c r="K81" s="15">
        <f>ROUND(計分版!X299,2)</f>
        <v>0</v>
      </c>
      <c r="L81" s="15">
        <f>ROUND(計分版!Y299,2)</f>
        <v>0</v>
      </c>
      <c r="M81" s="15">
        <f>ROUND(計分版!Z299,2)</f>
        <v>0</v>
      </c>
      <c r="N81" s="15">
        <f>ROUND(計分版!AA299,2)</f>
        <v>0</v>
      </c>
      <c r="O81" s="15">
        <f>ROUND(計分版!AB299,2)</f>
        <v>0</v>
      </c>
      <c r="P81" s="15">
        <f>ROUND(計分版!AC299,2)</f>
        <v>0</v>
      </c>
      <c r="Q81" s="15">
        <f>ROUND(計分版!AD299,2)</f>
        <v>0</v>
      </c>
      <c r="R81" s="15">
        <f>ROUND(計分版!AE299,2)</f>
        <v>0</v>
      </c>
      <c r="S81" s="110" t="str">
        <f>'Reference Score Calculation'!AU276</f>
        <v>無</v>
      </c>
      <c r="T81" s="4" t="str">
        <f>'Reference Score Calculation'!AP276</f>
        <v>Best results in the latest 2 sittings of HKDSE, one of which should include the year of admission (i.e. 2024)</v>
      </c>
    </row>
    <row r="82" spans="2:20" s="4" customFormat="1">
      <c r="F82" s="15"/>
      <c r="G82" s="15"/>
      <c r="H82" s="15"/>
      <c r="I82" s="15"/>
      <c r="J82" s="15"/>
      <c r="K82" s="15"/>
      <c r="L82" s="15"/>
      <c r="M82" s="15"/>
      <c r="N82" s="15"/>
      <c r="O82" s="15"/>
      <c r="S82" s="15"/>
    </row>
    <row r="83" spans="2:20" s="4" customFormat="1">
      <c r="F83" s="15"/>
      <c r="G83" s="15"/>
      <c r="H83" s="15"/>
      <c r="I83" s="15"/>
      <c r="J83" s="15"/>
      <c r="K83" s="15"/>
      <c r="L83" s="15"/>
      <c r="M83" s="15"/>
      <c r="N83" s="15"/>
      <c r="O83" s="15"/>
      <c r="S83" s="15"/>
    </row>
    <row r="84" spans="2:20" s="4" customFormat="1">
      <c r="B84" s="4" t="s">
        <v>2147</v>
      </c>
      <c r="F84" s="15"/>
      <c r="G84" s="15"/>
      <c r="H84" s="15"/>
      <c r="I84" s="15"/>
      <c r="J84" s="15"/>
      <c r="K84" s="15"/>
      <c r="L84" s="15"/>
      <c r="M84" s="15"/>
      <c r="N84" s="15"/>
      <c r="O84" s="15"/>
      <c r="S84" s="15"/>
    </row>
    <row r="85" spans="2:20" s="4" customFormat="1" ht="15.6">
      <c r="B85" s="277" t="s">
        <v>3097</v>
      </c>
      <c r="F85" s="15"/>
      <c r="G85" s="15"/>
      <c r="H85" s="15"/>
      <c r="I85" s="15"/>
      <c r="J85" s="15"/>
      <c r="K85" s="15"/>
      <c r="L85" s="15"/>
      <c r="M85" s="15"/>
      <c r="N85" s="15"/>
      <c r="O85" s="15"/>
      <c r="S85" s="15"/>
    </row>
    <row r="86" spans="2:20" s="4" customFormat="1" ht="15.6">
      <c r="B86" s="277" t="s">
        <v>202</v>
      </c>
      <c r="F86" s="15"/>
      <c r="G86" s="15"/>
      <c r="H86" s="15"/>
      <c r="I86" s="15"/>
      <c r="J86" s="15"/>
      <c r="K86" s="15"/>
      <c r="L86" s="15"/>
      <c r="M86" s="15"/>
      <c r="N86" s="15"/>
      <c r="O86" s="15"/>
      <c r="S86" s="15"/>
    </row>
    <row r="87" spans="2:20" s="4" customFormat="1">
      <c r="F87" s="15"/>
      <c r="G87" s="15"/>
      <c r="H87" s="15"/>
      <c r="I87" s="15"/>
      <c r="J87" s="15"/>
      <c r="K87" s="15"/>
      <c r="L87" s="15"/>
      <c r="M87" s="15"/>
      <c r="N87" s="15"/>
      <c r="O87" s="15"/>
      <c r="S87" s="15"/>
    </row>
    <row r="88" spans="2:20" s="4" customFormat="1">
      <c r="F88" s="15"/>
      <c r="G88" s="15"/>
      <c r="H88" s="15"/>
      <c r="I88" s="15"/>
      <c r="J88" s="15"/>
      <c r="K88" s="15"/>
      <c r="L88" s="15"/>
      <c r="M88" s="15"/>
      <c r="N88" s="15"/>
      <c r="O88" s="15"/>
      <c r="S88" s="15"/>
    </row>
    <row r="89" spans="2:20" s="4" customFormat="1">
      <c r="F89" s="15"/>
      <c r="G89" s="15"/>
      <c r="H89" s="15"/>
      <c r="I89" s="15"/>
      <c r="J89" s="15"/>
      <c r="K89" s="15"/>
      <c r="L89" s="15"/>
      <c r="M89" s="15"/>
      <c r="N89" s="15"/>
      <c r="O89" s="15"/>
      <c r="S89" s="15"/>
    </row>
    <row r="90" spans="2:20" s="4" customFormat="1">
      <c r="F90" s="15"/>
      <c r="G90" s="15"/>
      <c r="H90" s="15"/>
      <c r="I90" s="15"/>
      <c r="J90" s="15"/>
      <c r="K90" s="15"/>
      <c r="L90" s="15"/>
      <c r="M90" s="15"/>
      <c r="N90" s="15"/>
      <c r="O90" s="15"/>
      <c r="S90" s="15"/>
    </row>
    <row r="91" spans="2:20" s="4" customFormat="1">
      <c r="F91" s="15"/>
      <c r="G91" s="15"/>
      <c r="H91" s="15"/>
      <c r="I91" s="15"/>
      <c r="J91" s="15"/>
      <c r="K91" s="15"/>
      <c r="L91" s="15"/>
      <c r="M91" s="15"/>
      <c r="N91" s="15"/>
      <c r="O91" s="15"/>
      <c r="S91" s="15"/>
    </row>
    <row r="92" spans="2:20" s="4" customFormat="1">
      <c r="F92" s="15"/>
      <c r="G92" s="15"/>
      <c r="H92" s="15"/>
      <c r="I92" s="15"/>
      <c r="J92" s="15"/>
      <c r="K92" s="15"/>
      <c r="L92" s="15"/>
      <c r="M92" s="15"/>
      <c r="N92" s="15"/>
      <c r="O92" s="15"/>
      <c r="S92" s="15"/>
    </row>
    <row r="93" spans="2:20" s="4" customFormat="1">
      <c r="F93" s="15"/>
      <c r="G93" s="15"/>
      <c r="H93" s="15"/>
      <c r="I93" s="15"/>
      <c r="J93" s="15"/>
      <c r="K93" s="15"/>
      <c r="L93" s="15"/>
      <c r="M93" s="15"/>
      <c r="N93" s="15"/>
      <c r="O93" s="15"/>
      <c r="S93" s="15"/>
    </row>
    <row r="94" spans="2:20" s="4" customFormat="1">
      <c r="F94" s="15"/>
      <c r="G94" s="15"/>
      <c r="H94" s="15"/>
      <c r="I94" s="15"/>
      <c r="J94" s="15"/>
      <c r="K94" s="15"/>
      <c r="L94" s="15"/>
      <c r="M94" s="15"/>
      <c r="N94" s="15"/>
      <c r="O94" s="15"/>
      <c r="S94" s="15"/>
    </row>
    <row r="95" spans="2:20" s="4" customFormat="1">
      <c r="F95" s="15"/>
      <c r="G95" s="15"/>
      <c r="H95" s="15"/>
      <c r="I95" s="15"/>
      <c r="J95" s="15"/>
      <c r="K95" s="15"/>
      <c r="L95" s="15"/>
      <c r="M95" s="15"/>
      <c r="N95" s="15"/>
      <c r="O95" s="15"/>
      <c r="S95" s="15"/>
    </row>
    <row r="96" spans="2:20" s="4" customFormat="1">
      <c r="F96" s="15"/>
      <c r="G96" s="15"/>
      <c r="H96" s="15"/>
      <c r="I96" s="15"/>
      <c r="J96" s="15"/>
      <c r="K96" s="15"/>
      <c r="L96" s="15"/>
      <c r="M96" s="15"/>
      <c r="N96" s="15"/>
      <c r="O96" s="15"/>
      <c r="S96" s="15"/>
    </row>
    <row r="97" spans="6:19" s="4" customFormat="1">
      <c r="F97" s="15"/>
      <c r="G97" s="15"/>
      <c r="H97" s="15"/>
      <c r="I97" s="15"/>
      <c r="J97" s="15"/>
      <c r="K97" s="15"/>
      <c r="L97" s="15"/>
      <c r="M97" s="15"/>
      <c r="N97" s="15"/>
      <c r="O97" s="15"/>
      <c r="S97" s="15"/>
    </row>
    <row r="98" spans="6:19" s="4" customFormat="1">
      <c r="F98" s="15"/>
      <c r="G98" s="15"/>
      <c r="H98" s="15"/>
      <c r="I98" s="15"/>
      <c r="J98" s="15"/>
      <c r="K98" s="15"/>
      <c r="L98" s="15"/>
      <c r="M98" s="15"/>
      <c r="N98" s="15"/>
      <c r="O98" s="15"/>
      <c r="S98" s="15"/>
    </row>
    <row r="99" spans="6:19" s="4" customFormat="1">
      <c r="F99" s="15"/>
      <c r="G99" s="15"/>
      <c r="H99" s="15"/>
      <c r="I99" s="15"/>
      <c r="J99" s="15"/>
      <c r="K99" s="15"/>
      <c r="L99" s="15"/>
      <c r="M99" s="15"/>
      <c r="N99" s="15"/>
      <c r="O99" s="15"/>
      <c r="S99" s="15"/>
    </row>
    <row r="100" spans="6:19"/>
    <row r="101" spans="6:19"/>
    <row r="102" spans="6:19"/>
    <row r="103" spans="6:19"/>
    <row r="104" spans="6:19"/>
    <row r="105" spans="6:19"/>
    <row r="106" spans="6:19"/>
    <row r="107" spans="6:19"/>
    <row r="108" spans="6:19"/>
    <row r="109" spans="6:19"/>
  </sheetData>
  <sheetProtection sheet="1" objects="1" scenarios="1"/>
  <mergeCells count="18">
    <mergeCell ref="I23:J23"/>
    <mergeCell ref="I29:J29"/>
    <mergeCell ref="I28:J28"/>
    <mergeCell ref="I27:J27"/>
    <mergeCell ref="I26:J26"/>
    <mergeCell ref="I25:J25"/>
    <mergeCell ref="I24:J24"/>
    <mergeCell ref="I12:J12"/>
    <mergeCell ref="I22:J22"/>
    <mergeCell ref="I21:J21"/>
    <mergeCell ref="I20:J20"/>
    <mergeCell ref="I19:J19"/>
    <mergeCell ref="I18:J18"/>
    <mergeCell ref="I17:J17"/>
    <mergeCell ref="I16:J16"/>
    <mergeCell ref="I15:J15"/>
    <mergeCell ref="I14:J14"/>
    <mergeCell ref="I13:J13"/>
  </mergeCells>
  <phoneticPr fontId="3" type="noConversion"/>
  <conditionalFormatting sqref="B13:I29 K13:K29">
    <cfRule type="expression" dxfId="7" priority="17">
      <formula>MOD(ROW(),2)=0</formula>
    </cfRule>
  </conditionalFormatting>
  <conditionalFormatting sqref="B33:AB81">
    <cfRule type="expression" dxfId="6" priority="8">
      <formula>MOD(ROW(),2)=0</formula>
    </cfRule>
  </conditionalFormatting>
  <hyperlinks>
    <hyperlink ref="B85" r:id="rId1" xr:uid="{00000000-0004-0000-1300-000000000000}"/>
    <hyperlink ref="B86" r:id="rId2" xr:uid="{00000000-0004-0000-1300-000001000000}"/>
  </hyperlinks>
  <pageMargins left="0.7" right="0.7" top="0.75" bottom="0.75" header="0.3" footer="0.3"/>
  <drawing r:id="rId3"/>
  <legacyDrawing r:id="rId4"/>
  <mc:AlternateContent xmlns:mc="http://schemas.openxmlformats.org/markup-compatibility/2006">
    <mc:Choice Requires="x14">
      <controls>
        <mc:AlternateContent xmlns:mc="http://schemas.openxmlformats.org/markup-compatibility/2006">
          <mc:Choice Requires="x14">
            <control shapeId="108548" r:id="rId5" name=" 4">
              <controlPr defaultSize="0" autoFill="0" autoLine="0" autoPict="0">
                <anchor moveWithCells="1">
                  <from>
                    <xdr:col>4</xdr:col>
                    <xdr:colOff>22860</xdr:colOff>
                    <xdr:row>2</xdr:row>
                    <xdr:rowOff>137160</xdr:rowOff>
                  </from>
                  <to>
                    <xdr:col>4</xdr:col>
                    <xdr:colOff>213360</xdr:colOff>
                    <xdr:row>4</xdr:row>
                    <xdr:rowOff>38100</xdr:rowOff>
                  </to>
                </anchor>
              </controlPr>
            </control>
          </mc:Choice>
        </mc:AlternateContent>
        <mc:AlternateContent xmlns:mc="http://schemas.openxmlformats.org/markup-compatibility/2006">
          <mc:Choice Requires="x14">
            <control shapeId="108549" r:id="rId6" name=" 5">
              <controlPr defaultSize="0" autoFill="0" autoLine="0" autoPict="0">
                <anchor moveWithCells="1">
                  <from>
                    <xdr:col>4</xdr:col>
                    <xdr:colOff>22860</xdr:colOff>
                    <xdr:row>3</xdr:row>
                    <xdr:rowOff>137160</xdr:rowOff>
                  </from>
                  <to>
                    <xdr:col>4</xdr:col>
                    <xdr:colOff>213360</xdr:colOff>
                    <xdr:row>5</xdr:row>
                    <xdr:rowOff>38100</xdr:rowOff>
                  </to>
                </anchor>
              </controlPr>
            </control>
          </mc:Choice>
        </mc:AlternateContent>
        <mc:AlternateContent xmlns:mc="http://schemas.openxmlformats.org/markup-compatibility/2006">
          <mc:Choice Requires="x14">
            <control shapeId="108550" r:id="rId7" name=" 6">
              <controlPr defaultSize="0" autoFill="0" autoLine="0" autoPict="0">
                <anchor moveWithCells="1">
                  <from>
                    <xdr:col>4</xdr:col>
                    <xdr:colOff>22860</xdr:colOff>
                    <xdr:row>4</xdr:row>
                    <xdr:rowOff>137160</xdr:rowOff>
                  </from>
                  <to>
                    <xdr:col>4</xdr:col>
                    <xdr:colOff>213360</xdr:colOff>
                    <xdr:row>6</xdr:row>
                    <xdr:rowOff>38100</xdr:rowOff>
                  </to>
                </anchor>
              </controlPr>
            </control>
          </mc:Choice>
        </mc:AlternateContent>
        <mc:AlternateContent xmlns:mc="http://schemas.openxmlformats.org/markup-compatibility/2006">
          <mc:Choice Requires="x14">
            <control shapeId="108551" r:id="rId8" name=" 7">
              <controlPr defaultSize="0" autoFill="0" autoLine="0" autoPict="0">
                <anchor moveWithCells="1">
                  <from>
                    <xdr:col>4</xdr:col>
                    <xdr:colOff>22860</xdr:colOff>
                    <xdr:row>5</xdr:row>
                    <xdr:rowOff>114300</xdr:rowOff>
                  </from>
                  <to>
                    <xdr:col>4</xdr:col>
                    <xdr:colOff>213360</xdr:colOff>
                    <xdr:row>7</xdr:row>
                    <xdr:rowOff>22860</xdr:rowOff>
                  </to>
                </anchor>
              </controlPr>
            </control>
          </mc:Choice>
        </mc:AlternateContent>
        <mc:AlternateContent xmlns:mc="http://schemas.openxmlformats.org/markup-compatibility/2006">
          <mc:Choice Requires="x14">
            <control shapeId="108552" r:id="rId9" name=" 8">
              <controlPr defaultSize="0" autoFill="0" autoLine="0" autoPict="0">
                <anchor moveWithCells="1">
                  <from>
                    <xdr:col>4</xdr:col>
                    <xdr:colOff>22860</xdr:colOff>
                    <xdr:row>6</xdr:row>
                    <xdr:rowOff>114300</xdr:rowOff>
                  </from>
                  <to>
                    <xdr:col>4</xdr:col>
                    <xdr:colOff>228600</xdr:colOff>
                    <xdr:row>8</xdr:row>
                    <xdr:rowOff>38100</xdr:rowOff>
                  </to>
                </anchor>
              </controlPr>
            </control>
          </mc:Choice>
        </mc:AlternateContent>
        <mc:AlternateContent xmlns:mc="http://schemas.openxmlformats.org/markup-compatibility/2006">
          <mc:Choice Requires="x14">
            <control shapeId="108555" r:id="rId10" name=" 11">
              <controlPr defaultSize="0" autoFill="0" autoLine="0" autoPict="0">
                <anchor moveWithCells="1">
                  <from>
                    <xdr:col>8</xdr:col>
                    <xdr:colOff>22860</xdr:colOff>
                    <xdr:row>2</xdr:row>
                    <xdr:rowOff>137160</xdr:rowOff>
                  </from>
                  <to>
                    <xdr:col>8</xdr:col>
                    <xdr:colOff>213360</xdr:colOff>
                    <xdr:row>4</xdr:row>
                    <xdr:rowOff>38100</xdr:rowOff>
                  </to>
                </anchor>
              </controlPr>
            </control>
          </mc:Choice>
        </mc:AlternateContent>
        <mc:AlternateContent xmlns:mc="http://schemas.openxmlformats.org/markup-compatibility/2006">
          <mc:Choice Requires="x14">
            <control shapeId="108556" r:id="rId11" name=" 12">
              <controlPr defaultSize="0" autoFill="0" autoLine="0" autoPict="0">
                <anchor moveWithCells="1">
                  <from>
                    <xdr:col>8</xdr:col>
                    <xdr:colOff>22860</xdr:colOff>
                    <xdr:row>3</xdr:row>
                    <xdr:rowOff>137160</xdr:rowOff>
                  </from>
                  <to>
                    <xdr:col>8</xdr:col>
                    <xdr:colOff>213360</xdr:colOff>
                    <xdr:row>5</xdr:row>
                    <xdr:rowOff>38100</xdr:rowOff>
                  </to>
                </anchor>
              </controlPr>
            </control>
          </mc:Choice>
        </mc:AlternateContent>
        <mc:AlternateContent xmlns:mc="http://schemas.openxmlformats.org/markup-compatibility/2006">
          <mc:Choice Requires="x14">
            <control shapeId="108557" r:id="rId12" name=" 13">
              <controlPr defaultSize="0" autoFill="0" autoLine="0" autoPict="0">
                <anchor moveWithCells="1">
                  <from>
                    <xdr:col>8</xdr:col>
                    <xdr:colOff>22860</xdr:colOff>
                    <xdr:row>4</xdr:row>
                    <xdr:rowOff>114300</xdr:rowOff>
                  </from>
                  <to>
                    <xdr:col>8</xdr:col>
                    <xdr:colOff>213360</xdr:colOff>
                    <xdr:row>6</xdr:row>
                    <xdr:rowOff>22860</xdr:rowOff>
                  </to>
                </anchor>
              </controlPr>
            </control>
          </mc:Choice>
        </mc:AlternateContent>
        <mc:AlternateContent xmlns:mc="http://schemas.openxmlformats.org/markup-compatibility/2006">
          <mc:Choice Requires="x14">
            <control shapeId="108558" r:id="rId13" name=" 14">
              <controlPr defaultSize="0" autoFill="0" autoLine="0" autoPict="0">
                <anchor moveWithCells="1">
                  <from>
                    <xdr:col>8</xdr:col>
                    <xdr:colOff>22860</xdr:colOff>
                    <xdr:row>5</xdr:row>
                    <xdr:rowOff>114300</xdr:rowOff>
                  </from>
                  <to>
                    <xdr:col>8</xdr:col>
                    <xdr:colOff>213360</xdr:colOff>
                    <xdr:row>7</xdr:row>
                    <xdr:rowOff>38100</xdr:rowOff>
                  </to>
                </anchor>
              </controlPr>
            </control>
          </mc:Choice>
        </mc:AlternateContent>
        <mc:AlternateContent xmlns:mc="http://schemas.openxmlformats.org/markup-compatibility/2006">
          <mc:Choice Requires="x14">
            <control shapeId="108559" r:id="rId14" name=" 15">
              <controlPr defaultSize="0" autoFill="0" autoLine="0" autoPict="0">
                <anchor moveWithCells="1">
                  <from>
                    <xdr:col>8</xdr:col>
                    <xdr:colOff>22860</xdr:colOff>
                    <xdr:row>6</xdr:row>
                    <xdr:rowOff>137160</xdr:rowOff>
                  </from>
                  <to>
                    <xdr:col>8</xdr:col>
                    <xdr:colOff>213360</xdr:colOff>
                    <xdr:row>8</xdr:row>
                    <xdr:rowOff>38100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 id="{D2FC4F59-E92F-47FA-AEEE-74CEB7852181}">
            <xm:f>計分版!$W$15</xm:f>
            <x14:dxf>
              <font>
                <b/>
                <i val="0"/>
                <color rgb="FFC00000"/>
              </font>
            </x14:dxf>
          </x14:cfRule>
          <xm:sqref>H13:H29</xm:sqref>
        </x14:conditionalFormatting>
        <x14:conditionalFormatting xmlns:xm="http://schemas.microsoft.com/office/excel/2006/main">
          <x14:cfRule type="expression" priority="16" id="{176BC8F5-0FDC-456C-8359-3AED95E70969}">
            <xm:f>計分版!K$15=TRUE</xm:f>
            <x14:dxf>
              <font>
                <b/>
                <i val="0"/>
                <color rgb="FFFF0000"/>
              </font>
            </x14:dxf>
          </x14:cfRule>
          <xm:sqref>I66:R67 I48:R48 I62:R62 I64:R64</xm:sqref>
        </x14:conditionalFormatting>
        <x14:conditionalFormatting xmlns:xm="http://schemas.microsoft.com/office/excel/2006/main">
          <x14:cfRule type="expression" priority="9" id="{9838714A-23EB-4BCF-BF9B-729E5BBD38C9}">
            <xm:f>計分版!$R$15=TRUE</xm:f>
            <x14:dxf>
              <font>
                <b/>
                <i val="0"/>
                <color rgb="FF9C0006"/>
              </font>
            </x14:dxf>
          </x14:cfRule>
          <xm:sqref>P49 P63 P67:P68</xm:sqref>
        </x14:conditionalFormatting>
        <x14:conditionalFormatting xmlns:xm="http://schemas.microsoft.com/office/excel/2006/main">
          <x14:cfRule type="expression" priority="4" id="{5E44F352-A897-40FC-AB2B-7FEDBA5E981E}">
            <xm:f>計分版!$S$15=TRUE</xm:f>
            <x14:dxf>
              <font>
                <b/>
                <i val="0"/>
                <color rgb="FF9C0006"/>
              </font>
            </x14:dxf>
          </x14:cfRule>
          <xm:sqref>Q49 Q63 Q67:Q68</xm:sqref>
        </x14:conditionalFormatting>
        <x14:conditionalFormatting xmlns:xm="http://schemas.microsoft.com/office/excel/2006/main">
          <x14:cfRule type="expression" priority="7" id="{59F0D9EF-5295-4010-86A9-F5FD8C72D559}">
            <xm:f>計分版!$T$15=TRUE</xm:f>
            <x14:dxf>
              <font>
                <b/>
                <i val="0"/>
                <color rgb="FF9C0006"/>
              </font>
            </x14:dxf>
          </x14:cfRule>
          <xm:sqref>R49 R63 R67:R68</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A08E8-3C98-5148-865D-3B8C4E4AE72D}">
  <dimension ref="A1:U232"/>
  <sheetViews>
    <sheetView workbookViewId="0"/>
    <sheetView workbookViewId="1"/>
  </sheetViews>
  <sheetFormatPr defaultColWidth="11.5" defaultRowHeight="15.6"/>
  <cols>
    <col min="1" max="1" width="11.69921875" style="424" customWidth="1"/>
    <col min="2" max="2" width="6.69921875" style="211" customWidth="1"/>
    <col min="3" max="11" width="3.69921875" style="211" customWidth="1"/>
    <col min="12" max="12" width="4.19921875" style="211" customWidth="1"/>
    <col min="13" max="13" width="5.296875" style="211" customWidth="1"/>
    <col min="14" max="20" width="3.69921875" style="211" customWidth="1"/>
    <col min="21" max="21" width="4" style="211" customWidth="1"/>
    <col min="22" max="16384" width="11.5" style="211"/>
  </cols>
  <sheetData>
    <row r="1" spans="1:21" s="214" customFormat="1">
      <c r="A1" s="213" t="s">
        <v>2460</v>
      </c>
      <c r="B1" s="214" t="s">
        <v>2461</v>
      </c>
      <c r="C1" s="214" t="s">
        <v>2462</v>
      </c>
      <c r="D1" s="214" t="s">
        <v>2463</v>
      </c>
      <c r="E1" s="214" t="s">
        <v>2464</v>
      </c>
      <c r="F1" s="214" t="s">
        <v>2465</v>
      </c>
      <c r="G1" s="214" t="s">
        <v>2466</v>
      </c>
      <c r="H1" s="214" t="s">
        <v>2467</v>
      </c>
      <c r="I1" s="214" t="s">
        <v>2468</v>
      </c>
      <c r="J1" s="214" t="s">
        <v>418</v>
      </c>
      <c r="K1" s="214" t="s">
        <v>419</v>
      </c>
      <c r="L1" s="214" t="s">
        <v>141</v>
      </c>
    </row>
    <row r="2" spans="1:21" s="209" customFormat="1">
      <c r="A2" s="212" t="s">
        <v>1292</v>
      </c>
      <c r="B2" s="210" t="s">
        <v>109</v>
      </c>
      <c r="C2" s="210" t="s">
        <v>2469</v>
      </c>
      <c r="D2" s="210">
        <v>3</v>
      </c>
      <c r="E2" s="210">
        <v>3</v>
      </c>
      <c r="F2" s="210">
        <v>4</v>
      </c>
      <c r="G2" s="210"/>
      <c r="H2" s="210">
        <v>5</v>
      </c>
      <c r="I2" s="210">
        <v>5</v>
      </c>
      <c r="J2" s="210"/>
      <c r="K2" s="210"/>
      <c r="L2" s="210">
        <v>25</v>
      </c>
      <c r="N2" s="209">
        <f t="shared" ref="N2:N65" si="0">IF(C2=0,"/",IF(C2=5,5.5,IF(C2="5*",7,IF(C2="5**",8.5,C2))))</f>
        <v>7</v>
      </c>
      <c r="O2" s="209">
        <f t="shared" ref="O2:O65" si="1">IF(D2=0,"/",IF(D2=5,5.5,IF(D2="5*",7,IF(D2="5**",8.5,D2))))</f>
        <v>3</v>
      </c>
      <c r="P2" s="209">
        <f t="shared" ref="P2:P65" si="2">IF(E2=0,"/",IF(E2=5,5.5,IF(E2="5*",7,IF(E2="5**",8.5,E2))))</f>
        <v>3</v>
      </c>
      <c r="Q2" s="209">
        <f t="shared" ref="Q2:Q65" si="3">IF(F2=0,"/",IF(F2=5,5.5,IF(F2="5*",7,IF(F2="5**",8.5,F2))))</f>
        <v>4</v>
      </c>
      <c r="R2" s="209" t="str">
        <f t="shared" ref="R2:R65" si="4">IF(G2=0,"/",IF(G2=5,5.5,IF(G2="5*",7,IF(G2="5**",8.5,G2))))</f>
        <v>/</v>
      </c>
      <c r="S2" s="209">
        <f t="shared" ref="S2:S65" si="5">IF(H2=0,"/",IF(H2=5,5.5,IF(H2="5*",7,IF(H2="5**",8.5,H2))))</f>
        <v>5.5</v>
      </c>
      <c r="T2" s="209">
        <f t="shared" ref="T2:T65" si="6">IF(I2=0,"/",IF(I2=5,5.5,IF(I2="5*",7,IF(I2="5**",8.5,I2))))</f>
        <v>5.5</v>
      </c>
      <c r="U2" s="209" t="str">
        <f t="shared" ref="U2:U65" si="7">IF(J2=0,"/",IF(J2=5,5.5,IF(J2="5*",7,IF(J2="5**",8.5,J2))))</f>
        <v>/</v>
      </c>
    </row>
    <row r="3" spans="1:21" s="209" customFormat="1">
      <c r="A3" s="212" t="s">
        <v>1292</v>
      </c>
      <c r="B3" s="210" t="s">
        <v>2470</v>
      </c>
      <c r="C3" s="210">
        <v>4</v>
      </c>
      <c r="D3" s="210">
        <v>4</v>
      </c>
      <c r="E3" s="210">
        <v>3</v>
      </c>
      <c r="F3" s="210">
        <v>4</v>
      </c>
      <c r="G3" s="210"/>
      <c r="H3" s="210" t="s">
        <v>2471</v>
      </c>
      <c r="I3" s="210">
        <v>4</v>
      </c>
      <c r="J3" s="210"/>
      <c r="K3" s="210"/>
      <c r="L3" s="210">
        <v>24.5</v>
      </c>
      <c r="N3" s="209">
        <f t="shared" si="0"/>
        <v>4</v>
      </c>
      <c r="O3" s="209">
        <f t="shared" si="1"/>
        <v>4</v>
      </c>
      <c r="P3" s="209">
        <f t="shared" si="2"/>
        <v>3</v>
      </c>
      <c r="Q3" s="209">
        <f t="shared" si="3"/>
        <v>4</v>
      </c>
      <c r="R3" s="209" t="str">
        <f t="shared" si="4"/>
        <v>/</v>
      </c>
      <c r="S3" s="209">
        <f t="shared" si="5"/>
        <v>8.5</v>
      </c>
      <c r="T3" s="209">
        <f t="shared" si="6"/>
        <v>4</v>
      </c>
      <c r="U3" s="209" t="str">
        <f t="shared" si="7"/>
        <v>/</v>
      </c>
    </row>
    <row r="4" spans="1:21" s="209" customFormat="1">
      <c r="A4" s="212" t="s">
        <v>1292</v>
      </c>
      <c r="B4" s="210" t="s">
        <v>106</v>
      </c>
      <c r="C4" s="210">
        <v>4</v>
      </c>
      <c r="D4" s="210" t="s">
        <v>2469</v>
      </c>
      <c r="E4" s="210">
        <v>4</v>
      </c>
      <c r="F4" s="210">
        <v>4</v>
      </c>
      <c r="G4" s="210"/>
      <c r="H4" s="210">
        <v>4</v>
      </c>
      <c r="I4" s="210">
        <v>4</v>
      </c>
      <c r="J4" s="210"/>
      <c r="K4" s="210"/>
      <c r="L4" s="210">
        <v>23</v>
      </c>
      <c r="N4" s="209">
        <f t="shared" si="0"/>
        <v>4</v>
      </c>
      <c r="O4" s="209">
        <f t="shared" si="1"/>
        <v>7</v>
      </c>
      <c r="P4" s="209">
        <f t="shared" si="2"/>
        <v>4</v>
      </c>
      <c r="Q4" s="209">
        <f t="shared" si="3"/>
        <v>4</v>
      </c>
      <c r="R4" s="209" t="str">
        <f t="shared" si="4"/>
        <v>/</v>
      </c>
      <c r="S4" s="209">
        <f t="shared" si="5"/>
        <v>4</v>
      </c>
      <c r="T4" s="209">
        <f t="shared" si="6"/>
        <v>4</v>
      </c>
      <c r="U4" s="209" t="str">
        <f t="shared" si="7"/>
        <v>/</v>
      </c>
    </row>
    <row r="5" spans="1:21" s="209" customFormat="1">
      <c r="A5" s="212" t="s">
        <v>1295</v>
      </c>
      <c r="B5" s="210" t="s">
        <v>109</v>
      </c>
      <c r="C5" s="210">
        <v>5</v>
      </c>
      <c r="D5" s="210">
        <v>3</v>
      </c>
      <c r="E5" s="210" t="s">
        <v>2469</v>
      </c>
      <c r="F5" s="210">
        <v>4</v>
      </c>
      <c r="G5" s="210"/>
      <c r="H5" s="210" t="s">
        <v>2469</v>
      </c>
      <c r="I5" s="210" t="s">
        <v>2469</v>
      </c>
      <c r="J5" s="210">
        <v>5</v>
      </c>
      <c r="K5" s="210"/>
      <c r="L5" s="210">
        <v>33.1</v>
      </c>
      <c r="N5" s="209">
        <f t="shared" si="0"/>
        <v>5.5</v>
      </c>
      <c r="O5" s="209">
        <f t="shared" si="1"/>
        <v>3</v>
      </c>
      <c r="P5" s="209">
        <f t="shared" si="2"/>
        <v>7</v>
      </c>
      <c r="Q5" s="209">
        <f t="shared" si="3"/>
        <v>4</v>
      </c>
      <c r="R5" s="209" t="str">
        <f t="shared" si="4"/>
        <v>/</v>
      </c>
      <c r="S5" s="209">
        <f t="shared" si="5"/>
        <v>7</v>
      </c>
      <c r="T5" s="209">
        <f t="shared" si="6"/>
        <v>7</v>
      </c>
      <c r="U5" s="209">
        <f t="shared" si="7"/>
        <v>5.5</v>
      </c>
    </row>
    <row r="6" spans="1:21" s="209" customFormat="1">
      <c r="A6" s="212" t="s">
        <v>1295</v>
      </c>
      <c r="B6" s="210" t="s">
        <v>2470</v>
      </c>
      <c r="C6" s="210" t="s">
        <v>2469</v>
      </c>
      <c r="D6" s="210">
        <v>5</v>
      </c>
      <c r="E6" s="210">
        <v>5</v>
      </c>
      <c r="F6" s="210">
        <v>5</v>
      </c>
      <c r="G6" s="210"/>
      <c r="H6" s="210">
        <v>5</v>
      </c>
      <c r="I6" s="210">
        <v>4</v>
      </c>
      <c r="J6" s="210"/>
      <c r="K6" s="210"/>
      <c r="L6" s="210">
        <v>30.4</v>
      </c>
      <c r="N6" s="209">
        <f t="shared" si="0"/>
        <v>7</v>
      </c>
      <c r="O6" s="209">
        <f t="shared" si="1"/>
        <v>5.5</v>
      </c>
      <c r="P6" s="209">
        <f t="shared" si="2"/>
        <v>5.5</v>
      </c>
      <c r="Q6" s="209">
        <f t="shared" si="3"/>
        <v>5.5</v>
      </c>
      <c r="R6" s="209" t="str">
        <f t="shared" si="4"/>
        <v>/</v>
      </c>
      <c r="S6" s="209">
        <f t="shared" si="5"/>
        <v>5.5</v>
      </c>
      <c r="T6" s="209">
        <f t="shared" si="6"/>
        <v>4</v>
      </c>
      <c r="U6" s="209" t="str">
        <f t="shared" si="7"/>
        <v>/</v>
      </c>
    </row>
    <row r="7" spans="1:21" s="209" customFormat="1">
      <c r="A7" s="212" t="s">
        <v>1295</v>
      </c>
      <c r="B7" s="210" t="s">
        <v>106</v>
      </c>
      <c r="C7" s="210" t="s">
        <v>2471</v>
      </c>
      <c r="D7" s="210">
        <v>5</v>
      </c>
      <c r="E7" s="210">
        <v>3</v>
      </c>
      <c r="F7" s="210">
        <v>4</v>
      </c>
      <c r="G7" s="210"/>
      <c r="H7" s="210">
        <v>5</v>
      </c>
      <c r="I7" s="210">
        <v>4</v>
      </c>
      <c r="J7" s="210"/>
      <c r="K7" s="210"/>
      <c r="L7" s="210">
        <v>29.2</v>
      </c>
      <c r="N7" s="209">
        <f t="shared" si="0"/>
        <v>8.5</v>
      </c>
      <c r="O7" s="209">
        <f t="shared" si="1"/>
        <v>5.5</v>
      </c>
      <c r="P7" s="209">
        <f t="shared" si="2"/>
        <v>3</v>
      </c>
      <c r="Q7" s="209">
        <f t="shared" si="3"/>
        <v>4</v>
      </c>
      <c r="R7" s="209" t="str">
        <f t="shared" si="4"/>
        <v>/</v>
      </c>
      <c r="S7" s="209">
        <f t="shared" si="5"/>
        <v>5.5</v>
      </c>
      <c r="T7" s="209">
        <f t="shared" si="6"/>
        <v>4</v>
      </c>
      <c r="U7" s="209" t="str">
        <f t="shared" si="7"/>
        <v>/</v>
      </c>
    </row>
    <row r="8" spans="1:21" s="209" customFormat="1">
      <c r="A8" s="212" t="s">
        <v>1299</v>
      </c>
      <c r="B8" s="210" t="s">
        <v>109</v>
      </c>
      <c r="C8" s="210">
        <v>5</v>
      </c>
      <c r="D8" s="210">
        <v>4</v>
      </c>
      <c r="E8" s="210">
        <v>3</v>
      </c>
      <c r="F8" s="210">
        <v>4</v>
      </c>
      <c r="G8" s="210"/>
      <c r="H8" s="210">
        <v>5</v>
      </c>
      <c r="I8" s="210">
        <v>5</v>
      </c>
      <c r="J8" s="210">
        <v>4</v>
      </c>
      <c r="K8" s="210"/>
      <c r="L8" s="210">
        <v>24.5</v>
      </c>
      <c r="N8" s="209">
        <f t="shared" si="0"/>
        <v>5.5</v>
      </c>
      <c r="O8" s="209">
        <f t="shared" si="1"/>
        <v>4</v>
      </c>
      <c r="P8" s="209">
        <f t="shared" si="2"/>
        <v>3</v>
      </c>
      <c r="Q8" s="209">
        <f t="shared" si="3"/>
        <v>4</v>
      </c>
      <c r="R8" s="209" t="str">
        <f t="shared" si="4"/>
        <v>/</v>
      </c>
      <c r="S8" s="209">
        <f t="shared" si="5"/>
        <v>5.5</v>
      </c>
      <c r="T8" s="209">
        <f t="shared" si="6"/>
        <v>5.5</v>
      </c>
      <c r="U8" s="209">
        <f t="shared" si="7"/>
        <v>4</v>
      </c>
    </row>
    <row r="9" spans="1:21" s="209" customFormat="1">
      <c r="A9" s="212" t="s">
        <v>1299</v>
      </c>
      <c r="B9" s="210" t="s">
        <v>2470</v>
      </c>
      <c r="C9" s="210" t="s">
        <v>2471</v>
      </c>
      <c r="D9" s="210">
        <v>3</v>
      </c>
      <c r="E9" s="210">
        <v>4</v>
      </c>
      <c r="F9" s="210">
        <v>4</v>
      </c>
      <c r="G9" s="210"/>
      <c r="H9" s="210">
        <v>4</v>
      </c>
      <c r="I9" s="210">
        <v>3</v>
      </c>
      <c r="J9" s="210"/>
      <c r="K9" s="210"/>
      <c r="L9" s="210">
        <v>23.5</v>
      </c>
      <c r="N9" s="209">
        <f t="shared" si="0"/>
        <v>8.5</v>
      </c>
      <c r="O9" s="209">
        <f t="shared" si="1"/>
        <v>3</v>
      </c>
      <c r="P9" s="209">
        <f t="shared" si="2"/>
        <v>4</v>
      </c>
      <c r="Q9" s="209">
        <f t="shared" si="3"/>
        <v>4</v>
      </c>
      <c r="R9" s="209" t="str">
        <f t="shared" si="4"/>
        <v>/</v>
      </c>
      <c r="S9" s="209">
        <f t="shared" si="5"/>
        <v>4</v>
      </c>
      <c r="T9" s="209">
        <f t="shared" si="6"/>
        <v>3</v>
      </c>
      <c r="U9" s="209" t="str">
        <f t="shared" si="7"/>
        <v>/</v>
      </c>
    </row>
    <row r="10" spans="1:21">
      <c r="A10" s="212" t="s">
        <v>1299</v>
      </c>
      <c r="B10" s="423" t="s">
        <v>106</v>
      </c>
      <c r="C10" s="423" t="s">
        <v>2469</v>
      </c>
      <c r="D10" s="423">
        <v>3</v>
      </c>
      <c r="E10" s="423">
        <v>5</v>
      </c>
      <c r="F10" s="423">
        <v>4</v>
      </c>
      <c r="G10" s="423"/>
      <c r="H10" s="423">
        <v>4</v>
      </c>
      <c r="I10" s="423">
        <v>3</v>
      </c>
      <c r="J10" s="423"/>
      <c r="K10" s="423"/>
      <c r="L10" s="423">
        <v>23.5</v>
      </c>
      <c r="N10" s="209">
        <f t="shared" si="0"/>
        <v>7</v>
      </c>
      <c r="O10" s="209">
        <f t="shared" si="1"/>
        <v>3</v>
      </c>
      <c r="P10" s="209">
        <f t="shared" si="2"/>
        <v>5.5</v>
      </c>
      <c r="Q10" s="209">
        <f t="shared" si="3"/>
        <v>4</v>
      </c>
      <c r="R10" s="209" t="str">
        <f t="shared" si="4"/>
        <v>/</v>
      </c>
      <c r="S10" s="209">
        <f t="shared" si="5"/>
        <v>4</v>
      </c>
      <c r="T10" s="209">
        <f t="shared" si="6"/>
        <v>3</v>
      </c>
      <c r="U10" s="209" t="str">
        <f t="shared" si="7"/>
        <v>/</v>
      </c>
    </row>
    <row r="11" spans="1:21">
      <c r="A11" s="424" t="s">
        <v>1302</v>
      </c>
      <c r="B11" s="211" t="s">
        <v>109</v>
      </c>
      <c r="C11" s="211" t="s">
        <v>2471</v>
      </c>
      <c r="D11" s="211">
        <v>4</v>
      </c>
      <c r="E11" s="211">
        <v>4</v>
      </c>
      <c r="F11" s="211">
        <v>4</v>
      </c>
      <c r="H11" s="211">
        <v>5</v>
      </c>
      <c r="I11" s="211">
        <v>4</v>
      </c>
      <c r="L11" s="211">
        <v>26</v>
      </c>
      <c r="N11" s="209">
        <f t="shared" si="0"/>
        <v>8.5</v>
      </c>
      <c r="O11" s="209">
        <f t="shared" si="1"/>
        <v>4</v>
      </c>
      <c r="P11" s="209">
        <f t="shared" si="2"/>
        <v>4</v>
      </c>
      <c r="Q11" s="209">
        <f t="shared" si="3"/>
        <v>4</v>
      </c>
      <c r="R11" s="209" t="str">
        <f t="shared" si="4"/>
        <v>/</v>
      </c>
      <c r="S11" s="209">
        <f t="shared" si="5"/>
        <v>5.5</v>
      </c>
      <c r="T11" s="209">
        <f t="shared" si="6"/>
        <v>4</v>
      </c>
      <c r="U11" s="209" t="str">
        <f t="shared" si="7"/>
        <v>/</v>
      </c>
    </row>
    <row r="12" spans="1:21">
      <c r="A12" s="424" t="s">
        <v>1302</v>
      </c>
      <c r="B12" s="211" t="s">
        <v>2470</v>
      </c>
      <c r="C12" s="211">
        <v>5</v>
      </c>
      <c r="D12" s="211">
        <v>3</v>
      </c>
      <c r="E12" s="211">
        <v>3</v>
      </c>
      <c r="F12" s="211">
        <v>5</v>
      </c>
      <c r="H12" s="211">
        <v>5</v>
      </c>
      <c r="I12" s="211">
        <v>5</v>
      </c>
      <c r="L12" s="211">
        <v>25</v>
      </c>
      <c r="N12" s="209">
        <f t="shared" si="0"/>
        <v>5.5</v>
      </c>
      <c r="O12" s="209">
        <f t="shared" si="1"/>
        <v>3</v>
      </c>
      <c r="P12" s="209">
        <f t="shared" si="2"/>
        <v>3</v>
      </c>
      <c r="Q12" s="209">
        <f t="shared" si="3"/>
        <v>5.5</v>
      </c>
      <c r="R12" s="209" t="str">
        <f t="shared" si="4"/>
        <v>/</v>
      </c>
      <c r="S12" s="209">
        <f t="shared" si="5"/>
        <v>5.5</v>
      </c>
      <c r="T12" s="209">
        <f t="shared" si="6"/>
        <v>5.5</v>
      </c>
      <c r="U12" s="209" t="str">
        <f t="shared" si="7"/>
        <v>/</v>
      </c>
    </row>
    <row r="13" spans="1:21">
      <c r="A13" s="424" t="s">
        <v>1302</v>
      </c>
      <c r="B13" s="211" t="s">
        <v>106</v>
      </c>
      <c r="C13" s="211" t="s">
        <v>2471</v>
      </c>
      <c r="D13" s="211">
        <v>4</v>
      </c>
      <c r="E13" s="211">
        <v>2</v>
      </c>
      <c r="F13" s="211">
        <v>4</v>
      </c>
      <c r="H13" s="211">
        <v>4</v>
      </c>
      <c r="I13" s="211">
        <v>4</v>
      </c>
      <c r="L13" s="211">
        <v>24.5</v>
      </c>
      <c r="N13" s="209">
        <f t="shared" si="0"/>
        <v>8.5</v>
      </c>
      <c r="O13" s="209">
        <f t="shared" si="1"/>
        <v>4</v>
      </c>
      <c r="P13" s="209">
        <f t="shared" si="2"/>
        <v>2</v>
      </c>
      <c r="Q13" s="209">
        <f t="shared" si="3"/>
        <v>4</v>
      </c>
      <c r="R13" s="209" t="str">
        <f t="shared" si="4"/>
        <v>/</v>
      </c>
      <c r="S13" s="209">
        <f t="shared" si="5"/>
        <v>4</v>
      </c>
      <c r="T13" s="209">
        <f t="shared" si="6"/>
        <v>4</v>
      </c>
      <c r="U13" s="209" t="str">
        <f t="shared" si="7"/>
        <v>/</v>
      </c>
    </row>
    <row r="14" spans="1:21">
      <c r="A14" s="424" t="s">
        <v>1305</v>
      </c>
      <c r="B14" s="211" t="s">
        <v>109</v>
      </c>
      <c r="C14" s="211">
        <v>4</v>
      </c>
      <c r="D14" s="211" t="s">
        <v>2471</v>
      </c>
      <c r="E14" s="211">
        <v>3</v>
      </c>
      <c r="F14" s="211">
        <v>4</v>
      </c>
      <c r="H14" s="211">
        <v>4</v>
      </c>
      <c r="I14" s="211">
        <v>3</v>
      </c>
      <c r="L14" s="211">
        <v>27.75</v>
      </c>
      <c r="N14" s="209">
        <f t="shared" si="0"/>
        <v>4</v>
      </c>
      <c r="O14" s="209">
        <f t="shared" si="1"/>
        <v>8.5</v>
      </c>
      <c r="P14" s="209">
        <f t="shared" si="2"/>
        <v>3</v>
      </c>
      <c r="Q14" s="209">
        <f t="shared" si="3"/>
        <v>4</v>
      </c>
      <c r="R14" s="209" t="str">
        <f t="shared" si="4"/>
        <v>/</v>
      </c>
      <c r="S14" s="209">
        <f t="shared" si="5"/>
        <v>4</v>
      </c>
      <c r="T14" s="209">
        <f t="shared" si="6"/>
        <v>3</v>
      </c>
      <c r="U14" s="209" t="str">
        <f t="shared" si="7"/>
        <v>/</v>
      </c>
    </row>
    <row r="15" spans="1:21">
      <c r="A15" s="424" t="s">
        <v>1305</v>
      </c>
      <c r="B15" s="211" t="s">
        <v>2470</v>
      </c>
      <c r="C15" s="211">
        <v>4</v>
      </c>
      <c r="D15" s="211" t="s">
        <v>2469</v>
      </c>
      <c r="E15" s="211">
        <v>4</v>
      </c>
      <c r="F15" s="211">
        <v>4</v>
      </c>
      <c r="H15" s="211">
        <v>4</v>
      </c>
      <c r="I15" s="211">
        <v>4</v>
      </c>
      <c r="J15" s="211">
        <v>3</v>
      </c>
      <c r="L15" s="211">
        <v>26.5</v>
      </c>
      <c r="N15" s="209">
        <f t="shared" si="0"/>
        <v>4</v>
      </c>
      <c r="O15" s="209">
        <f t="shared" si="1"/>
        <v>7</v>
      </c>
      <c r="P15" s="209">
        <f t="shared" si="2"/>
        <v>4</v>
      </c>
      <c r="Q15" s="209">
        <f t="shared" si="3"/>
        <v>4</v>
      </c>
      <c r="R15" s="209" t="str">
        <f t="shared" si="4"/>
        <v>/</v>
      </c>
      <c r="S15" s="209">
        <f t="shared" si="5"/>
        <v>4</v>
      </c>
      <c r="T15" s="209">
        <f t="shared" si="6"/>
        <v>4</v>
      </c>
      <c r="U15" s="209">
        <f t="shared" si="7"/>
        <v>3</v>
      </c>
    </row>
    <row r="16" spans="1:21">
      <c r="A16" s="424" t="s">
        <v>1305</v>
      </c>
      <c r="B16" s="211" t="s">
        <v>106</v>
      </c>
      <c r="C16" s="211">
        <v>5</v>
      </c>
      <c r="D16" s="211">
        <v>5</v>
      </c>
      <c r="E16" s="211">
        <v>4</v>
      </c>
      <c r="F16" s="211">
        <v>4</v>
      </c>
      <c r="H16" s="211">
        <v>4</v>
      </c>
      <c r="I16" s="211">
        <v>4</v>
      </c>
      <c r="L16" s="211">
        <v>25.75</v>
      </c>
      <c r="N16" s="209">
        <f t="shared" si="0"/>
        <v>5.5</v>
      </c>
      <c r="O16" s="209">
        <f t="shared" si="1"/>
        <v>5.5</v>
      </c>
      <c r="P16" s="209">
        <f t="shared" si="2"/>
        <v>4</v>
      </c>
      <c r="Q16" s="209">
        <f t="shared" si="3"/>
        <v>4</v>
      </c>
      <c r="R16" s="209" t="str">
        <f t="shared" si="4"/>
        <v>/</v>
      </c>
      <c r="S16" s="209">
        <f t="shared" si="5"/>
        <v>4</v>
      </c>
      <c r="T16" s="209">
        <f t="shared" si="6"/>
        <v>4</v>
      </c>
      <c r="U16" s="209" t="str">
        <f t="shared" si="7"/>
        <v>/</v>
      </c>
    </row>
    <row r="17" spans="1:21">
      <c r="A17" s="424" t="s">
        <v>1308</v>
      </c>
      <c r="B17" s="211" t="s">
        <v>109</v>
      </c>
      <c r="C17" s="211">
        <v>4</v>
      </c>
      <c r="D17" s="211">
        <v>5</v>
      </c>
      <c r="E17" s="211">
        <v>4</v>
      </c>
      <c r="F17" s="211">
        <v>4</v>
      </c>
      <c r="H17" s="211" t="s">
        <v>2471</v>
      </c>
      <c r="I17" s="211" t="s">
        <v>2469</v>
      </c>
      <c r="L17" s="211">
        <v>29</v>
      </c>
      <c r="N17" s="209">
        <f t="shared" si="0"/>
        <v>4</v>
      </c>
      <c r="O17" s="209">
        <f t="shared" si="1"/>
        <v>5.5</v>
      </c>
      <c r="P17" s="209">
        <f t="shared" si="2"/>
        <v>4</v>
      </c>
      <c r="Q17" s="209">
        <f t="shared" si="3"/>
        <v>4</v>
      </c>
      <c r="R17" s="209" t="str">
        <f t="shared" si="4"/>
        <v>/</v>
      </c>
      <c r="S17" s="209">
        <f t="shared" si="5"/>
        <v>8.5</v>
      </c>
      <c r="T17" s="209">
        <f t="shared" si="6"/>
        <v>7</v>
      </c>
      <c r="U17" s="209" t="str">
        <f t="shared" si="7"/>
        <v>/</v>
      </c>
    </row>
    <row r="18" spans="1:21">
      <c r="A18" s="424" t="s">
        <v>1308</v>
      </c>
      <c r="B18" s="211" t="s">
        <v>2470</v>
      </c>
      <c r="C18" s="211">
        <v>4</v>
      </c>
      <c r="D18" s="211">
        <v>5</v>
      </c>
      <c r="E18" s="211">
        <v>4</v>
      </c>
      <c r="F18" s="211">
        <v>4</v>
      </c>
      <c r="H18" s="211" t="s">
        <v>2469</v>
      </c>
      <c r="I18" s="211">
        <v>4</v>
      </c>
      <c r="L18" s="211">
        <v>24.5</v>
      </c>
      <c r="N18" s="209">
        <f t="shared" si="0"/>
        <v>4</v>
      </c>
      <c r="O18" s="209">
        <f t="shared" si="1"/>
        <v>5.5</v>
      </c>
      <c r="P18" s="209">
        <f t="shared" si="2"/>
        <v>4</v>
      </c>
      <c r="Q18" s="209">
        <f t="shared" si="3"/>
        <v>4</v>
      </c>
      <c r="R18" s="209" t="str">
        <f t="shared" si="4"/>
        <v>/</v>
      </c>
      <c r="S18" s="209">
        <f t="shared" si="5"/>
        <v>7</v>
      </c>
      <c r="T18" s="209">
        <f t="shared" si="6"/>
        <v>4</v>
      </c>
      <c r="U18" s="209" t="str">
        <f t="shared" si="7"/>
        <v>/</v>
      </c>
    </row>
    <row r="19" spans="1:21">
      <c r="A19" s="424" t="s">
        <v>1308</v>
      </c>
      <c r="B19" s="211" t="s">
        <v>106</v>
      </c>
      <c r="C19" s="211">
        <v>5</v>
      </c>
      <c r="D19" s="211">
        <v>4</v>
      </c>
      <c r="E19" s="211">
        <v>3</v>
      </c>
      <c r="F19" s="211">
        <v>4</v>
      </c>
      <c r="H19" s="211">
        <v>4</v>
      </c>
      <c r="I19" s="211">
        <v>4</v>
      </c>
      <c r="L19" s="211">
        <v>21.5</v>
      </c>
      <c r="N19" s="209">
        <f t="shared" si="0"/>
        <v>5.5</v>
      </c>
      <c r="O19" s="209">
        <f t="shared" si="1"/>
        <v>4</v>
      </c>
      <c r="P19" s="209">
        <f t="shared" si="2"/>
        <v>3</v>
      </c>
      <c r="Q19" s="209">
        <f t="shared" si="3"/>
        <v>4</v>
      </c>
      <c r="R19" s="209" t="str">
        <f t="shared" si="4"/>
        <v>/</v>
      </c>
      <c r="S19" s="209">
        <f t="shared" si="5"/>
        <v>4</v>
      </c>
      <c r="T19" s="209">
        <f t="shared" si="6"/>
        <v>4</v>
      </c>
      <c r="U19" s="209" t="str">
        <f t="shared" si="7"/>
        <v>/</v>
      </c>
    </row>
    <row r="20" spans="1:21">
      <c r="A20" s="424" t="s">
        <v>1312</v>
      </c>
      <c r="B20" s="211" t="s">
        <v>109</v>
      </c>
      <c r="C20" s="211">
        <v>5</v>
      </c>
      <c r="D20" s="211">
        <v>4</v>
      </c>
      <c r="E20" s="211">
        <v>5</v>
      </c>
      <c r="F20" s="211">
        <v>4</v>
      </c>
      <c r="H20" s="211" t="s">
        <v>2471</v>
      </c>
      <c r="I20" s="211">
        <v>5</v>
      </c>
      <c r="J20" s="211">
        <v>5</v>
      </c>
      <c r="L20" s="211">
        <v>30.5</v>
      </c>
      <c r="N20" s="209">
        <f t="shared" si="0"/>
        <v>5.5</v>
      </c>
      <c r="O20" s="209">
        <f t="shared" si="1"/>
        <v>4</v>
      </c>
      <c r="P20" s="209">
        <f t="shared" si="2"/>
        <v>5.5</v>
      </c>
      <c r="Q20" s="209">
        <f t="shared" si="3"/>
        <v>4</v>
      </c>
      <c r="R20" s="209" t="str">
        <f t="shared" si="4"/>
        <v>/</v>
      </c>
      <c r="S20" s="209">
        <f t="shared" si="5"/>
        <v>8.5</v>
      </c>
      <c r="T20" s="209">
        <f t="shared" si="6"/>
        <v>5.5</v>
      </c>
      <c r="U20" s="209">
        <f t="shared" si="7"/>
        <v>5.5</v>
      </c>
    </row>
    <row r="21" spans="1:21">
      <c r="A21" s="424" t="s">
        <v>1312</v>
      </c>
      <c r="B21" s="211" t="s">
        <v>2470</v>
      </c>
      <c r="C21" s="211">
        <v>4</v>
      </c>
      <c r="D21" s="211">
        <v>4</v>
      </c>
      <c r="E21" s="211">
        <v>5</v>
      </c>
      <c r="F21" s="211">
        <v>5</v>
      </c>
      <c r="H21" s="211" t="s">
        <v>2471</v>
      </c>
      <c r="I21" s="211">
        <v>4</v>
      </c>
      <c r="L21" s="211">
        <v>27.5</v>
      </c>
      <c r="N21" s="209">
        <f t="shared" si="0"/>
        <v>4</v>
      </c>
      <c r="O21" s="209">
        <f t="shared" si="1"/>
        <v>4</v>
      </c>
      <c r="P21" s="209">
        <f t="shared" si="2"/>
        <v>5.5</v>
      </c>
      <c r="Q21" s="209">
        <f t="shared" si="3"/>
        <v>5.5</v>
      </c>
      <c r="R21" s="209" t="str">
        <f t="shared" si="4"/>
        <v>/</v>
      </c>
      <c r="S21" s="209">
        <f t="shared" si="5"/>
        <v>8.5</v>
      </c>
      <c r="T21" s="209">
        <f t="shared" si="6"/>
        <v>4</v>
      </c>
      <c r="U21" s="209" t="str">
        <f t="shared" si="7"/>
        <v>/</v>
      </c>
    </row>
    <row r="22" spans="1:21">
      <c r="A22" s="424" t="s">
        <v>1312</v>
      </c>
      <c r="B22" s="211" t="s">
        <v>106</v>
      </c>
      <c r="C22" s="211" t="s">
        <v>2469</v>
      </c>
      <c r="D22" s="211">
        <v>4</v>
      </c>
      <c r="E22" s="211">
        <v>3</v>
      </c>
      <c r="F22" s="211">
        <v>4</v>
      </c>
      <c r="H22" s="211" t="s">
        <v>2469</v>
      </c>
      <c r="I22" s="211">
        <v>4</v>
      </c>
      <c r="L22" s="211">
        <v>26</v>
      </c>
      <c r="N22" s="209">
        <f t="shared" si="0"/>
        <v>7</v>
      </c>
      <c r="O22" s="209">
        <f t="shared" si="1"/>
        <v>4</v>
      </c>
      <c r="P22" s="209">
        <f t="shared" si="2"/>
        <v>3</v>
      </c>
      <c r="Q22" s="209">
        <f t="shared" si="3"/>
        <v>4</v>
      </c>
      <c r="R22" s="209" t="str">
        <f t="shared" si="4"/>
        <v>/</v>
      </c>
      <c r="S22" s="209">
        <f t="shared" si="5"/>
        <v>7</v>
      </c>
      <c r="T22" s="209">
        <f t="shared" si="6"/>
        <v>4</v>
      </c>
      <c r="U22" s="209" t="str">
        <f t="shared" si="7"/>
        <v>/</v>
      </c>
    </row>
    <row r="23" spans="1:21">
      <c r="A23" s="424" t="s">
        <v>1314</v>
      </c>
      <c r="B23" s="211" t="s">
        <v>109</v>
      </c>
      <c r="C23" s="211">
        <v>3</v>
      </c>
      <c r="D23" s="211">
        <v>4</v>
      </c>
      <c r="E23" s="211">
        <v>5</v>
      </c>
      <c r="F23" s="211">
        <v>3</v>
      </c>
      <c r="G23" s="211" t="s">
        <v>2469</v>
      </c>
      <c r="H23" s="211">
        <v>5</v>
      </c>
      <c r="I23" s="211">
        <v>4</v>
      </c>
      <c r="J23" s="211">
        <v>3</v>
      </c>
      <c r="L23" s="211">
        <v>26</v>
      </c>
      <c r="N23" s="209">
        <f t="shared" si="0"/>
        <v>3</v>
      </c>
      <c r="O23" s="209">
        <f t="shared" si="1"/>
        <v>4</v>
      </c>
      <c r="P23" s="209">
        <f t="shared" si="2"/>
        <v>5.5</v>
      </c>
      <c r="Q23" s="209">
        <f t="shared" si="3"/>
        <v>3</v>
      </c>
      <c r="R23" s="209">
        <f t="shared" si="4"/>
        <v>7</v>
      </c>
      <c r="S23" s="209">
        <f t="shared" si="5"/>
        <v>5.5</v>
      </c>
      <c r="T23" s="209">
        <f t="shared" si="6"/>
        <v>4</v>
      </c>
      <c r="U23" s="209">
        <f t="shared" si="7"/>
        <v>3</v>
      </c>
    </row>
    <row r="24" spans="1:21">
      <c r="A24" s="424" t="s">
        <v>1314</v>
      </c>
      <c r="B24" s="211" t="s">
        <v>2470</v>
      </c>
      <c r="C24" s="211">
        <v>3</v>
      </c>
      <c r="D24" s="211">
        <v>4</v>
      </c>
      <c r="E24" s="211">
        <v>5</v>
      </c>
      <c r="F24" s="211">
        <v>3</v>
      </c>
      <c r="H24" s="211" t="s">
        <v>2469</v>
      </c>
      <c r="I24" s="211">
        <v>4</v>
      </c>
      <c r="J24" s="211">
        <v>4</v>
      </c>
      <c r="L24" s="211">
        <v>24.5</v>
      </c>
      <c r="N24" s="209">
        <f t="shared" si="0"/>
        <v>3</v>
      </c>
      <c r="O24" s="209">
        <f t="shared" si="1"/>
        <v>4</v>
      </c>
      <c r="P24" s="209">
        <f t="shared" si="2"/>
        <v>5.5</v>
      </c>
      <c r="Q24" s="209">
        <f t="shared" si="3"/>
        <v>3</v>
      </c>
      <c r="R24" s="209" t="str">
        <f t="shared" si="4"/>
        <v>/</v>
      </c>
      <c r="S24" s="209">
        <f t="shared" si="5"/>
        <v>7</v>
      </c>
      <c r="T24" s="209">
        <f t="shared" si="6"/>
        <v>4</v>
      </c>
      <c r="U24" s="209">
        <f t="shared" si="7"/>
        <v>4</v>
      </c>
    </row>
    <row r="25" spans="1:21">
      <c r="A25" s="424" t="s">
        <v>1314</v>
      </c>
      <c r="B25" s="211" t="s">
        <v>106</v>
      </c>
      <c r="C25" s="211">
        <v>4</v>
      </c>
      <c r="D25" s="211">
        <v>3</v>
      </c>
      <c r="E25" s="211">
        <v>2</v>
      </c>
      <c r="F25" s="211">
        <v>4</v>
      </c>
      <c r="H25" s="211" t="s">
        <v>2469</v>
      </c>
      <c r="I25" s="211">
        <v>5</v>
      </c>
      <c r="J25" s="211">
        <v>4</v>
      </c>
      <c r="L25" s="211">
        <v>24.5</v>
      </c>
      <c r="N25" s="209">
        <f t="shared" si="0"/>
        <v>4</v>
      </c>
      <c r="O25" s="209">
        <f t="shared" si="1"/>
        <v>3</v>
      </c>
      <c r="P25" s="209">
        <f t="shared" si="2"/>
        <v>2</v>
      </c>
      <c r="Q25" s="209">
        <f t="shared" si="3"/>
        <v>4</v>
      </c>
      <c r="R25" s="209" t="str">
        <f t="shared" si="4"/>
        <v>/</v>
      </c>
      <c r="S25" s="209">
        <f t="shared" si="5"/>
        <v>7</v>
      </c>
      <c r="T25" s="209">
        <f t="shared" si="6"/>
        <v>5.5</v>
      </c>
      <c r="U25" s="209">
        <f t="shared" si="7"/>
        <v>4</v>
      </c>
    </row>
    <row r="26" spans="1:21">
      <c r="A26" s="424" t="s">
        <v>1317</v>
      </c>
      <c r="B26" s="211" t="s">
        <v>109</v>
      </c>
      <c r="C26" s="211" t="s">
        <v>2469</v>
      </c>
      <c r="D26" s="211">
        <v>4</v>
      </c>
      <c r="E26" s="211">
        <v>4</v>
      </c>
      <c r="F26" s="211">
        <v>5</v>
      </c>
      <c r="H26" s="211">
        <v>4</v>
      </c>
      <c r="I26" s="211">
        <v>4</v>
      </c>
      <c r="J26" s="211">
        <v>3</v>
      </c>
      <c r="L26" s="211">
        <v>24.5</v>
      </c>
      <c r="N26" s="209">
        <f t="shared" si="0"/>
        <v>7</v>
      </c>
      <c r="O26" s="209">
        <f t="shared" si="1"/>
        <v>4</v>
      </c>
      <c r="P26" s="209">
        <f t="shared" si="2"/>
        <v>4</v>
      </c>
      <c r="Q26" s="209">
        <f t="shared" si="3"/>
        <v>5.5</v>
      </c>
      <c r="R26" s="209" t="str">
        <f t="shared" si="4"/>
        <v>/</v>
      </c>
      <c r="S26" s="209">
        <f t="shared" si="5"/>
        <v>4</v>
      </c>
      <c r="T26" s="209">
        <f t="shared" si="6"/>
        <v>4</v>
      </c>
      <c r="U26" s="209">
        <f t="shared" si="7"/>
        <v>3</v>
      </c>
    </row>
    <row r="27" spans="1:21">
      <c r="A27" s="424" t="s">
        <v>1317</v>
      </c>
      <c r="B27" s="211" t="s">
        <v>2470</v>
      </c>
      <c r="C27" s="211">
        <v>4</v>
      </c>
      <c r="D27" s="211">
        <v>5</v>
      </c>
      <c r="E27" s="211">
        <v>2</v>
      </c>
      <c r="F27" s="211">
        <v>4</v>
      </c>
      <c r="H27" s="211" t="s">
        <v>2469</v>
      </c>
      <c r="I27" s="211">
        <v>4</v>
      </c>
      <c r="L27" s="211">
        <v>24.5</v>
      </c>
      <c r="N27" s="209">
        <f t="shared" si="0"/>
        <v>4</v>
      </c>
      <c r="O27" s="209">
        <f t="shared" si="1"/>
        <v>5.5</v>
      </c>
      <c r="P27" s="209">
        <f t="shared" si="2"/>
        <v>2</v>
      </c>
      <c r="Q27" s="209">
        <f t="shared" si="3"/>
        <v>4</v>
      </c>
      <c r="R27" s="209" t="str">
        <f t="shared" si="4"/>
        <v>/</v>
      </c>
      <c r="S27" s="209">
        <f t="shared" si="5"/>
        <v>7</v>
      </c>
      <c r="T27" s="209">
        <f t="shared" si="6"/>
        <v>4</v>
      </c>
      <c r="U27" s="209" t="str">
        <f t="shared" si="7"/>
        <v>/</v>
      </c>
    </row>
    <row r="28" spans="1:21">
      <c r="A28" s="424" t="s">
        <v>1317</v>
      </c>
      <c r="B28" s="211" t="s">
        <v>106</v>
      </c>
      <c r="C28" s="211" t="s">
        <v>2471</v>
      </c>
      <c r="D28" s="211">
        <v>3</v>
      </c>
      <c r="E28" s="211">
        <v>4</v>
      </c>
      <c r="F28" s="211">
        <v>4</v>
      </c>
      <c r="H28" s="211">
        <v>4</v>
      </c>
      <c r="I28" s="211">
        <v>3</v>
      </c>
      <c r="L28" s="211">
        <v>23.5</v>
      </c>
      <c r="N28" s="209">
        <f t="shared" si="0"/>
        <v>8.5</v>
      </c>
      <c r="O28" s="209">
        <f t="shared" si="1"/>
        <v>3</v>
      </c>
      <c r="P28" s="209">
        <f t="shared" si="2"/>
        <v>4</v>
      </c>
      <c r="Q28" s="209">
        <f t="shared" si="3"/>
        <v>4</v>
      </c>
      <c r="R28" s="209" t="str">
        <f t="shared" si="4"/>
        <v>/</v>
      </c>
      <c r="S28" s="209">
        <f t="shared" si="5"/>
        <v>4</v>
      </c>
      <c r="T28" s="209">
        <f t="shared" si="6"/>
        <v>3</v>
      </c>
      <c r="U28" s="209" t="str">
        <f t="shared" si="7"/>
        <v>/</v>
      </c>
    </row>
    <row r="29" spans="1:21">
      <c r="A29" s="424" t="s">
        <v>1320</v>
      </c>
      <c r="B29" s="211" t="s">
        <v>109</v>
      </c>
      <c r="C29" s="211" t="s">
        <v>2469</v>
      </c>
      <c r="D29" s="211">
        <v>5</v>
      </c>
      <c r="E29" s="211">
        <v>4</v>
      </c>
      <c r="F29" s="211">
        <v>5</v>
      </c>
      <c r="G29" s="211">
        <v>4</v>
      </c>
      <c r="H29" s="211">
        <v>5</v>
      </c>
      <c r="I29" s="211">
        <v>5</v>
      </c>
      <c r="L29" s="211">
        <v>29</v>
      </c>
      <c r="N29" s="209">
        <f t="shared" si="0"/>
        <v>7</v>
      </c>
      <c r="O29" s="209">
        <f t="shared" si="1"/>
        <v>5.5</v>
      </c>
      <c r="P29" s="209">
        <f t="shared" si="2"/>
        <v>4</v>
      </c>
      <c r="Q29" s="209">
        <f t="shared" si="3"/>
        <v>5.5</v>
      </c>
      <c r="R29" s="209">
        <f t="shared" si="4"/>
        <v>4</v>
      </c>
      <c r="S29" s="209">
        <f t="shared" si="5"/>
        <v>5.5</v>
      </c>
      <c r="T29" s="209">
        <f t="shared" si="6"/>
        <v>5.5</v>
      </c>
      <c r="U29" s="209" t="str">
        <f t="shared" si="7"/>
        <v>/</v>
      </c>
    </row>
    <row r="30" spans="1:21">
      <c r="A30" s="424" t="s">
        <v>1320</v>
      </c>
      <c r="B30" s="211" t="s">
        <v>2470</v>
      </c>
      <c r="C30" s="211">
        <v>4</v>
      </c>
      <c r="D30" s="211" t="s">
        <v>2469</v>
      </c>
      <c r="E30" s="211">
        <v>4</v>
      </c>
      <c r="F30" s="211">
        <v>4</v>
      </c>
      <c r="H30" s="211">
        <v>4</v>
      </c>
      <c r="I30" s="211">
        <v>4</v>
      </c>
      <c r="J30" s="211">
        <v>3</v>
      </c>
      <c r="L30" s="211">
        <v>23</v>
      </c>
      <c r="N30" s="209">
        <f t="shared" si="0"/>
        <v>4</v>
      </c>
      <c r="O30" s="209">
        <f t="shared" si="1"/>
        <v>7</v>
      </c>
      <c r="P30" s="209">
        <f t="shared" si="2"/>
        <v>4</v>
      </c>
      <c r="Q30" s="209">
        <f t="shared" si="3"/>
        <v>4</v>
      </c>
      <c r="R30" s="209" t="str">
        <f t="shared" si="4"/>
        <v>/</v>
      </c>
      <c r="S30" s="209">
        <f t="shared" si="5"/>
        <v>4</v>
      </c>
      <c r="T30" s="209">
        <f t="shared" si="6"/>
        <v>4</v>
      </c>
      <c r="U30" s="209">
        <f t="shared" si="7"/>
        <v>3</v>
      </c>
    </row>
    <row r="31" spans="1:21">
      <c r="A31" s="424" t="s">
        <v>1320</v>
      </c>
      <c r="B31" s="211" t="s">
        <v>106</v>
      </c>
      <c r="C31" s="211">
        <v>3</v>
      </c>
      <c r="D31" s="211">
        <v>4</v>
      </c>
      <c r="E31" s="211">
        <v>4</v>
      </c>
      <c r="F31" s="211">
        <v>4</v>
      </c>
      <c r="H31" s="211">
        <v>5</v>
      </c>
      <c r="I31" s="211">
        <v>4</v>
      </c>
      <c r="J31" s="211">
        <v>4</v>
      </c>
      <c r="L31" s="211">
        <v>21.5</v>
      </c>
      <c r="N31" s="209">
        <f t="shared" si="0"/>
        <v>3</v>
      </c>
      <c r="O31" s="209">
        <f t="shared" si="1"/>
        <v>4</v>
      </c>
      <c r="P31" s="209">
        <f t="shared" si="2"/>
        <v>4</v>
      </c>
      <c r="Q31" s="209">
        <f t="shared" si="3"/>
        <v>4</v>
      </c>
      <c r="R31" s="209" t="str">
        <f t="shared" si="4"/>
        <v>/</v>
      </c>
      <c r="S31" s="209">
        <f t="shared" si="5"/>
        <v>5.5</v>
      </c>
      <c r="T31" s="209">
        <f t="shared" si="6"/>
        <v>4</v>
      </c>
      <c r="U31" s="209">
        <f t="shared" si="7"/>
        <v>4</v>
      </c>
    </row>
    <row r="32" spans="1:21">
      <c r="A32" s="424" t="s">
        <v>1323</v>
      </c>
      <c r="B32" s="211" t="s">
        <v>109</v>
      </c>
      <c r="C32" s="211">
        <v>5</v>
      </c>
      <c r="D32" s="211">
        <v>5</v>
      </c>
      <c r="E32" s="211">
        <v>5</v>
      </c>
      <c r="F32" s="211">
        <v>4</v>
      </c>
      <c r="H32" s="211" t="s">
        <v>2469</v>
      </c>
      <c r="I32" s="211">
        <v>4</v>
      </c>
      <c r="J32" s="211">
        <v>4</v>
      </c>
      <c r="L32" s="211">
        <v>27.5</v>
      </c>
      <c r="N32" s="209">
        <f t="shared" si="0"/>
        <v>5.5</v>
      </c>
      <c r="O32" s="209">
        <f t="shared" si="1"/>
        <v>5.5</v>
      </c>
      <c r="P32" s="209">
        <f t="shared" si="2"/>
        <v>5.5</v>
      </c>
      <c r="Q32" s="209">
        <f t="shared" si="3"/>
        <v>4</v>
      </c>
      <c r="R32" s="209" t="str">
        <f t="shared" si="4"/>
        <v>/</v>
      </c>
      <c r="S32" s="209">
        <f t="shared" si="5"/>
        <v>7</v>
      </c>
      <c r="T32" s="209">
        <f t="shared" si="6"/>
        <v>4</v>
      </c>
      <c r="U32" s="209">
        <f t="shared" si="7"/>
        <v>4</v>
      </c>
    </row>
    <row r="33" spans="1:21">
      <c r="A33" s="424" t="s">
        <v>1323</v>
      </c>
      <c r="B33" s="211" t="s">
        <v>2470</v>
      </c>
      <c r="C33" s="211">
        <v>3</v>
      </c>
      <c r="D33" s="211">
        <v>4</v>
      </c>
      <c r="E33" s="211">
        <v>5</v>
      </c>
      <c r="F33" s="211">
        <v>3</v>
      </c>
      <c r="G33" s="211">
        <v>5</v>
      </c>
      <c r="H33" s="211">
        <v>5</v>
      </c>
      <c r="I33" s="211">
        <v>4</v>
      </c>
      <c r="L33" s="211">
        <v>23.5</v>
      </c>
      <c r="N33" s="209">
        <f t="shared" si="0"/>
        <v>3</v>
      </c>
      <c r="O33" s="209">
        <f t="shared" si="1"/>
        <v>4</v>
      </c>
      <c r="P33" s="209">
        <f t="shared" si="2"/>
        <v>5.5</v>
      </c>
      <c r="Q33" s="209">
        <f t="shared" si="3"/>
        <v>3</v>
      </c>
      <c r="R33" s="209">
        <f t="shared" si="4"/>
        <v>5.5</v>
      </c>
      <c r="S33" s="209">
        <f t="shared" si="5"/>
        <v>5.5</v>
      </c>
      <c r="T33" s="209">
        <f t="shared" si="6"/>
        <v>4</v>
      </c>
      <c r="U33" s="209" t="str">
        <f t="shared" si="7"/>
        <v>/</v>
      </c>
    </row>
    <row r="34" spans="1:21">
      <c r="A34" s="424" t="s">
        <v>1323</v>
      </c>
      <c r="B34" s="211" t="s">
        <v>106</v>
      </c>
      <c r="C34" s="211">
        <v>4</v>
      </c>
      <c r="D34" s="211">
        <v>4</v>
      </c>
      <c r="E34" s="211">
        <v>5</v>
      </c>
      <c r="F34" s="211">
        <v>4</v>
      </c>
      <c r="H34" s="211">
        <v>5</v>
      </c>
      <c r="I34" s="211">
        <v>4</v>
      </c>
      <c r="L34" s="211">
        <v>23</v>
      </c>
      <c r="N34" s="209">
        <f t="shared" si="0"/>
        <v>4</v>
      </c>
      <c r="O34" s="209">
        <f t="shared" si="1"/>
        <v>4</v>
      </c>
      <c r="P34" s="209">
        <f t="shared" si="2"/>
        <v>5.5</v>
      </c>
      <c r="Q34" s="209">
        <f t="shared" si="3"/>
        <v>4</v>
      </c>
      <c r="R34" s="209" t="str">
        <f t="shared" si="4"/>
        <v>/</v>
      </c>
      <c r="S34" s="209">
        <f t="shared" si="5"/>
        <v>5.5</v>
      </c>
      <c r="T34" s="209">
        <f t="shared" si="6"/>
        <v>4</v>
      </c>
      <c r="U34" s="209" t="str">
        <f t="shared" si="7"/>
        <v>/</v>
      </c>
    </row>
    <row r="35" spans="1:21">
      <c r="A35" s="424" t="s">
        <v>1326</v>
      </c>
      <c r="B35" s="211" t="s">
        <v>109</v>
      </c>
      <c r="C35" s="211">
        <v>4</v>
      </c>
      <c r="D35" s="211">
        <v>3</v>
      </c>
      <c r="E35" s="211">
        <v>4</v>
      </c>
      <c r="F35" s="211">
        <v>5</v>
      </c>
      <c r="G35" s="211">
        <v>3</v>
      </c>
      <c r="H35" s="211">
        <v>5</v>
      </c>
      <c r="I35" s="211">
        <v>2</v>
      </c>
      <c r="L35" s="211">
        <v>22</v>
      </c>
      <c r="N35" s="209">
        <f t="shared" si="0"/>
        <v>4</v>
      </c>
      <c r="O35" s="209">
        <f t="shared" si="1"/>
        <v>3</v>
      </c>
      <c r="P35" s="209">
        <f t="shared" si="2"/>
        <v>4</v>
      </c>
      <c r="Q35" s="209">
        <f t="shared" si="3"/>
        <v>5.5</v>
      </c>
      <c r="R35" s="209">
        <f t="shared" si="4"/>
        <v>3</v>
      </c>
      <c r="S35" s="209">
        <f t="shared" si="5"/>
        <v>5.5</v>
      </c>
      <c r="T35" s="209">
        <f t="shared" si="6"/>
        <v>2</v>
      </c>
      <c r="U35" s="209" t="str">
        <f t="shared" si="7"/>
        <v>/</v>
      </c>
    </row>
    <row r="36" spans="1:21">
      <c r="A36" s="424" t="s">
        <v>1326</v>
      </c>
      <c r="B36" s="211" t="s">
        <v>2470</v>
      </c>
      <c r="C36" s="211">
        <v>3</v>
      </c>
      <c r="D36" s="211">
        <v>3</v>
      </c>
      <c r="E36" s="211">
        <v>5</v>
      </c>
      <c r="F36" s="211">
        <v>2</v>
      </c>
      <c r="H36" s="211">
        <v>5</v>
      </c>
      <c r="I36" s="211">
        <v>4</v>
      </c>
      <c r="L36" s="211">
        <v>21</v>
      </c>
      <c r="N36" s="209">
        <f t="shared" si="0"/>
        <v>3</v>
      </c>
      <c r="O36" s="209">
        <f t="shared" si="1"/>
        <v>3</v>
      </c>
      <c r="P36" s="209">
        <f t="shared" si="2"/>
        <v>5.5</v>
      </c>
      <c r="Q36" s="209">
        <f t="shared" si="3"/>
        <v>2</v>
      </c>
      <c r="R36" s="209" t="str">
        <f t="shared" si="4"/>
        <v>/</v>
      </c>
      <c r="S36" s="209">
        <f t="shared" si="5"/>
        <v>5.5</v>
      </c>
      <c r="T36" s="209">
        <f t="shared" si="6"/>
        <v>4</v>
      </c>
      <c r="U36" s="209" t="str">
        <f t="shared" si="7"/>
        <v>/</v>
      </c>
    </row>
    <row r="37" spans="1:21">
      <c r="A37" s="424" t="s">
        <v>1326</v>
      </c>
      <c r="B37" s="211" t="s">
        <v>106</v>
      </c>
      <c r="C37" s="211">
        <v>4</v>
      </c>
      <c r="D37" s="211">
        <v>4</v>
      </c>
      <c r="E37" s="211">
        <v>4</v>
      </c>
      <c r="F37" s="211">
        <v>4</v>
      </c>
      <c r="H37" s="211">
        <v>4</v>
      </c>
      <c r="I37" s="211">
        <v>4</v>
      </c>
      <c r="L37" s="211">
        <v>20</v>
      </c>
      <c r="N37" s="209">
        <f t="shared" si="0"/>
        <v>4</v>
      </c>
      <c r="O37" s="209">
        <f t="shared" si="1"/>
        <v>4</v>
      </c>
      <c r="P37" s="209">
        <f t="shared" si="2"/>
        <v>4</v>
      </c>
      <c r="Q37" s="209">
        <f t="shared" si="3"/>
        <v>4</v>
      </c>
      <c r="R37" s="209" t="str">
        <f t="shared" si="4"/>
        <v>/</v>
      </c>
      <c r="S37" s="209">
        <f t="shared" si="5"/>
        <v>4</v>
      </c>
      <c r="T37" s="209">
        <f t="shared" si="6"/>
        <v>4</v>
      </c>
      <c r="U37" s="209" t="str">
        <f t="shared" si="7"/>
        <v>/</v>
      </c>
    </row>
    <row r="38" spans="1:21">
      <c r="A38" s="424" t="s">
        <v>1333</v>
      </c>
      <c r="B38" s="211" t="s">
        <v>109</v>
      </c>
      <c r="C38" s="211">
        <v>4</v>
      </c>
      <c r="D38" s="211">
        <v>5</v>
      </c>
      <c r="E38" s="211">
        <v>5</v>
      </c>
      <c r="F38" s="211">
        <v>4</v>
      </c>
      <c r="H38" s="211">
        <v>5</v>
      </c>
      <c r="I38" s="211">
        <v>5</v>
      </c>
      <c r="J38" s="211">
        <v>3</v>
      </c>
      <c r="L38" s="211">
        <v>26</v>
      </c>
      <c r="N38" s="209">
        <f t="shared" si="0"/>
        <v>4</v>
      </c>
      <c r="O38" s="209">
        <f t="shared" si="1"/>
        <v>5.5</v>
      </c>
      <c r="P38" s="209">
        <f t="shared" si="2"/>
        <v>5.5</v>
      </c>
      <c r="Q38" s="209">
        <f t="shared" si="3"/>
        <v>4</v>
      </c>
      <c r="R38" s="209" t="str">
        <f t="shared" si="4"/>
        <v>/</v>
      </c>
      <c r="S38" s="209">
        <f t="shared" si="5"/>
        <v>5.5</v>
      </c>
      <c r="T38" s="209">
        <f t="shared" si="6"/>
        <v>5.5</v>
      </c>
      <c r="U38" s="209">
        <f t="shared" si="7"/>
        <v>3</v>
      </c>
    </row>
    <row r="39" spans="1:21">
      <c r="A39" s="424" t="s">
        <v>1333</v>
      </c>
      <c r="B39" s="211" t="s">
        <v>2470</v>
      </c>
      <c r="C39" s="211">
        <v>4</v>
      </c>
      <c r="D39" s="211">
        <v>5</v>
      </c>
      <c r="E39" s="211">
        <v>4</v>
      </c>
      <c r="F39" s="211">
        <v>4</v>
      </c>
      <c r="H39" s="211">
        <v>5</v>
      </c>
      <c r="I39" s="211">
        <v>4</v>
      </c>
      <c r="J39" s="211">
        <v>4</v>
      </c>
      <c r="L39" s="211">
        <v>23</v>
      </c>
      <c r="N39" s="209">
        <f t="shared" si="0"/>
        <v>4</v>
      </c>
      <c r="O39" s="209">
        <f t="shared" si="1"/>
        <v>5.5</v>
      </c>
      <c r="P39" s="209">
        <f t="shared" si="2"/>
        <v>4</v>
      </c>
      <c r="Q39" s="209">
        <f t="shared" si="3"/>
        <v>4</v>
      </c>
      <c r="R39" s="209" t="str">
        <f t="shared" si="4"/>
        <v>/</v>
      </c>
      <c r="S39" s="209">
        <f t="shared" si="5"/>
        <v>5.5</v>
      </c>
      <c r="T39" s="209">
        <f t="shared" si="6"/>
        <v>4</v>
      </c>
      <c r="U39" s="209">
        <f t="shared" si="7"/>
        <v>4</v>
      </c>
    </row>
    <row r="40" spans="1:21">
      <c r="A40" s="424" t="s">
        <v>1333</v>
      </c>
      <c r="B40" s="211" t="s">
        <v>106</v>
      </c>
      <c r="C40" s="211">
        <v>5</v>
      </c>
      <c r="D40" s="211">
        <v>4</v>
      </c>
      <c r="E40" s="211">
        <v>4</v>
      </c>
      <c r="F40" s="211">
        <v>4</v>
      </c>
      <c r="H40" s="211">
        <v>4</v>
      </c>
      <c r="I40" s="211">
        <v>4</v>
      </c>
      <c r="L40" s="211">
        <v>21.5</v>
      </c>
      <c r="N40" s="209">
        <f t="shared" si="0"/>
        <v>5.5</v>
      </c>
      <c r="O40" s="209">
        <f t="shared" si="1"/>
        <v>4</v>
      </c>
      <c r="P40" s="209">
        <f t="shared" si="2"/>
        <v>4</v>
      </c>
      <c r="Q40" s="209">
        <f t="shared" si="3"/>
        <v>4</v>
      </c>
      <c r="R40" s="209" t="str">
        <f t="shared" si="4"/>
        <v>/</v>
      </c>
      <c r="S40" s="209">
        <f t="shared" si="5"/>
        <v>4</v>
      </c>
      <c r="T40" s="209">
        <f t="shared" si="6"/>
        <v>4</v>
      </c>
      <c r="U40" s="209" t="str">
        <f t="shared" si="7"/>
        <v>/</v>
      </c>
    </row>
    <row r="41" spans="1:21">
      <c r="A41" s="424" t="s">
        <v>1337</v>
      </c>
      <c r="B41" s="211" t="s">
        <v>109</v>
      </c>
      <c r="C41" s="211">
        <v>4</v>
      </c>
      <c r="D41" s="211">
        <v>4</v>
      </c>
      <c r="E41" s="211">
        <v>5</v>
      </c>
      <c r="F41" s="211">
        <v>4</v>
      </c>
      <c r="H41" s="211">
        <v>5</v>
      </c>
      <c r="I41" s="211">
        <v>4</v>
      </c>
      <c r="L41" s="211">
        <v>24</v>
      </c>
      <c r="N41" s="209">
        <f t="shared" si="0"/>
        <v>4</v>
      </c>
      <c r="O41" s="209">
        <f t="shared" si="1"/>
        <v>4</v>
      </c>
      <c r="P41" s="209">
        <f t="shared" si="2"/>
        <v>5.5</v>
      </c>
      <c r="Q41" s="209">
        <f t="shared" si="3"/>
        <v>4</v>
      </c>
      <c r="R41" s="209" t="str">
        <f t="shared" si="4"/>
        <v>/</v>
      </c>
      <c r="S41" s="209">
        <f t="shared" si="5"/>
        <v>5.5</v>
      </c>
      <c r="T41" s="209">
        <f t="shared" si="6"/>
        <v>4</v>
      </c>
      <c r="U41" s="209" t="str">
        <f t="shared" si="7"/>
        <v>/</v>
      </c>
    </row>
    <row r="42" spans="1:21">
      <c r="A42" s="424" t="s">
        <v>1337</v>
      </c>
      <c r="B42" s="211" t="s">
        <v>2470</v>
      </c>
      <c r="C42" s="211" t="s">
        <v>2469</v>
      </c>
      <c r="D42" s="211">
        <v>3</v>
      </c>
      <c r="E42" s="211">
        <v>4</v>
      </c>
      <c r="F42" s="211">
        <v>3</v>
      </c>
      <c r="H42" s="211">
        <v>4</v>
      </c>
      <c r="I42" s="211">
        <v>4</v>
      </c>
      <c r="J42" s="211">
        <v>3</v>
      </c>
      <c r="L42" s="211">
        <v>22.75</v>
      </c>
      <c r="N42" s="209">
        <f t="shared" si="0"/>
        <v>7</v>
      </c>
      <c r="O42" s="209">
        <f t="shared" si="1"/>
        <v>3</v>
      </c>
      <c r="P42" s="209">
        <f t="shared" si="2"/>
        <v>4</v>
      </c>
      <c r="Q42" s="209">
        <f t="shared" si="3"/>
        <v>3</v>
      </c>
      <c r="R42" s="209" t="str">
        <f t="shared" si="4"/>
        <v>/</v>
      </c>
      <c r="S42" s="209">
        <f t="shared" si="5"/>
        <v>4</v>
      </c>
      <c r="T42" s="209">
        <f t="shared" si="6"/>
        <v>4</v>
      </c>
      <c r="U42" s="209">
        <f t="shared" si="7"/>
        <v>3</v>
      </c>
    </row>
    <row r="43" spans="1:21">
      <c r="A43" s="424" t="s">
        <v>1337</v>
      </c>
      <c r="B43" s="211" t="s">
        <v>106</v>
      </c>
      <c r="C43" s="211">
        <v>5</v>
      </c>
      <c r="D43" s="211">
        <v>3</v>
      </c>
      <c r="E43" s="211">
        <v>4</v>
      </c>
      <c r="F43" s="211">
        <v>4</v>
      </c>
      <c r="G43" s="211">
        <v>2</v>
      </c>
      <c r="H43" s="211">
        <v>4</v>
      </c>
      <c r="I43" s="211">
        <v>3</v>
      </c>
      <c r="L43" s="211">
        <v>21.25</v>
      </c>
      <c r="N43" s="209">
        <f t="shared" si="0"/>
        <v>5.5</v>
      </c>
      <c r="O43" s="209">
        <f t="shared" si="1"/>
        <v>3</v>
      </c>
      <c r="P43" s="209">
        <f t="shared" si="2"/>
        <v>4</v>
      </c>
      <c r="Q43" s="209">
        <f t="shared" si="3"/>
        <v>4</v>
      </c>
      <c r="R43" s="209">
        <f t="shared" si="4"/>
        <v>2</v>
      </c>
      <c r="S43" s="209">
        <f t="shared" si="5"/>
        <v>4</v>
      </c>
      <c r="T43" s="209">
        <f t="shared" si="6"/>
        <v>3</v>
      </c>
      <c r="U43" s="209" t="str">
        <f t="shared" si="7"/>
        <v>/</v>
      </c>
    </row>
    <row r="44" spans="1:21">
      <c r="A44" s="424" t="s">
        <v>1341</v>
      </c>
      <c r="B44" s="211" t="s">
        <v>109</v>
      </c>
      <c r="C44" s="211" t="s">
        <v>2469</v>
      </c>
      <c r="D44" s="211">
        <v>3</v>
      </c>
      <c r="E44" s="211">
        <v>4</v>
      </c>
      <c r="F44" s="211">
        <v>4</v>
      </c>
      <c r="H44" s="211" t="s">
        <v>2469</v>
      </c>
      <c r="I44" s="211">
        <v>5</v>
      </c>
      <c r="L44" s="211">
        <v>27.5</v>
      </c>
      <c r="N44" s="209">
        <f t="shared" si="0"/>
        <v>7</v>
      </c>
      <c r="O44" s="209">
        <f t="shared" si="1"/>
        <v>3</v>
      </c>
      <c r="P44" s="209">
        <f t="shared" si="2"/>
        <v>4</v>
      </c>
      <c r="Q44" s="209">
        <f t="shared" si="3"/>
        <v>4</v>
      </c>
      <c r="R44" s="209" t="str">
        <f t="shared" si="4"/>
        <v>/</v>
      </c>
      <c r="S44" s="209">
        <f t="shared" si="5"/>
        <v>7</v>
      </c>
      <c r="T44" s="209">
        <f t="shared" si="6"/>
        <v>5.5</v>
      </c>
      <c r="U44" s="209" t="str">
        <f t="shared" si="7"/>
        <v>/</v>
      </c>
    </row>
    <row r="45" spans="1:21">
      <c r="A45" s="424" t="s">
        <v>1341</v>
      </c>
      <c r="B45" s="211" t="s">
        <v>2470</v>
      </c>
      <c r="C45" s="211">
        <v>4</v>
      </c>
      <c r="D45" s="211">
        <v>3</v>
      </c>
      <c r="E45" s="211" t="s">
        <v>2469</v>
      </c>
      <c r="F45" s="211">
        <v>5</v>
      </c>
      <c r="G45" s="211">
        <v>4</v>
      </c>
      <c r="H45" s="211">
        <v>5</v>
      </c>
      <c r="L45" s="211">
        <v>26</v>
      </c>
      <c r="N45" s="209">
        <f t="shared" si="0"/>
        <v>4</v>
      </c>
      <c r="O45" s="209">
        <f t="shared" si="1"/>
        <v>3</v>
      </c>
      <c r="P45" s="209">
        <f t="shared" si="2"/>
        <v>7</v>
      </c>
      <c r="Q45" s="209">
        <f t="shared" si="3"/>
        <v>5.5</v>
      </c>
      <c r="R45" s="209">
        <f t="shared" si="4"/>
        <v>4</v>
      </c>
      <c r="S45" s="209">
        <f t="shared" si="5"/>
        <v>5.5</v>
      </c>
      <c r="T45" s="209" t="str">
        <f t="shared" si="6"/>
        <v>/</v>
      </c>
      <c r="U45" s="209" t="str">
        <f t="shared" si="7"/>
        <v>/</v>
      </c>
    </row>
    <row r="46" spans="1:21">
      <c r="A46" s="424" t="s">
        <v>1341</v>
      </c>
      <c r="B46" s="211" t="s">
        <v>106</v>
      </c>
      <c r="C46" s="211" t="s">
        <v>2471</v>
      </c>
      <c r="D46" s="211">
        <v>4</v>
      </c>
      <c r="E46" s="211">
        <v>4</v>
      </c>
      <c r="F46" s="211">
        <v>4</v>
      </c>
      <c r="G46" s="211">
        <v>3</v>
      </c>
      <c r="H46" s="211">
        <v>4</v>
      </c>
      <c r="I46" s="211">
        <v>4</v>
      </c>
      <c r="J46" s="211">
        <v>3</v>
      </c>
      <c r="L46" s="211">
        <v>24.5</v>
      </c>
      <c r="N46" s="209">
        <f t="shared" si="0"/>
        <v>8.5</v>
      </c>
      <c r="O46" s="209">
        <f t="shared" si="1"/>
        <v>4</v>
      </c>
      <c r="P46" s="209">
        <f t="shared" si="2"/>
        <v>4</v>
      </c>
      <c r="Q46" s="209">
        <f t="shared" si="3"/>
        <v>4</v>
      </c>
      <c r="R46" s="209">
        <f t="shared" si="4"/>
        <v>3</v>
      </c>
      <c r="S46" s="209">
        <f t="shared" si="5"/>
        <v>4</v>
      </c>
      <c r="T46" s="209">
        <f t="shared" si="6"/>
        <v>4</v>
      </c>
      <c r="U46" s="209">
        <f t="shared" si="7"/>
        <v>3</v>
      </c>
    </row>
    <row r="47" spans="1:21">
      <c r="A47" s="424" t="s">
        <v>1344</v>
      </c>
      <c r="B47" s="211" t="s">
        <v>109</v>
      </c>
      <c r="C47" s="211">
        <v>4</v>
      </c>
      <c r="D47" s="211" t="s">
        <v>2471</v>
      </c>
      <c r="E47" s="211" t="s">
        <v>2469</v>
      </c>
      <c r="F47" s="211" t="s">
        <v>2471</v>
      </c>
      <c r="G47" s="211" t="s">
        <v>2469</v>
      </c>
      <c r="H47" s="211" t="s">
        <v>2471</v>
      </c>
      <c r="I47" s="211">
        <v>5</v>
      </c>
      <c r="J47" s="211">
        <v>5</v>
      </c>
      <c r="L47" s="211">
        <v>43.5</v>
      </c>
      <c r="N47" s="209">
        <f t="shared" si="0"/>
        <v>4</v>
      </c>
      <c r="O47" s="209">
        <f t="shared" si="1"/>
        <v>8.5</v>
      </c>
      <c r="P47" s="209">
        <f t="shared" si="2"/>
        <v>7</v>
      </c>
      <c r="Q47" s="209">
        <f t="shared" si="3"/>
        <v>8.5</v>
      </c>
      <c r="R47" s="209">
        <f t="shared" si="4"/>
        <v>7</v>
      </c>
      <c r="S47" s="209">
        <f t="shared" si="5"/>
        <v>8.5</v>
      </c>
      <c r="T47" s="209">
        <f t="shared" si="6"/>
        <v>5.5</v>
      </c>
      <c r="U47" s="209">
        <f t="shared" si="7"/>
        <v>5.5</v>
      </c>
    </row>
    <row r="48" spans="1:21">
      <c r="A48" s="424" t="s">
        <v>1344</v>
      </c>
      <c r="B48" s="211" t="s">
        <v>2470</v>
      </c>
      <c r="C48" s="211">
        <v>4</v>
      </c>
      <c r="D48" s="211" t="s">
        <v>2469</v>
      </c>
      <c r="E48" s="211" t="s">
        <v>2471</v>
      </c>
      <c r="F48" s="211">
        <v>5</v>
      </c>
      <c r="G48" s="211" t="s">
        <v>2469</v>
      </c>
      <c r="H48" s="211" t="s">
        <v>2471</v>
      </c>
      <c r="I48" s="211" t="s">
        <v>2469</v>
      </c>
      <c r="J48" s="211">
        <v>5</v>
      </c>
      <c r="L48" s="211">
        <v>40.5</v>
      </c>
      <c r="N48" s="209">
        <f t="shared" si="0"/>
        <v>4</v>
      </c>
      <c r="O48" s="209">
        <f t="shared" si="1"/>
        <v>7</v>
      </c>
      <c r="P48" s="209">
        <f t="shared" si="2"/>
        <v>8.5</v>
      </c>
      <c r="Q48" s="209">
        <f t="shared" si="3"/>
        <v>5.5</v>
      </c>
      <c r="R48" s="209">
        <f t="shared" si="4"/>
        <v>7</v>
      </c>
      <c r="S48" s="209">
        <f t="shared" si="5"/>
        <v>8.5</v>
      </c>
      <c r="T48" s="209">
        <f t="shared" si="6"/>
        <v>7</v>
      </c>
      <c r="U48" s="209">
        <f t="shared" si="7"/>
        <v>5.5</v>
      </c>
    </row>
    <row r="49" spans="1:21">
      <c r="A49" s="424" t="s">
        <v>1344</v>
      </c>
      <c r="B49" s="211" t="s">
        <v>106</v>
      </c>
      <c r="C49" s="211">
        <v>5</v>
      </c>
      <c r="D49" s="211" t="s">
        <v>2469</v>
      </c>
      <c r="E49" s="211" t="s">
        <v>2469</v>
      </c>
      <c r="F49" s="211" t="s">
        <v>2471</v>
      </c>
      <c r="G49" s="211">
        <v>5</v>
      </c>
      <c r="H49" s="211" t="s">
        <v>2469</v>
      </c>
      <c r="I49" s="211">
        <v>5</v>
      </c>
      <c r="J49" s="211">
        <v>5</v>
      </c>
      <c r="L49" s="211">
        <v>40.5</v>
      </c>
      <c r="N49" s="209">
        <f t="shared" si="0"/>
        <v>5.5</v>
      </c>
      <c r="O49" s="209">
        <f t="shared" si="1"/>
        <v>7</v>
      </c>
      <c r="P49" s="209">
        <f t="shared" si="2"/>
        <v>7</v>
      </c>
      <c r="Q49" s="209">
        <f t="shared" si="3"/>
        <v>8.5</v>
      </c>
      <c r="R49" s="209">
        <f t="shared" si="4"/>
        <v>5.5</v>
      </c>
      <c r="S49" s="209">
        <f t="shared" si="5"/>
        <v>7</v>
      </c>
      <c r="T49" s="209">
        <f t="shared" si="6"/>
        <v>5.5</v>
      </c>
      <c r="U49" s="209">
        <f t="shared" si="7"/>
        <v>5.5</v>
      </c>
    </row>
    <row r="50" spans="1:21">
      <c r="A50" s="424" t="s">
        <v>1347</v>
      </c>
      <c r="B50" s="211" t="s">
        <v>109</v>
      </c>
      <c r="C50" s="211" t="s">
        <v>2469</v>
      </c>
      <c r="D50" s="211">
        <v>3</v>
      </c>
      <c r="E50" s="211">
        <v>4</v>
      </c>
      <c r="F50" s="211">
        <v>4</v>
      </c>
      <c r="H50" s="211">
        <v>5</v>
      </c>
      <c r="I50" s="211">
        <v>4</v>
      </c>
      <c r="L50" s="211">
        <v>24.5</v>
      </c>
      <c r="N50" s="209">
        <f t="shared" si="0"/>
        <v>7</v>
      </c>
      <c r="O50" s="209">
        <f t="shared" si="1"/>
        <v>3</v>
      </c>
      <c r="P50" s="209">
        <f t="shared" si="2"/>
        <v>4</v>
      </c>
      <c r="Q50" s="209">
        <f t="shared" si="3"/>
        <v>4</v>
      </c>
      <c r="R50" s="209" t="str">
        <f t="shared" si="4"/>
        <v>/</v>
      </c>
      <c r="S50" s="209">
        <f t="shared" si="5"/>
        <v>5.5</v>
      </c>
      <c r="T50" s="209">
        <f t="shared" si="6"/>
        <v>4</v>
      </c>
      <c r="U50" s="209" t="str">
        <f t="shared" si="7"/>
        <v>/</v>
      </c>
    </row>
    <row r="51" spans="1:21">
      <c r="A51" s="424" t="s">
        <v>1347</v>
      </c>
      <c r="B51" s="211" t="s">
        <v>2470</v>
      </c>
      <c r="C51" s="211">
        <v>4</v>
      </c>
      <c r="D51" s="211">
        <v>4</v>
      </c>
      <c r="E51" s="211">
        <v>5</v>
      </c>
      <c r="F51" s="211">
        <v>3</v>
      </c>
      <c r="G51" s="211">
        <v>4</v>
      </c>
      <c r="H51" s="211">
        <v>5</v>
      </c>
      <c r="I51" s="211">
        <v>4</v>
      </c>
      <c r="J51" s="211">
        <v>4</v>
      </c>
      <c r="L51" s="211">
        <v>23</v>
      </c>
      <c r="N51" s="209">
        <f t="shared" si="0"/>
        <v>4</v>
      </c>
      <c r="O51" s="209">
        <f t="shared" si="1"/>
        <v>4</v>
      </c>
      <c r="P51" s="209">
        <f t="shared" si="2"/>
        <v>5.5</v>
      </c>
      <c r="Q51" s="209">
        <f t="shared" si="3"/>
        <v>3</v>
      </c>
      <c r="R51" s="209">
        <f t="shared" si="4"/>
        <v>4</v>
      </c>
      <c r="S51" s="209">
        <f t="shared" si="5"/>
        <v>5.5</v>
      </c>
      <c r="T51" s="209">
        <f t="shared" si="6"/>
        <v>4</v>
      </c>
      <c r="U51" s="209">
        <f t="shared" si="7"/>
        <v>4</v>
      </c>
    </row>
    <row r="52" spans="1:21">
      <c r="A52" s="424" t="s">
        <v>1347</v>
      </c>
      <c r="B52" s="211" t="s">
        <v>106</v>
      </c>
      <c r="C52" s="211">
        <v>4</v>
      </c>
      <c r="D52" s="211">
        <v>5</v>
      </c>
      <c r="E52" s="211">
        <v>4</v>
      </c>
      <c r="F52" s="211">
        <v>4</v>
      </c>
      <c r="H52" s="211">
        <v>5</v>
      </c>
      <c r="I52" s="211">
        <v>4</v>
      </c>
      <c r="L52" s="211">
        <v>23</v>
      </c>
      <c r="N52" s="209">
        <f t="shared" si="0"/>
        <v>4</v>
      </c>
      <c r="O52" s="209">
        <f t="shared" si="1"/>
        <v>5.5</v>
      </c>
      <c r="P52" s="209">
        <f t="shared" si="2"/>
        <v>4</v>
      </c>
      <c r="Q52" s="209">
        <f t="shared" si="3"/>
        <v>4</v>
      </c>
      <c r="R52" s="209" t="str">
        <f t="shared" si="4"/>
        <v>/</v>
      </c>
      <c r="S52" s="209">
        <f t="shared" si="5"/>
        <v>5.5</v>
      </c>
      <c r="T52" s="209">
        <f t="shared" si="6"/>
        <v>4</v>
      </c>
      <c r="U52" s="209" t="str">
        <f t="shared" si="7"/>
        <v>/</v>
      </c>
    </row>
    <row r="53" spans="1:21">
      <c r="A53" s="424" t="s">
        <v>1350</v>
      </c>
      <c r="B53" s="211" t="s">
        <v>109</v>
      </c>
      <c r="C53" s="211">
        <v>5</v>
      </c>
      <c r="D53" s="211">
        <v>5</v>
      </c>
      <c r="E53" s="211" t="s">
        <v>2469</v>
      </c>
      <c r="F53" s="211">
        <v>5</v>
      </c>
      <c r="G53" s="211" t="s">
        <v>2469</v>
      </c>
      <c r="H53" s="211" t="s">
        <v>2469</v>
      </c>
      <c r="I53" s="211">
        <v>5</v>
      </c>
      <c r="L53" s="211">
        <v>32</v>
      </c>
      <c r="N53" s="209">
        <f t="shared" si="0"/>
        <v>5.5</v>
      </c>
      <c r="O53" s="209">
        <f t="shared" si="1"/>
        <v>5.5</v>
      </c>
      <c r="P53" s="209">
        <f t="shared" si="2"/>
        <v>7</v>
      </c>
      <c r="Q53" s="209">
        <f t="shared" si="3"/>
        <v>5.5</v>
      </c>
      <c r="R53" s="209">
        <f t="shared" si="4"/>
        <v>7</v>
      </c>
      <c r="S53" s="209">
        <f t="shared" si="5"/>
        <v>7</v>
      </c>
      <c r="T53" s="209">
        <f t="shared" si="6"/>
        <v>5.5</v>
      </c>
      <c r="U53" s="209" t="str">
        <f t="shared" si="7"/>
        <v>/</v>
      </c>
    </row>
    <row r="54" spans="1:21">
      <c r="A54" s="424" t="s">
        <v>1350</v>
      </c>
      <c r="B54" s="211" t="s">
        <v>2470</v>
      </c>
      <c r="C54" s="211">
        <v>4</v>
      </c>
      <c r="D54" s="211">
        <v>5</v>
      </c>
      <c r="E54" s="211" t="s">
        <v>2471</v>
      </c>
      <c r="F54" s="211">
        <v>4</v>
      </c>
      <c r="G54" s="211" t="s">
        <v>2469</v>
      </c>
      <c r="H54" s="211">
        <v>5</v>
      </c>
      <c r="I54" s="211">
        <v>5</v>
      </c>
      <c r="J54" s="211">
        <v>4</v>
      </c>
      <c r="L54" s="211">
        <v>32</v>
      </c>
      <c r="N54" s="209">
        <f t="shared" si="0"/>
        <v>4</v>
      </c>
      <c r="O54" s="209">
        <f t="shared" si="1"/>
        <v>5.5</v>
      </c>
      <c r="P54" s="209">
        <f t="shared" si="2"/>
        <v>8.5</v>
      </c>
      <c r="Q54" s="209">
        <f t="shared" si="3"/>
        <v>4</v>
      </c>
      <c r="R54" s="209">
        <f t="shared" si="4"/>
        <v>7</v>
      </c>
      <c r="S54" s="209">
        <f t="shared" si="5"/>
        <v>5.5</v>
      </c>
      <c r="T54" s="209">
        <f t="shared" si="6"/>
        <v>5.5</v>
      </c>
      <c r="U54" s="209">
        <f t="shared" si="7"/>
        <v>4</v>
      </c>
    </row>
    <row r="55" spans="1:21">
      <c r="A55" s="424" t="s">
        <v>1350</v>
      </c>
      <c r="B55" s="211" t="s">
        <v>106</v>
      </c>
      <c r="C55" s="211">
        <v>4</v>
      </c>
      <c r="D55" s="211">
        <v>4</v>
      </c>
      <c r="E55" s="211" t="s">
        <v>2469</v>
      </c>
      <c r="F55" s="211">
        <v>4</v>
      </c>
      <c r="G55" s="211">
        <v>5</v>
      </c>
      <c r="H55" s="211" t="s">
        <v>2469</v>
      </c>
      <c r="I55" s="211" t="s">
        <v>2469</v>
      </c>
      <c r="L55" s="211">
        <v>30.5</v>
      </c>
      <c r="N55" s="209">
        <f t="shared" si="0"/>
        <v>4</v>
      </c>
      <c r="O55" s="209">
        <f t="shared" si="1"/>
        <v>4</v>
      </c>
      <c r="P55" s="209">
        <f t="shared" si="2"/>
        <v>7</v>
      </c>
      <c r="Q55" s="209">
        <f t="shared" si="3"/>
        <v>4</v>
      </c>
      <c r="R55" s="209">
        <f t="shared" si="4"/>
        <v>5.5</v>
      </c>
      <c r="S55" s="209">
        <f t="shared" si="5"/>
        <v>7</v>
      </c>
      <c r="T55" s="209">
        <f t="shared" si="6"/>
        <v>7</v>
      </c>
      <c r="U55" s="209" t="str">
        <f t="shared" si="7"/>
        <v>/</v>
      </c>
    </row>
    <row r="56" spans="1:21">
      <c r="A56" s="424" t="s">
        <v>1356</v>
      </c>
      <c r="B56" s="211" t="s">
        <v>109</v>
      </c>
      <c r="C56" s="211">
        <v>4</v>
      </c>
      <c r="D56" s="211">
        <v>4</v>
      </c>
      <c r="E56" s="211">
        <v>5</v>
      </c>
      <c r="F56" s="211">
        <v>4</v>
      </c>
      <c r="H56" s="211" t="s">
        <v>2469</v>
      </c>
      <c r="I56" s="211" t="s">
        <v>2469</v>
      </c>
      <c r="L56" s="211">
        <v>27.5</v>
      </c>
      <c r="N56" s="209">
        <f t="shared" si="0"/>
        <v>4</v>
      </c>
      <c r="O56" s="209">
        <f t="shared" si="1"/>
        <v>4</v>
      </c>
      <c r="P56" s="209">
        <f t="shared" si="2"/>
        <v>5.5</v>
      </c>
      <c r="Q56" s="209">
        <f t="shared" si="3"/>
        <v>4</v>
      </c>
      <c r="R56" s="209" t="str">
        <f t="shared" si="4"/>
        <v>/</v>
      </c>
      <c r="S56" s="209">
        <f t="shared" si="5"/>
        <v>7</v>
      </c>
      <c r="T56" s="209">
        <f t="shared" si="6"/>
        <v>7</v>
      </c>
      <c r="U56" s="209" t="str">
        <f t="shared" si="7"/>
        <v>/</v>
      </c>
    </row>
    <row r="57" spans="1:21">
      <c r="A57" s="424" t="s">
        <v>1356</v>
      </c>
      <c r="B57" s="211" t="s">
        <v>2470</v>
      </c>
      <c r="C57" s="211">
        <v>3</v>
      </c>
      <c r="D57" s="211">
        <v>3</v>
      </c>
      <c r="E57" s="211">
        <v>5</v>
      </c>
      <c r="F57" s="211">
        <v>3</v>
      </c>
      <c r="G57" s="211" t="s">
        <v>2469</v>
      </c>
      <c r="H57" s="211">
        <v>5</v>
      </c>
      <c r="I57" s="211">
        <v>4</v>
      </c>
      <c r="J57" s="211">
        <v>4</v>
      </c>
      <c r="L57" s="211">
        <v>26</v>
      </c>
      <c r="N57" s="209">
        <f t="shared" si="0"/>
        <v>3</v>
      </c>
      <c r="O57" s="209">
        <f t="shared" si="1"/>
        <v>3</v>
      </c>
      <c r="P57" s="209">
        <f t="shared" si="2"/>
        <v>5.5</v>
      </c>
      <c r="Q57" s="209">
        <f t="shared" si="3"/>
        <v>3</v>
      </c>
      <c r="R57" s="209">
        <f t="shared" si="4"/>
        <v>7</v>
      </c>
      <c r="S57" s="209">
        <f t="shared" si="5"/>
        <v>5.5</v>
      </c>
      <c r="T57" s="209">
        <f t="shared" si="6"/>
        <v>4</v>
      </c>
      <c r="U57" s="209">
        <f t="shared" si="7"/>
        <v>4</v>
      </c>
    </row>
    <row r="58" spans="1:21">
      <c r="A58" s="424" t="s">
        <v>1356</v>
      </c>
      <c r="B58" s="211" t="s">
        <v>106</v>
      </c>
      <c r="C58" s="211">
        <v>4</v>
      </c>
      <c r="D58" s="211">
        <v>4</v>
      </c>
      <c r="E58" s="211">
        <v>4</v>
      </c>
      <c r="F58" s="211">
        <v>4</v>
      </c>
      <c r="H58" s="211" t="s">
        <v>2469</v>
      </c>
      <c r="I58" s="211">
        <v>5</v>
      </c>
      <c r="J58" s="211">
        <v>4</v>
      </c>
      <c r="L58" s="211">
        <v>24.5</v>
      </c>
      <c r="N58" s="209">
        <f t="shared" si="0"/>
        <v>4</v>
      </c>
      <c r="O58" s="209">
        <f t="shared" si="1"/>
        <v>4</v>
      </c>
      <c r="P58" s="209">
        <f t="shared" si="2"/>
        <v>4</v>
      </c>
      <c r="Q58" s="209">
        <f t="shared" si="3"/>
        <v>4</v>
      </c>
      <c r="R58" s="209" t="str">
        <f t="shared" si="4"/>
        <v>/</v>
      </c>
      <c r="S58" s="209">
        <f t="shared" si="5"/>
        <v>7</v>
      </c>
      <c r="T58" s="209">
        <f t="shared" si="6"/>
        <v>5.5</v>
      </c>
      <c r="U58" s="209">
        <f t="shared" si="7"/>
        <v>4</v>
      </c>
    </row>
    <row r="59" spans="1:21">
      <c r="A59" s="424" t="s">
        <v>1359</v>
      </c>
      <c r="B59" s="211" t="s">
        <v>109</v>
      </c>
      <c r="C59" s="211">
        <v>3</v>
      </c>
      <c r="D59" s="211" t="s">
        <v>2469</v>
      </c>
      <c r="E59" s="211" t="s">
        <v>2469</v>
      </c>
      <c r="F59" s="211">
        <v>4</v>
      </c>
      <c r="G59" s="211" t="s">
        <v>2469</v>
      </c>
      <c r="H59" s="211" t="s">
        <v>2471</v>
      </c>
      <c r="I59" s="211" t="s">
        <v>2469</v>
      </c>
      <c r="J59" s="211">
        <v>4</v>
      </c>
      <c r="L59" s="211">
        <v>54</v>
      </c>
      <c r="N59" s="209">
        <f t="shared" si="0"/>
        <v>3</v>
      </c>
      <c r="O59" s="209">
        <f t="shared" si="1"/>
        <v>7</v>
      </c>
      <c r="P59" s="209">
        <f t="shared" si="2"/>
        <v>7</v>
      </c>
      <c r="Q59" s="209">
        <f t="shared" si="3"/>
        <v>4</v>
      </c>
      <c r="R59" s="209">
        <f t="shared" si="4"/>
        <v>7</v>
      </c>
      <c r="S59" s="209">
        <f t="shared" si="5"/>
        <v>8.5</v>
      </c>
      <c r="T59" s="209">
        <f t="shared" si="6"/>
        <v>7</v>
      </c>
      <c r="U59" s="209">
        <f t="shared" si="7"/>
        <v>4</v>
      </c>
    </row>
    <row r="60" spans="1:21">
      <c r="A60" s="424" t="s">
        <v>1359</v>
      </c>
      <c r="B60" s="211" t="s">
        <v>2470</v>
      </c>
      <c r="C60" s="211">
        <v>5</v>
      </c>
      <c r="D60" s="211" t="s">
        <v>2469</v>
      </c>
      <c r="E60" s="211" t="s">
        <v>2469</v>
      </c>
      <c r="F60" s="211">
        <v>4</v>
      </c>
      <c r="G60" s="211" t="s">
        <v>2469</v>
      </c>
      <c r="H60" s="211" t="s">
        <v>2469</v>
      </c>
      <c r="I60" s="211" t="s">
        <v>2469</v>
      </c>
      <c r="L60" s="211">
        <v>52.5</v>
      </c>
      <c r="N60" s="209">
        <f t="shared" si="0"/>
        <v>5.5</v>
      </c>
      <c r="O60" s="209">
        <f t="shared" si="1"/>
        <v>7</v>
      </c>
      <c r="P60" s="209">
        <f t="shared" si="2"/>
        <v>7</v>
      </c>
      <c r="Q60" s="209">
        <f t="shared" si="3"/>
        <v>4</v>
      </c>
      <c r="R60" s="209">
        <f t="shared" si="4"/>
        <v>7</v>
      </c>
      <c r="S60" s="209">
        <f t="shared" si="5"/>
        <v>7</v>
      </c>
      <c r="T60" s="209">
        <f t="shared" si="6"/>
        <v>7</v>
      </c>
      <c r="U60" s="209" t="str">
        <f t="shared" si="7"/>
        <v>/</v>
      </c>
    </row>
    <row r="61" spans="1:21">
      <c r="A61" s="424" t="s">
        <v>1359</v>
      </c>
      <c r="B61" s="211" t="s">
        <v>106</v>
      </c>
      <c r="C61" s="211">
        <v>5</v>
      </c>
      <c r="D61" s="211" t="s">
        <v>2469</v>
      </c>
      <c r="E61" s="211" t="s">
        <v>2469</v>
      </c>
      <c r="F61" s="211">
        <v>4</v>
      </c>
      <c r="G61" s="211">
        <v>4</v>
      </c>
      <c r="H61" s="211" t="s">
        <v>2469</v>
      </c>
      <c r="I61" s="211" t="s">
        <v>2469</v>
      </c>
      <c r="J61" s="211">
        <v>5</v>
      </c>
      <c r="L61" s="211">
        <v>51</v>
      </c>
      <c r="N61" s="209">
        <f t="shared" si="0"/>
        <v>5.5</v>
      </c>
      <c r="O61" s="209">
        <f t="shared" si="1"/>
        <v>7</v>
      </c>
      <c r="P61" s="209">
        <f t="shared" si="2"/>
        <v>7</v>
      </c>
      <c r="Q61" s="209">
        <f t="shared" si="3"/>
        <v>4</v>
      </c>
      <c r="R61" s="209">
        <f t="shared" si="4"/>
        <v>4</v>
      </c>
      <c r="S61" s="209">
        <f t="shared" si="5"/>
        <v>7</v>
      </c>
      <c r="T61" s="209">
        <f t="shared" si="6"/>
        <v>7</v>
      </c>
      <c r="U61" s="209">
        <f t="shared" si="7"/>
        <v>5.5</v>
      </c>
    </row>
    <row r="62" spans="1:21">
      <c r="A62" s="424" t="s">
        <v>1362</v>
      </c>
      <c r="B62" s="211" t="s">
        <v>109</v>
      </c>
      <c r="C62" s="211">
        <v>5</v>
      </c>
      <c r="D62" s="211" t="s">
        <v>2469</v>
      </c>
      <c r="E62" s="211" t="s">
        <v>2471</v>
      </c>
      <c r="F62" s="211">
        <v>4</v>
      </c>
      <c r="G62" s="211" t="s">
        <v>2469</v>
      </c>
      <c r="H62" s="211" t="s">
        <v>2469</v>
      </c>
      <c r="I62" s="211">
        <v>3</v>
      </c>
      <c r="L62" s="211">
        <v>35</v>
      </c>
      <c r="N62" s="209">
        <f t="shared" si="0"/>
        <v>5.5</v>
      </c>
      <c r="O62" s="209">
        <f t="shared" si="1"/>
        <v>7</v>
      </c>
      <c r="P62" s="209">
        <f t="shared" si="2"/>
        <v>8.5</v>
      </c>
      <c r="Q62" s="209">
        <f t="shared" si="3"/>
        <v>4</v>
      </c>
      <c r="R62" s="209">
        <f t="shared" si="4"/>
        <v>7</v>
      </c>
      <c r="S62" s="209">
        <f t="shared" si="5"/>
        <v>7</v>
      </c>
      <c r="T62" s="209">
        <f t="shared" si="6"/>
        <v>3</v>
      </c>
      <c r="U62" s="209" t="str">
        <f t="shared" si="7"/>
        <v>/</v>
      </c>
    </row>
    <row r="63" spans="1:21">
      <c r="A63" s="424" t="s">
        <v>1362</v>
      </c>
      <c r="B63" s="211" t="s">
        <v>2470</v>
      </c>
      <c r="C63" s="211" t="s">
        <v>2469</v>
      </c>
      <c r="D63" s="211">
        <v>5</v>
      </c>
      <c r="E63" s="211">
        <v>5</v>
      </c>
      <c r="F63" s="211" t="s">
        <v>2469</v>
      </c>
      <c r="H63" s="211" t="s">
        <v>2471</v>
      </c>
      <c r="I63" s="211">
        <v>3</v>
      </c>
      <c r="J63" s="211">
        <v>3</v>
      </c>
      <c r="L63" s="211">
        <v>33.5</v>
      </c>
      <c r="N63" s="209">
        <f t="shared" si="0"/>
        <v>7</v>
      </c>
      <c r="O63" s="209">
        <f t="shared" si="1"/>
        <v>5.5</v>
      </c>
      <c r="P63" s="209">
        <f t="shared" si="2"/>
        <v>5.5</v>
      </c>
      <c r="Q63" s="209">
        <f t="shared" si="3"/>
        <v>7</v>
      </c>
      <c r="R63" s="209" t="str">
        <f t="shared" si="4"/>
        <v>/</v>
      </c>
      <c r="S63" s="209">
        <f t="shared" si="5"/>
        <v>8.5</v>
      </c>
      <c r="T63" s="209">
        <f t="shared" si="6"/>
        <v>3</v>
      </c>
      <c r="U63" s="209">
        <f t="shared" si="7"/>
        <v>3</v>
      </c>
    </row>
    <row r="64" spans="1:21">
      <c r="A64" s="424" t="s">
        <v>1362</v>
      </c>
      <c r="B64" s="211" t="s">
        <v>106</v>
      </c>
      <c r="C64" s="211" t="s">
        <v>2469</v>
      </c>
      <c r="D64" s="211">
        <v>5</v>
      </c>
      <c r="E64" s="211" t="s">
        <v>2469</v>
      </c>
      <c r="F64" s="211">
        <v>5</v>
      </c>
      <c r="H64" s="211" t="s">
        <v>2469</v>
      </c>
      <c r="I64" s="211">
        <v>5</v>
      </c>
      <c r="J64" s="211">
        <v>4</v>
      </c>
      <c r="L64" s="211">
        <v>32</v>
      </c>
      <c r="N64" s="209">
        <f t="shared" si="0"/>
        <v>7</v>
      </c>
      <c r="O64" s="209">
        <f t="shared" si="1"/>
        <v>5.5</v>
      </c>
      <c r="P64" s="209">
        <f t="shared" si="2"/>
        <v>7</v>
      </c>
      <c r="Q64" s="209">
        <f t="shared" si="3"/>
        <v>5.5</v>
      </c>
      <c r="R64" s="209" t="str">
        <f t="shared" si="4"/>
        <v>/</v>
      </c>
      <c r="S64" s="209">
        <f t="shared" si="5"/>
        <v>7</v>
      </c>
      <c r="T64" s="209">
        <f t="shared" si="6"/>
        <v>5.5</v>
      </c>
      <c r="U64" s="209">
        <f t="shared" si="7"/>
        <v>4</v>
      </c>
    </row>
    <row r="65" spans="1:21">
      <c r="A65" s="424" t="s">
        <v>1367</v>
      </c>
      <c r="B65" s="211" t="s">
        <v>109</v>
      </c>
      <c r="C65" s="211" t="s">
        <v>2471</v>
      </c>
      <c r="D65" s="211" t="s">
        <v>2471</v>
      </c>
      <c r="E65" s="211">
        <v>4</v>
      </c>
      <c r="F65" s="211">
        <v>5</v>
      </c>
      <c r="H65" s="211">
        <v>5</v>
      </c>
      <c r="I65" s="211">
        <v>4</v>
      </c>
      <c r="L65" s="211">
        <v>54.25</v>
      </c>
      <c r="N65" s="209">
        <f t="shared" si="0"/>
        <v>8.5</v>
      </c>
      <c r="O65" s="209">
        <f t="shared" si="1"/>
        <v>8.5</v>
      </c>
      <c r="P65" s="209">
        <f t="shared" si="2"/>
        <v>4</v>
      </c>
      <c r="Q65" s="209">
        <f t="shared" si="3"/>
        <v>5.5</v>
      </c>
      <c r="R65" s="209" t="str">
        <f t="shared" si="4"/>
        <v>/</v>
      </c>
      <c r="S65" s="209">
        <f t="shared" si="5"/>
        <v>5.5</v>
      </c>
      <c r="T65" s="209">
        <f t="shared" si="6"/>
        <v>4</v>
      </c>
      <c r="U65" s="209" t="str">
        <f t="shared" si="7"/>
        <v>/</v>
      </c>
    </row>
    <row r="66" spans="1:21">
      <c r="A66" s="424" t="s">
        <v>1367</v>
      </c>
      <c r="B66" s="211" t="s">
        <v>2470</v>
      </c>
      <c r="C66" s="211" t="s">
        <v>2471</v>
      </c>
      <c r="D66" s="211">
        <v>5</v>
      </c>
      <c r="E66" s="211">
        <v>4</v>
      </c>
      <c r="F66" s="211">
        <v>4</v>
      </c>
      <c r="H66" s="211" t="s">
        <v>2469</v>
      </c>
      <c r="I66" s="211" t="s">
        <v>2469</v>
      </c>
      <c r="J66" s="211" t="s">
        <v>2469</v>
      </c>
      <c r="L66" s="211">
        <v>49.75</v>
      </c>
      <c r="N66" s="209">
        <f t="shared" ref="N66:N129" si="8">IF(C66=0,"/",IF(C66=5,5.5,IF(C66="5*",7,IF(C66="5**",8.5,C66))))</f>
        <v>8.5</v>
      </c>
      <c r="O66" s="209">
        <f t="shared" ref="O66:O129" si="9">IF(D66=0,"/",IF(D66=5,5.5,IF(D66="5*",7,IF(D66="5**",8.5,D66))))</f>
        <v>5.5</v>
      </c>
      <c r="P66" s="209">
        <f t="shared" ref="P66:P129" si="10">IF(E66=0,"/",IF(E66=5,5.5,IF(E66="5*",7,IF(E66="5**",8.5,E66))))</f>
        <v>4</v>
      </c>
      <c r="Q66" s="209">
        <f t="shared" ref="Q66:Q129" si="11">IF(F66=0,"/",IF(F66=5,5.5,IF(F66="5*",7,IF(F66="5**",8.5,F66))))</f>
        <v>4</v>
      </c>
      <c r="R66" s="209" t="str">
        <f t="shared" ref="R66:R129" si="12">IF(G66=0,"/",IF(G66=5,5.5,IF(G66="5*",7,IF(G66="5**",8.5,G66))))</f>
        <v>/</v>
      </c>
      <c r="S66" s="209">
        <f t="shared" ref="S66:S129" si="13">IF(H66=0,"/",IF(H66=5,5.5,IF(H66="5*",7,IF(H66="5**",8.5,H66))))</f>
        <v>7</v>
      </c>
      <c r="T66" s="209">
        <f t="shared" ref="T66:T129" si="14">IF(I66=0,"/",IF(I66=5,5.5,IF(I66="5*",7,IF(I66="5**",8.5,I66))))</f>
        <v>7</v>
      </c>
      <c r="U66" s="209">
        <f t="shared" ref="U66:U129" si="15">IF(J66=0,"/",IF(J66=5,5.5,IF(J66="5*",7,IF(J66="5**",8.5,J66))))</f>
        <v>7</v>
      </c>
    </row>
    <row r="67" spans="1:21">
      <c r="A67" s="424" t="s">
        <v>1367</v>
      </c>
      <c r="B67" s="211" t="s">
        <v>106</v>
      </c>
      <c r="C67" s="211" t="s">
        <v>2469</v>
      </c>
      <c r="D67" s="211" t="s">
        <v>2469</v>
      </c>
      <c r="E67" s="211">
        <v>5</v>
      </c>
      <c r="F67" s="211">
        <v>4</v>
      </c>
      <c r="H67" s="211" t="s">
        <v>2469</v>
      </c>
      <c r="I67" s="211">
        <v>5</v>
      </c>
      <c r="L67" s="211">
        <v>50.5</v>
      </c>
      <c r="N67" s="209">
        <f t="shared" si="8"/>
        <v>7</v>
      </c>
      <c r="O67" s="209">
        <f t="shared" si="9"/>
        <v>7</v>
      </c>
      <c r="P67" s="209">
        <f t="shared" si="10"/>
        <v>5.5</v>
      </c>
      <c r="Q67" s="209">
        <f t="shared" si="11"/>
        <v>4</v>
      </c>
      <c r="R67" s="209" t="str">
        <f t="shared" si="12"/>
        <v>/</v>
      </c>
      <c r="S67" s="209">
        <f t="shared" si="13"/>
        <v>7</v>
      </c>
      <c r="T67" s="209">
        <f t="shared" si="14"/>
        <v>5.5</v>
      </c>
      <c r="U67" s="209" t="str">
        <f t="shared" si="15"/>
        <v>/</v>
      </c>
    </row>
    <row r="68" spans="1:21">
      <c r="A68" s="424" t="s">
        <v>1372</v>
      </c>
      <c r="B68" s="211" t="s">
        <v>109</v>
      </c>
      <c r="C68" s="211" t="s">
        <v>2469</v>
      </c>
      <c r="D68" s="211">
        <v>5</v>
      </c>
      <c r="E68" s="211" t="s">
        <v>2471</v>
      </c>
      <c r="F68" s="211" t="s">
        <v>2471</v>
      </c>
      <c r="G68" s="211" t="s">
        <v>2469</v>
      </c>
      <c r="H68" s="211" t="s">
        <v>2471</v>
      </c>
      <c r="I68" s="211" t="s">
        <v>2471</v>
      </c>
      <c r="J68" s="211" t="s">
        <v>2471</v>
      </c>
      <c r="L68" s="211">
        <v>57.75</v>
      </c>
      <c r="N68" s="209">
        <f t="shared" si="8"/>
        <v>7</v>
      </c>
      <c r="O68" s="209">
        <f t="shared" si="9"/>
        <v>5.5</v>
      </c>
      <c r="P68" s="209">
        <f t="shared" si="10"/>
        <v>8.5</v>
      </c>
      <c r="Q68" s="209">
        <f t="shared" si="11"/>
        <v>8.5</v>
      </c>
      <c r="R68" s="209">
        <f t="shared" si="12"/>
        <v>7</v>
      </c>
      <c r="S68" s="209">
        <f t="shared" si="13"/>
        <v>8.5</v>
      </c>
      <c r="T68" s="209">
        <f t="shared" si="14"/>
        <v>8.5</v>
      </c>
      <c r="U68" s="209">
        <f t="shared" si="15"/>
        <v>8.5</v>
      </c>
    </row>
    <row r="69" spans="1:21">
      <c r="A69" s="424" t="s">
        <v>1372</v>
      </c>
      <c r="B69" s="211" t="s">
        <v>2470</v>
      </c>
      <c r="C69" s="211">
        <v>4</v>
      </c>
      <c r="D69" s="211">
        <v>5</v>
      </c>
      <c r="E69" s="211" t="s">
        <v>2471</v>
      </c>
      <c r="F69" s="211">
        <v>4</v>
      </c>
      <c r="G69" s="211" t="s">
        <v>2471</v>
      </c>
      <c r="H69" s="211" t="s">
        <v>2471</v>
      </c>
      <c r="I69" s="211" t="s">
        <v>2469</v>
      </c>
      <c r="J69" s="211" t="s">
        <v>2469</v>
      </c>
      <c r="L69" s="211">
        <v>56.25</v>
      </c>
      <c r="N69" s="209">
        <f t="shared" si="8"/>
        <v>4</v>
      </c>
      <c r="O69" s="209">
        <f t="shared" si="9"/>
        <v>5.5</v>
      </c>
      <c r="P69" s="209">
        <f t="shared" si="10"/>
        <v>8.5</v>
      </c>
      <c r="Q69" s="209">
        <f t="shared" si="11"/>
        <v>4</v>
      </c>
      <c r="R69" s="209">
        <f t="shared" si="12"/>
        <v>8.5</v>
      </c>
      <c r="S69" s="209">
        <f t="shared" si="13"/>
        <v>8.5</v>
      </c>
      <c r="T69" s="209">
        <f t="shared" si="14"/>
        <v>7</v>
      </c>
      <c r="U69" s="209">
        <f t="shared" si="15"/>
        <v>7</v>
      </c>
    </row>
    <row r="70" spans="1:21">
      <c r="A70" s="424" t="s">
        <v>1372</v>
      </c>
      <c r="B70" s="211" t="s">
        <v>106</v>
      </c>
      <c r="C70" s="211" t="s">
        <v>2469</v>
      </c>
      <c r="D70" s="211">
        <v>5</v>
      </c>
      <c r="E70" s="211" t="s">
        <v>2471</v>
      </c>
      <c r="F70" s="211">
        <v>4</v>
      </c>
      <c r="G70" s="211" t="s">
        <v>2471</v>
      </c>
      <c r="H70" s="211" t="s">
        <v>2469</v>
      </c>
      <c r="I70" s="211" t="s">
        <v>2469</v>
      </c>
      <c r="J70" s="211">
        <v>5</v>
      </c>
      <c r="L70" s="211">
        <v>54.75</v>
      </c>
      <c r="N70" s="209">
        <f t="shared" si="8"/>
        <v>7</v>
      </c>
      <c r="O70" s="209">
        <f t="shared" si="9"/>
        <v>5.5</v>
      </c>
      <c r="P70" s="209">
        <f t="shared" si="10"/>
        <v>8.5</v>
      </c>
      <c r="Q70" s="209">
        <f t="shared" si="11"/>
        <v>4</v>
      </c>
      <c r="R70" s="209">
        <f t="shared" si="12"/>
        <v>8.5</v>
      </c>
      <c r="S70" s="209">
        <f t="shared" si="13"/>
        <v>7</v>
      </c>
      <c r="T70" s="209">
        <f t="shared" si="14"/>
        <v>7</v>
      </c>
      <c r="U70" s="209">
        <f t="shared" si="15"/>
        <v>5.5</v>
      </c>
    </row>
    <row r="71" spans="1:21">
      <c r="A71" s="424" t="s">
        <v>1498</v>
      </c>
      <c r="B71" s="211" t="s">
        <v>109</v>
      </c>
      <c r="C71" s="211">
        <v>4</v>
      </c>
      <c r="D71" s="211" t="s">
        <v>2469</v>
      </c>
      <c r="E71" s="211">
        <v>5</v>
      </c>
      <c r="F71" s="211">
        <v>3</v>
      </c>
      <c r="H71" s="211" t="s">
        <v>2469</v>
      </c>
      <c r="I71" s="211" t="s">
        <v>2469</v>
      </c>
      <c r="L71" s="211">
        <v>30.5</v>
      </c>
      <c r="N71" s="209">
        <f t="shared" si="8"/>
        <v>4</v>
      </c>
      <c r="O71" s="209">
        <f t="shared" si="9"/>
        <v>7</v>
      </c>
      <c r="P71" s="209">
        <f t="shared" si="10"/>
        <v>5.5</v>
      </c>
      <c r="Q71" s="209">
        <f t="shared" si="11"/>
        <v>3</v>
      </c>
      <c r="R71" s="209" t="str">
        <f t="shared" si="12"/>
        <v>/</v>
      </c>
      <c r="S71" s="209">
        <f t="shared" si="13"/>
        <v>7</v>
      </c>
      <c r="T71" s="209">
        <f t="shared" si="14"/>
        <v>7</v>
      </c>
      <c r="U71" s="209" t="str">
        <f t="shared" si="15"/>
        <v>/</v>
      </c>
    </row>
    <row r="72" spans="1:21">
      <c r="A72" s="424" t="s">
        <v>1498</v>
      </c>
      <c r="B72" s="211" t="s">
        <v>2470</v>
      </c>
      <c r="C72" s="211">
        <v>5</v>
      </c>
      <c r="D72" s="211">
        <v>4</v>
      </c>
      <c r="E72" s="211">
        <v>5</v>
      </c>
      <c r="F72" s="211">
        <v>4</v>
      </c>
      <c r="H72" s="211" t="s">
        <v>2469</v>
      </c>
      <c r="I72" s="211">
        <v>5</v>
      </c>
      <c r="J72" s="211">
        <v>5</v>
      </c>
      <c r="L72" s="211">
        <v>29</v>
      </c>
      <c r="N72" s="209">
        <f t="shared" si="8"/>
        <v>5.5</v>
      </c>
      <c r="O72" s="209">
        <f t="shared" si="9"/>
        <v>4</v>
      </c>
      <c r="P72" s="209">
        <f t="shared" si="10"/>
        <v>5.5</v>
      </c>
      <c r="Q72" s="209">
        <f t="shared" si="11"/>
        <v>4</v>
      </c>
      <c r="R72" s="209" t="str">
        <f t="shared" si="12"/>
        <v>/</v>
      </c>
      <c r="S72" s="209">
        <f t="shared" si="13"/>
        <v>7</v>
      </c>
      <c r="T72" s="209">
        <f t="shared" si="14"/>
        <v>5.5</v>
      </c>
      <c r="U72" s="209">
        <f t="shared" si="15"/>
        <v>5.5</v>
      </c>
    </row>
    <row r="73" spans="1:21">
      <c r="A73" s="424" t="s">
        <v>1498</v>
      </c>
      <c r="B73" s="211" t="s">
        <v>106</v>
      </c>
      <c r="C73" s="211">
        <v>4</v>
      </c>
      <c r="D73" s="211">
        <v>4</v>
      </c>
      <c r="E73" s="211">
        <v>4</v>
      </c>
      <c r="F73" s="211">
        <v>5</v>
      </c>
      <c r="H73" s="211" t="s">
        <v>2471</v>
      </c>
      <c r="I73" s="211" t="s">
        <v>2469</v>
      </c>
      <c r="L73" s="211">
        <v>29</v>
      </c>
      <c r="N73" s="209">
        <f t="shared" si="8"/>
        <v>4</v>
      </c>
      <c r="O73" s="209">
        <f t="shared" si="9"/>
        <v>4</v>
      </c>
      <c r="P73" s="209">
        <f t="shared" si="10"/>
        <v>4</v>
      </c>
      <c r="Q73" s="209">
        <f t="shared" si="11"/>
        <v>5.5</v>
      </c>
      <c r="R73" s="209" t="str">
        <f t="shared" si="12"/>
        <v>/</v>
      </c>
      <c r="S73" s="209">
        <f t="shared" si="13"/>
        <v>8.5</v>
      </c>
      <c r="T73" s="209">
        <f t="shared" si="14"/>
        <v>7</v>
      </c>
      <c r="U73" s="209" t="str">
        <f t="shared" si="15"/>
        <v>/</v>
      </c>
    </row>
    <row r="74" spans="1:21">
      <c r="A74" s="424" t="s">
        <v>2473</v>
      </c>
      <c r="B74" s="211" t="s">
        <v>109</v>
      </c>
      <c r="C74" s="211">
        <v>3</v>
      </c>
      <c r="D74" s="211">
        <v>4</v>
      </c>
      <c r="E74" s="211" t="s">
        <v>2469</v>
      </c>
      <c r="F74" s="211">
        <v>4</v>
      </c>
      <c r="G74" s="211">
        <v>5</v>
      </c>
      <c r="H74" s="211">
        <v>5</v>
      </c>
      <c r="I74" s="211">
        <v>5</v>
      </c>
      <c r="L74" s="211">
        <v>31</v>
      </c>
      <c r="N74" s="209">
        <f t="shared" si="8"/>
        <v>3</v>
      </c>
      <c r="O74" s="209">
        <f t="shared" si="9"/>
        <v>4</v>
      </c>
      <c r="P74" s="209">
        <f t="shared" si="10"/>
        <v>7</v>
      </c>
      <c r="Q74" s="209">
        <f t="shared" si="11"/>
        <v>4</v>
      </c>
      <c r="R74" s="209">
        <f t="shared" si="12"/>
        <v>5.5</v>
      </c>
      <c r="S74" s="209">
        <f t="shared" si="13"/>
        <v>5.5</v>
      </c>
      <c r="T74" s="209">
        <f t="shared" si="14"/>
        <v>5.5</v>
      </c>
      <c r="U74" s="209" t="str">
        <f t="shared" si="15"/>
        <v>/</v>
      </c>
    </row>
    <row r="75" spans="1:21">
      <c r="A75" s="424" t="s">
        <v>2473</v>
      </c>
      <c r="B75" s="211" t="s">
        <v>2470</v>
      </c>
      <c r="C75" s="211">
        <v>4</v>
      </c>
      <c r="D75" s="211">
        <v>4</v>
      </c>
      <c r="E75" s="211" t="s">
        <v>2469</v>
      </c>
      <c r="F75" s="211">
        <v>5</v>
      </c>
      <c r="G75" s="211">
        <v>5</v>
      </c>
      <c r="H75" s="211">
        <v>4</v>
      </c>
      <c r="I75" s="211">
        <v>4</v>
      </c>
      <c r="L75" s="211">
        <v>29.5</v>
      </c>
      <c r="N75" s="209">
        <f t="shared" si="8"/>
        <v>4</v>
      </c>
      <c r="O75" s="209">
        <f t="shared" si="9"/>
        <v>4</v>
      </c>
      <c r="P75" s="209">
        <f t="shared" si="10"/>
        <v>7</v>
      </c>
      <c r="Q75" s="209">
        <f t="shared" si="11"/>
        <v>5.5</v>
      </c>
      <c r="R75" s="209">
        <f t="shared" si="12"/>
        <v>5.5</v>
      </c>
      <c r="S75" s="209">
        <f t="shared" si="13"/>
        <v>4</v>
      </c>
      <c r="T75" s="209">
        <f t="shared" si="14"/>
        <v>4</v>
      </c>
      <c r="U75" s="209" t="str">
        <f t="shared" si="15"/>
        <v>/</v>
      </c>
    </row>
    <row r="76" spans="1:21">
      <c r="A76" s="424" t="s">
        <v>2473</v>
      </c>
      <c r="B76" s="211" t="s">
        <v>106</v>
      </c>
      <c r="C76" s="211">
        <v>5</v>
      </c>
      <c r="D76" s="211">
        <v>5</v>
      </c>
      <c r="E76" s="211">
        <v>4</v>
      </c>
      <c r="F76" s="211">
        <v>4</v>
      </c>
      <c r="G76" s="211">
        <v>4</v>
      </c>
      <c r="H76" s="211">
        <v>4</v>
      </c>
      <c r="I76" s="211">
        <v>4</v>
      </c>
      <c r="J76" s="211">
        <v>4</v>
      </c>
      <c r="L76" s="211">
        <v>25</v>
      </c>
      <c r="N76" s="209">
        <f t="shared" si="8"/>
        <v>5.5</v>
      </c>
      <c r="O76" s="209">
        <f t="shared" si="9"/>
        <v>5.5</v>
      </c>
      <c r="P76" s="209">
        <f t="shared" si="10"/>
        <v>4</v>
      </c>
      <c r="Q76" s="209">
        <f t="shared" si="11"/>
        <v>4</v>
      </c>
      <c r="R76" s="209">
        <f t="shared" si="12"/>
        <v>4</v>
      </c>
      <c r="S76" s="209">
        <f t="shared" si="13"/>
        <v>4</v>
      </c>
      <c r="T76" s="209">
        <f t="shared" si="14"/>
        <v>4</v>
      </c>
      <c r="U76" s="209">
        <f t="shared" si="15"/>
        <v>4</v>
      </c>
    </row>
    <row r="77" spans="1:21">
      <c r="A77" s="424" t="s">
        <v>1376</v>
      </c>
      <c r="B77" s="211" t="s">
        <v>109</v>
      </c>
      <c r="C77" s="211">
        <v>5</v>
      </c>
      <c r="D77" s="211">
        <v>4</v>
      </c>
      <c r="E77" s="211" t="s">
        <v>2469</v>
      </c>
      <c r="F77" s="211">
        <v>4</v>
      </c>
      <c r="H77" s="211" t="s">
        <v>2469</v>
      </c>
      <c r="I77" s="211" t="s">
        <v>2469</v>
      </c>
      <c r="J77" s="211">
        <v>4</v>
      </c>
      <c r="L77" s="211">
        <v>30.5</v>
      </c>
      <c r="N77" s="209">
        <f t="shared" si="8"/>
        <v>5.5</v>
      </c>
      <c r="O77" s="209">
        <f t="shared" si="9"/>
        <v>4</v>
      </c>
      <c r="P77" s="209">
        <f t="shared" si="10"/>
        <v>7</v>
      </c>
      <c r="Q77" s="209">
        <f t="shared" si="11"/>
        <v>4</v>
      </c>
      <c r="R77" s="209" t="str">
        <f t="shared" si="12"/>
        <v>/</v>
      </c>
      <c r="S77" s="209">
        <f t="shared" si="13"/>
        <v>7</v>
      </c>
      <c r="T77" s="209">
        <f t="shared" si="14"/>
        <v>7</v>
      </c>
      <c r="U77" s="209">
        <f t="shared" si="15"/>
        <v>4</v>
      </c>
    </row>
    <row r="78" spans="1:21">
      <c r="A78" s="424" t="s">
        <v>1376</v>
      </c>
      <c r="B78" s="211" t="s">
        <v>2470</v>
      </c>
      <c r="C78" s="211">
        <v>4</v>
      </c>
      <c r="D78" s="211">
        <v>4</v>
      </c>
      <c r="E78" s="211">
        <v>5</v>
      </c>
      <c r="F78" s="211">
        <v>4</v>
      </c>
      <c r="H78" s="211" t="s">
        <v>2469</v>
      </c>
      <c r="I78" s="211">
        <v>5</v>
      </c>
      <c r="J78" s="211">
        <v>4</v>
      </c>
      <c r="L78" s="211">
        <v>26</v>
      </c>
      <c r="N78" s="209">
        <f t="shared" si="8"/>
        <v>4</v>
      </c>
      <c r="O78" s="209">
        <f t="shared" si="9"/>
        <v>4</v>
      </c>
      <c r="P78" s="209">
        <f t="shared" si="10"/>
        <v>5.5</v>
      </c>
      <c r="Q78" s="209">
        <f t="shared" si="11"/>
        <v>4</v>
      </c>
      <c r="R78" s="209" t="str">
        <f t="shared" si="12"/>
        <v>/</v>
      </c>
      <c r="S78" s="209">
        <f t="shared" si="13"/>
        <v>7</v>
      </c>
      <c r="T78" s="209">
        <f t="shared" si="14"/>
        <v>5.5</v>
      </c>
      <c r="U78" s="209">
        <f t="shared" si="15"/>
        <v>4</v>
      </c>
    </row>
    <row r="79" spans="1:21">
      <c r="A79" s="424" t="s">
        <v>1376</v>
      </c>
      <c r="B79" s="211" t="s">
        <v>106</v>
      </c>
      <c r="C79" s="211">
        <v>4</v>
      </c>
      <c r="D79" s="211">
        <v>4</v>
      </c>
      <c r="E79" s="211">
        <v>5</v>
      </c>
      <c r="F79" s="211">
        <v>4</v>
      </c>
      <c r="H79" s="211" t="s">
        <v>2469</v>
      </c>
      <c r="I79" s="211">
        <v>5</v>
      </c>
      <c r="L79" s="211">
        <v>26</v>
      </c>
      <c r="N79" s="209">
        <f t="shared" si="8"/>
        <v>4</v>
      </c>
      <c r="O79" s="209">
        <f t="shared" si="9"/>
        <v>4</v>
      </c>
      <c r="P79" s="209">
        <f t="shared" si="10"/>
        <v>5.5</v>
      </c>
      <c r="Q79" s="209">
        <f t="shared" si="11"/>
        <v>4</v>
      </c>
      <c r="R79" s="209" t="str">
        <f t="shared" si="12"/>
        <v>/</v>
      </c>
      <c r="S79" s="209">
        <f t="shared" si="13"/>
        <v>7</v>
      </c>
      <c r="T79" s="209">
        <f t="shared" si="14"/>
        <v>5.5</v>
      </c>
      <c r="U79" s="209" t="str">
        <f t="shared" si="15"/>
        <v>/</v>
      </c>
    </row>
    <row r="80" spans="1:21">
      <c r="A80" s="424" t="s">
        <v>1380</v>
      </c>
      <c r="B80" s="211" t="s">
        <v>109</v>
      </c>
      <c r="C80" s="211" t="s">
        <v>2471</v>
      </c>
      <c r="D80" s="211">
        <v>3</v>
      </c>
      <c r="E80" s="211">
        <v>4</v>
      </c>
      <c r="F80" s="211">
        <v>5</v>
      </c>
      <c r="H80" s="211" t="s">
        <v>2471</v>
      </c>
      <c r="I80" s="211" t="s">
        <v>2471</v>
      </c>
      <c r="L80" s="211">
        <v>43.5</v>
      </c>
      <c r="N80" s="209">
        <f t="shared" si="8"/>
        <v>8.5</v>
      </c>
      <c r="O80" s="209">
        <f t="shared" si="9"/>
        <v>3</v>
      </c>
      <c r="P80" s="209">
        <f t="shared" si="10"/>
        <v>4</v>
      </c>
      <c r="Q80" s="209">
        <f t="shared" si="11"/>
        <v>5.5</v>
      </c>
      <c r="R80" s="209" t="str">
        <f t="shared" si="12"/>
        <v>/</v>
      </c>
      <c r="S80" s="209">
        <f t="shared" si="13"/>
        <v>8.5</v>
      </c>
      <c r="T80" s="209">
        <f t="shared" si="14"/>
        <v>8.5</v>
      </c>
      <c r="U80" s="209" t="str">
        <f t="shared" si="15"/>
        <v>/</v>
      </c>
    </row>
    <row r="81" spans="1:21">
      <c r="A81" s="424" t="s">
        <v>1380</v>
      </c>
      <c r="B81" s="211" t="s">
        <v>2470</v>
      </c>
      <c r="C81" s="211" t="s">
        <v>2471</v>
      </c>
      <c r="D81" s="211">
        <v>4</v>
      </c>
      <c r="E81" s="211">
        <v>3</v>
      </c>
      <c r="F81" s="211" t="s">
        <v>2469</v>
      </c>
      <c r="H81" s="211" t="s">
        <v>2469</v>
      </c>
      <c r="I81" s="211" t="s">
        <v>2469</v>
      </c>
      <c r="L81" s="211">
        <v>42</v>
      </c>
      <c r="N81" s="209">
        <f t="shared" si="8"/>
        <v>8.5</v>
      </c>
      <c r="O81" s="209">
        <f t="shared" si="9"/>
        <v>4</v>
      </c>
      <c r="P81" s="209">
        <f t="shared" si="10"/>
        <v>3</v>
      </c>
      <c r="Q81" s="209">
        <f t="shared" si="11"/>
        <v>7</v>
      </c>
      <c r="R81" s="209" t="str">
        <f t="shared" si="12"/>
        <v>/</v>
      </c>
      <c r="S81" s="209">
        <f t="shared" si="13"/>
        <v>7</v>
      </c>
      <c r="T81" s="209">
        <f t="shared" si="14"/>
        <v>7</v>
      </c>
      <c r="U81" s="209" t="str">
        <f t="shared" si="15"/>
        <v>/</v>
      </c>
    </row>
    <row r="82" spans="1:21">
      <c r="A82" s="424" t="s">
        <v>1380</v>
      </c>
      <c r="B82" s="211" t="s">
        <v>106</v>
      </c>
      <c r="C82" s="211" t="s">
        <v>2471</v>
      </c>
      <c r="D82" s="211">
        <v>3</v>
      </c>
      <c r="E82" s="211">
        <v>2</v>
      </c>
      <c r="F82" s="211">
        <v>4</v>
      </c>
      <c r="H82" s="211" t="s">
        <v>2471</v>
      </c>
      <c r="I82" s="211" t="s">
        <v>2469</v>
      </c>
      <c r="L82" s="211">
        <v>39.5</v>
      </c>
      <c r="N82" s="209">
        <f t="shared" si="8"/>
        <v>8.5</v>
      </c>
      <c r="O82" s="209">
        <f t="shared" si="9"/>
        <v>3</v>
      </c>
      <c r="P82" s="209">
        <f t="shared" si="10"/>
        <v>2</v>
      </c>
      <c r="Q82" s="209">
        <f t="shared" si="11"/>
        <v>4</v>
      </c>
      <c r="R82" s="209" t="str">
        <f t="shared" si="12"/>
        <v>/</v>
      </c>
      <c r="S82" s="209">
        <f t="shared" si="13"/>
        <v>8.5</v>
      </c>
      <c r="T82" s="209">
        <f t="shared" si="14"/>
        <v>7</v>
      </c>
      <c r="U82" s="209" t="str">
        <f t="shared" si="15"/>
        <v>/</v>
      </c>
    </row>
    <row r="83" spans="1:21">
      <c r="A83" s="424" t="s">
        <v>1385</v>
      </c>
      <c r="B83" s="211" t="s">
        <v>109</v>
      </c>
      <c r="C83" s="211">
        <v>3</v>
      </c>
      <c r="D83" s="211" t="s">
        <v>2471</v>
      </c>
      <c r="E83" s="211">
        <v>5</v>
      </c>
      <c r="F83" s="211">
        <v>2</v>
      </c>
      <c r="G83" s="211" t="s">
        <v>2469</v>
      </c>
      <c r="H83" s="211">
        <v>5</v>
      </c>
      <c r="I83" s="211">
        <v>5</v>
      </c>
      <c r="L83" s="211">
        <v>40.5</v>
      </c>
      <c r="N83" s="209">
        <f t="shared" si="8"/>
        <v>3</v>
      </c>
      <c r="O83" s="209">
        <f t="shared" si="9"/>
        <v>8.5</v>
      </c>
      <c r="P83" s="209">
        <f t="shared" si="10"/>
        <v>5.5</v>
      </c>
      <c r="Q83" s="209">
        <f t="shared" si="11"/>
        <v>2</v>
      </c>
      <c r="R83" s="209">
        <f t="shared" si="12"/>
        <v>7</v>
      </c>
      <c r="S83" s="209">
        <f t="shared" si="13"/>
        <v>5.5</v>
      </c>
      <c r="T83" s="209">
        <f t="shared" si="14"/>
        <v>5.5</v>
      </c>
      <c r="U83" s="209" t="str">
        <f t="shared" si="15"/>
        <v>/</v>
      </c>
    </row>
    <row r="84" spans="1:21">
      <c r="A84" s="424" t="s">
        <v>1385</v>
      </c>
      <c r="B84" s="211" t="s">
        <v>2470</v>
      </c>
      <c r="C84" s="211">
        <v>4</v>
      </c>
      <c r="D84" s="211" t="s">
        <v>2471</v>
      </c>
      <c r="E84" s="211">
        <v>3</v>
      </c>
      <c r="F84" s="211">
        <v>4</v>
      </c>
      <c r="H84" s="211" t="s">
        <v>2469</v>
      </c>
      <c r="I84" s="211">
        <v>4</v>
      </c>
      <c r="J84" s="211">
        <v>4</v>
      </c>
      <c r="L84" s="211">
        <v>36</v>
      </c>
      <c r="N84" s="209">
        <f t="shared" si="8"/>
        <v>4</v>
      </c>
      <c r="O84" s="209">
        <f t="shared" si="9"/>
        <v>8.5</v>
      </c>
      <c r="P84" s="209">
        <f t="shared" si="10"/>
        <v>3</v>
      </c>
      <c r="Q84" s="209">
        <f t="shared" si="11"/>
        <v>4</v>
      </c>
      <c r="R84" s="209" t="str">
        <f t="shared" si="12"/>
        <v>/</v>
      </c>
      <c r="S84" s="209">
        <f t="shared" si="13"/>
        <v>7</v>
      </c>
      <c r="T84" s="209">
        <f t="shared" si="14"/>
        <v>4</v>
      </c>
      <c r="U84" s="209">
        <f t="shared" si="15"/>
        <v>4</v>
      </c>
    </row>
    <row r="85" spans="1:21">
      <c r="A85" s="424" t="s">
        <v>1385</v>
      </c>
      <c r="B85" s="211" t="s">
        <v>106</v>
      </c>
      <c r="C85" s="211" t="s">
        <v>2469</v>
      </c>
      <c r="D85" s="211" t="s">
        <v>2469</v>
      </c>
      <c r="E85" s="211">
        <v>4</v>
      </c>
      <c r="F85" s="211">
        <v>5</v>
      </c>
      <c r="H85" s="211">
        <v>5</v>
      </c>
      <c r="I85" s="211">
        <v>4</v>
      </c>
      <c r="L85" s="211">
        <v>36</v>
      </c>
      <c r="N85" s="209">
        <f t="shared" si="8"/>
        <v>7</v>
      </c>
      <c r="O85" s="209">
        <f t="shared" si="9"/>
        <v>7</v>
      </c>
      <c r="P85" s="209">
        <f t="shared" si="10"/>
        <v>4</v>
      </c>
      <c r="Q85" s="209">
        <f t="shared" si="11"/>
        <v>5.5</v>
      </c>
      <c r="R85" s="209" t="str">
        <f t="shared" si="12"/>
        <v>/</v>
      </c>
      <c r="S85" s="209">
        <f t="shared" si="13"/>
        <v>5.5</v>
      </c>
      <c r="T85" s="209">
        <f t="shared" si="14"/>
        <v>4</v>
      </c>
      <c r="U85" s="209" t="str">
        <f t="shared" si="15"/>
        <v>/</v>
      </c>
    </row>
    <row r="86" spans="1:21">
      <c r="A86" s="424" t="s">
        <v>362</v>
      </c>
      <c r="B86" s="211" t="s">
        <v>109</v>
      </c>
      <c r="C86" s="211">
        <v>5</v>
      </c>
      <c r="D86" s="211">
        <v>4</v>
      </c>
      <c r="E86" s="211" t="s">
        <v>2471</v>
      </c>
      <c r="F86" s="211">
        <v>4</v>
      </c>
      <c r="G86" s="211" t="s">
        <v>2469</v>
      </c>
      <c r="H86" s="211">
        <v>5</v>
      </c>
      <c r="I86" s="211">
        <v>5</v>
      </c>
      <c r="L86" s="211">
        <v>53</v>
      </c>
      <c r="N86" s="209">
        <f t="shared" si="8"/>
        <v>5.5</v>
      </c>
      <c r="O86" s="209">
        <f t="shared" si="9"/>
        <v>4</v>
      </c>
      <c r="P86" s="209">
        <f t="shared" si="10"/>
        <v>8.5</v>
      </c>
      <c r="Q86" s="209">
        <f t="shared" si="11"/>
        <v>4</v>
      </c>
      <c r="R86" s="209">
        <f t="shared" si="12"/>
        <v>7</v>
      </c>
      <c r="S86" s="209">
        <f t="shared" si="13"/>
        <v>5.5</v>
      </c>
      <c r="T86" s="209">
        <f t="shared" si="14"/>
        <v>5.5</v>
      </c>
      <c r="U86" s="209" t="str">
        <f t="shared" si="15"/>
        <v>/</v>
      </c>
    </row>
    <row r="87" spans="1:21">
      <c r="A87" s="424" t="s">
        <v>362</v>
      </c>
      <c r="B87" s="211" t="s">
        <v>2470</v>
      </c>
      <c r="C87" s="211">
        <v>4</v>
      </c>
      <c r="D87" s="211">
        <v>4</v>
      </c>
      <c r="E87" s="211" t="s">
        <v>2471</v>
      </c>
      <c r="F87" s="211">
        <v>4</v>
      </c>
      <c r="G87" s="211" t="s">
        <v>2469</v>
      </c>
      <c r="H87" s="211">
        <v>5</v>
      </c>
      <c r="I87" s="211">
        <v>5</v>
      </c>
      <c r="L87" s="211">
        <v>50.75</v>
      </c>
      <c r="N87" s="209">
        <f t="shared" si="8"/>
        <v>4</v>
      </c>
      <c r="O87" s="209">
        <f t="shared" si="9"/>
        <v>4</v>
      </c>
      <c r="P87" s="209">
        <f t="shared" si="10"/>
        <v>8.5</v>
      </c>
      <c r="Q87" s="209">
        <f t="shared" si="11"/>
        <v>4</v>
      </c>
      <c r="R87" s="209">
        <f t="shared" si="12"/>
        <v>7</v>
      </c>
      <c r="S87" s="209">
        <f t="shared" si="13"/>
        <v>5.5</v>
      </c>
      <c r="T87" s="209">
        <f t="shared" si="14"/>
        <v>5.5</v>
      </c>
      <c r="U87" s="209" t="str">
        <f t="shared" si="15"/>
        <v>/</v>
      </c>
    </row>
    <row r="88" spans="1:21">
      <c r="A88" s="424" t="s">
        <v>362</v>
      </c>
      <c r="B88" s="211" t="s">
        <v>106</v>
      </c>
      <c r="C88" s="211">
        <v>4</v>
      </c>
      <c r="D88" s="211">
        <v>5</v>
      </c>
      <c r="E88" s="211" t="s">
        <v>2471</v>
      </c>
      <c r="F88" s="211">
        <v>4</v>
      </c>
      <c r="G88" s="211">
        <v>5</v>
      </c>
      <c r="H88" s="211">
        <v>5</v>
      </c>
      <c r="I88" s="211">
        <v>5</v>
      </c>
      <c r="L88" s="211">
        <v>50</v>
      </c>
      <c r="N88" s="209">
        <f t="shared" si="8"/>
        <v>4</v>
      </c>
      <c r="O88" s="209">
        <f t="shared" si="9"/>
        <v>5.5</v>
      </c>
      <c r="P88" s="209">
        <f t="shared" si="10"/>
        <v>8.5</v>
      </c>
      <c r="Q88" s="209">
        <f t="shared" si="11"/>
        <v>4</v>
      </c>
      <c r="R88" s="209">
        <f t="shared" si="12"/>
        <v>5.5</v>
      </c>
      <c r="S88" s="209">
        <f t="shared" si="13"/>
        <v>5.5</v>
      </c>
      <c r="T88" s="209">
        <f t="shared" si="14"/>
        <v>5.5</v>
      </c>
      <c r="U88" s="209" t="str">
        <f t="shared" si="15"/>
        <v>/</v>
      </c>
    </row>
    <row r="89" spans="1:21">
      <c r="A89" s="424" t="s">
        <v>1394</v>
      </c>
      <c r="B89" s="211" t="s">
        <v>109</v>
      </c>
      <c r="C89" s="211">
        <v>5</v>
      </c>
      <c r="D89" s="211">
        <v>4</v>
      </c>
      <c r="E89" s="211">
        <v>4</v>
      </c>
      <c r="F89" s="211">
        <v>4</v>
      </c>
      <c r="H89" s="211">
        <v>5</v>
      </c>
      <c r="I89" s="211">
        <v>4</v>
      </c>
      <c r="J89" s="211">
        <v>3</v>
      </c>
      <c r="L89" s="211">
        <v>23</v>
      </c>
      <c r="N89" s="209">
        <f t="shared" si="8"/>
        <v>5.5</v>
      </c>
      <c r="O89" s="209">
        <f t="shared" si="9"/>
        <v>4</v>
      </c>
      <c r="P89" s="209">
        <f t="shared" si="10"/>
        <v>4</v>
      </c>
      <c r="Q89" s="209">
        <f t="shared" si="11"/>
        <v>4</v>
      </c>
      <c r="R89" s="209" t="str">
        <f t="shared" si="12"/>
        <v>/</v>
      </c>
      <c r="S89" s="209">
        <f t="shared" si="13"/>
        <v>5.5</v>
      </c>
      <c r="T89" s="209">
        <f t="shared" si="14"/>
        <v>4</v>
      </c>
      <c r="U89" s="209">
        <f t="shared" si="15"/>
        <v>3</v>
      </c>
    </row>
    <row r="90" spans="1:21">
      <c r="A90" s="424" t="s">
        <v>1394</v>
      </c>
      <c r="B90" s="211" t="s">
        <v>2470</v>
      </c>
      <c r="C90" s="211">
        <v>5</v>
      </c>
      <c r="D90" s="211">
        <v>4</v>
      </c>
      <c r="E90" s="211">
        <v>4</v>
      </c>
      <c r="F90" s="211">
        <v>3</v>
      </c>
      <c r="H90" s="211">
        <v>4</v>
      </c>
      <c r="I90" s="211">
        <v>4</v>
      </c>
      <c r="J90" s="211">
        <v>4</v>
      </c>
      <c r="L90" s="211">
        <v>21.5</v>
      </c>
      <c r="N90" s="209">
        <f t="shared" si="8"/>
        <v>5.5</v>
      </c>
      <c r="O90" s="209">
        <f t="shared" si="9"/>
        <v>4</v>
      </c>
      <c r="P90" s="209">
        <f t="shared" si="10"/>
        <v>4</v>
      </c>
      <c r="Q90" s="209">
        <f t="shared" si="11"/>
        <v>3</v>
      </c>
      <c r="R90" s="209" t="str">
        <f t="shared" si="12"/>
        <v>/</v>
      </c>
      <c r="S90" s="209">
        <f t="shared" si="13"/>
        <v>4</v>
      </c>
      <c r="T90" s="209">
        <f t="shared" si="14"/>
        <v>4</v>
      </c>
      <c r="U90" s="209">
        <f t="shared" si="15"/>
        <v>4</v>
      </c>
    </row>
    <row r="91" spans="1:21">
      <c r="A91" s="424" t="s">
        <v>1394</v>
      </c>
      <c r="B91" s="211" t="s">
        <v>106</v>
      </c>
      <c r="C91" s="211">
        <v>4</v>
      </c>
      <c r="D91" s="211">
        <v>4</v>
      </c>
      <c r="E91" s="211">
        <v>5</v>
      </c>
      <c r="F91" s="211">
        <v>3</v>
      </c>
      <c r="G91" s="211">
        <v>4</v>
      </c>
      <c r="H91" s="211">
        <v>3</v>
      </c>
      <c r="I91" s="211">
        <v>3</v>
      </c>
      <c r="L91" s="211">
        <v>20.5</v>
      </c>
      <c r="N91" s="209">
        <f t="shared" si="8"/>
        <v>4</v>
      </c>
      <c r="O91" s="209">
        <f t="shared" si="9"/>
        <v>4</v>
      </c>
      <c r="P91" s="209">
        <f t="shared" si="10"/>
        <v>5.5</v>
      </c>
      <c r="Q91" s="209">
        <f t="shared" si="11"/>
        <v>3</v>
      </c>
      <c r="R91" s="209">
        <f t="shared" si="12"/>
        <v>4</v>
      </c>
      <c r="S91" s="209">
        <f t="shared" si="13"/>
        <v>3</v>
      </c>
      <c r="T91" s="209">
        <f t="shared" si="14"/>
        <v>3</v>
      </c>
      <c r="U91" s="209" t="str">
        <f t="shared" si="15"/>
        <v>/</v>
      </c>
    </row>
    <row r="92" spans="1:21">
      <c r="A92" s="424" t="s">
        <v>470</v>
      </c>
      <c r="B92" s="211" t="s">
        <v>109</v>
      </c>
      <c r="C92" s="211">
        <v>3</v>
      </c>
      <c r="D92" s="211">
        <v>4</v>
      </c>
      <c r="E92" s="211">
        <v>4</v>
      </c>
      <c r="F92" s="211">
        <v>4</v>
      </c>
      <c r="H92" s="211" t="s">
        <v>2469</v>
      </c>
      <c r="I92" s="211">
        <v>5</v>
      </c>
      <c r="J92" s="211">
        <v>4</v>
      </c>
      <c r="L92" s="211">
        <v>34.75</v>
      </c>
      <c r="N92" s="209">
        <f t="shared" si="8"/>
        <v>3</v>
      </c>
      <c r="O92" s="209">
        <f t="shared" si="9"/>
        <v>4</v>
      </c>
      <c r="P92" s="209">
        <f t="shared" si="10"/>
        <v>4</v>
      </c>
      <c r="Q92" s="209">
        <f t="shared" si="11"/>
        <v>4</v>
      </c>
      <c r="R92" s="209" t="str">
        <f t="shared" si="12"/>
        <v>/</v>
      </c>
      <c r="S92" s="209">
        <f t="shared" si="13"/>
        <v>7</v>
      </c>
      <c r="T92" s="209">
        <f t="shared" si="14"/>
        <v>5.5</v>
      </c>
      <c r="U92" s="209">
        <f t="shared" si="15"/>
        <v>4</v>
      </c>
    </row>
    <row r="93" spans="1:21">
      <c r="A93" s="424" t="s">
        <v>470</v>
      </c>
      <c r="B93" s="211" t="s">
        <v>2470</v>
      </c>
      <c r="C93" s="211">
        <v>4</v>
      </c>
      <c r="D93" s="211">
        <v>4</v>
      </c>
      <c r="E93" s="211">
        <v>5</v>
      </c>
      <c r="F93" s="211">
        <v>4</v>
      </c>
      <c r="G93" s="211">
        <v>4</v>
      </c>
      <c r="H93" s="211">
        <v>4</v>
      </c>
      <c r="L93" s="211">
        <v>29.25</v>
      </c>
      <c r="N93" s="209">
        <f t="shared" si="8"/>
        <v>4</v>
      </c>
      <c r="O93" s="209">
        <f t="shared" si="9"/>
        <v>4</v>
      </c>
      <c r="P93" s="209">
        <f t="shared" si="10"/>
        <v>5.5</v>
      </c>
      <c r="Q93" s="209">
        <f t="shared" si="11"/>
        <v>4</v>
      </c>
      <c r="R93" s="209">
        <f t="shared" si="12"/>
        <v>4</v>
      </c>
      <c r="S93" s="209">
        <f t="shared" si="13"/>
        <v>4</v>
      </c>
      <c r="T93" s="209" t="str">
        <f t="shared" si="14"/>
        <v>/</v>
      </c>
      <c r="U93" s="209" t="str">
        <f t="shared" si="15"/>
        <v>/</v>
      </c>
    </row>
    <row r="94" spans="1:21">
      <c r="A94" s="424" t="s">
        <v>470</v>
      </c>
      <c r="B94" s="211" t="s">
        <v>106</v>
      </c>
      <c r="C94" s="211">
        <v>3</v>
      </c>
      <c r="D94" s="211">
        <v>4</v>
      </c>
      <c r="E94" s="211">
        <v>4</v>
      </c>
      <c r="F94" s="211">
        <v>2</v>
      </c>
      <c r="G94" s="211">
        <v>4</v>
      </c>
      <c r="H94" s="211">
        <v>4</v>
      </c>
      <c r="I94" s="211">
        <v>3</v>
      </c>
      <c r="L94" s="211">
        <v>27.5</v>
      </c>
      <c r="N94" s="209">
        <f t="shared" si="8"/>
        <v>3</v>
      </c>
      <c r="O94" s="209">
        <f t="shared" si="9"/>
        <v>4</v>
      </c>
      <c r="P94" s="209">
        <f t="shared" si="10"/>
        <v>4</v>
      </c>
      <c r="Q94" s="209">
        <f t="shared" si="11"/>
        <v>2</v>
      </c>
      <c r="R94" s="209">
        <f t="shared" si="12"/>
        <v>4</v>
      </c>
      <c r="S94" s="209">
        <f t="shared" si="13"/>
        <v>4</v>
      </c>
      <c r="T94" s="209">
        <f t="shared" si="14"/>
        <v>3</v>
      </c>
      <c r="U94" s="209" t="str">
        <f t="shared" si="15"/>
        <v>/</v>
      </c>
    </row>
    <row r="95" spans="1:21">
      <c r="A95" s="424" t="s">
        <v>1404</v>
      </c>
      <c r="B95" s="211" t="s">
        <v>109</v>
      </c>
      <c r="C95" s="211">
        <v>4</v>
      </c>
      <c r="D95" s="211">
        <v>3</v>
      </c>
      <c r="E95" s="211">
        <v>5</v>
      </c>
      <c r="F95" s="211">
        <v>4</v>
      </c>
      <c r="G95" s="211">
        <v>3</v>
      </c>
      <c r="H95" s="211">
        <v>5</v>
      </c>
      <c r="I95" s="211">
        <v>4</v>
      </c>
      <c r="L95" s="211">
        <v>30</v>
      </c>
      <c r="N95" s="209">
        <f t="shared" si="8"/>
        <v>4</v>
      </c>
      <c r="O95" s="209">
        <f t="shared" si="9"/>
        <v>3</v>
      </c>
      <c r="P95" s="209">
        <f t="shared" si="10"/>
        <v>5.5</v>
      </c>
      <c r="Q95" s="209">
        <f t="shared" si="11"/>
        <v>4</v>
      </c>
      <c r="R95" s="209">
        <f t="shared" si="12"/>
        <v>3</v>
      </c>
      <c r="S95" s="209">
        <f t="shared" si="13"/>
        <v>5.5</v>
      </c>
      <c r="T95" s="209">
        <f t="shared" si="14"/>
        <v>4</v>
      </c>
      <c r="U95" s="209" t="str">
        <f t="shared" si="15"/>
        <v>/</v>
      </c>
    </row>
    <row r="96" spans="1:21">
      <c r="A96" s="424" t="s">
        <v>1404</v>
      </c>
      <c r="B96" s="211" t="s">
        <v>2470</v>
      </c>
      <c r="C96" s="211">
        <v>3</v>
      </c>
      <c r="D96" s="211">
        <v>3</v>
      </c>
      <c r="E96" s="211" t="s">
        <v>2469</v>
      </c>
      <c r="F96" s="211">
        <v>4</v>
      </c>
      <c r="H96" s="211">
        <v>4</v>
      </c>
      <c r="I96" s="211">
        <v>4</v>
      </c>
      <c r="L96" s="211">
        <v>27.5</v>
      </c>
      <c r="N96" s="209">
        <f t="shared" si="8"/>
        <v>3</v>
      </c>
      <c r="O96" s="209">
        <f t="shared" si="9"/>
        <v>3</v>
      </c>
      <c r="P96" s="209">
        <f t="shared" si="10"/>
        <v>7</v>
      </c>
      <c r="Q96" s="209">
        <f t="shared" si="11"/>
        <v>4</v>
      </c>
      <c r="R96" s="209" t="str">
        <f t="shared" si="12"/>
        <v>/</v>
      </c>
      <c r="S96" s="209">
        <f t="shared" si="13"/>
        <v>4</v>
      </c>
      <c r="T96" s="209">
        <f t="shared" si="14"/>
        <v>4</v>
      </c>
      <c r="U96" s="209" t="str">
        <f t="shared" si="15"/>
        <v>/</v>
      </c>
    </row>
    <row r="97" spans="1:21">
      <c r="A97" s="424" t="s">
        <v>1404</v>
      </c>
      <c r="B97" s="211" t="s">
        <v>106</v>
      </c>
      <c r="C97" s="211">
        <v>3</v>
      </c>
      <c r="D97" s="211">
        <v>4</v>
      </c>
      <c r="E97" s="211">
        <v>4</v>
      </c>
      <c r="F97" s="211">
        <v>4</v>
      </c>
      <c r="H97" s="211">
        <v>4</v>
      </c>
      <c r="I97" s="211">
        <v>4</v>
      </c>
      <c r="J97" s="211">
        <v>4</v>
      </c>
      <c r="L97" s="211">
        <v>26</v>
      </c>
      <c r="N97" s="209">
        <f t="shared" si="8"/>
        <v>3</v>
      </c>
      <c r="O97" s="209">
        <f t="shared" si="9"/>
        <v>4</v>
      </c>
      <c r="P97" s="209">
        <f t="shared" si="10"/>
        <v>4</v>
      </c>
      <c r="Q97" s="209">
        <f t="shared" si="11"/>
        <v>4</v>
      </c>
      <c r="R97" s="209" t="str">
        <f t="shared" si="12"/>
        <v>/</v>
      </c>
      <c r="S97" s="209">
        <f t="shared" si="13"/>
        <v>4</v>
      </c>
      <c r="T97" s="209">
        <f t="shared" si="14"/>
        <v>4</v>
      </c>
      <c r="U97" s="209">
        <f t="shared" si="15"/>
        <v>4</v>
      </c>
    </row>
    <row r="98" spans="1:21">
      <c r="A98" s="424" t="s">
        <v>472</v>
      </c>
      <c r="B98" s="211" t="s">
        <v>109</v>
      </c>
      <c r="C98" s="211" t="s">
        <v>2469</v>
      </c>
      <c r="D98" s="211">
        <v>3</v>
      </c>
      <c r="E98" s="211" t="s">
        <v>2469</v>
      </c>
      <c r="F98" s="211">
        <v>3</v>
      </c>
      <c r="G98" s="211">
        <v>5</v>
      </c>
      <c r="H98" s="211" t="s">
        <v>2469</v>
      </c>
      <c r="I98" s="211">
        <v>5</v>
      </c>
      <c r="J98" s="211">
        <v>4</v>
      </c>
      <c r="L98" s="211">
        <v>45.875</v>
      </c>
      <c r="N98" s="209">
        <f t="shared" si="8"/>
        <v>7</v>
      </c>
      <c r="O98" s="209">
        <f t="shared" si="9"/>
        <v>3</v>
      </c>
      <c r="P98" s="209">
        <f t="shared" si="10"/>
        <v>7</v>
      </c>
      <c r="Q98" s="209">
        <f t="shared" si="11"/>
        <v>3</v>
      </c>
      <c r="R98" s="209">
        <f t="shared" si="12"/>
        <v>5.5</v>
      </c>
      <c r="S98" s="209">
        <f t="shared" si="13"/>
        <v>7</v>
      </c>
      <c r="T98" s="209">
        <f t="shared" si="14"/>
        <v>5.5</v>
      </c>
      <c r="U98" s="209">
        <f t="shared" si="15"/>
        <v>4</v>
      </c>
    </row>
    <row r="99" spans="1:21">
      <c r="A99" s="424" t="s">
        <v>472</v>
      </c>
      <c r="B99" s="211" t="s">
        <v>2470</v>
      </c>
      <c r="C99" s="211">
        <v>5</v>
      </c>
      <c r="D99" s="211">
        <v>4</v>
      </c>
      <c r="E99" s="211" t="s">
        <v>2469</v>
      </c>
      <c r="F99" s="211">
        <v>3</v>
      </c>
      <c r="G99" s="211" t="s">
        <v>2469</v>
      </c>
      <c r="H99" s="211">
        <v>5</v>
      </c>
      <c r="I99" s="211">
        <v>4</v>
      </c>
      <c r="L99" s="211">
        <v>42.5</v>
      </c>
      <c r="N99" s="209">
        <f t="shared" si="8"/>
        <v>5.5</v>
      </c>
      <c r="O99" s="209">
        <f t="shared" si="9"/>
        <v>4</v>
      </c>
      <c r="P99" s="209">
        <f t="shared" si="10"/>
        <v>7</v>
      </c>
      <c r="Q99" s="209">
        <f t="shared" si="11"/>
        <v>3</v>
      </c>
      <c r="R99" s="209">
        <f t="shared" si="12"/>
        <v>7</v>
      </c>
      <c r="S99" s="209">
        <f t="shared" si="13"/>
        <v>5.5</v>
      </c>
      <c r="T99" s="209">
        <f t="shared" si="14"/>
        <v>4</v>
      </c>
      <c r="U99" s="209" t="str">
        <f t="shared" si="15"/>
        <v>/</v>
      </c>
    </row>
    <row r="100" spans="1:21">
      <c r="A100" s="424" t="s">
        <v>472</v>
      </c>
      <c r="B100" s="211" t="s">
        <v>106</v>
      </c>
      <c r="C100" s="211">
        <v>3</v>
      </c>
      <c r="D100" s="211">
        <v>5</v>
      </c>
      <c r="E100" s="211">
        <v>5</v>
      </c>
      <c r="F100" s="211">
        <v>2</v>
      </c>
      <c r="G100" s="211">
        <v>5</v>
      </c>
      <c r="H100" s="211">
        <v>5</v>
      </c>
      <c r="I100" s="211">
        <v>5</v>
      </c>
      <c r="L100" s="211">
        <v>39.875</v>
      </c>
      <c r="N100" s="209">
        <f t="shared" si="8"/>
        <v>3</v>
      </c>
      <c r="O100" s="209">
        <f t="shared" si="9"/>
        <v>5.5</v>
      </c>
      <c r="P100" s="209">
        <f t="shared" si="10"/>
        <v>5.5</v>
      </c>
      <c r="Q100" s="209">
        <f t="shared" si="11"/>
        <v>2</v>
      </c>
      <c r="R100" s="209">
        <f t="shared" si="12"/>
        <v>5.5</v>
      </c>
      <c r="S100" s="209">
        <f t="shared" si="13"/>
        <v>5.5</v>
      </c>
      <c r="T100" s="209">
        <f t="shared" si="14"/>
        <v>5.5</v>
      </c>
      <c r="U100" s="209" t="str">
        <f t="shared" si="15"/>
        <v>/</v>
      </c>
    </row>
    <row r="101" spans="1:21">
      <c r="A101" s="424" t="s">
        <v>1412</v>
      </c>
      <c r="B101" s="211" t="s">
        <v>109</v>
      </c>
      <c r="C101" s="211">
        <v>4</v>
      </c>
      <c r="D101" s="211">
        <v>4</v>
      </c>
      <c r="E101" s="211" t="s">
        <v>2471</v>
      </c>
      <c r="F101" s="211">
        <v>4</v>
      </c>
      <c r="G101" s="211" t="s">
        <v>2469</v>
      </c>
      <c r="H101" s="211" t="s">
        <v>2469</v>
      </c>
      <c r="I101" s="211" t="s">
        <v>2469</v>
      </c>
      <c r="J101" s="211">
        <v>5</v>
      </c>
      <c r="K101" s="211" t="s">
        <v>2472</v>
      </c>
      <c r="L101" s="211">
        <v>65</v>
      </c>
      <c r="N101" s="209">
        <f t="shared" si="8"/>
        <v>4</v>
      </c>
      <c r="O101" s="209">
        <f t="shared" si="9"/>
        <v>4</v>
      </c>
      <c r="P101" s="209">
        <f t="shared" si="10"/>
        <v>8.5</v>
      </c>
      <c r="Q101" s="209">
        <f t="shared" si="11"/>
        <v>4</v>
      </c>
      <c r="R101" s="209">
        <f t="shared" si="12"/>
        <v>7</v>
      </c>
      <c r="S101" s="209">
        <f t="shared" si="13"/>
        <v>7</v>
      </c>
      <c r="T101" s="209">
        <f t="shared" si="14"/>
        <v>7</v>
      </c>
      <c r="U101" s="209">
        <f t="shared" si="15"/>
        <v>5.5</v>
      </c>
    </row>
    <row r="102" spans="1:21">
      <c r="A102" s="424" t="s">
        <v>1412</v>
      </c>
      <c r="B102" s="211" t="s">
        <v>2470</v>
      </c>
      <c r="C102" s="211">
        <v>3</v>
      </c>
      <c r="D102" s="211">
        <v>5</v>
      </c>
      <c r="E102" s="211">
        <v>5</v>
      </c>
      <c r="F102" s="211">
        <v>3</v>
      </c>
      <c r="G102" s="211" t="s">
        <v>2469</v>
      </c>
      <c r="H102" s="211" t="s">
        <v>2469</v>
      </c>
      <c r="I102" s="211" t="s">
        <v>2469</v>
      </c>
      <c r="J102" s="211" t="s">
        <v>2472</v>
      </c>
      <c r="L102" s="211">
        <v>61.25</v>
      </c>
      <c r="N102" s="209">
        <f t="shared" si="8"/>
        <v>3</v>
      </c>
      <c r="O102" s="209">
        <f t="shared" si="9"/>
        <v>5.5</v>
      </c>
      <c r="P102" s="209">
        <f t="shared" si="10"/>
        <v>5.5</v>
      </c>
      <c r="Q102" s="209">
        <f t="shared" si="11"/>
        <v>3</v>
      </c>
      <c r="R102" s="209">
        <f t="shared" si="12"/>
        <v>7</v>
      </c>
      <c r="S102" s="209">
        <f t="shared" si="13"/>
        <v>7</v>
      </c>
      <c r="T102" s="209">
        <f t="shared" si="14"/>
        <v>7</v>
      </c>
      <c r="U102" s="209" t="str">
        <f t="shared" si="15"/>
        <v>A</v>
      </c>
    </row>
    <row r="103" spans="1:21">
      <c r="A103" s="424" t="s">
        <v>1412</v>
      </c>
      <c r="B103" s="211" t="s">
        <v>106</v>
      </c>
      <c r="C103" s="211">
        <v>5</v>
      </c>
      <c r="D103" s="211">
        <v>4</v>
      </c>
      <c r="E103" s="211">
        <v>5</v>
      </c>
      <c r="F103" s="211" t="s">
        <v>2469</v>
      </c>
      <c r="G103" s="211" t="s">
        <v>2469</v>
      </c>
      <c r="H103" s="211" t="s">
        <v>2469</v>
      </c>
      <c r="I103" s="211" t="s">
        <v>2469</v>
      </c>
      <c r="L103" s="211">
        <v>60</v>
      </c>
      <c r="N103" s="209">
        <f t="shared" si="8"/>
        <v>5.5</v>
      </c>
      <c r="O103" s="209">
        <f t="shared" si="9"/>
        <v>4</v>
      </c>
      <c r="P103" s="209">
        <f t="shared" si="10"/>
        <v>5.5</v>
      </c>
      <c r="Q103" s="209">
        <f t="shared" si="11"/>
        <v>7</v>
      </c>
      <c r="R103" s="209">
        <f t="shared" si="12"/>
        <v>7</v>
      </c>
      <c r="S103" s="209">
        <f t="shared" si="13"/>
        <v>7</v>
      </c>
      <c r="T103" s="209">
        <f t="shared" si="14"/>
        <v>7</v>
      </c>
      <c r="U103" s="209" t="str">
        <f t="shared" si="15"/>
        <v>/</v>
      </c>
    </row>
    <row r="104" spans="1:21">
      <c r="A104" s="424" t="s">
        <v>1418</v>
      </c>
      <c r="B104" s="211" t="s">
        <v>109</v>
      </c>
      <c r="C104" s="211">
        <v>4</v>
      </c>
      <c r="D104" s="211">
        <v>4</v>
      </c>
      <c r="E104" s="211" t="s">
        <v>2469</v>
      </c>
      <c r="F104" s="211">
        <v>4</v>
      </c>
      <c r="G104" s="211">
        <v>5</v>
      </c>
      <c r="H104" s="211" t="s">
        <v>2469</v>
      </c>
      <c r="I104" s="211">
        <v>5</v>
      </c>
      <c r="J104" s="211">
        <v>5</v>
      </c>
      <c r="L104" s="211">
        <v>48.875</v>
      </c>
      <c r="N104" s="209">
        <f t="shared" si="8"/>
        <v>4</v>
      </c>
      <c r="O104" s="209">
        <f t="shared" si="9"/>
        <v>4</v>
      </c>
      <c r="P104" s="209">
        <f t="shared" si="10"/>
        <v>7</v>
      </c>
      <c r="Q104" s="209">
        <f t="shared" si="11"/>
        <v>4</v>
      </c>
      <c r="R104" s="209">
        <f t="shared" si="12"/>
        <v>5.5</v>
      </c>
      <c r="S104" s="209">
        <f t="shared" si="13"/>
        <v>7</v>
      </c>
      <c r="T104" s="209">
        <f t="shared" si="14"/>
        <v>5.5</v>
      </c>
      <c r="U104" s="209">
        <f t="shared" si="15"/>
        <v>5.5</v>
      </c>
    </row>
    <row r="105" spans="1:21">
      <c r="A105" s="424" t="s">
        <v>1418</v>
      </c>
      <c r="B105" s="211" t="s">
        <v>2470</v>
      </c>
      <c r="C105" s="211">
        <v>4</v>
      </c>
      <c r="D105" s="211">
        <v>5</v>
      </c>
      <c r="E105" s="211" t="s">
        <v>2471</v>
      </c>
      <c r="F105" s="211">
        <v>3</v>
      </c>
      <c r="H105" s="211" t="s">
        <v>2471</v>
      </c>
      <c r="I105" s="211" t="s">
        <v>2469</v>
      </c>
      <c r="L105" s="211">
        <v>46.5</v>
      </c>
      <c r="N105" s="209">
        <f t="shared" si="8"/>
        <v>4</v>
      </c>
      <c r="O105" s="209">
        <f t="shared" si="9"/>
        <v>5.5</v>
      </c>
      <c r="P105" s="209">
        <f t="shared" si="10"/>
        <v>8.5</v>
      </c>
      <c r="Q105" s="209">
        <f t="shared" si="11"/>
        <v>3</v>
      </c>
      <c r="R105" s="209" t="str">
        <f t="shared" si="12"/>
        <v>/</v>
      </c>
      <c r="S105" s="209">
        <f t="shared" si="13"/>
        <v>8.5</v>
      </c>
      <c r="T105" s="209">
        <f t="shared" si="14"/>
        <v>7</v>
      </c>
      <c r="U105" s="209" t="str">
        <f t="shared" si="15"/>
        <v>/</v>
      </c>
    </row>
    <row r="106" spans="1:21">
      <c r="A106" s="424" t="s">
        <v>1418</v>
      </c>
      <c r="B106" s="211" t="s">
        <v>106</v>
      </c>
      <c r="C106" s="211">
        <v>3</v>
      </c>
      <c r="D106" s="211">
        <v>4</v>
      </c>
      <c r="E106" s="211" t="s">
        <v>2469</v>
      </c>
      <c r="F106" s="211">
        <v>4</v>
      </c>
      <c r="G106" s="211" t="s">
        <v>2469</v>
      </c>
      <c r="H106" s="211">
        <v>5</v>
      </c>
      <c r="I106" s="211">
        <v>4</v>
      </c>
      <c r="J106" s="211">
        <v>3</v>
      </c>
      <c r="L106" s="211">
        <v>43.75</v>
      </c>
      <c r="N106" s="209">
        <f t="shared" si="8"/>
        <v>3</v>
      </c>
      <c r="O106" s="209">
        <f t="shared" si="9"/>
        <v>4</v>
      </c>
      <c r="P106" s="209">
        <f t="shared" si="10"/>
        <v>7</v>
      </c>
      <c r="Q106" s="209">
        <f t="shared" si="11"/>
        <v>4</v>
      </c>
      <c r="R106" s="209">
        <f t="shared" si="12"/>
        <v>7</v>
      </c>
      <c r="S106" s="209">
        <f t="shared" si="13"/>
        <v>5.5</v>
      </c>
      <c r="T106" s="209">
        <f t="shared" si="14"/>
        <v>4</v>
      </c>
      <c r="U106" s="209">
        <f t="shared" si="15"/>
        <v>3</v>
      </c>
    </row>
    <row r="107" spans="1:21">
      <c r="A107" s="424" t="s">
        <v>1424</v>
      </c>
      <c r="B107" s="211" t="s">
        <v>109</v>
      </c>
      <c r="C107" s="211">
        <v>3</v>
      </c>
      <c r="D107" s="211">
        <v>3</v>
      </c>
      <c r="E107" s="211">
        <v>5</v>
      </c>
      <c r="F107" s="211">
        <v>3</v>
      </c>
      <c r="G107" s="211">
        <v>5</v>
      </c>
      <c r="H107" s="211">
        <v>4</v>
      </c>
      <c r="I107" s="211">
        <v>4</v>
      </c>
      <c r="L107" s="211">
        <v>29.5</v>
      </c>
      <c r="N107" s="209">
        <f t="shared" si="8"/>
        <v>3</v>
      </c>
      <c r="O107" s="209">
        <f t="shared" si="9"/>
        <v>3</v>
      </c>
      <c r="P107" s="209">
        <f t="shared" si="10"/>
        <v>5.5</v>
      </c>
      <c r="Q107" s="209">
        <f t="shared" si="11"/>
        <v>3</v>
      </c>
      <c r="R107" s="209">
        <f t="shared" si="12"/>
        <v>5.5</v>
      </c>
      <c r="S107" s="209">
        <f t="shared" si="13"/>
        <v>4</v>
      </c>
      <c r="T107" s="209">
        <f t="shared" si="14"/>
        <v>4</v>
      </c>
      <c r="U107" s="209" t="str">
        <f t="shared" si="15"/>
        <v>/</v>
      </c>
    </row>
    <row r="108" spans="1:21">
      <c r="A108" s="424" t="s">
        <v>1424</v>
      </c>
      <c r="B108" s="211" t="s">
        <v>2470</v>
      </c>
      <c r="C108" s="211">
        <v>3</v>
      </c>
      <c r="D108" s="211">
        <v>3</v>
      </c>
      <c r="E108" s="211">
        <v>5</v>
      </c>
      <c r="F108" s="211">
        <v>3</v>
      </c>
      <c r="G108" s="211">
        <v>5</v>
      </c>
      <c r="H108" s="211">
        <v>4</v>
      </c>
      <c r="I108" s="211">
        <v>3</v>
      </c>
      <c r="L108" s="211">
        <v>28</v>
      </c>
      <c r="N108" s="209">
        <f t="shared" si="8"/>
        <v>3</v>
      </c>
      <c r="O108" s="209">
        <f t="shared" si="9"/>
        <v>3</v>
      </c>
      <c r="P108" s="209">
        <f t="shared" si="10"/>
        <v>5.5</v>
      </c>
      <c r="Q108" s="209">
        <f t="shared" si="11"/>
        <v>3</v>
      </c>
      <c r="R108" s="209">
        <f t="shared" si="12"/>
        <v>5.5</v>
      </c>
      <c r="S108" s="209">
        <f t="shared" si="13"/>
        <v>4</v>
      </c>
      <c r="T108" s="209">
        <f t="shared" si="14"/>
        <v>3</v>
      </c>
      <c r="U108" s="209" t="str">
        <f t="shared" si="15"/>
        <v>/</v>
      </c>
    </row>
    <row r="109" spans="1:21">
      <c r="A109" s="424" t="s">
        <v>1424</v>
      </c>
      <c r="B109" s="211" t="s">
        <v>106</v>
      </c>
      <c r="C109" s="211">
        <v>5</v>
      </c>
      <c r="D109" s="211">
        <v>4</v>
      </c>
      <c r="E109" s="211">
        <v>3</v>
      </c>
      <c r="F109" s="211">
        <v>4</v>
      </c>
      <c r="H109" s="211">
        <v>5</v>
      </c>
      <c r="I109" s="211">
        <v>5</v>
      </c>
      <c r="J109" s="211">
        <v>5</v>
      </c>
      <c r="L109" s="211">
        <v>26.5</v>
      </c>
      <c r="N109" s="209">
        <f t="shared" si="8"/>
        <v>5.5</v>
      </c>
      <c r="O109" s="209">
        <f t="shared" si="9"/>
        <v>4</v>
      </c>
      <c r="P109" s="209">
        <f t="shared" si="10"/>
        <v>3</v>
      </c>
      <c r="Q109" s="209">
        <f t="shared" si="11"/>
        <v>4</v>
      </c>
      <c r="R109" s="209" t="str">
        <f t="shared" si="12"/>
        <v>/</v>
      </c>
      <c r="S109" s="209">
        <f t="shared" si="13"/>
        <v>5.5</v>
      </c>
      <c r="T109" s="209">
        <f t="shared" si="14"/>
        <v>5.5</v>
      </c>
      <c r="U109" s="209">
        <f t="shared" si="15"/>
        <v>5.5</v>
      </c>
    </row>
    <row r="110" spans="1:21">
      <c r="A110" s="424" t="s">
        <v>473</v>
      </c>
      <c r="B110" s="211" t="s">
        <v>109</v>
      </c>
      <c r="C110" s="211">
        <v>3</v>
      </c>
      <c r="D110" s="211">
        <v>4</v>
      </c>
      <c r="E110" s="211" t="s">
        <v>2469</v>
      </c>
      <c r="F110" s="211">
        <v>4</v>
      </c>
      <c r="G110" s="211">
        <v>5</v>
      </c>
      <c r="H110" s="211">
        <v>5</v>
      </c>
      <c r="L110" s="211">
        <v>38.875</v>
      </c>
      <c r="N110" s="209">
        <f t="shared" si="8"/>
        <v>3</v>
      </c>
      <c r="O110" s="209">
        <f t="shared" si="9"/>
        <v>4</v>
      </c>
      <c r="P110" s="209">
        <f t="shared" si="10"/>
        <v>7</v>
      </c>
      <c r="Q110" s="209">
        <f t="shared" si="11"/>
        <v>4</v>
      </c>
      <c r="R110" s="209">
        <f t="shared" si="12"/>
        <v>5.5</v>
      </c>
      <c r="S110" s="209">
        <f t="shared" si="13"/>
        <v>5.5</v>
      </c>
      <c r="T110" s="209" t="str">
        <f t="shared" si="14"/>
        <v>/</v>
      </c>
      <c r="U110" s="209" t="str">
        <f t="shared" si="15"/>
        <v>/</v>
      </c>
    </row>
    <row r="111" spans="1:21">
      <c r="A111" s="424" t="s">
        <v>473</v>
      </c>
      <c r="B111" s="211" t="s">
        <v>2470</v>
      </c>
      <c r="C111" s="211">
        <v>4</v>
      </c>
      <c r="D111" s="211">
        <v>3</v>
      </c>
      <c r="E111" s="211">
        <v>5</v>
      </c>
      <c r="F111" s="211">
        <v>3</v>
      </c>
      <c r="G111" s="211">
        <v>3</v>
      </c>
      <c r="H111" s="211" t="s">
        <v>2469</v>
      </c>
      <c r="I111" s="211">
        <v>4</v>
      </c>
      <c r="L111" s="211">
        <v>36.75</v>
      </c>
      <c r="N111" s="209">
        <f t="shared" si="8"/>
        <v>4</v>
      </c>
      <c r="O111" s="209">
        <f t="shared" si="9"/>
        <v>3</v>
      </c>
      <c r="P111" s="209">
        <f t="shared" si="10"/>
        <v>5.5</v>
      </c>
      <c r="Q111" s="209">
        <f t="shared" si="11"/>
        <v>3</v>
      </c>
      <c r="R111" s="209">
        <f t="shared" si="12"/>
        <v>3</v>
      </c>
      <c r="S111" s="209">
        <f t="shared" si="13"/>
        <v>7</v>
      </c>
      <c r="T111" s="209">
        <f t="shared" si="14"/>
        <v>4</v>
      </c>
      <c r="U111" s="209" t="str">
        <f t="shared" si="15"/>
        <v>/</v>
      </c>
    </row>
    <row r="112" spans="1:21">
      <c r="A112" s="424" t="s">
        <v>473</v>
      </c>
      <c r="B112" s="211" t="s">
        <v>106</v>
      </c>
      <c r="C112" s="211">
        <v>4</v>
      </c>
      <c r="D112" s="211">
        <v>3</v>
      </c>
      <c r="E112" s="211">
        <v>5</v>
      </c>
      <c r="F112" s="211">
        <v>3</v>
      </c>
      <c r="G112" s="211">
        <v>4</v>
      </c>
      <c r="H112" s="211">
        <v>4</v>
      </c>
      <c r="I112" s="211">
        <v>4</v>
      </c>
      <c r="J112" s="211">
        <v>3</v>
      </c>
      <c r="L112" s="211">
        <v>34.5</v>
      </c>
      <c r="N112" s="209">
        <f t="shared" si="8"/>
        <v>4</v>
      </c>
      <c r="O112" s="209">
        <f t="shared" si="9"/>
        <v>3</v>
      </c>
      <c r="P112" s="209">
        <f t="shared" si="10"/>
        <v>5.5</v>
      </c>
      <c r="Q112" s="209">
        <f t="shared" si="11"/>
        <v>3</v>
      </c>
      <c r="R112" s="209">
        <f t="shared" si="12"/>
        <v>4</v>
      </c>
      <c r="S112" s="209">
        <f t="shared" si="13"/>
        <v>4</v>
      </c>
      <c r="T112" s="209">
        <f t="shared" si="14"/>
        <v>4</v>
      </c>
      <c r="U112" s="209">
        <f t="shared" si="15"/>
        <v>3</v>
      </c>
    </row>
    <row r="113" spans="1:21">
      <c r="A113" s="424" t="s">
        <v>1432</v>
      </c>
      <c r="B113" s="211" t="s">
        <v>109</v>
      </c>
      <c r="C113" s="211">
        <v>3</v>
      </c>
      <c r="D113" s="211">
        <v>4</v>
      </c>
      <c r="E113" s="211">
        <v>4</v>
      </c>
      <c r="F113" s="211">
        <v>4</v>
      </c>
      <c r="G113" s="211">
        <v>2</v>
      </c>
      <c r="H113" s="211">
        <v>5</v>
      </c>
      <c r="I113" s="211">
        <v>4</v>
      </c>
      <c r="J113" s="211">
        <v>4</v>
      </c>
      <c r="L113" s="211">
        <v>30.25</v>
      </c>
      <c r="N113" s="209">
        <f t="shared" si="8"/>
        <v>3</v>
      </c>
      <c r="O113" s="209">
        <f t="shared" si="9"/>
        <v>4</v>
      </c>
      <c r="P113" s="209">
        <f t="shared" si="10"/>
        <v>4</v>
      </c>
      <c r="Q113" s="209">
        <f t="shared" si="11"/>
        <v>4</v>
      </c>
      <c r="R113" s="209">
        <f t="shared" si="12"/>
        <v>2</v>
      </c>
      <c r="S113" s="209">
        <f t="shared" si="13"/>
        <v>5.5</v>
      </c>
      <c r="T113" s="209">
        <f t="shared" si="14"/>
        <v>4</v>
      </c>
      <c r="U113" s="209">
        <f t="shared" si="15"/>
        <v>4</v>
      </c>
    </row>
    <row r="114" spans="1:21">
      <c r="A114" s="424" t="s">
        <v>1432</v>
      </c>
      <c r="B114" s="211" t="s">
        <v>2470</v>
      </c>
      <c r="C114" s="211">
        <v>4</v>
      </c>
      <c r="D114" s="211">
        <v>3</v>
      </c>
      <c r="E114" s="211">
        <v>4</v>
      </c>
      <c r="F114" s="211">
        <v>4</v>
      </c>
      <c r="H114" s="211">
        <v>4</v>
      </c>
      <c r="I114" s="211">
        <v>4</v>
      </c>
      <c r="J114" s="211">
        <v>4</v>
      </c>
      <c r="L114" s="211">
        <v>28</v>
      </c>
      <c r="N114" s="209">
        <f t="shared" si="8"/>
        <v>4</v>
      </c>
      <c r="O114" s="209">
        <f t="shared" si="9"/>
        <v>3</v>
      </c>
      <c r="P114" s="209">
        <f t="shared" si="10"/>
        <v>4</v>
      </c>
      <c r="Q114" s="209">
        <f t="shared" si="11"/>
        <v>4</v>
      </c>
      <c r="R114" s="209" t="str">
        <f t="shared" si="12"/>
        <v>/</v>
      </c>
      <c r="S114" s="209">
        <f t="shared" si="13"/>
        <v>4</v>
      </c>
      <c r="T114" s="209">
        <f t="shared" si="14"/>
        <v>4</v>
      </c>
      <c r="U114" s="209">
        <f t="shared" si="15"/>
        <v>4</v>
      </c>
    </row>
    <row r="115" spans="1:21">
      <c r="A115" s="424" t="s">
        <v>1432</v>
      </c>
      <c r="B115" s="211" t="s">
        <v>106</v>
      </c>
      <c r="C115" s="211">
        <v>4</v>
      </c>
      <c r="D115" s="211">
        <v>4</v>
      </c>
      <c r="E115" s="211">
        <v>3</v>
      </c>
      <c r="F115" s="211">
        <v>4</v>
      </c>
      <c r="H115" s="211">
        <v>5</v>
      </c>
      <c r="I115" s="211">
        <v>4</v>
      </c>
      <c r="J115" s="211">
        <v>2</v>
      </c>
      <c r="L115" s="211">
        <v>26.75</v>
      </c>
      <c r="N115" s="209">
        <f t="shared" si="8"/>
        <v>4</v>
      </c>
      <c r="O115" s="209">
        <f t="shared" si="9"/>
        <v>4</v>
      </c>
      <c r="P115" s="209">
        <f t="shared" si="10"/>
        <v>3</v>
      </c>
      <c r="Q115" s="209">
        <f t="shared" si="11"/>
        <v>4</v>
      </c>
      <c r="R115" s="209" t="str">
        <f t="shared" si="12"/>
        <v>/</v>
      </c>
      <c r="S115" s="209">
        <f t="shared" si="13"/>
        <v>5.5</v>
      </c>
      <c r="T115" s="209">
        <f t="shared" si="14"/>
        <v>4</v>
      </c>
      <c r="U115" s="209">
        <f t="shared" si="15"/>
        <v>2</v>
      </c>
    </row>
    <row r="116" spans="1:21">
      <c r="A116" s="424" t="s">
        <v>474</v>
      </c>
      <c r="B116" s="211" t="s">
        <v>109</v>
      </c>
      <c r="C116" s="211">
        <v>4</v>
      </c>
      <c r="D116" s="211">
        <v>5</v>
      </c>
      <c r="E116" s="211">
        <v>5</v>
      </c>
      <c r="F116" s="211">
        <v>3</v>
      </c>
      <c r="G116" s="211">
        <v>3</v>
      </c>
      <c r="H116" s="211" t="s">
        <v>2471</v>
      </c>
      <c r="I116" s="211">
        <v>5</v>
      </c>
      <c r="J116" s="211">
        <v>5</v>
      </c>
      <c r="L116" s="211">
        <v>41.5</v>
      </c>
      <c r="N116" s="209">
        <f t="shared" si="8"/>
        <v>4</v>
      </c>
      <c r="O116" s="209">
        <f t="shared" si="9"/>
        <v>5.5</v>
      </c>
      <c r="P116" s="209">
        <f t="shared" si="10"/>
        <v>5.5</v>
      </c>
      <c r="Q116" s="209">
        <f t="shared" si="11"/>
        <v>3</v>
      </c>
      <c r="R116" s="209">
        <f t="shared" si="12"/>
        <v>3</v>
      </c>
      <c r="S116" s="209">
        <f t="shared" si="13"/>
        <v>8.5</v>
      </c>
      <c r="T116" s="209">
        <f t="shared" si="14"/>
        <v>5.5</v>
      </c>
      <c r="U116" s="209">
        <f t="shared" si="15"/>
        <v>5.5</v>
      </c>
    </row>
    <row r="117" spans="1:21">
      <c r="A117" s="424" t="s">
        <v>474</v>
      </c>
      <c r="B117" s="211" t="s">
        <v>2470</v>
      </c>
      <c r="C117" s="211">
        <v>3</v>
      </c>
      <c r="D117" s="211">
        <v>4</v>
      </c>
      <c r="E117" s="211">
        <v>5</v>
      </c>
      <c r="F117" s="211" t="s">
        <v>2469</v>
      </c>
      <c r="G117" s="211">
        <v>5</v>
      </c>
      <c r="H117" s="211">
        <v>5</v>
      </c>
      <c r="I117" s="211">
        <v>5</v>
      </c>
      <c r="J117" s="211">
        <v>5</v>
      </c>
      <c r="L117" s="211">
        <v>40</v>
      </c>
      <c r="N117" s="209">
        <f t="shared" si="8"/>
        <v>3</v>
      </c>
      <c r="O117" s="209">
        <f t="shared" si="9"/>
        <v>4</v>
      </c>
      <c r="P117" s="209">
        <f t="shared" si="10"/>
        <v>5.5</v>
      </c>
      <c r="Q117" s="209">
        <f t="shared" si="11"/>
        <v>7</v>
      </c>
      <c r="R117" s="209">
        <f t="shared" si="12"/>
        <v>5.5</v>
      </c>
      <c r="S117" s="209">
        <f t="shared" si="13"/>
        <v>5.5</v>
      </c>
      <c r="T117" s="209">
        <f t="shared" si="14"/>
        <v>5.5</v>
      </c>
      <c r="U117" s="209">
        <f t="shared" si="15"/>
        <v>5.5</v>
      </c>
    </row>
    <row r="118" spans="1:21">
      <c r="A118" s="424" t="s">
        <v>474</v>
      </c>
      <c r="B118" s="211" t="s">
        <v>106</v>
      </c>
      <c r="C118" s="211">
        <v>4</v>
      </c>
      <c r="D118" s="211">
        <v>4</v>
      </c>
      <c r="E118" s="211">
        <v>4</v>
      </c>
      <c r="F118" s="211">
        <v>4</v>
      </c>
      <c r="H118" s="211" t="s">
        <v>2469</v>
      </c>
      <c r="I118" s="211" t="s">
        <v>2469</v>
      </c>
      <c r="J118" s="211">
        <v>5</v>
      </c>
      <c r="L118" s="211">
        <v>38.5</v>
      </c>
      <c r="N118" s="209">
        <f t="shared" si="8"/>
        <v>4</v>
      </c>
      <c r="O118" s="209">
        <f t="shared" si="9"/>
        <v>4</v>
      </c>
      <c r="P118" s="209">
        <f t="shared" si="10"/>
        <v>4</v>
      </c>
      <c r="Q118" s="209">
        <f t="shared" si="11"/>
        <v>4</v>
      </c>
      <c r="R118" s="209" t="str">
        <f t="shared" si="12"/>
        <v>/</v>
      </c>
      <c r="S118" s="209">
        <f t="shared" si="13"/>
        <v>7</v>
      </c>
      <c r="T118" s="209">
        <f t="shared" si="14"/>
        <v>7</v>
      </c>
      <c r="U118" s="209">
        <f t="shared" si="15"/>
        <v>5.5</v>
      </c>
    </row>
    <row r="119" spans="1:21">
      <c r="A119" s="424" t="s">
        <v>1440</v>
      </c>
      <c r="B119" s="211" t="s">
        <v>109</v>
      </c>
      <c r="C119" s="211">
        <v>4</v>
      </c>
      <c r="D119" s="211">
        <v>3</v>
      </c>
      <c r="E119" s="211">
        <v>5</v>
      </c>
      <c r="F119" s="211">
        <v>5</v>
      </c>
      <c r="G119" s="211">
        <v>4</v>
      </c>
      <c r="H119" s="211">
        <v>4</v>
      </c>
      <c r="I119" s="211">
        <v>4</v>
      </c>
      <c r="L119" s="211">
        <v>29.05</v>
      </c>
      <c r="N119" s="209">
        <f t="shared" si="8"/>
        <v>4</v>
      </c>
      <c r="O119" s="209">
        <f t="shared" si="9"/>
        <v>3</v>
      </c>
      <c r="P119" s="209">
        <f t="shared" si="10"/>
        <v>5.5</v>
      </c>
      <c r="Q119" s="209">
        <f t="shared" si="11"/>
        <v>5.5</v>
      </c>
      <c r="R119" s="209">
        <f t="shared" si="12"/>
        <v>4</v>
      </c>
      <c r="S119" s="209">
        <f t="shared" si="13"/>
        <v>4</v>
      </c>
      <c r="T119" s="209">
        <f t="shared" si="14"/>
        <v>4</v>
      </c>
      <c r="U119" s="209" t="str">
        <f t="shared" si="15"/>
        <v>/</v>
      </c>
    </row>
    <row r="120" spans="1:21">
      <c r="A120" s="424" t="s">
        <v>1440</v>
      </c>
      <c r="B120" s="211" t="s">
        <v>2470</v>
      </c>
      <c r="C120" s="211">
        <v>3</v>
      </c>
      <c r="D120" s="211">
        <v>3</v>
      </c>
      <c r="E120" s="211">
        <v>5</v>
      </c>
      <c r="F120" s="211">
        <v>4</v>
      </c>
      <c r="G120" s="211">
        <v>5</v>
      </c>
      <c r="H120" s="211">
        <v>4</v>
      </c>
      <c r="I120" s="211">
        <v>3</v>
      </c>
      <c r="L120" s="211">
        <v>28</v>
      </c>
      <c r="N120" s="209">
        <f t="shared" si="8"/>
        <v>3</v>
      </c>
      <c r="O120" s="209">
        <f t="shared" si="9"/>
        <v>3</v>
      </c>
      <c r="P120" s="209">
        <f t="shared" si="10"/>
        <v>5.5</v>
      </c>
      <c r="Q120" s="209">
        <f t="shared" si="11"/>
        <v>4</v>
      </c>
      <c r="R120" s="209">
        <f t="shared" si="12"/>
        <v>5.5</v>
      </c>
      <c r="S120" s="209">
        <f t="shared" si="13"/>
        <v>4</v>
      </c>
      <c r="T120" s="209">
        <f t="shared" si="14"/>
        <v>3</v>
      </c>
      <c r="U120" s="209" t="str">
        <f t="shared" si="15"/>
        <v>/</v>
      </c>
    </row>
    <row r="121" spans="1:21">
      <c r="A121" s="424" t="s">
        <v>1440</v>
      </c>
      <c r="B121" s="211" t="s">
        <v>106</v>
      </c>
      <c r="C121" s="211">
        <v>3</v>
      </c>
      <c r="D121" s="211">
        <v>3</v>
      </c>
      <c r="E121" s="211" t="s">
        <v>2469</v>
      </c>
      <c r="F121" s="211">
        <v>4</v>
      </c>
      <c r="G121" s="211">
        <v>4</v>
      </c>
      <c r="H121" s="211">
        <v>4</v>
      </c>
      <c r="L121" s="211">
        <v>27.3</v>
      </c>
      <c r="N121" s="209">
        <f t="shared" si="8"/>
        <v>3</v>
      </c>
      <c r="O121" s="209">
        <f t="shared" si="9"/>
        <v>3</v>
      </c>
      <c r="P121" s="209">
        <f t="shared" si="10"/>
        <v>7</v>
      </c>
      <c r="Q121" s="209">
        <f t="shared" si="11"/>
        <v>4</v>
      </c>
      <c r="R121" s="209">
        <f t="shared" si="12"/>
        <v>4</v>
      </c>
      <c r="S121" s="209">
        <f t="shared" si="13"/>
        <v>4</v>
      </c>
      <c r="T121" s="209" t="str">
        <f t="shared" si="14"/>
        <v>/</v>
      </c>
      <c r="U121" s="209" t="str">
        <f t="shared" si="15"/>
        <v>/</v>
      </c>
    </row>
    <row r="122" spans="1:21">
      <c r="A122" s="424" t="s">
        <v>1445</v>
      </c>
      <c r="B122" s="211" t="s">
        <v>109</v>
      </c>
      <c r="C122" s="211">
        <v>4</v>
      </c>
      <c r="D122" s="211">
        <v>4</v>
      </c>
      <c r="E122" s="211" t="s">
        <v>2471</v>
      </c>
      <c r="F122" s="211">
        <v>4</v>
      </c>
      <c r="G122" s="211" t="s">
        <v>2471</v>
      </c>
      <c r="H122" s="211" t="s">
        <v>2471</v>
      </c>
      <c r="I122" s="211" t="s">
        <v>2469</v>
      </c>
      <c r="L122" s="211">
        <v>58</v>
      </c>
      <c r="N122" s="209">
        <f t="shared" si="8"/>
        <v>4</v>
      </c>
      <c r="O122" s="209">
        <f t="shared" si="9"/>
        <v>4</v>
      </c>
      <c r="P122" s="209">
        <f t="shared" si="10"/>
        <v>8.5</v>
      </c>
      <c r="Q122" s="209">
        <f t="shared" si="11"/>
        <v>4</v>
      </c>
      <c r="R122" s="209">
        <f t="shared" si="12"/>
        <v>8.5</v>
      </c>
      <c r="S122" s="209">
        <f t="shared" si="13"/>
        <v>8.5</v>
      </c>
      <c r="T122" s="209">
        <f t="shared" si="14"/>
        <v>7</v>
      </c>
      <c r="U122" s="209" t="str">
        <f t="shared" si="15"/>
        <v>/</v>
      </c>
    </row>
    <row r="123" spans="1:21">
      <c r="A123" s="424" t="s">
        <v>1445</v>
      </c>
      <c r="B123" s="211" t="s">
        <v>2470</v>
      </c>
      <c r="C123" s="211">
        <v>3</v>
      </c>
      <c r="D123" s="211">
        <v>4</v>
      </c>
      <c r="E123" s="211" t="s">
        <v>2471</v>
      </c>
      <c r="F123" s="211">
        <v>3</v>
      </c>
      <c r="G123" s="211" t="s">
        <v>2469</v>
      </c>
      <c r="H123" s="211" t="s">
        <v>2469</v>
      </c>
      <c r="I123" s="211">
        <v>5</v>
      </c>
      <c r="J123" s="211">
        <v>5</v>
      </c>
      <c r="L123" s="211">
        <v>54.125</v>
      </c>
      <c r="N123" s="209">
        <f t="shared" si="8"/>
        <v>3</v>
      </c>
      <c r="O123" s="209">
        <f t="shared" si="9"/>
        <v>4</v>
      </c>
      <c r="P123" s="209">
        <f t="shared" si="10"/>
        <v>8.5</v>
      </c>
      <c r="Q123" s="209">
        <f t="shared" si="11"/>
        <v>3</v>
      </c>
      <c r="R123" s="209">
        <f t="shared" si="12"/>
        <v>7</v>
      </c>
      <c r="S123" s="209">
        <f t="shared" si="13"/>
        <v>7</v>
      </c>
      <c r="T123" s="209">
        <f t="shared" si="14"/>
        <v>5.5</v>
      </c>
      <c r="U123" s="209">
        <f t="shared" si="15"/>
        <v>5.5</v>
      </c>
    </row>
    <row r="124" spans="1:21">
      <c r="A124" s="424" t="s">
        <v>1445</v>
      </c>
      <c r="B124" s="211" t="s">
        <v>106</v>
      </c>
      <c r="C124" s="211">
        <v>3</v>
      </c>
      <c r="D124" s="211">
        <v>4</v>
      </c>
      <c r="E124" s="211" t="s">
        <v>2471</v>
      </c>
      <c r="F124" s="211">
        <v>4</v>
      </c>
      <c r="G124" s="211" t="s">
        <v>2469</v>
      </c>
      <c r="H124" s="211" t="s">
        <v>2469</v>
      </c>
      <c r="I124" s="211">
        <v>5</v>
      </c>
      <c r="J124" s="211">
        <v>5</v>
      </c>
      <c r="L124" s="211">
        <v>51.375</v>
      </c>
      <c r="N124" s="209">
        <f t="shared" si="8"/>
        <v>3</v>
      </c>
      <c r="O124" s="209">
        <f t="shared" si="9"/>
        <v>4</v>
      </c>
      <c r="P124" s="209">
        <f t="shared" si="10"/>
        <v>8.5</v>
      </c>
      <c r="Q124" s="209">
        <f t="shared" si="11"/>
        <v>4</v>
      </c>
      <c r="R124" s="209">
        <f t="shared" si="12"/>
        <v>7</v>
      </c>
      <c r="S124" s="209">
        <f t="shared" si="13"/>
        <v>7</v>
      </c>
      <c r="T124" s="209">
        <f t="shared" si="14"/>
        <v>5.5</v>
      </c>
      <c r="U124" s="209">
        <f t="shared" si="15"/>
        <v>5.5</v>
      </c>
    </row>
    <row r="125" spans="1:21">
      <c r="A125" s="424" t="s">
        <v>470</v>
      </c>
      <c r="B125" s="211" t="s">
        <v>109</v>
      </c>
      <c r="C125" s="211">
        <v>3</v>
      </c>
      <c r="D125" s="211">
        <v>4</v>
      </c>
      <c r="E125" s="211">
        <v>4</v>
      </c>
      <c r="F125" s="211">
        <v>4</v>
      </c>
      <c r="H125" s="211" t="s">
        <v>2469</v>
      </c>
      <c r="I125" s="211">
        <v>5</v>
      </c>
      <c r="J125" s="211">
        <v>4</v>
      </c>
      <c r="L125" s="211">
        <v>34.75</v>
      </c>
      <c r="N125" s="209">
        <f t="shared" si="8"/>
        <v>3</v>
      </c>
      <c r="O125" s="209">
        <f t="shared" si="9"/>
        <v>4</v>
      </c>
      <c r="P125" s="209">
        <f t="shared" si="10"/>
        <v>4</v>
      </c>
      <c r="Q125" s="209">
        <f t="shared" si="11"/>
        <v>4</v>
      </c>
      <c r="R125" s="209" t="str">
        <f t="shared" si="12"/>
        <v>/</v>
      </c>
      <c r="S125" s="209">
        <f t="shared" si="13"/>
        <v>7</v>
      </c>
      <c r="T125" s="209">
        <f t="shared" si="14"/>
        <v>5.5</v>
      </c>
      <c r="U125" s="209">
        <f t="shared" si="15"/>
        <v>4</v>
      </c>
    </row>
    <row r="126" spans="1:21">
      <c r="A126" s="424" t="s">
        <v>470</v>
      </c>
      <c r="B126" s="211" t="s">
        <v>2470</v>
      </c>
      <c r="C126" s="211">
        <v>4</v>
      </c>
      <c r="D126" s="211">
        <v>4</v>
      </c>
      <c r="E126" s="211">
        <v>5</v>
      </c>
      <c r="F126" s="211">
        <v>4</v>
      </c>
      <c r="G126" s="211">
        <v>4</v>
      </c>
      <c r="H126" s="211">
        <v>4</v>
      </c>
      <c r="L126" s="211">
        <v>29.25</v>
      </c>
      <c r="N126" s="209">
        <f t="shared" si="8"/>
        <v>4</v>
      </c>
      <c r="O126" s="209">
        <f t="shared" si="9"/>
        <v>4</v>
      </c>
      <c r="P126" s="209">
        <f t="shared" si="10"/>
        <v>5.5</v>
      </c>
      <c r="Q126" s="209">
        <f t="shared" si="11"/>
        <v>4</v>
      </c>
      <c r="R126" s="209">
        <f t="shared" si="12"/>
        <v>4</v>
      </c>
      <c r="S126" s="209">
        <f t="shared" si="13"/>
        <v>4</v>
      </c>
      <c r="T126" s="209" t="str">
        <f t="shared" si="14"/>
        <v>/</v>
      </c>
      <c r="U126" s="209" t="str">
        <f t="shared" si="15"/>
        <v>/</v>
      </c>
    </row>
    <row r="127" spans="1:21">
      <c r="A127" s="424" t="s">
        <v>470</v>
      </c>
      <c r="B127" s="211" t="s">
        <v>106</v>
      </c>
      <c r="C127" s="211">
        <v>3</v>
      </c>
      <c r="D127" s="211">
        <v>4</v>
      </c>
      <c r="E127" s="211">
        <v>4</v>
      </c>
      <c r="F127" s="211">
        <v>2</v>
      </c>
      <c r="G127" s="211">
        <v>4</v>
      </c>
      <c r="H127" s="211">
        <v>4</v>
      </c>
      <c r="I127" s="211">
        <v>3</v>
      </c>
      <c r="L127" s="211">
        <v>27.5</v>
      </c>
      <c r="N127" s="209">
        <f t="shared" si="8"/>
        <v>3</v>
      </c>
      <c r="O127" s="209">
        <f t="shared" si="9"/>
        <v>4</v>
      </c>
      <c r="P127" s="209">
        <f t="shared" si="10"/>
        <v>4</v>
      </c>
      <c r="Q127" s="209">
        <f t="shared" si="11"/>
        <v>2</v>
      </c>
      <c r="R127" s="209">
        <f t="shared" si="12"/>
        <v>4</v>
      </c>
      <c r="S127" s="209">
        <f t="shared" si="13"/>
        <v>4</v>
      </c>
      <c r="T127" s="209">
        <f t="shared" si="14"/>
        <v>3</v>
      </c>
      <c r="U127" s="209" t="str">
        <f t="shared" si="15"/>
        <v>/</v>
      </c>
    </row>
    <row r="128" spans="1:21">
      <c r="A128" s="424" t="s">
        <v>2473</v>
      </c>
      <c r="B128" s="211" t="s">
        <v>109</v>
      </c>
      <c r="C128" s="211">
        <v>3</v>
      </c>
      <c r="D128" s="211">
        <v>4</v>
      </c>
      <c r="E128" s="211" t="s">
        <v>2469</v>
      </c>
      <c r="F128" s="211">
        <v>4</v>
      </c>
      <c r="G128" s="211">
        <v>5</v>
      </c>
      <c r="H128" s="211">
        <v>5</v>
      </c>
      <c r="I128" s="211">
        <v>5</v>
      </c>
      <c r="L128" s="211">
        <v>31</v>
      </c>
      <c r="N128" s="209">
        <f t="shared" si="8"/>
        <v>3</v>
      </c>
      <c r="O128" s="209">
        <f t="shared" si="9"/>
        <v>4</v>
      </c>
      <c r="P128" s="209">
        <f t="shared" si="10"/>
        <v>7</v>
      </c>
      <c r="Q128" s="209">
        <f t="shared" si="11"/>
        <v>4</v>
      </c>
      <c r="R128" s="209">
        <f t="shared" si="12"/>
        <v>5.5</v>
      </c>
      <c r="S128" s="209">
        <f t="shared" si="13"/>
        <v>5.5</v>
      </c>
      <c r="T128" s="209">
        <f t="shared" si="14"/>
        <v>5.5</v>
      </c>
      <c r="U128" s="209" t="str">
        <f t="shared" si="15"/>
        <v>/</v>
      </c>
    </row>
    <row r="129" spans="1:21">
      <c r="A129" s="424" t="s">
        <v>2473</v>
      </c>
      <c r="B129" s="211" t="s">
        <v>2470</v>
      </c>
      <c r="C129" s="211">
        <v>4</v>
      </c>
      <c r="D129" s="211">
        <v>4</v>
      </c>
      <c r="E129" s="211" t="s">
        <v>2469</v>
      </c>
      <c r="F129" s="211">
        <v>5</v>
      </c>
      <c r="G129" s="211">
        <v>5</v>
      </c>
      <c r="H129" s="211">
        <v>4</v>
      </c>
      <c r="I129" s="211">
        <v>4</v>
      </c>
      <c r="L129" s="211">
        <v>29.5</v>
      </c>
      <c r="N129" s="209">
        <f t="shared" si="8"/>
        <v>4</v>
      </c>
      <c r="O129" s="209">
        <f t="shared" si="9"/>
        <v>4</v>
      </c>
      <c r="P129" s="209">
        <f t="shared" si="10"/>
        <v>7</v>
      </c>
      <c r="Q129" s="209">
        <f t="shared" si="11"/>
        <v>5.5</v>
      </c>
      <c r="R129" s="209">
        <f t="shared" si="12"/>
        <v>5.5</v>
      </c>
      <c r="S129" s="209">
        <f t="shared" si="13"/>
        <v>4</v>
      </c>
      <c r="T129" s="209">
        <f t="shared" si="14"/>
        <v>4</v>
      </c>
      <c r="U129" s="209" t="str">
        <f t="shared" si="15"/>
        <v>/</v>
      </c>
    </row>
    <row r="130" spans="1:21">
      <c r="A130" s="424" t="s">
        <v>2473</v>
      </c>
      <c r="B130" s="211" t="s">
        <v>106</v>
      </c>
      <c r="C130" s="211">
        <v>5</v>
      </c>
      <c r="D130" s="211">
        <v>5</v>
      </c>
      <c r="E130" s="211">
        <v>4</v>
      </c>
      <c r="F130" s="211">
        <v>4</v>
      </c>
      <c r="G130" s="211">
        <v>4</v>
      </c>
      <c r="H130" s="211">
        <v>4</v>
      </c>
      <c r="I130" s="211">
        <v>4</v>
      </c>
      <c r="J130" s="211">
        <v>4</v>
      </c>
      <c r="L130" s="211">
        <v>25</v>
      </c>
      <c r="N130" s="209">
        <f t="shared" ref="N130:N193" si="16">IF(C130=0,"/",IF(C130=5,5.5,IF(C130="5*",7,IF(C130="5**",8.5,C130))))</f>
        <v>5.5</v>
      </c>
      <c r="O130" s="209">
        <f t="shared" ref="O130:O193" si="17">IF(D130=0,"/",IF(D130=5,5.5,IF(D130="5*",7,IF(D130="5**",8.5,D130))))</f>
        <v>5.5</v>
      </c>
      <c r="P130" s="209">
        <f t="shared" ref="P130:P193" si="18">IF(E130=0,"/",IF(E130=5,5.5,IF(E130="5*",7,IF(E130="5**",8.5,E130))))</f>
        <v>4</v>
      </c>
      <c r="Q130" s="209">
        <f t="shared" ref="Q130:Q193" si="19">IF(F130=0,"/",IF(F130=5,5.5,IF(F130="5*",7,IF(F130="5**",8.5,F130))))</f>
        <v>4</v>
      </c>
      <c r="R130" s="209">
        <f t="shared" ref="R130:R193" si="20">IF(G130=0,"/",IF(G130=5,5.5,IF(G130="5*",7,IF(G130="5**",8.5,G130))))</f>
        <v>4</v>
      </c>
      <c r="S130" s="209">
        <f t="shared" ref="S130:S193" si="21">IF(H130=0,"/",IF(H130=5,5.5,IF(H130="5*",7,IF(H130="5**",8.5,H130))))</f>
        <v>4</v>
      </c>
      <c r="T130" s="209">
        <f t="shared" ref="T130:T193" si="22">IF(I130=0,"/",IF(I130=5,5.5,IF(I130="5*",7,IF(I130="5**",8.5,I130))))</f>
        <v>4</v>
      </c>
      <c r="U130" s="209">
        <f t="shared" ref="U130:U193" si="23">IF(J130=0,"/",IF(J130=5,5.5,IF(J130="5*",7,IF(J130="5**",8.5,J130))))</f>
        <v>4</v>
      </c>
    </row>
    <row r="131" spans="1:21">
      <c r="A131" s="424" t="s">
        <v>1367</v>
      </c>
      <c r="B131" s="211" t="s">
        <v>109</v>
      </c>
      <c r="C131" s="211" t="s">
        <v>2471</v>
      </c>
      <c r="D131" s="211" t="s">
        <v>2471</v>
      </c>
      <c r="E131" s="211">
        <v>4</v>
      </c>
      <c r="F131" s="211">
        <v>5</v>
      </c>
      <c r="H131" s="211">
        <v>5</v>
      </c>
      <c r="I131" s="211">
        <v>4</v>
      </c>
      <c r="L131" s="211">
        <v>54.25</v>
      </c>
      <c r="N131" s="209">
        <f t="shared" si="16"/>
        <v>8.5</v>
      </c>
      <c r="O131" s="209">
        <f t="shared" si="17"/>
        <v>8.5</v>
      </c>
      <c r="P131" s="209">
        <f t="shared" si="18"/>
        <v>4</v>
      </c>
      <c r="Q131" s="209">
        <f t="shared" si="19"/>
        <v>5.5</v>
      </c>
      <c r="R131" s="209" t="str">
        <f t="shared" si="20"/>
        <v>/</v>
      </c>
      <c r="S131" s="209">
        <f t="shared" si="21"/>
        <v>5.5</v>
      </c>
      <c r="T131" s="209">
        <f t="shared" si="22"/>
        <v>4</v>
      </c>
      <c r="U131" s="209" t="str">
        <f t="shared" si="23"/>
        <v>/</v>
      </c>
    </row>
    <row r="132" spans="1:21">
      <c r="A132" s="424" t="s">
        <v>1367</v>
      </c>
      <c r="B132" s="211" t="s">
        <v>2470</v>
      </c>
      <c r="C132" s="211" t="s">
        <v>2471</v>
      </c>
      <c r="D132" s="211">
        <v>5</v>
      </c>
      <c r="E132" s="211">
        <v>4</v>
      </c>
      <c r="F132" s="211">
        <v>4</v>
      </c>
      <c r="H132" s="211" t="s">
        <v>2469</v>
      </c>
      <c r="I132" s="211" t="s">
        <v>2469</v>
      </c>
      <c r="J132" s="211" t="s">
        <v>2469</v>
      </c>
      <c r="L132" s="211">
        <v>49.75</v>
      </c>
      <c r="N132" s="209">
        <f t="shared" si="16"/>
        <v>8.5</v>
      </c>
      <c r="O132" s="209">
        <f t="shared" si="17"/>
        <v>5.5</v>
      </c>
      <c r="P132" s="209">
        <f t="shared" si="18"/>
        <v>4</v>
      </c>
      <c r="Q132" s="209">
        <f t="shared" si="19"/>
        <v>4</v>
      </c>
      <c r="R132" s="209" t="str">
        <f t="shared" si="20"/>
        <v>/</v>
      </c>
      <c r="S132" s="209">
        <f t="shared" si="21"/>
        <v>7</v>
      </c>
      <c r="T132" s="209">
        <f t="shared" si="22"/>
        <v>7</v>
      </c>
      <c r="U132" s="209">
        <f t="shared" si="23"/>
        <v>7</v>
      </c>
    </row>
    <row r="133" spans="1:21">
      <c r="A133" s="424" t="s">
        <v>1367</v>
      </c>
      <c r="B133" s="211" t="s">
        <v>106</v>
      </c>
      <c r="C133" s="211" t="s">
        <v>2469</v>
      </c>
      <c r="D133" s="211" t="s">
        <v>2469</v>
      </c>
      <c r="E133" s="211">
        <v>5</v>
      </c>
      <c r="F133" s="211">
        <v>4</v>
      </c>
      <c r="H133" s="211" t="s">
        <v>2469</v>
      </c>
      <c r="I133" s="211">
        <v>5</v>
      </c>
      <c r="L133" s="211">
        <v>50.5</v>
      </c>
      <c r="N133" s="209">
        <f t="shared" si="16"/>
        <v>7</v>
      </c>
      <c r="O133" s="209">
        <f t="shared" si="17"/>
        <v>7</v>
      </c>
      <c r="P133" s="209">
        <f t="shared" si="18"/>
        <v>5.5</v>
      </c>
      <c r="Q133" s="209">
        <f t="shared" si="19"/>
        <v>4</v>
      </c>
      <c r="R133" s="209" t="str">
        <f t="shared" si="20"/>
        <v>/</v>
      </c>
      <c r="S133" s="209">
        <f t="shared" si="21"/>
        <v>7</v>
      </c>
      <c r="T133" s="209">
        <f t="shared" si="22"/>
        <v>5.5</v>
      </c>
      <c r="U133" s="209" t="str">
        <f t="shared" si="23"/>
        <v>/</v>
      </c>
    </row>
    <row r="134" spans="1:21">
      <c r="A134" s="424" t="s">
        <v>1558</v>
      </c>
      <c r="B134" s="211" t="s">
        <v>109</v>
      </c>
      <c r="C134" s="211">
        <v>4</v>
      </c>
      <c r="D134" s="211" t="s">
        <v>2469</v>
      </c>
      <c r="E134" s="211">
        <v>5</v>
      </c>
      <c r="F134" s="211" t="s">
        <v>2469</v>
      </c>
      <c r="H134" s="211">
        <v>4</v>
      </c>
      <c r="I134" s="211">
        <v>4</v>
      </c>
      <c r="L134" s="211">
        <v>47.5</v>
      </c>
      <c r="N134" s="209">
        <f t="shared" si="16"/>
        <v>4</v>
      </c>
      <c r="O134" s="209">
        <f t="shared" si="17"/>
        <v>7</v>
      </c>
      <c r="P134" s="209">
        <f t="shared" si="18"/>
        <v>5.5</v>
      </c>
      <c r="Q134" s="209">
        <f t="shared" si="19"/>
        <v>7</v>
      </c>
      <c r="R134" s="209" t="str">
        <f t="shared" si="20"/>
        <v>/</v>
      </c>
      <c r="S134" s="209">
        <f t="shared" si="21"/>
        <v>4</v>
      </c>
      <c r="T134" s="209">
        <f t="shared" si="22"/>
        <v>4</v>
      </c>
      <c r="U134" s="209" t="str">
        <f t="shared" si="23"/>
        <v>/</v>
      </c>
    </row>
    <row r="135" spans="1:21">
      <c r="A135" s="424" t="s">
        <v>1558</v>
      </c>
      <c r="B135" s="211" t="s">
        <v>2470</v>
      </c>
      <c r="C135" s="211">
        <v>5</v>
      </c>
      <c r="D135" s="211" t="s">
        <v>2469</v>
      </c>
      <c r="E135" s="211">
        <v>5</v>
      </c>
      <c r="F135" s="211">
        <v>4</v>
      </c>
      <c r="H135" s="211">
        <v>5</v>
      </c>
      <c r="I135" s="211">
        <v>4</v>
      </c>
      <c r="J135" s="211">
        <v>4</v>
      </c>
      <c r="L135" s="211">
        <v>45.25</v>
      </c>
      <c r="N135" s="209">
        <f t="shared" si="16"/>
        <v>5.5</v>
      </c>
      <c r="O135" s="209">
        <f t="shared" si="17"/>
        <v>7</v>
      </c>
      <c r="P135" s="209">
        <f t="shared" si="18"/>
        <v>5.5</v>
      </c>
      <c r="Q135" s="209">
        <f t="shared" si="19"/>
        <v>4</v>
      </c>
      <c r="R135" s="209" t="str">
        <f t="shared" si="20"/>
        <v>/</v>
      </c>
      <c r="S135" s="209">
        <f t="shared" si="21"/>
        <v>5.5</v>
      </c>
      <c r="T135" s="209">
        <f t="shared" si="22"/>
        <v>4</v>
      </c>
      <c r="U135" s="209">
        <f t="shared" si="23"/>
        <v>4</v>
      </c>
    </row>
    <row r="136" spans="1:21">
      <c r="A136" s="424" t="s">
        <v>1558</v>
      </c>
      <c r="B136" s="211" t="s">
        <v>106</v>
      </c>
      <c r="C136" s="211">
        <v>5</v>
      </c>
      <c r="D136" s="211">
        <v>5</v>
      </c>
      <c r="E136" s="211">
        <v>4</v>
      </c>
      <c r="F136" s="211">
        <v>5</v>
      </c>
      <c r="H136" s="211">
        <v>5</v>
      </c>
      <c r="I136" s="211">
        <v>4</v>
      </c>
      <c r="J136" s="211">
        <v>3</v>
      </c>
      <c r="L136" s="211">
        <v>43.75</v>
      </c>
      <c r="N136" s="209">
        <f t="shared" si="16"/>
        <v>5.5</v>
      </c>
      <c r="O136" s="209">
        <f t="shared" si="17"/>
        <v>5.5</v>
      </c>
      <c r="P136" s="209">
        <f t="shared" si="18"/>
        <v>4</v>
      </c>
      <c r="Q136" s="209">
        <f t="shared" si="19"/>
        <v>5.5</v>
      </c>
      <c r="R136" s="209" t="str">
        <f t="shared" si="20"/>
        <v>/</v>
      </c>
      <c r="S136" s="209">
        <f t="shared" si="21"/>
        <v>5.5</v>
      </c>
      <c r="T136" s="209">
        <f t="shared" si="22"/>
        <v>4</v>
      </c>
      <c r="U136" s="209">
        <f t="shared" si="23"/>
        <v>3</v>
      </c>
    </row>
    <row r="137" spans="1:21">
      <c r="A137" s="424" t="s">
        <v>1449</v>
      </c>
      <c r="B137" s="211" t="s">
        <v>109</v>
      </c>
      <c r="C137" s="211">
        <v>5</v>
      </c>
      <c r="D137" s="211" t="s">
        <v>2471</v>
      </c>
      <c r="E137" s="211" t="s">
        <v>2471</v>
      </c>
      <c r="F137" s="211">
        <v>5</v>
      </c>
      <c r="G137" s="211">
        <v>5</v>
      </c>
      <c r="H137" s="211" t="s">
        <v>2471</v>
      </c>
      <c r="I137" s="211" t="s">
        <v>2471</v>
      </c>
      <c r="J137" s="211" t="s">
        <v>2469</v>
      </c>
      <c r="L137" s="211">
        <v>44</v>
      </c>
      <c r="N137" s="209">
        <f t="shared" si="16"/>
        <v>5.5</v>
      </c>
      <c r="O137" s="209">
        <f t="shared" si="17"/>
        <v>8.5</v>
      </c>
      <c r="P137" s="209">
        <f t="shared" si="18"/>
        <v>8.5</v>
      </c>
      <c r="Q137" s="209">
        <f t="shared" si="19"/>
        <v>5.5</v>
      </c>
      <c r="R137" s="209">
        <f t="shared" si="20"/>
        <v>5.5</v>
      </c>
      <c r="S137" s="209">
        <f t="shared" si="21"/>
        <v>8.5</v>
      </c>
      <c r="T137" s="209">
        <f t="shared" si="22"/>
        <v>8.5</v>
      </c>
      <c r="U137" s="209">
        <f t="shared" si="23"/>
        <v>7</v>
      </c>
    </row>
    <row r="138" spans="1:21">
      <c r="A138" s="424" t="s">
        <v>1449</v>
      </c>
      <c r="B138" s="211" t="s">
        <v>2470</v>
      </c>
      <c r="C138" s="211" t="s">
        <v>2471</v>
      </c>
      <c r="D138" s="211" t="s">
        <v>2469</v>
      </c>
      <c r="E138" s="211" t="s">
        <v>2469</v>
      </c>
      <c r="F138" s="211">
        <v>5</v>
      </c>
      <c r="G138" s="211">
        <v>5</v>
      </c>
      <c r="H138" s="211" t="s">
        <v>2471</v>
      </c>
      <c r="I138" s="211" t="s">
        <v>2469</v>
      </c>
      <c r="J138" s="211" t="s">
        <v>2469</v>
      </c>
      <c r="L138" s="211">
        <v>43</v>
      </c>
      <c r="N138" s="209">
        <f t="shared" si="16"/>
        <v>8.5</v>
      </c>
      <c r="O138" s="209">
        <f t="shared" si="17"/>
        <v>7</v>
      </c>
      <c r="P138" s="209">
        <f t="shared" si="18"/>
        <v>7</v>
      </c>
      <c r="Q138" s="209">
        <f t="shared" si="19"/>
        <v>5.5</v>
      </c>
      <c r="R138" s="209">
        <f t="shared" si="20"/>
        <v>5.5</v>
      </c>
      <c r="S138" s="209">
        <f t="shared" si="21"/>
        <v>8.5</v>
      </c>
      <c r="T138" s="209">
        <f t="shared" si="22"/>
        <v>7</v>
      </c>
      <c r="U138" s="209">
        <f t="shared" si="23"/>
        <v>7</v>
      </c>
    </row>
    <row r="139" spans="1:21">
      <c r="A139" s="424" t="s">
        <v>1449</v>
      </c>
      <c r="B139" s="211" t="s">
        <v>106</v>
      </c>
      <c r="C139" s="211" t="s">
        <v>2471</v>
      </c>
      <c r="D139" s="211" t="s">
        <v>2471</v>
      </c>
      <c r="E139" s="211">
        <v>5</v>
      </c>
      <c r="F139" s="211">
        <v>5</v>
      </c>
      <c r="G139" s="211">
        <v>5</v>
      </c>
      <c r="H139" s="211" t="s">
        <v>2469</v>
      </c>
      <c r="I139" s="211" t="s">
        <v>2469</v>
      </c>
      <c r="J139" s="211">
        <v>5</v>
      </c>
      <c r="L139" s="211">
        <v>41</v>
      </c>
      <c r="N139" s="209">
        <f t="shared" si="16"/>
        <v>8.5</v>
      </c>
      <c r="O139" s="209">
        <f t="shared" si="17"/>
        <v>8.5</v>
      </c>
      <c r="P139" s="209">
        <f t="shared" si="18"/>
        <v>5.5</v>
      </c>
      <c r="Q139" s="209">
        <f t="shared" si="19"/>
        <v>5.5</v>
      </c>
      <c r="R139" s="209">
        <f t="shared" si="20"/>
        <v>5.5</v>
      </c>
      <c r="S139" s="209">
        <f t="shared" si="21"/>
        <v>7</v>
      </c>
      <c r="T139" s="209">
        <f t="shared" si="22"/>
        <v>7</v>
      </c>
      <c r="U139" s="209">
        <f t="shared" si="23"/>
        <v>5.5</v>
      </c>
    </row>
    <row r="140" spans="1:21">
      <c r="A140" s="424" t="s">
        <v>487</v>
      </c>
      <c r="B140" s="211" t="s">
        <v>109</v>
      </c>
      <c r="C140" s="211" t="s">
        <v>2471</v>
      </c>
      <c r="D140" s="211" t="s">
        <v>2469</v>
      </c>
      <c r="E140" s="211" t="s">
        <v>2469</v>
      </c>
      <c r="F140" s="211" t="s">
        <v>2471</v>
      </c>
      <c r="G140" s="211" t="s">
        <v>2471</v>
      </c>
      <c r="H140" s="211" t="s">
        <v>2471</v>
      </c>
      <c r="I140" s="211" t="s">
        <v>2471</v>
      </c>
      <c r="J140" s="211" t="s">
        <v>2471</v>
      </c>
      <c r="L140" s="211">
        <v>47.5</v>
      </c>
      <c r="N140" s="209">
        <f t="shared" si="16"/>
        <v>8.5</v>
      </c>
      <c r="O140" s="209">
        <f t="shared" si="17"/>
        <v>7</v>
      </c>
      <c r="P140" s="209">
        <f t="shared" si="18"/>
        <v>7</v>
      </c>
      <c r="Q140" s="209">
        <f t="shared" si="19"/>
        <v>8.5</v>
      </c>
      <c r="R140" s="209">
        <f t="shared" si="20"/>
        <v>8.5</v>
      </c>
      <c r="S140" s="209">
        <f t="shared" si="21"/>
        <v>8.5</v>
      </c>
      <c r="T140" s="209">
        <f t="shared" si="22"/>
        <v>8.5</v>
      </c>
      <c r="U140" s="209">
        <f t="shared" si="23"/>
        <v>8.5</v>
      </c>
    </row>
    <row r="141" spans="1:21">
      <c r="A141" s="424" t="s">
        <v>487</v>
      </c>
      <c r="B141" s="211" t="s">
        <v>2470</v>
      </c>
      <c r="C141" s="211" t="s">
        <v>2469</v>
      </c>
      <c r="D141" s="211" t="s">
        <v>2471</v>
      </c>
      <c r="E141" s="211" t="s">
        <v>2471</v>
      </c>
      <c r="F141" s="211" t="s">
        <v>2471</v>
      </c>
      <c r="G141" s="211" t="s">
        <v>2469</v>
      </c>
      <c r="H141" s="211" t="s">
        <v>2471</v>
      </c>
      <c r="I141" s="211" t="s">
        <v>2471</v>
      </c>
      <c r="J141" s="211" t="s">
        <v>2469</v>
      </c>
      <c r="L141" s="211">
        <v>47</v>
      </c>
      <c r="N141" s="209">
        <f t="shared" si="16"/>
        <v>7</v>
      </c>
      <c r="O141" s="209">
        <f t="shared" si="17"/>
        <v>8.5</v>
      </c>
      <c r="P141" s="209">
        <f t="shared" si="18"/>
        <v>8.5</v>
      </c>
      <c r="Q141" s="209">
        <f t="shared" si="19"/>
        <v>8.5</v>
      </c>
      <c r="R141" s="209">
        <f t="shared" si="20"/>
        <v>7</v>
      </c>
      <c r="S141" s="209">
        <f t="shared" si="21"/>
        <v>8.5</v>
      </c>
      <c r="T141" s="209">
        <f t="shared" si="22"/>
        <v>8.5</v>
      </c>
      <c r="U141" s="209">
        <f t="shared" si="23"/>
        <v>7</v>
      </c>
    </row>
    <row r="142" spans="1:21">
      <c r="A142" s="424" t="s">
        <v>487</v>
      </c>
      <c r="B142" s="211" t="s">
        <v>106</v>
      </c>
      <c r="C142" s="211" t="s">
        <v>2471</v>
      </c>
      <c r="D142" s="211" t="s">
        <v>2471</v>
      </c>
      <c r="E142" s="211" t="s">
        <v>2469</v>
      </c>
      <c r="F142" s="211" t="s">
        <v>2469</v>
      </c>
      <c r="H142" s="211" t="s">
        <v>2471</v>
      </c>
      <c r="I142" s="211" t="s">
        <v>2471</v>
      </c>
      <c r="J142" s="211" t="s">
        <v>2469</v>
      </c>
      <c r="L142" s="211">
        <v>46</v>
      </c>
      <c r="N142" s="209">
        <f t="shared" si="16"/>
        <v>8.5</v>
      </c>
      <c r="O142" s="209">
        <f t="shared" si="17"/>
        <v>8.5</v>
      </c>
      <c r="P142" s="209">
        <f t="shared" si="18"/>
        <v>7</v>
      </c>
      <c r="Q142" s="209">
        <f t="shared" si="19"/>
        <v>7</v>
      </c>
      <c r="R142" s="209" t="str">
        <f t="shared" si="20"/>
        <v>/</v>
      </c>
      <c r="S142" s="209">
        <f t="shared" si="21"/>
        <v>8.5</v>
      </c>
      <c r="T142" s="209">
        <f t="shared" si="22"/>
        <v>8.5</v>
      </c>
      <c r="U142" s="209">
        <f t="shared" si="23"/>
        <v>7</v>
      </c>
    </row>
    <row r="143" spans="1:21">
      <c r="A143" s="424" t="s">
        <v>1458</v>
      </c>
      <c r="B143" s="211" t="s">
        <v>109</v>
      </c>
      <c r="C143" s="211">
        <v>5</v>
      </c>
      <c r="D143" s="211">
        <v>4</v>
      </c>
      <c r="E143" s="211">
        <v>5</v>
      </c>
      <c r="F143" s="211">
        <v>5</v>
      </c>
      <c r="H143" s="211" t="s">
        <v>2469</v>
      </c>
      <c r="I143" s="211">
        <v>5</v>
      </c>
      <c r="J143" s="211">
        <v>4</v>
      </c>
      <c r="L143" s="211">
        <v>34.1</v>
      </c>
      <c r="N143" s="209">
        <f t="shared" si="16"/>
        <v>5.5</v>
      </c>
      <c r="O143" s="209">
        <f t="shared" si="17"/>
        <v>4</v>
      </c>
      <c r="P143" s="209">
        <f t="shared" si="18"/>
        <v>5.5</v>
      </c>
      <c r="Q143" s="209">
        <f t="shared" si="19"/>
        <v>5.5</v>
      </c>
      <c r="R143" s="209" t="str">
        <f t="shared" si="20"/>
        <v>/</v>
      </c>
      <c r="S143" s="209">
        <f t="shared" si="21"/>
        <v>7</v>
      </c>
      <c r="T143" s="209">
        <f t="shared" si="22"/>
        <v>5.5</v>
      </c>
      <c r="U143" s="209">
        <f t="shared" si="23"/>
        <v>4</v>
      </c>
    </row>
    <row r="144" spans="1:21">
      <c r="A144" s="424" t="s">
        <v>1458</v>
      </c>
      <c r="B144" s="211" t="s">
        <v>2470</v>
      </c>
      <c r="C144" s="211">
        <v>4</v>
      </c>
      <c r="D144" s="211">
        <v>4</v>
      </c>
      <c r="E144" s="211">
        <v>4</v>
      </c>
      <c r="F144" s="211">
        <v>5</v>
      </c>
      <c r="H144" s="211" t="s">
        <v>2469</v>
      </c>
      <c r="I144" s="211" t="s">
        <v>2469</v>
      </c>
      <c r="L144" s="211">
        <v>32.9</v>
      </c>
      <c r="N144" s="209">
        <f t="shared" si="16"/>
        <v>4</v>
      </c>
      <c r="O144" s="209">
        <f t="shared" si="17"/>
        <v>4</v>
      </c>
      <c r="P144" s="209">
        <f t="shared" si="18"/>
        <v>4</v>
      </c>
      <c r="Q144" s="209">
        <f t="shared" si="19"/>
        <v>5.5</v>
      </c>
      <c r="R144" s="209" t="str">
        <f t="shared" si="20"/>
        <v>/</v>
      </c>
      <c r="S144" s="209">
        <f t="shared" si="21"/>
        <v>7</v>
      </c>
      <c r="T144" s="209">
        <f t="shared" si="22"/>
        <v>7</v>
      </c>
      <c r="U144" s="209" t="str">
        <f t="shared" si="23"/>
        <v>/</v>
      </c>
    </row>
    <row r="145" spans="1:21">
      <c r="A145" s="424" t="s">
        <v>1458</v>
      </c>
      <c r="B145" s="211" t="s">
        <v>106</v>
      </c>
      <c r="C145" s="211">
        <v>5</v>
      </c>
      <c r="D145" s="211">
        <v>4</v>
      </c>
      <c r="E145" s="211">
        <v>5</v>
      </c>
      <c r="F145" s="211">
        <v>4</v>
      </c>
      <c r="H145" s="211">
        <v>5</v>
      </c>
      <c r="I145" s="211">
        <v>5</v>
      </c>
      <c r="J145" s="211">
        <v>4</v>
      </c>
      <c r="L145" s="211">
        <v>31.1</v>
      </c>
      <c r="N145" s="209">
        <f t="shared" si="16"/>
        <v>5.5</v>
      </c>
      <c r="O145" s="209">
        <f t="shared" si="17"/>
        <v>4</v>
      </c>
      <c r="P145" s="209">
        <f t="shared" si="18"/>
        <v>5.5</v>
      </c>
      <c r="Q145" s="209">
        <f t="shared" si="19"/>
        <v>4</v>
      </c>
      <c r="R145" s="209" t="str">
        <f t="shared" si="20"/>
        <v>/</v>
      </c>
      <c r="S145" s="209">
        <f t="shared" si="21"/>
        <v>5.5</v>
      </c>
      <c r="T145" s="209">
        <f t="shared" si="22"/>
        <v>5.5</v>
      </c>
      <c r="U145" s="209">
        <f t="shared" si="23"/>
        <v>4</v>
      </c>
    </row>
    <row r="146" spans="1:21">
      <c r="A146" s="424" t="s">
        <v>1461</v>
      </c>
      <c r="B146" s="211" t="s">
        <v>109</v>
      </c>
      <c r="C146" s="211" t="s">
        <v>2469</v>
      </c>
      <c r="D146" s="211">
        <v>4</v>
      </c>
      <c r="E146" s="211" t="s">
        <v>2469</v>
      </c>
      <c r="F146" s="211">
        <v>5</v>
      </c>
      <c r="G146" s="211">
        <v>4</v>
      </c>
      <c r="H146" s="211" t="s">
        <v>2469</v>
      </c>
      <c r="I146" s="211">
        <v>5</v>
      </c>
      <c r="L146" s="211">
        <v>36</v>
      </c>
      <c r="N146" s="209">
        <f t="shared" si="16"/>
        <v>7</v>
      </c>
      <c r="O146" s="209">
        <f t="shared" si="17"/>
        <v>4</v>
      </c>
      <c r="P146" s="209">
        <f t="shared" si="18"/>
        <v>7</v>
      </c>
      <c r="Q146" s="209">
        <f t="shared" si="19"/>
        <v>5.5</v>
      </c>
      <c r="R146" s="209">
        <f t="shared" si="20"/>
        <v>4</v>
      </c>
      <c r="S146" s="209">
        <f t="shared" si="21"/>
        <v>7</v>
      </c>
      <c r="T146" s="209">
        <f t="shared" si="22"/>
        <v>5.5</v>
      </c>
      <c r="U146" s="209" t="str">
        <f t="shared" si="23"/>
        <v>/</v>
      </c>
    </row>
    <row r="147" spans="1:21">
      <c r="A147" s="424" t="s">
        <v>1461</v>
      </c>
      <c r="B147" s="211" t="s">
        <v>2470</v>
      </c>
      <c r="C147" s="211">
        <v>5</v>
      </c>
      <c r="D147" s="211">
        <v>5</v>
      </c>
      <c r="E147" s="211" t="s">
        <v>2469</v>
      </c>
      <c r="F147" s="211">
        <v>4</v>
      </c>
      <c r="G147" s="211">
        <v>3</v>
      </c>
      <c r="H147" s="211" t="s">
        <v>2469</v>
      </c>
      <c r="I147" s="211">
        <v>5</v>
      </c>
      <c r="J147" s="211">
        <v>4</v>
      </c>
      <c r="L147" s="211">
        <v>34.5</v>
      </c>
      <c r="N147" s="209">
        <f t="shared" si="16"/>
        <v>5.5</v>
      </c>
      <c r="O147" s="209">
        <f t="shared" si="17"/>
        <v>5.5</v>
      </c>
      <c r="P147" s="209">
        <f t="shared" si="18"/>
        <v>7</v>
      </c>
      <c r="Q147" s="209">
        <f t="shared" si="19"/>
        <v>4</v>
      </c>
      <c r="R147" s="209">
        <f t="shared" si="20"/>
        <v>3</v>
      </c>
      <c r="S147" s="209">
        <f t="shared" si="21"/>
        <v>7</v>
      </c>
      <c r="T147" s="209">
        <f t="shared" si="22"/>
        <v>5.5</v>
      </c>
      <c r="U147" s="209">
        <f t="shared" si="23"/>
        <v>4</v>
      </c>
    </row>
    <row r="148" spans="1:21">
      <c r="A148" s="424" t="s">
        <v>1461</v>
      </c>
      <c r="B148" s="211" t="s">
        <v>106</v>
      </c>
      <c r="C148" s="211" t="s">
        <v>2469</v>
      </c>
      <c r="D148" s="211">
        <v>5</v>
      </c>
      <c r="E148" s="211">
        <v>4</v>
      </c>
      <c r="F148" s="211">
        <v>4</v>
      </c>
      <c r="H148" s="211" t="s">
        <v>2469</v>
      </c>
      <c r="I148" s="211">
        <v>5</v>
      </c>
      <c r="J148" s="211">
        <v>5</v>
      </c>
      <c r="L148" s="211">
        <v>33</v>
      </c>
      <c r="N148" s="209">
        <f t="shared" si="16"/>
        <v>7</v>
      </c>
      <c r="O148" s="209">
        <f t="shared" si="17"/>
        <v>5.5</v>
      </c>
      <c r="P148" s="209">
        <f t="shared" si="18"/>
        <v>4</v>
      </c>
      <c r="Q148" s="209">
        <f t="shared" si="19"/>
        <v>4</v>
      </c>
      <c r="R148" s="209" t="str">
        <f t="shared" si="20"/>
        <v>/</v>
      </c>
      <c r="S148" s="209">
        <f t="shared" si="21"/>
        <v>7</v>
      </c>
      <c r="T148" s="209">
        <f t="shared" si="22"/>
        <v>5.5</v>
      </c>
      <c r="U148" s="209">
        <f t="shared" si="23"/>
        <v>5.5</v>
      </c>
    </row>
    <row r="149" spans="1:21">
      <c r="A149" s="424" t="s">
        <v>1464</v>
      </c>
      <c r="B149" s="211" t="s">
        <v>109</v>
      </c>
      <c r="C149" s="211">
        <v>5</v>
      </c>
      <c r="D149" s="211">
        <v>4</v>
      </c>
      <c r="E149" s="211">
        <v>4</v>
      </c>
      <c r="F149" s="211">
        <v>5</v>
      </c>
      <c r="H149" s="211">
        <v>5</v>
      </c>
      <c r="I149" s="211">
        <v>4</v>
      </c>
      <c r="J149" s="211">
        <v>4</v>
      </c>
      <c r="L149" s="211">
        <v>24.5</v>
      </c>
      <c r="N149" s="209">
        <f t="shared" si="16"/>
        <v>5.5</v>
      </c>
      <c r="O149" s="209">
        <f t="shared" si="17"/>
        <v>4</v>
      </c>
      <c r="P149" s="209">
        <f t="shared" si="18"/>
        <v>4</v>
      </c>
      <c r="Q149" s="209">
        <f t="shared" si="19"/>
        <v>5.5</v>
      </c>
      <c r="R149" s="209" t="str">
        <f t="shared" si="20"/>
        <v>/</v>
      </c>
      <c r="S149" s="209">
        <f t="shared" si="21"/>
        <v>5.5</v>
      </c>
      <c r="T149" s="209">
        <f t="shared" si="22"/>
        <v>4</v>
      </c>
      <c r="U149" s="209">
        <f t="shared" si="23"/>
        <v>4</v>
      </c>
    </row>
    <row r="150" spans="1:21">
      <c r="A150" s="424" t="s">
        <v>1464</v>
      </c>
      <c r="B150" s="211" t="s">
        <v>2470</v>
      </c>
      <c r="C150" s="211">
        <v>5</v>
      </c>
      <c r="D150" s="211">
        <v>4</v>
      </c>
      <c r="E150" s="211">
        <v>5</v>
      </c>
      <c r="F150" s="211">
        <v>5</v>
      </c>
      <c r="H150" s="211">
        <v>4</v>
      </c>
      <c r="I150" s="211">
        <v>4</v>
      </c>
      <c r="L150" s="211">
        <v>24.5</v>
      </c>
      <c r="N150" s="209">
        <f t="shared" si="16"/>
        <v>5.5</v>
      </c>
      <c r="O150" s="209">
        <f t="shared" si="17"/>
        <v>4</v>
      </c>
      <c r="P150" s="209">
        <f t="shared" si="18"/>
        <v>5.5</v>
      </c>
      <c r="Q150" s="209">
        <f t="shared" si="19"/>
        <v>5.5</v>
      </c>
      <c r="R150" s="209" t="str">
        <f t="shared" si="20"/>
        <v>/</v>
      </c>
      <c r="S150" s="209">
        <f t="shared" si="21"/>
        <v>4</v>
      </c>
      <c r="T150" s="209">
        <f t="shared" si="22"/>
        <v>4</v>
      </c>
      <c r="U150" s="209" t="str">
        <f t="shared" si="23"/>
        <v>/</v>
      </c>
    </row>
    <row r="151" spans="1:21">
      <c r="A151" s="424" t="s">
        <v>1464</v>
      </c>
      <c r="B151" s="211" t="s">
        <v>106</v>
      </c>
      <c r="C151" s="211">
        <v>5</v>
      </c>
      <c r="D151" s="211">
        <v>3</v>
      </c>
      <c r="E151" s="211">
        <v>4</v>
      </c>
      <c r="F151" s="211">
        <v>4</v>
      </c>
      <c r="H151" s="211" t="s">
        <v>2469</v>
      </c>
      <c r="I151" s="211">
        <v>3</v>
      </c>
      <c r="J151" s="211">
        <v>3</v>
      </c>
      <c r="L151" s="211">
        <v>23.5</v>
      </c>
      <c r="N151" s="209">
        <f t="shared" si="16"/>
        <v>5.5</v>
      </c>
      <c r="O151" s="209">
        <f t="shared" si="17"/>
        <v>3</v>
      </c>
      <c r="P151" s="209">
        <f t="shared" si="18"/>
        <v>4</v>
      </c>
      <c r="Q151" s="209">
        <f t="shared" si="19"/>
        <v>4</v>
      </c>
      <c r="R151" s="209" t="str">
        <f t="shared" si="20"/>
        <v>/</v>
      </c>
      <c r="S151" s="209">
        <f t="shared" si="21"/>
        <v>7</v>
      </c>
      <c r="T151" s="209">
        <f t="shared" si="22"/>
        <v>3</v>
      </c>
      <c r="U151" s="209">
        <f t="shared" si="23"/>
        <v>3</v>
      </c>
    </row>
    <row r="152" spans="1:21">
      <c r="A152" s="424" t="s">
        <v>1467</v>
      </c>
      <c r="B152" s="211" t="s">
        <v>109</v>
      </c>
      <c r="C152" s="211">
        <v>4</v>
      </c>
      <c r="D152" s="211">
        <v>5</v>
      </c>
      <c r="E152" s="211" t="s">
        <v>2469</v>
      </c>
      <c r="F152" s="211">
        <v>4</v>
      </c>
      <c r="H152" s="211" t="s">
        <v>2469</v>
      </c>
      <c r="I152" s="211" t="s">
        <v>2469</v>
      </c>
      <c r="L152" s="211">
        <v>34.5</v>
      </c>
      <c r="N152" s="209">
        <f t="shared" si="16"/>
        <v>4</v>
      </c>
      <c r="O152" s="209">
        <f t="shared" si="17"/>
        <v>5.5</v>
      </c>
      <c r="P152" s="209">
        <f t="shared" si="18"/>
        <v>7</v>
      </c>
      <c r="Q152" s="209">
        <f t="shared" si="19"/>
        <v>4</v>
      </c>
      <c r="R152" s="209" t="str">
        <f t="shared" si="20"/>
        <v>/</v>
      </c>
      <c r="S152" s="209">
        <f t="shared" si="21"/>
        <v>7</v>
      </c>
      <c r="T152" s="209">
        <f t="shared" si="22"/>
        <v>7</v>
      </c>
      <c r="U152" s="209" t="str">
        <f t="shared" si="23"/>
        <v>/</v>
      </c>
    </row>
    <row r="153" spans="1:21">
      <c r="A153" s="424" t="s">
        <v>1467</v>
      </c>
      <c r="B153" s="211" t="s">
        <v>2470</v>
      </c>
      <c r="C153" s="211" t="s">
        <v>2469</v>
      </c>
      <c r="D153" s="211">
        <v>3</v>
      </c>
      <c r="E153" s="211" t="s">
        <v>2469</v>
      </c>
      <c r="F153" s="211">
        <v>4</v>
      </c>
      <c r="G153" s="211">
        <v>5</v>
      </c>
      <c r="H153" s="211">
        <v>5</v>
      </c>
      <c r="I153" s="211">
        <v>4</v>
      </c>
      <c r="L153" s="211">
        <v>32</v>
      </c>
      <c r="N153" s="209">
        <f t="shared" si="16"/>
        <v>7</v>
      </c>
      <c r="O153" s="209">
        <f t="shared" si="17"/>
        <v>3</v>
      </c>
      <c r="P153" s="209">
        <f t="shared" si="18"/>
        <v>7</v>
      </c>
      <c r="Q153" s="209">
        <f t="shared" si="19"/>
        <v>4</v>
      </c>
      <c r="R153" s="209">
        <f t="shared" si="20"/>
        <v>5.5</v>
      </c>
      <c r="S153" s="209">
        <f t="shared" si="21"/>
        <v>5.5</v>
      </c>
      <c r="T153" s="209">
        <f t="shared" si="22"/>
        <v>4</v>
      </c>
      <c r="U153" s="209" t="str">
        <f t="shared" si="23"/>
        <v>/</v>
      </c>
    </row>
    <row r="154" spans="1:21">
      <c r="A154" s="424" t="s">
        <v>1467</v>
      </c>
      <c r="B154" s="211" t="s">
        <v>106</v>
      </c>
      <c r="C154" s="211" t="s">
        <v>2469</v>
      </c>
      <c r="D154" s="211">
        <v>4</v>
      </c>
      <c r="E154" s="211">
        <v>5</v>
      </c>
      <c r="F154" s="211">
        <v>4</v>
      </c>
      <c r="G154" s="211">
        <v>5</v>
      </c>
      <c r="H154" s="211">
        <v>5</v>
      </c>
      <c r="L154" s="211">
        <v>31.5</v>
      </c>
      <c r="N154" s="209">
        <f t="shared" si="16"/>
        <v>7</v>
      </c>
      <c r="O154" s="209">
        <f t="shared" si="17"/>
        <v>4</v>
      </c>
      <c r="P154" s="209">
        <f t="shared" si="18"/>
        <v>5.5</v>
      </c>
      <c r="Q154" s="209">
        <f t="shared" si="19"/>
        <v>4</v>
      </c>
      <c r="R154" s="209">
        <f t="shared" si="20"/>
        <v>5.5</v>
      </c>
      <c r="S154" s="209">
        <f t="shared" si="21"/>
        <v>5.5</v>
      </c>
      <c r="T154" s="209" t="str">
        <f t="shared" si="22"/>
        <v>/</v>
      </c>
      <c r="U154" s="209" t="str">
        <f t="shared" si="23"/>
        <v>/</v>
      </c>
    </row>
    <row r="155" spans="1:21">
      <c r="A155" s="424" t="s">
        <v>1470</v>
      </c>
      <c r="B155" s="211" t="s">
        <v>109</v>
      </c>
      <c r="C155" s="211">
        <v>4</v>
      </c>
      <c r="D155" s="211">
        <v>5</v>
      </c>
      <c r="E155" s="211">
        <v>5</v>
      </c>
      <c r="F155" s="211" t="s">
        <v>2469</v>
      </c>
      <c r="H155" s="211" t="s">
        <v>2469</v>
      </c>
      <c r="I155" s="211" t="s">
        <v>2469</v>
      </c>
      <c r="J155" s="211">
        <v>5</v>
      </c>
      <c r="L155" s="211">
        <v>36</v>
      </c>
      <c r="N155" s="209">
        <f t="shared" si="16"/>
        <v>4</v>
      </c>
      <c r="O155" s="209">
        <f t="shared" si="17"/>
        <v>5.5</v>
      </c>
      <c r="P155" s="209">
        <f t="shared" si="18"/>
        <v>5.5</v>
      </c>
      <c r="Q155" s="209">
        <f t="shared" si="19"/>
        <v>7</v>
      </c>
      <c r="R155" s="209" t="str">
        <f t="shared" si="20"/>
        <v>/</v>
      </c>
      <c r="S155" s="209">
        <f t="shared" si="21"/>
        <v>7</v>
      </c>
      <c r="T155" s="209">
        <f t="shared" si="22"/>
        <v>7</v>
      </c>
      <c r="U155" s="209">
        <f t="shared" si="23"/>
        <v>5.5</v>
      </c>
    </row>
    <row r="156" spans="1:21">
      <c r="A156" s="424" t="s">
        <v>1470</v>
      </c>
      <c r="B156" s="211" t="s">
        <v>2470</v>
      </c>
      <c r="C156" s="211">
        <v>3</v>
      </c>
      <c r="D156" s="211">
        <v>5</v>
      </c>
      <c r="E156" s="211" t="s">
        <v>2471</v>
      </c>
      <c r="F156" s="211">
        <v>4</v>
      </c>
      <c r="G156" s="211" t="s">
        <v>2469</v>
      </c>
      <c r="H156" s="211" t="s">
        <v>2469</v>
      </c>
      <c r="I156" s="211">
        <v>4</v>
      </c>
      <c r="L156" s="211">
        <v>35</v>
      </c>
      <c r="N156" s="209">
        <f t="shared" si="16"/>
        <v>3</v>
      </c>
      <c r="O156" s="209">
        <f t="shared" si="17"/>
        <v>5.5</v>
      </c>
      <c r="P156" s="209">
        <f t="shared" si="18"/>
        <v>8.5</v>
      </c>
      <c r="Q156" s="209">
        <f t="shared" si="19"/>
        <v>4</v>
      </c>
      <c r="R156" s="209">
        <f t="shared" si="20"/>
        <v>7</v>
      </c>
      <c r="S156" s="209">
        <f t="shared" si="21"/>
        <v>7</v>
      </c>
      <c r="T156" s="209">
        <f t="shared" si="22"/>
        <v>4</v>
      </c>
      <c r="U156" s="209" t="str">
        <f t="shared" si="23"/>
        <v>/</v>
      </c>
    </row>
    <row r="157" spans="1:21">
      <c r="A157" s="424" t="s">
        <v>1470</v>
      </c>
      <c r="B157" s="211" t="s">
        <v>106</v>
      </c>
      <c r="C157" s="211">
        <v>4</v>
      </c>
      <c r="D157" s="211">
        <v>5</v>
      </c>
      <c r="E157" s="211">
        <v>5</v>
      </c>
      <c r="F157" s="211">
        <v>5</v>
      </c>
      <c r="G157" s="211" t="s">
        <v>2469</v>
      </c>
      <c r="H157" s="211" t="s">
        <v>2469</v>
      </c>
      <c r="I157" s="211">
        <v>5</v>
      </c>
      <c r="J157" s="211">
        <v>5</v>
      </c>
      <c r="L157" s="211">
        <v>34.5</v>
      </c>
      <c r="N157" s="209">
        <f t="shared" si="16"/>
        <v>4</v>
      </c>
      <c r="O157" s="209">
        <f t="shared" si="17"/>
        <v>5.5</v>
      </c>
      <c r="P157" s="209">
        <f t="shared" si="18"/>
        <v>5.5</v>
      </c>
      <c r="Q157" s="209">
        <f t="shared" si="19"/>
        <v>5.5</v>
      </c>
      <c r="R157" s="209">
        <f t="shared" si="20"/>
        <v>7</v>
      </c>
      <c r="S157" s="209">
        <f t="shared" si="21"/>
        <v>7</v>
      </c>
      <c r="T157" s="209">
        <f t="shared" si="22"/>
        <v>5.5</v>
      </c>
      <c r="U157" s="209">
        <f t="shared" si="23"/>
        <v>5.5</v>
      </c>
    </row>
    <row r="158" spans="1:21">
      <c r="A158" s="424" t="s">
        <v>1498</v>
      </c>
      <c r="B158" s="211" t="s">
        <v>109</v>
      </c>
      <c r="C158" s="211">
        <v>4</v>
      </c>
      <c r="D158" s="211" t="s">
        <v>2469</v>
      </c>
      <c r="E158" s="211">
        <v>5</v>
      </c>
      <c r="F158" s="211">
        <v>3</v>
      </c>
      <c r="H158" s="211" t="s">
        <v>2469</v>
      </c>
      <c r="I158" s="211" t="s">
        <v>2469</v>
      </c>
      <c r="L158" s="211">
        <v>30.5</v>
      </c>
      <c r="N158" s="209">
        <f t="shared" si="16"/>
        <v>4</v>
      </c>
      <c r="O158" s="209">
        <f t="shared" si="17"/>
        <v>7</v>
      </c>
      <c r="P158" s="209">
        <f t="shared" si="18"/>
        <v>5.5</v>
      </c>
      <c r="Q158" s="209">
        <f t="shared" si="19"/>
        <v>3</v>
      </c>
      <c r="R158" s="209" t="str">
        <f t="shared" si="20"/>
        <v>/</v>
      </c>
      <c r="S158" s="209">
        <f t="shared" si="21"/>
        <v>7</v>
      </c>
      <c r="T158" s="209">
        <f t="shared" si="22"/>
        <v>7</v>
      </c>
      <c r="U158" s="209" t="str">
        <f t="shared" si="23"/>
        <v>/</v>
      </c>
    </row>
    <row r="159" spans="1:21">
      <c r="A159" s="424" t="s">
        <v>1498</v>
      </c>
      <c r="B159" s="211" t="s">
        <v>2470</v>
      </c>
      <c r="C159" s="211">
        <v>5</v>
      </c>
      <c r="D159" s="211">
        <v>4</v>
      </c>
      <c r="E159" s="211">
        <v>5</v>
      </c>
      <c r="F159" s="211">
        <v>4</v>
      </c>
      <c r="H159" s="211" t="s">
        <v>2469</v>
      </c>
      <c r="I159" s="211">
        <v>5</v>
      </c>
      <c r="J159" s="211">
        <v>5</v>
      </c>
      <c r="L159" s="211">
        <v>29</v>
      </c>
      <c r="N159" s="209">
        <f t="shared" si="16"/>
        <v>5.5</v>
      </c>
      <c r="O159" s="209">
        <f t="shared" si="17"/>
        <v>4</v>
      </c>
      <c r="P159" s="209">
        <f t="shared" si="18"/>
        <v>5.5</v>
      </c>
      <c r="Q159" s="209">
        <f t="shared" si="19"/>
        <v>4</v>
      </c>
      <c r="R159" s="209" t="str">
        <f t="shared" si="20"/>
        <v>/</v>
      </c>
      <c r="S159" s="209">
        <f t="shared" si="21"/>
        <v>7</v>
      </c>
      <c r="T159" s="209">
        <f t="shared" si="22"/>
        <v>5.5</v>
      </c>
      <c r="U159" s="209">
        <f t="shared" si="23"/>
        <v>5.5</v>
      </c>
    </row>
    <row r="160" spans="1:21">
      <c r="A160" s="424" t="s">
        <v>1498</v>
      </c>
      <c r="B160" s="211" t="s">
        <v>106</v>
      </c>
      <c r="C160" s="211">
        <v>4</v>
      </c>
      <c r="D160" s="211">
        <v>4</v>
      </c>
      <c r="E160" s="211">
        <v>4</v>
      </c>
      <c r="F160" s="211">
        <v>5</v>
      </c>
      <c r="H160" s="211" t="s">
        <v>2471</v>
      </c>
      <c r="I160" s="211" t="s">
        <v>2469</v>
      </c>
      <c r="L160" s="211">
        <v>29</v>
      </c>
      <c r="N160" s="209">
        <f t="shared" si="16"/>
        <v>4</v>
      </c>
      <c r="O160" s="209">
        <f t="shared" si="17"/>
        <v>4</v>
      </c>
      <c r="P160" s="209">
        <f t="shared" si="18"/>
        <v>4</v>
      </c>
      <c r="Q160" s="209">
        <f t="shared" si="19"/>
        <v>5.5</v>
      </c>
      <c r="R160" s="209" t="str">
        <f t="shared" si="20"/>
        <v>/</v>
      </c>
      <c r="S160" s="209">
        <f t="shared" si="21"/>
        <v>8.5</v>
      </c>
      <c r="T160" s="209">
        <f t="shared" si="22"/>
        <v>7</v>
      </c>
      <c r="U160" s="209" t="str">
        <f t="shared" si="23"/>
        <v>/</v>
      </c>
    </row>
    <row r="161" spans="1:21">
      <c r="A161" s="424" t="s">
        <v>1473</v>
      </c>
      <c r="B161" s="211" t="s">
        <v>109</v>
      </c>
      <c r="C161" s="211">
        <v>4</v>
      </c>
      <c r="D161" s="211">
        <v>5</v>
      </c>
      <c r="E161" s="211" t="s">
        <v>2469</v>
      </c>
      <c r="F161" s="211">
        <v>3</v>
      </c>
      <c r="G161" s="211">
        <v>5</v>
      </c>
      <c r="H161" s="211">
        <v>4</v>
      </c>
      <c r="L161" s="211">
        <v>39</v>
      </c>
      <c r="N161" s="209">
        <f t="shared" si="16"/>
        <v>4</v>
      </c>
      <c r="O161" s="209">
        <f t="shared" si="17"/>
        <v>5.5</v>
      </c>
      <c r="P161" s="209">
        <f t="shared" si="18"/>
        <v>7</v>
      </c>
      <c r="Q161" s="209">
        <f t="shared" si="19"/>
        <v>3</v>
      </c>
      <c r="R161" s="209">
        <f t="shared" si="20"/>
        <v>5.5</v>
      </c>
      <c r="S161" s="209">
        <f t="shared" si="21"/>
        <v>4</v>
      </c>
      <c r="T161" s="209" t="str">
        <f t="shared" si="22"/>
        <v>/</v>
      </c>
      <c r="U161" s="209" t="str">
        <f t="shared" si="23"/>
        <v>/</v>
      </c>
    </row>
    <row r="162" spans="1:21">
      <c r="A162" s="424" t="s">
        <v>1473</v>
      </c>
      <c r="B162" s="211" t="s">
        <v>2470</v>
      </c>
      <c r="C162" s="211">
        <v>4</v>
      </c>
      <c r="D162" s="211">
        <v>4</v>
      </c>
      <c r="E162" s="211">
        <v>5</v>
      </c>
      <c r="F162" s="211">
        <v>3</v>
      </c>
      <c r="H162" s="211">
        <v>5</v>
      </c>
      <c r="I162" s="211">
        <v>4</v>
      </c>
      <c r="J162" s="211">
        <v>4</v>
      </c>
      <c r="L162" s="211">
        <v>35.25</v>
      </c>
      <c r="N162" s="209">
        <f t="shared" si="16"/>
        <v>4</v>
      </c>
      <c r="O162" s="209">
        <f t="shared" si="17"/>
        <v>4</v>
      </c>
      <c r="P162" s="209">
        <f t="shared" si="18"/>
        <v>5.5</v>
      </c>
      <c r="Q162" s="209">
        <f t="shared" si="19"/>
        <v>3</v>
      </c>
      <c r="R162" s="209" t="str">
        <f t="shared" si="20"/>
        <v>/</v>
      </c>
      <c r="S162" s="209">
        <f t="shared" si="21"/>
        <v>5.5</v>
      </c>
      <c r="T162" s="209">
        <f t="shared" si="22"/>
        <v>4</v>
      </c>
      <c r="U162" s="209">
        <f t="shared" si="23"/>
        <v>4</v>
      </c>
    </row>
    <row r="163" spans="1:21">
      <c r="A163" s="424" t="s">
        <v>1473</v>
      </c>
      <c r="B163" s="211" t="s">
        <v>106</v>
      </c>
      <c r="C163" s="211">
        <v>5</v>
      </c>
      <c r="D163" s="211">
        <v>3</v>
      </c>
      <c r="E163" s="211">
        <v>4</v>
      </c>
      <c r="F163" s="211">
        <v>4</v>
      </c>
      <c r="G163" s="211">
        <v>2</v>
      </c>
      <c r="H163" s="211">
        <v>5</v>
      </c>
      <c r="I163" s="211">
        <v>4</v>
      </c>
      <c r="J163" s="211">
        <v>4</v>
      </c>
      <c r="L163" s="211">
        <v>33</v>
      </c>
      <c r="N163" s="209">
        <f t="shared" si="16"/>
        <v>5.5</v>
      </c>
      <c r="O163" s="209">
        <f t="shared" si="17"/>
        <v>3</v>
      </c>
      <c r="P163" s="209">
        <f t="shared" si="18"/>
        <v>4</v>
      </c>
      <c r="Q163" s="209">
        <f t="shared" si="19"/>
        <v>4</v>
      </c>
      <c r="R163" s="209">
        <f t="shared" si="20"/>
        <v>2</v>
      </c>
      <c r="S163" s="209">
        <f t="shared" si="21"/>
        <v>5.5</v>
      </c>
      <c r="T163" s="209">
        <f t="shared" si="22"/>
        <v>4</v>
      </c>
      <c r="U163" s="209">
        <f t="shared" si="23"/>
        <v>4</v>
      </c>
    </row>
    <row r="164" spans="1:21">
      <c r="A164" s="424" t="s">
        <v>2249</v>
      </c>
      <c r="B164" s="211" t="s">
        <v>109</v>
      </c>
      <c r="C164" s="211">
        <v>5</v>
      </c>
      <c r="D164" s="211">
        <v>3</v>
      </c>
      <c r="E164" s="211" t="s">
        <v>2469</v>
      </c>
      <c r="F164" s="211">
        <v>4</v>
      </c>
      <c r="G164" s="211">
        <v>4</v>
      </c>
      <c r="H164" s="211" t="s">
        <v>2469</v>
      </c>
      <c r="I164" s="211" t="s">
        <v>2469</v>
      </c>
      <c r="L164" s="211">
        <v>56</v>
      </c>
      <c r="N164" s="209">
        <f t="shared" si="16"/>
        <v>5.5</v>
      </c>
      <c r="O164" s="209">
        <f t="shared" si="17"/>
        <v>3</v>
      </c>
      <c r="P164" s="209">
        <f t="shared" si="18"/>
        <v>7</v>
      </c>
      <c r="Q164" s="209">
        <f t="shared" si="19"/>
        <v>4</v>
      </c>
      <c r="R164" s="209">
        <f t="shared" si="20"/>
        <v>4</v>
      </c>
      <c r="S164" s="209">
        <f t="shared" si="21"/>
        <v>7</v>
      </c>
      <c r="T164" s="209">
        <f t="shared" si="22"/>
        <v>7</v>
      </c>
      <c r="U164" s="209" t="str">
        <f t="shared" si="23"/>
        <v>/</v>
      </c>
    </row>
    <row r="165" spans="1:21">
      <c r="A165" s="424" t="s">
        <v>2249</v>
      </c>
      <c r="B165" s="211" t="s">
        <v>2470</v>
      </c>
      <c r="C165" s="211">
        <v>3</v>
      </c>
      <c r="D165" s="211">
        <v>4</v>
      </c>
      <c r="E165" s="211">
        <v>4</v>
      </c>
      <c r="F165" s="211">
        <v>2</v>
      </c>
      <c r="H165" s="211">
        <v>5</v>
      </c>
      <c r="I165" s="211">
        <v>5</v>
      </c>
      <c r="J165" s="211">
        <v>5</v>
      </c>
      <c r="L165" s="211">
        <v>49</v>
      </c>
      <c r="N165" s="209">
        <f t="shared" si="16"/>
        <v>3</v>
      </c>
      <c r="O165" s="209">
        <f t="shared" si="17"/>
        <v>4</v>
      </c>
      <c r="P165" s="209">
        <f t="shared" si="18"/>
        <v>4</v>
      </c>
      <c r="Q165" s="209">
        <f t="shared" si="19"/>
        <v>2</v>
      </c>
      <c r="R165" s="209" t="str">
        <f t="shared" si="20"/>
        <v>/</v>
      </c>
      <c r="S165" s="209">
        <f t="shared" si="21"/>
        <v>5.5</v>
      </c>
      <c r="T165" s="209">
        <f t="shared" si="22"/>
        <v>5.5</v>
      </c>
      <c r="U165" s="209">
        <f t="shared" si="23"/>
        <v>5.5</v>
      </c>
    </row>
    <row r="166" spans="1:21">
      <c r="A166" s="424" t="s">
        <v>2249</v>
      </c>
      <c r="B166" s="211" t="s">
        <v>106</v>
      </c>
      <c r="C166" s="211" t="s">
        <v>2469</v>
      </c>
      <c r="D166" s="211">
        <v>4</v>
      </c>
      <c r="E166" s="211">
        <v>4</v>
      </c>
      <c r="F166" s="211">
        <v>4</v>
      </c>
      <c r="H166" s="211" t="s">
        <v>2469</v>
      </c>
      <c r="I166" s="211">
        <v>5</v>
      </c>
      <c r="J166" s="211">
        <v>5</v>
      </c>
      <c r="K166" s="211" t="s">
        <v>2986</v>
      </c>
      <c r="L166" s="211">
        <v>45</v>
      </c>
      <c r="N166" s="209">
        <f t="shared" si="16"/>
        <v>7</v>
      </c>
      <c r="O166" s="209">
        <f t="shared" si="17"/>
        <v>4</v>
      </c>
      <c r="P166" s="209">
        <f t="shared" si="18"/>
        <v>4</v>
      </c>
      <c r="Q166" s="209">
        <f t="shared" si="19"/>
        <v>4</v>
      </c>
      <c r="R166" s="209" t="str">
        <f t="shared" si="20"/>
        <v>/</v>
      </c>
      <c r="S166" s="209">
        <f t="shared" si="21"/>
        <v>7</v>
      </c>
      <c r="T166" s="209">
        <f t="shared" si="22"/>
        <v>5.5</v>
      </c>
      <c r="U166" s="209">
        <f t="shared" si="23"/>
        <v>5.5</v>
      </c>
    </row>
    <row r="167" spans="1:21">
      <c r="A167" s="424" t="s">
        <v>1483</v>
      </c>
      <c r="B167" s="211" t="s">
        <v>109</v>
      </c>
      <c r="C167" s="211">
        <v>4</v>
      </c>
      <c r="D167" s="211">
        <v>4</v>
      </c>
      <c r="E167" s="211" t="s">
        <v>2471</v>
      </c>
      <c r="F167" s="211">
        <v>3</v>
      </c>
      <c r="G167" s="211" t="s">
        <v>2471</v>
      </c>
      <c r="H167" s="211" t="s">
        <v>2469</v>
      </c>
      <c r="I167" s="211">
        <v>5</v>
      </c>
      <c r="J167" s="211">
        <v>5</v>
      </c>
      <c r="L167" s="211">
        <v>56.25</v>
      </c>
      <c r="N167" s="209">
        <f t="shared" si="16"/>
        <v>4</v>
      </c>
      <c r="O167" s="209">
        <f t="shared" si="17"/>
        <v>4</v>
      </c>
      <c r="P167" s="209">
        <f t="shared" si="18"/>
        <v>8.5</v>
      </c>
      <c r="Q167" s="209">
        <f t="shared" si="19"/>
        <v>3</v>
      </c>
      <c r="R167" s="209">
        <f t="shared" si="20"/>
        <v>8.5</v>
      </c>
      <c r="S167" s="209">
        <f t="shared" si="21"/>
        <v>7</v>
      </c>
      <c r="T167" s="209">
        <f t="shared" si="22"/>
        <v>5.5</v>
      </c>
      <c r="U167" s="209">
        <f t="shared" si="23"/>
        <v>5.5</v>
      </c>
    </row>
    <row r="168" spans="1:21">
      <c r="A168" s="424" t="s">
        <v>1483</v>
      </c>
      <c r="B168" s="211" t="s">
        <v>2470</v>
      </c>
      <c r="C168" s="211">
        <v>4</v>
      </c>
      <c r="D168" s="211">
        <v>4</v>
      </c>
      <c r="E168" s="211" t="s">
        <v>2471</v>
      </c>
      <c r="F168" s="211">
        <v>4</v>
      </c>
      <c r="G168" s="211" t="s">
        <v>2469</v>
      </c>
      <c r="H168" s="211" t="s">
        <v>2469</v>
      </c>
      <c r="I168" s="211" t="s">
        <v>2469</v>
      </c>
      <c r="J168" s="211">
        <v>5</v>
      </c>
      <c r="L168" s="211">
        <v>52.5</v>
      </c>
      <c r="N168" s="209">
        <f t="shared" si="16"/>
        <v>4</v>
      </c>
      <c r="O168" s="209">
        <f t="shared" si="17"/>
        <v>4</v>
      </c>
      <c r="P168" s="209">
        <f t="shared" si="18"/>
        <v>8.5</v>
      </c>
      <c r="Q168" s="209">
        <f t="shared" si="19"/>
        <v>4</v>
      </c>
      <c r="R168" s="209">
        <f t="shared" si="20"/>
        <v>7</v>
      </c>
      <c r="S168" s="209">
        <f t="shared" si="21"/>
        <v>7</v>
      </c>
      <c r="T168" s="209">
        <f t="shared" si="22"/>
        <v>7</v>
      </c>
      <c r="U168" s="209">
        <f t="shared" si="23"/>
        <v>5.5</v>
      </c>
    </row>
    <row r="169" spans="1:21">
      <c r="A169" s="424" t="s">
        <v>1483</v>
      </c>
      <c r="B169" s="211" t="s">
        <v>106</v>
      </c>
      <c r="C169" s="211">
        <v>3</v>
      </c>
      <c r="D169" s="211">
        <v>4</v>
      </c>
      <c r="E169" s="211" t="s">
        <v>2469</v>
      </c>
      <c r="F169" s="211">
        <v>3</v>
      </c>
      <c r="G169" s="211" t="s">
        <v>2469</v>
      </c>
      <c r="H169" s="211" t="s">
        <v>2469</v>
      </c>
      <c r="I169" s="211">
        <v>5</v>
      </c>
      <c r="J169" s="211">
        <v>3</v>
      </c>
      <c r="L169" s="211">
        <v>48</v>
      </c>
      <c r="N169" s="209">
        <f t="shared" si="16"/>
        <v>3</v>
      </c>
      <c r="O169" s="209">
        <f t="shared" si="17"/>
        <v>4</v>
      </c>
      <c r="P169" s="209">
        <f t="shared" si="18"/>
        <v>7</v>
      </c>
      <c r="Q169" s="209">
        <f t="shared" si="19"/>
        <v>3</v>
      </c>
      <c r="R169" s="209">
        <f t="shared" si="20"/>
        <v>7</v>
      </c>
      <c r="S169" s="209">
        <f t="shared" si="21"/>
        <v>7</v>
      </c>
      <c r="T169" s="209">
        <f t="shared" si="22"/>
        <v>5.5</v>
      </c>
      <c r="U169" s="209">
        <f t="shared" si="23"/>
        <v>3</v>
      </c>
    </row>
    <row r="170" spans="1:21">
      <c r="A170" s="424" t="s">
        <v>1488</v>
      </c>
      <c r="B170" s="211" t="s">
        <v>109</v>
      </c>
      <c r="C170" s="211">
        <v>4</v>
      </c>
      <c r="D170" s="211">
        <v>5</v>
      </c>
      <c r="E170" s="211" t="s">
        <v>2469</v>
      </c>
      <c r="F170" s="211">
        <v>4</v>
      </c>
      <c r="H170" s="211" t="s">
        <v>2471</v>
      </c>
      <c r="I170" s="211" t="s">
        <v>2471</v>
      </c>
      <c r="J170" s="211" t="s">
        <v>2469</v>
      </c>
      <c r="L170" s="211">
        <v>48.5</v>
      </c>
      <c r="N170" s="209">
        <f t="shared" si="16"/>
        <v>4</v>
      </c>
      <c r="O170" s="209">
        <f t="shared" si="17"/>
        <v>5.5</v>
      </c>
      <c r="P170" s="209">
        <f t="shared" si="18"/>
        <v>7</v>
      </c>
      <c r="Q170" s="209">
        <f t="shared" si="19"/>
        <v>4</v>
      </c>
      <c r="R170" s="209" t="str">
        <f t="shared" si="20"/>
        <v>/</v>
      </c>
      <c r="S170" s="209">
        <f t="shared" si="21"/>
        <v>8.5</v>
      </c>
      <c r="T170" s="209">
        <f t="shared" si="22"/>
        <v>8.5</v>
      </c>
      <c r="U170" s="209">
        <f t="shared" si="23"/>
        <v>7</v>
      </c>
    </row>
    <row r="171" spans="1:21">
      <c r="A171" s="424" t="s">
        <v>1488</v>
      </c>
      <c r="B171" s="211" t="s">
        <v>2470</v>
      </c>
      <c r="C171" s="211">
        <v>4</v>
      </c>
      <c r="D171" s="211">
        <v>4</v>
      </c>
      <c r="E171" s="211" t="s">
        <v>2469</v>
      </c>
      <c r="F171" s="211">
        <v>4</v>
      </c>
      <c r="G171" s="211">
        <v>5</v>
      </c>
      <c r="H171" s="211" t="s">
        <v>2471</v>
      </c>
      <c r="I171" s="211">
        <v>5</v>
      </c>
      <c r="L171" s="211">
        <v>45.25</v>
      </c>
      <c r="N171" s="209">
        <f t="shared" si="16"/>
        <v>4</v>
      </c>
      <c r="O171" s="209">
        <f t="shared" si="17"/>
        <v>4</v>
      </c>
      <c r="P171" s="209">
        <f t="shared" si="18"/>
        <v>7</v>
      </c>
      <c r="Q171" s="209">
        <f t="shared" si="19"/>
        <v>4</v>
      </c>
      <c r="R171" s="209">
        <f t="shared" si="20"/>
        <v>5.5</v>
      </c>
      <c r="S171" s="209">
        <f t="shared" si="21"/>
        <v>8.5</v>
      </c>
      <c r="T171" s="209">
        <f t="shared" si="22"/>
        <v>5.5</v>
      </c>
      <c r="U171" s="209" t="str">
        <f t="shared" si="23"/>
        <v>/</v>
      </c>
    </row>
    <row r="172" spans="1:21">
      <c r="A172" s="424" t="s">
        <v>1488</v>
      </c>
      <c r="B172" s="211" t="s">
        <v>106</v>
      </c>
      <c r="C172" s="211">
        <v>4</v>
      </c>
      <c r="D172" s="211">
        <v>4</v>
      </c>
      <c r="E172" s="211">
        <v>5</v>
      </c>
      <c r="F172" s="211">
        <v>2</v>
      </c>
      <c r="G172" s="211">
        <v>5</v>
      </c>
      <c r="H172" s="211" t="s">
        <v>2471</v>
      </c>
      <c r="I172" s="211">
        <v>5</v>
      </c>
      <c r="L172" s="211">
        <v>43</v>
      </c>
      <c r="N172" s="209">
        <f t="shared" si="16"/>
        <v>4</v>
      </c>
      <c r="O172" s="209">
        <f t="shared" si="17"/>
        <v>4</v>
      </c>
      <c r="P172" s="209">
        <f t="shared" si="18"/>
        <v>5.5</v>
      </c>
      <c r="Q172" s="209">
        <f t="shared" si="19"/>
        <v>2</v>
      </c>
      <c r="R172" s="209">
        <f t="shared" si="20"/>
        <v>5.5</v>
      </c>
      <c r="S172" s="209">
        <f t="shared" si="21"/>
        <v>8.5</v>
      </c>
      <c r="T172" s="209">
        <f t="shared" si="22"/>
        <v>5.5</v>
      </c>
      <c r="U172" s="209" t="str">
        <f t="shared" si="23"/>
        <v>/</v>
      </c>
    </row>
    <row r="173" spans="1:21">
      <c r="A173" s="424" t="s">
        <v>1494</v>
      </c>
      <c r="B173" s="211" t="s">
        <v>109</v>
      </c>
      <c r="C173" s="211">
        <v>4</v>
      </c>
      <c r="D173" s="211">
        <v>4</v>
      </c>
      <c r="E173" s="211">
        <v>5</v>
      </c>
      <c r="F173" s="211">
        <v>4</v>
      </c>
      <c r="G173" s="211" t="s">
        <v>2471</v>
      </c>
      <c r="H173" s="211" t="s">
        <v>2469</v>
      </c>
      <c r="I173" s="211">
        <v>5</v>
      </c>
      <c r="L173" s="211">
        <v>44.5</v>
      </c>
      <c r="N173" s="209">
        <f t="shared" si="16"/>
        <v>4</v>
      </c>
      <c r="O173" s="209">
        <f t="shared" si="17"/>
        <v>4</v>
      </c>
      <c r="P173" s="209">
        <f t="shared" si="18"/>
        <v>5.5</v>
      </c>
      <c r="Q173" s="209">
        <f t="shared" si="19"/>
        <v>4</v>
      </c>
      <c r="R173" s="209">
        <f t="shared" si="20"/>
        <v>8.5</v>
      </c>
      <c r="S173" s="209">
        <f t="shared" si="21"/>
        <v>7</v>
      </c>
      <c r="T173" s="209">
        <f t="shared" si="22"/>
        <v>5.5</v>
      </c>
      <c r="U173" s="209" t="str">
        <f t="shared" si="23"/>
        <v>/</v>
      </c>
    </row>
    <row r="174" spans="1:21">
      <c r="A174" s="424" t="s">
        <v>1494</v>
      </c>
      <c r="B174" s="211" t="s">
        <v>2470</v>
      </c>
      <c r="C174" s="211">
        <v>4</v>
      </c>
      <c r="D174" s="211">
        <v>3</v>
      </c>
      <c r="E174" s="211">
        <v>5</v>
      </c>
      <c r="F174" s="211">
        <v>3</v>
      </c>
      <c r="G174" s="211" t="s">
        <v>2469</v>
      </c>
      <c r="H174" s="211" t="s">
        <v>2469</v>
      </c>
      <c r="I174" s="211">
        <v>5</v>
      </c>
      <c r="L174" s="211">
        <v>41.5</v>
      </c>
      <c r="N174" s="209">
        <f t="shared" si="16"/>
        <v>4</v>
      </c>
      <c r="O174" s="209">
        <f t="shared" si="17"/>
        <v>3</v>
      </c>
      <c r="P174" s="209">
        <f t="shared" si="18"/>
        <v>5.5</v>
      </c>
      <c r="Q174" s="209">
        <f t="shared" si="19"/>
        <v>3</v>
      </c>
      <c r="R174" s="209">
        <f t="shared" si="20"/>
        <v>7</v>
      </c>
      <c r="S174" s="209">
        <f t="shared" si="21"/>
        <v>7</v>
      </c>
      <c r="T174" s="209">
        <f t="shared" si="22"/>
        <v>5.5</v>
      </c>
      <c r="U174" s="209" t="str">
        <f t="shared" si="23"/>
        <v>/</v>
      </c>
    </row>
    <row r="175" spans="1:21">
      <c r="A175" s="424" t="s">
        <v>1494</v>
      </c>
      <c r="B175" s="211" t="s">
        <v>106</v>
      </c>
      <c r="C175" s="211">
        <v>3</v>
      </c>
      <c r="D175" s="211">
        <v>3</v>
      </c>
      <c r="E175" s="211" t="s">
        <v>2469</v>
      </c>
      <c r="F175" s="211">
        <v>3</v>
      </c>
      <c r="G175" s="211">
        <v>5</v>
      </c>
      <c r="H175" s="211">
        <v>5</v>
      </c>
      <c r="I175" s="211">
        <v>5</v>
      </c>
      <c r="L175" s="211">
        <v>39</v>
      </c>
      <c r="N175" s="209">
        <f t="shared" si="16"/>
        <v>3</v>
      </c>
      <c r="O175" s="209">
        <f t="shared" si="17"/>
        <v>3</v>
      </c>
      <c r="P175" s="209">
        <f t="shared" si="18"/>
        <v>7</v>
      </c>
      <c r="Q175" s="209">
        <f t="shared" si="19"/>
        <v>3</v>
      </c>
      <c r="R175" s="209">
        <f t="shared" si="20"/>
        <v>5.5</v>
      </c>
      <c r="S175" s="209">
        <f t="shared" si="21"/>
        <v>5.5</v>
      </c>
      <c r="T175" s="209">
        <f t="shared" si="22"/>
        <v>5.5</v>
      </c>
      <c r="U175" s="209" t="str">
        <f t="shared" si="23"/>
        <v>/</v>
      </c>
    </row>
    <row r="176" spans="1:21">
      <c r="A176" s="424" t="s">
        <v>1372</v>
      </c>
      <c r="B176" s="211" t="s">
        <v>109</v>
      </c>
      <c r="C176" s="211" t="s">
        <v>2469</v>
      </c>
      <c r="D176" s="211">
        <v>5</v>
      </c>
      <c r="E176" s="211" t="s">
        <v>2471</v>
      </c>
      <c r="F176" s="211" t="s">
        <v>2471</v>
      </c>
      <c r="G176" s="211" t="s">
        <v>2469</v>
      </c>
      <c r="H176" s="211" t="s">
        <v>2471</v>
      </c>
      <c r="I176" s="211" t="s">
        <v>2471</v>
      </c>
      <c r="J176" s="211" t="s">
        <v>2471</v>
      </c>
      <c r="L176" s="211">
        <v>57.75</v>
      </c>
      <c r="N176" s="209">
        <f t="shared" si="16"/>
        <v>7</v>
      </c>
      <c r="O176" s="209">
        <f t="shared" si="17"/>
        <v>5.5</v>
      </c>
      <c r="P176" s="209">
        <f t="shared" si="18"/>
        <v>8.5</v>
      </c>
      <c r="Q176" s="209">
        <f t="shared" si="19"/>
        <v>8.5</v>
      </c>
      <c r="R176" s="209">
        <f t="shared" si="20"/>
        <v>7</v>
      </c>
      <c r="S176" s="209">
        <f t="shared" si="21"/>
        <v>8.5</v>
      </c>
      <c r="T176" s="209">
        <f t="shared" si="22"/>
        <v>8.5</v>
      </c>
      <c r="U176" s="209">
        <f t="shared" si="23"/>
        <v>8.5</v>
      </c>
    </row>
    <row r="177" spans="1:21">
      <c r="A177" s="424" t="s">
        <v>1372</v>
      </c>
      <c r="B177" s="211" t="s">
        <v>2470</v>
      </c>
      <c r="C177" s="211">
        <v>4</v>
      </c>
      <c r="D177" s="211">
        <v>5</v>
      </c>
      <c r="E177" s="211" t="s">
        <v>2471</v>
      </c>
      <c r="F177" s="211">
        <v>4</v>
      </c>
      <c r="G177" s="211" t="s">
        <v>2471</v>
      </c>
      <c r="H177" s="211" t="s">
        <v>2471</v>
      </c>
      <c r="I177" s="211" t="s">
        <v>2469</v>
      </c>
      <c r="J177" s="211" t="s">
        <v>2469</v>
      </c>
      <c r="L177" s="211">
        <v>56.25</v>
      </c>
      <c r="N177" s="209">
        <f t="shared" si="16"/>
        <v>4</v>
      </c>
      <c r="O177" s="209">
        <f t="shared" si="17"/>
        <v>5.5</v>
      </c>
      <c r="P177" s="209">
        <f t="shared" si="18"/>
        <v>8.5</v>
      </c>
      <c r="Q177" s="209">
        <f t="shared" si="19"/>
        <v>4</v>
      </c>
      <c r="R177" s="209">
        <f t="shared" si="20"/>
        <v>8.5</v>
      </c>
      <c r="S177" s="209">
        <f t="shared" si="21"/>
        <v>8.5</v>
      </c>
      <c r="T177" s="209">
        <f t="shared" si="22"/>
        <v>7</v>
      </c>
      <c r="U177" s="209">
        <f t="shared" si="23"/>
        <v>7</v>
      </c>
    </row>
    <row r="178" spans="1:21">
      <c r="A178" s="424" t="s">
        <v>1372</v>
      </c>
      <c r="B178" s="211" t="s">
        <v>106</v>
      </c>
      <c r="C178" s="211" t="s">
        <v>2469</v>
      </c>
      <c r="D178" s="211">
        <v>5</v>
      </c>
      <c r="E178" s="211" t="s">
        <v>2471</v>
      </c>
      <c r="F178" s="211">
        <v>4</v>
      </c>
      <c r="G178" s="211" t="s">
        <v>2471</v>
      </c>
      <c r="H178" s="211" t="s">
        <v>2469</v>
      </c>
      <c r="I178" s="211" t="s">
        <v>2469</v>
      </c>
      <c r="J178" s="211">
        <v>5</v>
      </c>
      <c r="L178" s="211">
        <v>54.75</v>
      </c>
      <c r="N178" s="209">
        <f t="shared" si="16"/>
        <v>7</v>
      </c>
      <c r="O178" s="209">
        <f t="shared" si="17"/>
        <v>5.5</v>
      </c>
      <c r="P178" s="209">
        <f t="shared" si="18"/>
        <v>8.5</v>
      </c>
      <c r="Q178" s="209">
        <f t="shared" si="19"/>
        <v>4</v>
      </c>
      <c r="R178" s="209">
        <f t="shared" si="20"/>
        <v>8.5</v>
      </c>
      <c r="S178" s="209">
        <f t="shared" si="21"/>
        <v>7</v>
      </c>
      <c r="T178" s="209">
        <f t="shared" si="22"/>
        <v>7</v>
      </c>
      <c r="U178" s="209">
        <f t="shared" si="23"/>
        <v>5.5</v>
      </c>
    </row>
    <row r="179" spans="1:21">
      <c r="A179" s="424" t="s">
        <v>470</v>
      </c>
      <c r="B179" s="211" t="s">
        <v>109</v>
      </c>
      <c r="C179" s="211">
        <v>3</v>
      </c>
      <c r="D179" s="211">
        <v>4</v>
      </c>
      <c r="E179" s="211">
        <v>4</v>
      </c>
      <c r="F179" s="211">
        <v>4</v>
      </c>
      <c r="H179" s="211" t="s">
        <v>2469</v>
      </c>
      <c r="I179" s="211">
        <v>5</v>
      </c>
      <c r="J179" s="211">
        <v>4</v>
      </c>
      <c r="L179" s="211">
        <v>34.75</v>
      </c>
      <c r="N179" s="209">
        <f t="shared" si="16"/>
        <v>3</v>
      </c>
      <c r="O179" s="209">
        <f t="shared" si="17"/>
        <v>4</v>
      </c>
      <c r="P179" s="209">
        <f t="shared" si="18"/>
        <v>4</v>
      </c>
      <c r="Q179" s="209">
        <f t="shared" si="19"/>
        <v>4</v>
      </c>
      <c r="R179" s="209" t="str">
        <f t="shared" si="20"/>
        <v>/</v>
      </c>
      <c r="S179" s="209">
        <f t="shared" si="21"/>
        <v>7</v>
      </c>
      <c r="T179" s="209">
        <f t="shared" si="22"/>
        <v>5.5</v>
      </c>
      <c r="U179" s="209">
        <f t="shared" si="23"/>
        <v>4</v>
      </c>
    </row>
    <row r="180" spans="1:21">
      <c r="A180" s="424" t="s">
        <v>470</v>
      </c>
      <c r="B180" s="211" t="s">
        <v>2470</v>
      </c>
      <c r="C180" s="211">
        <v>4</v>
      </c>
      <c r="D180" s="211">
        <v>4</v>
      </c>
      <c r="E180" s="211">
        <v>5</v>
      </c>
      <c r="F180" s="211">
        <v>4</v>
      </c>
      <c r="G180" s="211">
        <v>4</v>
      </c>
      <c r="H180" s="211">
        <v>4</v>
      </c>
      <c r="L180" s="211">
        <v>29.25</v>
      </c>
      <c r="N180" s="209">
        <f t="shared" si="16"/>
        <v>4</v>
      </c>
      <c r="O180" s="209">
        <f t="shared" si="17"/>
        <v>4</v>
      </c>
      <c r="P180" s="209">
        <f t="shared" si="18"/>
        <v>5.5</v>
      </c>
      <c r="Q180" s="209">
        <f t="shared" si="19"/>
        <v>4</v>
      </c>
      <c r="R180" s="209">
        <f t="shared" si="20"/>
        <v>4</v>
      </c>
      <c r="S180" s="209">
        <f t="shared" si="21"/>
        <v>4</v>
      </c>
      <c r="T180" s="209" t="str">
        <f t="shared" si="22"/>
        <v>/</v>
      </c>
      <c r="U180" s="209" t="str">
        <f t="shared" si="23"/>
        <v>/</v>
      </c>
    </row>
    <row r="181" spans="1:21">
      <c r="A181" s="424" t="s">
        <v>470</v>
      </c>
      <c r="B181" s="211" t="s">
        <v>106</v>
      </c>
      <c r="C181" s="211">
        <v>3</v>
      </c>
      <c r="D181" s="211">
        <v>4</v>
      </c>
      <c r="E181" s="211">
        <v>4</v>
      </c>
      <c r="F181" s="211">
        <v>2</v>
      </c>
      <c r="G181" s="211">
        <v>4</v>
      </c>
      <c r="H181" s="211">
        <v>4</v>
      </c>
      <c r="I181" s="211">
        <v>3</v>
      </c>
      <c r="L181" s="211">
        <v>27.5</v>
      </c>
      <c r="N181" s="209">
        <f t="shared" si="16"/>
        <v>3</v>
      </c>
      <c r="O181" s="209">
        <f t="shared" si="17"/>
        <v>4</v>
      </c>
      <c r="P181" s="209">
        <f t="shared" si="18"/>
        <v>4</v>
      </c>
      <c r="Q181" s="209">
        <f t="shared" si="19"/>
        <v>2</v>
      </c>
      <c r="R181" s="209">
        <f t="shared" si="20"/>
        <v>4</v>
      </c>
      <c r="S181" s="209">
        <f t="shared" si="21"/>
        <v>4</v>
      </c>
      <c r="T181" s="209">
        <f t="shared" si="22"/>
        <v>3</v>
      </c>
      <c r="U181" s="209" t="str">
        <f t="shared" si="23"/>
        <v>/</v>
      </c>
    </row>
    <row r="182" spans="1:21">
      <c r="A182" s="424" t="s">
        <v>1412</v>
      </c>
      <c r="B182" s="211" t="s">
        <v>109</v>
      </c>
      <c r="C182" s="211">
        <v>4</v>
      </c>
      <c r="D182" s="211">
        <v>4</v>
      </c>
      <c r="E182" s="211" t="s">
        <v>2471</v>
      </c>
      <c r="F182" s="211">
        <v>4</v>
      </c>
      <c r="G182" s="211" t="s">
        <v>2469</v>
      </c>
      <c r="H182" s="211" t="s">
        <v>2469</v>
      </c>
      <c r="I182" s="211" t="s">
        <v>2469</v>
      </c>
      <c r="J182" s="211">
        <v>5</v>
      </c>
      <c r="K182" s="211" t="s">
        <v>2472</v>
      </c>
      <c r="L182" s="211">
        <v>65</v>
      </c>
      <c r="N182" s="209">
        <f t="shared" si="16"/>
        <v>4</v>
      </c>
      <c r="O182" s="209">
        <f t="shared" si="17"/>
        <v>4</v>
      </c>
      <c r="P182" s="209">
        <f t="shared" si="18"/>
        <v>8.5</v>
      </c>
      <c r="Q182" s="209">
        <f t="shared" si="19"/>
        <v>4</v>
      </c>
      <c r="R182" s="209">
        <f t="shared" si="20"/>
        <v>7</v>
      </c>
      <c r="S182" s="209">
        <f t="shared" si="21"/>
        <v>7</v>
      </c>
      <c r="T182" s="209">
        <f t="shared" si="22"/>
        <v>7</v>
      </c>
      <c r="U182" s="209">
        <f t="shared" si="23"/>
        <v>5.5</v>
      </c>
    </row>
    <row r="183" spans="1:21">
      <c r="A183" s="424" t="s">
        <v>1412</v>
      </c>
      <c r="B183" s="211" t="s">
        <v>2470</v>
      </c>
      <c r="C183" s="211">
        <v>3</v>
      </c>
      <c r="D183" s="211">
        <v>5</v>
      </c>
      <c r="E183" s="211">
        <v>5</v>
      </c>
      <c r="F183" s="211">
        <v>3</v>
      </c>
      <c r="G183" s="211" t="s">
        <v>2469</v>
      </c>
      <c r="H183" s="211" t="s">
        <v>2469</v>
      </c>
      <c r="I183" s="211" t="s">
        <v>2469</v>
      </c>
      <c r="J183" s="211" t="s">
        <v>2472</v>
      </c>
      <c r="L183" s="211">
        <v>61.25</v>
      </c>
      <c r="N183" s="209">
        <f t="shared" si="16"/>
        <v>3</v>
      </c>
      <c r="O183" s="209">
        <f t="shared" si="17"/>
        <v>5.5</v>
      </c>
      <c r="P183" s="209">
        <f t="shared" si="18"/>
        <v>5.5</v>
      </c>
      <c r="Q183" s="209">
        <f t="shared" si="19"/>
        <v>3</v>
      </c>
      <c r="R183" s="209">
        <f t="shared" si="20"/>
        <v>7</v>
      </c>
      <c r="S183" s="209">
        <f t="shared" si="21"/>
        <v>7</v>
      </c>
      <c r="T183" s="209">
        <f t="shared" si="22"/>
        <v>7</v>
      </c>
      <c r="U183" s="209" t="str">
        <f t="shared" si="23"/>
        <v>A</v>
      </c>
    </row>
    <row r="184" spans="1:21">
      <c r="A184" s="424" t="s">
        <v>1412</v>
      </c>
      <c r="B184" s="211" t="s">
        <v>106</v>
      </c>
      <c r="C184" s="211">
        <v>5</v>
      </c>
      <c r="D184" s="211">
        <v>4</v>
      </c>
      <c r="E184" s="211">
        <v>5</v>
      </c>
      <c r="F184" s="211" t="s">
        <v>2469</v>
      </c>
      <c r="G184" s="211" t="s">
        <v>2469</v>
      </c>
      <c r="H184" s="211" t="s">
        <v>2469</v>
      </c>
      <c r="I184" s="211" t="s">
        <v>2469</v>
      </c>
      <c r="L184" s="211">
        <v>60</v>
      </c>
      <c r="N184" s="209">
        <f t="shared" si="16"/>
        <v>5.5</v>
      </c>
      <c r="O184" s="209">
        <f t="shared" si="17"/>
        <v>4</v>
      </c>
      <c r="P184" s="209">
        <f t="shared" si="18"/>
        <v>5.5</v>
      </c>
      <c r="Q184" s="209">
        <f t="shared" si="19"/>
        <v>7</v>
      </c>
      <c r="R184" s="209">
        <f t="shared" si="20"/>
        <v>7</v>
      </c>
      <c r="S184" s="209">
        <f t="shared" si="21"/>
        <v>7</v>
      </c>
      <c r="T184" s="209">
        <f t="shared" si="22"/>
        <v>7</v>
      </c>
      <c r="U184" s="209" t="str">
        <f t="shared" si="23"/>
        <v>/</v>
      </c>
    </row>
    <row r="185" spans="1:21">
      <c r="A185" s="424" t="s">
        <v>1498</v>
      </c>
      <c r="B185" s="211" t="s">
        <v>109</v>
      </c>
      <c r="C185" s="211">
        <v>4</v>
      </c>
      <c r="D185" s="211" t="s">
        <v>2469</v>
      </c>
      <c r="E185" s="211">
        <v>5</v>
      </c>
      <c r="F185" s="211">
        <v>3</v>
      </c>
      <c r="H185" s="211" t="s">
        <v>2469</v>
      </c>
      <c r="I185" s="211" t="s">
        <v>2469</v>
      </c>
      <c r="L185" s="211">
        <v>30.5</v>
      </c>
      <c r="N185" s="209">
        <f t="shared" si="16"/>
        <v>4</v>
      </c>
      <c r="O185" s="209">
        <f t="shared" si="17"/>
        <v>7</v>
      </c>
      <c r="P185" s="209">
        <f t="shared" si="18"/>
        <v>5.5</v>
      </c>
      <c r="Q185" s="209">
        <f t="shared" si="19"/>
        <v>3</v>
      </c>
      <c r="R185" s="209" t="str">
        <f t="shared" si="20"/>
        <v>/</v>
      </c>
      <c r="S185" s="209">
        <f t="shared" si="21"/>
        <v>7</v>
      </c>
      <c r="T185" s="209">
        <f t="shared" si="22"/>
        <v>7</v>
      </c>
      <c r="U185" s="209" t="str">
        <f t="shared" si="23"/>
        <v>/</v>
      </c>
    </row>
    <row r="186" spans="1:21">
      <c r="A186" s="424" t="s">
        <v>1498</v>
      </c>
      <c r="B186" s="211" t="s">
        <v>2470</v>
      </c>
      <c r="C186" s="211">
        <v>5</v>
      </c>
      <c r="D186" s="211">
        <v>4</v>
      </c>
      <c r="E186" s="211">
        <v>5</v>
      </c>
      <c r="F186" s="211">
        <v>4</v>
      </c>
      <c r="H186" s="211" t="s">
        <v>2469</v>
      </c>
      <c r="I186" s="211">
        <v>5</v>
      </c>
      <c r="J186" s="211">
        <v>5</v>
      </c>
      <c r="L186" s="211">
        <v>29</v>
      </c>
      <c r="N186" s="209">
        <f t="shared" si="16"/>
        <v>5.5</v>
      </c>
      <c r="O186" s="209">
        <f t="shared" si="17"/>
        <v>4</v>
      </c>
      <c r="P186" s="209">
        <f t="shared" si="18"/>
        <v>5.5</v>
      </c>
      <c r="Q186" s="209">
        <f t="shared" si="19"/>
        <v>4</v>
      </c>
      <c r="R186" s="209" t="str">
        <f t="shared" si="20"/>
        <v>/</v>
      </c>
      <c r="S186" s="209">
        <f t="shared" si="21"/>
        <v>7</v>
      </c>
      <c r="T186" s="209">
        <f t="shared" si="22"/>
        <v>5.5</v>
      </c>
      <c r="U186" s="209">
        <f t="shared" si="23"/>
        <v>5.5</v>
      </c>
    </row>
    <row r="187" spans="1:21">
      <c r="A187" s="424" t="s">
        <v>1498</v>
      </c>
      <c r="B187" s="211" t="s">
        <v>106</v>
      </c>
      <c r="C187" s="211">
        <v>4</v>
      </c>
      <c r="D187" s="211">
        <v>4</v>
      </c>
      <c r="E187" s="211">
        <v>4</v>
      </c>
      <c r="F187" s="211">
        <v>5</v>
      </c>
      <c r="H187" s="211" t="s">
        <v>2471</v>
      </c>
      <c r="I187" s="211" t="s">
        <v>2469</v>
      </c>
      <c r="L187" s="211">
        <v>29</v>
      </c>
      <c r="N187" s="209">
        <f t="shared" si="16"/>
        <v>4</v>
      </c>
      <c r="O187" s="209">
        <f t="shared" si="17"/>
        <v>4</v>
      </c>
      <c r="P187" s="209">
        <f t="shared" si="18"/>
        <v>4</v>
      </c>
      <c r="Q187" s="209">
        <f t="shared" si="19"/>
        <v>5.5</v>
      </c>
      <c r="R187" s="209" t="str">
        <f t="shared" si="20"/>
        <v>/</v>
      </c>
      <c r="S187" s="209">
        <f t="shared" si="21"/>
        <v>8.5</v>
      </c>
      <c r="T187" s="209">
        <f t="shared" si="22"/>
        <v>7</v>
      </c>
      <c r="U187" s="209" t="str">
        <f t="shared" si="23"/>
        <v>/</v>
      </c>
    </row>
    <row r="188" spans="1:21">
      <c r="A188" s="424" t="s">
        <v>2473</v>
      </c>
      <c r="B188" s="211" t="s">
        <v>109</v>
      </c>
      <c r="C188" s="211">
        <v>3</v>
      </c>
      <c r="D188" s="211">
        <v>4</v>
      </c>
      <c r="E188" s="211" t="s">
        <v>2469</v>
      </c>
      <c r="F188" s="211">
        <v>4</v>
      </c>
      <c r="G188" s="211">
        <v>5</v>
      </c>
      <c r="H188" s="211">
        <v>5</v>
      </c>
      <c r="I188" s="211">
        <v>5</v>
      </c>
      <c r="L188" s="211">
        <v>31</v>
      </c>
      <c r="N188" s="209">
        <f t="shared" si="16"/>
        <v>3</v>
      </c>
      <c r="O188" s="209">
        <f t="shared" si="17"/>
        <v>4</v>
      </c>
      <c r="P188" s="209">
        <f t="shared" si="18"/>
        <v>7</v>
      </c>
      <c r="Q188" s="209">
        <f t="shared" si="19"/>
        <v>4</v>
      </c>
      <c r="R188" s="209">
        <f t="shared" si="20"/>
        <v>5.5</v>
      </c>
      <c r="S188" s="209">
        <f t="shared" si="21"/>
        <v>5.5</v>
      </c>
      <c r="T188" s="209">
        <f t="shared" si="22"/>
        <v>5.5</v>
      </c>
      <c r="U188" s="209" t="str">
        <f t="shared" si="23"/>
        <v>/</v>
      </c>
    </row>
    <row r="189" spans="1:21">
      <c r="A189" s="424" t="s">
        <v>2473</v>
      </c>
      <c r="B189" s="211" t="s">
        <v>2470</v>
      </c>
      <c r="C189" s="211">
        <v>4</v>
      </c>
      <c r="D189" s="211">
        <v>4</v>
      </c>
      <c r="E189" s="211" t="s">
        <v>2469</v>
      </c>
      <c r="F189" s="211">
        <v>5</v>
      </c>
      <c r="G189" s="211">
        <v>5</v>
      </c>
      <c r="H189" s="211">
        <v>4</v>
      </c>
      <c r="I189" s="211">
        <v>4</v>
      </c>
      <c r="L189" s="211">
        <v>29.5</v>
      </c>
      <c r="N189" s="209">
        <f t="shared" si="16"/>
        <v>4</v>
      </c>
      <c r="O189" s="209">
        <f t="shared" si="17"/>
        <v>4</v>
      </c>
      <c r="P189" s="209">
        <f t="shared" si="18"/>
        <v>7</v>
      </c>
      <c r="Q189" s="209">
        <f t="shared" si="19"/>
        <v>5.5</v>
      </c>
      <c r="R189" s="209">
        <f t="shared" si="20"/>
        <v>5.5</v>
      </c>
      <c r="S189" s="209">
        <f t="shared" si="21"/>
        <v>4</v>
      </c>
      <c r="T189" s="209">
        <f t="shared" si="22"/>
        <v>4</v>
      </c>
      <c r="U189" s="209" t="str">
        <f t="shared" si="23"/>
        <v>/</v>
      </c>
    </row>
    <row r="190" spans="1:21">
      <c r="A190" s="424" t="s">
        <v>2473</v>
      </c>
      <c r="B190" s="211" t="s">
        <v>106</v>
      </c>
      <c r="C190" s="211">
        <v>5</v>
      </c>
      <c r="D190" s="211">
        <v>5</v>
      </c>
      <c r="E190" s="211">
        <v>4</v>
      </c>
      <c r="F190" s="211">
        <v>4</v>
      </c>
      <c r="G190" s="211">
        <v>4</v>
      </c>
      <c r="H190" s="211">
        <v>4</v>
      </c>
      <c r="I190" s="211">
        <v>4</v>
      </c>
      <c r="J190" s="211">
        <v>4</v>
      </c>
      <c r="L190" s="211">
        <v>25</v>
      </c>
      <c r="N190" s="209">
        <f t="shared" si="16"/>
        <v>5.5</v>
      </c>
      <c r="O190" s="209">
        <f t="shared" si="17"/>
        <v>5.5</v>
      </c>
      <c r="P190" s="209">
        <f t="shared" si="18"/>
        <v>4</v>
      </c>
      <c r="Q190" s="209">
        <f t="shared" si="19"/>
        <v>4</v>
      </c>
      <c r="R190" s="209">
        <f t="shared" si="20"/>
        <v>4</v>
      </c>
      <c r="S190" s="209">
        <f t="shared" si="21"/>
        <v>4</v>
      </c>
      <c r="T190" s="209">
        <f t="shared" si="22"/>
        <v>4</v>
      </c>
      <c r="U190" s="209">
        <f t="shared" si="23"/>
        <v>4</v>
      </c>
    </row>
    <row r="191" spans="1:21">
      <c r="A191" s="424" t="s">
        <v>1511</v>
      </c>
      <c r="B191" s="211" t="s">
        <v>109</v>
      </c>
      <c r="C191" s="211">
        <v>5</v>
      </c>
      <c r="D191" s="211">
        <v>4</v>
      </c>
      <c r="E191" s="211">
        <v>4</v>
      </c>
      <c r="F191" s="211">
        <v>4</v>
      </c>
      <c r="H191" s="211" t="s">
        <v>2469</v>
      </c>
      <c r="I191" s="211">
        <v>5</v>
      </c>
      <c r="J191" s="211">
        <v>4</v>
      </c>
      <c r="L191" s="211">
        <v>27.2</v>
      </c>
      <c r="N191" s="209">
        <f t="shared" si="16"/>
        <v>5.5</v>
      </c>
      <c r="O191" s="209">
        <f t="shared" si="17"/>
        <v>4</v>
      </c>
      <c r="P191" s="209">
        <f t="shared" si="18"/>
        <v>4</v>
      </c>
      <c r="Q191" s="209">
        <f t="shared" si="19"/>
        <v>4</v>
      </c>
      <c r="R191" s="209" t="str">
        <f t="shared" si="20"/>
        <v>/</v>
      </c>
      <c r="S191" s="209">
        <f t="shared" si="21"/>
        <v>7</v>
      </c>
      <c r="T191" s="209">
        <f t="shared" si="22"/>
        <v>5.5</v>
      </c>
      <c r="U191" s="209">
        <f t="shared" si="23"/>
        <v>4</v>
      </c>
    </row>
    <row r="192" spans="1:21">
      <c r="A192" s="424" t="s">
        <v>1511</v>
      </c>
      <c r="B192" s="211" t="s">
        <v>2470</v>
      </c>
      <c r="C192" s="211">
        <v>4</v>
      </c>
      <c r="D192" s="211">
        <v>5</v>
      </c>
      <c r="E192" s="211">
        <v>5</v>
      </c>
      <c r="F192" s="211">
        <v>4</v>
      </c>
      <c r="H192" s="211">
        <v>5</v>
      </c>
      <c r="I192" s="211">
        <v>4</v>
      </c>
      <c r="L192" s="211">
        <v>26.15</v>
      </c>
      <c r="N192" s="209">
        <f t="shared" si="16"/>
        <v>4</v>
      </c>
      <c r="O192" s="209">
        <f t="shared" si="17"/>
        <v>5.5</v>
      </c>
      <c r="P192" s="209">
        <f t="shared" si="18"/>
        <v>5.5</v>
      </c>
      <c r="Q192" s="209">
        <f t="shared" si="19"/>
        <v>4</v>
      </c>
      <c r="R192" s="209" t="str">
        <f t="shared" si="20"/>
        <v>/</v>
      </c>
      <c r="S192" s="209">
        <f t="shared" si="21"/>
        <v>5.5</v>
      </c>
      <c r="T192" s="209">
        <f t="shared" si="22"/>
        <v>4</v>
      </c>
      <c r="U192" s="209" t="str">
        <f t="shared" si="23"/>
        <v>/</v>
      </c>
    </row>
    <row r="193" spans="1:21">
      <c r="A193" s="424" t="s">
        <v>1511</v>
      </c>
      <c r="B193" s="211" t="s">
        <v>106</v>
      </c>
      <c r="C193" s="211">
        <v>4</v>
      </c>
      <c r="D193" s="211">
        <v>4</v>
      </c>
      <c r="E193" s="211">
        <v>4</v>
      </c>
      <c r="F193" s="211">
        <v>4</v>
      </c>
      <c r="H193" s="211" t="s">
        <v>2469</v>
      </c>
      <c r="I193" s="211">
        <v>5</v>
      </c>
      <c r="L193" s="211">
        <v>25.7</v>
      </c>
      <c r="N193" s="209">
        <f t="shared" si="16"/>
        <v>4</v>
      </c>
      <c r="O193" s="209">
        <f t="shared" si="17"/>
        <v>4</v>
      </c>
      <c r="P193" s="209">
        <f t="shared" si="18"/>
        <v>4</v>
      </c>
      <c r="Q193" s="209">
        <f t="shared" si="19"/>
        <v>4</v>
      </c>
      <c r="R193" s="209" t="str">
        <f t="shared" si="20"/>
        <v>/</v>
      </c>
      <c r="S193" s="209">
        <f t="shared" si="21"/>
        <v>7</v>
      </c>
      <c r="T193" s="209">
        <f t="shared" si="22"/>
        <v>5.5</v>
      </c>
      <c r="U193" s="209" t="str">
        <f t="shared" si="23"/>
        <v>/</v>
      </c>
    </row>
    <row r="194" spans="1:21">
      <c r="A194" s="424" t="s">
        <v>1515</v>
      </c>
      <c r="B194" s="211" t="s">
        <v>109</v>
      </c>
      <c r="C194" s="211" t="s">
        <v>2471</v>
      </c>
      <c r="D194" s="211">
        <v>4</v>
      </c>
      <c r="E194" s="211">
        <v>5</v>
      </c>
      <c r="F194" s="211">
        <v>5</v>
      </c>
      <c r="H194" s="211">
        <v>5</v>
      </c>
      <c r="I194" s="211">
        <v>5</v>
      </c>
      <c r="L194" s="211">
        <v>31</v>
      </c>
      <c r="N194" s="209">
        <f t="shared" ref="N194:N232" si="24">IF(C194=0,"/",IF(C194=5,5.5,IF(C194="5*",7,IF(C194="5**",8.5,C194))))</f>
        <v>8.5</v>
      </c>
      <c r="O194" s="209">
        <f t="shared" ref="O194:O232" si="25">IF(D194=0,"/",IF(D194=5,5.5,IF(D194="5*",7,IF(D194="5**",8.5,D194))))</f>
        <v>4</v>
      </c>
      <c r="P194" s="209">
        <f t="shared" ref="P194:P232" si="26">IF(E194=0,"/",IF(E194=5,5.5,IF(E194="5*",7,IF(E194="5**",8.5,E194))))</f>
        <v>5.5</v>
      </c>
      <c r="Q194" s="209">
        <f t="shared" ref="Q194:Q232" si="27">IF(F194=0,"/",IF(F194=5,5.5,IF(F194="5*",7,IF(F194="5**",8.5,F194))))</f>
        <v>5.5</v>
      </c>
      <c r="R194" s="209" t="str">
        <f t="shared" ref="R194:R232" si="28">IF(G194=0,"/",IF(G194=5,5.5,IF(G194="5*",7,IF(G194="5**",8.5,G194))))</f>
        <v>/</v>
      </c>
      <c r="S194" s="209">
        <f t="shared" ref="S194:S232" si="29">IF(H194=0,"/",IF(H194=5,5.5,IF(H194="5*",7,IF(H194="5**",8.5,H194))))</f>
        <v>5.5</v>
      </c>
      <c r="T194" s="209">
        <f t="shared" ref="T194:T232" si="30">IF(I194=0,"/",IF(I194=5,5.5,IF(I194="5*",7,IF(I194="5**",8.5,I194))))</f>
        <v>5.5</v>
      </c>
      <c r="U194" s="209" t="str">
        <f t="shared" ref="U194:U232" si="31">IF(J194=0,"/",IF(J194=5,5.5,IF(J194="5*",7,IF(J194="5**",8.5,J194))))</f>
        <v>/</v>
      </c>
    </row>
    <row r="195" spans="1:21">
      <c r="A195" s="424" t="s">
        <v>1515</v>
      </c>
      <c r="B195" s="211" t="s">
        <v>2470</v>
      </c>
      <c r="C195" s="211">
        <v>4</v>
      </c>
      <c r="D195" s="211">
        <v>4</v>
      </c>
      <c r="E195" s="211" t="s">
        <v>2469</v>
      </c>
      <c r="F195" s="211">
        <v>4</v>
      </c>
      <c r="G195" s="211">
        <v>4</v>
      </c>
      <c r="H195" s="211" t="s">
        <v>2469</v>
      </c>
      <c r="I195" s="211">
        <v>4</v>
      </c>
      <c r="J195" s="211">
        <v>4</v>
      </c>
      <c r="L195" s="211">
        <v>28</v>
      </c>
      <c r="N195" s="209">
        <f t="shared" si="24"/>
        <v>4</v>
      </c>
      <c r="O195" s="209">
        <f t="shared" si="25"/>
        <v>4</v>
      </c>
      <c r="P195" s="209">
        <f t="shared" si="26"/>
        <v>7</v>
      </c>
      <c r="Q195" s="209">
        <f t="shared" si="27"/>
        <v>4</v>
      </c>
      <c r="R195" s="209">
        <f t="shared" si="28"/>
        <v>4</v>
      </c>
      <c r="S195" s="209">
        <f t="shared" si="29"/>
        <v>7</v>
      </c>
      <c r="T195" s="209">
        <f t="shared" si="30"/>
        <v>4</v>
      </c>
      <c r="U195" s="209">
        <f t="shared" si="31"/>
        <v>4</v>
      </c>
    </row>
    <row r="196" spans="1:21">
      <c r="A196" s="424" t="s">
        <v>1515</v>
      </c>
      <c r="B196" s="211" t="s">
        <v>106</v>
      </c>
      <c r="C196" s="211">
        <v>4</v>
      </c>
      <c r="D196" s="211">
        <v>5</v>
      </c>
      <c r="E196" s="211">
        <v>5</v>
      </c>
      <c r="F196" s="211">
        <v>4</v>
      </c>
      <c r="H196" s="211">
        <v>5</v>
      </c>
      <c r="I196" s="211">
        <v>4</v>
      </c>
      <c r="J196" s="211">
        <v>4</v>
      </c>
      <c r="L196" s="211">
        <v>27.25</v>
      </c>
      <c r="N196" s="209">
        <f t="shared" si="24"/>
        <v>4</v>
      </c>
      <c r="O196" s="209">
        <f t="shared" si="25"/>
        <v>5.5</v>
      </c>
      <c r="P196" s="209">
        <f t="shared" si="26"/>
        <v>5.5</v>
      </c>
      <c r="Q196" s="209">
        <f t="shared" si="27"/>
        <v>4</v>
      </c>
      <c r="R196" s="209" t="str">
        <f t="shared" si="28"/>
        <v>/</v>
      </c>
      <c r="S196" s="209">
        <f t="shared" si="29"/>
        <v>5.5</v>
      </c>
      <c r="T196" s="209">
        <f t="shared" si="30"/>
        <v>4</v>
      </c>
      <c r="U196" s="209">
        <f t="shared" si="31"/>
        <v>4</v>
      </c>
    </row>
    <row r="197" spans="1:21">
      <c r="A197" s="424" t="s">
        <v>1520</v>
      </c>
      <c r="B197" s="211" t="s">
        <v>109</v>
      </c>
      <c r="C197" s="211">
        <v>3</v>
      </c>
      <c r="D197" s="211">
        <v>5</v>
      </c>
      <c r="E197" s="211">
        <v>5</v>
      </c>
      <c r="F197" s="211">
        <v>3</v>
      </c>
      <c r="G197" s="211">
        <v>4</v>
      </c>
      <c r="H197" s="211">
        <v>5</v>
      </c>
      <c r="I197" s="211">
        <v>5</v>
      </c>
      <c r="L197" s="211">
        <v>31.5</v>
      </c>
      <c r="N197" s="209">
        <f t="shared" si="24"/>
        <v>3</v>
      </c>
      <c r="O197" s="209">
        <f t="shared" si="25"/>
        <v>5.5</v>
      </c>
      <c r="P197" s="209">
        <f t="shared" si="26"/>
        <v>5.5</v>
      </c>
      <c r="Q197" s="209">
        <f t="shared" si="27"/>
        <v>3</v>
      </c>
      <c r="R197" s="209">
        <f t="shared" si="28"/>
        <v>4</v>
      </c>
      <c r="S197" s="209">
        <f t="shared" si="29"/>
        <v>5.5</v>
      </c>
      <c r="T197" s="209">
        <f t="shared" si="30"/>
        <v>5.5</v>
      </c>
      <c r="U197" s="209" t="str">
        <f t="shared" si="31"/>
        <v>/</v>
      </c>
    </row>
    <row r="198" spans="1:21">
      <c r="A198" s="424" t="s">
        <v>1520</v>
      </c>
      <c r="B198" s="211" t="s">
        <v>2470</v>
      </c>
      <c r="C198" s="211">
        <v>3</v>
      </c>
      <c r="D198" s="211">
        <v>4</v>
      </c>
      <c r="E198" s="211">
        <v>5</v>
      </c>
      <c r="F198" s="211">
        <v>4</v>
      </c>
      <c r="H198" s="211">
        <v>5</v>
      </c>
      <c r="I198" s="211">
        <v>5</v>
      </c>
      <c r="L198" s="211">
        <v>30</v>
      </c>
      <c r="N198" s="209">
        <f t="shared" si="24"/>
        <v>3</v>
      </c>
      <c r="O198" s="209">
        <f t="shared" si="25"/>
        <v>4</v>
      </c>
      <c r="P198" s="209">
        <f t="shared" si="26"/>
        <v>5.5</v>
      </c>
      <c r="Q198" s="209">
        <f t="shared" si="27"/>
        <v>4</v>
      </c>
      <c r="R198" s="209" t="str">
        <f t="shared" si="28"/>
        <v>/</v>
      </c>
      <c r="S198" s="209">
        <f t="shared" si="29"/>
        <v>5.5</v>
      </c>
      <c r="T198" s="209">
        <f t="shared" si="30"/>
        <v>5.5</v>
      </c>
      <c r="U198" s="209" t="str">
        <f t="shared" si="31"/>
        <v>/</v>
      </c>
    </row>
    <row r="199" spans="1:21">
      <c r="A199" s="424" t="s">
        <v>1520</v>
      </c>
      <c r="B199" s="211" t="s">
        <v>106</v>
      </c>
      <c r="C199" s="211">
        <v>3</v>
      </c>
      <c r="D199" s="211">
        <v>3</v>
      </c>
      <c r="E199" s="211">
        <v>5</v>
      </c>
      <c r="F199" s="211">
        <v>3</v>
      </c>
      <c r="G199" s="211">
        <v>5</v>
      </c>
      <c r="H199" s="211">
        <v>4</v>
      </c>
      <c r="I199" s="211">
        <v>4</v>
      </c>
      <c r="J199" s="211">
        <v>4</v>
      </c>
      <c r="L199" s="211">
        <v>28.5</v>
      </c>
      <c r="N199" s="209">
        <f t="shared" si="24"/>
        <v>3</v>
      </c>
      <c r="O199" s="209">
        <f t="shared" si="25"/>
        <v>3</v>
      </c>
      <c r="P199" s="209">
        <f t="shared" si="26"/>
        <v>5.5</v>
      </c>
      <c r="Q199" s="209">
        <f t="shared" si="27"/>
        <v>3</v>
      </c>
      <c r="R199" s="209">
        <f t="shared" si="28"/>
        <v>5.5</v>
      </c>
      <c r="S199" s="209">
        <f t="shared" si="29"/>
        <v>4</v>
      </c>
      <c r="T199" s="209">
        <f t="shared" si="30"/>
        <v>4</v>
      </c>
      <c r="U199" s="209">
        <f t="shared" si="31"/>
        <v>4</v>
      </c>
    </row>
    <row r="200" spans="1:21">
      <c r="A200" s="424" t="s">
        <v>1523</v>
      </c>
      <c r="B200" s="211" t="s">
        <v>109</v>
      </c>
      <c r="C200" s="211">
        <v>5</v>
      </c>
      <c r="D200" s="211">
        <v>5</v>
      </c>
      <c r="E200" s="211">
        <v>4</v>
      </c>
      <c r="F200" s="211">
        <v>4</v>
      </c>
      <c r="H200" s="211">
        <v>5</v>
      </c>
      <c r="I200" s="211">
        <v>5</v>
      </c>
      <c r="L200" s="211">
        <v>31.5</v>
      </c>
      <c r="N200" s="209">
        <f t="shared" si="24"/>
        <v>5.5</v>
      </c>
      <c r="O200" s="209">
        <f t="shared" si="25"/>
        <v>5.5</v>
      </c>
      <c r="P200" s="209">
        <f t="shared" si="26"/>
        <v>4</v>
      </c>
      <c r="Q200" s="209">
        <f t="shared" si="27"/>
        <v>4</v>
      </c>
      <c r="R200" s="209" t="str">
        <f t="shared" si="28"/>
        <v>/</v>
      </c>
      <c r="S200" s="209">
        <f t="shared" si="29"/>
        <v>5.5</v>
      </c>
      <c r="T200" s="209">
        <f t="shared" si="30"/>
        <v>5.5</v>
      </c>
      <c r="U200" s="209" t="str">
        <f t="shared" si="31"/>
        <v>/</v>
      </c>
    </row>
    <row r="201" spans="1:21">
      <c r="A201" s="424" t="s">
        <v>1523</v>
      </c>
      <c r="B201" s="211" t="s">
        <v>2470</v>
      </c>
      <c r="C201" s="211">
        <v>4</v>
      </c>
      <c r="D201" s="211">
        <v>4</v>
      </c>
      <c r="E201" s="211">
        <v>5</v>
      </c>
      <c r="F201" s="211">
        <v>4</v>
      </c>
      <c r="H201" s="211" t="s">
        <v>2469</v>
      </c>
      <c r="I201" s="211">
        <v>3</v>
      </c>
      <c r="L201" s="211">
        <v>30</v>
      </c>
      <c r="N201" s="209">
        <f t="shared" si="24"/>
        <v>4</v>
      </c>
      <c r="O201" s="209">
        <f t="shared" si="25"/>
        <v>4</v>
      </c>
      <c r="P201" s="209">
        <f t="shared" si="26"/>
        <v>5.5</v>
      </c>
      <c r="Q201" s="209">
        <f t="shared" si="27"/>
        <v>4</v>
      </c>
      <c r="R201" s="209" t="str">
        <f t="shared" si="28"/>
        <v>/</v>
      </c>
      <c r="S201" s="209">
        <f t="shared" si="29"/>
        <v>7</v>
      </c>
      <c r="T201" s="209">
        <f t="shared" si="30"/>
        <v>3</v>
      </c>
      <c r="U201" s="209" t="str">
        <f t="shared" si="31"/>
        <v>/</v>
      </c>
    </row>
    <row r="202" spans="1:21">
      <c r="A202" s="424" t="s">
        <v>1523</v>
      </c>
      <c r="B202" s="211" t="s">
        <v>106</v>
      </c>
      <c r="C202" s="211">
        <v>4</v>
      </c>
      <c r="D202" s="211">
        <v>4</v>
      </c>
      <c r="E202" s="211">
        <v>4</v>
      </c>
      <c r="F202" s="211">
        <v>4</v>
      </c>
      <c r="H202" s="211" t="s">
        <v>2469</v>
      </c>
      <c r="I202" s="211">
        <v>4</v>
      </c>
      <c r="L202" s="211">
        <v>28.5</v>
      </c>
      <c r="N202" s="209">
        <f t="shared" si="24"/>
        <v>4</v>
      </c>
      <c r="O202" s="209">
        <f t="shared" si="25"/>
        <v>4</v>
      </c>
      <c r="P202" s="209">
        <f t="shared" si="26"/>
        <v>4</v>
      </c>
      <c r="Q202" s="209">
        <f t="shared" si="27"/>
        <v>4</v>
      </c>
      <c r="R202" s="209" t="str">
        <f t="shared" si="28"/>
        <v>/</v>
      </c>
      <c r="S202" s="209">
        <f t="shared" si="29"/>
        <v>7</v>
      </c>
      <c r="T202" s="209">
        <f t="shared" si="30"/>
        <v>4</v>
      </c>
      <c r="U202" s="209" t="str">
        <f t="shared" si="31"/>
        <v>/</v>
      </c>
    </row>
    <row r="203" spans="1:21">
      <c r="A203" s="424" t="s">
        <v>1527</v>
      </c>
      <c r="B203" s="211" t="s">
        <v>109</v>
      </c>
      <c r="C203" s="211" t="s">
        <v>2469</v>
      </c>
      <c r="D203" s="211" t="s">
        <v>2471</v>
      </c>
      <c r="E203" s="211">
        <v>3</v>
      </c>
      <c r="F203" s="211">
        <v>4</v>
      </c>
      <c r="H203" s="211">
        <v>4</v>
      </c>
      <c r="I203" s="211">
        <v>4</v>
      </c>
      <c r="J203" s="211">
        <v>4</v>
      </c>
      <c r="L203" s="211">
        <v>27.5</v>
      </c>
      <c r="N203" s="209">
        <f t="shared" si="24"/>
        <v>7</v>
      </c>
      <c r="O203" s="209">
        <f t="shared" si="25"/>
        <v>8.5</v>
      </c>
      <c r="P203" s="209">
        <f t="shared" si="26"/>
        <v>3</v>
      </c>
      <c r="Q203" s="209">
        <f t="shared" si="27"/>
        <v>4</v>
      </c>
      <c r="R203" s="209" t="str">
        <f t="shared" si="28"/>
        <v>/</v>
      </c>
      <c r="S203" s="209">
        <f t="shared" si="29"/>
        <v>4</v>
      </c>
      <c r="T203" s="209">
        <f t="shared" si="30"/>
        <v>4</v>
      </c>
      <c r="U203" s="209">
        <f t="shared" si="31"/>
        <v>4</v>
      </c>
    </row>
    <row r="204" spans="1:21">
      <c r="A204" s="424" t="s">
        <v>1527</v>
      </c>
      <c r="B204" s="211" t="s">
        <v>2470</v>
      </c>
      <c r="C204" s="211">
        <v>4</v>
      </c>
      <c r="D204" s="211">
        <v>4</v>
      </c>
      <c r="E204" s="211">
        <v>4</v>
      </c>
      <c r="F204" s="211">
        <v>3</v>
      </c>
      <c r="H204" s="211">
        <v>5</v>
      </c>
      <c r="I204" s="211">
        <v>5</v>
      </c>
      <c r="J204" s="211">
        <v>5</v>
      </c>
      <c r="L204" s="211">
        <v>24.5</v>
      </c>
      <c r="N204" s="209">
        <f t="shared" si="24"/>
        <v>4</v>
      </c>
      <c r="O204" s="209">
        <f t="shared" si="25"/>
        <v>4</v>
      </c>
      <c r="P204" s="209">
        <f t="shared" si="26"/>
        <v>4</v>
      </c>
      <c r="Q204" s="209">
        <f t="shared" si="27"/>
        <v>3</v>
      </c>
      <c r="R204" s="209" t="str">
        <f t="shared" si="28"/>
        <v>/</v>
      </c>
      <c r="S204" s="209">
        <f t="shared" si="29"/>
        <v>5.5</v>
      </c>
      <c r="T204" s="209">
        <f t="shared" si="30"/>
        <v>5.5</v>
      </c>
      <c r="U204" s="209">
        <f t="shared" si="31"/>
        <v>5.5</v>
      </c>
    </row>
    <row r="205" spans="1:21">
      <c r="A205" s="424" t="s">
        <v>1527</v>
      </c>
      <c r="B205" s="211" t="s">
        <v>106</v>
      </c>
      <c r="C205" s="211">
        <v>4</v>
      </c>
      <c r="D205" s="211">
        <v>3</v>
      </c>
      <c r="E205" s="211">
        <v>4</v>
      </c>
      <c r="F205" s="211">
        <v>4</v>
      </c>
      <c r="H205" s="211" t="s">
        <v>2469</v>
      </c>
      <c r="I205" s="211">
        <v>5</v>
      </c>
      <c r="L205" s="211">
        <v>24.5</v>
      </c>
      <c r="N205" s="209">
        <f t="shared" si="24"/>
        <v>4</v>
      </c>
      <c r="O205" s="209">
        <f t="shared" si="25"/>
        <v>3</v>
      </c>
      <c r="P205" s="209">
        <f t="shared" si="26"/>
        <v>4</v>
      </c>
      <c r="Q205" s="209">
        <f t="shared" si="27"/>
        <v>4</v>
      </c>
      <c r="R205" s="209" t="str">
        <f t="shared" si="28"/>
        <v>/</v>
      </c>
      <c r="S205" s="209">
        <f t="shared" si="29"/>
        <v>7</v>
      </c>
      <c r="T205" s="209">
        <f t="shared" si="30"/>
        <v>5.5</v>
      </c>
      <c r="U205" s="209" t="str">
        <f t="shared" si="31"/>
        <v>/</v>
      </c>
    </row>
    <row r="206" spans="1:21">
      <c r="A206" s="424" t="s">
        <v>1530</v>
      </c>
      <c r="B206" s="211" t="s">
        <v>109</v>
      </c>
      <c r="C206" s="211">
        <v>5</v>
      </c>
      <c r="D206" s="211">
        <v>4</v>
      </c>
      <c r="E206" s="211">
        <v>3</v>
      </c>
      <c r="F206" s="211">
        <v>5</v>
      </c>
      <c r="H206" s="211">
        <v>4</v>
      </c>
      <c r="I206" s="211">
        <v>4</v>
      </c>
      <c r="J206" s="211">
        <v>4</v>
      </c>
      <c r="L206" s="211">
        <v>27.75</v>
      </c>
      <c r="N206" s="209">
        <f t="shared" si="24"/>
        <v>5.5</v>
      </c>
      <c r="O206" s="209">
        <f t="shared" si="25"/>
        <v>4</v>
      </c>
      <c r="P206" s="209">
        <f t="shared" si="26"/>
        <v>3</v>
      </c>
      <c r="Q206" s="209">
        <f t="shared" si="27"/>
        <v>5.5</v>
      </c>
      <c r="R206" s="209" t="str">
        <f t="shared" si="28"/>
        <v>/</v>
      </c>
      <c r="S206" s="209">
        <f t="shared" si="29"/>
        <v>4</v>
      </c>
      <c r="T206" s="209">
        <f t="shared" si="30"/>
        <v>4</v>
      </c>
      <c r="U206" s="209">
        <f t="shared" si="31"/>
        <v>4</v>
      </c>
    </row>
    <row r="207" spans="1:21">
      <c r="A207" s="424" t="s">
        <v>1530</v>
      </c>
      <c r="B207" s="211" t="s">
        <v>2470</v>
      </c>
      <c r="C207" s="211">
        <v>5</v>
      </c>
      <c r="D207" s="211">
        <v>4</v>
      </c>
      <c r="E207" s="211">
        <v>4</v>
      </c>
      <c r="F207" s="211">
        <v>4</v>
      </c>
      <c r="H207" s="211">
        <v>5</v>
      </c>
      <c r="I207" s="211">
        <v>4</v>
      </c>
      <c r="L207" s="211">
        <v>27.375</v>
      </c>
      <c r="N207" s="209">
        <f t="shared" si="24"/>
        <v>5.5</v>
      </c>
      <c r="O207" s="209">
        <f t="shared" si="25"/>
        <v>4</v>
      </c>
      <c r="P207" s="209">
        <f t="shared" si="26"/>
        <v>4</v>
      </c>
      <c r="Q207" s="209">
        <f t="shared" si="27"/>
        <v>4</v>
      </c>
      <c r="R207" s="209" t="str">
        <f t="shared" si="28"/>
        <v>/</v>
      </c>
      <c r="S207" s="209">
        <f t="shared" si="29"/>
        <v>5.5</v>
      </c>
      <c r="T207" s="209">
        <f t="shared" si="30"/>
        <v>4</v>
      </c>
      <c r="U207" s="209" t="str">
        <f t="shared" si="31"/>
        <v>/</v>
      </c>
    </row>
    <row r="208" spans="1:21">
      <c r="A208" s="424" t="s">
        <v>1530</v>
      </c>
      <c r="B208" s="211" t="s">
        <v>106</v>
      </c>
      <c r="C208" s="211" t="s">
        <v>2469</v>
      </c>
      <c r="D208" s="211">
        <v>3</v>
      </c>
      <c r="E208" s="211">
        <v>3</v>
      </c>
      <c r="F208" s="211">
        <v>4</v>
      </c>
      <c r="H208" s="211">
        <v>5</v>
      </c>
      <c r="I208" s="211">
        <v>3</v>
      </c>
      <c r="L208" s="211">
        <v>26.75</v>
      </c>
      <c r="N208" s="209">
        <f t="shared" si="24"/>
        <v>7</v>
      </c>
      <c r="O208" s="209">
        <f t="shared" si="25"/>
        <v>3</v>
      </c>
      <c r="P208" s="209">
        <f t="shared" si="26"/>
        <v>3</v>
      </c>
      <c r="Q208" s="209">
        <f t="shared" si="27"/>
        <v>4</v>
      </c>
      <c r="R208" s="209" t="str">
        <f t="shared" si="28"/>
        <v>/</v>
      </c>
      <c r="S208" s="209">
        <f t="shared" si="29"/>
        <v>5.5</v>
      </c>
      <c r="T208" s="209">
        <f t="shared" si="30"/>
        <v>3</v>
      </c>
      <c r="U208" s="209" t="str">
        <f t="shared" si="31"/>
        <v>/</v>
      </c>
    </row>
    <row r="209" spans="1:21">
      <c r="A209" s="424" t="s">
        <v>1534</v>
      </c>
      <c r="B209" s="211" t="s">
        <v>109</v>
      </c>
      <c r="C209" s="211" t="s">
        <v>2469</v>
      </c>
      <c r="D209" s="211">
        <v>5</v>
      </c>
      <c r="E209" s="211">
        <v>5</v>
      </c>
      <c r="F209" s="211">
        <v>4</v>
      </c>
      <c r="H209" s="211">
        <v>5</v>
      </c>
      <c r="I209" s="211">
        <v>5</v>
      </c>
      <c r="J209" s="211">
        <v>5</v>
      </c>
      <c r="L209" s="211">
        <v>32.75</v>
      </c>
      <c r="N209" s="209">
        <f t="shared" si="24"/>
        <v>7</v>
      </c>
      <c r="O209" s="209">
        <f t="shared" si="25"/>
        <v>5.5</v>
      </c>
      <c r="P209" s="209">
        <f t="shared" si="26"/>
        <v>5.5</v>
      </c>
      <c r="Q209" s="209">
        <f t="shared" si="27"/>
        <v>4</v>
      </c>
      <c r="R209" s="209" t="str">
        <f t="shared" si="28"/>
        <v>/</v>
      </c>
      <c r="S209" s="209">
        <f t="shared" si="29"/>
        <v>5.5</v>
      </c>
      <c r="T209" s="209">
        <f t="shared" si="30"/>
        <v>5.5</v>
      </c>
      <c r="U209" s="209">
        <f t="shared" si="31"/>
        <v>5.5</v>
      </c>
    </row>
    <row r="210" spans="1:21">
      <c r="A210" s="424" t="s">
        <v>1534</v>
      </c>
      <c r="B210" s="211" t="s">
        <v>2470</v>
      </c>
      <c r="C210" s="211">
        <v>4</v>
      </c>
      <c r="D210" s="211">
        <v>5</v>
      </c>
      <c r="E210" s="211">
        <v>5</v>
      </c>
      <c r="F210" s="211">
        <v>5</v>
      </c>
      <c r="G210" s="211">
        <v>5</v>
      </c>
      <c r="H210" s="211" t="s">
        <v>2469</v>
      </c>
      <c r="I210" s="211">
        <v>4</v>
      </c>
      <c r="L210" s="211">
        <v>30.65</v>
      </c>
      <c r="N210" s="209">
        <f t="shared" si="24"/>
        <v>4</v>
      </c>
      <c r="O210" s="209">
        <f t="shared" si="25"/>
        <v>5.5</v>
      </c>
      <c r="P210" s="209">
        <f t="shared" si="26"/>
        <v>5.5</v>
      </c>
      <c r="Q210" s="209">
        <f t="shared" si="27"/>
        <v>5.5</v>
      </c>
      <c r="R210" s="209">
        <f t="shared" si="28"/>
        <v>5.5</v>
      </c>
      <c r="S210" s="209">
        <f t="shared" si="29"/>
        <v>7</v>
      </c>
      <c r="T210" s="209">
        <f t="shared" si="30"/>
        <v>4</v>
      </c>
      <c r="U210" s="209" t="str">
        <f t="shared" si="31"/>
        <v>/</v>
      </c>
    </row>
    <row r="211" spans="1:21">
      <c r="A211" s="424" t="s">
        <v>1534</v>
      </c>
      <c r="B211" s="211" t="s">
        <v>106</v>
      </c>
      <c r="C211" s="211">
        <v>5</v>
      </c>
      <c r="D211" s="211">
        <v>4</v>
      </c>
      <c r="E211" s="211" t="s">
        <v>2469</v>
      </c>
      <c r="F211" s="211">
        <v>4</v>
      </c>
      <c r="G211" s="211">
        <v>4</v>
      </c>
      <c r="H211" s="211">
        <v>5</v>
      </c>
      <c r="I211" s="211">
        <v>4</v>
      </c>
      <c r="J211" s="211">
        <v>4</v>
      </c>
      <c r="L211" s="211">
        <v>28.85</v>
      </c>
      <c r="N211" s="209">
        <f t="shared" si="24"/>
        <v>5.5</v>
      </c>
      <c r="O211" s="209">
        <f t="shared" si="25"/>
        <v>4</v>
      </c>
      <c r="P211" s="209">
        <f t="shared" si="26"/>
        <v>7</v>
      </c>
      <c r="Q211" s="209">
        <f t="shared" si="27"/>
        <v>4</v>
      </c>
      <c r="R211" s="209">
        <f t="shared" si="28"/>
        <v>4</v>
      </c>
      <c r="S211" s="209">
        <f t="shared" si="29"/>
        <v>5.5</v>
      </c>
      <c r="T211" s="209">
        <f t="shared" si="30"/>
        <v>4</v>
      </c>
      <c r="U211" s="209">
        <f t="shared" si="31"/>
        <v>4</v>
      </c>
    </row>
    <row r="212" spans="1:21">
      <c r="A212" s="424" t="s">
        <v>1538</v>
      </c>
      <c r="B212" s="211" t="s">
        <v>109</v>
      </c>
      <c r="C212" s="211" t="s">
        <v>2469</v>
      </c>
      <c r="D212" s="211" t="s">
        <v>2469</v>
      </c>
      <c r="E212" s="211">
        <v>5</v>
      </c>
      <c r="F212" s="211">
        <v>4</v>
      </c>
      <c r="H212" s="211">
        <v>5</v>
      </c>
      <c r="I212" s="211">
        <v>5</v>
      </c>
      <c r="L212" s="211">
        <v>32.6</v>
      </c>
      <c r="N212" s="209">
        <f t="shared" si="24"/>
        <v>7</v>
      </c>
      <c r="O212" s="209">
        <f t="shared" si="25"/>
        <v>7</v>
      </c>
      <c r="P212" s="209">
        <f t="shared" si="26"/>
        <v>5.5</v>
      </c>
      <c r="Q212" s="209">
        <f t="shared" si="27"/>
        <v>4</v>
      </c>
      <c r="R212" s="209" t="str">
        <f t="shared" si="28"/>
        <v>/</v>
      </c>
      <c r="S212" s="209">
        <f t="shared" si="29"/>
        <v>5.5</v>
      </c>
      <c r="T212" s="209">
        <f t="shared" si="30"/>
        <v>5.5</v>
      </c>
      <c r="U212" s="209" t="str">
        <f t="shared" si="31"/>
        <v>/</v>
      </c>
    </row>
    <row r="213" spans="1:21">
      <c r="A213" s="424" t="s">
        <v>1538</v>
      </c>
      <c r="B213" s="211" t="s">
        <v>2470</v>
      </c>
      <c r="C213" s="211">
        <v>4</v>
      </c>
      <c r="D213" s="211">
        <v>4</v>
      </c>
      <c r="E213" s="211" t="s">
        <v>2469</v>
      </c>
      <c r="F213" s="211">
        <v>5</v>
      </c>
      <c r="G213" s="211">
        <v>5</v>
      </c>
      <c r="H213" s="211">
        <v>5</v>
      </c>
      <c r="L213" s="211">
        <v>28.7</v>
      </c>
      <c r="N213" s="209">
        <f t="shared" si="24"/>
        <v>4</v>
      </c>
      <c r="O213" s="209">
        <f t="shared" si="25"/>
        <v>4</v>
      </c>
      <c r="P213" s="209">
        <f t="shared" si="26"/>
        <v>7</v>
      </c>
      <c r="Q213" s="209">
        <f t="shared" si="27"/>
        <v>5.5</v>
      </c>
      <c r="R213" s="209">
        <f t="shared" si="28"/>
        <v>5.5</v>
      </c>
      <c r="S213" s="209">
        <f t="shared" si="29"/>
        <v>5.5</v>
      </c>
      <c r="T213" s="209" t="str">
        <f t="shared" si="30"/>
        <v>/</v>
      </c>
      <c r="U213" s="209" t="str">
        <f t="shared" si="31"/>
        <v>/</v>
      </c>
    </row>
    <row r="214" spans="1:21">
      <c r="A214" s="424" t="s">
        <v>1538</v>
      </c>
      <c r="B214" s="211" t="s">
        <v>106</v>
      </c>
      <c r="C214" s="211" t="s">
        <v>2471</v>
      </c>
      <c r="D214" s="211">
        <v>4</v>
      </c>
      <c r="E214" s="211">
        <v>4</v>
      </c>
      <c r="F214" s="211">
        <v>4</v>
      </c>
      <c r="H214" s="211">
        <v>5</v>
      </c>
      <c r="I214" s="211">
        <v>4</v>
      </c>
      <c r="L214" s="211">
        <v>27.2</v>
      </c>
      <c r="N214" s="209">
        <f t="shared" si="24"/>
        <v>8.5</v>
      </c>
      <c r="O214" s="209">
        <f t="shared" si="25"/>
        <v>4</v>
      </c>
      <c r="P214" s="209">
        <f t="shared" si="26"/>
        <v>4</v>
      </c>
      <c r="Q214" s="209">
        <f t="shared" si="27"/>
        <v>4</v>
      </c>
      <c r="R214" s="209" t="str">
        <f t="shared" si="28"/>
        <v>/</v>
      </c>
      <c r="S214" s="209">
        <f t="shared" si="29"/>
        <v>5.5</v>
      </c>
      <c r="T214" s="209">
        <f t="shared" si="30"/>
        <v>4</v>
      </c>
      <c r="U214" s="209" t="str">
        <f t="shared" si="31"/>
        <v>/</v>
      </c>
    </row>
    <row r="215" spans="1:21">
      <c r="A215" s="424" t="s">
        <v>43</v>
      </c>
      <c r="B215" s="211" t="s">
        <v>109</v>
      </c>
      <c r="C215" s="211" t="s">
        <v>2469</v>
      </c>
      <c r="D215" s="211">
        <v>5</v>
      </c>
      <c r="E215" s="211">
        <v>5</v>
      </c>
      <c r="F215" s="211">
        <v>5</v>
      </c>
      <c r="H215" s="211">
        <v>5</v>
      </c>
      <c r="I215" s="211">
        <v>5</v>
      </c>
      <c r="J215" s="211">
        <v>5</v>
      </c>
      <c r="L215" s="211">
        <v>34.5</v>
      </c>
      <c r="N215" s="209">
        <f t="shared" si="24"/>
        <v>7</v>
      </c>
      <c r="O215" s="209">
        <f t="shared" si="25"/>
        <v>5.5</v>
      </c>
      <c r="P215" s="209">
        <f t="shared" si="26"/>
        <v>5.5</v>
      </c>
      <c r="Q215" s="209">
        <f t="shared" si="27"/>
        <v>5.5</v>
      </c>
      <c r="R215" s="209" t="str">
        <f t="shared" si="28"/>
        <v>/</v>
      </c>
      <c r="S215" s="209">
        <f t="shared" si="29"/>
        <v>5.5</v>
      </c>
      <c r="T215" s="209">
        <f t="shared" si="30"/>
        <v>5.5</v>
      </c>
      <c r="U215" s="209">
        <f t="shared" si="31"/>
        <v>5.5</v>
      </c>
    </row>
    <row r="216" spans="1:21">
      <c r="A216" s="424" t="s">
        <v>43</v>
      </c>
      <c r="B216" s="211" t="s">
        <v>2470</v>
      </c>
      <c r="C216" s="211">
        <v>5</v>
      </c>
      <c r="D216" s="211" t="s">
        <v>2469</v>
      </c>
      <c r="E216" s="211">
        <v>4</v>
      </c>
      <c r="F216" s="211">
        <v>4</v>
      </c>
      <c r="H216" s="211">
        <v>5</v>
      </c>
      <c r="I216" s="211">
        <v>5</v>
      </c>
      <c r="L216" s="211">
        <v>33</v>
      </c>
      <c r="N216" s="209">
        <f t="shared" si="24"/>
        <v>5.5</v>
      </c>
      <c r="O216" s="209">
        <f t="shared" si="25"/>
        <v>7</v>
      </c>
      <c r="P216" s="209">
        <f t="shared" si="26"/>
        <v>4</v>
      </c>
      <c r="Q216" s="209">
        <f t="shared" si="27"/>
        <v>4</v>
      </c>
      <c r="R216" s="209" t="str">
        <f t="shared" si="28"/>
        <v>/</v>
      </c>
      <c r="S216" s="209">
        <f t="shared" si="29"/>
        <v>5.5</v>
      </c>
      <c r="T216" s="209">
        <f t="shared" si="30"/>
        <v>5.5</v>
      </c>
      <c r="U216" s="209" t="str">
        <f t="shared" si="31"/>
        <v>/</v>
      </c>
    </row>
    <row r="217" spans="1:21">
      <c r="A217" s="424" t="s">
        <v>43</v>
      </c>
      <c r="B217" s="211" t="s">
        <v>106</v>
      </c>
      <c r="C217" s="211">
        <v>5</v>
      </c>
      <c r="D217" s="211">
        <v>4</v>
      </c>
      <c r="E217" s="211">
        <v>5</v>
      </c>
      <c r="F217" s="211">
        <v>4</v>
      </c>
      <c r="H217" s="211">
        <v>5</v>
      </c>
      <c r="I217" s="211">
        <v>5</v>
      </c>
      <c r="J217" s="211">
        <v>4</v>
      </c>
      <c r="L217" s="211">
        <v>30.75</v>
      </c>
      <c r="N217" s="209">
        <f t="shared" si="24"/>
        <v>5.5</v>
      </c>
      <c r="O217" s="209">
        <f t="shared" si="25"/>
        <v>4</v>
      </c>
      <c r="P217" s="209">
        <f t="shared" si="26"/>
        <v>5.5</v>
      </c>
      <c r="Q217" s="209">
        <f t="shared" si="27"/>
        <v>4</v>
      </c>
      <c r="R217" s="209" t="str">
        <f t="shared" si="28"/>
        <v>/</v>
      </c>
      <c r="S217" s="209">
        <f t="shared" si="29"/>
        <v>5.5</v>
      </c>
      <c r="T217" s="209">
        <f t="shared" si="30"/>
        <v>5.5</v>
      </c>
      <c r="U217" s="209">
        <f t="shared" si="31"/>
        <v>4</v>
      </c>
    </row>
    <row r="218" spans="1:21">
      <c r="A218" s="424" t="s">
        <v>1545</v>
      </c>
      <c r="B218" s="211" t="s">
        <v>109</v>
      </c>
      <c r="C218" s="211" t="s">
        <v>2471</v>
      </c>
      <c r="D218" s="211">
        <v>5</v>
      </c>
      <c r="E218" s="211">
        <v>5</v>
      </c>
      <c r="F218" s="211">
        <v>4</v>
      </c>
      <c r="H218" s="211">
        <v>5</v>
      </c>
      <c r="I218" s="211">
        <v>4</v>
      </c>
      <c r="J218" s="211">
        <v>3</v>
      </c>
      <c r="L218" s="211">
        <v>29</v>
      </c>
      <c r="N218" s="209">
        <f t="shared" si="24"/>
        <v>8.5</v>
      </c>
      <c r="O218" s="209">
        <f t="shared" si="25"/>
        <v>5.5</v>
      </c>
      <c r="P218" s="209">
        <f t="shared" si="26"/>
        <v>5.5</v>
      </c>
      <c r="Q218" s="209">
        <f t="shared" si="27"/>
        <v>4</v>
      </c>
      <c r="R218" s="209" t="str">
        <f t="shared" si="28"/>
        <v>/</v>
      </c>
      <c r="S218" s="209">
        <f t="shared" si="29"/>
        <v>5.5</v>
      </c>
      <c r="T218" s="209">
        <f t="shared" si="30"/>
        <v>4</v>
      </c>
      <c r="U218" s="209">
        <f t="shared" si="31"/>
        <v>3</v>
      </c>
    </row>
    <row r="219" spans="1:21">
      <c r="A219" s="424" t="s">
        <v>1545</v>
      </c>
      <c r="B219" s="211" t="s">
        <v>2470</v>
      </c>
      <c r="C219" s="211">
        <v>4</v>
      </c>
      <c r="D219" s="211">
        <v>3</v>
      </c>
      <c r="E219" s="211" t="s">
        <v>2469</v>
      </c>
      <c r="F219" s="211">
        <v>4</v>
      </c>
      <c r="G219" s="211">
        <v>5</v>
      </c>
      <c r="H219" s="211">
        <v>5</v>
      </c>
      <c r="I219" s="211">
        <v>5</v>
      </c>
      <c r="J219" s="211">
        <v>4</v>
      </c>
      <c r="L219" s="211">
        <v>27.5</v>
      </c>
      <c r="N219" s="209">
        <f t="shared" si="24"/>
        <v>4</v>
      </c>
      <c r="O219" s="209">
        <f t="shared" si="25"/>
        <v>3</v>
      </c>
      <c r="P219" s="209">
        <f t="shared" si="26"/>
        <v>7</v>
      </c>
      <c r="Q219" s="209">
        <f t="shared" si="27"/>
        <v>4</v>
      </c>
      <c r="R219" s="209">
        <f t="shared" si="28"/>
        <v>5.5</v>
      </c>
      <c r="S219" s="209">
        <f t="shared" si="29"/>
        <v>5.5</v>
      </c>
      <c r="T219" s="209">
        <f t="shared" si="30"/>
        <v>5.5</v>
      </c>
      <c r="U219" s="209">
        <f t="shared" si="31"/>
        <v>4</v>
      </c>
    </row>
    <row r="220" spans="1:21">
      <c r="A220" s="424" t="s">
        <v>1545</v>
      </c>
      <c r="B220" s="211" t="s">
        <v>106</v>
      </c>
      <c r="C220" s="211">
        <v>5</v>
      </c>
      <c r="D220" s="211">
        <v>4</v>
      </c>
      <c r="E220" s="211">
        <v>3</v>
      </c>
      <c r="F220" s="211">
        <v>4</v>
      </c>
      <c r="H220" s="211" t="s">
        <v>2469</v>
      </c>
      <c r="I220" s="211" t="s">
        <v>2469</v>
      </c>
      <c r="L220" s="211">
        <v>27.5</v>
      </c>
      <c r="N220" s="209">
        <f t="shared" si="24"/>
        <v>5.5</v>
      </c>
      <c r="O220" s="209">
        <f t="shared" si="25"/>
        <v>4</v>
      </c>
      <c r="P220" s="209">
        <f t="shared" si="26"/>
        <v>3</v>
      </c>
      <c r="Q220" s="209">
        <f t="shared" si="27"/>
        <v>4</v>
      </c>
      <c r="R220" s="209" t="str">
        <f t="shared" si="28"/>
        <v>/</v>
      </c>
      <c r="S220" s="209">
        <f t="shared" si="29"/>
        <v>7</v>
      </c>
      <c r="T220" s="209">
        <f t="shared" si="30"/>
        <v>7</v>
      </c>
      <c r="U220" s="209" t="str">
        <f t="shared" si="31"/>
        <v>/</v>
      </c>
    </row>
    <row r="221" spans="1:21">
      <c r="A221" s="424" t="s">
        <v>1548</v>
      </c>
      <c r="B221" s="211" t="s">
        <v>109</v>
      </c>
      <c r="C221" s="211">
        <v>4</v>
      </c>
      <c r="D221" s="211">
        <v>4</v>
      </c>
      <c r="E221" s="211">
        <v>4</v>
      </c>
      <c r="F221" s="211" t="s">
        <v>2469</v>
      </c>
      <c r="H221" s="211">
        <v>4</v>
      </c>
      <c r="I221" s="211">
        <v>3</v>
      </c>
      <c r="L221" s="211">
        <v>28.5</v>
      </c>
      <c r="N221" s="209">
        <f t="shared" si="24"/>
        <v>4</v>
      </c>
      <c r="O221" s="209">
        <f t="shared" si="25"/>
        <v>4</v>
      </c>
      <c r="P221" s="209">
        <f t="shared" si="26"/>
        <v>4</v>
      </c>
      <c r="Q221" s="209">
        <f t="shared" si="27"/>
        <v>7</v>
      </c>
      <c r="R221" s="209" t="str">
        <f t="shared" si="28"/>
        <v>/</v>
      </c>
      <c r="S221" s="209">
        <f t="shared" si="29"/>
        <v>4</v>
      </c>
      <c r="T221" s="209">
        <f t="shared" si="30"/>
        <v>3</v>
      </c>
      <c r="U221" s="209" t="str">
        <f t="shared" si="31"/>
        <v>/</v>
      </c>
    </row>
    <row r="222" spans="1:21">
      <c r="A222" s="424" t="s">
        <v>1548</v>
      </c>
      <c r="B222" s="211" t="s">
        <v>2470</v>
      </c>
      <c r="C222" s="211">
        <v>4</v>
      </c>
      <c r="D222" s="211">
        <v>5</v>
      </c>
      <c r="E222" s="211">
        <v>4</v>
      </c>
      <c r="F222" s="211">
        <v>4</v>
      </c>
      <c r="H222" s="211">
        <v>5</v>
      </c>
      <c r="I222" s="211">
        <v>3</v>
      </c>
      <c r="L222" s="211">
        <v>27.75</v>
      </c>
      <c r="N222" s="209">
        <f t="shared" si="24"/>
        <v>4</v>
      </c>
      <c r="O222" s="209">
        <f t="shared" si="25"/>
        <v>5.5</v>
      </c>
      <c r="P222" s="209">
        <f t="shared" si="26"/>
        <v>4</v>
      </c>
      <c r="Q222" s="209">
        <f t="shared" si="27"/>
        <v>4</v>
      </c>
      <c r="R222" s="209" t="str">
        <f t="shared" si="28"/>
        <v>/</v>
      </c>
      <c r="S222" s="209">
        <f t="shared" si="29"/>
        <v>5.5</v>
      </c>
      <c r="T222" s="209">
        <f t="shared" si="30"/>
        <v>3</v>
      </c>
      <c r="U222" s="209" t="str">
        <f t="shared" si="31"/>
        <v>/</v>
      </c>
    </row>
    <row r="223" spans="1:21">
      <c r="A223" s="424" t="s">
        <v>1548</v>
      </c>
      <c r="B223" s="211" t="s">
        <v>106</v>
      </c>
      <c r="C223" s="211">
        <v>5</v>
      </c>
      <c r="D223" s="211">
        <v>4</v>
      </c>
      <c r="E223" s="211">
        <v>5</v>
      </c>
      <c r="F223" s="211">
        <v>4</v>
      </c>
      <c r="G223" s="211">
        <v>3</v>
      </c>
      <c r="H223" s="211">
        <v>4</v>
      </c>
      <c r="I223" s="211">
        <v>4</v>
      </c>
      <c r="J223" s="211">
        <v>3</v>
      </c>
      <c r="L223" s="211">
        <v>27</v>
      </c>
      <c r="N223" s="209">
        <f t="shared" si="24"/>
        <v>5.5</v>
      </c>
      <c r="O223" s="209">
        <f t="shared" si="25"/>
        <v>4</v>
      </c>
      <c r="P223" s="209">
        <f t="shared" si="26"/>
        <v>5.5</v>
      </c>
      <c r="Q223" s="209">
        <f t="shared" si="27"/>
        <v>4</v>
      </c>
      <c r="R223" s="209">
        <f t="shared" si="28"/>
        <v>3</v>
      </c>
      <c r="S223" s="209">
        <f t="shared" si="29"/>
        <v>4</v>
      </c>
      <c r="T223" s="209">
        <f t="shared" si="30"/>
        <v>4</v>
      </c>
      <c r="U223" s="209">
        <f t="shared" si="31"/>
        <v>3</v>
      </c>
    </row>
    <row r="224" spans="1:21">
      <c r="A224" s="424" t="s">
        <v>1552</v>
      </c>
      <c r="B224" s="211" t="s">
        <v>109</v>
      </c>
      <c r="C224" s="211">
        <v>4</v>
      </c>
      <c r="D224" s="211">
        <v>4</v>
      </c>
      <c r="E224" s="211">
        <v>4</v>
      </c>
      <c r="F224" s="211">
        <v>4</v>
      </c>
      <c r="H224" s="211" t="s">
        <v>2469</v>
      </c>
      <c r="I224" s="211" t="s">
        <v>2469</v>
      </c>
      <c r="J224" s="211">
        <v>5</v>
      </c>
      <c r="L224" s="211">
        <v>29.5</v>
      </c>
      <c r="N224" s="209">
        <f t="shared" si="24"/>
        <v>4</v>
      </c>
      <c r="O224" s="209">
        <f t="shared" si="25"/>
        <v>4</v>
      </c>
      <c r="P224" s="209">
        <f t="shared" si="26"/>
        <v>4</v>
      </c>
      <c r="Q224" s="209">
        <f t="shared" si="27"/>
        <v>4</v>
      </c>
      <c r="R224" s="209" t="str">
        <f t="shared" si="28"/>
        <v>/</v>
      </c>
      <c r="S224" s="209">
        <f t="shared" si="29"/>
        <v>7</v>
      </c>
      <c r="T224" s="209">
        <f t="shared" si="30"/>
        <v>7</v>
      </c>
      <c r="U224" s="209">
        <f t="shared" si="31"/>
        <v>5.5</v>
      </c>
    </row>
    <row r="225" spans="1:21">
      <c r="A225" s="424" t="s">
        <v>1552</v>
      </c>
      <c r="B225" s="211" t="s">
        <v>2470</v>
      </c>
      <c r="C225" s="211">
        <v>4</v>
      </c>
      <c r="D225" s="211" t="s">
        <v>2469</v>
      </c>
      <c r="E225" s="211">
        <v>4</v>
      </c>
      <c r="F225" s="211">
        <v>4</v>
      </c>
      <c r="H225" s="211">
        <v>4</v>
      </c>
      <c r="I225" s="211">
        <v>4</v>
      </c>
      <c r="L225" s="211">
        <v>26.5</v>
      </c>
      <c r="N225" s="209">
        <f t="shared" si="24"/>
        <v>4</v>
      </c>
      <c r="O225" s="209">
        <f t="shared" si="25"/>
        <v>7</v>
      </c>
      <c r="P225" s="209">
        <f t="shared" si="26"/>
        <v>4</v>
      </c>
      <c r="Q225" s="209">
        <f t="shared" si="27"/>
        <v>4</v>
      </c>
      <c r="R225" s="209" t="str">
        <f t="shared" si="28"/>
        <v>/</v>
      </c>
      <c r="S225" s="209">
        <f t="shared" si="29"/>
        <v>4</v>
      </c>
      <c r="T225" s="209">
        <f t="shared" si="30"/>
        <v>4</v>
      </c>
      <c r="U225" s="209" t="str">
        <f t="shared" si="31"/>
        <v>/</v>
      </c>
    </row>
    <row r="226" spans="1:21">
      <c r="A226" s="424" t="s">
        <v>1552</v>
      </c>
      <c r="B226" s="211" t="s">
        <v>106</v>
      </c>
      <c r="C226" s="211">
        <v>4</v>
      </c>
      <c r="D226" s="211">
        <v>5</v>
      </c>
      <c r="E226" s="211">
        <v>2</v>
      </c>
      <c r="F226" s="211">
        <v>4</v>
      </c>
      <c r="H226" s="211">
        <v>5</v>
      </c>
      <c r="I226" s="211">
        <v>4</v>
      </c>
      <c r="L226" s="211">
        <v>25.75</v>
      </c>
      <c r="N226" s="209">
        <f t="shared" si="24"/>
        <v>4</v>
      </c>
      <c r="O226" s="209">
        <f t="shared" si="25"/>
        <v>5.5</v>
      </c>
      <c r="P226" s="209">
        <f t="shared" si="26"/>
        <v>2</v>
      </c>
      <c r="Q226" s="209">
        <f t="shared" si="27"/>
        <v>4</v>
      </c>
      <c r="R226" s="209" t="str">
        <f t="shared" si="28"/>
        <v>/</v>
      </c>
      <c r="S226" s="209">
        <f t="shared" si="29"/>
        <v>5.5</v>
      </c>
      <c r="T226" s="209">
        <f t="shared" si="30"/>
        <v>4</v>
      </c>
      <c r="U226" s="209" t="str">
        <f t="shared" si="31"/>
        <v>/</v>
      </c>
    </row>
    <row r="227" spans="1:21">
      <c r="A227" s="424" t="s">
        <v>1555</v>
      </c>
      <c r="B227" s="211" t="s">
        <v>109</v>
      </c>
      <c r="C227" s="211">
        <v>3</v>
      </c>
      <c r="D227" s="211">
        <v>3</v>
      </c>
      <c r="E227" s="211">
        <v>5</v>
      </c>
      <c r="F227" s="211">
        <v>4</v>
      </c>
      <c r="G227" s="211">
        <v>5</v>
      </c>
      <c r="H227" s="211">
        <v>5</v>
      </c>
      <c r="I227" s="211">
        <v>5</v>
      </c>
      <c r="L227" s="211">
        <v>26</v>
      </c>
      <c r="N227" s="209">
        <f t="shared" si="24"/>
        <v>3</v>
      </c>
      <c r="O227" s="209">
        <f t="shared" si="25"/>
        <v>3</v>
      </c>
      <c r="P227" s="209">
        <f t="shared" si="26"/>
        <v>5.5</v>
      </c>
      <c r="Q227" s="209">
        <f t="shared" si="27"/>
        <v>4</v>
      </c>
      <c r="R227" s="209">
        <f t="shared" si="28"/>
        <v>5.5</v>
      </c>
      <c r="S227" s="209">
        <f t="shared" si="29"/>
        <v>5.5</v>
      </c>
      <c r="T227" s="209">
        <f t="shared" si="30"/>
        <v>5.5</v>
      </c>
      <c r="U227" s="209" t="str">
        <f t="shared" si="31"/>
        <v>/</v>
      </c>
    </row>
    <row r="228" spans="1:21">
      <c r="A228" s="424" t="s">
        <v>1555</v>
      </c>
      <c r="B228" s="211" t="s">
        <v>2470</v>
      </c>
      <c r="C228" s="211">
        <v>4</v>
      </c>
      <c r="D228" s="211">
        <v>4</v>
      </c>
      <c r="E228" s="211">
        <v>5</v>
      </c>
      <c r="F228" s="211">
        <v>4</v>
      </c>
      <c r="G228" s="211">
        <v>3</v>
      </c>
      <c r="H228" s="211">
        <v>5</v>
      </c>
      <c r="I228" s="211">
        <v>4</v>
      </c>
      <c r="L228" s="211">
        <v>23</v>
      </c>
      <c r="N228" s="209">
        <f t="shared" si="24"/>
        <v>4</v>
      </c>
      <c r="O228" s="209">
        <f t="shared" si="25"/>
        <v>4</v>
      </c>
      <c r="P228" s="209">
        <f t="shared" si="26"/>
        <v>5.5</v>
      </c>
      <c r="Q228" s="209">
        <f t="shared" si="27"/>
        <v>4</v>
      </c>
      <c r="R228" s="209">
        <f t="shared" si="28"/>
        <v>3</v>
      </c>
      <c r="S228" s="209">
        <f t="shared" si="29"/>
        <v>5.5</v>
      </c>
      <c r="T228" s="209">
        <f t="shared" si="30"/>
        <v>4</v>
      </c>
      <c r="U228" s="209" t="str">
        <f t="shared" si="31"/>
        <v>/</v>
      </c>
    </row>
    <row r="229" spans="1:21">
      <c r="A229" s="424" t="s">
        <v>1555</v>
      </c>
      <c r="B229" s="211" t="s">
        <v>106</v>
      </c>
      <c r="C229" s="211">
        <v>4</v>
      </c>
      <c r="D229" s="211">
        <v>4</v>
      </c>
      <c r="E229" s="211">
        <v>4</v>
      </c>
      <c r="F229" s="211">
        <v>4</v>
      </c>
      <c r="H229" s="211">
        <v>5</v>
      </c>
      <c r="I229" s="211">
        <v>4</v>
      </c>
      <c r="J229" s="211">
        <v>3</v>
      </c>
      <c r="L229" s="211">
        <v>21.5</v>
      </c>
      <c r="N229" s="209">
        <f t="shared" si="24"/>
        <v>4</v>
      </c>
      <c r="O229" s="209">
        <f t="shared" si="25"/>
        <v>4</v>
      </c>
      <c r="P229" s="209">
        <f t="shared" si="26"/>
        <v>4</v>
      </c>
      <c r="Q229" s="209">
        <f t="shared" si="27"/>
        <v>4</v>
      </c>
      <c r="R229" s="209" t="str">
        <f t="shared" si="28"/>
        <v>/</v>
      </c>
      <c r="S229" s="209">
        <f t="shared" si="29"/>
        <v>5.5</v>
      </c>
      <c r="T229" s="209">
        <f t="shared" si="30"/>
        <v>4</v>
      </c>
      <c r="U229" s="209">
        <f t="shared" si="31"/>
        <v>3</v>
      </c>
    </row>
    <row r="230" spans="1:21">
      <c r="A230" s="424" t="s">
        <v>1362</v>
      </c>
      <c r="B230" s="211" t="s">
        <v>109</v>
      </c>
      <c r="C230" s="211">
        <v>5</v>
      </c>
      <c r="D230" s="211" t="s">
        <v>2469</v>
      </c>
      <c r="E230" s="211" t="s">
        <v>2471</v>
      </c>
      <c r="F230" s="211">
        <v>4</v>
      </c>
      <c r="G230" s="211" t="s">
        <v>2469</v>
      </c>
      <c r="H230" s="211" t="s">
        <v>2469</v>
      </c>
      <c r="I230" s="211">
        <v>3</v>
      </c>
      <c r="L230" s="211">
        <v>35</v>
      </c>
      <c r="N230" s="209">
        <f t="shared" si="24"/>
        <v>5.5</v>
      </c>
      <c r="O230" s="209">
        <f t="shared" si="25"/>
        <v>7</v>
      </c>
      <c r="P230" s="209">
        <f t="shared" si="26"/>
        <v>8.5</v>
      </c>
      <c r="Q230" s="209">
        <f t="shared" si="27"/>
        <v>4</v>
      </c>
      <c r="R230" s="209">
        <f t="shared" si="28"/>
        <v>7</v>
      </c>
      <c r="S230" s="209">
        <f t="shared" si="29"/>
        <v>7</v>
      </c>
      <c r="T230" s="209">
        <f t="shared" si="30"/>
        <v>3</v>
      </c>
      <c r="U230" s="209" t="str">
        <f t="shared" si="31"/>
        <v>/</v>
      </c>
    </row>
    <row r="231" spans="1:21">
      <c r="A231" s="424" t="s">
        <v>1362</v>
      </c>
      <c r="B231" s="211" t="s">
        <v>2470</v>
      </c>
      <c r="C231" s="211" t="s">
        <v>2469</v>
      </c>
      <c r="D231" s="211">
        <v>5</v>
      </c>
      <c r="E231" s="211">
        <v>5</v>
      </c>
      <c r="F231" s="211" t="s">
        <v>2469</v>
      </c>
      <c r="H231" s="211" t="s">
        <v>2471</v>
      </c>
      <c r="I231" s="211">
        <v>3</v>
      </c>
      <c r="J231" s="211">
        <v>3</v>
      </c>
      <c r="L231" s="211">
        <v>33.5</v>
      </c>
      <c r="N231" s="209">
        <f t="shared" si="24"/>
        <v>7</v>
      </c>
      <c r="O231" s="209">
        <f t="shared" si="25"/>
        <v>5.5</v>
      </c>
      <c r="P231" s="209">
        <f t="shared" si="26"/>
        <v>5.5</v>
      </c>
      <c r="Q231" s="209">
        <f t="shared" si="27"/>
        <v>7</v>
      </c>
      <c r="R231" s="209" t="str">
        <f t="shared" si="28"/>
        <v>/</v>
      </c>
      <c r="S231" s="209">
        <f t="shared" si="29"/>
        <v>8.5</v>
      </c>
      <c r="T231" s="209">
        <f t="shared" si="30"/>
        <v>3</v>
      </c>
      <c r="U231" s="209">
        <f t="shared" si="31"/>
        <v>3</v>
      </c>
    </row>
    <row r="232" spans="1:21">
      <c r="A232" s="424" t="s">
        <v>1362</v>
      </c>
      <c r="B232" s="211" t="s">
        <v>106</v>
      </c>
      <c r="C232" s="211" t="s">
        <v>2469</v>
      </c>
      <c r="D232" s="211">
        <v>5</v>
      </c>
      <c r="E232" s="211" t="s">
        <v>2469</v>
      </c>
      <c r="F232" s="211">
        <v>5</v>
      </c>
      <c r="H232" s="211" t="s">
        <v>2469</v>
      </c>
      <c r="I232" s="211">
        <v>5</v>
      </c>
      <c r="J232" s="211">
        <v>4</v>
      </c>
      <c r="L232" s="211">
        <v>32</v>
      </c>
      <c r="N232" s="209">
        <f t="shared" si="24"/>
        <v>7</v>
      </c>
      <c r="O232" s="209">
        <f t="shared" si="25"/>
        <v>5.5</v>
      </c>
      <c r="P232" s="209">
        <f t="shared" si="26"/>
        <v>7</v>
      </c>
      <c r="Q232" s="209">
        <f t="shared" si="27"/>
        <v>5.5</v>
      </c>
      <c r="R232" s="209" t="str">
        <f t="shared" si="28"/>
        <v>/</v>
      </c>
      <c r="S232" s="209">
        <f t="shared" si="29"/>
        <v>7</v>
      </c>
      <c r="T232" s="209">
        <f t="shared" si="30"/>
        <v>5.5</v>
      </c>
      <c r="U232" s="209">
        <f t="shared" si="31"/>
        <v>4</v>
      </c>
    </row>
  </sheetData>
  <autoFilter ref="A1:L232" xr:uid="{77BA08E8-3C98-5148-865D-3B8C4E4AE72D}">
    <sortState xmlns:xlrd2="http://schemas.microsoft.com/office/spreadsheetml/2017/richdata2" ref="A2:L196">
      <sortCondition ref="A1:A196"/>
    </sortState>
  </autoFilter>
  <phoneticPr fontId="64"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工作表15"/>
  <dimension ref="A1:L52"/>
  <sheetViews>
    <sheetView workbookViewId="0"/>
    <sheetView workbookViewId="1"/>
  </sheetViews>
  <sheetFormatPr defaultColWidth="9" defaultRowHeight="12"/>
  <cols>
    <col min="1" max="1" width="12" style="87" customWidth="1"/>
    <col min="2" max="4" width="18.19921875" style="87" customWidth="1"/>
    <col min="5" max="5" width="15.19921875" style="87" customWidth="1"/>
    <col min="6" max="6" width="14" style="87" customWidth="1"/>
    <col min="7" max="7" width="12.69921875" style="87" customWidth="1"/>
    <col min="8" max="9" width="9" style="87"/>
    <col min="10" max="10" width="15.69921875" style="87" customWidth="1"/>
    <col min="11" max="11" width="12.19921875" style="87" customWidth="1"/>
    <col min="12" max="16384" width="9" style="87"/>
  </cols>
  <sheetData>
    <row r="1" spans="1:12">
      <c r="A1" s="1" t="s">
        <v>2474</v>
      </c>
      <c r="B1" s="88" t="s">
        <v>2475</v>
      </c>
      <c r="C1" s="1" t="s">
        <v>2476</v>
      </c>
      <c r="D1" s="1" t="s">
        <v>2477</v>
      </c>
      <c r="E1" s="1" t="s">
        <v>2478</v>
      </c>
      <c r="F1" s="1" t="s">
        <v>2479</v>
      </c>
      <c r="G1" s="1" t="s">
        <v>2480</v>
      </c>
      <c r="H1" s="1" t="s">
        <v>2481</v>
      </c>
      <c r="I1" s="1" t="s">
        <v>2514</v>
      </c>
      <c r="J1" s="88" t="s">
        <v>2513</v>
      </c>
      <c r="K1" s="1" t="s">
        <v>2482</v>
      </c>
      <c r="L1" s="88" t="s">
        <v>2483</v>
      </c>
    </row>
    <row r="2" spans="1:12">
      <c r="A2" s="1" t="s">
        <v>2484</v>
      </c>
      <c r="C2" s="1" t="s">
        <v>2485</v>
      </c>
      <c r="D2" s="1" t="s">
        <v>2486</v>
      </c>
      <c r="E2" s="1" t="s">
        <v>2487</v>
      </c>
      <c r="F2" s="1" t="s">
        <v>50</v>
      </c>
      <c r="G2" s="1" t="s">
        <v>2488</v>
      </c>
      <c r="H2" s="1" t="s">
        <v>2484</v>
      </c>
      <c r="I2" s="1" t="s">
        <v>2484</v>
      </c>
      <c r="J2" s="88" t="s">
        <v>27</v>
      </c>
      <c r="K2" s="1" t="s">
        <v>218</v>
      </c>
      <c r="L2" s="88" t="s">
        <v>2493</v>
      </c>
    </row>
    <row r="3" spans="1:12">
      <c r="A3" s="1" t="s">
        <v>2489</v>
      </c>
      <c r="B3" s="88" t="s">
        <v>326</v>
      </c>
      <c r="C3" s="1" t="str">
        <f>IF(OR($B$30=B3,$B$31=B3,$B$32=B3),"",B3)</f>
        <v>物理</v>
      </c>
      <c r="D3" s="1" t="str">
        <f>IF(OR($B$29=B3,$B$31=B3,$B$32=B3),"",B3)</f>
        <v>物理</v>
      </c>
      <c r="E3" s="1" t="str">
        <f>IF(OR($B$29=B3,$B$30=B3,$B$32=B3),"",B3)</f>
        <v>物理</v>
      </c>
      <c r="F3" s="1" t="str">
        <f>IF(OR($B$29=B8,$B$30=B8,$B$31=B8),"",B8)</f>
        <v>音樂</v>
      </c>
      <c r="G3" s="1" t="s">
        <v>2490</v>
      </c>
      <c r="H3" s="1" t="s">
        <v>2491</v>
      </c>
      <c r="I3" s="1" t="s">
        <v>2515</v>
      </c>
      <c r="J3" s="1" t="s">
        <v>2443</v>
      </c>
      <c r="K3" s="1" t="s">
        <v>2492</v>
      </c>
      <c r="L3" s="88" t="s">
        <v>2498</v>
      </c>
    </row>
    <row r="4" spans="1:12">
      <c r="A4" s="1" t="s">
        <v>2494</v>
      </c>
      <c r="B4" s="88" t="s">
        <v>327</v>
      </c>
      <c r="C4" s="1" t="str">
        <f t="shared" ref="C4:C25" si="0">IF(OR($B$30=B4,$B$31=B4,$B$32=B4),"",B4)</f>
        <v>化學</v>
      </c>
      <c r="D4" s="1" t="str">
        <f t="shared" ref="D4:D25" si="1">IF(OR($B$29=B4,$B$31=B4,$B$32=B4),"",B4)</f>
        <v>化學</v>
      </c>
      <c r="E4" s="1" t="str">
        <f t="shared" ref="E4:E25" si="2">IF(OR($B$29=B4,$B$30=B4,$B$32=B4),"",B4)</f>
        <v>化學</v>
      </c>
      <c r="F4" s="1" t="str">
        <f>IF(OR($B$29=B9,$B$30=B9,$B$31=B9),"",B9)</f>
        <v>體育</v>
      </c>
      <c r="G4" s="1" t="s">
        <v>2495</v>
      </c>
      <c r="H4" s="1" t="s">
        <v>2496</v>
      </c>
      <c r="I4" s="1" t="s">
        <v>2516</v>
      </c>
      <c r="J4" s="1" t="s">
        <v>2436</v>
      </c>
    </row>
    <row r="5" spans="1:12">
      <c r="A5" s="1">
        <v>5</v>
      </c>
      <c r="B5" s="88" t="s">
        <v>328</v>
      </c>
      <c r="C5" s="1" t="str">
        <f t="shared" si="0"/>
        <v>生物</v>
      </c>
      <c r="D5" s="1" t="str">
        <f t="shared" si="1"/>
        <v>生物</v>
      </c>
      <c r="E5" s="1" t="str">
        <f t="shared" si="2"/>
        <v>生物</v>
      </c>
      <c r="F5" s="1" t="str">
        <f>IF(OR($B$29=B12,$B$30=B12,$B$31=B12),"",B12)</f>
        <v>視覺藝術</v>
      </c>
      <c r="G5" s="1" t="s">
        <v>2499</v>
      </c>
      <c r="H5" s="1" t="s">
        <v>2500</v>
      </c>
      <c r="I5" s="1"/>
      <c r="J5" s="1" t="s">
        <v>2497</v>
      </c>
    </row>
    <row r="6" spans="1:12">
      <c r="A6" s="1">
        <v>4</v>
      </c>
      <c r="B6" s="88" t="s">
        <v>329</v>
      </c>
      <c r="C6" s="1" t="str">
        <f t="shared" si="0"/>
        <v>經濟</v>
      </c>
      <c r="D6" s="1" t="str">
        <f t="shared" si="1"/>
        <v>經濟</v>
      </c>
      <c r="E6" s="1" t="str">
        <f t="shared" si="2"/>
        <v>經濟</v>
      </c>
      <c r="F6" s="1" t="str">
        <f>IF(OR($B$29=B20,$B$30=B20,$B$31=B20),"",B20)</f>
        <v>倫理與宗教</v>
      </c>
      <c r="G6" s="1" t="s">
        <v>2501</v>
      </c>
      <c r="H6" s="1" t="s">
        <v>2502</v>
      </c>
      <c r="I6" s="1"/>
      <c r="J6" s="1" t="s">
        <v>2425</v>
      </c>
    </row>
    <row r="7" spans="1:12">
      <c r="A7" s="1">
        <v>3</v>
      </c>
      <c r="B7" s="88" t="s">
        <v>330</v>
      </c>
      <c r="C7" s="1" t="str">
        <f t="shared" si="0"/>
        <v>地理</v>
      </c>
      <c r="D7" s="1" t="str">
        <f t="shared" si="1"/>
        <v>地理</v>
      </c>
      <c r="E7" s="1" t="str">
        <f t="shared" si="2"/>
        <v>地理</v>
      </c>
      <c r="F7" s="1"/>
      <c r="G7" s="1" t="s">
        <v>2503</v>
      </c>
      <c r="H7" s="1" t="s">
        <v>2504</v>
      </c>
      <c r="I7" s="1"/>
      <c r="J7" s="1"/>
    </row>
    <row r="8" spans="1:12">
      <c r="A8" s="1">
        <v>2</v>
      </c>
      <c r="B8" s="88" t="s">
        <v>331</v>
      </c>
      <c r="C8" s="1" t="str">
        <f t="shared" si="0"/>
        <v>音樂</v>
      </c>
      <c r="D8" s="1" t="str">
        <f t="shared" si="1"/>
        <v>音樂</v>
      </c>
      <c r="E8" s="1" t="str">
        <f t="shared" si="2"/>
        <v>音樂</v>
      </c>
      <c r="F8" s="1"/>
      <c r="G8" s="1" t="s">
        <v>2505</v>
      </c>
      <c r="H8" s="1" t="s">
        <v>2506</v>
      </c>
      <c r="I8" s="1"/>
      <c r="J8" s="1"/>
    </row>
    <row r="9" spans="1:12">
      <c r="A9" s="1">
        <v>1</v>
      </c>
      <c r="B9" s="88" t="s">
        <v>332</v>
      </c>
      <c r="C9" s="1" t="str">
        <f t="shared" si="0"/>
        <v>體育</v>
      </c>
      <c r="D9" s="1" t="str">
        <f t="shared" si="1"/>
        <v>體育</v>
      </c>
      <c r="E9" s="1" t="str">
        <f t="shared" si="2"/>
        <v>體育</v>
      </c>
      <c r="F9" s="1"/>
      <c r="G9" s="1"/>
      <c r="H9" s="1"/>
      <c r="I9" s="1"/>
      <c r="J9" s="1"/>
    </row>
    <row r="10" spans="1:12">
      <c r="A10" s="1" t="s">
        <v>2506</v>
      </c>
      <c r="B10" s="88" t="s">
        <v>333</v>
      </c>
      <c r="C10" s="1" t="str">
        <f>IF(OR($B$30=B10,$B$31=B10,$B$32=B10),"",B10)</f>
        <v>歷史</v>
      </c>
      <c r="D10" s="1" t="str">
        <f t="shared" si="1"/>
        <v>歷史</v>
      </c>
      <c r="E10" s="1" t="str">
        <f t="shared" si="2"/>
        <v>歷史</v>
      </c>
      <c r="F10" s="1"/>
      <c r="G10" s="1"/>
      <c r="H10" s="1"/>
      <c r="I10" s="1"/>
      <c r="J10" s="1"/>
    </row>
    <row r="11" spans="1:12">
      <c r="A11" s="1"/>
      <c r="B11" s="88" t="s">
        <v>334</v>
      </c>
      <c r="C11" s="1" t="str">
        <f t="shared" si="0"/>
        <v>中國歷史</v>
      </c>
      <c r="D11" s="1" t="str">
        <f t="shared" si="1"/>
        <v>中國歷史</v>
      </c>
      <c r="E11" s="1" t="str">
        <f t="shared" si="2"/>
        <v>中國歷史</v>
      </c>
      <c r="F11" s="1"/>
      <c r="G11" s="1"/>
      <c r="H11" s="1"/>
      <c r="I11" s="1"/>
      <c r="J11" s="1"/>
    </row>
    <row r="12" spans="1:12">
      <c r="A12" s="1"/>
      <c r="B12" s="88" t="s">
        <v>335</v>
      </c>
      <c r="C12" s="1" t="str">
        <f t="shared" si="0"/>
        <v>視覺藝術</v>
      </c>
      <c r="D12" s="1" t="str">
        <f t="shared" si="1"/>
        <v>視覺藝術</v>
      </c>
      <c r="E12" s="1" t="str">
        <f t="shared" si="2"/>
        <v>視覺藝術</v>
      </c>
      <c r="F12" s="1"/>
      <c r="G12" s="1"/>
      <c r="H12" s="1"/>
      <c r="I12" s="1"/>
      <c r="J12" s="1"/>
    </row>
    <row r="13" spans="1:12">
      <c r="A13" s="1"/>
      <c r="B13" s="88" t="s">
        <v>336</v>
      </c>
      <c r="C13" s="1" t="str">
        <f t="shared" si="0"/>
        <v>綜合科學</v>
      </c>
      <c r="D13" s="1" t="str">
        <f t="shared" si="1"/>
        <v>綜合科學</v>
      </c>
      <c r="E13" s="1" t="str">
        <f t="shared" si="2"/>
        <v>綜合科學</v>
      </c>
      <c r="F13" s="1"/>
      <c r="G13" s="1"/>
      <c r="H13" s="1"/>
      <c r="I13" s="1"/>
      <c r="J13" s="1"/>
    </row>
    <row r="14" spans="1:12">
      <c r="A14" s="1"/>
      <c r="B14" s="88" t="s">
        <v>337</v>
      </c>
      <c r="C14" s="1" t="str">
        <f t="shared" si="0"/>
        <v>組合科學(物理、化學)</v>
      </c>
      <c r="D14" s="1" t="str">
        <f t="shared" si="1"/>
        <v>組合科學(物理、化學)</v>
      </c>
      <c r="E14" s="1" t="str">
        <f t="shared" si="2"/>
        <v>組合科學(物理、化學)</v>
      </c>
      <c r="F14" s="1"/>
      <c r="G14" s="1"/>
      <c r="H14" s="1"/>
      <c r="I14" s="1"/>
      <c r="J14" s="1"/>
    </row>
    <row r="15" spans="1:12">
      <c r="A15" s="1"/>
      <c r="B15" s="88" t="s">
        <v>338</v>
      </c>
      <c r="C15" s="1" t="str">
        <f t="shared" si="0"/>
        <v>組合科學(生物、化學)</v>
      </c>
      <c r="D15" s="1" t="str">
        <f>IF(OR($B$29=B15,$B$31=B15,$B$32=B15),"",B15)</f>
        <v>組合科學(生物、化學)</v>
      </c>
      <c r="E15" s="1" t="str">
        <f t="shared" si="2"/>
        <v>組合科學(生物、化學)</v>
      </c>
      <c r="F15" s="1"/>
      <c r="G15" s="1"/>
      <c r="H15" s="1"/>
      <c r="I15" s="1"/>
      <c r="J15" s="1"/>
    </row>
    <row r="16" spans="1:12">
      <c r="A16" s="1"/>
      <c r="B16" s="88" t="s">
        <v>339</v>
      </c>
      <c r="C16" s="1" t="str">
        <f t="shared" si="0"/>
        <v>組合科學(物理、生物)</v>
      </c>
      <c r="D16" s="1" t="str">
        <f t="shared" si="1"/>
        <v>組合科學(物理、生物)</v>
      </c>
      <c r="E16" s="1" t="str">
        <f t="shared" si="2"/>
        <v>組合科學(物理、生物)</v>
      </c>
      <c r="F16" s="1"/>
      <c r="G16" s="1"/>
      <c r="H16" s="1"/>
      <c r="I16" s="1"/>
      <c r="J16" s="1"/>
    </row>
    <row r="17" spans="1:10">
      <c r="A17" s="1"/>
      <c r="B17" s="88" t="s">
        <v>340</v>
      </c>
      <c r="C17" s="1" t="str">
        <f t="shared" si="0"/>
        <v>中國文學</v>
      </c>
      <c r="D17" s="1" t="str">
        <f t="shared" si="1"/>
        <v>中國文學</v>
      </c>
      <c r="E17" s="1" t="str">
        <f t="shared" si="2"/>
        <v>中國文學</v>
      </c>
      <c r="F17" s="1"/>
      <c r="G17" s="1"/>
      <c r="H17" s="1"/>
      <c r="I17" s="1"/>
      <c r="J17" s="1"/>
    </row>
    <row r="18" spans="1:10">
      <c r="A18" s="1"/>
      <c r="B18" s="88" t="s">
        <v>341</v>
      </c>
      <c r="C18" s="1" t="str">
        <f t="shared" si="0"/>
        <v>英語文學</v>
      </c>
      <c r="D18" s="1" t="str">
        <f t="shared" si="1"/>
        <v>英語文學</v>
      </c>
      <c r="E18" s="1" t="str">
        <f t="shared" si="2"/>
        <v>英語文學</v>
      </c>
      <c r="F18" s="1"/>
      <c r="G18" s="1"/>
      <c r="H18" s="1"/>
      <c r="I18" s="1"/>
      <c r="J18" s="1"/>
    </row>
    <row r="19" spans="1:10">
      <c r="A19" s="1"/>
      <c r="B19" s="88" t="s">
        <v>342</v>
      </c>
      <c r="C19" s="1" t="str">
        <f>IF(OR($B$30=B19,$B$31=B19,$B$32=B19),"",B19)</f>
        <v>旅遊與款待</v>
      </c>
      <c r="D19" s="1" t="str">
        <f t="shared" si="1"/>
        <v>旅遊與款待</v>
      </c>
      <c r="E19" s="1" t="str">
        <f t="shared" si="2"/>
        <v>旅遊與款待</v>
      </c>
      <c r="F19" s="1"/>
      <c r="G19" s="1"/>
      <c r="H19" s="1"/>
      <c r="I19" s="1"/>
      <c r="J19" s="1"/>
    </row>
    <row r="20" spans="1:10">
      <c r="A20" s="1"/>
      <c r="B20" s="88" t="s">
        <v>343</v>
      </c>
      <c r="C20" s="1" t="str">
        <f t="shared" si="0"/>
        <v>倫理與宗教</v>
      </c>
      <c r="D20" s="1" t="str">
        <f t="shared" si="1"/>
        <v>倫理與宗教</v>
      </c>
      <c r="E20" s="1" t="str">
        <f t="shared" si="2"/>
        <v>倫理與宗教</v>
      </c>
      <c r="F20" s="1"/>
      <c r="G20" s="1"/>
      <c r="H20" s="1"/>
      <c r="I20" s="1"/>
      <c r="J20" s="1"/>
    </row>
    <row r="21" spans="1:10">
      <c r="A21" s="1"/>
      <c r="B21" s="88" t="s">
        <v>344</v>
      </c>
      <c r="C21" s="1" t="str">
        <f t="shared" si="0"/>
        <v>科技與生活</v>
      </c>
      <c r="D21" s="1" t="str">
        <f t="shared" si="1"/>
        <v>科技與生活</v>
      </c>
      <c r="E21" s="1" t="str">
        <f t="shared" si="2"/>
        <v>科技與生活</v>
      </c>
      <c r="F21" s="1"/>
      <c r="G21" s="1"/>
      <c r="H21" s="1"/>
      <c r="I21" s="1"/>
      <c r="J21" s="1"/>
    </row>
    <row r="22" spans="1:10">
      <c r="A22" s="1"/>
      <c r="B22" s="88" t="s">
        <v>345</v>
      </c>
      <c r="C22" s="1" t="str">
        <f t="shared" si="0"/>
        <v>資訊及通訊科技</v>
      </c>
      <c r="D22" s="1" t="str">
        <f t="shared" si="1"/>
        <v>資訊及通訊科技</v>
      </c>
      <c r="E22" s="1" t="str">
        <f t="shared" si="2"/>
        <v>資訊及通訊科技</v>
      </c>
      <c r="F22" s="1"/>
      <c r="G22" s="1"/>
      <c r="H22" s="1"/>
      <c r="I22" s="1"/>
      <c r="J22" s="1"/>
    </row>
    <row r="23" spans="1:10">
      <c r="A23" s="1"/>
      <c r="B23" s="88" t="s">
        <v>346</v>
      </c>
      <c r="C23" s="1" t="str">
        <f t="shared" si="0"/>
        <v>設計與應用科技</v>
      </c>
      <c r="D23" s="1" t="str">
        <f t="shared" si="1"/>
        <v>設計與應用科技</v>
      </c>
      <c r="E23" s="1" t="str">
        <f t="shared" si="2"/>
        <v>設計與應用科技</v>
      </c>
      <c r="F23" s="1"/>
      <c r="G23" s="1"/>
      <c r="H23" s="1"/>
      <c r="I23" s="1"/>
    </row>
    <row r="24" spans="1:10">
      <c r="B24" s="88" t="s">
        <v>347</v>
      </c>
      <c r="C24" s="1" t="str">
        <f t="shared" si="0"/>
        <v>健康管理與社會關懷</v>
      </c>
      <c r="D24" s="1" t="str">
        <f t="shared" si="1"/>
        <v>健康管理與社會關懷</v>
      </c>
      <c r="E24" s="1" t="str">
        <f t="shared" si="2"/>
        <v>健康管理與社會關懷</v>
      </c>
    </row>
    <row r="25" spans="1:10">
      <c r="B25" s="88" t="s">
        <v>348</v>
      </c>
      <c r="C25" s="1" t="str">
        <f t="shared" si="0"/>
        <v>企業、會計與財務概論</v>
      </c>
      <c r="D25" s="1" t="str">
        <f t="shared" si="1"/>
        <v>企業、會計與財務概論</v>
      </c>
      <c r="E25" s="1" t="str">
        <f t="shared" si="2"/>
        <v>企業、會計與財務概論</v>
      </c>
    </row>
    <row r="26" spans="1:10">
      <c r="B26" s="1"/>
      <c r="C26" s="1"/>
      <c r="D26" s="1"/>
    </row>
    <row r="28" spans="1:10">
      <c r="B28" s="87" t="s">
        <v>2507</v>
      </c>
      <c r="C28" s="1"/>
    </row>
    <row r="29" spans="1:10">
      <c r="A29" s="87">
        <v>1</v>
      </c>
      <c r="B29" s="87" t="str">
        <f>主頁!B15</f>
        <v>請選擇第一選修科</v>
      </c>
      <c r="C29" s="1"/>
    </row>
    <row r="30" spans="1:10">
      <c r="A30" s="87">
        <v>2</v>
      </c>
      <c r="B30" s="87" t="str">
        <f>主頁!B16</f>
        <v>請選擇第二選修科</v>
      </c>
      <c r="C30" s="1"/>
      <c r="D30" s="1"/>
    </row>
    <row r="31" spans="1:10">
      <c r="A31" s="87">
        <v>3</v>
      </c>
      <c r="B31" s="87" t="str">
        <f>主頁!B17</f>
        <v>請選擇第三選修科</v>
      </c>
      <c r="C31" s="1"/>
      <c r="D31" s="1"/>
    </row>
    <row r="32" spans="1:10">
      <c r="A32" s="87">
        <v>4</v>
      </c>
      <c r="B32" s="87" t="str">
        <f>主頁!B18</f>
        <v>請選擇第四選修科</v>
      </c>
      <c r="C32" s="1"/>
      <c r="D32" s="1"/>
    </row>
    <row r="33" spans="3:9">
      <c r="C33" s="1"/>
      <c r="D33" s="1"/>
    </row>
    <row r="34" spans="3:9">
      <c r="C34" s="1"/>
      <c r="D34" s="1"/>
    </row>
    <row r="35" spans="3:9">
      <c r="C35" s="1"/>
      <c r="D35" s="1"/>
    </row>
    <row r="36" spans="3:9">
      <c r="C36" s="1"/>
      <c r="D36" s="1"/>
    </row>
    <row r="37" spans="3:9">
      <c r="C37" s="1"/>
      <c r="D37" s="1"/>
    </row>
    <row r="38" spans="3:9">
      <c r="C38" s="1"/>
      <c r="D38" s="1"/>
    </row>
    <row r="39" spans="3:9">
      <c r="C39" s="1"/>
      <c r="D39" s="1"/>
    </row>
    <row r="40" spans="3:9">
      <c r="C40" s="1"/>
      <c r="D40" s="1"/>
    </row>
    <row r="41" spans="3:9">
      <c r="C41" s="1"/>
      <c r="D41" s="1"/>
    </row>
    <row r="42" spans="3:9">
      <c r="C42" s="1"/>
      <c r="D42" s="1"/>
    </row>
    <row r="43" spans="3:9">
      <c r="C43" s="1"/>
      <c r="D43" s="1"/>
    </row>
    <row r="44" spans="3:9">
      <c r="C44" s="1"/>
      <c r="D44" s="1"/>
    </row>
    <row r="45" spans="3:9">
      <c r="C45" s="1"/>
      <c r="D45" s="1"/>
      <c r="H45" s="1"/>
      <c r="I45" s="1"/>
    </row>
    <row r="46" spans="3:9">
      <c r="C46" s="1"/>
      <c r="D46" s="1"/>
    </row>
    <row r="47" spans="3:9">
      <c r="C47" s="1"/>
      <c r="D47" s="1"/>
    </row>
    <row r="48" spans="3:9">
      <c r="C48" s="1"/>
      <c r="D48" s="1"/>
    </row>
    <row r="49" spans="3:4">
      <c r="C49" s="1"/>
      <c r="D49" s="1"/>
    </row>
    <row r="50" spans="3:4">
      <c r="C50" s="1"/>
      <c r="D50" s="1"/>
    </row>
    <row r="51" spans="3:4">
      <c r="C51" s="1"/>
      <c r="D51" s="1"/>
    </row>
    <row r="52" spans="3:4">
      <c r="C52" s="1"/>
      <c r="D52" s="1"/>
    </row>
  </sheetData>
  <phoneticPr fontId="3"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30A00161B6D124EBFED7AE90E865BF4" ma:contentTypeVersion="14" ma:contentTypeDescription="Create a new document." ma:contentTypeScope="" ma:versionID="d80e6f3ead7b0a9b932b421fa31db9ce">
  <xsd:schema xmlns:xsd="http://www.w3.org/2001/XMLSchema" xmlns:xs="http://www.w3.org/2001/XMLSchema" xmlns:p="http://schemas.microsoft.com/office/2006/metadata/properties" xmlns:ns3="d0ea7274-d0ef-4ec7-8b2a-e2b30de4fb4b" xmlns:ns4="1142418a-007b-4663-b779-34027ba3bae5" targetNamespace="http://schemas.microsoft.com/office/2006/metadata/properties" ma:root="true" ma:fieldsID="b28ae9cd6fa1f23395a9c4cc22b46ce6" ns3:_="" ns4:_="">
    <xsd:import namespace="d0ea7274-d0ef-4ec7-8b2a-e2b30de4fb4b"/>
    <xsd:import namespace="1142418a-007b-4663-b779-34027ba3bae5"/>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3:MediaServiceGenerationTime" minOccurs="0"/>
                <xsd:element ref="ns3:MediaServiceEventHashCode" minOccurs="0"/>
                <xsd:element ref="ns4:SharedWithUsers" minOccurs="0"/>
                <xsd:element ref="ns4:SharedWithDetails" minOccurs="0"/>
                <xsd:element ref="ns4:SharingHintHash" minOccurs="0"/>
                <xsd:element ref="ns3:MediaServiceAutoKeyPoints" minOccurs="0"/>
                <xsd:element ref="ns3:MediaServiceKeyPoints"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0ea7274-d0ef-4ec7-8b2a-e2b30de4fb4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MediaServiceAutoTags" ma:internalName="MediaServiceAutoTags" ma:readOnly="true">
      <xsd:simpleType>
        <xsd:restriction base="dms:Text"/>
      </xsd:simpleType>
    </xsd:element>
    <xsd:element name="MediaServiceOCR" ma:index="12" nillable="true" ma:displayName="MediaServiceOCR" ma:internalName="MediaServiceOCR" ma:readOnly="true">
      <xsd:simpleType>
        <xsd:restriction base="dms:Note">
          <xsd:maxLength value="255"/>
        </xsd:restriction>
      </xsd:simpleType>
    </xsd:element>
    <xsd:element name="MediaServiceLocation" ma:index="13" nillable="true" ma:displayName="MediaServiceLocation" ma:internalName="MediaServiceLocatio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LengthInSeconds" ma:index="21"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1142418a-007b-4663-b779-34027ba3bae5"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14EC20A-D89C-4F0B-8816-AB5D261A2796}">
  <ds:schemaRefs>
    <ds:schemaRef ds:uri="http://schemas.microsoft.com/sharepoint/v3/contenttype/forms"/>
  </ds:schemaRefs>
</ds:datastoreItem>
</file>

<file path=customXml/itemProps2.xml><?xml version="1.0" encoding="utf-8"?>
<ds:datastoreItem xmlns:ds="http://schemas.openxmlformats.org/officeDocument/2006/customXml" ds:itemID="{DC12D737-D077-42D7-800C-F82033AF316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0ea7274-d0ef-4ec7-8b2a-e2b30de4fb4b"/>
    <ds:schemaRef ds:uri="1142418a-007b-4663-b779-34027ba3bae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3933648-3F35-4F5C-AA06-88BFBCC5DBFE}">
  <ds:schemaRefs>
    <ds:schemaRef ds:uri="http://schemas.microsoft.com/office/infopath/2007/PartnerControls"/>
    <ds:schemaRef ds:uri="http://purl.org/dc/dcmitype/"/>
    <ds:schemaRef ds:uri="http://www.w3.org/XML/1998/namespace"/>
    <ds:schemaRef ds:uri="http://purl.org/dc/elements/1.1/"/>
    <ds:schemaRef ds:uri="http://schemas.microsoft.com/office/2006/documentManagement/types"/>
    <ds:schemaRef ds:uri="http://schemas.openxmlformats.org/package/2006/metadata/core-properties"/>
    <ds:schemaRef ds:uri="http://schemas.microsoft.com/office/2006/metadata/properties"/>
    <ds:schemaRef ds:uri="1142418a-007b-4663-b779-34027ba3bae5"/>
    <ds:schemaRef ds:uri="d0ea7274-d0ef-4ec7-8b2a-e2b30de4fb4b"/>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13</vt:i4>
      </vt:variant>
    </vt:vector>
  </HeadingPairs>
  <TitlesOfParts>
    <vt:vector size="36" baseType="lpstr">
      <vt:lpstr>開始</vt:lpstr>
      <vt:lpstr>主頁</vt:lpstr>
      <vt:lpstr>A123</vt:lpstr>
      <vt:lpstr>All in One</vt:lpstr>
      <vt:lpstr>CityU</vt:lpstr>
      <vt:lpstr>HKBU</vt:lpstr>
      <vt:lpstr>PolyU</vt:lpstr>
      <vt:lpstr>CUHK</vt:lpstr>
      <vt:lpstr>HKUST</vt:lpstr>
      <vt:lpstr>HKU</vt:lpstr>
      <vt:lpstr>LingU</vt:lpstr>
      <vt:lpstr>EdUHK</vt:lpstr>
      <vt:lpstr>HKMU</vt:lpstr>
      <vt:lpstr>SSSDP</vt:lpstr>
      <vt:lpstr>計分版</vt:lpstr>
      <vt:lpstr>Programme List (2023 &amp; 2024)</vt:lpstr>
      <vt:lpstr>Reference Score Calculation</vt:lpstr>
      <vt:lpstr>CUHK Ref Soc Conversion 2 (Manu</vt:lpstr>
      <vt:lpstr>入學要求</vt:lpstr>
      <vt:lpstr>Offer Statistics</vt:lpstr>
      <vt:lpstr>Retake 扣分</vt:lpstr>
      <vt:lpstr>CUHK Ref Soc Conversion</vt:lpstr>
      <vt:lpstr>選單</vt:lpstr>
      <vt:lpstr>all_in_one</vt:lpstr>
      <vt:lpstr>cal_main</vt:lpstr>
      <vt:lpstr>丙類科目等級</vt:lpstr>
      <vt:lpstr>丙類選修科</vt:lpstr>
      <vt:lpstr>公社科</vt:lpstr>
      <vt:lpstr>差</vt:lpstr>
      <vt:lpstr>差距ULM</vt:lpstr>
      <vt:lpstr>差距UML</vt:lpstr>
      <vt:lpstr>是否</vt:lpstr>
      <vt:lpstr>第三選修科</vt:lpstr>
      <vt:lpstr>第二選修科</vt:lpstr>
      <vt:lpstr>第四選修科</vt:lpstr>
      <vt:lpstr>等級</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Michael Chan</dc:creator>
  <cp:keywords/>
  <dc:description/>
  <cp:lastModifiedBy>Koon-Ho Chan</cp:lastModifiedBy>
  <cp:revision/>
  <dcterms:created xsi:type="dcterms:W3CDTF">2020-07-04T18:52:02Z</dcterms:created>
  <dcterms:modified xsi:type="dcterms:W3CDTF">2024-07-19T05:16:53Z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0x010100030A00161B6D124EBFED7AE90E865BF4</vt:lpwstr>
  </property>
</Properties>
</file>